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r\Documents\SIR\SIR 2025\2021\ARCHIVOS EXCEL PARA SUBIR-2021\"/>
    </mc:Choice>
  </mc:AlternateContent>
  <bookViews>
    <workbookView xWindow="0" yWindow="0" windowWidth="28800" windowHeight="11745" tabRatio="842"/>
  </bookViews>
  <sheets>
    <sheet name="ÍNDICE" sheetId="1" r:id="rId1"/>
    <sheet name="TRANSITORIOS" sheetId="2" r:id="rId2"/>
    <sheet name="TOTAL TRANSITORIOS" sheetId="14" r:id="rId3"/>
    <sheet name="CP TRANSITORIOS" sheetId="13" r:id="rId4"/>
    <sheet name="ANUALES" sheetId="12" r:id="rId5"/>
    <sheet name="TOTAL ANUALES" sheetId="15" r:id="rId6"/>
    <sheet name="CP ANUALES" sheetId="11" r:id="rId7"/>
    <sheet name="PERMANENTES" sheetId="10" r:id="rId8"/>
    <sheet name="TOTAL PERMANENTES" sheetId="9" r:id="rId9"/>
    <sheet name="CP CAFE" sheetId="38" r:id="rId10"/>
    <sheet name="CP-PERMANENTES" sheetId="8" r:id="rId11"/>
    <sheet name="BOVINOS" sheetId="6" r:id="rId12"/>
    <sheet name="PREDIOS BOVINOS" sheetId="45" r:id="rId13"/>
    <sheet name="VACUNACION" sheetId="41" r:id="rId14"/>
    <sheet name="PASTOS" sheetId="5" r:id="rId15"/>
    <sheet name="SACRI-LECHE" sheetId="4" r:id="rId16"/>
    <sheet name="PORCINOS" sheetId="20" r:id="rId17"/>
    <sheet name="SACR-PORCINOS" sheetId="19" r:id="rId18"/>
    <sheet name="OTRAS" sheetId="18" r:id="rId19"/>
    <sheet name="PISCÍCOLA" sheetId="17" r:id="rId20"/>
    <sheet name="REPORTES CONSTANTES" sheetId="26" r:id="rId21"/>
    <sheet name="COMPORTAMIENTO CULTIVOS" sheetId="25" r:id="rId22"/>
    <sheet name="PRECIOS-COSTOS" sheetId="24" r:id="rId23"/>
    <sheet name="CRECIMIENTO AGRICOLA" sheetId="23" r:id="rId24"/>
    <sheet name="COMPORTAMIENTO PECUARIO" sheetId="22" r:id="rId25"/>
    <sheet name="CRECIMIENTO PECUARIO" sheetId="21" r:id="rId26"/>
    <sheet name="CRECIMIENTO TOTAL" sheetId="16" r:id="rId27"/>
    <sheet name="PP CONSTANTES" sheetId="28" r:id="rId28"/>
    <sheet name="REPORTE CORRIENTES" sheetId="32" r:id="rId29"/>
    <sheet name="JORNALES" sheetId="31" r:id="rId30"/>
    <sheet name="VR PROD AGRICOLA" sheetId="30" r:id="rId31"/>
    <sheet name="RESUMEN AGRICOLA" sheetId="29" r:id="rId32"/>
    <sheet name="VR PROD PECUARIA" sheetId="27" r:id="rId33"/>
    <sheet name="VR PROD PISCÍCOLA" sheetId="35" r:id="rId34"/>
    <sheet name="RESUMEN POR GRUPOS" sheetId="37" r:id="rId35"/>
    <sheet name="VR PROD TOTAL" sheetId="34" r:id="rId36"/>
    <sheet name="PARTIC.CULTIVOS" sheetId="39" r:id="rId37"/>
    <sheet name="CONSOLID AREAS MPIOS" sheetId="42" r:id="rId38"/>
    <sheet name="CONSOLID PROD MPIOS" sheetId="47" r:id="rId39"/>
    <sheet name="VR PRODUCCION MUNICIPAL" sheetId="48" r:id="rId40"/>
  </sheets>
  <definedNames>
    <definedName name="_xlnm._FilterDatabase" localSheetId="10" hidden="1">'CP-PERMANENTES'!$AG$173:$AO$177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63" i="17" l="1"/>
  <c r="N608" i="8" l="1"/>
  <c r="AL919" i="8"/>
  <c r="G31" i="38"/>
  <c r="G30" i="38"/>
  <c r="G29" i="38"/>
  <c r="G27" i="38"/>
  <c r="G25" i="38"/>
  <c r="G22" i="38"/>
  <c r="G23" i="38"/>
  <c r="G21" i="38"/>
  <c r="G20" i="38"/>
  <c r="G12" i="38"/>
  <c r="G18" i="38"/>
  <c r="G17" i="38"/>
  <c r="G16" i="38"/>
  <c r="G15" i="38"/>
  <c r="G14" i="38"/>
  <c r="G13" i="38"/>
  <c r="G11" i="38"/>
  <c r="G10" i="38"/>
  <c r="AL405" i="8" l="1"/>
  <c r="AL244" i="8"/>
  <c r="AN1101" i="8"/>
  <c r="AN1099" i="8"/>
  <c r="AN1098" i="8"/>
  <c r="AL1089" i="8"/>
  <c r="AL1086" i="8"/>
  <c r="S1101" i="8"/>
  <c r="S1099" i="8"/>
  <c r="S1098" i="8"/>
  <c r="S1093" i="8"/>
  <c r="Q1088" i="8"/>
  <c r="Q1087" i="8"/>
  <c r="Q1086" i="8"/>
  <c r="Q1082" i="8"/>
  <c r="Q1080" i="8"/>
  <c r="Q1079" i="8"/>
  <c r="Q1078" i="8"/>
  <c r="Q1077" i="8"/>
  <c r="AD1117" i="8"/>
  <c r="AB1118" i="8"/>
  <c r="AC1116" i="8"/>
  <c r="AC1115" i="8"/>
  <c r="AC1113" i="8"/>
  <c r="AC1111" i="8"/>
  <c r="AC1110" i="8"/>
  <c r="AC1109" i="8"/>
  <c r="AC1106" i="8"/>
  <c r="AC1105" i="8"/>
  <c r="AC1104" i="8"/>
  <c r="AC1103" i="8"/>
  <c r="AC1102" i="8"/>
  <c r="AC1101" i="8"/>
  <c r="I1117" i="8"/>
  <c r="H1111" i="8"/>
  <c r="H1110" i="8"/>
  <c r="H1109" i="8"/>
  <c r="H1108" i="8"/>
  <c r="H1105" i="8"/>
  <c r="H1103" i="8"/>
  <c r="H1102" i="8"/>
  <c r="H1101" i="8"/>
  <c r="H1095" i="8"/>
  <c r="H1094" i="8"/>
  <c r="H1091" i="8"/>
  <c r="H1090" i="8"/>
  <c r="H1089" i="8"/>
  <c r="H1088" i="8"/>
  <c r="AN1045" i="8"/>
  <c r="AN1043" i="8"/>
  <c r="AN1042" i="8"/>
  <c r="AL1032" i="8"/>
  <c r="AL1023" i="8"/>
  <c r="AD1061" i="8"/>
  <c r="AC1058" i="8"/>
  <c r="AC1057" i="8"/>
  <c r="AC1055" i="8"/>
  <c r="AC1054" i="8"/>
  <c r="AC1053" i="8"/>
  <c r="AC1050" i="8"/>
  <c r="AC1049" i="8"/>
  <c r="S1045" i="8"/>
  <c r="S1043" i="8"/>
  <c r="S1042" i="8"/>
  <c r="S1037" i="8"/>
  <c r="Q1036" i="8"/>
  <c r="Q1035" i="8"/>
  <c r="Q1034" i="8"/>
  <c r="Q1033" i="8"/>
  <c r="Q1029" i="8"/>
  <c r="Q1028" i="8"/>
  <c r="Q1024" i="8"/>
  <c r="Q1022" i="8"/>
  <c r="Q1020" i="8"/>
  <c r="G1062" i="8"/>
  <c r="I1061" i="8"/>
  <c r="H1058" i="8"/>
  <c r="H1057" i="8"/>
  <c r="H1055" i="8"/>
  <c r="H1054" i="8"/>
  <c r="H1053" i="8"/>
  <c r="H1050" i="8"/>
  <c r="H1049" i="8"/>
  <c r="H1045" i="8"/>
  <c r="H1038" i="8"/>
  <c r="H1032" i="8"/>
  <c r="H1031" i="8"/>
  <c r="H1028" i="8"/>
  <c r="H1023" i="8"/>
  <c r="H1021" i="8"/>
  <c r="AN989" i="8"/>
  <c r="AN987" i="8"/>
  <c r="AN986" i="8"/>
  <c r="AL976" i="8"/>
  <c r="AD1005" i="8"/>
  <c r="AB1006" i="8"/>
  <c r="AC1004" i="8"/>
  <c r="AC1003" i="8"/>
  <c r="AC1001" i="8"/>
  <c r="AC999" i="8"/>
  <c r="AC998" i="8"/>
  <c r="AC997" i="8"/>
  <c r="AC996" i="8"/>
  <c r="AC995" i="8"/>
  <c r="AC993" i="8"/>
  <c r="AC990" i="8"/>
  <c r="S989" i="8"/>
  <c r="S987" i="8"/>
  <c r="S986" i="8"/>
  <c r="S981" i="8"/>
  <c r="Q973" i="8"/>
  <c r="Q968" i="8"/>
  <c r="Q967" i="8"/>
  <c r="Q966" i="8"/>
  <c r="Q965" i="8"/>
  <c r="I1005" i="8"/>
  <c r="H999" i="8"/>
  <c r="H998" i="8"/>
  <c r="H997" i="8"/>
  <c r="H995" i="8"/>
  <c r="H994" i="8"/>
  <c r="H993" i="8"/>
  <c r="H991" i="8"/>
  <c r="H983" i="8"/>
  <c r="H982" i="8"/>
  <c r="H976" i="8"/>
  <c r="H975" i="8"/>
  <c r="AN932" i="8"/>
  <c r="AN930" i="8"/>
  <c r="AN929" i="8"/>
  <c r="AD948" i="8"/>
  <c r="AC947" i="8"/>
  <c r="AC946" i="8"/>
  <c r="AC944" i="8"/>
  <c r="AC942" i="8"/>
  <c r="AC941" i="8"/>
  <c r="AC940" i="8"/>
  <c r="AC937" i="8"/>
  <c r="AC936" i="8"/>
  <c r="AC935" i="8"/>
  <c r="AC933" i="8"/>
  <c r="AC932" i="8"/>
  <c r="S932" i="8"/>
  <c r="S930" i="8"/>
  <c r="S929" i="8"/>
  <c r="S924" i="8"/>
  <c r="Q919" i="8"/>
  <c r="Q916" i="8"/>
  <c r="Q911" i="8"/>
  <c r="Q910" i="8"/>
  <c r="Q909" i="8"/>
  <c r="Q908" i="8"/>
  <c r="G948" i="8"/>
  <c r="G949" i="8"/>
  <c r="H947" i="8"/>
  <c r="H946" i="8"/>
  <c r="H944" i="8"/>
  <c r="H942" i="8"/>
  <c r="H941" i="8"/>
  <c r="H940" i="8"/>
  <c r="H937" i="8"/>
  <c r="H936" i="8"/>
  <c r="H935" i="8"/>
  <c r="H933" i="8"/>
  <c r="H932" i="8"/>
  <c r="H926" i="8"/>
  <c r="H925" i="8"/>
  <c r="H921" i="8"/>
  <c r="H919" i="8"/>
  <c r="AN876" i="8"/>
  <c r="AN873" i="8"/>
  <c r="AL863" i="8"/>
  <c r="AD892" i="8"/>
  <c r="AB893" i="8"/>
  <c r="AC891" i="8"/>
  <c r="AC890" i="8"/>
  <c r="AC889" i="8"/>
  <c r="AC888" i="8"/>
  <c r="AC884" i="8"/>
  <c r="AC880" i="8"/>
  <c r="AC877" i="8"/>
  <c r="S876" i="8"/>
  <c r="S874" i="8"/>
  <c r="S873" i="8"/>
  <c r="S868" i="8"/>
  <c r="Q860" i="8"/>
  <c r="Q855" i="8"/>
  <c r="Q852" i="8"/>
  <c r="I893" i="8"/>
  <c r="H885" i="8"/>
  <c r="H884" i="8"/>
  <c r="H882" i="8"/>
  <c r="H881" i="8"/>
  <c r="H879" i="8"/>
  <c r="H877" i="8"/>
  <c r="H876" i="8"/>
  <c r="H869" i="8"/>
  <c r="H866" i="8"/>
  <c r="H864" i="8"/>
  <c r="H863" i="8"/>
  <c r="H862" i="8"/>
  <c r="AN820" i="8"/>
  <c r="AN818" i="8"/>
  <c r="AN817" i="8"/>
  <c r="AL810" i="8"/>
  <c r="AL809" i="8"/>
  <c r="AL808" i="8"/>
  <c r="AL804" i="8"/>
  <c r="AL796" i="8"/>
  <c r="AD835" i="8"/>
  <c r="AB837" i="8"/>
  <c r="AC836" i="8"/>
  <c r="AC834" i="8"/>
  <c r="AC833" i="8"/>
  <c r="AC832" i="8"/>
  <c r="AC830" i="8"/>
  <c r="AC829" i="8"/>
  <c r="AC828" i="8"/>
  <c r="AC824" i="8"/>
  <c r="AC823" i="8"/>
  <c r="AC822" i="8"/>
  <c r="AC821" i="8"/>
  <c r="S820" i="8"/>
  <c r="S818" i="8"/>
  <c r="S817" i="8"/>
  <c r="S811" i="8"/>
  <c r="Q810" i="8"/>
  <c r="Q809" i="8"/>
  <c r="Q808" i="8"/>
  <c r="Q807" i="8"/>
  <c r="Q806" i="8"/>
  <c r="Q803" i="8"/>
  <c r="Q798" i="8"/>
  <c r="Q796" i="8"/>
  <c r="I837" i="8"/>
  <c r="H830" i="8"/>
  <c r="H829" i="8"/>
  <c r="H828" i="8"/>
  <c r="H827" i="8"/>
  <c r="H823" i="8"/>
  <c r="H820" i="8"/>
  <c r="H819" i="8"/>
  <c r="H815" i="8"/>
  <c r="H814" i="8"/>
  <c r="H813" i="8"/>
  <c r="H809" i="8"/>
  <c r="H807" i="8"/>
  <c r="H806" i="8"/>
  <c r="H805" i="8"/>
  <c r="H804" i="8"/>
  <c r="H800" i="8"/>
  <c r="H799" i="8"/>
  <c r="H798" i="8"/>
  <c r="H796" i="8"/>
  <c r="AN764" i="8"/>
  <c r="AN762" i="8"/>
  <c r="AN761" i="8"/>
  <c r="AL743" i="8"/>
  <c r="AD780" i="8"/>
  <c r="AC779" i="8"/>
  <c r="AC778" i="8"/>
  <c r="AC776" i="8"/>
  <c r="AC774" i="8"/>
  <c r="AC773" i="8"/>
  <c r="AC772" i="8"/>
  <c r="AC768" i="8"/>
  <c r="S764" i="8"/>
  <c r="S762" i="8"/>
  <c r="S761" i="8"/>
  <c r="S752" i="8"/>
  <c r="Q751" i="8"/>
  <c r="Q748" i="8"/>
  <c r="Q742" i="8"/>
  <c r="Q740" i="8"/>
  <c r="G781" i="8"/>
  <c r="H778" i="8"/>
  <c r="H776" i="8"/>
  <c r="H774" i="8"/>
  <c r="H773" i="8"/>
  <c r="H772" i="8"/>
  <c r="H768" i="8"/>
  <c r="H767" i="8"/>
  <c r="H764" i="8"/>
  <c r="H758" i="8"/>
  <c r="H757" i="8"/>
  <c r="H752" i="8"/>
  <c r="H751" i="8"/>
  <c r="H750" i="8"/>
  <c r="H747" i="8"/>
  <c r="H746" i="8"/>
  <c r="H742" i="8"/>
  <c r="H740" i="8"/>
  <c r="AL689" i="8"/>
  <c r="AN708" i="8"/>
  <c r="AN706" i="8"/>
  <c r="AN705" i="8"/>
  <c r="AD724" i="8"/>
  <c r="AC709" i="8"/>
  <c r="AB709" i="8"/>
  <c r="AB708" i="8"/>
  <c r="S708" i="8"/>
  <c r="S706" i="8"/>
  <c r="S705" i="8"/>
  <c r="Q692" i="8"/>
  <c r="Q686" i="8"/>
  <c r="Q684" i="8"/>
  <c r="G725" i="8"/>
  <c r="H720" i="8"/>
  <c r="H713" i="8"/>
  <c r="H709" i="8"/>
  <c r="H708" i="8"/>
  <c r="H701" i="8"/>
  <c r="H698" i="8"/>
  <c r="H696" i="8"/>
  <c r="H695" i="8"/>
  <c r="H694" i="8"/>
  <c r="H690" i="8"/>
  <c r="AN652" i="8"/>
  <c r="AD668" i="8"/>
  <c r="AC664" i="8"/>
  <c r="AC662" i="8"/>
  <c r="AC661" i="8"/>
  <c r="AC660" i="8"/>
  <c r="S652" i="8"/>
  <c r="Q630" i="8"/>
  <c r="Q627" i="8"/>
  <c r="I668" i="8"/>
  <c r="G669" i="8"/>
  <c r="H664" i="8"/>
  <c r="H662" i="8"/>
  <c r="H661" i="8"/>
  <c r="H660" i="8"/>
  <c r="H656" i="8"/>
  <c r="H645" i="8"/>
  <c r="S596" i="8"/>
  <c r="S594" i="8"/>
  <c r="S593" i="8"/>
  <c r="Q588" i="8"/>
  <c r="Q587" i="8"/>
  <c r="Q585" i="8"/>
  <c r="Q572" i="8"/>
  <c r="I612" i="8"/>
  <c r="H605" i="8"/>
  <c r="H604" i="8"/>
  <c r="G600" i="8"/>
  <c r="H599" i="8"/>
  <c r="H596" i="8"/>
  <c r="H591" i="8"/>
  <c r="H589" i="8"/>
  <c r="H586" i="8"/>
  <c r="H583" i="8"/>
  <c r="H582" i="8"/>
  <c r="AN540" i="8"/>
  <c r="AN538" i="8"/>
  <c r="AN537" i="8"/>
  <c r="AL527" i="8"/>
  <c r="AL522" i="8"/>
  <c r="AL519" i="8"/>
  <c r="AL517" i="8"/>
  <c r="AD556" i="8"/>
  <c r="AB557" i="8"/>
  <c r="AC554" i="8"/>
  <c r="AC553" i="8"/>
  <c r="AC552" i="8"/>
  <c r="AC549" i="8"/>
  <c r="AC548" i="8"/>
  <c r="AC545" i="8"/>
  <c r="S540" i="8"/>
  <c r="S538" i="8"/>
  <c r="S537" i="8"/>
  <c r="S532" i="8"/>
  <c r="Q524" i="8"/>
  <c r="Q523" i="8"/>
  <c r="Q519" i="8"/>
  <c r="Q517" i="8"/>
  <c r="Q516" i="8"/>
  <c r="I556" i="8"/>
  <c r="H550" i="8"/>
  <c r="H548" i="8"/>
  <c r="H545" i="8"/>
  <c r="H544" i="8"/>
  <c r="H540" i="8"/>
  <c r="H534" i="8"/>
  <c r="H533" i="8"/>
  <c r="H530" i="8"/>
  <c r="H528" i="8"/>
  <c r="H527" i="8"/>
  <c r="H526" i="8"/>
  <c r="AN484" i="8"/>
  <c r="AN482" i="8"/>
  <c r="AN481" i="8"/>
  <c r="AL471" i="8"/>
  <c r="AL468" i="8"/>
  <c r="AL467" i="8"/>
  <c r="AL462" i="8"/>
  <c r="AD500" i="8"/>
  <c r="AC498" i="8"/>
  <c r="AC497" i="8"/>
  <c r="AC496" i="8"/>
  <c r="AC494" i="8"/>
  <c r="AC493" i="8"/>
  <c r="AC492" i="8"/>
  <c r="AC488" i="8"/>
  <c r="AC487" i="8"/>
  <c r="AC484" i="8"/>
  <c r="S484" i="8"/>
  <c r="S482" i="8"/>
  <c r="S481" i="8"/>
  <c r="Q476" i="8"/>
  <c r="Q475" i="8"/>
  <c r="Q473" i="8"/>
  <c r="Q471" i="8"/>
  <c r="Q468" i="8"/>
  <c r="Q460" i="8"/>
  <c r="I500" i="8"/>
  <c r="G501" i="8"/>
  <c r="H498" i="8"/>
  <c r="H496" i="8"/>
  <c r="H494" i="8"/>
  <c r="H493" i="8"/>
  <c r="H492" i="8"/>
  <c r="H488" i="8"/>
  <c r="H487" i="8"/>
  <c r="H485" i="8"/>
  <c r="H484" i="8"/>
  <c r="H483" i="8"/>
  <c r="H479" i="8"/>
  <c r="H478" i="8"/>
  <c r="H477" i="8"/>
  <c r="H473" i="8"/>
  <c r="H470" i="8"/>
  <c r="AN428" i="8"/>
  <c r="AN426" i="8"/>
  <c r="AN425" i="8"/>
  <c r="AL416" i="8"/>
  <c r="AL415" i="8"/>
  <c r="AL414" i="8"/>
  <c r="AL407" i="8"/>
  <c r="AD444" i="8"/>
  <c r="AC443" i="8"/>
  <c r="AC442" i="8"/>
  <c r="AC441" i="8"/>
  <c r="AC440" i="8"/>
  <c r="AC438" i="8"/>
  <c r="AC437" i="8"/>
  <c r="AC436" i="8"/>
  <c r="AC433" i="8"/>
  <c r="AC432" i="8"/>
  <c r="AC431" i="8"/>
  <c r="S428" i="8"/>
  <c r="S426" i="8"/>
  <c r="S425" i="8"/>
  <c r="S420" i="8"/>
  <c r="Q419" i="8"/>
  <c r="Q418" i="8"/>
  <c r="Q417" i="8"/>
  <c r="Q416" i="8"/>
  <c r="Q415" i="8"/>
  <c r="Q414" i="8"/>
  <c r="Q412" i="8"/>
  <c r="Q407" i="8"/>
  <c r="Q405" i="8"/>
  <c r="Q404" i="8"/>
  <c r="G445" i="8"/>
  <c r="G412" i="8"/>
  <c r="G411" i="8"/>
  <c r="AN372" i="8"/>
  <c r="AN370" i="8"/>
  <c r="AN369" i="8"/>
  <c r="AL359" i="8"/>
  <c r="AL355" i="8"/>
  <c r="AL353" i="8"/>
  <c r="AL351" i="8"/>
  <c r="AL350" i="8"/>
  <c r="AL349" i="8"/>
  <c r="AD388" i="8"/>
  <c r="AB389" i="8"/>
  <c r="AC387" i="8"/>
  <c r="AC386" i="8"/>
  <c r="AC384" i="8"/>
  <c r="AC382" i="8"/>
  <c r="AC381" i="8"/>
  <c r="AC380" i="8"/>
  <c r="AC377" i="8"/>
  <c r="S372" i="8"/>
  <c r="S370" i="8"/>
  <c r="S369" i="8"/>
  <c r="S364" i="8"/>
  <c r="Q355" i="8"/>
  <c r="Q353" i="8"/>
  <c r="Q351" i="8"/>
  <c r="Q350" i="8"/>
  <c r="Q349" i="8"/>
  <c r="Q348" i="8"/>
  <c r="I388" i="8"/>
  <c r="H382" i="8"/>
  <c r="H381" i="8"/>
  <c r="H380" i="8"/>
  <c r="H377" i="8"/>
  <c r="H376" i="8"/>
  <c r="H365" i="8"/>
  <c r="H361" i="8"/>
  <c r="G357" i="8"/>
  <c r="G356" i="8"/>
  <c r="AN316" i="8"/>
  <c r="AN314" i="8"/>
  <c r="AN313" i="8"/>
  <c r="AL303" i="8"/>
  <c r="AL294" i="8"/>
  <c r="AD332" i="8"/>
  <c r="AB333" i="8"/>
  <c r="AC331" i="8"/>
  <c r="AC330" i="8"/>
  <c r="AC328" i="8"/>
  <c r="AC326" i="8"/>
  <c r="AC325" i="8"/>
  <c r="AC324" i="8"/>
  <c r="AC320" i="8"/>
  <c r="AC318" i="8"/>
  <c r="S316" i="8"/>
  <c r="S314" i="8"/>
  <c r="S313" i="8"/>
  <c r="S304" i="8"/>
  <c r="Q303" i="8"/>
  <c r="Q300" i="8"/>
  <c r="Q299" i="8"/>
  <c r="Q295" i="8"/>
  <c r="Q294" i="8"/>
  <c r="Q292" i="8"/>
  <c r="I332" i="8"/>
  <c r="G333" i="8"/>
  <c r="H331" i="8"/>
  <c r="H330" i="8"/>
  <c r="H328" i="8"/>
  <c r="H326" i="8"/>
  <c r="H325" i="8"/>
  <c r="H324" i="8"/>
  <c r="H321" i="8"/>
  <c r="H320" i="8"/>
  <c r="H316" i="8"/>
  <c r="H315" i="8"/>
  <c r="H309" i="8"/>
  <c r="H303" i="8"/>
  <c r="H302" i="8"/>
  <c r="H299" i="8"/>
  <c r="H294" i="8"/>
  <c r="H292" i="8"/>
  <c r="AN260" i="8"/>
  <c r="AN258" i="8"/>
  <c r="AL247" i="8"/>
  <c r="AL245" i="8"/>
  <c r="AD276" i="8"/>
  <c r="AB277" i="8"/>
  <c r="AC275" i="8"/>
  <c r="AC274" i="8"/>
  <c r="AC272" i="8"/>
  <c r="AC270" i="8"/>
  <c r="AC269" i="8"/>
  <c r="AC268" i="8"/>
  <c r="AC264" i="8"/>
  <c r="S260" i="8"/>
  <c r="S258" i="8"/>
  <c r="S257" i="8"/>
  <c r="H270" i="8"/>
  <c r="H269" i="8"/>
  <c r="H268" i="8"/>
  <c r="H264" i="8"/>
  <c r="H263" i="8"/>
  <c r="H261" i="8"/>
  <c r="H253" i="8"/>
  <c r="H246" i="8"/>
  <c r="AN204" i="8"/>
  <c r="AN202" i="8"/>
  <c r="AN201" i="8"/>
  <c r="AL196" i="8"/>
  <c r="AL191" i="8"/>
  <c r="AL190" i="8"/>
  <c r="AL189" i="8"/>
  <c r="AL188" i="8"/>
  <c r="AL186" i="8"/>
  <c r="AL181" i="8" l="1"/>
  <c r="S252" i="8"/>
  <c r="Q251" i="8"/>
  <c r="Q250" i="8"/>
  <c r="Q249" i="8"/>
  <c r="Q248" i="8"/>
  <c r="Q245" i="8"/>
  <c r="Q244" i="8"/>
  <c r="Q239" i="8"/>
  <c r="Q238" i="8"/>
  <c r="Q236" i="8"/>
  <c r="AD220" i="8"/>
  <c r="AB221" i="8"/>
  <c r="AC218" i="8"/>
  <c r="AC216" i="8"/>
  <c r="AC214" i="8"/>
  <c r="AC213" i="8"/>
  <c r="AC212" i="8"/>
  <c r="AC209" i="8"/>
  <c r="AC208" i="8"/>
  <c r="AC207" i="8"/>
  <c r="AC205" i="8"/>
  <c r="S204" i="8"/>
  <c r="S202" i="8"/>
  <c r="S201" i="8"/>
  <c r="S196" i="8"/>
  <c r="Q195" i="8"/>
  <c r="Q194" i="8"/>
  <c r="Q193" i="8"/>
  <c r="Q192" i="8"/>
  <c r="Q191" i="8"/>
  <c r="Q190" i="8"/>
  <c r="Q189" i="8"/>
  <c r="Q188" i="8"/>
  <c r="Q187" i="8"/>
  <c r="Q185" i="8"/>
  <c r="Q182" i="8"/>
  <c r="Q180" i="8"/>
  <c r="Q179" i="8"/>
  <c r="G221" i="8"/>
  <c r="H219" i="8"/>
  <c r="H218" i="8"/>
  <c r="H217" i="8"/>
  <c r="H216" i="8"/>
  <c r="H214" i="8"/>
  <c r="H213" i="8"/>
  <c r="H212" i="8"/>
  <c r="H209" i="8"/>
  <c r="H208" i="8"/>
  <c r="H207" i="8"/>
  <c r="H205" i="8"/>
  <c r="H204" i="8"/>
  <c r="H203" i="8"/>
  <c r="H199" i="8"/>
  <c r="H198" i="8"/>
  <c r="H197" i="8"/>
  <c r="H191" i="8"/>
  <c r="H190" i="8"/>
  <c r="H187" i="8"/>
  <c r="H186" i="8"/>
  <c r="H184" i="8"/>
  <c r="H183" i="8"/>
  <c r="AN148" i="8"/>
  <c r="AN146" i="8"/>
  <c r="AN145" i="8"/>
  <c r="AL136" i="8"/>
  <c r="AL135" i="8"/>
  <c r="AL78" i="8"/>
  <c r="AB165" i="8" l="1"/>
  <c r="AC163" i="8"/>
  <c r="AC162" i="8"/>
  <c r="AC161" i="8"/>
  <c r="AC160" i="8"/>
  <c r="AC156" i="8"/>
  <c r="AC152" i="8"/>
  <c r="AC149" i="8"/>
  <c r="S148" i="8"/>
  <c r="S146" i="8"/>
  <c r="S145" i="8"/>
  <c r="Q132" i="8"/>
  <c r="Q131" i="8"/>
  <c r="Q127" i="8"/>
  <c r="Q124" i="8"/>
  <c r="I164" i="8"/>
  <c r="H157" i="8"/>
  <c r="H156" i="8"/>
  <c r="H153" i="8"/>
  <c r="H151" i="8"/>
  <c r="H149" i="8"/>
  <c r="H148" i="8"/>
  <c r="H141" i="8"/>
  <c r="H138" i="8"/>
  <c r="H136" i="8"/>
  <c r="H135" i="8"/>
  <c r="H134" i="8"/>
  <c r="AN92" i="8"/>
  <c r="AN90" i="8"/>
  <c r="AL80" i="8"/>
  <c r="AL79" i="8"/>
  <c r="AL71" i="8"/>
  <c r="AB109" i="8"/>
  <c r="AC107" i="8"/>
  <c r="AC106" i="8"/>
  <c r="AC105" i="8"/>
  <c r="AC104" i="8"/>
  <c r="AC102" i="8"/>
  <c r="AC101" i="8"/>
  <c r="AC100" i="8"/>
  <c r="AC96" i="8"/>
  <c r="AC95" i="8"/>
  <c r="AC93" i="8"/>
  <c r="AC92" i="8"/>
  <c r="AC88" i="8"/>
  <c r="AC82" i="8"/>
  <c r="S92" i="8"/>
  <c r="S90" i="8"/>
  <c r="S89" i="8"/>
  <c r="Q81" i="8"/>
  <c r="Q80" i="8"/>
  <c r="Q79" i="8"/>
  <c r="Q78" i="8"/>
  <c r="Q71" i="8"/>
  <c r="Q69" i="8"/>
  <c r="Q68" i="8"/>
  <c r="Q67" i="8"/>
  <c r="H100" i="8"/>
  <c r="H98" i="8"/>
  <c r="H97" i="8"/>
  <c r="H96" i="8"/>
  <c r="H95" i="8"/>
  <c r="H94" i="8"/>
  <c r="H93" i="8"/>
  <c r="H92" i="8"/>
  <c r="H91" i="8"/>
  <c r="H90" i="8"/>
  <c r="H89" i="8"/>
  <c r="H88" i="8"/>
  <c r="H86" i="8"/>
  <c r="H85" i="8"/>
  <c r="H83" i="8"/>
  <c r="H82" i="8"/>
  <c r="H81" i="8"/>
  <c r="H80" i="8"/>
  <c r="H79" i="8"/>
  <c r="H78" i="8"/>
  <c r="H77" i="8"/>
  <c r="H75" i="8"/>
  <c r="G67" i="8"/>
  <c r="AN34" i="8"/>
  <c r="AN33" i="8"/>
  <c r="AL24" i="8"/>
  <c r="S36" i="8"/>
  <c r="S34" i="8"/>
  <c r="S33" i="8"/>
  <c r="Q26" i="8"/>
  <c r="Q19" i="8"/>
  <c r="Q11" i="8"/>
  <c r="AL1088" i="8" l="1"/>
  <c r="AN522" i="8" l="1"/>
  <c r="AN521" i="8"/>
  <c r="G917" i="8" l="1"/>
  <c r="G916" i="8"/>
  <c r="AB445" i="8" l="1"/>
  <c r="G87" i="8"/>
  <c r="AD88" i="8" l="1"/>
  <c r="AC1090" i="8" l="1"/>
  <c r="AC1045" i="8"/>
  <c r="AC989" i="8"/>
  <c r="AC921" i="8"/>
  <c r="AC876" i="8"/>
  <c r="AC809" i="8"/>
  <c r="AC764" i="8"/>
  <c r="AC708" i="8"/>
  <c r="AC656" i="8"/>
  <c r="AC544" i="8" l="1"/>
  <c r="AC478" i="8"/>
  <c r="AC427" i="8"/>
  <c r="AC376" i="8"/>
  <c r="AC316" i="8"/>
  <c r="AC263" i="8"/>
  <c r="AC204" i="8"/>
  <c r="AC148" i="8"/>
  <c r="AC81" i="8"/>
  <c r="AM519" i="8" l="1"/>
  <c r="AM517" i="8"/>
  <c r="AM471" i="8"/>
  <c r="AM468" i="8"/>
  <c r="AM462" i="8"/>
  <c r="AM416" i="8"/>
  <c r="AM415" i="8"/>
  <c r="AM414" i="8"/>
  <c r="AM407" i="8"/>
  <c r="AM355" i="8"/>
  <c r="AM353" i="8"/>
  <c r="AM351" i="8"/>
  <c r="AM188" i="8"/>
  <c r="AM181" i="8"/>
  <c r="H1087" i="8"/>
  <c r="H1062" i="8"/>
  <c r="H1020" i="8"/>
  <c r="H971" i="8"/>
  <c r="H949" i="8"/>
  <c r="H948" i="8"/>
  <c r="H918" i="8"/>
  <c r="H917" i="8"/>
  <c r="H916" i="8"/>
  <c r="H858" i="8"/>
  <c r="H795" i="8"/>
  <c r="H781" i="8"/>
  <c r="H739" i="8"/>
  <c r="H725" i="8"/>
  <c r="H684" i="8"/>
  <c r="H669" i="8"/>
  <c r="H634" i="8"/>
  <c r="H600" i="8"/>
  <c r="H579" i="8"/>
  <c r="H522" i="8"/>
  <c r="H501" i="8"/>
  <c r="H467" i="8"/>
  <c r="H445" i="8"/>
  <c r="H412" i="8"/>
  <c r="H411" i="8"/>
  <c r="H359" i="8"/>
  <c r="H357" i="8"/>
  <c r="H356" i="8"/>
  <c r="H333" i="8"/>
  <c r="H291" i="8"/>
  <c r="H242" i="8"/>
  <c r="H221" i="8"/>
  <c r="H182" i="8"/>
  <c r="H130" i="8"/>
  <c r="H87" i="8"/>
  <c r="H74" i="8"/>
  <c r="H67" i="8"/>
  <c r="H64" i="38" l="1"/>
  <c r="H63" i="38"/>
  <c r="G64" i="38"/>
  <c r="G63" i="38"/>
  <c r="F64" i="38"/>
  <c r="F63" i="38"/>
  <c r="AG400" i="10" l="1"/>
  <c r="AE416" i="10"/>
  <c r="AE388" i="10"/>
  <c r="AE414" i="10"/>
  <c r="AE421" i="10"/>
  <c r="AE385" i="10"/>
  <c r="AE405" i="10"/>
  <c r="AE392" i="10"/>
  <c r="AE393" i="10"/>
  <c r="AE402" i="10"/>
  <c r="AE411" i="10"/>
  <c r="AE396" i="10"/>
  <c r="AF396" i="10" s="1"/>
  <c r="AE418" i="10"/>
  <c r="AE389" i="10"/>
  <c r="AE401" i="10"/>
  <c r="AE409" i="10"/>
  <c r="AE419" i="10"/>
  <c r="AE408" i="10"/>
  <c r="AE422" i="10"/>
  <c r="AE386" i="10"/>
  <c r="AE394" i="10"/>
  <c r="AE406" i="10"/>
  <c r="AE383" i="10"/>
  <c r="AE391" i="10"/>
  <c r="AE399" i="10"/>
  <c r="AE407" i="10"/>
  <c r="AE412" i="10"/>
  <c r="AE420" i="10"/>
  <c r="AE400" i="10"/>
  <c r="AE417" i="10"/>
  <c r="AE384" i="10"/>
  <c r="AE397" i="10"/>
  <c r="AF397" i="10" s="1"/>
  <c r="AE415" i="10"/>
  <c r="AE390" i="10"/>
  <c r="AE410" i="10"/>
  <c r="AE387" i="10"/>
  <c r="AE395" i="10"/>
  <c r="AE403" i="10"/>
  <c r="AE369" i="10"/>
  <c r="AE365" i="10"/>
  <c r="AE361" i="10"/>
  <c r="AE356" i="10"/>
  <c r="AE352" i="10"/>
  <c r="AE347" i="10"/>
  <c r="AE342" i="10"/>
  <c r="AE338" i="10"/>
  <c r="AE334" i="10"/>
  <c r="AE330" i="10"/>
  <c r="AE366" i="10"/>
  <c r="AE362" i="10"/>
  <c r="AE357" i="10"/>
  <c r="AE353" i="10"/>
  <c r="AE348" i="10"/>
  <c r="AE343" i="10"/>
  <c r="AF343" i="10" s="1"/>
  <c r="AE339" i="10"/>
  <c r="AE335" i="10"/>
  <c r="AE367" i="10"/>
  <c r="AE363" i="10"/>
  <c r="AE358" i="10"/>
  <c r="AE354" i="10"/>
  <c r="AE349" i="10"/>
  <c r="AE344" i="10"/>
  <c r="AF344" i="10" s="1"/>
  <c r="AE340" i="10"/>
  <c r="AE336" i="10"/>
  <c r="AE332" i="10"/>
  <c r="AE341" i="10"/>
  <c r="AE337" i="10"/>
  <c r="AE333" i="10"/>
  <c r="AE331" i="10"/>
  <c r="AE368" i="10"/>
  <c r="AE364" i="10"/>
  <c r="AE359" i="10"/>
  <c r="AE355" i="10"/>
  <c r="AE350" i="10"/>
  <c r="AE346" i="10"/>
  <c r="AG366" i="10"/>
  <c r="AG362" i="10"/>
  <c r="AG357" i="10"/>
  <c r="AG353" i="10"/>
  <c r="AG348" i="10"/>
  <c r="AG343" i="10"/>
  <c r="AH343" i="10" s="1"/>
  <c r="AG339" i="10"/>
  <c r="AG335" i="10"/>
  <c r="AG331" i="10"/>
  <c r="AG367" i="10"/>
  <c r="AG363" i="10"/>
  <c r="AG358" i="10"/>
  <c r="AG354" i="10"/>
  <c r="AG349" i="10"/>
  <c r="AG344" i="10"/>
  <c r="AH344" i="10" s="1"/>
  <c r="AG340" i="10"/>
  <c r="AG336" i="10"/>
  <c r="AG332" i="10"/>
  <c r="AG368" i="10"/>
  <c r="AG364" i="10"/>
  <c r="AG359" i="10"/>
  <c r="AG355" i="10"/>
  <c r="AG350" i="10"/>
  <c r="AG346" i="10"/>
  <c r="AG341" i="10"/>
  <c r="AG337" i="10"/>
  <c r="AG333" i="10"/>
  <c r="AG347" i="10"/>
  <c r="AG338" i="10"/>
  <c r="AG334" i="10"/>
  <c r="AG369" i="10"/>
  <c r="AG365" i="10"/>
  <c r="AG361" i="10"/>
  <c r="AG356" i="10"/>
  <c r="AG352" i="10"/>
  <c r="AG342" i="10"/>
  <c r="AG330" i="10"/>
  <c r="AC356" i="10" l="1"/>
  <c r="AD356" i="10" s="1"/>
  <c r="AC369" i="10"/>
  <c r="AD369" i="10" s="1"/>
  <c r="AC344" i="10"/>
  <c r="AD344" i="10" s="1"/>
  <c r="AC335" i="10"/>
  <c r="AD335" i="10" s="1"/>
  <c r="AG405" i="10"/>
  <c r="AG408" i="10"/>
  <c r="AG384" i="10"/>
  <c r="AG389" i="10"/>
  <c r="AG392" i="10"/>
  <c r="AG410" i="10"/>
  <c r="AG406" i="10"/>
  <c r="AG420" i="10"/>
  <c r="AC330" i="10"/>
  <c r="AD330" i="10" s="1"/>
  <c r="AC357" i="10"/>
  <c r="AD357" i="10" s="1"/>
  <c r="AC350" i="10"/>
  <c r="AD350" i="10" s="1"/>
  <c r="AC349" i="10"/>
  <c r="AD349" i="10" s="1"/>
  <c r="AC334" i="10"/>
  <c r="AD334" i="10" s="1"/>
  <c r="AC358" i="10"/>
  <c r="AD358" i="10" s="1"/>
  <c r="AC339" i="10"/>
  <c r="AD339" i="10" s="1"/>
  <c r="AC338" i="10"/>
  <c r="AD338" i="10" s="1"/>
  <c r="AC333" i="10"/>
  <c r="AD333" i="10" s="1"/>
  <c r="AC368" i="10"/>
  <c r="AD368" i="10" s="1"/>
  <c r="AC364" i="10"/>
  <c r="AD364" i="10" s="1"/>
  <c r="AC332" i="10"/>
  <c r="AD332" i="10" s="1"/>
  <c r="AC353" i="10"/>
  <c r="AD353" i="10" s="1"/>
  <c r="AC352" i="10"/>
  <c r="AD352" i="10" s="1"/>
  <c r="AC346" i="10"/>
  <c r="AD346" i="10" s="1"/>
  <c r="AC336" i="10"/>
  <c r="AD336" i="10" s="1"/>
  <c r="AC363" i="10"/>
  <c r="AD363" i="10" s="1"/>
  <c r="AC354" i="10"/>
  <c r="AD354" i="10" s="1"/>
  <c r="AC343" i="10"/>
  <c r="AD343" i="10" s="1"/>
  <c r="AC362" i="10"/>
  <c r="AD362" i="10" s="1"/>
  <c r="AC342" i="10"/>
  <c r="AD342" i="10" s="1"/>
  <c r="AC361" i="10"/>
  <c r="AD361" i="10" s="1"/>
  <c r="AC337" i="10"/>
  <c r="AD337" i="10" s="1"/>
  <c r="AC355" i="10"/>
  <c r="AD355" i="10" s="1"/>
  <c r="AC340" i="10"/>
  <c r="AD340" i="10" s="1"/>
  <c r="AC367" i="10"/>
  <c r="AD367" i="10" s="1"/>
  <c r="AC331" i="10"/>
  <c r="AD331" i="10" s="1"/>
  <c r="AC348" i="10"/>
  <c r="AD348" i="10" s="1"/>
  <c r="AC366" i="10"/>
  <c r="AD366" i="10" s="1"/>
  <c r="AC347" i="10"/>
  <c r="AD347" i="10" s="1"/>
  <c r="AC365" i="10"/>
  <c r="AD365" i="10" s="1"/>
  <c r="AC341" i="10"/>
  <c r="AD341" i="10" s="1"/>
  <c r="AC359" i="10"/>
  <c r="AD359" i="10" s="1"/>
  <c r="AG399" i="10"/>
  <c r="AG411" i="10"/>
  <c r="AG416" i="10"/>
  <c r="AG387" i="10"/>
  <c r="AG393" i="10"/>
  <c r="AG412" i="10"/>
  <c r="AG419" i="10"/>
  <c r="AG407" i="10"/>
  <c r="AG395" i="10"/>
  <c r="AG385" i="10"/>
  <c r="AG386" i="10"/>
  <c r="AG396" i="10"/>
  <c r="AH396" i="10" s="1"/>
  <c r="AG417" i="10"/>
  <c r="AG403" i="10"/>
  <c r="AG397" i="10"/>
  <c r="AH397" i="10" s="1"/>
  <c r="AG383" i="10"/>
  <c r="AG401" i="10"/>
  <c r="AG421" i="10"/>
  <c r="AG394" i="10"/>
  <c r="AG418" i="10"/>
  <c r="AG390" i="10"/>
  <c r="AG409" i="10"/>
  <c r="AG414" i="10"/>
  <c r="AG391" i="10"/>
  <c r="AG402" i="10"/>
  <c r="AG388" i="10"/>
  <c r="AG422" i="10"/>
  <c r="AG415" i="10"/>
  <c r="AE423" i="10"/>
  <c r="AG370" i="10"/>
  <c r="AE370" i="10"/>
  <c r="AD370" i="10" l="1"/>
  <c r="AC370" i="10"/>
  <c r="AG423" i="10"/>
  <c r="AC414" i="10"/>
  <c r="AD414" i="10" s="1"/>
  <c r="AC415" i="10"/>
  <c r="AD415" i="10" s="1"/>
  <c r="AC383" i="10"/>
  <c r="AC407" i="10"/>
  <c r="AD407" i="10" s="1"/>
  <c r="AC416" i="10"/>
  <c r="AD416" i="10" s="1"/>
  <c r="AC399" i="10"/>
  <c r="AD399" i="10" s="1"/>
  <c r="AC405" i="10"/>
  <c r="AD405" i="10" s="1"/>
  <c r="AC410" i="10"/>
  <c r="AD410" i="10" s="1"/>
  <c r="AC386" i="10"/>
  <c r="AD386" i="10" s="1"/>
  <c r="AC422" i="10"/>
  <c r="AD422" i="10" s="1"/>
  <c r="AC388" i="10"/>
  <c r="AD388" i="10" s="1"/>
  <c r="AC393" i="10"/>
  <c r="AD393" i="10" s="1"/>
  <c r="AC389" i="10"/>
  <c r="AD389" i="10" s="1"/>
  <c r="AC418" i="10"/>
  <c r="AD418" i="10" s="1"/>
  <c r="AC392" i="10"/>
  <c r="AD392" i="10" s="1"/>
  <c r="AC395" i="10"/>
  <c r="AD395" i="10" s="1"/>
  <c r="AC406" i="10"/>
  <c r="AD406" i="10" s="1"/>
  <c r="AC412" i="10"/>
  <c r="AD412" i="10" s="1"/>
  <c r="AC402" i="10"/>
  <c r="AD402" i="10" s="1"/>
  <c r="AC384" i="10"/>
  <c r="AD384" i="10" s="1"/>
  <c r="AC419" i="10"/>
  <c r="AD419" i="10" s="1"/>
  <c r="AC391" i="10"/>
  <c r="AD391" i="10" s="1"/>
  <c r="AC421" i="10"/>
  <c r="AD421" i="10" s="1"/>
  <c r="AC403" i="10"/>
  <c r="AD403" i="10" s="1"/>
  <c r="AC409" i="10"/>
  <c r="AD409" i="10" s="1"/>
  <c r="AC411" i="10"/>
  <c r="AD411" i="10" s="1"/>
  <c r="AC400" i="10"/>
  <c r="AD400" i="10" s="1"/>
  <c r="AC396" i="10"/>
  <c r="AD396" i="10" s="1"/>
  <c r="AC397" i="10"/>
  <c r="AD397" i="10" s="1"/>
  <c r="AC387" i="10"/>
  <c r="AD387" i="10" s="1"/>
  <c r="AC394" i="10"/>
  <c r="AD394" i="10" s="1"/>
  <c r="AC420" i="10"/>
  <c r="AD420" i="10" s="1"/>
  <c r="AC385" i="10"/>
  <c r="AD385" i="10" s="1"/>
  <c r="AC390" i="10"/>
  <c r="AD390" i="10" s="1"/>
  <c r="AC408" i="10"/>
  <c r="AD408" i="10" s="1"/>
  <c r="AC401" i="10"/>
  <c r="AD401" i="10" s="1"/>
  <c r="AC417" i="10"/>
  <c r="AD417" i="10" s="1"/>
  <c r="AC423" i="10" l="1"/>
  <c r="AD383" i="10"/>
  <c r="AD423" i="10" s="1"/>
  <c r="AL1085" i="8" l="1"/>
  <c r="AL1084" i="8"/>
  <c r="AL1083" i="8"/>
  <c r="AL1081" i="8"/>
  <c r="AL1087" i="8"/>
  <c r="AL1082" i="8"/>
  <c r="AL1080" i="8"/>
  <c r="AL1079" i="8"/>
  <c r="AL1078" i="8"/>
  <c r="AL1027" i="8"/>
  <c r="AL1026" i="8"/>
  <c r="AL1025" i="8"/>
  <c r="AL1022" i="8"/>
  <c r="AL1029" i="8"/>
  <c r="AL1024" i="8"/>
  <c r="AB1062" i="8"/>
  <c r="AL971" i="8"/>
  <c r="AL970" i="8"/>
  <c r="AL969" i="8"/>
  <c r="AL968" i="8"/>
  <c r="AL967" i="8"/>
  <c r="AL966" i="8"/>
  <c r="AL914" i="8"/>
  <c r="AL913" i="8"/>
  <c r="AL912" i="8"/>
  <c r="AL911" i="8"/>
  <c r="AL916" i="8"/>
  <c r="AL910" i="8"/>
  <c r="AL909" i="8"/>
  <c r="AB949" i="8"/>
  <c r="AL853" i="8"/>
  <c r="AL807" i="8"/>
  <c r="AL806" i="8"/>
  <c r="AL801" i="8"/>
  <c r="AL800" i="8"/>
  <c r="AL799" i="8"/>
  <c r="AL798" i="8"/>
  <c r="AL797" i="8"/>
  <c r="AL746" i="8"/>
  <c r="AL745" i="8"/>
  <c r="AL742" i="8"/>
  <c r="AL751" i="8"/>
  <c r="AB781" i="8"/>
  <c r="AL687" i="8"/>
  <c r="AL686" i="8"/>
  <c r="AL685" i="8"/>
  <c r="AB725" i="8"/>
  <c r="AL635" i="8"/>
  <c r="AL633" i="8"/>
  <c r="AL632" i="8"/>
  <c r="AL631" i="8"/>
  <c r="AB669" i="8"/>
  <c r="AL630" i="8"/>
  <c r="AB501" i="8"/>
  <c r="H10" i="38" l="1"/>
  <c r="H11" i="38"/>
  <c r="H12" i="38"/>
  <c r="H13" i="38"/>
  <c r="H14" i="38"/>
  <c r="H15" i="38"/>
  <c r="H16" i="38"/>
  <c r="H17" i="38"/>
  <c r="H18" i="38"/>
  <c r="H20" i="38"/>
  <c r="H21" i="38"/>
  <c r="H22" i="38"/>
  <c r="H23" i="38"/>
  <c r="H25" i="38"/>
  <c r="H24" i="38" s="1"/>
  <c r="H27" i="38"/>
  <c r="H26" i="38" s="1"/>
  <c r="H29" i="38"/>
  <c r="H30" i="38"/>
  <c r="H31" i="38"/>
  <c r="F32" i="38"/>
  <c r="H34" i="38"/>
  <c r="H37" i="38"/>
  <c r="H38" i="38"/>
  <c r="H39" i="38"/>
  <c r="H40" i="38"/>
  <c r="H41" i="38"/>
  <c r="H42" i="38"/>
  <c r="H43" i="38"/>
  <c r="F57" i="38"/>
  <c r="G57" i="38"/>
  <c r="H57" i="38"/>
  <c r="F58" i="38"/>
  <c r="G58" i="38"/>
  <c r="H58" i="38"/>
  <c r="F59" i="38"/>
  <c r="G59" i="38"/>
  <c r="H59" i="38"/>
  <c r="F60" i="38"/>
  <c r="G60" i="38"/>
  <c r="H60" i="38"/>
  <c r="F61" i="38"/>
  <c r="G61" i="38"/>
  <c r="H61" i="38"/>
  <c r="F62" i="38"/>
  <c r="G62" i="38"/>
  <c r="I10" i="8"/>
  <c r="AD10" i="8"/>
  <c r="S11" i="8"/>
  <c r="S12" i="8"/>
  <c r="AN12" i="8"/>
  <c r="I13" i="8"/>
  <c r="S13" i="8"/>
  <c r="AD13" i="8"/>
  <c r="AN13" i="8"/>
  <c r="S14" i="8"/>
  <c r="AN14" i="8"/>
  <c r="S15" i="8"/>
  <c r="AN15" i="8"/>
  <c r="S16" i="8"/>
  <c r="AN16" i="8"/>
  <c r="S17" i="8"/>
  <c r="AN17" i="8"/>
  <c r="I18" i="8"/>
  <c r="S18" i="8"/>
  <c r="AN18" i="8"/>
  <c r="I19" i="8"/>
  <c r="S19" i="8"/>
  <c r="AD19" i="8"/>
  <c r="AD17" i="8" s="1"/>
  <c r="I20" i="8"/>
  <c r="S20" i="8"/>
  <c r="AN20" i="8"/>
  <c r="I21" i="8"/>
  <c r="S21" i="8"/>
  <c r="AN21" i="8"/>
  <c r="I22" i="8"/>
  <c r="S22" i="8"/>
  <c r="AN22" i="8"/>
  <c r="I23" i="8"/>
  <c r="S23" i="8"/>
  <c r="I24" i="8"/>
  <c r="S24" i="8"/>
  <c r="AN24" i="8"/>
  <c r="I25" i="8"/>
  <c r="S25" i="8"/>
  <c r="I26" i="8"/>
  <c r="S26" i="8"/>
  <c r="AN26" i="8"/>
  <c r="I27" i="8"/>
  <c r="S27" i="8"/>
  <c r="AN27" i="8"/>
  <c r="I29" i="8"/>
  <c r="I30" i="8"/>
  <c r="I31" i="8"/>
  <c r="I32" i="8"/>
  <c r="I33" i="8"/>
  <c r="I34" i="8"/>
  <c r="I35" i="8"/>
  <c r="I36" i="8"/>
  <c r="I37" i="8"/>
  <c r="I38" i="8"/>
  <c r="AD38" i="8"/>
  <c r="I39" i="8"/>
  <c r="I40" i="8"/>
  <c r="AD40" i="8"/>
  <c r="I41" i="8"/>
  <c r="AD41" i="8"/>
  <c r="I42" i="8"/>
  <c r="AD42" i="8"/>
  <c r="I43" i="8"/>
  <c r="AD43" i="8"/>
  <c r="I44" i="8"/>
  <c r="AD44" i="8"/>
  <c r="I45" i="8"/>
  <c r="I46" i="8"/>
  <c r="AD46" i="8"/>
  <c r="I48" i="8"/>
  <c r="AD48" i="8"/>
  <c r="I49" i="8"/>
  <c r="AD49" i="8"/>
  <c r="I50" i="8"/>
  <c r="AD50" i="8"/>
  <c r="I51" i="8"/>
  <c r="AD51" i="8"/>
  <c r="I52" i="8"/>
  <c r="AD52" i="8"/>
  <c r="E54" i="8"/>
  <c r="Z54" i="8"/>
  <c r="I67" i="8"/>
  <c r="I66" i="8" s="1"/>
  <c r="S67" i="8"/>
  <c r="S68" i="8"/>
  <c r="AD68" i="8"/>
  <c r="AD66" i="8" s="1"/>
  <c r="AN68" i="8"/>
  <c r="I69" i="8"/>
  <c r="S69" i="8"/>
  <c r="AD69" i="8"/>
  <c r="AN69" i="8"/>
  <c r="S70" i="8"/>
  <c r="AN70" i="8"/>
  <c r="S71" i="8"/>
  <c r="AN71" i="8"/>
  <c r="S72" i="8"/>
  <c r="AN72" i="8"/>
  <c r="S73" i="8"/>
  <c r="AN73" i="8"/>
  <c r="I74" i="8"/>
  <c r="S74" i="8"/>
  <c r="AN74" i="8"/>
  <c r="I75" i="8"/>
  <c r="S75" i="8"/>
  <c r="AD75" i="8"/>
  <c r="I76" i="8"/>
  <c r="S76" i="8"/>
  <c r="AN76" i="8"/>
  <c r="I77" i="8"/>
  <c r="S77" i="8"/>
  <c r="AN77" i="8"/>
  <c r="I78" i="8"/>
  <c r="S78" i="8"/>
  <c r="AN78" i="8"/>
  <c r="I79" i="8"/>
  <c r="S79" i="8"/>
  <c r="AD79" i="8"/>
  <c r="AN79" i="8"/>
  <c r="I80" i="8"/>
  <c r="S80" i="8"/>
  <c r="AN80" i="8"/>
  <c r="I81" i="8"/>
  <c r="S81" i="8"/>
  <c r="AD81" i="8"/>
  <c r="AN81" i="8"/>
  <c r="I82" i="8"/>
  <c r="S82" i="8"/>
  <c r="AD82" i="8"/>
  <c r="AN82" i="8"/>
  <c r="I83" i="8"/>
  <c r="S83" i="8"/>
  <c r="AN83" i="8"/>
  <c r="S84" i="8"/>
  <c r="I85" i="8"/>
  <c r="I86" i="8"/>
  <c r="I87" i="8"/>
  <c r="AD87" i="8"/>
  <c r="I88" i="8"/>
  <c r="I89" i="8"/>
  <c r="I90" i="8"/>
  <c r="I91" i="8"/>
  <c r="I92" i="8"/>
  <c r="AD92" i="8"/>
  <c r="I93" i="8"/>
  <c r="AD93" i="8"/>
  <c r="I94" i="8"/>
  <c r="I95" i="8"/>
  <c r="AD95" i="8"/>
  <c r="I96" i="8"/>
  <c r="AD96" i="8"/>
  <c r="I97" i="8"/>
  <c r="AD97" i="8"/>
  <c r="I98" i="8"/>
  <c r="AD98" i="8"/>
  <c r="I99" i="8"/>
  <c r="AD99" i="8"/>
  <c r="I100" i="8"/>
  <c r="AD100" i="8"/>
  <c r="I101" i="8"/>
  <c r="AD101" i="8"/>
  <c r="I102" i="8"/>
  <c r="AD102" i="8"/>
  <c r="I104" i="8"/>
  <c r="AD104" i="8"/>
  <c r="I105" i="8"/>
  <c r="AD105" i="8"/>
  <c r="I106" i="8"/>
  <c r="AD106" i="8"/>
  <c r="I107" i="8"/>
  <c r="AD107" i="8"/>
  <c r="I109" i="8"/>
  <c r="AD109" i="8"/>
  <c r="E110" i="8"/>
  <c r="Z110" i="8"/>
  <c r="I122" i="8"/>
  <c r="S123" i="8"/>
  <c r="S124" i="8"/>
  <c r="AD124" i="8"/>
  <c r="AD122" i="8" s="1"/>
  <c r="AN124" i="8"/>
  <c r="I125" i="8"/>
  <c r="S125" i="8"/>
  <c r="AD125" i="8"/>
  <c r="AN125" i="8"/>
  <c r="S126" i="8"/>
  <c r="S127" i="8"/>
  <c r="S128" i="8"/>
  <c r="AN128" i="8"/>
  <c r="S129" i="8"/>
  <c r="AN129" i="8"/>
  <c r="I130" i="8"/>
  <c r="S130" i="8"/>
  <c r="AN130" i="8"/>
  <c r="I131" i="8"/>
  <c r="S131" i="8"/>
  <c r="AD131" i="8"/>
  <c r="I132" i="8"/>
  <c r="S132" i="8"/>
  <c r="AN132" i="8"/>
  <c r="I133" i="8"/>
  <c r="S133" i="8"/>
  <c r="AN133" i="8"/>
  <c r="I134" i="8"/>
  <c r="S134" i="8"/>
  <c r="AN134" i="8"/>
  <c r="I135" i="8"/>
  <c r="S135" i="8"/>
  <c r="AD135" i="8"/>
  <c r="AN135" i="8"/>
  <c r="I136" i="8"/>
  <c r="S136" i="8"/>
  <c r="AN136" i="8"/>
  <c r="I137" i="8"/>
  <c r="S137" i="8"/>
  <c r="AD137" i="8"/>
  <c r="AN137" i="8"/>
  <c r="I138" i="8"/>
  <c r="S138" i="8"/>
  <c r="AD138" i="8"/>
  <c r="AN138" i="8"/>
  <c r="I139" i="8"/>
  <c r="S139" i="8"/>
  <c r="AN139" i="8"/>
  <c r="S140" i="8"/>
  <c r="I141" i="8"/>
  <c r="I142" i="8"/>
  <c r="I143" i="8"/>
  <c r="AD143" i="8"/>
  <c r="I144" i="8"/>
  <c r="I145" i="8"/>
  <c r="I146" i="8"/>
  <c r="I147" i="8"/>
  <c r="I148" i="8"/>
  <c r="AD148" i="8"/>
  <c r="I149" i="8"/>
  <c r="AD149" i="8"/>
  <c r="I150" i="8"/>
  <c r="I151" i="8"/>
  <c r="I152" i="8"/>
  <c r="AD152" i="8"/>
  <c r="I153" i="8"/>
  <c r="AD153" i="8"/>
  <c r="I154" i="8"/>
  <c r="AD154" i="8"/>
  <c r="I155" i="8"/>
  <c r="AD155" i="8"/>
  <c r="I156" i="8"/>
  <c r="AD156" i="8"/>
  <c r="I157" i="8"/>
  <c r="AD157" i="8"/>
  <c r="I158" i="8"/>
  <c r="AD158" i="8"/>
  <c r="I160" i="8"/>
  <c r="AD160" i="8"/>
  <c r="I161" i="8"/>
  <c r="AD161" i="8"/>
  <c r="I162" i="8"/>
  <c r="AD162" i="8"/>
  <c r="I163" i="8"/>
  <c r="AD163" i="8"/>
  <c r="I165" i="8"/>
  <c r="AD165" i="8"/>
  <c r="E166" i="8"/>
  <c r="Z166" i="8"/>
  <c r="I178" i="8"/>
  <c r="S179" i="8"/>
  <c r="AD179" i="8"/>
  <c r="AN179" i="8"/>
  <c r="S180" i="8"/>
  <c r="AD180" i="8"/>
  <c r="AN180" i="8"/>
  <c r="S181" i="8"/>
  <c r="AN181" i="8"/>
  <c r="I182" i="8"/>
  <c r="S182" i="8"/>
  <c r="AD182" i="8"/>
  <c r="AN182" i="8"/>
  <c r="I183" i="8"/>
  <c r="S183" i="8"/>
  <c r="AD183" i="8"/>
  <c r="AN183" i="8"/>
  <c r="I184" i="8"/>
  <c r="S184" i="8"/>
  <c r="AD184" i="8"/>
  <c r="AN184" i="8"/>
  <c r="S185" i="8"/>
  <c r="AN185" i="8"/>
  <c r="I186" i="8"/>
  <c r="S186" i="8"/>
  <c r="AD186" i="8"/>
  <c r="AN186" i="8"/>
  <c r="I187" i="8"/>
  <c r="S187" i="8"/>
  <c r="AD187" i="8"/>
  <c r="AN187" i="8"/>
  <c r="I188" i="8"/>
  <c r="S188" i="8"/>
  <c r="AD188" i="8"/>
  <c r="AN188" i="8"/>
  <c r="I189" i="8"/>
  <c r="S189" i="8"/>
  <c r="AD189" i="8"/>
  <c r="AN189" i="8"/>
  <c r="I190" i="8"/>
  <c r="S190" i="8"/>
  <c r="AD190" i="8"/>
  <c r="AN190" i="8"/>
  <c r="I191" i="8"/>
  <c r="S191" i="8"/>
  <c r="AD191" i="8"/>
  <c r="AN191" i="8"/>
  <c r="I192" i="8"/>
  <c r="S192" i="8"/>
  <c r="AD192" i="8"/>
  <c r="AN192" i="8"/>
  <c r="I193" i="8"/>
  <c r="S193" i="8"/>
  <c r="AD193" i="8"/>
  <c r="AN193" i="8"/>
  <c r="I194" i="8"/>
  <c r="S194" i="8"/>
  <c r="AD194" i="8"/>
  <c r="AN194" i="8"/>
  <c r="I195" i="8"/>
  <c r="S195" i="8"/>
  <c r="AD195" i="8"/>
  <c r="AN195" i="8"/>
  <c r="AN196" i="8"/>
  <c r="I197" i="8"/>
  <c r="AD197" i="8"/>
  <c r="I198" i="8"/>
  <c r="AD198" i="8"/>
  <c r="I199" i="8"/>
  <c r="AD199" i="8"/>
  <c r="I200" i="8"/>
  <c r="AD200" i="8"/>
  <c r="I201" i="8"/>
  <c r="AD201" i="8"/>
  <c r="I202" i="8"/>
  <c r="AD202" i="8"/>
  <c r="AD203" i="8"/>
  <c r="I204" i="8"/>
  <c r="AD204" i="8"/>
  <c r="I205" i="8"/>
  <c r="AD205" i="8"/>
  <c r="I206" i="8"/>
  <c r="AD206" i="8"/>
  <c r="I207" i="8"/>
  <c r="AD207" i="8"/>
  <c r="I208" i="8"/>
  <c r="AD208" i="8"/>
  <c r="I209" i="8"/>
  <c r="AD209" i="8"/>
  <c r="I210" i="8"/>
  <c r="AD210" i="8"/>
  <c r="I211" i="8"/>
  <c r="AD211" i="8"/>
  <c r="I212" i="8"/>
  <c r="AD212" i="8"/>
  <c r="I213" i="8"/>
  <c r="AD213" i="8"/>
  <c r="I214" i="8"/>
  <c r="AD214" i="8"/>
  <c r="I216" i="8"/>
  <c r="AD216" i="8"/>
  <c r="I217" i="8"/>
  <c r="AD217" i="8"/>
  <c r="I218" i="8"/>
  <c r="AD218" i="8"/>
  <c r="I219" i="8"/>
  <c r="AD219" i="8"/>
  <c r="I221" i="8"/>
  <c r="AD221" i="8"/>
  <c r="E222" i="8"/>
  <c r="Z222" i="8"/>
  <c r="I235" i="8"/>
  <c r="S235" i="8"/>
  <c r="AD235" i="8"/>
  <c r="AN235" i="8"/>
  <c r="I236" i="8"/>
  <c r="S236" i="8"/>
  <c r="AD236" i="8"/>
  <c r="AN236" i="8"/>
  <c r="S237" i="8"/>
  <c r="AN237" i="8"/>
  <c r="I238" i="8"/>
  <c r="S238" i="8"/>
  <c r="AD238" i="8"/>
  <c r="AN238" i="8"/>
  <c r="I239" i="8"/>
  <c r="S239" i="8"/>
  <c r="AD239" i="8"/>
  <c r="AN239" i="8"/>
  <c r="I240" i="8"/>
  <c r="S240" i="8"/>
  <c r="AD240" i="8"/>
  <c r="AN240" i="8"/>
  <c r="S241" i="8"/>
  <c r="AN241" i="8"/>
  <c r="I242" i="8"/>
  <c r="S242" i="8"/>
  <c r="AD242" i="8"/>
  <c r="AN242" i="8"/>
  <c r="I243" i="8"/>
  <c r="S243" i="8"/>
  <c r="AD243" i="8"/>
  <c r="AN243" i="8"/>
  <c r="I244" i="8"/>
  <c r="S244" i="8"/>
  <c r="AD244" i="8"/>
  <c r="AN244" i="8"/>
  <c r="I245" i="8"/>
  <c r="S245" i="8"/>
  <c r="AD245" i="8"/>
  <c r="AN245" i="8"/>
  <c r="I246" i="8"/>
  <c r="S246" i="8"/>
  <c r="AD246" i="8"/>
  <c r="AN246" i="8"/>
  <c r="I247" i="8"/>
  <c r="S247" i="8"/>
  <c r="AD247" i="8"/>
  <c r="AN247" i="8"/>
  <c r="I248" i="8"/>
  <c r="S248" i="8"/>
  <c r="AD248" i="8"/>
  <c r="AN248" i="8"/>
  <c r="I249" i="8"/>
  <c r="S249" i="8"/>
  <c r="AD249" i="8"/>
  <c r="AN249" i="8"/>
  <c r="I250" i="8"/>
  <c r="S250" i="8"/>
  <c r="AD250" i="8"/>
  <c r="AN250" i="8"/>
  <c r="I251" i="8"/>
  <c r="S251" i="8"/>
  <c r="AD251" i="8"/>
  <c r="AN251" i="8"/>
  <c r="AN252" i="8"/>
  <c r="I253" i="8"/>
  <c r="AD253" i="8"/>
  <c r="I254" i="8"/>
  <c r="AD254" i="8"/>
  <c r="I255" i="8"/>
  <c r="AD255" i="8"/>
  <c r="I256" i="8"/>
  <c r="AD256" i="8"/>
  <c r="I257" i="8"/>
  <c r="AD257" i="8"/>
  <c r="I258" i="8"/>
  <c r="AD258" i="8"/>
  <c r="I259" i="8"/>
  <c r="AD259" i="8"/>
  <c r="I260" i="8"/>
  <c r="AD260" i="8"/>
  <c r="I261" i="8"/>
  <c r="AD261" i="8"/>
  <c r="I262" i="8"/>
  <c r="AD262" i="8"/>
  <c r="I263" i="8"/>
  <c r="AD263" i="8"/>
  <c r="I264" i="8"/>
  <c r="AD264" i="8"/>
  <c r="I265" i="8"/>
  <c r="AD265" i="8"/>
  <c r="I266" i="8"/>
  <c r="AD266" i="8"/>
  <c r="I267" i="8"/>
  <c r="AD267" i="8"/>
  <c r="I268" i="8"/>
  <c r="AD268" i="8"/>
  <c r="I269" i="8"/>
  <c r="AD269" i="8"/>
  <c r="I270" i="8"/>
  <c r="AD270" i="8"/>
  <c r="I272" i="8"/>
  <c r="AD272" i="8"/>
  <c r="AD273" i="8"/>
  <c r="I274" i="8"/>
  <c r="AD274" i="8"/>
  <c r="I275" i="8"/>
  <c r="AD275" i="8"/>
  <c r="I277" i="8"/>
  <c r="AD277" i="8"/>
  <c r="E278" i="8"/>
  <c r="Z278" i="8"/>
  <c r="I291" i="8"/>
  <c r="AD291" i="8"/>
  <c r="I292" i="8"/>
  <c r="S292" i="8"/>
  <c r="AD292" i="8"/>
  <c r="AN292" i="8"/>
  <c r="S293" i="8"/>
  <c r="AN293" i="8"/>
  <c r="I294" i="8"/>
  <c r="S294" i="8"/>
  <c r="AD294" i="8"/>
  <c r="AN294" i="8"/>
  <c r="I295" i="8"/>
  <c r="S295" i="8"/>
  <c r="AD295" i="8"/>
  <c r="AN295" i="8"/>
  <c r="I296" i="8"/>
  <c r="S296" i="8"/>
  <c r="AD296" i="8"/>
  <c r="AN296" i="8"/>
  <c r="S297" i="8"/>
  <c r="AN297" i="8"/>
  <c r="I298" i="8"/>
  <c r="S298" i="8"/>
  <c r="AD298" i="8"/>
  <c r="AN298" i="8"/>
  <c r="I299" i="8"/>
  <c r="S299" i="8"/>
  <c r="AD299" i="8"/>
  <c r="AN299" i="8"/>
  <c r="I300" i="8"/>
  <c r="S300" i="8"/>
  <c r="AD300" i="8"/>
  <c r="AN300" i="8"/>
  <c r="I301" i="8"/>
  <c r="S301" i="8"/>
  <c r="AD301" i="8"/>
  <c r="AN301" i="8"/>
  <c r="I302" i="8"/>
  <c r="S302" i="8"/>
  <c r="AD302" i="8"/>
  <c r="AN302" i="8"/>
  <c r="I303" i="8"/>
  <c r="S303" i="8"/>
  <c r="AD303" i="8"/>
  <c r="AN303" i="8"/>
  <c r="I304" i="8"/>
  <c r="AD304" i="8"/>
  <c r="AN304" i="8"/>
  <c r="I305" i="8"/>
  <c r="AD305" i="8"/>
  <c r="AN305" i="8"/>
  <c r="I306" i="8"/>
  <c r="AD306" i="8"/>
  <c r="AN306" i="8"/>
  <c r="I307" i="8"/>
  <c r="AD307" i="8"/>
  <c r="AN307" i="8"/>
  <c r="AN308" i="8"/>
  <c r="I309" i="8"/>
  <c r="AD309" i="8"/>
  <c r="I310" i="8"/>
  <c r="AD310" i="8"/>
  <c r="I311" i="8"/>
  <c r="AD311" i="8"/>
  <c r="I312" i="8"/>
  <c r="AD312" i="8"/>
  <c r="I313" i="8"/>
  <c r="AD313" i="8"/>
  <c r="I314" i="8"/>
  <c r="AD314" i="8"/>
  <c r="I315" i="8"/>
  <c r="AD315" i="8"/>
  <c r="I316" i="8"/>
  <c r="AD316" i="8"/>
  <c r="I317" i="8"/>
  <c r="AD317" i="8"/>
  <c r="I318" i="8"/>
  <c r="AD318" i="8"/>
  <c r="I319" i="8"/>
  <c r="AD319" i="8"/>
  <c r="I320" i="8"/>
  <c r="AD320" i="8"/>
  <c r="I321" i="8"/>
  <c r="AD321" i="8"/>
  <c r="I322" i="8"/>
  <c r="AD322" i="8"/>
  <c r="I323" i="8"/>
  <c r="AD323" i="8"/>
  <c r="I324" i="8"/>
  <c r="AD324" i="8"/>
  <c r="I325" i="8"/>
  <c r="AD325" i="8"/>
  <c r="I326" i="8"/>
  <c r="AD326" i="8"/>
  <c r="I328" i="8"/>
  <c r="AD328" i="8"/>
  <c r="I329" i="8"/>
  <c r="AD329" i="8"/>
  <c r="I330" i="8"/>
  <c r="AD330" i="8"/>
  <c r="I331" i="8"/>
  <c r="AD331" i="8"/>
  <c r="I333" i="8"/>
  <c r="AD333" i="8"/>
  <c r="E334" i="8"/>
  <c r="Z334" i="8"/>
  <c r="I347" i="8"/>
  <c r="AD347" i="8"/>
  <c r="I348" i="8"/>
  <c r="S348" i="8"/>
  <c r="AD348" i="8"/>
  <c r="AN348" i="8"/>
  <c r="S349" i="8"/>
  <c r="AN349" i="8"/>
  <c r="I350" i="8"/>
  <c r="S350" i="8"/>
  <c r="AD350" i="8"/>
  <c r="AN350" i="8"/>
  <c r="I351" i="8"/>
  <c r="S351" i="8"/>
  <c r="AD351" i="8"/>
  <c r="AN351" i="8"/>
  <c r="I352" i="8"/>
  <c r="S352" i="8"/>
  <c r="AD352" i="8"/>
  <c r="AN352" i="8"/>
  <c r="S353" i="8"/>
  <c r="AN353" i="8"/>
  <c r="I354" i="8"/>
  <c r="S354" i="8"/>
  <c r="AD354" i="8"/>
  <c r="AN354" i="8"/>
  <c r="I355" i="8"/>
  <c r="S355" i="8"/>
  <c r="AD355" i="8"/>
  <c r="AN355" i="8"/>
  <c r="I356" i="8"/>
  <c r="S356" i="8"/>
  <c r="AD356" i="8"/>
  <c r="AN356" i="8"/>
  <c r="I357" i="8"/>
  <c r="S357" i="8"/>
  <c r="AD357" i="8"/>
  <c r="AN357" i="8"/>
  <c r="I358" i="8"/>
  <c r="S358" i="8"/>
  <c r="AD358" i="8"/>
  <c r="AN358" i="8"/>
  <c r="I359" i="8"/>
  <c r="S359" i="8"/>
  <c r="AD359" i="8"/>
  <c r="AN359" i="8"/>
  <c r="I360" i="8"/>
  <c r="AD360" i="8"/>
  <c r="AN360" i="8"/>
  <c r="I361" i="8"/>
  <c r="AD361" i="8"/>
  <c r="AN361" i="8"/>
  <c r="I362" i="8"/>
  <c r="AD362" i="8"/>
  <c r="AN362" i="8"/>
  <c r="I363" i="8"/>
  <c r="AD363" i="8"/>
  <c r="AN363" i="8"/>
  <c r="AN364" i="8"/>
  <c r="I365" i="8"/>
  <c r="AD365" i="8"/>
  <c r="I366" i="8"/>
  <c r="AD366" i="8"/>
  <c r="I367" i="8"/>
  <c r="AD367" i="8"/>
  <c r="I368" i="8"/>
  <c r="AD368" i="8"/>
  <c r="I369" i="8"/>
  <c r="AD369" i="8"/>
  <c r="I370" i="8"/>
  <c r="AD370" i="8"/>
  <c r="I371" i="8"/>
  <c r="AD371" i="8"/>
  <c r="I372" i="8"/>
  <c r="AD372" i="8"/>
  <c r="I373" i="8"/>
  <c r="AD373" i="8"/>
  <c r="I374" i="8"/>
  <c r="AD374" i="8"/>
  <c r="I375" i="8"/>
  <c r="AD375" i="8"/>
  <c r="I376" i="8"/>
  <c r="AD376" i="8"/>
  <c r="I377" i="8"/>
  <c r="AD377" i="8"/>
  <c r="I378" i="8"/>
  <c r="AD378" i="8"/>
  <c r="I379" i="8"/>
  <c r="AD379" i="8"/>
  <c r="I380" i="8"/>
  <c r="AD380" i="8"/>
  <c r="I381" i="8"/>
  <c r="AD381" i="8"/>
  <c r="I382" i="8"/>
  <c r="AD382" i="8"/>
  <c r="I384" i="8"/>
  <c r="AD384" i="8"/>
  <c r="I385" i="8"/>
  <c r="AD385" i="8"/>
  <c r="I386" i="8"/>
  <c r="AD386" i="8"/>
  <c r="I387" i="8"/>
  <c r="AD387" i="8"/>
  <c r="I389" i="8"/>
  <c r="AD389" i="8"/>
  <c r="E390" i="8"/>
  <c r="Z390" i="8"/>
  <c r="I403" i="8"/>
  <c r="AD403" i="8"/>
  <c r="I404" i="8"/>
  <c r="S404" i="8"/>
  <c r="AD404" i="8"/>
  <c r="AN404" i="8"/>
  <c r="S405" i="8"/>
  <c r="AN405" i="8"/>
  <c r="I406" i="8"/>
  <c r="S406" i="8"/>
  <c r="AD406" i="8"/>
  <c r="AN406" i="8"/>
  <c r="I407" i="8"/>
  <c r="S407" i="8"/>
  <c r="AD407" i="8"/>
  <c r="AN407" i="8"/>
  <c r="I408" i="8"/>
  <c r="S408" i="8"/>
  <c r="AD408" i="8"/>
  <c r="AN408" i="8"/>
  <c r="S409" i="8"/>
  <c r="AN409" i="8"/>
  <c r="I410" i="8"/>
  <c r="S410" i="8"/>
  <c r="AD410" i="8"/>
  <c r="AN410" i="8"/>
  <c r="I411" i="8"/>
  <c r="S411" i="8"/>
  <c r="AD411" i="8"/>
  <c r="AN411" i="8"/>
  <c r="I412" i="8"/>
  <c r="S412" i="8"/>
  <c r="AD412" i="8"/>
  <c r="AN412" i="8"/>
  <c r="I413" i="8"/>
  <c r="S413" i="8"/>
  <c r="AD413" i="8"/>
  <c r="AN413" i="8"/>
  <c r="I414" i="8"/>
  <c r="S414" i="8"/>
  <c r="AD414" i="8"/>
  <c r="AN414" i="8"/>
  <c r="I415" i="8"/>
  <c r="S415" i="8"/>
  <c r="AD415" i="8"/>
  <c r="AN415" i="8"/>
  <c r="I416" i="8"/>
  <c r="S416" i="8"/>
  <c r="AD416" i="8"/>
  <c r="AN416" i="8"/>
  <c r="I417" i="8"/>
  <c r="S417" i="8"/>
  <c r="AD417" i="8"/>
  <c r="AN417" i="8"/>
  <c r="I418" i="8"/>
  <c r="S418" i="8"/>
  <c r="AD418" i="8"/>
  <c r="AN418" i="8"/>
  <c r="I419" i="8"/>
  <c r="S419" i="8"/>
  <c r="AD419" i="8"/>
  <c r="AN419" i="8"/>
  <c r="AN420" i="8"/>
  <c r="I421" i="8"/>
  <c r="AD421" i="8"/>
  <c r="I422" i="8"/>
  <c r="AD422" i="8"/>
  <c r="I423" i="8"/>
  <c r="AD423" i="8"/>
  <c r="I424" i="8"/>
  <c r="AD424" i="8"/>
  <c r="I425" i="8"/>
  <c r="AD425" i="8"/>
  <c r="I426" i="8"/>
  <c r="AD426" i="8"/>
  <c r="I427" i="8"/>
  <c r="AD427" i="8"/>
  <c r="I428" i="8"/>
  <c r="AD428" i="8"/>
  <c r="I429" i="8"/>
  <c r="AD429" i="8"/>
  <c r="I430" i="8"/>
  <c r="AD430" i="8"/>
  <c r="I431" i="8"/>
  <c r="AD431" i="8"/>
  <c r="I432" i="8"/>
  <c r="AD432" i="8"/>
  <c r="I433" i="8"/>
  <c r="AD433" i="8"/>
  <c r="I434" i="8"/>
  <c r="AD434" i="8"/>
  <c r="I435" i="8"/>
  <c r="AD435" i="8"/>
  <c r="I436" i="8"/>
  <c r="AD436" i="8"/>
  <c r="I437" i="8"/>
  <c r="AD437" i="8"/>
  <c r="I438" i="8"/>
  <c r="AD438" i="8"/>
  <c r="I440" i="8"/>
  <c r="AD440" i="8"/>
  <c r="I441" i="8"/>
  <c r="AD441" i="8"/>
  <c r="I442" i="8"/>
  <c r="AD442" i="8"/>
  <c r="I443" i="8"/>
  <c r="AD443" i="8"/>
  <c r="I445" i="8"/>
  <c r="AD445" i="8"/>
  <c r="E446" i="8"/>
  <c r="Z446" i="8"/>
  <c r="I459" i="8"/>
  <c r="AD459" i="8"/>
  <c r="I460" i="8"/>
  <c r="S460" i="8"/>
  <c r="AD460" i="8"/>
  <c r="AN460" i="8"/>
  <c r="S461" i="8"/>
  <c r="AN461" i="8"/>
  <c r="I462" i="8"/>
  <c r="S462" i="8"/>
  <c r="AD462" i="8"/>
  <c r="AN462" i="8"/>
  <c r="I463" i="8"/>
  <c r="S463" i="8"/>
  <c r="AD463" i="8"/>
  <c r="AN463" i="8"/>
  <c r="I464" i="8"/>
  <c r="S464" i="8"/>
  <c r="AD464" i="8"/>
  <c r="AN464" i="8"/>
  <c r="S465" i="8"/>
  <c r="AN465" i="8"/>
  <c r="I466" i="8"/>
  <c r="S466" i="8"/>
  <c r="AD466" i="8"/>
  <c r="AN466" i="8"/>
  <c r="I467" i="8"/>
  <c r="S467" i="8"/>
  <c r="AD467" i="8"/>
  <c r="AN467" i="8"/>
  <c r="I468" i="8"/>
  <c r="S468" i="8"/>
  <c r="AD468" i="8"/>
  <c r="AN468" i="8"/>
  <c r="I469" i="8"/>
  <c r="S469" i="8"/>
  <c r="AD469" i="8"/>
  <c r="AN469" i="8"/>
  <c r="I470" i="8"/>
  <c r="S470" i="8"/>
  <c r="AD470" i="8"/>
  <c r="AN470" i="8"/>
  <c r="I471" i="8"/>
  <c r="S471" i="8"/>
  <c r="AD471" i="8"/>
  <c r="AN471" i="8"/>
  <c r="I472" i="8"/>
  <c r="S472" i="8"/>
  <c r="AD472" i="8"/>
  <c r="AN472" i="8"/>
  <c r="I473" i="8"/>
  <c r="S473" i="8"/>
  <c r="AD473" i="8"/>
  <c r="AN473" i="8"/>
  <c r="I474" i="8"/>
  <c r="S474" i="8"/>
  <c r="AD474" i="8"/>
  <c r="AN474" i="8"/>
  <c r="I475" i="8"/>
  <c r="S475" i="8"/>
  <c r="AD475" i="8"/>
  <c r="AN475" i="8"/>
  <c r="S476" i="8"/>
  <c r="AN476" i="8"/>
  <c r="I477" i="8"/>
  <c r="AD477" i="8"/>
  <c r="I478" i="8"/>
  <c r="AD478" i="8"/>
  <c r="I479" i="8"/>
  <c r="AD479" i="8"/>
  <c r="I480" i="8"/>
  <c r="AD480" i="8"/>
  <c r="I481" i="8"/>
  <c r="AD481" i="8"/>
  <c r="I482" i="8"/>
  <c r="AD482" i="8"/>
  <c r="I483" i="8"/>
  <c r="AD483" i="8"/>
  <c r="I484" i="8"/>
  <c r="AD484" i="8"/>
  <c r="I485" i="8"/>
  <c r="AD485" i="8"/>
  <c r="I486" i="8"/>
  <c r="AD486" i="8"/>
  <c r="I487" i="8"/>
  <c r="AD487" i="8"/>
  <c r="I488" i="8"/>
  <c r="AD488" i="8"/>
  <c r="I489" i="8"/>
  <c r="AD489" i="8"/>
  <c r="I490" i="8"/>
  <c r="AD490" i="8"/>
  <c r="I491" i="8"/>
  <c r="AD491" i="8"/>
  <c r="I492" i="8"/>
  <c r="AD492" i="8"/>
  <c r="I493" i="8"/>
  <c r="AD493" i="8"/>
  <c r="I494" i="8"/>
  <c r="AD494" i="8"/>
  <c r="I496" i="8"/>
  <c r="AD496" i="8"/>
  <c r="I497" i="8"/>
  <c r="AD497" i="8"/>
  <c r="I498" i="8"/>
  <c r="AD498" i="8"/>
  <c r="I499" i="8"/>
  <c r="AD499" i="8"/>
  <c r="I501" i="8"/>
  <c r="AD501" i="8"/>
  <c r="E502" i="8"/>
  <c r="Z502" i="8"/>
  <c r="I515" i="8"/>
  <c r="AD515" i="8"/>
  <c r="I516" i="8"/>
  <c r="S516" i="8"/>
  <c r="AD516" i="8"/>
  <c r="AN516" i="8"/>
  <c r="S517" i="8"/>
  <c r="AN517" i="8"/>
  <c r="I518" i="8"/>
  <c r="S518" i="8"/>
  <c r="AD518" i="8"/>
  <c r="AN518" i="8"/>
  <c r="I519" i="8"/>
  <c r="S519" i="8"/>
  <c r="AD519" i="8"/>
  <c r="AN519" i="8"/>
  <c r="I520" i="8"/>
  <c r="S520" i="8"/>
  <c r="AD520" i="8"/>
  <c r="AN520" i="8"/>
  <c r="S521" i="8"/>
  <c r="I522" i="8"/>
  <c r="AD522" i="8"/>
  <c r="I523" i="8"/>
  <c r="S523" i="8"/>
  <c r="AD523" i="8"/>
  <c r="AN523" i="8"/>
  <c r="I524" i="8"/>
  <c r="S524" i="8"/>
  <c r="AD524" i="8"/>
  <c r="AN524" i="8"/>
  <c r="I525" i="8"/>
  <c r="S525" i="8"/>
  <c r="AD525" i="8"/>
  <c r="AN525" i="8"/>
  <c r="I526" i="8"/>
  <c r="S526" i="8"/>
  <c r="AD526" i="8"/>
  <c r="AN526" i="8"/>
  <c r="I527" i="8"/>
  <c r="S527" i="8"/>
  <c r="AD527" i="8"/>
  <c r="I528" i="8"/>
  <c r="S528" i="8"/>
  <c r="AD528" i="8"/>
  <c r="AN528" i="8"/>
  <c r="I529" i="8"/>
  <c r="S529" i="8"/>
  <c r="AD529" i="8"/>
  <c r="AN529" i="8"/>
  <c r="I530" i="8"/>
  <c r="S530" i="8"/>
  <c r="AD530" i="8"/>
  <c r="AN530" i="8"/>
  <c r="I531" i="8"/>
  <c r="S531" i="8"/>
  <c r="AD531" i="8"/>
  <c r="AN531" i="8"/>
  <c r="AN532" i="8"/>
  <c r="I533" i="8"/>
  <c r="AD533" i="8"/>
  <c r="I534" i="8"/>
  <c r="AD534" i="8"/>
  <c r="I535" i="8"/>
  <c r="AD535" i="8"/>
  <c r="I536" i="8"/>
  <c r="AD536" i="8"/>
  <c r="I537" i="8"/>
  <c r="AD537" i="8"/>
  <c r="I538" i="8"/>
  <c r="AD538" i="8"/>
  <c r="I539" i="8"/>
  <c r="AD539" i="8"/>
  <c r="I540" i="8"/>
  <c r="AD540" i="8"/>
  <c r="I541" i="8"/>
  <c r="AD541" i="8"/>
  <c r="I542" i="8"/>
  <c r="AD542" i="8"/>
  <c r="I543" i="8"/>
  <c r="AD543" i="8"/>
  <c r="I544" i="8"/>
  <c r="AD544" i="8"/>
  <c r="I545" i="8"/>
  <c r="AD545" i="8"/>
  <c r="I546" i="8"/>
  <c r="AD546" i="8"/>
  <c r="I547" i="8"/>
  <c r="AD547" i="8"/>
  <c r="I548" i="8"/>
  <c r="AD548" i="8"/>
  <c r="I549" i="8"/>
  <c r="AD549" i="8"/>
  <c r="I550" i="8"/>
  <c r="AD550" i="8"/>
  <c r="I552" i="8"/>
  <c r="AD552" i="8"/>
  <c r="I553" i="8"/>
  <c r="AD553" i="8"/>
  <c r="I554" i="8"/>
  <c r="AD554" i="8"/>
  <c r="I555" i="8"/>
  <c r="AD555" i="8"/>
  <c r="AD557" i="8"/>
  <c r="E558" i="8"/>
  <c r="Z558" i="8"/>
  <c r="I571" i="8"/>
  <c r="I572" i="8"/>
  <c r="S572" i="8"/>
  <c r="S573" i="8"/>
  <c r="I574" i="8"/>
  <c r="S574" i="8"/>
  <c r="I575" i="8"/>
  <c r="S575" i="8"/>
  <c r="I576" i="8"/>
  <c r="S576" i="8"/>
  <c r="S577" i="8"/>
  <c r="I578" i="8"/>
  <c r="I579" i="8"/>
  <c r="S579" i="8"/>
  <c r="I580" i="8"/>
  <c r="S580" i="8"/>
  <c r="I581" i="8"/>
  <c r="S581" i="8"/>
  <c r="I582" i="8"/>
  <c r="S582" i="8"/>
  <c r="I583" i="8"/>
  <c r="S583" i="8"/>
  <c r="I584" i="8"/>
  <c r="S584" i="8"/>
  <c r="I585" i="8"/>
  <c r="S585" i="8"/>
  <c r="I586" i="8"/>
  <c r="I587" i="8"/>
  <c r="S587" i="8"/>
  <c r="S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O607" i="8"/>
  <c r="I608" i="8"/>
  <c r="O608" i="8"/>
  <c r="I609" i="8"/>
  <c r="I610" i="8"/>
  <c r="I611" i="8"/>
  <c r="E614" i="8"/>
  <c r="I627" i="8"/>
  <c r="S627" i="8"/>
  <c r="AD627" i="8"/>
  <c r="I628" i="8"/>
  <c r="S628" i="8"/>
  <c r="AD628" i="8"/>
  <c r="AN628" i="8"/>
  <c r="S629" i="8"/>
  <c r="AN629" i="8"/>
  <c r="I630" i="8"/>
  <c r="S630" i="8"/>
  <c r="AD630" i="8"/>
  <c r="AN630" i="8"/>
  <c r="I631" i="8"/>
  <c r="S631" i="8"/>
  <c r="AD631" i="8"/>
  <c r="AN631" i="8"/>
  <c r="I632" i="8"/>
  <c r="S632" i="8"/>
  <c r="AD632" i="8"/>
  <c r="AN632" i="8"/>
  <c r="S633" i="8"/>
  <c r="AN633" i="8"/>
  <c r="I634" i="8"/>
  <c r="S634" i="8"/>
  <c r="AD634" i="8"/>
  <c r="AN634" i="8"/>
  <c r="I635" i="8"/>
  <c r="S635" i="8"/>
  <c r="AD635" i="8"/>
  <c r="AN635" i="8"/>
  <c r="I636" i="8"/>
  <c r="S636" i="8"/>
  <c r="AD636" i="8"/>
  <c r="AN636" i="8"/>
  <c r="I637" i="8"/>
  <c r="S637" i="8"/>
  <c r="AD637" i="8"/>
  <c r="AN637" i="8"/>
  <c r="I638" i="8"/>
  <c r="S638" i="8"/>
  <c r="AD638" i="8"/>
  <c r="AN638" i="8"/>
  <c r="I639" i="8"/>
  <c r="S639" i="8"/>
  <c r="AD639" i="8"/>
  <c r="AN639" i="8"/>
  <c r="I640" i="8"/>
  <c r="S640" i="8"/>
  <c r="AD640" i="8"/>
  <c r="AN640" i="8"/>
  <c r="I641" i="8"/>
  <c r="S641" i="8"/>
  <c r="AD641" i="8"/>
  <c r="AN641" i="8"/>
  <c r="I642" i="8"/>
  <c r="S642" i="8"/>
  <c r="AD642" i="8"/>
  <c r="AN642" i="8"/>
  <c r="I643" i="8"/>
  <c r="S643" i="8"/>
  <c r="AD643" i="8"/>
  <c r="AN643" i="8"/>
  <c r="AN644" i="8"/>
  <c r="I645" i="8"/>
  <c r="AD645" i="8"/>
  <c r="I646" i="8"/>
  <c r="AD646" i="8"/>
  <c r="I647" i="8"/>
  <c r="AD647" i="8"/>
  <c r="I648" i="8"/>
  <c r="AD648" i="8"/>
  <c r="I649" i="8"/>
  <c r="AD649" i="8"/>
  <c r="I650" i="8"/>
  <c r="AD650" i="8"/>
  <c r="I651" i="8"/>
  <c r="AD651" i="8"/>
  <c r="I652" i="8"/>
  <c r="AD652" i="8"/>
  <c r="I653" i="8"/>
  <c r="AD653" i="8"/>
  <c r="I654" i="8"/>
  <c r="AD654" i="8"/>
  <c r="I655" i="8"/>
  <c r="AD655" i="8"/>
  <c r="I656" i="8"/>
  <c r="AD656" i="8"/>
  <c r="I657" i="8"/>
  <c r="AD657" i="8"/>
  <c r="I658" i="8"/>
  <c r="AD658" i="8"/>
  <c r="I659" i="8"/>
  <c r="AD659" i="8"/>
  <c r="I660" i="8"/>
  <c r="AD660" i="8"/>
  <c r="I661" i="8"/>
  <c r="AD661" i="8"/>
  <c r="I662" i="8"/>
  <c r="AD662" i="8"/>
  <c r="I664" i="8"/>
  <c r="AD664" i="8"/>
  <c r="I665" i="8"/>
  <c r="AD665" i="8"/>
  <c r="I666" i="8"/>
  <c r="AD666" i="8"/>
  <c r="I667" i="8"/>
  <c r="AD667" i="8"/>
  <c r="I669" i="8"/>
  <c r="AD669" i="8"/>
  <c r="E670" i="8"/>
  <c r="Z670" i="8"/>
  <c r="I683" i="8"/>
  <c r="S683" i="8"/>
  <c r="AD683" i="8"/>
  <c r="I684" i="8"/>
  <c r="S684" i="8"/>
  <c r="AD684" i="8"/>
  <c r="AN684" i="8"/>
  <c r="S685" i="8"/>
  <c r="AN685" i="8"/>
  <c r="I686" i="8"/>
  <c r="S686" i="8"/>
  <c r="AD686" i="8"/>
  <c r="AN686" i="8"/>
  <c r="I687" i="8"/>
  <c r="S687" i="8"/>
  <c r="AD687" i="8"/>
  <c r="AN687" i="8"/>
  <c r="I688" i="8"/>
  <c r="S688" i="8"/>
  <c r="AD688" i="8"/>
  <c r="AN688" i="8"/>
  <c r="S689" i="8"/>
  <c r="AN689" i="8"/>
  <c r="I690" i="8"/>
  <c r="S690" i="8"/>
  <c r="AD690" i="8"/>
  <c r="AN690" i="8"/>
  <c r="I691" i="8"/>
  <c r="S691" i="8"/>
  <c r="AD691" i="8"/>
  <c r="AN691" i="8"/>
  <c r="I692" i="8"/>
  <c r="S692" i="8"/>
  <c r="AD692" i="8"/>
  <c r="AN692" i="8"/>
  <c r="I693" i="8"/>
  <c r="S693" i="8"/>
  <c r="AD693" i="8"/>
  <c r="AN693" i="8"/>
  <c r="I694" i="8"/>
  <c r="S694" i="8"/>
  <c r="AD694" i="8"/>
  <c r="AN694" i="8"/>
  <c r="I695" i="8"/>
  <c r="S695" i="8"/>
  <c r="AD695" i="8"/>
  <c r="AN695" i="8"/>
  <c r="I696" i="8"/>
  <c r="S696" i="8"/>
  <c r="AD696" i="8"/>
  <c r="AN696" i="8"/>
  <c r="I697" i="8"/>
  <c r="S697" i="8"/>
  <c r="AD697" i="8"/>
  <c r="AN697" i="8"/>
  <c r="I698" i="8"/>
  <c r="S698" i="8"/>
  <c r="AD698" i="8"/>
  <c r="AN698" i="8"/>
  <c r="I699" i="8"/>
  <c r="S699" i="8"/>
  <c r="AD699" i="8"/>
  <c r="AN699" i="8"/>
  <c r="AN700" i="8"/>
  <c r="I701" i="8"/>
  <c r="AD701" i="8"/>
  <c r="I702" i="8"/>
  <c r="AD702" i="8"/>
  <c r="I703" i="8"/>
  <c r="AD703" i="8"/>
  <c r="I704" i="8"/>
  <c r="AD704" i="8"/>
  <c r="I705" i="8"/>
  <c r="AD705" i="8"/>
  <c r="I706" i="8"/>
  <c r="AD706" i="8"/>
  <c r="I707" i="8"/>
  <c r="AD707" i="8"/>
  <c r="I708" i="8"/>
  <c r="AD708" i="8"/>
  <c r="I709" i="8"/>
  <c r="AD709" i="8"/>
  <c r="I710" i="8"/>
  <c r="AD710" i="8"/>
  <c r="I711" i="8"/>
  <c r="AD711" i="8"/>
  <c r="I712" i="8"/>
  <c r="AD712" i="8"/>
  <c r="I713" i="8"/>
  <c r="AD713" i="8"/>
  <c r="I714" i="8"/>
  <c r="AD714" i="8"/>
  <c r="I715" i="8"/>
  <c r="AD715" i="8"/>
  <c r="I716" i="8"/>
  <c r="AD716" i="8"/>
  <c r="I717" i="8"/>
  <c r="AD717" i="8"/>
  <c r="I718" i="8"/>
  <c r="AD718" i="8"/>
  <c r="I720" i="8"/>
  <c r="AD720" i="8"/>
  <c r="I721" i="8"/>
  <c r="AD721" i="8"/>
  <c r="I722" i="8"/>
  <c r="AD722" i="8"/>
  <c r="I723" i="8"/>
  <c r="AD723" i="8"/>
  <c r="I725" i="8"/>
  <c r="AD725" i="8"/>
  <c r="E726" i="8"/>
  <c r="Z726" i="8"/>
  <c r="I739" i="8"/>
  <c r="AD739" i="8"/>
  <c r="I740" i="8"/>
  <c r="S740" i="8"/>
  <c r="AD740" i="8"/>
  <c r="AN740" i="8"/>
  <c r="S741" i="8"/>
  <c r="AN741" i="8"/>
  <c r="I742" i="8"/>
  <c r="S742" i="8"/>
  <c r="AD742" i="8"/>
  <c r="AN742" i="8"/>
  <c r="I743" i="8"/>
  <c r="S743" i="8"/>
  <c r="AD743" i="8"/>
  <c r="AN743" i="8"/>
  <c r="I744" i="8"/>
  <c r="S744" i="8"/>
  <c r="AD744" i="8"/>
  <c r="AN744" i="8"/>
  <c r="S745" i="8"/>
  <c r="AN745" i="8"/>
  <c r="I746" i="8"/>
  <c r="S746" i="8"/>
  <c r="AD746" i="8"/>
  <c r="AN746" i="8"/>
  <c r="I747" i="8"/>
  <c r="S747" i="8"/>
  <c r="AD747" i="8"/>
  <c r="AN747" i="8"/>
  <c r="I748" i="8"/>
  <c r="S748" i="8"/>
  <c r="AD748" i="8"/>
  <c r="AN748" i="8"/>
  <c r="I749" i="8"/>
  <c r="S749" i="8"/>
  <c r="AD749" i="8"/>
  <c r="AN749" i="8"/>
  <c r="I750" i="8"/>
  <c r="S750" i="8"/>
  <c r="AD750" i="8"/>
  <c r="AN750" i="8"/>
  <c r="I751" i="8"/>
  <c r="S751" i="8"/>
  <c r="AD751" i="8"/>
  <c r="AN751" i="8"/>
  <c r="I752" i="8"/>
  <c r="AD752" i="8"/>
  <c r="AN752" i="8"/>
  <c r="I753" i="8"/>
  <c r="S753" i="8"/>
  <c r="AD753" i="8"/>
  <c r="AN753" i="8"/>
  <c r="I754" i="8"/>
  <c r="S754" i="8"/>
  <c r="AD754" i="8"/>
  <c r="AN754" i="8"/>
  <c r="I755" i="8"/>
  <c r="S755" i="8"/>
  <c r="AD755" i="8"/>
  <c r="AN755" i="8"/>
  <c r="AN756" i="8"/>
  <c r="I757" i="8"/>
  <c r="AD757" i="8"/>
  <c r="I758" i="8"/>
  <c r="AD758" i="8"/>
  <c r="I759" i="8"/>
  <c r="AD759" i="8"/>
  <c r="I760" i="8"/>
  <c r="AD760" i="8"/>
  <c r="I761" i="8"/>
  <c r="AD761" i="8"/>
  <c r="I762" i="8"/>
  <c r="AD762" i="8"/>
  <c r="I763" i="8"/>
  <c r="AD763" i="8"/>
  <c r="I764" i="8"/>
  <c r="AD764" i="8"/>
  <c r="I765" i="8"/>
  <c r="AD765" i="8"/>
  <c r="I766" i="8"/>
  <c r="AD766" i="8"/>
  <c r="I767" i="8"/>
  <c r="AD767" i="8"/>
  <c r="I768" i="8"/>
  <c r="AD768" i="8"/>
  <c r="I769" i="8"/>
  <c r="AD769" i="8"/>
  <c r="I770" i="8"/>
  <c r="AD770" i="8"/>
  <c r="I771" i="8"/>
  <c r="AD771" i="8"/>
  <c r="I772" i="8"/>
  <c r="AD772" i="8"/>
  <c r="I773" i="8"/>
  <c r="AD773" i="8"/>
  <c r="I774" i="8"/>
  <c r="AD774" i="8"/>
  <c r="I776" i="8"/>
  <c r="AD776" i="8"/>
  <c r="I777" i="8"/>
  <c r="AD777" i="8"/>
  <c r="I778" i="8"/>
  <c r="AD778" i="8"/>
  <c r="I779" i="8"/>
  <c r="AD779" i="8"/>
  <c r="I781" i="8"/>
  <c r="E782" i="8"/>
  <c r="Z782" i="8"/>
  <c r="I795" i="8"/>
  <c r="AD795" i="8"/>
  <c r="I796" i="8"/>
  <c r="S796" i="8"/>
  <c r="AD796" i="8"/>
  <c r="AN796" i="8"/>
  <c r="S797" i="8"/>
  <c r="AN797" i="8"/>
  <c r="I798" i="8"/>
  <c r="S798" i="8"/>
  <c r="AD798" i="8"/>
  <c r="AN798" i="8"/>
  <c r="I799" i="8"/>
  <c r="S799" i="8"/>
  <c r="AD799" i="8"/>
  <c r="AN799" i="8"/>
  <c r="I800" i="8"/>
  <c r="S800" i="8"/>
  <c r="AD800" i="8"/>
  <c r="AN800" i="8"/>
  <c r="S801" i="8"/>
  <c r="AN801" i="8"/>
  <c r="I802" i="8"/>
  <c r="S802" i="8"/>
  <c r="AD802" i="8"/>
  <c r="AN802" i="8"/>
  <c r="I803" i="8"/>
  <c r="S803" i="8"/>
  <c r="AD803" i="8"/>
  <c r="AN803" i="8"/>
  <c r="I804" i="8"/>
  <c r="S804" i="8"/>
  <c r="AD804" i="8"/>
  <c r="AN804" i="8"/>
  <c r="I805" i="8"/>
  <c r="S805" i="8"/>
  <c r="AD805" i="8"/>
  <c r="AN805" i="8"/>
  <c r="I806" i="8"/>
  <c r="S806" i="8"/>
  <c r="AD806" i="8"/>
  <c r="AN806" i="8"/>
  <c r="I807" i="8"/>
  <c r="S807" i="8"/>
  <c r="AD807" i="8"/>
  <c r="AN807" i="8"/>
  <c r="I808" i="8"/>
  <c r="S808" i="8"/>
  <c r="AD808" i="8"/>
  <c r="AN808" i="8"/>
  <c r="I809" i="8"/>
  <c r="S809" i="8"/>
  <c r="AD809" i="8"/>
  <c r="AN809" i="8"/>
  <c r="I810" i="8"/>
  <c r="S810" i="8"/>
  <c r="AD810" i="8"/>
  <c r="AN810" i="8"/>
  <c r="I811" i="8"/>
  <c r="AD811" i="8"/>
  <c r="AN811" i="8"/>
  <c r="AN812" i="8"/>
  <c r="I813" i="8"/>
  <c r="AD813" i="8"/>
  <c r="I814" i="8"/>
  <c r="AD814" i="8"/>
  <c r="I815" i="8"/>
  <c r="AD815" i="8"/>
  <c r="I816" i="8"/>
  <c r="AD816" i="8"/>
  <c r="I817" i="8"/>
  <c r="AD817" i="8"/>
  <c r="I818" i="8"/>
  <c r="AD818" i="8"/>
  <c r="I819" i="8"/>
  <c r="AD819" i="8"/>
  <c r="I820" i="8"/>
  <c r="AD820" i="8"/>
  <c r="I821" i="8"/>
  <c r="AD821" i="8"/>
  <c r="I822" i="8"/>
  <c r="AD822" i="8"/>
  <c r="I823" i="8"/>
  <c r="AD823" i="8"/>
  <c r="I824" i="8"/>
  <c r="AD824" i="8"/>
  <c r="I825" i="8"/>
  <c r="AD825" i="8"/>
  <c r="I826" i="8"/>
  <c r="AD826" i="8"/>
  <c r="I827" i="8"/>
  <c r="AD827" i="8"/>
  <c r="I828" i="8"/>
  <c r="AD828" i="8"/>
  <c r="I829" i="8"/>
  <c r="AD829" i="8"/>
  <c r="I830" i="8"/>
  <c r="AD830" i="8"/>
  <c r="I832" i="8"/>
  <c r="AD832" i="8"/>
  <c r="I833" i="8"/>
  <c r="AD833" i="8"/>
  <c r="I834" i="8"/>
  <c r="AD834" i="8"/>
  <c r="I835" i="8"/>
  <c r="I836" i="8"/>
  <c r="AD836" i="8"/>
  <c r="E838" i="8"/>
  <c r="Z838" i="8"/>
  <c r="I850" i="8"/>
  <c r="S851" i="8"/>
  <c r="S852" i="8"/>
  <c r="AD852" i="8"/>
  <c r="AD850" i="8" s="1"/>
  <c r="AN852" i="8"/>
  <c r="I853" i="8"/>
  <c r="S853" i="8"/>
  <c r="AD853" i="8"/>
  <c r="AN853" i="8"/>
  <c r="S854" i="8"/>
  <c r="S855" i="8"/>
  <c r="S856" i="8"/>
  <c r="AN856" i="8"/>
  <c r="S857" i="8"/>
  <c r="AN857" i="8"/>
  <c r="I858" i="8"/>
  <c r="S858" i="8"/>
  <c r="AN858" i="8"/>
  <c r="I859" i="8"/>
  <c r="S859" i="8"/>
  <c r="AD859" i="8"/>
  <c r="I860" i="8"/>
  <c r="S860" i="8"/>
  <c r="AN860" i="8"/>
  <c r="I861" i="8"/>
  <c r="S861" i="8"/>
  <c r="AN861" i="8"/>
  <c r="I862" i="8"/>
  <c r="S862" i="8"/>
  <c r="AN862" i="8"/>
  <c r="I863" i="8"/>
  <c r="S863" i="8"/>
  <c r="AD863" i="8"/>
  <c r="AN863" i="8"/>
  <c r="I864" i="8"/>
  <c r="S864" i="8"/>
  <c r="AN864" i="8"/>
  <c r="I865" i="8"/>
  <c r="S865" i="8"/>
  <c r="AD865" i="8"/>
  <c r="AN865" i="8"/>
  <c r="I866" i="8"/>
  <c r="S866" i="8"/>
  <c r="AD866" i="8"/>
  <c r="AN866" i="8"/>
  <c r="I867" i="8"/>
  <c r="S867" i="8"/>
  <c r="AN867" i="8"/>
  <c r="I869" i="8"/>
  <c r="I870" i="8"/>
  <c r="I871" i="8"/>
  <c r="AD871" i="8"/>
  <c r="I872" i="8"/>
  <c r="I873" i="8"/>
  <c r="I874" i="8"/>
  <c r="I875" i="8"/>
  <c r="I876" i="8"/>
  <c r="AD876" i="8"/>
  <c r="I877" i="8"/>
  <c r="AD877" i="8"/>
  <c r="I878" i="8"/>
  <c r="I879" i="8"/>
  <c r="I880" i="8"/>
  <c r="AD880" i="8"/>
  <c r="I881" i="8"/>
  <c r="AD881" i="8"/>
  <c r="I882" i="8"/>
  <c r="AD882" i="8"/>
  <c r="I883" i="8"/>
  <c r="AD883" i="8"/>
  <c r="I884" i="8"/>
  <c r="AD884" i="8"/>
  <c r="I885" i="8"/>
  <c r="AD885" i="8"/>
  <c r="I886" i="8"/>
  <c r="AD886" i="8"/>
  <c r="I888" i="8"/>
  <c r="AD888" i="8"/>
  <c r="I889" i="8"/>
  <c r="AD889" i="8"/>
  <c r="I890" i="8"/>
  <c r="AD890" i="8"/>
  <c r="I891" i="8"/>
  <c r="I892" i="8"/>
  <c r="AD893" i="8"/>
  <c r="E894" i="8"/>
  <c r="Z894" i="8"/>
  <c r="I906" i="8"/>
  <c r="S907" i="8"/>
  <c r="S908" i="8"/>
  <c r="AD908" i="8"/>
  <c r="AD906" i="8" s="1"/>
  <c r="AN908" i="8"/>
  <c r="I909" i="8"/>
  <c r="S909" i="8"/>
  <c r="AD909" i="8"/>
  <c r="AN909" i="8"/>
  <c r="S910" i="8"/>
  <c r="S911" i="8"/>
  <c r="S912" i="8"/>
  <c r="AN912" i="8"/>
  <c r="S913" i="8"/>
  <c r="AN913" i="8"/>
  <c r="I914" i="8"/>
  <c r="S914" i="8"/>
  <c r="AN914" i="8"/>
  <c r="I915" i="8"/>
  <c r="S915" i="8"/>
  <c r="AD915" i="8"/>
  <c r="I916" i="8"/>
  <c r="S916" i="8"/>
  <c r="AN916" i="8"/>
  <c r="I917" i="8"/>
  <c r="S917" i="8"/>
  <c r="AN917" i="8"/>
  <c r="I918" i="8"/>
  <c r="S918" i="8"/>
  <c r="AN918" i="8"/>
  <c r="I919" i="8"/>
  <c r="S919" i="8"/>
  <c r="AD919" i="8"/>
  <c r="AN919" i="8"/>
  <c r="I920" i="8"/>
  <c r="S920" i="8"/>
  <c r="AN920" i="8"/>
  <c r="I921" i="8"/>
  <c r="S921" i="8"/>
  <c r="AD921" i="8"/>
  <c r="AN921" i="8"/>
  <c r="I922" i="8"/>
  <c r="S922" i="8"/>
  <c r="AD922" i="8"/>
  <c r="AN922" i="8"/>
  <c r="I923" i="8"/>
  <c r="S923" i="8"/>
  <c r="AN923" i="8"/>
  <c r="I925" i="8"/>
  <c r="I926" i="8"/>
  <c r="I927" i="8"/>
  <c r="AD927" i="8"/>
  <c r="I928" i="8"/>
  <c r="I929" i="8"/>
  <c r="I930" i="8"/>
  <c r="I931" i="8"/>
  <c r="I932" i="8"/>
  <c r="AD932" i="8"/>
  <c r="I933" i="8"/>
  <c r="AD933" i="8"/>
  <c r="I934" i="8"/>
  <c r="I935" i="8"/>
  <c r="I936" i="8"/>
  <c r="AD936" i="8"/>
  <c r="I937" i="8"/>
  <c r="AD937" i="8"/>
  <c r="I938" i="8"/>
  <c r="AD938" i="8"/>
  <c r="I939" i="8"/>
  <c r="AD939" i="8"/>
  <c r="I940" i="8"/>
  <c r="AD940" i="8"/>
  <c r="I941" i="8"/>
  <c r="AD941" i="8"/>
  <c r="I942" i="8"/>
  <c r="AD942" i="8"/>
  <c r="I944" i="8"/>
  <c r="AD944" i="8"/>
  <c r="I945" i="8"/>
  <c r="AD945" i="8"/>
  <c r="I946" i="8"/>
  <c r="AD946" i="8"/>
  <c r="I947" i="8"/>
  <c r="AD947" i="8"/>
  <c r="I948" i="8"/>
  <c r="I949" i="8"/>
  <c r="E950" i="8"/>
  <c r="Z950" i="8"/>
  <c r="I963" i="8"/>
  <c r="S964" i="8"/>
  <c r="S965" i="8"/>
  <c r="AD965" i="8"/>
  <c r="AD963" i="8" s="1"/>
  <c r="AN965" i="8"/>
  <c r="I966" i="8"/>
  <c r="S966" i="8"/>
  <c r="AD966" i="8"/>
  <c r="AN966" i="8"/>
  <c r="S967" i="8"/>
  <c r="AN967" i="8"/>
  <c r="S968" i="8"/>
  <c r="AN968" i="8"/>
  <c r="S969" i="8"/>
  <c r="AN969" i="8"/>
  <c r="S970" i="8"/>
  <c r="AN970" i="8"/>
  <c r="I971" i="8"/>
  <c r="S971" i="8"/>
  <c r="AN971" i="8"/>
  <c r="I972" i="8"/>
  <c r="S972" i="8"/>
  <c r="AD972" i="8"/>
  <c r="AN972" i="8"/>
  <c r="I973" i="8"/>
  <c r="S973" i="8"/>
  <c r="AN973" i="8"/>
  <c r="I974" i="8"/>
  <c r="S974" i="8"/>
  <c r="AN974" i="8"/>
  <c r="I975" i="8"/>
  <c r="S975" i="8"/>
  <c r="AN975" i="8"/>
  <c r="I976" i="8"/>
  <c r="S976" i="8"/>
  <c r="AD976" i="8"/>
  <c r="AN976" i="8"/>
  <c r="I977" i="8"/>
  <c r="S977" i="8"/>
  <c r="AN977" i="8"/>
  <c r="I978" i="8"/>
  <c r="S978" i="8"/>
  <c r="AD978" i="8"/>
  <c r="AN978" i="8"/>
  <c r="I979" i="8"/>
  <c r="S979" i="8"/>
  <c r="AD979" i="8"/>
  <c r="AN979" i="8"/>
  <c r="I980" i="8"/>
  <c r="S980" i="8"/>
  <c r="AN980" i="8"/>
  <c r="I982" i="8"/>
  <c r="I983" i="8"/>
  <c r="I984" i="8"/>
  <c r="AD984" i="8"/>
  <c r="I985" i="8"/>
  <c r="I986" i="8"/>
  <c r="I987" i="8"/>
  <c r="I988" i="8"/>
  <c r="I989" i="8"/>
  <c r="AD989" i="8"/>
  <c r="I990" i="8"/>
  <c r="AD990" i="8"/>
  <c r="I991" i="8"/>
  <c r="I992" i="8"/>
  <c r="I993" i="8"/>
  <c r="AD993" i="8"/>
  <c r="I994" i="8"/>
  <c r="AD994" i="8"/>
  <c r="I995" i="8"/>
  <c r="AD995" i="8"/>
  <c r="I996" i="8"/>
  <c r="AD996" i="8"/>
  <c r="I997" i="8"/>
  <c r="AD997" i="8"/>
  <c r="I998" i="8"/>
  <c r="AD998" i="8"/>
  <c r="I999" i="8"/>
  <c r="AD999" i="8"/>
  <c r="I1001" i="8"/>
  <c r="AD1001" i="8"/>
  <c r="I1002" i="8"/>
  <c r="AD1002" i="8"/>
  <c r="I1003" i="8"/>
  <c r="AD1003" i="8"/>
  <c r="I1004" i="8"/>
  <c r="AD1004" i="8"/>
  <c r="I1006" i="8"/>
  <c r="E1007" i="8"/>
  <c r="Z1007" i="8"/>
  <c r="I1020" i="8"/>
  <c r="S1020" i="8"/>
  <c r="I1021" i="8"/>
  <c r="S1021" i="8"/>
  <c r="AD1021" i="8"/>
  <c r="AD1019" i="8" s="1"/>
  <c r="AN1021" i="8"/>
  <c r="S1022" i="8"/>
  <c r="AD1022" i="8"/>
  <c r="AN1022" i="8"/>
  <c r="I1023" i="8"/>
  <c r="I1022" i="8" s="1"/>
  <c r="S1023" i="8"/>
  <c r="AN1023" i="8"/>
  <c r="S1024" i="8"/>
  <c r="AN1024" i="8"/>
  <c r="S1025" i="8"/>
  <c r="AN1025" i="8"/>
  <c r="S1026" i="8"/>
  <c r="AN1026" i="8"/>
  <c r="I1027" i="8"/>
  <c r="S1027" i="8"/>
  <c r="AN1027" i="8"/>
  <c r="I1028" i="8"/>
  <c r="S1028" i="8"/>
  <c r="AD1028" i="8"/>
  <c r="AN1028" i="8"/>
  <c r="I1029" i="8"/>
  <c r="S1029" i="8"/>
  <c r="AN1029" i="8"/>
  <c r="I1030" i="8"/>
  <c r="S1030" i="8"/>
  <c r="AN1030" i="8"/>
  <c r="I1031" i="8"/>
  <c r="S1031" i="8"/>
  <c r="AN1031" i="8"/>
  <c r="I1032" i="8"/>
  <c r="S1032" i="8"/>
  <c r="AD1032" i="8"/>
  <c r="AN1032" i="8"/>
  <c r="I1033" i="8"/>
  <c r="S1033" i="8"/>
  <c r="AN1033" i="8"/>
  <c r="I1034" i="8"/>
  <c r="S1034" i="8"/>
  <c r="AD1034" i="8"/>
  <c r="AN1034" i="8"/>
  <c r="I1035" i="8"/>
  <c r="S1035" i="8"/>
  <c r="AD1035" i="8"/>
  <c r="AN1035" i="8"/>
  <c r="I1036" i="8"/>
  <c r="S1036" i="8"/>
  <c r="AN1036" i="8"/>
  <c r="I1038" i="8"/>
  <c r="I1039" i="8"/>
  <c r="I1040" i="8"/>
  <c r="AD1040" i="8"/>
  <c r="I1041" i="8"/>
  <c r="I1042" i="8"/>
  <c r="I1043" i="8"/>
  <c r="I1044" i="8"/>
  <c r="I1045" i="8"/>
  <c r="AD1045" i="8"/>
  <c r="I1046" i="8"/>
  <c r="AD1046" i="8"/>
  <c r="I1047" i="8"/>
  <c r="I1048" i="8"/>
  <c r="I1049" i="8"/>
  <c r="AD1049" i="8"/>
  <c r="I1050" i="8"/>
  <c r="AD1050" i="8"/>
  <c r="I1051" i="8"/>
  <c r="AD1051" i="8"/>
  <c r="I1052" i="8"/>
  <c r="AD1052" i="8"/>
  <c r="I1053" i="8"/>
  <c r="AD1053" i="8"/>
  <c r="I1054" i="8"/>
  <c r="AD1054" i="8"/>
  <c r="I1055" i="8"/>
  <c r="AD1055" i="8"/>
  <c r="I1057" i="8"/>
  <c r="AD1057" i="8"/>
  <c r="I1058" i="8"/>
  <c r="AD1058" i="8"/>
  <c r="I1059" i="8"/>
  <c r="AD1059" i="8"/>
  <c r="I1060" i="8"/>
  <c r="AD1060" i="8"/>
  <c r="I1062" i="8"/>
  <c r="E1063" i="8"/>
  <c r="Z1063" i="8"/>
  <c r="I1075" i="8"/>
  <c r="S1076" i="8"/>
  <c r="S1077" i="8"/>
  <c r="AD1077" i="8"/>
  <c r="AD1075" i="8" s="1"/>
  <c r="AN1077" i="8"/>
  <c r="I1078" i="8"/>
  <c r="S1078" i="8"/>
  <c r="AD1078" i="8"/>
  <c r="AN1078" i="8"/>
  <c r="S1079" i="8"/>
  <c r="AN1079" i="8"/>
  <c r="S1080" i="8"/>
  <c r="AN1080" i="8"/>
  <c r="S1081" i="8"/>
  <c r="AN1081" i="8"/>
  <c r="S1082" i="8"/>
  <c r="AN1082" i="8"/>
  <c r="I1083" i="8"/>
  <c r="S1083" i="8"/>
  <c r="AN1083" i="8"/>
  <c r="I1084" i="8"/>
  <c r="S1084" i="8"/>
  <c r="AD1084" i="8"/>
  <c r="AN1084" i="8"/>
  <c r="I1085" i="8"/>
  <c r="S1085" i="8"/>
  <c r="AN1085" i="8"/>
  <c r="I1086" i="8"/>
  <c r="S1086" i="8"/>
  <c r="AN1086" i="8"/>
  <c r="I1087" i="8"/>
  <c r="S1087" i="8"/>
  <c r="AN1087" i="8"/>
  <c r="I1088" i="8"/>
  <c r="S1088" i="8"/>
  <c r="AD1088" i="8"/>
  <c r="AN1088" i="8"/>
  <c r="I1089" i="8"/>
  <c r="S1089" i="8"/>
  <c r="AN1089" i="8"/>
  <c r="I1090" i="8"/>
  <c r="S1090" i="8"/>
  <c r="AD1090" i="8"/>
  <c r="AN1090" i="8"/>
  <c r="I1091" i="8"/>
  <c r="S1091" i="8"/>
  <c r="AD1091" i="8"/>
  <c r="AN1091" i="8"/>
  <c r="I1092" i="8"/>
  <c r="S1092" i="8"/>
  <c r="AN1092" i="8"/>
  <c r="I1094" i="8"/>
  <c r="I1095" i="8"/>
  <c r="I1096" i="8"/>
  <c r="AD1096" i="8"/>
  <c r="I1097" i="8"/>
  <c r="I1098" i="8"/>
  <c r="I1099" i="8"/>
  <c r="I1100" i="8"/>
  <c r="I1101" i="8"/>
  <c r="AD1101" i="8"/>
  <c r="I1102" i="8"/>
  <c r="AD1102" i="8"/>
  <c r="I1103" i="8"/>
  <c r="AD1103" i="8"/>
  <c r="I1104" i="8"/>
  <c r="AD1104" i="8"/>
  <c r="I1105" i="8"/>
  <c r="AD1105" i="8"/>
  <c r="I1106" i="8"/>
  <c r="AD1106" i="8"/>
  <c r="I1107" i="8"/>
  <c r="AD1107" i="8"/>
  <c r="I1108" i="8"/>
  <c r="AD1108" i="8"/>
  <c r="I1109" i="8"/>
  <c r="AD1109" i="8"/>
  <c r="I1110" i="8"/>
  <c r="AD1110" i="8"/>
  <c r="I1111" i="8"/>
  <c r="AD1111" i="8"/>
  <c r="I1113" i="8"/>
  <c r="AD1113" i="8"/>
  <c r="I1114" i="8"/>
  <c r="AD1114" i="8"/>
  <c r="I1115" i="8"/>
  <c r="AD1115" i="8"/>
  <c r="I1116" i="8"/>
  <c r="AD1116" i="8"/>
  <c r="I1118" i="8"/>
  <c r="E1119" i="8"/>
  <c r="Z1119" i="8"/>
  <c r="I741" i="8" l="1"/>
  <c r="AD178" i="8"/>
  <c r="O609" i="8"/>
  <c r="I738" i="8"/>
  <c r="AD857" i="8"/>
  <c r="I794" i="8"/>
  <c r="AD738" i="8"/>
  <c r="I458" i="8"/>
  <c r="AD913" i="8"/>
  <c r="AD346" i="8"/>
  <c r="AD28" i="8"/>
  <c r="H66" i="38"/>
  <c r="H28" i="38"/>
  <c r="AE68" i="10"/>
  <c r="AN645" i="8"/>
  <c r="S477" i="8"/>
  <c r="S421" i="8"/>
  <c r="S365" i="8"/>
  <c r="U128" i="8"/>
  <c r="AN477" i="8"/>
  <c r="AD1037" i="8"/>
  <c r="AD458" i="8"/>
  <c r="AN29" i="8"/>
  <c r="S1094" i="8"/>
  <c r="AN813" i="8"/>
  <c r="AD794" i="8"/>
  <c r="I521" i="8"/>
  <c r="I514" i="8"/>
  <c r="AD234" i="8"/>
  <c r="AN757" i="8"/>
  <c r="AN701" i="8"/>
  <c r="I682" i="8"/>
  <c r="I346" i="8"/>
  <c r="AD290" i="8"/>
  <c r="I271" i="8"/>
  <c r="I402" i="8"/>
  <c r="I364" i="8"/>
  <c r="U62" i="17"/>
  <c r="AD1082" i="8"/>
  <c r="S1038" i="8"/>
  <c r="AD981" i="8"/>
  <c r="AN982" i="8"/>
  <c r="AD924" i="8"/>
  <c r="I924" i="8"/>
  <c r="AN925" i="8"/>
  <c r="S925" i="8"/>
  <c r="AD887" i="8"/>
  <c r="S869" i="8"/>
  <c r="I831" i="8"/>
  <c r="I775" i="8"/>
  <c r="AD719" i="8"/>
  <c r="AD633" i="8"/>
  <c r="I629" i="8"/>
  <c r="S645" i="8"/>
  <c r="AD517" i="8"/>
  <c r="I495" i="8"/>
  <c r="I476" i="8"/>
  <c r="AD465" i="8"/>
  <c r="I461" i="8"/>
  <c r="I439" i="8"/>
  <c r="AD409" i="8"/>
  <c r="I405" i="8"/>
  <c r="I383" i="8"/>
  <c r="AN365" i="8"/>
  <c r="AD327" i="8"/>
  <c r="AD308" i="8"/>
  <c r="AD297" i="8"/>
  <c r="I293" i="8"/>
  <c r="AD252" i="8"/>
  <c r="AD241" i="8"/>
  <c r="I237" i="8"/>
  <c r="AN197" i="8"/>
  <c r="I129" i="8"/>
  <c r="AD84" i="8"/>
  <c r="I1082" i="8"/>
  <c r="I1056" i="8"/>
  <c r="AD1026" i="8"/>
  <c r="I1019" i="8"/>
  <c r="I1000" i="8"/>
  <c r="I981" i="8"/>
  <c r="I887" i="8"/>
  <c r="AD812" i="8"/>
  <c r="I797" i="8"/>
  <c r="AD756" i="8"/>
  <c r="AD745" i="8"/>
  <c r="I719" i="8"/>
  <c r="I689" i="8"/>
  <c r="AD685" i="8"/>
  <c r="I644" i="8"/>
  <c r="I626" i="8"/>
  <c r="AD551" i="8"/>
  <c r="I532" i="8"/>
  <c r="S533" i="8"/>
  <c r="AD514" i="8"/>
  <c r="AD495" i="8"/>
  <c r="AD439" i="8"/>
  <c r="I420" i="8"/>
  <c r="AD353" i="8"/>
  <c r="I349" i="8"/>
  <c r="I308" i="8"/>
  <c r="AN309" i="8"/>
  <c r="S309" i="8"/>
  <c r="I252" i="8"/>
  <c r="AN253" i="8"/>
  <c r="S253" i="8"/>
  <c r="AD196" i="8"/>
  <c r="AD185" i="8"/>
  <c r="I181" i="8"/>
  <c r="S197" i="8"/>
  <c r="AD159" i="8"/>
  <c r="I140" i="8"/>
  <c r="AD47" i="8"/>
  <c r="H44" i="38"/>
  <c r="I1112" i="8"/>
  <c r="AN1094" i="8"/>
  <c r="AN1038" i="8"/>
  <c r="AD970" i="8"/>
  <c r="S982" i="8"/>
  <c r="I913" i="8"/>
  <c r="AD868" i="8"/>
  <c r="I633" i="8"/>
  <c r="AD629" i="8"/>
  <c r="I607" i="8"/>
  <c r="I551" i="8"/>
  <c r="I517" i="8"/>
  <c r="AD476" i="8"/>
  <c r="I465" i="8"/>
  <c r="AD461" i="8"/>
  <c r="I409" i="8"/>
  <c r="AD405" i="8"/>
  <c r="I297" i="8"/>
  <c r="AD293" i="8"/>
  <c r="I290" i="8"/>
  <c r="I241" i="8"/>
  <c r="AD237" i="8"/>
  <c r="I234" i="8"/>
  <c r="AD215" i="8"/>
  <c r="I196" i="8"/>
  <c r="S141" i="8"/>
  <c r="AD103" i="8"/>
  <c r="I17" i="8"/>
  <c r="AD1093" i="8"/>
  <c r="I1093" i="8"/>
  <c r="I1037" i="8"/>
  <c r="I1026" i="8"/>
  <c r="I970" i="8"/>
  <c r="I943" i="8"/>
  <c r="I801" i="8"/>
  <c r="AD797" i="8"/>
  <c r="I745" i="8"/>
  <c r="AD741" i="8"/>
  <c r="AD700" i="8"/>
  <c r="AD689" i="8"/>
  <c r="I685" i="8"/>
  <c r="AD626" i="8"/>
  <c r="AD521" i="8"/>
  <c r="AD420" i="8"/>
  <c r="AN421" i="8"/>
  <c r="AD402" i="8"/>
  <c r="AD383" i="8"/>
  <c r="AD364" i="8"/>
  <c r="I353" i="8"/>
  <c r="AD349" i="8"/>
  <c r="I327" i="8"/>
  <c r="AD271" i="8"/>
  <c r="I215" i="8"/>
  <c r="I185" i="8"/>
  <c r="AD181" i="8"/>
  <c r="AD140" i="8"/>
  <c r="I73" i="8"/>
  <c r="S85" i="8"/>
  <c r="I159" i="8"/>
  <c r="I103" i="8"/>
  <c r="AN85" i="8"/>
  <c r="I47" i="8"/>
  <c r="I28" i="8"/>
  <c r="G66" i="38"/>
  <c r="F66" i="38"/>
  <c r="H19" i="38"/>
  <c r="H9" i="38"/>
  <c r="AD129" i="8"/>
  <c r="AN141" i="8"/>
  <c r="I84" i="8"/>
  <c r="AD73" i="8"/>
  <c r="S29" i="8"/>
  <c r="I868" i="8"/>
  <c r="S757" i="8"/>
  <c r="AD663" i="8"/>
  <c r="AD644" i="8"/>
  <c r="AD532" i="8"/>
  <c r="S813" i="8"/>
  <c r="I700" i="8"/>
  <c r="I663" i="8"/>
  <c r="I573" i="8"/>
  <c r="I570" i="8"/>
  <c r="I857" i="8"/>
  <c r="AN869" i="8"/>
  <c r="AD801" i="8"/>
  <c r="I756" i="8"/>
  <c r="AD682" i="8"/>
  <c r="I577" i="8"/>
  <c r="S589" i="8"/>
  <c r="I812" i="8"/>
  <c r="S701" i="8"/>
  <c r="I588" i="8"/>
  <c r="I222" i="8" l="1"/>
  <c r="S200" i="8" s="1"/>
  <c r="AD110" i="8"/>
  <c r="AN91" i="8" s="1"/>
  <c r="AD222" i="8"/>
  <c r="AN200" i="8" s="1"/>
  <c r="I670" i="8"/>
  <c r="S648" i="8" s="1"/>
  <c r="S653" i="8" s="1"/>
  <c r="S655" i="8" s="1"/>
  <c r="AD446" i="8"/>
  <c r="AN424" i="8" s="1"/>
  <c r="I558" i="8"/>
  <c r="S539" i="8" s="1"/>
  <c r="AE92" i="10"/>
  <c r="AE97" i="10"/>
  <c r="AE99" i="10"/>
  <c r="AE66" i="10"/>
  <c r="AE104" i="10"/>
  <c r="AE78" i="10"/>
  <c r="AF78" i="10" s="1"/>
  <c r="AE87" i="10"/>
  <c r="AE101" i="10"/>
  <c r="AE74" i="10"/>
  <c r="AE69" i="10"/>
  <c r="AE83" i="10"/>
  <c r="AE102" i="10"/>
  <c r="AE89" i="10"/>
  <c r="AE88" i="10"/>
  <c r="AE70" i="10"/>
  <c r="AE91" i="10"/>
  <c r="AE84" i="10"/>
  <c r="AE67" i="10"/>
  <c r="AE73" i="10"/>
  <c r="AE103" i="10"/>
  <c r="AD54" i="8"/>
  <c r="AN35" i="8" s="1"/>
  <c r="AE79" i="10"/>
  <c r="AF79" i="10" s="1"/>
  <c r="AE96" i="10"/>
  <c r="AE77" i="10"/>
  <c r="AE98" i="10"/>
  <c r="AE71" i="10"/>
  <c r="AE81" i="10"/>
  <c r="AE76" i="10"/>
  <c r="AE93" i="10"/>
  <c r="AE100" i="10"/>
  <c r="AE82" i="10"/>
  <c r="AE65" i="10"/>
  <c r="AE75" i="10"/>
  <c r="AE94" i="10"/>
  <c r="I1063" i="8"/>
  <c r="S1044" i="8" s="1"/>
  <c r="I334" i="8"/>
  <c r="S315" i="8" s="1"/>
  <c r="AE90" i="10"/>
  <c r="AE72" i="10"/>
  <c r="AE85" i="10"/>
  <c r="H32" i="38"/>
  <c r="H45" i="38" s="1"/>
  <c r="U64" i="17"/>
  <c r="F68" i="38"/>
  <c r="AE925" i="10"/>
  <c r="AE1345" i="10"/>
  <c r="AE1297" i="10"/>
  <c r="AF1297" i="10" s="1"/>
  <c r="AE966" i="10"/>
  <c r="AE806" i="10"/>
  <c r="AE755" i="10"/>
  <c r="AF755" i="10" s="1"/>
  <c r="AE711" i="10"/>
  <c r="AE281" i="10"/>
  <c r="AG312" i="10"/>
  <c r="AE124" i="10"/>
  <c r="AN427" i="8"/>
  <c r="S536" i="8"/>
  <c r="AD726" i="8"/>
  <c r="AN707" i="8" s="1"/>
  <c r="AD558" i="8"/>
  <c r="AD502" i="8"/>
  <c r="AN480" i="8" s="1"/>
  <c r="AD390" i="8"/>
  <c r="AN368" i="8" s="1"/>
  <c r="AD278" i="8"/>
  <c r="AN256" i="8" s="1"/>
  <c r="AD166" i="8"/>
  <c r="AN144" i="8" s="1"/>
  <c r="I1119" i="8"/>
  <c r="S1100" i="8" s="1"/>
  <c r="I950" i="8"/>
  <c r="S931" i="8" s="1"/>
  <c r="I894" i="8"/>
  <c r="S875" i="8" s="1"/>
  <c r="I838" i="8"/>
  <c r="S819" i="8" s="1"/>
  <c r="I782" i="8"/>
  <c r="S763" i="8" s="1"/>
  <c r="I726" i="8"/>
  <c r="S707" i="8" s="1"/>
  <c r="I166" i="8"/>
  <c r="S147" i="8" s="1"/>
  <c r="I278" i="8"/>
  <c r="S256" i="8" s="1"/>
  <c r="I110" i="8"/>
  <c r="S86" i="8" s="1"/>
  <c r="S91" i="8" s="1"/>
  <c r="I54" i="8"/>
  <c r="S35" i="8" s="1"/>
  <c r="AE876" i="10"/>
  <c r="I1007" i="8"/>
  <c r="I390" i="8"/>
  <c r="AD894" i="8"/>
  <c r="AN875" i="8" s="1"/>
  <c r="AD670" i="8"/>
  <c r="AN648" i="8" s="1"/>
  <c r="AN653" i="8" s="1"/>
  <c r="AN655" i="8" s="1"/>
  <c r="AG66" i="10"/>
  <c r="AG82" i="10"/>
  <c r="AG88" i="10"/>
  <c r="AG68" i="10"/>
  <c r="AG70" i="10"/>
  <c r="AG72" i="10"/>
  <c r="AG74" i="10"/>
  <c r="AG76" i="10"/>
  <c r="AG78" i="10"/>
  <c r="AH78" i="10" s="1"/>
  <c r="AG81" i="10"/>
  <c r="AG84" i="10"/>
  <c r="AG90" i="10"/>
  <c r="AG92" i="10"/>
  <c r="AG94" i="10"/>
  <c r="AG97" i="10"/>
  <c r="AG99" i="10"/>
  <c r="AG101" i="10"/>
  <c r="AG103" i="10"/>
  <c r="AG65" i="10"/>
  <c r="AG83" i="10"/>
  <c r="AG87" i="10"/>
  <c r="AG67" i="10"/>
  <c r="AG69" i="10"/>
  <c r="AG71" i="10"/>
  <c r="AG73" i="10"/>
  <c r="AG75" i="10"/>
  <c r="AG77" i="10"/>
  <c r="AG79" i="10"/>
  <c r="AH79" i="10" s="1"/>
  <c r="AG85" i="10"/>
  <c r="AG89" i="10"/>
  <c r="AG91" i="10"/>
  <c r="AG93" i="10"/>
  <c r="AG96" i="10"/>
  <c r="AG98" i="10"/>
  <c r="AG100" i="10"/>
  <c r="AG102" i="10"/>
  <c r="AG104" i="10"/>
  <c r="AD334" i="8"/>
  <c r="I446" i="8"/>
  <c r="I502" i="8"/>
  <c r="AN483" i="8"/>
  <c r="I614" i="8"/>
  <c r="S595" i="8" s="1"/>
  <c r="AN32" i="8"/>
  <c r="S872" i="8"/>
  <c r="AN872" i="8"/>
  <c r="AN371" i="8"/>
  <c r="S816" i="8"/>
  <c r="S1041" i="8"/>
  <c r="AF103" i="10" l="1"/>
  <c r="AE769" i="10"/>
  <c r="AF769" i="10" s="1"/>
  <c r="AG459" i="10"/>
  <c r="AH459" i="10" s="1"/>
  <c r="AN373" i="8"/>
  <c r="AN375" i="8" s="1"/>
  <c r="S312" i="8"/>
  <c r="AG1239" i="10"/>
  <c r="AH1239" i="10" s="1"/>
  <c r="AG1289" i="10"/>
  <c r="AG1184" i="10"/>
  <c r="AG1138" i="10"/>
  <c r="AG811" i="10"/>
  <c r="AH811" i="10" s="1"/>
  <c r="AE776" i="10"/>
  <c r="AF776" i="10" s="1"/>
  <c r="AE773" i="10"/>
  <c r="AF773" i="10" s="1"/>
  <c r="AG604" i="10"/>
  <c r="AG497" i="10"/>
  <c r="AG1075" i="10"/>
  <c r="AG973" i="10"/>
  <c r="AH973" i="10" s="1"/>
  <c r="AG915" i="10"/>
  <c r="AG865" i="10"/>
  <c r="AE817" i="10"/>
  <c r="AF817" i="10" s="1"/>
  <c r="AE777" i="10"/>
  <c r="AF777" i="10" s="1"/>
  <c r="AG708" i="10"/>
  <c r="AG193" i="10"/>
  <c r="AN203" i="8"/>
  <c r="AN205" i="8" s="1"/>
  <c r="AN207" i="8" s="1"/>
  <c r="S203" i="8"/>
  <c r="S205" i="8" s="1"/>
  <c r="S207" i="8" s="1"/>
  <c r="AN147" i="8"/>
  <c r="AN149" i="8" s="1"/>
  <c r="AN151" i="8" s="1"/>
  <c r="AN88" i="8"/>
  <c r="AN93" i="8" s="1"/>
  <c r="AN95" i="8" s="1"/>
  <c r="U65" i="17"/>
  <c r="AG1350" i="10"/>
  <c r="AE993" i="10"/>
  <c r="AF993" i="10" s="1"/>
  <c r="AE826" i="10"/>
  <c r="AF826" i="10" s="1"/>
  <c r="AE831" i="10"/>
  <c r="AF831" i="10" s="1"/>
  <c r="AE809" i="10"/>
  <c r="AF809" i="10" s="1"/>
  <c r="AE830" i="10"/>
  <c r="AF830" i="10" s="1"/>
  <c r="AE840" i="10"/>
  <c r="AF840" i="10" s="1"/>
  <c r="AE814" i="10"/>
  <c r="AF814" i="10" s="1"/>
  <c r="AE822" i="10"/>
  <c r="AF822" i="10" s="1"/>
  <c r="AG1396" i="10"/>
  <c r="AH1396" i="10" s="1"/>
  <c r="AE913" i="10"/>
  <c r="AG761" i="10"/>
  <c r="AH761" i="10" s="1"/>
  <c r="S1046" i="8"/>
  <c r="S1048" i="8" s="1"/>
  <c r="S1097" i="8"/>
  <c r="S1102" i="8" s="1"/>
  <c r="S1104" i="8" s="1"/>
  <c r="AN704" i="8"/>
  <c r="S928" i="8"/>
  <c r="S933" i="8" s="1"/>
  <c r="S935" i="8" s="1"/>
  <c r="AN259" i="8"/>
  <c r="AN261" i="8" s="1"/>
  <c r="AN263" i="8" s="1"/>
  <c r="AE835" i="10"/>
  <c r="AF835" i="10" s="1"/>
  <c r="AE811" i="10"/>
  <c r="AF811" i="10" s="1"/>
  <c r="AE841" i="10"/>
  <c r="AF841" i="10" s="1"/>
  <c r="AE815" i="10"/>
  <c r="AF815" i="10" s="1"/>
  <c r="AE829" i="10"/>
  <c r="AF829" i="10" s="1"/>
  <c r="AE839" i="10"/>
  <c r="AF839" i="10" s="1"/>
  <c r="AE820" i="10"/>
  <c r="AF820" i="10" s="1"/>
  <c r="AE825" i="10"/>
  <c r="AF825" i="10" s="1"/>
  <c r="AE808" i="10"/>
  <c r="AF808" i="10" s="1"/>
  <c r="S259" i="8"/>
  <c r="S261" i="8" s="1"/>
  <c r="S263" i="8" s="1"/>
  <c r="AE813" i="10"/>
  <c r="AF813" i="10" s="1"/>
  <c r="AE816" i="10"/>
  <c r="AF816" i="10" s="1"/>
  <c r="AE843" i="10"/>
  <c r="AF843" i="10" s="1"/>
  <c r="AE834" i="10"/>
  <c r="AF834" i="10" s="1"/>
  <c r="AE845" i="10"/>
  <c r="AF845" i="10" s="1"/>
  <c r="AE812" i="10"/>
  <c r="AF812" i="10" s="1"/>
  <c r="AE838" i="10"/>
  <c r="AF838" i="10" s="1"/>
  <c r="AE819" i="10"/>
  <c r="AF819" i="10" s="1"/>
  <c r="AE824" i="10"/>
  <c r="AF824" i="10" s="1"/>
  <c r="AE807" i="10"/>
  <c r="AF807" i="10" s="1"/>
  <c r="AN429" i="8"/>
  <c r="AN431" i="8" s="1"/>
  <c r="AE828" i="10"/>
  <c r="AF828" i="10" s="1"/>
  <c r="AE844" i="10"/>
  <c r="AF844" i="10" s="1"/>
  <c r="AE833" i="10"/>
  <c r="AF833" i="10" s="1"/>
  <c r="AE832" i="10"/>
  <c r="AF832" i="10" s="1"/>
  <c r="AE842" i="10"/>
  <c r="AF842" i="10" s="1"/>
  <c r="AE810" i="10"/>
  <c r="AF810" i="10" s="1"/>
  <c r="AE837" i="10"/>
  <c r="AF837" i="10" s="1"/>
  <c r="AE818" i="10"/>
  <c r="AF818" i="10" s="1"/>
  <c r="AE823" i="10"/>
  <c r="AF823" i="10" s="1"/>
  <c r="AH84" i="10"/>
  <c r="AH96" i="10"/>
  <c r="AH67" i="10"/>
  <c r="AH98" i="10"/>
  <c r="AH74" i="10"/>
  <c r="AF96" i="10"/>
  <c r="AF65" i="10"/>
  <c r="AG1508" i="10"/>
  <c r="AH1508" i="10" s="1"/>
  <c r="AE999" i="10"/>
  <c r="AE781" i="10"/>
  <c r="AF781" i="10" s="1"/>
  <c r="AE787" i="10"/>
  <c r="AF787" i="10" s="1"/>
  <c r="AE756" i="10"/>
  <c r="AF756" i="10" s="1"/>
  <c r="AE764" i="10"/>
  <c r="AF764" i="10" s="1"/>
  <c r="AE791" i="10"/>
  <c r="AF791" i="10" s="1"/>
  <c r="AE782" i="10"/>
  <c r="AF782" i="10" s="1"/>
  <c r="AE778" i="10"/>
  <c r="AF778" i="10" s="1"/>
  <c r="AE763" i="10"/>
  <c r="AF763" i="10" s="1"/>
  <c r="AE760" i="10"/>
  <c r="AF760" i="10" s="1"/>
  <c r="AE785" i="10"/>
  <c r="AF785" i="10" s="1"/>
  <c r="AE766" i="10"/>
  <c r="AF766" i="10" s="1"/>
  <c r="AE789" i="10"/>
  <c r="AF789" i="10" s="1"/>
  <c r="AE771" i="10"/>
  <c r="AF771" i="10" s="1"/>
  <c r="AE754" i="10"/>
  <c r="AF754" i="10" s="1"/>
  <c r="AE792" i="10"/>
  <c r="AF792" i="10" s="1"/>
  <c r="AE759" i="10"/>
  <c r="AF759" i="10" s="1"/>
  <c r="AE779" i="10"/>
  <c r="AF779" i="10" s="1"/>
  <c r="AE761" i="10"/>
  <c r="AF761" i="10" s="1"/>
  <c r="AE758" i="10"/>
  <c r="AF758" i="10" s="1"/>
  <c r="AE784" i="10"/>
  <c r="AF784" i="10" s="1"/>
  <c r="AE765" i="10"/>
  <c r="AF765" i="10" s="1"/>
  <c r="AE788" i="10"/>
  <c r="AF788" i="10" s="1"/>
  <c r="AE770" i="10"/>
  <c r="AF770" i="10" s="1"/>
  <c r="AE753" i="10"/>
  <c r="AE762" i="10"/>
  <c r="AF762" i="10" s="1"/>
  <c r="AE757" i="10"/>
  <c r="AF757" i="10" s="1"/>
  <c r="AE780" i="10"/>
  <c r="AF780" i="10" s="1"/>
  <c r="AE775" i="10"/>
  <c r="AF775" i="10" s="1"/>
  <c r="AE786" i="10"/>
  <c r="AF786" i="10" s="1"/>
  <c r="AE767" i="10"/>
  <c r="AF767" i="10" s="1"/>
  <c r="AE790" i="10"/>
  <c r="AF790" i="10" s="1"/>
  <c r="AE772" i="10"/>
  <c r="AF772" i="10" s="1"/>
  <c r="AE703" i="10"/>
  <c r="AE726" i="10"/>
  <c r="AE725" i="10"/>
  <c r="AE735" i="10"/>
  <c r="AF102" i="10"/>
  <c r="AF84" i="10"/>
  <c r="AE734" i="10"/>
  <c r="AE717" i="10"/>
  <c r="AF717" i="10" s="1"/>
  <c r="AE722" i="10"/>
  <c r="AE716" i="10"/>
  <c r="AE710" i="10"/>
  <c r="AF710" i="10" s="1"/>
  <c r="AF87" i="10"/>
  <c r="AF94" i="10"/>
  <c r="AG11" i="10"/>
  <c r="AE724" i="10"/>
  <c r="AE705" i="10"/>
  <c r="AE723" i="10"/>
  <c r="AE733" i="10"/>
  <c r="AE714" i="10"/>
  <c r="AE738" i="10"/>
  <c r="AF738" i="10" s="1"/>
  <c r="AE720" i="10"/>
  <c r="AE707" i="10"/>
  <c r="AE709" i="10"/>
  <c r="AF85" i="10"/>
  <c r="AF90" i="10"/>
  <c r="AF99" i="10"/>
  <c r="AF73" i="10"/>
  <c r="AF83" i="10"/>
  <c r="AF98" i="10"/>
  <c r="AF77" i="10"/>
  <c r="AE712" i="10"/>
  <c r="AF712" i="10" s="1"/>
  <c r="AE729" i="10"/>
  <c r="AE702" i="10"/>
  <c r="AE704" i="10"/>
  <c r="AE732" i="10"/>
  <c r="AE713" i="10"/>
  <c r="AE737" i="10"/>
  <c r="AE719" i="10"/>
  <c r="AE700" i="10"/>
  <c r="AE708" i="10"/>
  <c r="AF81" i="10"/>
  <c r="AF75" i="10"/>
  <c r="AF82" i="10"/>
  <c r="AF93" i="10"/>
  <c r="AF68" i="10"/>
  <c r="AF92" i="10"/>
  <c r="AF101" i="10"/>
  <c r="AE727" i="10"/>
  <c r="AE728" i="10"/>
  <c r="AE739" i="10"/>
  <c r="AE701" i="10"/>
  <c r="AE731" i="10"/>
  <c r="AE706" i="10"/>
  <c r="AE736" i="10"/>
  <c r="AE718" i="10"/>
  <c r="AF71" i="10"/>
  <c r="AF97" i="10"/>
  <c r="AF104" i="10"/>
  <c r="AF88" i="10"/>
  <c r="AF100" i="10"/>
  <c r="AF89" i="10"/>
  <c r="AF69" i="10"/>
  <c r="AE297" i="10"/>
  <c r="AE308" i="10"/>
  <c r="AE282" i="10"/>
  <c r="AE287" i="10"/>
  <c r="AE310" i="10"/>
  <c r="AE280" i="10"/>
  <c r="AE286" i="10"/>
  <c r="AE283" i="10"/>
  <c r="AE311" i="10"/>
  <c r="AE316" i="10"/>
  <c r="AE314" i="10"/>
  <c r="AE293" i="10"/>
  <c r="AE313" i="10"/>
  <c r="AE299" i="10"/>
  <c r="AE279" i="10"/>
  <c r="AE296" i="10"/>
  <c r="AE315" i="10"/>
  <c r="AE304" i="10"/>
  <c r="AE291" i="10"/>
  <c r="AG227" i="10"/>
  <c r="AE105" i="10"/>
  <c r="AE1004" i="10"/>
  <c r="AF1004" i="10" s="1"/>
  <c r="AE990" i="10"/>
  <c r="AE986" i="10"/>
  <c r="AF986" i="10" s="1"/>
  <c r="AE980" i="10"/>
  <c r="AF980" i="10" s="1"/>
  <c r="AE979" i="10"/>
  <c r="AE969" i="10"/>
  <c r="AE972" i="10"/>
  <c r="AE130" i="10"/>
  <c r="AE138" i="10"/>
  <c r="AE971" i="10"/>
  <c r="AE984" i="10"/>
  <c r="AE1000" i="10"/>
  <c r="AE982" i="10"/>
  <c r="AE1005" i="10"/>
  <c r="AE997" i="10"/>
  <c r="AF997" i="10" s="1"/>
  <c r="AE988" i="10"/>
  <c r="AE978" i="10"/>
  <c r="AF978" i="10" s="1"/>
  <c r="AE970" i="10"/>
  <c r="AE129" i="10"/>
  <c r="AE123" i="10"/>
  <c r="AH88" i="10"/>
  <c r="AH99" i="10"/>
  <c r="AH97" i="10"/>
  <c r="AH71" i="10"/>
  <c r="AH77" i="10"/>
  <c r="AH90" i="10"/>
  <c r="AH68" i="10"/>
  <c r="AH92" i="10"/>
  <c r="AH82" i="10"/>
  <c r="AE998" i="10"/>
  <c r="AF998" i="10" s="1"/>
  <c r="AE975" i="10"/>
  <c r="AE995" i="10"/>
  <c r="AE977" i="10"/>
  <c r="AE1003" i="10"/>
  <c r="AE994" i="10"/>
  <c r="AF994" i="10" s="1"/>
  <c r="AE985" i="10"/>
  <c r="AE976" i="10"/>
  <c r="AE968" i="10"/>
  <c r="AE153" i="10"/>
  <c r="AE143" i="10"/>
  <c r="AH100" i="10"/>
  <c r="AH93" i="10"/>
  <c r="AH94" i="10"/>
  <c r="AH103" i="10"/>
  <c r="AH69" i="10"/>
  <c r="AH87" i="10"/>
  <c r="AH72" i="10"/>
  <c r="AE989" i="10"/>
  <c r="AF989" i="10" s="1"/>
  <c r="AE1002" i="10"/>
  <c r="AF1002" i="10" s="1"/>
  <c r="AE967" i="10"/>
  <c r="AE991" i="10"/>
  <c r="AE973" i="10"/>
  <c r="AF973" i="10" s="1"/>
  <c r="AE1001" i="10"/>
  <c r="AE992" i="10"/>
  <c r="AE983" i="10"/>
  <c r="AF983" i="10" s="1"/>
  <c r="AE974" i="10"/>
  <c r="AE132" i="10"/>
  <c r="AH85" i="10"/>
  <c r="AH83" i="10"/>
  <c r="AH89" i="10"/>
  <c r="AH104" i="10"/>
  <c r="AH70" i="10"/>
  <c r="S704" i="8"/>
  <c r="S709" i="8" s="1"/>
  <c r="S711" i="8" s="1"/>
  <c r="S144" i="8"/>
  <c r="S149" i="8" s="1"/>
  <c r="S151" i="8" s="1"/>
  <c r="S32" i="8"/>
  <c r="S37" i="8" s="1"/>
  <c r="S39" i="8" s="1"/>
  <c r="S760" i="8"/>
  <c r="S765" i="8" s="1"/>
  <c r="S767" i="8" s="1"/>
  <c r="S541" i="8"/>
  <c r="S543" i="8" s="1"/>
  <c r="S317" i="8"/>
  <c r="S319" i="8" s="1"/>
  <c r="AH102" i="10"/>
  <c r="AH76" i="10"/>
  <c r="AH73" i="10"/>
  <c r="AH91" i="10"/>
  <c r="AH66" i="10"/>
  <c r="AH81" i="10"/>
  <c r="AH101" i="10"/>
  <c r="AH75" i="10"/>
  <c r="AC1474" i="10"/>
  <c r="AD1474" i="10" s="1"/>
  <c r="AE1360" i="10"/>
  <c r="AE1362" i="10"/>
  <c r="AE1357" i="10"/>
  <c r="AE1375" i="10"/>
  <c r="AF1375" i="10" s="1"/>
  <c r="AE1373" i="10"/>
  <c r="AF1373" i="10" s="1"/>
  <c r="AE1344" i="10"/>
  <c r="AF1344" i="10" s="1"/>
  <c r="AE1343" i="10"/>
  <c r="AE1355" i="10"/>
  <c r="AE1366" i="10"/>
  <c r="AE1338" i="10"/>
  <c r="AE1349" i="10"/>
  <c r="AF1349" i="10" s="1"/>
  <c r="AE1368" i="10"/>
  <c r="AE1348" i="10"/>
  <c r="AE1359" i="10"/>
  <c r="AE1351" i="10"/>
  <c r="AE1365" i="10"/>
  <c r="AE1347" i="10"/>
  <c r="AF1347" i="10" s="1"/>
  <c r="AE1372" i="10"/>
  <c r="AE1354" i="10"/>
  <c r="AE1337" i="10"/>
  <c r="AE1369" i="10"/>
  <c r="AE1340" i="10"/>
  <c r="AE1341" i="10"/>
  <c r="AE1342" i="10"/>
  <c r="AE1364" i="10"/>
  <c r="AE1346" i="10"/>
  <c r="AE1371" i="10"/>
  <c r="AF1371" i="10" s="1"/>
  <c r="AE1353" i="10"/>
  <c r="AE1361" i="10"/>
  <c r="AE1350" i="10"/>
  <c r="AE1376" i="10"/>
  <c r="AE1370" i="10"/>
  <c r="AE1374" i="10"/>
  <c r="AE1356" i="10"/>
  <c r="AE1339" i="10"/>
  <c r="AE1363" i="10"/>
  <c r="AE1322" i="10"/>
  <c r="AE1308" i="10"/>
  <c r="AF1308" i="10" s="1"/>
  <c r="AE1313" i="10"/>
  <c r="AE1285" i="10"/>
  <c r="AF1285" i="10" s="1"/>
  <c r="AE1287" i="10"/>
  <c r="AE1323" i="10"/>
  <c r="AE1309" i="10"/>
  <c r="AE1290" i="10"/>
  <c r="AE1286" i="10"/>
  <c r="AE1291" i="10"/>
  <c r="AE1306" i="10"/>
  <c r="AE1295" i="10"/>
  <c r="AE1315" i="10"/>
  <c r="AE1301" i="10"/>
  <c r="AE1307" i="10"/>
  <c r="AE1320" i="10"/>
  <c r="AE1294" i="10"/>
  <c r="AE1288" i="10"/>
  <c r="AE1311" i="10"/>
  <c r="AE1304" i="10"/>
  <c r="AE1318" i="10"/>
  <c r="AE1300" i="10"/>
  <c r="AE1317" i="10"/>
  <c r="AE1298" i="10"/>
  <c r="AF1298" i="10" s="1"/>
  <c r="AE1302" i="10"/>
  <c r="AE1321" i="10"/>
  <c r="AE1319" i="10"/>
  <c r="AE1284" i="10"/>
  <c r="AE1289" i="10"/>
  <c r="AE1312" i="10"/>
  <c r="AE1293" i="10"/>
  <c r="AE1303" i="10"/>
  <c r="AF1303" i="10" s="1"/>
  <c r="AE1296" i="10"/>
  <c r="AE1310" i="10"/>
  <c r="AE1292" i="10"/>
  <c r="AE1316" i="10"/>
  <c r="AG1027" i="10"/>
  <c r="AE914" i="10"/>
  <c r="AE950" i="10"/>
  <c r="AE933" i="10"/>
  <c r="AE917" i="10"/>
  <c r="AE952" i="10"/>
  <c r="AE921" i="10"/>
  <c r="AE927" i="10"/>
  <c r="AF927" i="10" s="1"/>
  <c r="AE920" i="10"/>
  <c r="AE930" i="10"/>
  <c r="AE923" i="10"/>
  <c r="AE942" i="10"/>
  <c r="AE944" i="10"/>
  <c r="AE935" i="10"/>
  <c r="AE922" i="10"/>
  <c r="AE916" i="10"/>
  <c r="AE932" i="10"/>
  <c r="AE938" i="10"/>
  <c r="AE926" i="10"/>
  <c r="AF926" i="10" s="1"/>
  <c r="AE941" i="10"/>
  <c r="AE949" i="10"/>
  <c r="AE939" i="10"/>
  <c r="AE947" i="10"/>
  <c r="AE915" i="10"/>
  <c r="AE946" i="10"/>
  <c r="AE929" i="10"/>
  <c r="AE936" i="10"/>
  <c r="AE918" i="10"/>
  <c r="AE945" i="10"/>
  <c r="AE940" i="10"/>
  <c r="AE931" i="10"/>
  <c r="AE951" i="10"/>
  <c r="AE924" i="10"/>
  <c r="AE948" i="10"/>
  <c r="AE937" i="10"/>
  <c r="AE919" i="10"/>
  <c r="AE864" i="10"/>
  <c r="AE887" i="10"/>
  <c r="AE888" i="10"/>
  <c r="AE893" i="10"/>
  <c r="AE880" i="10"/>
  <c r="AE866" i="10"/>
  <c r="AE874" i="10"/>
  <c r="AF874" i="10" s="1"/>
  <c r="AE892" i="10"/>
  <c r="AE886" i="10"/>
  <c r="AE884" i="10"/>
  <c r="AE862" i="10"/>
  <c r="AE869" i="10"/>
  <c r="AE871" i="10"/>
  <c r="AE885" i="10"/>
  <c r="AE863" i="10"/>
  <c r="AE883" i="10"/>
  <c r="AE896" i="10"/>
  <c r="AE878" i="10"/>
  <c r="AE861" i="10"/>
  <c r="AE898" i="10"/>
  <c r="AE872" i="10"/>
  <c r="AE868" i="10"/>
  <c r="AE882" i="10"/>
  <c r="AE897" i="10"/>
  <c r="AE870" i="10"/>
  <c r="AE895" i="10"/>
  <c r="AE877" i="10"/>
  <c r="AE860" i="10"/>
  <c r="AE899" i="10"/>
  <c r="AE879" i="10"/>
  <c r="AE891" i="10"/>
  <c r="AE865" i="10"/>
  <c r="AE873" i="10"/>
  <c r="AF873" i="10" s="1"/>
  <c r="AE889" i="10"/>
  <c r="AE867" i="10"/>
  <c r="AE894" i="10"/>
  <c r="AE301" i="10"/>
  <c r="AE306" i="10"/>
  <c r="AE288" i="10"/>
  <c r="AE284" i="10"/>
  <c r="AE295" i="10"/>
  <c r="AE312" i="10"/>
  <c r="AE309" i="10"/>
  <c r="AE294" i="10"/>
  <c r="AE285" i="10"/>
  <c r="AE277" i="10"/>
  <c r="AE290" i="10"/>
  <c r="AF290" i="10" s="1"/>
  <c r="AE302" i="10"/>
  <c r="AE305" i="10"/>
  <c r="AE278" i="10"/>
  <c r="AE303" i="10"/>
  <c r="AE300" i="10"/>
  <c r="AE289" i="10"/>
  <c r="AE118" i="10"/>
  <c r="AE127" i="10"/>
  <c r="AE131" i="10"/>
  <c r="AE135" i="10"/>
  <c r="AE141" i="10"/>
  <c r="AE145" i="10"/>
  <c r="AE128" i="10"/>
  <c r="AE151" i="10"/>
  <c r="AE156" i="10"/>
  <c r="AE121" i="10"/>
  <c r="AE125" i="10"/>
  <c r="AE147" i="10"/>
  <c r="AE149" i="10"/>
  <c r="AE152" i="10"/>
  <c r="AE134" i="10"/>
  <c r="AE157" i="10"/>
  <c r="AE140" i="10"/>
  <c r="AE122" i="10"/>
  <c r="AE144" i="10"/>
  <c r="AE126" i="10"/>
  <c r="AE150" i="10"/>
  <c r="AE146" i="10"/>
  <c r="AE154" i="10"/>
  <c r="AE136" i="10"/>
  <c r="AE119" i="10"/>
  <c r="AE155" i="10"/>
  <c r="AE137" i="10"/>
  <c r="AE120" i="10"/>
  <c r="AE142" i="10"/>
  <c r="AG1262" i="10"/>
  <c r="AH1262" i="10" s="1"/>
  <c r="AG1259" i="10"/>
  <c r="AH1259" i="10" s="1"/>
  <c r="AG1266" i="10"/>
  <c r="AH1266" i="10" s="1"/>
  <c r="AG1264" i="10"/>
  <c r="AH1264" i="10" s="1"/>
  <c r="AG1247" i="10"/>
  <c r="AH1247" i="10" s="1"/>
  <c r="AG1242" i="10"/>
  <c r="AH1242" i="10" s="1"/>
  <c r="AG1143" i="10"/>
  <c r="AG1132" i="10"/>
  <c r="AG1161" i="10"/>
  <c r="AH1161" i="10" s="1"/>
  <c r="AG1156" i="10"/>
  <c r="AH1156" i="10" s="1"/>
  <c r="AG1163" i="10"/>
  <c r="AG1136" i="10"/>
  <c r="AH1136" i="10" s="1"/>
  <c r="AG1137" i="10"/>
  <c r="AH1137" i="10" s="1"/>
  <c r="AG1134" i="10"/>
  <c r="AG1150" i="10"/>
  <c r="AG1141" i="10"/>
  <c r="AG1125" i="10"/>
  <c r="AG1142" i="10"/>
  <c r="AG1151" i="10"/>
  <c r="S877" i="8"/>
  <c r="S879" i="8" s="1"/>
  <c r="S821" i="8"/>
  <c r="S823" i="8" s="1"/>
  <c r="AN485" i="8"/>
  <c r="AN487" i="8" s="1"/>
  <c r="S88" i="8"/>
  <c r="S93" i="8" s="1"/>
  <c r="S95" i="8" s="1"/>
  <c r="S427" i="8"/>
  <c r="S424" i="8"/>
  <c r="S368" i="8"/>
  <c r="S371" i="8"/>
  <c r="AN709" i="8"/>
  <c r="AN711" i="8" s="1"/>
  <c r="AH65" i="10"/>
  <c r="AG105" i="10"/>
  <c r="S988" i="8"/>
  <c r="S985" i="8"/>
  <c r="S480" i="8"/>
  <c r="S483" i="8"/>
  <c r="AN312" i="8"/>
  <c r="AN315" i="8"/>
  <c r="AG1391" i="10"/>
  <c r="AH1391" i="10" s="1"/>
  <c r="AG1408" i="10"/>
  <c r="AH1408" i="10" s="1"/>
  <c r="AG1426" i="10"/>
  <c r="AH1426" i="10" s="1"/>
  <c r="AG1392" i="10"/>
  <c r="AH1392" i="10" s="1"/>
  <c r="AG1409" i="10"/>
  <c r="AH1409" i="10" s="1"/>
  <c r="AG1429" i="10"/>
  <c r="AH1429" i="10" s="1"/>
  <c r="AG1410" i="10"/>
  <c r="AH1410" i="10" s="1"/>
  <c r="AG1421" i="10"/>
  <c r="AH1421" i="10" s="1"/>
  <c r="AG971" i="10"/>
  <c r="AE595" i="10"/>
  <c r="AE596" i="10"/>
  <c r="AE597" i="10"/>
  <c r="AE599" i="10"/>
  <c r="AE607" i="10"/>
  <c r="AE608" i="10"/>
  <c r="AE617" i="10"/>
  <c r="AE618" i="10"/>
  <c r="AE626" i="10"/>
  <c r="AE627" i="10"/>
  <c r="AE603" i="10"/>
  <c r="AE604" i="10"/>
  <c r="AE612" i="10"/>
  <c r="AE613" i="10"/>
  <c r="AE621" i="10"/>
  <c r="AE622" i="10"/>
  <c r="AE630" i="10"/>
  <c r="AE631" i="10"/>
  <c r="AE601" i="10"/>
  <c r="AF601" i="10" s="1"/>
  <c r="AE605" i="10"/>
  <c r="AE616" i="10"/>
  <c r="AE623" i="10"/>
  <c r="AE633" i="10"/>
  <c r="AE610" i="10"/>
  <c r="AE620" i="10"/>
  <c r="AE628" i="10"/>
  <c r="AE594" i="10"/>
  <c r="AE611" i="10"/>
  <c r="AE619" i="10"/>
  <c r="AE600" i="10"/>
  <c r="AE625" i="10"/>
  <c r="AE632" i="10"/>
  <c r="AE598" i="10"/>
  <c r="AE606" i="10"/>
  <c r="AE614" i="10"/>
  <c r="AE602" i="10"/>
  <c r="AE629" i="10"/>
  <c r="AE1077" i="10"/>
  <c r="AE1078" i="10"/>
  <c r="AE1085" i="10"/>
  <c r="AF1085" i="10" s="1"/>
  <c r="AE1086" i="10"/>
  <c r="AE1095" i="10"/>
  <c r="AE1096" i="10"/>
  <c r="AE1104" i="10"/>
  <c r="AE1105" i="10"/>
  <c r="AE1072" i="10"/>
  <c r="AE1079" i="10"/>
  <c r="AE1080" i="10"/>
  <c r="AE1088" i="10"/>
  <c r="AE1089" i="10"/>
  <c r="AF1089" i="10" s="1"/>
  <c r="AE1097" i="10"/>
  <c r="AE1098" i="10"/>
  <c r="AE1106" i="10"/>
  <c r="AF1106" i="10" s="1"/>
  <c r="AE1107" i="10"/>
  <c r="AF1107" i="10" s="1"/>
  <c r="AE1076" i="10"/>
  <c r="AE1083" i="10"/>
  <c r="AE1094" i="10"/>
  <c r="AE1101" i="10"/>
  <c r="AE1111" i="10"/>
  <c r="AE1082" i="10"/>
  <c r="AE1090" i="10"/>
  <c r="AF1090" i="10" s="1"/>
  <c r="AE1100" i="10"/>
  <c r="AE1108" i="10"/>
  <c r="AF1108" i="10" s="1"/>
  <c r="AE1073" i="10"/>
  <c r="AE1075" i="10"/>
  <c r="AE1103" i="10"/>
  <c r="AE1110" i="10"/>
  <c r="AF1110" i="10" s="1"/>
  <c r="AE1091" i="10"/>
  <c r="AE1099" i="10"/>
  <c r="AE1084" i="10"/>
  <c r="AE1092" i="10"/>
  <c r="AE1074" i="10"/>
  <c r="AE1081" i="10"/>
  <c r="AE1109" i="10"/>
  <c r="AF1109" i="10" s="1"/>
  <c r="AF806" i="10"/>
  <c r="AG1347" i="10"/>
  <c r="AH1347" i="10" s="1"/>
  <c r="AG1364" i="10"/>
  <c r="AG1371" i="10"/>
  <c r="AH1371" i="10" s="1"/>
  <c r="AE1179" i="10"/>
  <c r="AE1180" i="10"/>
  <c r="AE1187" i="10"/>
  <c r="AE1188" i="10"/>
  <c r="AF1188" i="10" s="1"/>
  <c r="AE1196" i="10"/>
  <c r="AF1196" i="10" s="1"/>
  <c r="AE1197" i="10"/>
  <c r="AE1205" i="10"/>
  <c r="AE1206" i="10"/>
  <c r="AE1214" i="10"/>
  <c r="AF1214" i="10" s="1"/>
  <c r="AE1215" i="10"/>
  <c r="AE1181" i="10"/>
  <c r="AE1182" i="10"/>
  <c r="AE1189" i="10"/>
  <c r="AE1190" i="10"/>
  <c r="AF1190" i="10" s="1"/>
  <c r="AE1198" i="10"/>
  <c r="AE1200" i="10"/>
  <c r="AE1207" i="10"/>
  <c r="AE1209" i="10"/>
  <c r="AE1216" i="10"/>
  <c r="AE1217" i="10"/>
  <c r="AE1186" i="10"/>
  <c r="AE1194" i="10"/>
  <c r="AE1204" i="10"/>
  <c r="AE1212" i="10"/>
  <c r="AE1183" i="10"/>
  <c r="AE1192" i="10"/>
  <c r="AE1201" i="10"/>
  <c r="AE1211" i="10"/>
  <c r="AE1178" i="10"/>
  <c r="AE1185" i="10"/>
  <c r="AF1185" i="10" s="1"/>
  <c r="AE1213" i="10"/>
  <c r="AF1213" i="10" s="1"/>
  <c r="AE1202" i="10"/>
  <c r="AE1210" i="10"/>
  <c r="AE1184" i="10"/>
  <c r="AE1195" i="10"/>
  <c r="AF1195" i="10" s="1"/>
  <c r="AE1203" i="10"/>
  <c r="AE1191" i="10"/>
  <c r="AE12" i="10"/>
  <c r="AE13" i="10"/>
  <c r="AE20" i="10"/>
  <c r="AE21" i="10"/>
  <c r="AE29" i="10"/>
  <c r="AE30" i="10"/>
  <c r="AE38" i="10"/>
  <c r="AE39" i="10"/>
  <c r="AE47" i="10"/>
  <c r="AF47" i="10" s="1"/>
  <c r="AE48" i="10"/>
  <c r="AE14" i="10"/>
  <c r="AE15" i="10"/>
  <c r="AE22" i="10"/>
  <c r="AE23" i="10"/>
  <c r="AE31" i="10"/>
  <c r="AE33" i="10"/>
  <c r="AE40" i="10"/>
  <c r="AE42" i="10"/>
  <c r="AE49" i="10"/>
  <c r="AE50" i="10"/>
  <c r="AE16" i="10"/>
  <c r="AE17" i="10"/>
  <c r="AE24" i="10"/>
  <c r="AE25" i="10"/>
  <c r="AE34" i="10"/>
  <c r="AE35" i="10"/>
  <c r="AE43" i="10"/>
  <c r="AE44" i="10"/>
  <c r="AE28" i="10"/>
  <c r="AE36" i="10"/>
  <c r="AE11" i="10"/>
  <c r="AE18" i="10"/>
  <c r="AE46" i="10"/>
  <c r="AE37" i="10"/>
  <c r="AE45" i="10"/>
  <c r="AE27" i="10"/>
  <c r="AE19" i="10"/>
  <c r="AG814" i="10"/>
  <c r="AH814" i="10" s="1"/>
  <c r="AE171" i="10"/>
  <c r="AE172" i="10"/>
  <c r="AE173" i="10"/>
  <c r="AE177" i="10"/>
  <c r="AE181" i="10"/>
  <c r="AE185" i="10"/>
  <c r="AE190" i="10"/>
  <c r="AE176" i="10"/>
  <c r="AE180" i="10"/>
  <c r="AE184" i="10"/>
  <c r="AE189" i="10"/>
  <c r="AE194" i="10"/>
  <c r="AE198" i="10"/>
  <c r="AE203" i="10"/>
  <c r="AE207" i="10"/>
  <c r="AE175" i="10"/>
  <c r="AE179" i="10"/>
  <c r="AE183" i="10"/>
  <c r="AE188" i="10"/>
  <c r="AE193" i="10"/>
  <c r="AE197" i="10"/>
  <c r="AE202" i="10"/>
  <c r="AE206" i="10"/>
  <c r="AE210" i="10"/>
  <c r="AE187" i="10"/>
  <c r="AE195" i="10"/>
  <c r="AE204" i="10"/>
  <c r="AE178" i="10"/>
  <c r="AE199" i="10"/>
  <c r="AE208" i="10"/>
  <c r="AE174" i="10"/>
  <c r="AE200" i="10"/>
  <c r="AE196" i="10"/>
  <c r="AE205" i="10"/>
  <c r="AE209" i="10"/>
  <c r="AF209" i="10" s="1"/>
  <c r="AE191" i="10"/>
  <c r="AE182" i="10"/>
  <c r="AG653" i="10"/>
  <c r="AH653" i="10" s="1"/>
  <c r="AG654" i="10"/>
  <c r="AG661" i="10"/>
  <c r="AG663" i="10"/>
  <c r="AG671" i="10"/>
  <c r="AG672" i="10"/>
  <c r="AG679" i="10"/>
  <c r="AH679" i="10" s="1"/>
  <c r="AG680" i="10"/>
  <c r="AH680" i="10" s="1"/>
  <c r="AG681" i="10"/>
  <c r="AG682" i="10"/>
  <c r="AH682" i="10" s="1"/>
  <c r="AG649" i="10"/>
  <c r="AG650" i="10"/>
  <c r="AG651" i="10"/>
  <c r="AG656" i="10"/>
  <c r="AG657" i="10"/>
  <c r="AG664" i="10"/>
  <c r="AH664" i="10" s="1"/>
  <c r="AG676" i="10"/>
  <c r="AH676" i="10" s="1"/>
  <c r="AG684" i="10"/>
  <c r="AH684" i="10" s="1"/>
  <c r="AG648" i="10"/>
  <c r="AH648" i="10" s="1"/>
  <c r="AG655" i="10"/>
  <c r="AG670" i="10"/>
  <c r="AH670" i="10" s="1"/>
  <c r="AG675" i="10"/>
  <c r="AG683" i="10"/>
  <c r="AH683" i="10" s="1"/>
  <c r="AG647" i="10"/>
  <c r="AG659" i="10"/>
  <c r="AG665" i="10"/>
  <c r="AH665" i="10" s="1"/>
  <c r="AG673" i="10"/>
  <c r="AH673" i="10" s="1"/>
  <c r="AG685" i="10"/>
  <c r="AH685" i="10" s="1"/>
  <c r="AG652" i="10"/>
  <c r="AG660" i="10"/>
  <c r="AH660" i="10" s="1"/>
  <c r="AG669" i="10"/>
  <c r="AH669" i="10" s="1"/>
  <c r="AG674" i="10"/>
  <c r="AG686" i="10"/>
  <c r="AH686" i="10" s="1"/>
  <c r="AG667" i="10"/>
  <c r="AH667" i="10" s="1"/>
  <c r="AG658" i="10"/>
  <c r="AG666" i="10"/>
  <c r="AH666" i="10" s="1"/>
  <c r="AG678" i="10"/>
  <c r="AH678" i="10" s="1"/>
  <c r="AC65" i="10"/>
  <c r="AC66" i="10"/>
  <c r="AD66" i="10" s="1"/>
  <c r="AC73" i="10"/>
  <c r="AD73" i="10" s="1"/>
  <c r="AC74" i="10"/>
  <c r="AD74" i="10" s="1"/>
  <c r="AC82" i="10"/>
  <c r="AD82" i="10" s="1"/>
  <c r="AC83" i="10"/>
  <c r="AD83" i="10" s="1"/>
  <c r="AC87" i="10"/>
  <c r="AD87" i="10" s="1"/>
  <c r="AC89" i="10"/>
  <c r="AD89" i="10" s="1"/>
  <c r="AC92" i="10"/>
  <c r="AD92" i="10" s="1"/>
  <c r="AC97" i="10"/>
  <c r="AD97" i="10" s="1"/>
  <c r="AC101" i="10"/>
  <c r="AD101" i="10" s="1"/>
  <c r="AC67" i="10"/>
  <c r="AD67" i="10" s="1"/>
  <c r="AC68" i="10"/>
  <c r="AD68" i="10" s="1"/>
  <c r="AC75" i="10"/>
  <c r="AD75" i="10" s="1"/>
  <c r="AC76" i="10"/>
  <c r="AD76" i="10" s="1"/>
  <c r="AC84" i="10"/>
  <c r="AD84" i="10" s="1"/>
  <c r="AC91" i="10"/>
  <c r="AD91" i="10" s="1"/>
  <c r="AC96" i="10"/>
  <c r="AD96" i="10" s="1"/>
  <c r="AC100" i="10"/>
  <c r="AD100" i="10" s="1"/>
  <c r="AC104" i="10"/>
  <c r="AD104" i="10" s="1"/>
  <c r="AC69" i="10"/>
  <c r="AD69" i="10" s="1"/>
  <c r="AC70" i="10"/>
  <c r="AD70" i="10" s="1"/>
  <c r="AC77" i="10"/>
  <c r="AD77" i="10" s="1"/>
  <c r="AC78" i="10"/>
  <c r="AD78" i="10" s="1"/>
  <c r="AC85" i="10"/>
  <c r="AD85" i="10" s="1"/>
  <c r="AC88" i="10"/>
  <c r="AD88" i="10" s="1"/>
  <c r="AC90" i="10"/>
  <c r="AD90" i="10" s="1"/>
  <c r="AC94" i="10"/>
  <c r="AD94" i="10" s="1"/>
  <c r="AC99" i="10"/>
  <c r="AD99" i="10" s="1"/>
  <c r="AC103" i="10"/>
  <c r="AD103" i="10" s="1"/>
  <c r="AC71" i="10"/>
  <c r="AD71" i="10" s="1"/>
  <c r="AC81" i="10"/>
  <c r="AD81" i="10" s="1"/>
  <c r="AC98" i="10"/>
  <c r="AD98" i="10" s="1"/>
  <c r="AC72" i="10"/>
  <c r="AD72" i="10" s="1"/>
  <c r="AC102" i="10"/>
  <c r="AD102" i="10" s="1"/>
  <c r="AC79" i="10"/>
  <c r="AD79" i="10" s="1"/>
  <c r="AC93" i="10"/>
  <c r="AD93" i="10" s="1"/>
  <c r="AE1234" i="10"/>
  <c r="AF1234" i="10" s="1"/>
  <c r="AE1235" i="10"/>
  <c r="AE1242" i="10"/>
  <c r="AE1243" i="10"/>
  <c r="AE1251" i="10"/>
  <c r="AE1253" i="10"/>
  <c r="AE1260" i="10"/>
  <c r="AE1262" i="10"/>
  <c r="AE1269" i="10"/>
  <c r="AE1270" i="10"/>
  <c r="AE1236" i="10"/>
  <c r="AE1237" i="10"/>
  <c r="AF1237" i="10" s="1"/>
  <c r="AE1244" i="10"/>
  <c r="AF1244" i="10" s="1"/>
  <c r="AE1245" i="10"/>
  <c r="AF1245" i="10" s="1"/>
  <c r="AE1254" i="10"/>
  <c r="AE1255" i="10"/>
  <c r="AF1255" i="10" s="1"/>
  <c r="AE1263" i="10"/>
  <c r="AE1264" i="10"/>
  <c r="AE1232" i="10"/>
  <c r="AE1241" i="10"/>
  <c r="AE1249" i="10"/>
  <c r="AE1259" i="10"/>
  <c r="AE1267" i="10"/>
  <c r="AE1231" i="10"/>
  <c r="AE1238" i="10"/>
  <c r="AE1256" i="10"/>
  <c r="AE1266" i="10"/>
  <c r="AE1248" i="10"/>
  <c r="AE1233" i="10"/>
  <c r="AE1240" i="10"/>
  <c r="AF1240" i="10" s="1"/>
  <c r="AE1268" i="10"/>
  <c r="AE1239" i="10"/>
  <c r="AE1247" i="10"/>
  <c r="AE1257" i="10"/>
  <c r="AE1265" i="10"/>
  <c r="AE1250" i="10"/>
  <c r="AE1258" i="10"/>
  <c r="AG1443" i="10"/>
  <c r="AG1444" i="10"/>
  <c r="AH1444" i="10" s="1"/>
  <c r="AG1451" i="10"/>
  <c r="AH1451" i="10" s="1"/>
  <c r="AG1452" i="10"/>
  <c r="AH1452" i="10" s="1"/>
  <c r="AG1461" i="10"/>
  <c r="AH1461" i="10" s="1"/>
  <c r="AG1470" i="10"/>
  <c r="AH1470" i="10" s="1"/>
  <c r="AG1479" i="10"/>
  <c r="AH1479" i="10" s="1"/>
  <c r="AG1445" i="10"/>
  <c r="AH1445" i="10" s="1"/>
  <c r="AG1446" i="10"/>
  <c r="AH1446" i="10" s="1"/>
  <c r="AG1453" i="10"/>
  <c r="AH1453" i="10" s="1"/>
  <c r="AG1454" i="10"/>
  <c r="AH1454" i="10" s="1"/>
  <c r="AG1462" i="10"/>
  <c r="AH1462" i="10" s="1"/>
  <c r="AG1463" i="10"/>
  <c r="AH1463" i="10" s="1"/>
  <c r="AG1471" i="10"/>
  <c r="AH1471" i="10" s="1"/>
  <c r="AG1472" i="10"/>
  <c r="AH1472" i="10" s="1"/>
  <c r="AG1480" i="10"/>
  <c r="AH1480" i="10" s="1"/>
  <c r="AG1481" i="10"/>
  <c r="AH1481" i="10" s="1"/>
  <c r="AG1457" i="10"/>
  <c r="AH1457" i="10" s="1"/>
  <c r="AG1468" i="10"/>
  <c r="AH1468" i="10" s="1"/>
  <c r="AG1476" i="10"/>
  <c r="AH1476" i="10" s="1"/>
  <c r="AG1447" i="10"/>
  <c r="AH1447" i="10" s="1"/>
  <c r="AG1456" i="10"/>
  <c r="AH1456" i="10" s="1"/>
  <c r="AG1465" i="10"/>
  <c r="AH1465" i="10" s="1"/>
  <c r="AG1475" i="10"/>
  <c r="AH1475" i="10" s="1"/>
  <c r="AG1482" i="10"/>
  <c r="AH1482" i="10" s="1"/>
  <c r="AG1449" i="10"/>
  <c r="AH1449" i="10" s="1"/>
  <c r="AG1477" i="10"/>
  <c r="AH1477" i="10" s="1"/>
  <c r="AG1448" i="10"/>
  <c r="AH1448" i="10" s="1"/>
  <c r="AG1455" i="10"/>
  <c r="AH1455" i="10" s="1"/>
  <c r="AG1466" i="10"/>
  <c r="AH1466" i="10" s="1"/>
  <c r="AG1474" i="10"/>
  <c r="AH1474" i="10" s="1"/>
  <c r="AG1459" i="10"/>
  <c r="AH1459" i="10" s="1"/>
  <c r="AG1467" i="10"/>
  <c r="AH1467" i="10" s="1"/>
  <c r="AG1450" i="10"/>
  <c r="AH1450" i="10" s="1"/>
  <c r="AG1478" i="10"/>
  <c r="AH1478" i="10" s="1"/>
  <c r="AG1469" i="10"/>
  <c r="AH1469" i="10" s="1"/>
  <c r="AG1460" i="10"/>
  <c r="AH1460" i="10" s="1"/>
  <c r="AE1125" i="10"/>
  <c r="AE1132" i="10"/>
  <c r="AE1133" i="10"/>
  <c r="AE1141" i="10"/>
  <c r="AE1142" i="10"/>
  <c r="AE1150" i="10"/>
  <c r="AE1151" i="10"/>
  <c r="AE1159" i="10"/>
  <c r="AE1160" i="10"/>
  <c r="AE1126" i="10"/>
  <c r="AE1127" i="10"/>
  <c r="AE1134" i="10"/>
  <c r="AE1135" i="10"/>
  <c r="AF1135" i="10" s="1"/>
  <c r="AE1143" i="10"/>
  <c r="AE1144" i="10"/>
  <c r="AE1152" i="10"/>
  <c r="AE1153" i="10"/>
  <c r="AE1161" i="10"/>
  <c r="AF1161" i="10" s="1"/>
  <c r="AE1162" i="10"/>
  <c r="AE1131" i="10"/>
  <c r="AE1138" i="10"/>
  <c r="AE1149" i="10"/>
  <c r="AE1157" i="10"/>
  <c r="AE1128" i="10"/>
  <c r="AE1145" i="10"/>
  <c r="AE1137" i="10"/>
  <c r="AF1137" i="10" s="1"/>
  <c r="AE1156" i="10"/>
  <c r="AF1156" i="10" s="1"/>
  <c r="AE1163" i="10"/>
  <c r="AE1130" i="10"/>
  <c r="AE1158" i="10"/>
  <c r="AE1147" i="10"/>
  <c r="AE1154" i="10"/>
  <c r="AF1154" i="10" s="1"/>
  <c r="AE1139" i="10"/>
  <c r="AF1139" i="10" s="1"/>
  <c r="AE1148" i="10"/>
  <c r="AE1129" i="10"/>
  <c r="AE1136" i="10"/>
  <c r="AF1136" i="10" s="1"/>
  <c r="AE1164" i="10"/>
  <c r="AE453" i="10"/>
  <c r="AF453" i="10" s="1"/>
  <c r="AE454" i="10"/>
  <c r="AF454" i="10" s="1"/>
  <c r="AE462" i="10"/>
  <c r="AF462" i="10" s="1"/>
  <c r="AE463" i="10"/>
  <c r="AF463" i="10" s="1"/>
  <c r="AE471" i="10"/>
  <c r="AF471" i="10" s="1"/>
  <c r="AE472" i="10"/>
  <c r="AF472" i="10" s="1"/>
  <c r="AE449" i="10"/>
  <c r="AF449" i="10" s="1"/>
  <c r="AE458" i="10"/>
  <c r="AF458" i="10" s="1"/>
  <c r="AE459" i="10"/>
  <c r="AF459" i="10" s="1"/>
  <c r="AE467" i="10"/>
  <c r="AF467" i="10" s="1"/>
  <c r="AE468" i="10"/>
  <c r="AF468" i="10" s="1"/>
  <c r="AE437" i="10"/>
  <c r="AF437" i="10" s="1"/>
  <c r="AE441" i="10"/>
  <c r="AF441" i="10" s="1"/>
  <c r="AE445" i="10"/>
  <c r="AF445" i="10" s="1"/>
  <c r="AE452" i="10"/>
  <c r="AF452" i="10" s="1"/>
  <c r="AE460" i="10"/>
  <c r="AF460" i="10" s="1"/>
  <c r="AE470" i="10"/>
  <c r="AF470" i="10" s="1"/>
  <c r="AE436" i="10"/>
  <c r="AF436" i="10" s="1"/>
  <c r="AE440" i="10"/>
  <c r="AF440" i="10" s="1"/>
  <c r="AE444" i="10"/>
  <c r="AF444" i="10" s="1"/>
  <c r="AE448" i="10"/>
  <c r="AF448" i="10" s="1"/>
  <c r="AE457" i="10"/>
  <c r="AF457" i="10" s="1"/>
  <c r="AE464" i="10"/>
  <c r="AF464" i="10" s="1"/>
  <c r="AE474" i="10"/>
  <c r="AF474" i="10" s="1"/>
  <c r="AE438" i="10"/>
  <c r="AF438" i="10" s="1"/>
  <c r="AE446" i="10"/>
  <c r="AF446" i="10" s="1"/>
  <c r="AE466" i="10"/>
  <c r="AF466" i="10" s="1"/>
  <c r="AE473" i="10"/>
  <c r="AF473" i="10" s="1"/>
  <c r="AE439" i="10"/>
  <c r="AF439" i="10" s="1"/>
  <c r="AE447" i="10"/>
  <c r="AF447" i="10" s="1"/>
  <c r="AE451" i="10"/>
  <c r="AF451" i="10" s="1"/>
  <c r="AE443" i="10"/>
  <c r="AF443" i="10" s="1"/>
  <c r="AE469" i="10"/>
  <c r="AF469" i="10" s="1"/>
  <c r="AE442" i="10"/>
  <c r="AF442" i="10" s="1"/>
  <c r="AE455" i="10"/>
  <c r="AF455" i="10" s="1"/>
  <c r="AE435" i="10"/>
  <c r="AE461" i="10"/>
  <c r="AF461" i="10" s="1"/>
  <c r="AG543" i="10"/>
  <c r="AG544" i="10"/>
  <c r="AG551" i="10"/>
  <c r="AH551" i="10" s="1"/>
  <c r="AG552" i="10"/>
  <c r="AG560" i="10"/>
  <c r="AH560" i="10" s="1"/>
  <c r="AG561" i="10"/>
  <c r="AH561" i="10" s="1"/>
  <c r="AG569" i="10"/>
  <c r="AH569" i="10" s="1"/>
  <c r="AG570" i="10"/>
  <c r="AH570" i="10" s="1"/>
  <c r="AG575" i="10"/>
  <c r="AH575" i="10" s="1"/>
  <c r="AG577" i="10"/>
  <c r="AH577" i="10" s="1"/>
  <c r="AG578" i="10"/>
  <c r="AH578" i="10" s="1"/>
  <c r="AG579" i="10"/>
  <c r="AG547" i="10"/>
  <c r="AH547" i="10" s="1"/>
  <c r="AG548" i="10"/>
  <c r="AH548" i="10" s="1"/>
  <c r="AG555" i="10"/>
  <c r="AH555" i="10" s="1"/>
  <c r="AG557" i="10"/>
  <c r="AG565" i="10"/>
  <c r="AH565" i="10" s="1"/>
  <c r="AG566" i="10"/>
  <c r="AG541" i="10"/>
  <c r="AG550" i="10"/>
  <c r="AH550" i="10" s="1"/>
  <c r="AG558" i="10"/>
  <c r="AH558" i="10" s="1"/>
  <c r="AG568" i="10"/>
  <c r="AG545" i="10"/>
  <c r="AH545" i="10" s="1"/>
  <c r="AG554" i="10"/>
  <c r="AH554" i="10" s="1"/>
  <c r="AG563" i="10"/>
  <c r="AG573" i="10"/>
  <c r="AH573" i="10" s="1"/>
  <c r="AG564" i="10"/>
  <c r="AH564" i="10" s="1"/>
  <c r="AG572" i="10"/>
  <c r="AG576" i="10"/>
  <c r="AH576" i="10" s="1"/>
  <c r="AG542" i="10"/>
  <c r="AH542" i="10" s="1"/>
  <c r="AG549" i="10"/>
  <c r="AH549" i="10" s="1"/>
  <c r="AG559" i="10"/>
  <c r="AH559" i="10" s="1"/>
  <c r="AG567" i="10"/>
  <c r="AG546" i="10"/>
  <c r="AG553" i="10"/>
  <c r="AH553" i="10" s="1"/>
  <c r="AG574" i="10"/>
  <c r="AH574" i="10" s="1"/>
  <c r="AG580" i="10"/>
  <c r="AH580" i="10" s="1"/>
  <c r="AE648" i="10"/>
  <c r="AF648" i="10" s="1"/>
  <c r="AE649" i="10"/>
  <c r="AE656" i="10"/>
  <c r="AE657" i="10"/>
  <c r="AE665" i="10"/>
  <c r="AF665" i="10" s="1"/>
  <c r="AE666" i="10"/>
  <c r="AF666" i="10" s="1"/>
  <c r="AE674" i="10"/>
  <c r="AE675" i="10"/>
  <c r="AE676" i="10"/>
  <c r="AF676" i="10" s="1"/>
  <c r="AE652" i="10"/>
  <c r="AE653" i="10"/>
  <c r="AF653" i="10" s="1"/>
  <c r="AE655" i="10"/>
  <c r="AE661" i="10"/>
  <c r="AE663" i="10"/>
  <c r="AE669" i="10"/>
  <c r="AE670" i="10"/>
  <c r="AF670" i="10" s="1"/>
  <c r="AE680" i="10"/>
  <c r="AF680" i="10" s="1"/>
  <c r="AE683" i="10"/>
  <c r="AF683" i="10" s="1"/>
  <c r="AE686" i="10"/>
  <c r="AF686" i="10" s="1"/>
  <c r="AE650" i="10"/>
  <c r="AE659" i="10"/>
  <c r="AE660" i="10"/>
  <c r="AF660" i="10" s="1"/>
  <c r="AE667" i="10"/>
  <c r="AF667" i="10" s="1"/>
  <c r="AE679" i="10"/>
  <c r="AF679" i="10" s="1"/>
  <c r="AE682" i="10"/>
  <c r="AF682" i="10" s="1"/>
  <c r="AE651" i="10"/>
  <c r="AE671" i="10"/>
  <c r="AE658" i="10"/>
  <c r="AE678" i="10"/>
  <c r="AF678" i="10" s="1"/>
  <c r="AE673" i="10"/>
  <c r="AE685" i="10"/>
  <c r="AF685" i="10" s="1"/>
  <c r="AE664" i="10"/>
  <c r="AF664" i="10" s="1"/>
  <c r="AE681" i="10"/>
  <c r="AE647" i="10"/>
  <c r="AE672" i="10"/>
  <c r="AE684" i="10"/>
  <c r="AF684" i="10" s="1"/>
  <c r="AE654" i="10"/>
  <c r="AE546" i="10"/>
  <c r="AE547" i="10"/>
  <c r="AF547" i="10" s="1"/>
  <c r="AE554" i="10"/>
  <c r="AF554" i="10" s="1"/>
  <c r="AE555" i="10"/>
  <c r="AF555" i="10" s="1"/>
  <c r="AE564" i="10"/>
  <c r="AF564" i="10" s="1"/>
  <c r="AE565" i="10"/>
  <c r="AF565" i="10" s="1"/>
  <c r="AE573" i="10"/>
  <c r="AF573" i="10" s="1"/>
  <c r="AE574" i="10"/>
  <c r="AF574" i="10" s="1"/>
  <c r="AE542" i="10"/>
  <c r="AF542" i="10" s="1"/>
  <c r="AE543" i="10"/>
  <c r="AE550" i="10"/>
  <c r="AF550" i="10" s="1"/>
  <c r="AE551" i="10"/>
  <c r="AF551" i="10" s="1"/>
  <c r="AE559" i="10"/>
  <c r="AF559" i="10" s="1"/>
  <c r="AE560" i="10"/>
  <c r="AF560" i="10" s="1"/>
  <c r="AE568" i="10"/>
  <c r="AE569" i="10"/>
  <c r="AF569" i="10" s="1"/>
  <c r="AE578" i="10"/>
  <c r="AF578" i="10" s="1"/>
  <c r="AE580" i="10"/>
  <c r="AF580" i="10" s="1"/>
  <c r="AE545" i="10"/>
  <c r="AF545" i="10" s="1"/>
  <c r="AE552" i="10"/>
  <c r="AE563" i="10"/>
  <c r="AE570" i="10"/>
  <c r="AF570" i="10" s="1"/>
  <c r="AE575" i="10"/>
  <c r="AF575" i="10" s="1"/>
  <c r="AE577" i="10"/>
  <c r="AF577" i="10" s="1"/>
  <c r="AE579" i="10"/>
  <c r="AE549" i="10"/>
  <c r="AF549" i="10" s="1"/>
  <c r="AE557" i="10"/>
  <c r="AE567" i="10"/>
  <c r="AE541" i="10"/>
  <c r="AE548" i="10"/>
  <c r="AF548" i="10" s="1"/>
  <c r="AE553" i="10"/>
  <c r="AF553" i="10" s="1"/>
  <c r="AE561" i="10"/>
  <c r="AF561" i="10" s="1"/>
  <c r="AE544" i="10"/>
  <c r="AE576" i="10"/>
  <c r="AF576" i="10" s="1"/>
  <c r="AE572" i="10"/>
  <c r="AE558" i="10"/>
  <c r="AF558" i="10" s="1"/>
  <c r="AE566" i="10"/>
  <c r="AE225" i="10"/>
  <c r="AE233" i="10"/>
  <c r="AE235" i="10"/>
  <c r="AE237" i="10"/>
  <c r="AF237" i="10" s="1"/>
  <c r="AE240" i="10"/>
  <c r="AE242" i="10"/>
  <c r="AE244" i="10"/>
  <c r="AE247" i="10"/>
  <c r="AE249" i="10"/>
  <c r="AE251" i="10"/>
  <c r="AE253" i="10"/>
  <c r="AE256" i="10"/>
  <c r="AE258" i="10"/>
  <c r="AE260" i="10"/>
  <c r="AE262" i="10"/>
  <c r="AE224" i="10"/>
  <c r="AE226" i="10"/>
  <c r="AE230" i="10"/>
  <c r="AE232" i="10"/>
  <c r="AE229" i="10"/>
  <c r="AE238" i="10"/>
  <c r="AE248" i="10"/>
  <c r="AE257" i="10"/>
  <c r="AF257" i="10" s="1"/>
  <c r="AE236" i="10"/>
  <c r="AE246" i="10"/>
  <c r="AE255" i="10"/>
  <c r="AE263" i="10"/>
  <c r="AE228" i="10"/>
  <c r="AE241" i="10"/>
  <c r="AE259" i="10"/>
  <c r="AE231" i="10"/>
  <c r="AE243" i="10"/>
  <c r="AE261" i="10"/>
  <c r="AE227" i="10"/>
  <c r="AF227" i="10" s="1"/>
  <c r="AE252" i="10"/>
  <c r="AE234" i="10"/>
  <c r="AE250" i="10"/>
  <c r="AF250" i="10" s="1"/>
  <c r="AE1022" i="10"/>
  <c r="AE1023" i="10"/>
  <c r="AE1030" i="10"/>
  <c r="AE1031" i="10"/>
  <c r="AE1039" i="10"/>
  <c r="AF1039" i="10" s="1"/>
  <c r="AE1041" i="10"/>
  <c r="AE1048" i="10"/>
  <c r="AE1050" i="10"/>
  <c r="AE1057" i="10"/>
  <c r="AE1019" i="10"/>
  <c r="AE1024" i="10"/>
  <c r="AE1025" i="10"/>
  <c r="AE1032" i="10"/>
  <c r="AF1032" i="10" s="1"/>
  <c r="AE1033" i="10"/>
  <c r="AF1033" i="10" s="1"/>
  <c r="AE1042" i="10"/>
  <c r="AE1043" i="10"/>
  <c r="AE1051" i="10"/>
  <c r="AE1052" i="10"/>
  <c r="AE1021" i="10"/>
  <c r="AE1028" i="10"/>
  <c r="AE1038" i="10"/>
  <c r="AF1038" i="10" s="1"/>
  <c r="AE1046" i="10"/>
  <c r="AE1056" i="10"/>
  <c r="AE1027" i="10"/>
  <c r="AE1045" i="10"/>
  <c r="AE1035" i="10"/>
  <c r="AE1053" i="10"/>
  <c r="AE1020" i="10"/>
  <c r="AF1020" i="10" s="1"/>
  <c r="AE1047" i="10"/>
  <c r="AE1055" i="10"/>
  <c r="AE1036" i="10"/>
  <c r="AE1044" i="10"/>
  <c r="AE1029" i="10"/>
  <c r="AE1037" i="10"/>
  <c r="AE1026" i="10"/>
  <c r="AE1054" i="10"/>
  <c r="AE1058" i="10"/>
  <c r="AE1501" i="10"/>
  <c r="AF1501" i="10" s="1"/>
  <c r="AE1509" i="10"/>
  <c r="AF1509" i="10" s="1"/>
  <c r="AE1518" i="10"/>
  <c r="AF1518" i="10" s="1"/>
  <c r="AE1519" i="10"/>
  <c r="AF1519" i="10" s="1"/>
  <c r="AE1527" i="10"/>
  <c r="AF1527" i="10" s="1"/>
  <c r="AE1528" i="10"/>
  <c r="AF1528" i="10" s="1"/>
  <c r="AE1495" i="10"/>
  <c r="AE1502" i="10"/>
  <c r="AF1502" i="10" s="1"/>
  <c r="AE1503" i="10"/>
  <c r="AF1503" i="10" s="1"/>
  <c r="AE1511" i="10"/>
  <c r="AF1511" i="10" s="1"/>
  <c r="AE1512" i="10"/>
  <c r="AF1512" i="10" s="1"/>
  <c r="AE1520" i="10"/>
  <c r="AF1520" i="10" s="1"/>
  <c r="AE1521" i="10"/>
  <c r="AF1521" i="10" s="1"/>
  <c r="AE1529" i="10"/>
  <c r="AF1529" i="10" s="1"/>
  <c r="AE1530" i="10"/>
  <c r="AF1530" i="10" s="1"/>
  <c r="AE1499" i="10"/>
  <c r="AF1499" i="10" s="1"/>
  <c r="AE1506" i="10"/>
  <c r="AF1506" i="10" s="1"/>
  <c r="AE1517" i="10"/>
  <c r="AF1517" i="10" s="1"/>
  <c r="AE1524" i="10"/>
  <c r="AF1524" i="10" s="1"/>
  <c r="AE1505" i="10"/>
  <c r="AF1505" i="10" s="1"/>
  <c r="AE1513" i="10"/>
  <c r="AF1513" i="10" s="1"/>
  <c r="AE1523" i="10"/>
  <c r="AF1523" i="10" s="1"/>
  <c r="AE1531" i="10"/>
  <c r="AF1531" i="10" s="1"/>
  <c r="AE1534" i="10"/>
  <c r="AF1534" i="10" s="1"/>
  <c r="AE1507" i="10"/>
  <c r="AF1507" i="10" s="1"/>
  <c r="AE1515" i="10"/>
  <c r="AF1515" i="10" s="1"/>
  <c r="AE1514" i="10"/>
  <c r="AF1514" i="10" s="1"/>
  <c r="AE1522" i="10"/>
  <c r="AF1522" i="10" s="1"/>
  <c r="AE1497" i="10"/>
  <c r="AF1497" i="10" s="1"/>
  <c r="AE1504" i="10"/>
  <c r="AF1504" i="10" s="1"/>
  <c r="AE1532" i="10"/>
  <c r="AF1532" i="10" s="1"/>
  <c r="AE1498" i="10"/>
  <c r="AF1498" i="10" s="1"/>
  <c r="AE1526" i="10"/>
  <c r="AF1526" i="10" s="1"/>
  <c r="AE1533" i="10"/>
  <c r="AF1533" i="10" s="1"/>
  <c r="AE1508" i="10"/>
  <c r="AF1508" i="10" s="1"/>
  <c r="AE1496" i="10"/>
  <c r="AF1496" i="10" s="1"/>
  <c r="AE1500" i="10"/>
  <c r="AF1500" i="10" s="1"/>
  <c r="AE491" i="10"/>
  <c r="AE492" i="10"/>
  <c r="AE499" i="10"/>
  <c r="AE500" i="10"/>
  <c r="AE508" i="10"/>
  <c r="AE510" i="10"/>
  <c r="AE517" i="10"/>
  <c r="AE519" i="10"/>
  <c r="AE526" i="10"/>
  <c r="AE527" i="10"/>
  <c r="AE488" i="10"/>
  <c r="AE495" i="10"/>
  <c r="AF495" i="10" s="1"/>
  <c r="AE496" i="10"/>
  <c r="AE504" i="10"/>
  <c r="AE505" i="10"/>
  <c r="AF505" i="10" s="1"/>
  <c r="AE513" i="10"/>
  <c r="AE514" i="10"/>
  <c r="AE522" i="10"/>
  <c r="AE523" i="10"/>
  <c r="AE490" i="10"/>
  <c r="AE497" i="10"/>
  <c r="AE507" i="10"/>
  <c r="AE515" i="10"/>
  <c r="AE525" i="10"/>
  <c r="AE494" i="10"/>
  <c r="AE501" i="10"/>
  <c r="AF501" i="10" s="1"/>
  <c r="AE512" i="10"/>
  <c r="AF512" i="10" s="1"/>
  <c r="AE520" i="10"/>
  <c r="AE493" i="10"/>
  <c r="AE521" i="10"/>
  <c r="AE498" i="10"/>
  <c r="AE506" i="10"/>
  <c r="AE516" i="10"/>
  <c r="AE524" i="10"/>
  <c r="AE502" i="10"/>
  <c r="AF502" i="10" s="1"/>
  <c r="AE511" i="10"/>
  <c r="AF511" i="10" s="1"/>
  <c r="AE489" i="10"/>
  <c r="AG278" i="10"/>
  <c r="AG280" i="10"/>
  <c r="AG282" i="10"/>
  <c r="AG284" i="10"/>
  <c r="AG286" i="10"/>
  <c r="AG288" i="10"/>
  <c r="AG290" i="10"/>
  <c r="AH290" i="10" s="1"/>
  <c r="AG293" i="10"/>
  <c r="AG295" i="10"/>
  <c r="AG296" i="10"/>
  <c r="AG304" i="10"/>
  <c r="AG305" i="10"/>
  <c r="AG313" i="10"/>
  <c r="AG314" i="10"/>
  <c r="AG300" i="10"/>
  <c r="AG301" i="10"/>
  <c r="AG309" i="10"/>
  <c r="AG310" i="10"/>
  <c r="AG283" i="10"/>
  <c r="AG291" i="10"/>
  <c r="AG303" i="10"/>
  <c r="AG311" i="10"/>
  <c r="AG281" i="10"/>
  <c r="AG289" i="10"/>
  <c r="AG297" i="10"/>
  <c r="AG308" i="10"/>
  <c r="AG315" i="10"/>
  <c r="AG277" i="10"/>
  <c r="AG294" i="10"/>
  <c r="AG299" i="10"/>
  <c r="AG306" i="10"/>
  <c r="AG279" i="10"/>
  <c r="AG287" i="10"/>
  <c r="AG316" i="10"/>
  <c r="AG302" i="10"/>
  <c r="AG285" i="10"/>
  <c r="AE1446" i="10"/>
  <c r="AF1446" i="10" s="1"/>
  <c r="AE1447" i="10"/>
  <c r="AF1447" i="10" s="1"/>
  <c r="AE1454" i="10"/>
  <c r="AF1454" i="10" s="1"/>
  <c r="AE1455" i="10"/>
  <c r="AF1455" i="10" s="1"/>
  <c r="AE1463" i="10"/>
  <c r="AF1463" i="10" s="1"/>
  <c r="AE1465" i="10"/>
  <c r="AF1465" i="10" s="1"/>
  <c r="AE1472" i="10"/>
  <c r="AF1472" i="10" s="1"/>
  <c r="AE1474" i="10"/>
  <c r="AF1474" i="10" s="1"/>
  <c r="AE1481" i="10"/>
  <c r="AF1481" i="10" s="1"/>
  <c r="AE1482" i="10"/>
  <c r="AF1482" i="10" s="1"/>
  <c r="AE1448" i="10"/>
  <c r="AF1448" i="10" s="1"/>
  <c r="AE1449" i="10"/>
  <c r="AF1449" i="10" s="1"/>
  <c r="AE1456" i="10"/>
  <c r="AF1456" i="10" s="1"/>
  <c r="AE1457" i="10"/>
  <c r="AF1457" i="10" s="1"/>
  <c r="AE1466" i="10"/>
  <c r="AF1466" i="10" s="1"/>
  <c r="AE1467" i="10"/>
  <c r="AF1467" i="10" s="1"/>
  <c r="AE1475" i="10"/>
  <c r="AF1475" i="10" s="1"/>
  <c r="AE1476" i="10"/>
  <c r="AF1476" i="10" s="1"/>
  <c r="AE1445" i="10"/>
  <c r="AF1445" i="10" s="1"/>
  <c r="AE1452" i="10"/>
  <c r="AF1452" i="10" s="1"/>
  <c r="AE1462" i="10"/>
  <c r="AF1462" i="10" s="1"/>
  <c r="AE1470" i="10"/>
  <c r="AF1470" i="10" s="1"/>
  <c r="AE1480" i="10"/>
  <c r="AF1480" i="10" s="1"/>
  <c r="AE1451" i="10"/>
  <c r="AF1451" i="10" s="1"/>
  <c r="AE1459" i="10"/>
  <c r="AF1459" i="10" s="1"/>
  <c r="AE1469" i="10"/>
  <c r="AF1469" i="10" s="1"/>
  <c r="AE1477" i="10"/>
  <c r="AF1477" i="10" s="1"/>
  <c r="AE1453" i="10"/>
  <c r="AF1453" i="10" s="1"/>
  <c r="AE1461" i="10"/>
  <c r="AF1461" i="10" s="1"/>
  <c r="AE1443" i="10"/>
  <c r="AE1450" i="10"/>
  <c r="AF1450" i="10" s="1"/>
  <c r="AE1478" i="10"/>
  <c r="AF1478" i="10" s="1"/>
  <c r="AE1444" i="10"/>
  <c r="AF1444" i="10" s="1"/>
  <c r="AE1471" i="10"/>
  <c r="AF1471" i="10" s="1"/>
  <c r="AE1479" i="10"/>
  <c r="AF1479" i="10" s="1"/>
  <c r="AE1460" i="10"/>
  <c r="AF1460" i="10" s="1"/>
  <c r="AE1468" i="10"/>
  <c r="AF1468" i="10" s="1"/>
  <c r="AE1391" i="10"/>
  <c r="AF1391" i="10" s="1"/>
  <c r="AE1392" i="10"/>
  <c r="AF1392" i="10" s="1"/>
  <c r="AE1399" i="10"/>
  <c r="AF1399" i="10" s="1"/>
  <c r="AE1400" i="10"/>
  <c r="AF1400" i="10" s="1"/>
  <c r="AE1408" i="10"/>
  <c r="AF1408" i="10" s="1"/>
  <c r="AE1409" i="10"/>
  <c r="AF1409" i="10" s="1"/>
  <c r="AE1417" i="10"/>
  <c r="AF1417" i="10" s="1"/>
  <c r="AE1418" i="10"/>
  <c r="AF1418" i="10" s="1"/>
  <c r="AE1426" i="10"/>
  <c r="AF1426" i="10" s="1"/>
  <c r="AE1427" i="10"/>
  <c r="AF1427" i="10" s="1"/>
  <c r="AE1393" i="10"/>
  <c r="AF1393" i="10" s="1"/>
  <c r="AE1394" i="10"/>
  <c r="AF1394" i="10" s="1"/>
  <c r="AE1401" i="10"/>
  <c r="AF1401" i="10" s="1"/>
  <c r="AE1402" i="10"/>
  <c r="AF1402" i="10" s="1"/>
  <c r="AE1410" i="10"/>
  <c r="AF1410" i="10" s="1"/>
  <c r="AE1412" i="10"/>
  <c r="AF1412" i="10" s="1"/>
  <c r="AE1419" i="10"/>
  <c r="AF1419" i="10" s="1"/>
  <c r="AE1421" i="10"/>
  <c r="AF1421" i="10" s="1"/>
  <c r="AE1428" i="10"/>
  <c r="AF1428" i="10" s="1"/>
  <c r="AE1429" i="10"/>
  <c r="AF1429" i="10" s="1"/>
  <c r="AE1390" i="10"/>
  <c r="AE1397" i="10"/>
  <c r="AF1397" i="10" s="1"/>
  <c r="AE1407" i="10"/>
  <c r="AF1407" i="10" s="1"/>
  <c r="AE1415" i="10"/>
  <c r="AF1415" i="10" s="1"/>
  <c r="AE1425" i="10"/>
  <c r="AF1425" i="10" s="1"/>
  <c r="AE1396" i="10"/>
  <c r="AF1396" i="10" s="1"/>
  <c r="AE1414" i="10"/>
  <c r="AF1414" i="10" s="1"/>
  <c r="AE1422" i="10"/>
  <c r="AF1422" i="10" s="1"/>
  <c r="AE1398" i="10"/>
  <c r="AF1398" i="10" s="1"/>
  <c r="AE1406" i="10"/>
  <c r="AF1406" i="10" s="1"/>
  <c r="AE1413" i="10"/>
  <c r="AF1413" i="10" s="1"/>
  <c r="AE1395" i="10"/>
  <c r="AF1395" i="10" s="1"/>
  <c r="AE1423" i="10"/>
  <c r="AF1423" i="10" s="1"/>
  <c r="AE1416" i="10"/>
  <c r="AF1416" i="10" s="1"/>
  <c r="AE1424" i="10"/>
  <c r="AF1424" i="10" s="1"/>
  <c r="AE1404" i="10"/>
  <c r="AF1404" i="10" s="1"/>
  <c r="AE1403" i="10"/>
  <c r="AF1403" i="10" s="1"/>
  <c r="S592" i="8"/>
  <c r="S597" i="8" s="1"/>
  <c r="S599" i="8" s="1"/>
  <c r="AN877" i="8"/>
  <c r="AN879" i="8" s="1"/>
  <c r="AG600" i="10" l="1"/>
  <c r="AG1284" i="10"/>
  <c r="AG1310" i="10"/>
  <c r="AG1323" i="10"/>
  <c r="AG1288" i="10"/>
  <c r="AG1313" i="10"/>
  <c r="AG1312" i="10"/>
  <c r="AG1319" i="10"/>
  <c r="AH1319" i="10" s="1"/>
  <c r="AG1304" i="10"/>
  <c r="AG1302" i="10"/>
  <c r="AG1285" i="10"/>
  <c r="AH1285" i="10" s="1"/>
  <c r="AG1316" i="10"/>
  <c r="AG1322" i="10"/>
  <c r="AG1308" i="10"/>
  <c r="AH1308" i="10" s="1"/>
  <c r="AG1300" i="10"/>
  <c r="AG1311" i="10"/>
  <c r="AG1318" i="10"/>
  <c r="AG1292" i="10"/>
  <c r="AG1321" i="10"/>
  <c r="AH1321" i="10" s="1"/>
  <c r="AG1295" i="10"/>
  <c r="AG1309" i="10"/>
  <c r="AG1303" i="10"/>
  <c r="AH1303" i="10" s="1"/>
  <c r="AG1307" i="10"/>
  <c r="AG1317" i="10"/>
  <c r="AG1306" i="10"/>
  <c r="AG1294" i="10"/>
  <c r="AG1315" i="10"/>
  <c r="AG1301" i="10"/>
  <c r="AG1298" i="10"/>
  <c r="AH1298" i="10" s="1"/>
  <c r="AG1297" i="10"/>
  <c r="AH1297" i="10" s="1"/>
  <c r="AG1287" i="10"/>
  <c r="AG1293" i="10"/>
  <c r="AG1291" i="10"/>
  <c r="AG1296" i="10"/>
  <c r="AG1286" i="10"/>
  <c r="AG1290" i="10"/>
  <c r="AG1320" i="10"/>
  <c r="AG1238" i="10"/>
  <c r="AH1238" i="10" s="1"/>
  <c r="AG1251" i="10"/>
  <c r="AH1251" i="10" s="1"/>
  <c r="AG1268" i="10"/>
  <c r="AH1268" i="10" s="1"/>
  <c r="AG1255" i="10"/>
  <c r="AH1255" i="10" s="1"/>
  <c r="AG1253" i="10"/>
  <c r="AH1253" i="10" s="1"/>
  <c r="AG1240" i="10"/>
  <c r="AH1240" i="10" s="1"/>
  <c r="AG1270" i="10"/>
  <c r="AH1270" i="10" s="1"/>
  <c r="AG1269" i="10"/>
  <c r="AH1269" i="10" s="1"/>
  <c r="AG1263" i="10"/>
  <c r="AH1263" i="10" s="1"/>
  <c r="AG1232" i="10"/>
  <c r="AH1232" i="10" s="1"/>
  <c r="AG1267" i="10"/>
  <c r="AH1267" i="10" s="1"/>
  <c r="AG1249" i="10"/>
  <c r="AH1249" i="10" s="1"/>
  <c r="AG1260" i="10"/>
  <c r="AH1260" i="10" s="1"/>
  <c r="AG1257" i="10"/>
  <c r="AH1257" i="10" s="1"/>
  <c r="AG1236" i="10"/>
  <c r="AH1236" i="10" s="1"/>
  <c r="AG1243" i="10"/>
  <c r="AH1243" i="10" s="1"/>
  <c r="AG1244" i="10"/>
  <c r="AH1244" i="10" s="1"/>
  <c r="AG1235" i="10"/>
  <c r="AH1235" i="10" s="1"/>
  <c r="AG1248" i="10"/>
  <c r="AH1248" i="10" s="1"/>
  <c r="AG1258" i="10"/>
  <c r="AH1258" i="10" s="1"/>
  <c r="AG1241" i="10"/>
  <c r="AH1241" i="10" s="1"/>
  <c r="AG1234" i="10"/>
  <c r="AH1234" i="10" s="1"/>
  <c r="AG1237" i="10"/>
  <c r="AH1237" i="10" s="1"/>
  <c r="AG1233" i="10"/>
  <c r="AH1233" i="10" s="1"/>
  <c r="AG1265" i="10"/>
  <c r="AH1265" i="10" s="1"/>
  <c r="AG1256" i="10"/>
  <c r="AH1256" i="10" s="1"/>
  <c r="AG1250" i="10"/>
  <c r="AH1250" i="10" s="1"/>
  <c r="AG1254" i="10"/>
  <c r="AH1254" i="10" s="1"/>
  <c r="AG1245" i="10"/>
  <c r="AH1245" i="10" s="1"/>
  <c r="AG1159" i="10"/>
  <c r="AG1154" i="10"/>
  <c r="AH1154" i="10" s="1"/>
  <c r="AG1128" i="10"/>
  <c r="AG1152" i="10"/>
  <c r="AG1130" i="10"/>
  <c r="AG1148" i="10"/>
  <c r="AG1157" i="10"/>
  <c r="AG1131" i="10"/>
  <c r="AG1139" i="10"/>
  <c r="AH1139" i="10" s="1"/>
  <c r="AG1127" i="10"/>
  <c r="AG1149" i="10"/>
  <c r="AG1129" i="10"/>
  <c r="AG1162" i="10"/>
  <c r="AH1162" i="10" s="1"/>
  <c r="AG1147" i="10"/>
  <c r="AG1153" i="10"/>
  <c r="AG1164" i="10"/>
  <c r="AG1133" i="10"/>
  <c r="AG1158" i="10"/>
  <c r="AG1126" i="10"/>
  <c r="AG1135" i="10"/>
  <c r="AH1135" i="10" s="1"/>
  <c r="AG1144" i="10"/>
  <c r="AG1145" i="10"/>
  <c r="AG1160" i="10"/>
  <c r="AG990" i="10"/>
  <c r="AH990" i="10" s="1"/>
  <c r="AG1005" i="10"/>
  <c r="AH1005" i="10" s="1"/>
  <c r="AG985" i="10"/>
  <c r="AH985" i="10" s="1"/>
  <c r="AG988" i="10"/>
  <c r="AG970" i="10"/>
  <c r="AH970" i="10" s="1"/>
  <c r="AG1000" i="10"/>
  <c r="AH1000" i="10" s="1"/>
  <c r="AG991" i="10"/>
  <c r="AH991" i="10" s="1"/>
  <c r="AG979" i="10"/>
  <c r="AH979" i="10" s="1"/>
  <c r="AG815" i="10"/>
  <c r="AH815" i="10" s="1"/>
  <c r="AG840" i="10"/>
  <c r="AH840" i="10" s="1"/>
  <c r="AG832" i="10"/>
  <c r="AH832" i="10" s="1"/>
  <c r="AG822" i="10"/>
  <c r="AH822" i="10" s="1"/>
  <c r="AG845" i="10"/>
  <c r="AH845" i="10" s="1"/>
  <c r="AG835" i="10"/>
  <c r="AH835" i="10" s="1"/>
  <c r="AG828" i="10"/>
  <c r="AH828" i="10" s="1"/>
  <c r="AG810" i="10"/>
  <c r="AH810" i="10" s="1"/>
  <c r="AG790" i="10"/>
  <c r="AH790" i="10" s="1"/>
  <c r="AG765" i="10"/>
  <c r="AH765" i="10" s="1"/>
  <c r="AG780" i="10"/>
  <c r="AH780" i="10" s="1"/>
  <c r="AG770" i="10"/>
  <c r="AH770" i="10" s="1"/>
  <c r="AG781" i="10"/>
  <c r="AH781" i="10" s="1"/>
  <c r="AG764" i="10"/>
  <c r="AH764" i="10" s="1"/>
  <c r="AG773" i="10"/>
  <c r="AH773" i="10" s="1"/>
  <c r="AG772" i="10"/>
  <c r="AH772" i="10" s="1"/>
  <c r="AG755" i="10"/>
  <c r="AH755" i="10" s="1"/>
  <c r="AG786" i="10"/>
  <c r="AH786" i="10" s="1"/>
  <c r="AG778" i="10"/>
  <c r="AH778" i="10" s="1"/>
  <c r="AG777" i="10"/>
  <c r="AH777" i="10" s="1"/>
  <c r="AG759" i="10"/>
  <c r="AH759" i="10" s="1"/>
  <c r="AG597" i="10"/>
  <c r="AG599" i="10"/>
  <c r="AG617" i="10"/>
  <c r="AG630" i="10"/>
  <c r="AG620" i="10"/>
  <c r="AH620" i="10" s="1"/>
  <c r="AG607" i="10"/>
  <c r="AG611" i="10"/>
  <c r="AG603" i="10"/>
  <c r="AG628" i="10"/>
  <c r="AG602" i="10"/>
  <c r="AG601" i="10"/>
  <c r="AH601" i="10" s="1"/>
  <c r="AG610" i="10"/>
  <c r="AG608" i="10"/>
  <c r="AG596" i="10"/>
  <c r="AH596" i="10" s="1"/>
  <c r="AG594" i="10"/>
  <c r="AH594" i="10" s="1"/>
  <c r="AG606" i="10"/>
  <c r="AG632" i="10"/>
  <c r="AG612" i="10"/>
  <c r="AG598" i="10"/>
  <c r="AH598" i="10" s="1"/>
  <c r="AG631" i="10"/>
  <c r="AG623" i="10"/>
  <c r="AG625" i="10"/>
  <c r="AG629" i="10"/>
  <c r="AG622" i="10"/>
  <c r="AG595" i="10"/>
  <c r="AH595" i="10" s="1"/>
  <c r="AG621" i="10"/>
  <c r="AG614" i="10"/>
  <c r="AH614" i="10" s="1"/>
  <c r="AG633" i="10"/>
  <c r="AH633" i="10" s="1"/>
  <c r="AG613" i="10"/>
  <c r="AG626" i="10"/>
  <c r="AG619" i="10"/>
  <c r="AH619" i="10" s="1"/>
  <c r="AG605" i="10"/>
  <c r="AG627" i="10"/>
  <c r="AG616" i="10"/>
  <c r="AH616" i="10" s="1"/>
  <c r="AG618" i="10"/>
  <c r="AG496" i="10"/>
  <c r="AG498" i="10"/>
  <c r="AG494" i="10"/>
  <c r="AG514" i="10"/>
  <c r="AG521" i="10"/>
  <c r="AG527" i="10"/>
  <c r="AG510" i="10"/>
  <c r="AG517" i="10"/>
  <c r="AG492" i="10"/>
  <c r="AG468" i="10"/>
  <c r="AH468" i="10" s="1"/>
  <c r="AG202" i="10"/>
  <c r="AG188" i="10"/>
  <c r="AH188" i="10" s="1"/>
  <c r="AG206" i="10"/>
  <c r="AG198" i="10"/>
  <c r="AG189" i="10"/>
  <c r="AH189" i="10" s="1"/>
  <c r="AG181" i="10"/>
  <c r="AG194" i="10"/>
  <c r="AG185" i="10"/>
  <c r="AG177" i="10"/>
  <c r="AG205" i="10"/>
  <c r="AG173" i="10"/>
  <c r="AG196" i="10"/>
  <c r="AG172" i="10"/>
  <c r="AG176" i="10"/>
  <c r="AG209" i="10"/>
  <c r="AH209" i="10" s="1"/>
  <c r="AG171" i="10"/>
  <c r="AH171" i="10" s="1"/>
  <c r="AG200" i="10"/>
  <c r="AH200" i="10" s="1"/>
  <c r="AG208" i="10"/>
  <c r="AG210" i="10"/>
  <c r="AG191" i="10"/>
  <c r="AG174" i="10"/>
  <c r="AG199" i="10"/>
  <c r="AG197" i="10"/>
  <c r="AG207" i="10"/>
  <c r="AG195" i="10"/>
  <c r="AG184" i="10"/>
  <c r="AG180" i="10"/>
  <c r="AG183" i="10"/>
  <c r="AG187" i="10"/>
  <c r="AG182" i="10"/>
  <c r="AG178" i="10"/>
  <c r="AG204" i="10"/>
  <c r="AG175" i="10"/>
  <c r="AG179" i="10"/>
  <c r="AG203" i="10"/>
  <c r="AG190" i="10"/>
  <c r="AF91" i="10"/>
  <c r="AF66" i="10"/>
  <c r="AF105" i="10" s="1"/>
  <c r="AF72" i="10"/>
  <c r="AF67" i="10"/>
  <c r="AF70" i="10"/>
  <c r="AF74" i="10"/>
  <c r="AF76" i="10"/>
  <c r="AG1355" i="10"/>
  <c r="AG1344" i="10"/>
  <c r="AH1344" i="10" s="1"/>
  <c r="AG1374" i="10"/>
  <c r="AG1359" i="10"/>
  <c r="AG1188" i="10"/>
  <c r="AH1188" i="10" s="1"/>
  <c r="AG1212" i="10"/>
  <c r="AG1191" i="10"/>
  <c r="AG1194" i="10"/>
  <c r="AG1189" i="10"/>
  <c r="AG1205" i="10"/>
  <c r="AG1216" i="10"/>
  <c r="AG1187" i="10"/>
  <c r="AG952" i="10"/>
  <c r="AG916" i="10"/>
  <c r="AG948" i="10"/>
  <c r="AG941" i="10"/>
  <c r="AG921" i="10"/>
  <c r="AG947" i="10"/>
  <c r="AG914" i="10"/>
  <c r="AG936" i="10"/>
  <c r="AG945" i="10"/>
  <c r="AG913" i="10"/>
  <c r="AG703" i="10"/>
  <c r="AG707" i="10"/>
  <c r="AG713" i="10"/>
  <c r="AG724" i="10"/>
  <c r="AG739" i="10"/>
  <c r="AG701" i="10"/>
  <c r="AG705" i="10"/>
  <c r="AG720" i="10"/>
  <c r="AF248" i="10"/>
  <c r="AF230" i="10"/>
  <c r="AG470" i="10"/>
  <c r="AH470" i="10" s="1"/>
  <c r="AG460" i="10"/>
  <c r="AH460" i="10" s="1"/>
  <c r="AG466" i="10"/>
  <c r="AH466" i="10" s="1"/>
  <c r="AG445" i="10"/>
  <c r="AH445" i="10" s="1"/>
  <c r="AG464" i="10"/>
  <c r="AH464" i="10" s="1"/>
  <c r="AG462" i="10"/>
  <c r="AH462" i="10" s="1"/>
  <c r="AG454" i="10"/>
  <c r="AH454" i="10" s="1"/>
  <c r="AG440" i="10"/>
  <c r="AH440" i="10" s="1"/>
  <c r="AG442" i="10"/>
  <c r="AH442" i="10" s="1"/>
  <c r="AG472" i="10"/>
  <c r="AH472" i="10" s="1"/>
  <c r="AG461" i="10"/>
  <c r="AH461" i="10" s="1"/>
  <c r="AG455" i="10"/>
  <c r="AH455" i="10" s="1"/>
  <c r="AG435" i="10"/>
  <c r="AH435" i="10" s="1"/>
  <c r="AG443" i="10"/>
  <c r="AH443" i="10" s="1"/>
  <c r="AG437" i="10"/>
  <c r="AH437" i="10" s="1"/>
  <c r="AG447" i="10"/>
  <c r="AH447" i="10" s="1"/>
  <c r="AG467" i="10"/>
  <c r="AH467" i="10" s="1"/>
  <c r="AG446" i="10"/>
  <c r="AH446" i="10" s="1"/>
  <c r="AG474" i="10"/>
  <c r="AH474" i="10" s="1"/>
  <c r="AG473" i="10"/>
  <c r="AH473" i="10" s="1"/>
  <c r="AG436" i="10"/>
  <c r="AH436" i="10" s="1"/>
  <c r="AG449" i="10"/>
  <c r="AH449" i="10" s="1"/>
  <c r="AG457" i="10"/>
  <c r="AH457" i="10" s="1"/>
  <c r="AG453" i="10"/>
  <c r="AH453" i="10" s="1"/>
  <c r="AG438" i="10"/>
  <c r="AH438" i="10" s="1"/>
  <c r="AG452" i="10"/>
  <c r="AH452" i="10" s="1"/>
  <c r="AF262" i="10"/>
  <c r="AF235" i="10"/>
  <c r="AG441" i="10"/>
  <c r="AH441" i="10" s="1"/>
  <c r="AG439" i="10"/>
  <c r="AH439" i="10" s="1"/>
  <c r="AG458" i="10"/>
  <c r="AH458" i="10" s="1"/>
  <c r="AG448" i="10"/>
  <c r="AH448" i="10" s="1"/>
  <c r="AG463" i="10"/>
  <c r="AH463" i="10" s="1"/>
  <c r="AG451" i="10"/>
  <c r="AH451" i="10" s="1"/>
  <c r="AG469" i="10"/>
  <c r="AH469" i="10" s="1"/>
  <c r="AG444" i="10"/>
  <c r="AH444" i="10" s="1"/>
  <c r="AG471" i="10"/>
  <c r="AH471" i="10" s="1"/>
  <c r="AG491" i="10"/>
  <c r="AG512" i="10"/>
  <c r="AH512" i="10" s="1"/>
  <c r="AG516" i="10"/>
  <c r="AG507" i="10"/>
  <c r="AG513" i="10"/>
  <c r="AG520" i="10"/>
  <c r="AG501" i="10"/>
  <c r="AH501" i="10" s="1"/>
  <c r="AG524" i="10"/>
  <c r="AG506" i="10"/>
  <c r="AG489" i="10"/>
  <c r="AG1190" i="10"/>
  <c r="AH1190" i="10" s="1"/>
  <c r="AG1215" i="10"/>
  <c r="AG1206" i="10"/>
  <c r="AG1217" i="10"/>
  <c r="AG1182" i="10"/>
  <c r="AG1204" i="10"/>
  <c r="AG1186" i="10"/>
  <c r="AG1211" i="10"/>
  <c r="AG1192" i="10"/>
  <c r="AG526" i="10"/>
  <c r="AG508" i="10"/>
  <c r="AG499" i="10"/>
  <c r="AG502" i="10"/>
  <c r="AH502" i="10" s="1"/>
  <c r="AG519" i="10"/>
  <c r="AG500" i="10"/>
  <c r="AG523" i="10"/>
  <c r="AG505" i="10"/>
  <c r="AH505" i="10" s="1"/>
  <c r="AG488" i="10"/>
  <c r="AG1207" i="10"/>
  <c r="AG1183" i="10"/>
  <c r="AG1209" i="10"/>
  <c r="AG1198" i="10"/>
  <c r="AG1210" i="10"/>
  <c r="AG1214" i="10"/>
  <c r="AH1214" i="10" s="1"/>
  <c r="AG1196" i="10"/>
  <c r="AH1196" i="10" s="1"/>
  <c r="AG1179" i="10"/>
  <c r="AG1203" i="10"/>
  <c r="AG1185" i="10"/>
  <c r="AH1185" i="10" s="1"/>
  <c r="AG504" i="10"/>
  <c r="AG522" i="10"/>
  <c r="AG525" i="10"/>
  <c r="AG490" i="10"/>
  <c r="AG495" i="10"/>
  <c r="AH495" i="10" s="1"/>
  <c r="AG511" i="10"/>
  <c r="AH511" i="10" s="1"/>
  <c r="AG493" i="10"/>
  <c r="AG515" i="10"/>
  <c r="AG1180" i="10"/>
  <c r="AG1197" i="10"/>
  <c r="AG1201" i="10"/>
  <c r="AG1181" i="10"/>
  <c r="AG1200" i="10"/>
  <c r="AG1213" i="10"/>
  <c r="AH1213" i="10" s="1"/>
  <c r="AG1195" i="10"/>
  <c r="AH1195" i="10" s="1"/>
  <c r="AG1178" i="10"/>
  <c r="AG1202" i="10"/>
  <c r="AG722" i="10"/>
  <c r="AF240" i="10"/>
  <c r="AG837" i="10"/>
  <c r="AH837" i="10" s="1"/>
  <c r="AG819" i="10"/>
  <c r="AH819" i="10" s="1"/>
  <c r="AG833" i="10"/>
  <c r="AH833" i="10" s="1"/>
  <c r="AG844" i="10"/>
  <c r="AH844" i="10" s="1"/>
  <c r="AG826" i="10"/>
  <c r="AH826" i="10" s="1"/>
  <c r="AG809" i="10"/>
  <c r="AH809" i="10" s="1"/>
  <c r="AG831" i="10"/>
  <c r="AH831" i="10" s="1"/>
  <c r="AG813" i="10"/>
  <c r="AH813" i="10" s="1"/>
  <c r="AG1361" i="10"/>
  <c r="AG1366" i="10"/>
  <c r="AG1346" i="10"/>
  <c r="AG1340" i="10"/>
  <c r="AG1376" i="10"/>
  <c r="AG1349" i="10"/>
  <c r="AH1349" i="10" s="1"/>
  <c r="AG702" i="10"/>
  <c r="AG717" i="10"/>
  <c r="AH717" i="10" s="1"/>
  <c r="AG734" i="10"/>
  <c r="AG735" i="10"/>
  <c r="AH735" i="10" s="1"/>
  <c r="AG729" i="10"/>
  <c r="AG738" i="10"/>
  <c r="AH738" i="10" s="1"/>
  <c r="AG719" i="10"/>
  <c r="AG704" i="10"/>
  <c r="AG723" i="10"/>
  <c r="AG700" i="10"/>
  <c r="AG982" i="10"/>
  <c r="AH982" i="10" s="1"/>
  <c r="AG976" i="10"/>
  <c r="AG980" i="10"/>
  <c r="AH980" i="10" s="1"/>
  <c r="AG1001" i="10"/>
  <c r="AH1001" i="10" s="1"/>
  <c r="AG983" i="10"/>
  <c r="AH983" i="10" s="1"/>
  <c r="AG966" i="10"/>
  <c r="AH966" i="10" s="1"/>
  <c r="AG998" i="10"/>
  <c r="AH998" i="10" s="1"/>
  <c r="AG989" i="10"/>
  <c r="AH989" i="10" s="1"/>
  <c r="AG977" i="10"/>
  <c r="AH977" i="10" s="1"/>
  <c r="AG969" i="10"/>
  <c r="AH969" i="10" s="1"/>
  <c r="AG1424" i="10"/>
  <c r="AH1424" i="10" s="1"/>
  <c r="AG1423" i="10"/>
  <c r="AH1423" i="10" s="1"/>
  <c r="AG1428" i="10"/>
  <c r="AH1428" i="10" s="1"/>
  <c r="AG1422" i="10"/>
  <c r="AH1422" i="10" s="1"/>
  <c r="AG1413" i="10"/>
  <c r="AH1413" i="10" s="1"/>
  <c r="AG1425" i="10"/>
  <c r="AH1425" i="10" s="1"/>
  <c r="AG1407" i="10"/>
  <c r="AH1407" i="10" s="1"/>
  <c r="AG1390" i="10"/>
  <c r="AH1390" i="10" s="1"/>
  <c r="AH1430" i="10" s="1"/>
  <c r="AG820" i="10"/>
  <c r="AH820" i="10" s="1"/>
  <c r="AG841" i="10"/>
  <c r="AH841" i="10" s="1"/>
  <c r="AG823" i="10"/>
  <c r="AH823" i="10" s="1"/>
  <c r="AG806" i="10"/>
  <c r="AH806" i="10" s="1"/>
  <c r="AG818" i="10"/>
  <c r="AH818" i="10" s="1"/>
  <c r="AG843" i="10"/>
  <c r="AH843" i="10" s="1"/>
  <c r="AG825" i="10"/>
  <c r="AH825" i="10" s="1"/>
  <c r="AG808" i="10"/>
  <c r="AH808" i="10" s="1"/>
  <c r="AG830" i="10"/>
  <c r="AH830" i="10" s="1"/>
  <c r="AG812" i="10"/>
  <c r="AH812" i="10" s="1"/>
  <c r="AG1356" i="10"/>
  <c r="AG1373" i="10"/>
  <c r="AH1373" i="10" s="1"/>
  <c r="AG1337" i="10"/>
  <c r="AG1375" i="10"/>
  <c r="AH1375" i="10" s="1"/>
  <c r="AG1370" i="10"/>
  <c r="AG1368" i="10"/>
  <c r="AG1342" i="10"/>
  <c r="AG732" i="10"/>
  <c r="AG706" i="10"/>
  <c r="AG714" i="10"/>
  <c r="AG733" i="10"/>
  <c r="AG727" i="10"/>
  <c r="AG737" i="10"/>
  <c r="AG718" i="10"/>
  <c r="AG726" i="10"/>
  <c r="AG711" i="10"/>
  <c r="AG1003" i="10"/>
  <c r="AH1003" i="10" s="1"/>
  <c r="AG968" i="10"/>
  <c r="AH968" i="10" s="1"/>
  <c r="AG972" i="10"/>
  <c r="AH972" i="10" s="1"/>
  <c r="AG997" i="10"/>
  <c r="AH997" i="10" s="1"/>
  <c r="AG978" i="10"/>
  <c r="AH978" i="10" s="1"/>
  <c r="AG1004" i="10"/>
  <c r="AH1004" i="10" s="1"/>
  <c r="AG995" i="10"/>
  <c r="AH995" i="10" s="1"/>
  <c r="AG986" i="10"/>
  <c r="AH986" i="10" s="1"/>
  <c r="AG975" i="10"/>
  <c r="AH975" i="10" s="1"/>
  <c r="AG967" i="10"/>
  <c r="AH967" i="10" s="1"/>
  <c r="AG1403" i="10"/>
  <c r="AH1403" i="10" s="1"/>
  <c r="AG1412" i="10"/>
  <c r="AH1412" i="10" s="1"/>
  <c r="AG1400" i="10"/>
  <c r="AH1400" i="10" s="1"/>
  <c r="AG1394" i="10"/>
  <c r="AH1394" i="10" s="1"/>
  <c r="AG1419" i="10"/>
  <c r="AH1419" i="10" s="1"/>
  <c r="AG1402" i="10"/>
  <c r="AH1402" i="10" s="1"/>
  <c r="AG1417" i="10"/>
  <c r="AH1417" i="10" s="1"/>
  <c r="AG1399" i="10"/>
  <c r="AH1399" i="10" s="1"/>
  <c r="AG1414" i="10"/>
  <c r="AH1414" i="10" s="1"/>
  <c r="AF232" i="10"/>
  <c r="AG817" i="10"/>
  <c r="AH817" i="10" s="1"/>
  <c r="AG834" i="10"/>
  <c r="AH834" i="10" s="1"/>
  <c r="AG838" i="10"/>
  <c r="AH838" i="10" s="1"/>
  <c r="AG839" i="10"/>
  <c r="AH839" i="10" s="1"/>
  <c r="AG816" i="10"/>
  <c r="AH816" i="10" s="1"/>
  <c r="AG842" i="10"/>
  <c r="AH842" i="10" s="1"/>
  <c r="AG824" i="10"/>
  <c r="AH824" i="10" s="1"/>
  <c r="AG807" i="10"/>
  <c r="AH807" i="10" s="1"/>
  <c r="AG829" i="10"/>
  <c r="AH829" i="10" s="1"/>
  <c r="AG1353" i="10"/>
  <c r="AG1348" i="10"/>
  <c r="AG1338" i="10"/>
  <c r="AG1372" i="10"/>
  <c r="AG1365" i="10"/>
  <c r="AG1351" i="10"/>
  <c r="AG1360" i="10"/>
  <c r="AG1341" i="10"/>
  <c r="AG728" i="10"/>
  <c r="AG731" i="10"/>
  <c r="AG709" i="10"/>
  <c r="AG716" i="10"/>
  <c r="AG712" i="10"/>
  <c r="AH712" i="10" s="1"/>
  <c r="AG736" i="10"/>
  <c r="AG710" i="10"/>
  <c r="AH710" i="10" s="1"/>
  <c r="AG725" i="10"/>
  <c r="AG994" i="10"/>
  <c r="AH994" i="10" s="1"/>
  <c r="AG999" i="10"/>
  <c r="AH999" i="10" s="1"/>
  <c r="AG992" i="10"/>
  <c r="AH992" i="10" s="1"/>
  <c r="AG974" i="10"/>
  <c r="AH974" i="10" s="1"/>
  <c r="AG1002" i="10"/>
  <c r="AH1002" i="10" s="1"/>
  <c r="AG993" i="10"/>
  <c r="AH993" i="10" s="1"/>
  <c r="AG984" i="10"/>
  <c r="AH984" i="10" s="1"/>
  <c r="AG1415" i="10"/>
  <c r="AH1415" i="10" s="1"/>
  <c r="AG1418" i="10"/>
  <c r="AH1418" i="10" s="1"/>
  <c r="AG1393" i="10"/>
  <c r="AH1393" i="10" s="1"/>
  <c r="AG1427" i="10"/>
  <c r="AH1427" i="10" s="1"/>
  <c r="AG1401" i="10"/>
  <c r="AH1401" i="10" s="1"/>
  <c r="AG1395" i="10"/>
  <c r="AH1395" i="10" s="1"/>
  <c r="AG1416" i="10"/>
  <c r="AH1416" i="10" s="1"/>
  <c r="AG1398" i="10"/>
  <c r="AH1398" i="10" s="1"/>
  <c r="AG1406" i="10"/>
  <c r="AH1406" i="10" s="1"/>
  <c r="AG1231" i="10"/>
  <c r="AH1231" i="10" s="1"/>
  <c r="AG1404" i="10"/>
  <c r="AH1404" i="10" s="1"/>
  <c r="AG868" i="10"/>
  <c r="AG1397" i="10"/>
  <c r="AH1397" i="10" s="1"/>
  <c r="AH658" i="10"/>
  <c r="AG877" i="10"/>
  <c r="AH971" i="10"/>
  <c r="AF1251" i="10"/>
  <c r="AH650" i="10"/>
  <c r="AH681" i="10"/>
  <c r="AH613" i="10"/>
  <c r="AF1215" i="10"/>
  <c r="AF1184" i="10"/>
  <c r="AF25" i="10"/>
  <c r="AF28" i="10"/>
  <c r="AF612" i="10"/>
  <c r="AF613" i="10"/>
  <c r="AF611" i="10"/>
  <c r="AF719" i="10"/>
  <c r="AF736" i="10"/>
  <c r="AF703" i="10"/>
  <c r="AF1369" i="10"/>
  <c r="AF1354" i="10"/>
  <c r="AF669" i="10"/>
  <c r="AF673" i="10"/>
  <c r="AF1150" i="10"/>
  <c r="AF1162" i="10"/>
  <c r="AG1343" i="10"/>
  <c r="AG1363" i="10"/>
  <c r="AG1345" i="10"/>
  <c r="AG1339" i="10"/>
  <c r="AG1354" i="10"/>
  <c r="AG1357" i="10"/>
  <c r="AG1362" i="10"/>
  <c r="AG1369" i="10"/>
  <c r="AG939" i="10"/>
  <c r="AG930" i="10"/>
  <c r="AG933" i="10"/>
  <c r="AG931" i="10"/>
  <c r="AG918" i="10"/>
  <c r="AG926" i="10"/>
  <c r="AH926" i="10" s="1"/>
  <c r="AG920" i="10"/>
  <c r="AG925" i="10"/>
  <c r="AG923" i="10"/>
  <c r="AG950" i="10"/>
  <c r="AG927" i="10"/>
  <c r="AH927" i="10" s="1"/>
  <c r="AG937" i="10"/>
  <c r="AG944" i="10"/>
  <c r="AG951" i="10"/>
  <c r="AG942" i="10"/>
  <c r="AG924" i="10"/>
  <c r="AG940" i="10"/>
  <c r="AG922" i="10"/>
  <c r="AG929" i="10"/>
  <c r="AG946" i="10"/>
  <c r="AG919" i="10"/>
  <c r="AG938" i="10"/>
  <c r="AG949" i="10"/>
  <c r="AG935" i="10"/>
  <c r="AG917" i="10"/>
  <c r="AG932" i="10"/>
  <c r="AG1077" i="10"/>
  <c r="AG1097" i="10"/>
  <c r="AG1083" i="10"/>
  <c r="AG1090" i="10"/>
  <c r="AH1090" i="10" s="1"/>
  <c r="AG1081" i="10"/>
  <c r="AG1108" i="10"/>
  <c r="AH1108" i="10" s="1"/>
  <c r="AG1106" i="10"/>
  <c r="AH1106" i="10" s="1"/>
  <c r="AG1111" i="10"/>
  <c r="AG1076" i="10"/>
  <c r="AG1082" i="10"/>
  <c r="AG1086" i="10"/>
  <c r="AG1078" i="10"/>
  <c r="AG1095" i="10"/>
  <c r="AG1101" i="10"/>
  <c r="AG1079" i="10"/>
  <c r="AG1107" i="10"/>
  <c r="AH1107" i="10" s="1"/>
  <c r="AG1094" i="10"/>
  <c r="AG1100" i="10"/>
  <c r="AG873" i="10"/>
  <c r="AH873" i="10" s="1"/>
  <c r="AG887" i="10"/>
  <c r="AG880" i="10"/>
  <c r="AG888" i="10"/>
  <c r="AG872" i="10"/>
  <c r="AG893" i="10"/>
  <c r="AG878" i="10"/>
  <c r="AG895" i="10"/>
  <c r="AG891" i="10"/>
  <c r="AG869" i="10"/>
  <c r="AG898" i="10"/>
  <c r="AG862" i="10"/>
  <c r="AG899" i="10"/>
  <c r="AG860" i="10"/>
  <c r="AG882" i="10"/>
  <c r="AG883" i="10"/>
  <c r="AG889" i="10"/>
  <c r="AG866" i="10"/>
  <c r="AG874" i="10"/>
  <c r="AH874" i="10" s="1"/>
  <c r="AG870" i="10"/>
  <c r="AH870" i="10" s="1"/>
  <c r="AG871" i="10"/>
  <c r="AG892" i="10"/>
  <c r="AG885" i="10"/>
  <c r="AG886" i="10"/>
  <c r="AG896" i="10"/>
  <c r="AG867" i="10"/>
  <c r="AG861" i="10"/>
  <c r="AG884" i="10"/>
  <c r="AG897" i="10"/>
  <c r="AH897" i="10" s="1"/>
  <c r="AG863" i="10"/>
  <c r="AG894" i="10"/>
  <c r="AG876" i="10"/>
  <c r="AG879" i="10"/>
  <c r="AH879" i="10" s="1"/>
  <c r="AG864" i="10"/>
  <c r="AG1072" i="10"/>
  <c r="AH1072" i="10" s="1"/>
  <c r="AG1105" i="10"/>
  <c r="AG1073" i="10"/>
  <c r="AG1098" i="10"/>
  <c r="AG1088" i="10"/>
  <c r="AG1089" i="10"/>
  <c r="AH1089" i="10" s="1"/>
  <c r="AG1103" i="10"/>
  <c r="AH1103" i="10" s="1"/>
  <c r="AG1084" i="10"/>
  <c r="AG1109" i="10"/>
  <c r="AH1109" i="10" s="1"/>
  <c r="AG1091" i="10"/>
  <c r="AG1074" i="10"/>
  <c r="AG1080" i="10"/>
  <c r="AG1096" i="10"/>
  <c r="AG1099" i="10"/>
  <c r="AG1104" i="10"/>
  <c r="AH1104" i="10" s="1"/>
  <c r="AG1085" i="10"/>
  <c r="AH1085" i="10" s="1"/>
  <c r="AG1110" i="10"/>
  <c r="AH1110" i="10" s="1"/>
  <c r="AG1092" i="10"/>
  <c r="AF243" i="10"/>
  <c r="AF247" i="10"/>
  <c r="AF259" i="10"/>
  <c r="AF256" i="10"/>
  <c r="AF543" i="10"/>
  <c r="AF946" i="10"/>
  <c r="AF567" i="10"/>
  <c r="AF572" i="10"/>
  <c r="AH675" i="10"/>
  <c r="AH655" i="10"/>
  <c r="AH656" i="10"/>
  <c r="AH652" i="10"/>
  <c r="AF557" i="10"/>
  <c r="AF544" i="10"/>
  <c r="AF579" i="10"/>
  <c r="AF552" i="10"/>
  <c r="AH865" i="10"/>
  <c r="AF896" i="10"/>
  <c r="AF861" i="10"/>
  <c r="AF897" i="10"/>
  <c r="AF876" i="10"/>
  <c r="AF882" i="10"/>
  <c r="AF877" i="10"/>
  <c r="AF870" i="10"/>
  <c r="AF888" i="10"/>
  <c r="AF893" i="10"/>
  <c r="AF863" i="10"/>
  <c r="AF899" i="10"/>
  <c r="AF895" i="10"/>
  <c r="AF878" i="10"/>
  <c r="AF884" i="10"/>
  <c r="AF872" i="10"/>
  <c r="AF864" i="10"/>
  <c r="AF871" i="10"/>
  <c r="AF866" i="10"/>
  <c r="AF880" i="10"/>
  <c r="AF867" i="10"/>
  <c r="AF887" i="10"/>
  <c r="AF865" i="10"/>
  <c r="AF883" i="10"/>
  <c r="AF869" i="10"/>
  <c r="AF889" i="10"/>
  <c r="AF886" i="10"/>
  <c r="AF892" i="10"/>
  <c r="AF868" i="10"/>
  <c r="AF894" i="10"/>
  <c r="AF885" i="10"/>
  <c r="AF891" i="10"/>
  <c r="AF898" i="10"/>
  <c r="AF862" i="10"/>
  <c r="AF860" i="10"/>
  <c r="AH600" i="10"/>
  <c r="AH602" i="10"/>
  <c r="AH604" i="10"/>
  <c r="AF1289" i="10"/>
  <c r="AF1296" i="10"/>
  <c r="AH661" i="10"/>
  <c r="AF1183" i="10"/>
  <c r="AF1210" i="10"/>
  <c r="AF1197" i="10"/>
  <c r="AH674" i="10"/>
  <c r="AF1250" i="10"/>
  <c r="AF1243" i="10"/>
  <c r="AF1242" i="10"/>
  <c r="AF1239" i="10"/>
  <c r="AF1235" i="10"/>
  <c r="AF674" i="10"/>
  <c r="AF661" i="10"/>
  <c r="AF681" i="10"/>
  <c r="AF713" i="10"/>
  <c r="AF737" i="10"/>
  <c r="AF734" i="10"/>
  <c r="AE846" i="10"/>
  <c r="AG27" i="10"/>
  <c r="AG763" i="10"/>
  <c r="AH763" i="10" s="1"/>
  <c r="AG785" i="10"/>
  <c r="AH785" i="10" s="1"/>
  <c r="AG791" i="10"/>
  <c r="AH791" i="10" s="1"/>
  <c r="AG756" i="10"/>
  <c r="AH756" i="10" s="1"/>
  <c r="AG760" i="10"/>
  <c r="AH760" i="10" s="1"/>
  <c r="AG782" i="10"/>
  <c r="AH782" i="10" s="1"/>
  <c r="AG753" i="10"/>
  <c r="AH753" i="10" s="1"/>
  <c r="AG788" i="10"/>
  <c r="AH788" i="10" s="1"/>
  <c r="AG767" i="10"/>
  <c r="AH767" i="10" s="1"/>
  <c r="AG762" i="10"/>
  <c r="AH762" i="10" s="1"/>
  <c r="AG789" i="10"/>
  <c r="AH789" i="10" s="1"/>
  <c r="AG771" i="10"/>
  <c r="AH771" i="10" s="1"/>
  <c r="AG754" i="10"/>
  <c r="AH754" i="10" s="1"/>
  <c r="AG776" i="10"/>
  <c r="AH776" i="10" s="1"/>
  <c r="AG758" i="10"/>
  <c r="AH758" i="10" s="1"/>
  <c r="AG769" i="10"/>
  <c r="AH769" i="10" s="1"/>
  <c r="AG766" i="10"/>
  <c r="AH766" i="10" s="1"/>
  <c r="AG787" i="10"/>
  <c r="AH787" i="10" s="1"/>
  <c r="AG784" i="10"/>
  <c r="AH784" i="10" s="1"/>
  <c r="AG792" i="10"/>
  <c r="AH792" i="10" s="1"/>
  <c r="AG775" i="10"/>
  <c r="AH775" i="10" s="1"/>
  <c r="AG757" i="10"/>
  <c r="AH757" i="10" s="1"/>
  <c r="AG779" i="10"/>
  <c r="AH779" i="10" s="1"/>
  <c r="AG234" i="10"/>
  <c r="AH234" i="10" s="1"/>
  <c r="AG1530" i="10"/>
  <c r="AH1530" i="10" s="1"/>
  <c r="AG1505" i="10"/>
  <c r="AH1505" i="10" s="1"/>
  <c r="AG1504" i="10"/>
  <c r="AH1504" i="10" s="1"/>
  <c r="AG1513" i="10"/>
  <c r="AH1513" i="10" s="1"/>
  <c r="AG1527" i="10"/>
  <c r="AH1527" i="10" s="1"/>
  <c r="AG1509" i="10"/>
  <c r="AH1509" i="10" s="1"/>
  <c r="AG1507" i="10"/>
  <c r="AH1507" i="10" s="1"/>
  <c r="AG1500" i="10"/>
  <c r="AH1500" i="10" s="1"/>
  <c r="AG1511" i="10"/>
  <c r="AH1511" i="10" s="1"/>
  <c r="AG1523" i="10"/>
  <c r="AH1523" i="10" s="1"/>
  <c r="AG50" i="10"/>
  <c r="AG21" i="10"/>
  <c r="AG15" i="10"/>
  <c r="AG46" i="10"/>
  <c r="AG16" i="10"/>
  <c r="AG28" i="10"/>
  <c r="AH28" i="10" s="1"/>
  <c r="AG39" i="10"/>
  <c r="AG45" i="10"/>
  <c r="AG33" i="10"/>
  <c r="AG49" i="10"/>
  <c r="AG14" i="10"/>
  <c r="AG20" i="10"/>
  <c r="AG25" i="10"/>
  <c r="AG43" i="10"/>
  <c r="AG34" i="10"/>
  <c r="AG48" i="10"/>
  <c r="AG30" i="10"/>
  <c r="AG13" i="10"/>
  <c r="AG37" i="10"/>
  <c r="AG19" i="10"/>
  <c r="AG36" i="10"/>
  <c r="AG18" i="10"/>
  <c r="AG42" i="10"/>
  <c r="AG31" i="10"/>
  <c r="AG38" i="10"/>
  <c r="AG44" i="10"/>
  <c r="AG24" i="10"/>
  <c r="AG23" i="10"/>
  <c r="AG40" i="10"/>
  <c r="AG22" i="10"/>
  <c r="AH22" i="10" s="1"/>
  <c r="AG47" i="10"/>
  <c r="AH47" i="10" s="1"/>
  <c r="AG29" i="10"/>
  <c r="AG12" i="10"/>
  <c r="AG35" i="10"/>
  <c r="AG17" i="10"/>
  <c r="AG1533" i="10"/>
  <c r="AH1533" i="10" s="1"/>
  <c r="AG1534" i="10"/>
  <c r="AH1534" i="10" s="1"/>
  <c r="AG1502" i="10"/>
  <c r="AH1502" i="10" s="1"/>
  <c r="AG1529" i="10"/>
  <c r="AH1529" i="10" s="1"/>
  <c r="AG1522" i="10"/>
  <c r="AH1522" i="10" s="1"/>
  <c r="AG1526" i="10"/>
  <c r="AH1526" i="10" s="1"/>
  <c r="AG1499" i="10"/>
  <c r="AH1499" i="10" s="1"/>
  <c r="AG1515" i="10"/>
  <c r="AH1515" i="10" s="1"/>
  <c r="AG1498" i="10"/>
  <c r="AH1498" i="10" s="1"/>
  <c r="AG1496" i="10"/>
  <c r="AH1496" i="10" s="1"/>
  <c r="AG1528" i="10"/>
  <c r="AH1528" i="10" s="1"/>
  <c r="AG1531" i="10"/>
  <c r="AH1531" i="10" s="1"/>
  <c r="AG1519" i="10"/>
  <c r="AH1519" i="10" s="1"/>
  <c r="AG1512" i="10"/>
  <c r="AH1512" i="10" s="1"/>
  <c r="AG1518" i="10"/>
  <c r="AH1518" i="10" s="1"/>
  <c r="AG1532" i="10"/>
  <c r="AH1532" i="10" s="1"/>
  <c r="AG1514" i="10"/>
  <c r="AH1514" i="10" s="1"/>
  <c r="AG1497" i="10"/>
  <c r="AH1497" i="10" s="1"/>
  <c r="AG1521" i="10"/>
  <c r="AH1521" i="10" s="1"/>
  <c r="AG1520" i="10"/>
  <c r="AH1520" i="10" s="1"/>
  <c r="AG1503" i="10"/>
  <c r="AH1503" i="10" s="1"/>
  <c r="AG1501" i="10"/>
  <c r="AH1501" i="10" s="1"/>
  <c r="AG1495" i="10"/>
  <c r="AH1495" i="10" s="1"/>
  <c r="AG1517" i="10"/>
  <c r="AH1517" i="10" s="1"/>
  <c r="AG1524" i="10"/>
  <c r="AH1524" i="10" s="1"/>
  <c r="AG1506" i="10"/>
  <c r="AH1506" i="10" s="1"/>
  <c r="AF846" i="10"/>
  <c r="AG260" i="10"/>
  <c r="AH260" i="10" s="1"/>
  <c r="AG224" i="10"/>
  <c r="AH224" i="10" s="1"/>
  <c r="AG252" i="10"/>
  <c r="AH252" i="10" s="1"/>
  <c r="AF1130" i="10"/>
  <c r="AF1157" i="10"/>
  <c r="AF1149" i="10"/>
  <c r="AF1147" i="10"/>
  <c r="AF726" i="10"/>
  <c r="AF723" i="10"/>
  <c r="AF716" i="10"/>
  <c r="AF729" i="10"/>
  <c r="AF704" i="10"/>
  <c r="AF701" i="10"/>
  <c r="AF711" i="10"/>
  <c r="AF707" i="10"/>
  <c r="AF733" i="10"/>
  <c r="AF728" i="10"/>
  <c r="AF739" i="10"/>
  <c r="AF714" i="10"/>
  <c r="AF706" i="10"/>
  <c r="AF732" i="10"/>
  <c r="AF727" i="10"/>
  <c r="AF725" i="10"/>
  <c r="AF709" i="10"/>
  <c r="AF720" i="10"/>
  <c r="AF702" i="10"/>
  <c r="AF731" i="10"/>
  <c r="AF722" i="10"/>
  <c r="AF724" i="10"/>
  <c r="AF718" i="10"/>
  <c r="AF705" i="10"/>
  <c r="AF700" i="10"/>
  <c r="AF563" i="10"/>
  <c r="AF1186" i="10"/>
  <c r="AF1206" i="10"/>
  <c r="AF1192" i="10"/>
  <c r="AF1198" i="10"/>
  <c r="AF1204" i="10"/>
  <c r="AF1212" i="10"/>
  <c r="AF1191" i="10"/>
  <c r="AF1203" i="10"/>
  <c r="AF1180" i="10"/>
  <c r="AF1205" i="10"/>
  <c r="AF1187" i="10"/>
  <c r="AF1211" i="10"/>
  <c r="AF1216" i="10"/>
  <c r="AF1200" i="10"/>
  <c r="AF1179" i="10"/>
  <c r="AF1202" i="10"/>
  <c r="AF1194" i="10"/>
  <c r="AF1209" i="10"/>
  <c r="AF1207" i="10"/>
  <c r="AF1189" i="10"/>
  <c r="AF1217" i="10"/>
  <c r="AF1201" i="10"/>
  <c r="AF1181" i="10"/>
  <c r="AF255" i="10"/>
  <c r="AF234" i="10"/>
  <c r="AF261" i="10"/>
  <c r="AF246" i="10"/>
  <c r="AF238" i="10"/>
  <c r="AF226" i="10"/>
  <c r="AF258" i="10"/>
  <c r="AF260" i="10"/>
  <c r="AF251" i="10"/>
  <c r="AF228" i="10"/>
  <c r="AF229" i="10"/>
  <c r="AF663" i="10"/>
  <c r="AF675" i="10"/>
  <c r="AF672" i="10"/>
  <c r="AF656" i="10"/>
  <c r="AF651" i="10"/>
  <c r="AF652" i="10"/>
  <c r="AF671" i="10"/>
  <c r="AF658" i="10"/>
  <c r="AF659" i="10"/>
  <c r="AF657" i="10"/>
  <c r="AF650" i="10"/>
  <c r="AF655" i="10"/>
  <c r="AF654" i="10"/>
  <c r="AF649" i="10"/>
  <c r="AH672" i="10"/>
  <c r="AH671" i="10"/>
  <c r="AH651" i="10"/>
  <c r="AF252" i="10"/>
  <c r="AF263" i="10"/>
  <c r="AF253" i="10"/>
  <c r="AF938" i="10"/>
  <c r="AF947" i="10"/>
  <c r="AF931" i="10"/>
  <c r="AF42" i="10"/>
  <c r="AH1075" i="10"/>
  <c r="AH872" i="10"/>
  <c r="AH1027" i="10"/>
  <c r="AF942" i="10"/>
  <c r="AF919" i="10"/>
  <c r="AF944" i="10"/>
  <c r="AF939" i="10"/>
  <c r="AF922" i="10"/>
  <c r="AF951" i="10"/>
  <c r="AF940" i="10"/>
  <c r="AF929" i="10"/>
  <c r="AF913" i="10"/>
  <c r="AF914" i="10"/>
  <c r="AF949" i="10"/>
  <c r="AF933" i="10"/>
  <c r="AF948" i="10"/>
  <c r="AF916" i="10"/>
  <c r="AF610" i="10"/>
  <c r="AF605" i="10"/>
  <c r="AF629" i="10"/>
  <c r="AF626" i="10"/>
  <c r="AF603" i="10"/>
  <c r="AF620" i="10"/>
  <c r="AF595" i="10"/>
  <c r="AF616" i="10"/>
  <c r="AF614" i="10"/>
  <c r="AF604" i="10"/>
  <c r="AF20" i="10"/>
  <c r="AF233" i="10"/>
  <c r="AF1153" i="10"/>
  <c r="AF1159" i="10"/>
  <c r="AF1127" i="10"/>
  <c r="AF1158" i="10"/>
  <c r="AF1144" i="10"/>
  <c r="AF1138" i="10"/>
  <c r="AH11" i="10"/>
  <c r="AF241" i="10"/>
  <c r="AF249" i="10"/>
  <c r="AF225" i="10"/>
  <c r="AF1163" i="10"/>
  <c r="AF1131" i="10"/>
  <c r="AF1129" i="10"/>
  <c r="AF1148" i="10"/>
  <c r="AF1128" i="10"/>
  <c r="AF1133" i="10"/>
  <c r="AF1151" i="10"/>
  <c r="AF1152" i="10"/>
  <c r="AF1132" i="10"/>
  <c r="AF1126" i="10"/>
  <c r="AF1145" i="10"/>
  <c r="AH1134" i="10"/>
  <c r="AF1363" i="10"/>
  <c r="AF1343" i="10"/>
  <c r="AF308" i="10"/>
  <c r="AF1160" i="10"/>
  <c r="AF1134" i="10"/>
  <c r="AH291" i="10"/>
  <c r="AH566" i="10"/>
  <c r="AE793" i="10"/>
  <c r="AF753" i="10"/>
  <c r="AF793" i="10" s="1"/>
  <c r="AF708" i="10"/>
  <c r="AF735" i="10"/>
  <c r="AE740" i="10"/>
  <c r="AF128" i="10"/>
  <c r="AF132" i="10"/>
  <c r="AG230" i="10"/>
  <c r="AH230" i="10" s="1"/>
  <c r="AF236" i="10"/>
  <c r="AF625" i="10"/>
  <c r="AF632" i="10"/>
  <c r="AF600" i="10"/>
  <c r="AF623" i="10"/>
  <c r="AF602" i="10"/>
  <c r="AF599" i="10"/>
  <c r="AF597" i="10"/>
  <c r="AF36" i="10"/>
  <c r="AF33" i="10"/>
  <c r="AH206" i="10"/>
  <c r="AF182" i="10"/>
  <c r="AF206" i="10"/>
  <c r="AF207" i="10"/>
  <c r="AH227" i="10"/>
  <c r="AG256" i="10"/>
  <c r="AH256" i="10" s="1"/>
  <c r="AG263" i="10"/>
  <c r="AH263" i="10" s="1"/>
  <c r="AG262" i="10"/>
  <c r="AH262" i="10" s="1"/>
  <c r="AG261" i="10"/>
  <c r="AH261" i="10" s="1"/>
  <c r="AG243" i="10"/>
  <c r="AH243" i="10" s="1"/>
  <c r="AG229" i="10"/>
  <c r="AH229" i="10" s="1"/>
  <c r="AF231" i="10"/>
  <c r="AF244" i="10"/>
  <c r="AF619" i="10"/>
  <c r="AF631" i="10"/>
  <c r="AF633" i="10"/>
  <c r="AF598" i="10"/>
  <c r="AF622" i="10"/>
  <c r="AF608" i="10"/>
  <c r="AF618" i="10"/>
  <c r="AF23" i="10"/>
  <c r="AF17" i="10"/>
  <c r="AF1290" i="10"/>
  <c r="AG233" i="10"/>
  <c r="AH233" i="10" s="1"/>
  <c r="AG246" i="10"/>
  <c r="AH246" i="10" s="1"/>
  <c r="AG247" i="10"/>
  <c r="AH247" i="10" s="1"/>
  <c r="AG235" i="10"/>
  <c r="AH235" i="10" s="1"/>
  <c r="AG255" i="10"/>
  <c r="AH255" i="10" s="1"/>
  <c r="AG236" i="10"/>
  <c r="AH236" i="10" s="1"/>
  <c r="AF242" i="10"/>
  <c r="AF630" i="10"/>
  <c r="AF617" i="10"/>
  <c r="AF627" i="10"/>
  <c r="AF628" i="10"/>
  <c r="AF596" i="10"/>
  <c r="AF606" i="10"/>
  <c r="AF621" i="10"/>
  <c r="AF607" i="10"/>
  <c r="AF22" i="10"/>
  <c r="AG258" i="10"/>
  <c r="AH258" i="10" s="1"/>
  <c r="AG249" i="10"/>
  <c r="AH249" i="10" s="1"/>
  <c r="AG242" i="10"/>
  <c r="AH242" i="10" s="1"/>
  <c r="AG244" i="10"/>
  <c r="AH244" i="10" s="1"/>
  <c r="AG225" i="10"/>
  <c r="AH225" i="10" s="1"/>
  <c r="AG257" i="10"/>
  <c r="AH257" i="10" s="1"/>
  <c r="AG248" i="10"/>
  <c r="AH248" i="10" s="1"/>
  <c r="AG238" i="10"/>
  <c r="AG231" i="10"/>
  <c r="AH231" i="10" s="1"/>
  <c r="AG226" i="10"/>
  <c r="AH226" i="10" s="1"/>
  <c r="AG237" i="10"/>
  <c r="AH237" i="10" s="1"/>
  <c r="AG240" i="10"/>
  <c r="AH240" i="10" s="1"/>
  <c r="AG251" i="10"/>
  <c r="AH251" i="10" s="1"/>
  <c r="AG253" i="10"/>
  <c r="AH253" i="10" s="1"/>
  <c r="AG228" i="10"/>
  <c r="AH228" i="10" s="1"/>
  <c r="AG259" i="10"/>
  <c r="AH259" i="10" s="1"/>
  <c r="AG250" i="10"/>
  <c r="AH250" i="10" s="1"/>
  <c r="AG241" i="10"/>
  <c r="AH241" i="10" s="1"/>
  <c r="AG232" i="10"/>
  <c r="AH232" i="10" s="1"/>
  <c r="AG1036" i="10"/>
  <c r="AC1455" i="10"/>
  <c r="AD1455" i="10" s="1"/>
  <c r="AC1465" i="10"/>
  <c r="AD1465" i="10" s="1"/>
  <c r="AC1469" i="10"/>
  <c r="AD1469" i="10" s="1"/>
  <c r="AC1480" i="10"/>
  <c r="AD1480" i="10" s="1"/>
  <c r="AC1470" i="10"/>
  <c r="AD1470" i="10" s="1"/>
  <c r="AC1481" i="10"/>
  <c r="AD1481" i="10" s="1"/>
  <c r="AC1444" i="10"/>
  <c r="AD1444" i="10" s="1"/>
  <c r="AC1459" i="10"/>
  <c r="AD1459" i="10" s="1"/>
  <c r="AC1463" i="10"/>
  <c r="AD1463" i="10" s="1"/>
  <c r="AC1468" i="10"/>
  <c r="AD1468" i="10" s="1"/>
  <c r="AG1032" i="10"/>
  <c r="AH1032" i="10" s="1"/>
  <c r="AG1026" i="10"/>
  <c r="AG1050" i="10"/>
  <c r="AG1047" i="10"/>
  <c r="AG1024" i="10"/>
  <c r="AG1055" i="10"/>
  <c r="AC982" i="10"/>
  <c r="AD982" i="10" s="1"/>
  <c r="AE1006" i="10"/>
  <c r="AC1460" i="10"/>
  <c r="AD1460" i="10" s="1"/>
  <c r="AC1457" i="10"/>
  <c r="AD1457" i="10" s="1"/>
  <c r="AC1448" i="10"/>
  <c r="AD1448" i="10" s="1"/>
  <c r="AC1472" i="10"/>
  <c r="AD1472" i="10" s="1"/>
  <c r="AC1471" i="10"/>
  <c r="AD1471" i="10" s="1"/>
  <c r="AC1453" i="10"/>
  <c r="AD1453" i="10" s="1"/>
  <c r="AC1456" i="10"/>
  <c r="AD1456" i="10" s="1"/>
  <c r="AC1461" i="10"/>
  <c r="AD1461" i="10" s="1"/>
  <c r="AC1443" i="10"/>
  <c r="AD1443" i="10" s="1"/>
  <c r="AC1449" i="10"/>
  <c r="AD1449" i="10" s="1"/>
  <c r="AC1467" i="10"/>
  <c r="AD1467" i="10" s="1"/>
  <c r="AC1462" i="10"/>
  <c r="AD1462" i="10" s="1"/>
  <c r="AC1446" i="10"/>
  <c r="AD1446" i="10" s="1"/>
  <c r="AC1482" i="10"/>
  <c r="AD1482" i="10" s="1"/>
  <c r="AC1447" i="10"/>
  <c r="AD1447" i="10" s="1"/>
  <c r="AC1452" i="10"/>
  <c r="AD1452" i="10" s="1"/>
  <c r="AC1477" i="10"/>
  <c r="AD1477" i="10" s="1"/>
  <c r="AC1450" i="10"/>
  <c r="AD1450" i="10" s="1"/>
  <c r="AC1478" i="10"/>
  <c r="AD1478" i="10" s="1"/>
  <c r="AC1445" i="10"/>
  <c r="AD1445" i="10" s="1"/>
  <c r="AC1454" i="10"/>
  <c r="AD1454" i="10" s="1"/>
  <c r="AC1466" i="10"/>
  <c r="AD1466" i="10" s="1"/>
  <c r="AC1475" i="10"/>
  <c r="AD1475" i="10" s="1"/>
  <c r="AC1479" i="10"/>
  <c r="AD1479" i="10" s="1"/>
  <c r="AC1451" i="10"/>
  <c r="AD1451" i="10" s="1"/>
  <c r="AC1476" i="10"/>
  <c r="AD1476" i="10" s="1"/>
  <c r="AG1042" i="10"/>
  <c r="AG1035" i="10"/>
  <c r="AG1023" i="10"/>
  <c r="AG1019" i="10"/>
  <c r="AH1019" i="10" s="1"/>
  <c r="AG1030" i="10"/>
  <c r="AG1054" i="10"/>
  <c r="AG1028" i="10"/>
  <c r="AG1025" i="10"/>
  <c r="AG1052" i="10"/>
  <c r="AG1056" i="10"/>
  <c r="AG1029" i="10"/>
  <c r="AH1029" i="10" s="1"/>
  <c r="AG1046" i="10"/>
  <c r="AG1020" i="10"/>
  <c r="AH1020" i="10" s="1"/>
  <c r="AG1051" i="10"/>
  <c r="AG1031" i="10"/>
  <c r="AG1058" i="10"/>
  <c r="AG1033" i="10"/>
  <c r="AH1033" i="10" s="1"/>
  <c r="AG1048" i="10"/>
  <c r="AG1022" i="10"/>
  <c r="AG1037" i="10"/>
  <c r="AC1424" i="10"/>
  <c r="AD1424" i="10" s="1"/>
  <c r="AF920" i="10"/>
  <c r="AF952" i="10"/>
  <c r="AF936" i="10"/>
  <c r="AF937" i="10"/>
  <c r="AF921" i="10"/>
  <c r="AF924" i="10"/>
  <c r="AF945" i="10"/>
  <c r="AF925" i="10"/>
  <c r="AH1350" i="10"/>
  <c r="AF40" i="10"/>
  <c r="AF14" i="10"/>
  <c r="AF27" i="10"/>
  <c r="AF12" i="10"/>
  <c r="AH663" i="10"/>
  <c r="AH988" i="10"/>
  <c r="AF930" i="10"/>
  <c r="AF918" i="10"/>
  <c r="AF950" i="10"/>
  <c r="AF932" i="10"/>
  <c r="AF935" i="10"/>
  <c r="AF915" i="10"/>
  <c r="AF917" i="10"/>
  <c r="AF941" i="10"/>
  <c r="AF50" i="10"/>
  <c r="AF29" i="10"/>
  <c r="AF35" i="10"/>
  <c r="AF1306" i="10"/>
  <c r="AF1320" i="10"/>
  <c r="AF1294" i="10"/>
  <c r="AF1292" i="10"/>
  <c r="AF1312" i="10"/>
  <c r="AF1309" i="10"/>
  <c r="AF1311" i="10"/>
  <c r="AF1304" i="10"/>
  <c r="AF1317" i="10"/>
  <c r="AF1302" i="10"/>
  <c r="AF1287" i="10"/>
  <c r="AF1288" i="10"/>
  <c r="AF1300" i="10"/>
  <c r="AF1284" i="10"/>
  <c r="AF1310" i="10"/>
  <c r="AF1301" i="10"/>
  <c r="AF1316" i="10"/>
  <c r="AF1286" i="10"/>
  <c r="AF1318" i="10"/>
  <c r="AF1323" i="10"/>
  <c r="AF1293" i="10"/>
  <c r="AF1307" i="10"/>
  <c r="AF1295" i="10"/>
  <c r="AF1315" i="10"/>
  <c r="AF1291" i="10"/>
  <c r="AF1313" i="10"/>
  <c r="AF1322" i="10"/>
  <c r="AF1143" i="10"/>
  <c r="AF1141" i="10"/>
  <c r="AF44" i="10"/>
  <c r="AF49" i="10"/>
  <c r="AF46" i="10"/>
  <c r="AF15" i="10"/>
  <c r="AF13" i="10"/>
  <c r="AF31" i="10"/>
  <c r="AF30" i="10"/>
  <c r="AF38" i="10"/>
  <c r="AF39" i="10"/>
  <c r="AF48" i="10"/>
  <c r="AF18" i="10"/>
  <c r="AF19" i="10"/>
  <c r="AF121" i="10"/>
  <c r="AF129" i="10"/>
  <c r="AF155" i="10"/>
  <c r="AF145" i="10"/>
  <c r="AF130" i="10"/>
  <c r="AF152" i="10"/>
  <c r="AF156" i="10"/>
  <c r="AF135" i="10"/>
  <c r="AF151" i="10"/>
  <c r="AF122" i="10"/>
  <c r="AF153" i="10"/>
  <c r="AF140" i="10"/>
  <c r="AF154" i="10"/>
  <c r="AF150" i="10"/>
  <c r="AF127" i="10"/>
  <c r="AF149" i="10"/>
  <c r="AF136" i="10"/>
  <c r="AF157" i="10"/>
  <c r="AF1374" i="10"/>
  <c r="AF1362" i="10"/>
  <c r="AF1368" i="10"/>
  <c r="AF1361" i="10"/>
  <c r="AF1356" i="10"/>
  <c r="AF1360" i="10"/>
  <c r="AF1341" i="10"/>
  <c r="AF1339" i="10"/>
  <c r="AF1351" i="10"/>
  <c r="AF1348" i="10"/>
  <c r="AF1359" i="10"/>
  <c r="AF1365" i="10"/>
  <c r="AF1342" i="10"/>
  <c r="AF1350" i="10"/>
  <c r="AF1376" i="10"/>
  <c r="AF1338" i="10"/>
  <c r="AF1372" i="10"/>
  <c r="AF1355" i="10"/>
  <c r="AF1345" i="10"/>
  <c r="AF118" i="10"/>
  <c r="AF1337" i="10"/>
  <c r="AF1321" i="10"/>
  <c r="AE1377" i="10"/>
  <c r="AE1324" i="10"/>
  <c r="AF1319" i="10"/>
  <c r="AG1039" i="10"/>
  <c r="AH1039" i="10" s="1"/>
  <c r="AG1053" i="10"/>
  <c r="AG1043" i="10"/>
  <c r="AG1041" i="10"/>
  <c r="AG1044" i="10"/>
  <c r="AG1057" i="10"/>
  <c r="AG1038" i="10"/>
  <c r="AH1038" i="10" s="1"/>
  <c r="AG1021" i="10"/>
  <c r="AH1021" i="10" s="1"/>
  <c r="AG1045" i="10"/>
  <c r="AF923" i="10"/>
  <c r="AE953" i="10"/>
  <c r="AF879" i="10"/>
  <c r="AE900" i="10"/>
  <c r="AC282" i="10"/>
  <c r="AD282" i="10" s="1"/>
  <c r="AE317" i="10"/>
  <c r="AE158" i="10"/>
  <c r="AC703" i="10"/>
  <c r="AD703" i="10" s="1"/>
  <c r="AC237" i="10"/>
  <c r="AD237" i="10" s="1"/>
  <c r="AC227" i="10"/>
  <c r="AD227" i="10" s="1"/>
  <c r="AC249" i="10"/>
  <c r="AD249" i="10" s="1"/>
  <c r="AC257" i="10"/>
  <c r="AD257" i="10" s="1"/>
  <c r="AC242" i="10"/>
  <c r="AD242" i="10" s="1"/>
  <c r="AC248" i="10"/>
  <c r="AD248" i="10" s="1"/>
  <c r="AC247" i="10"/>
  <c r="AD247" i="10" s="1"/>
  <c r="AC231" i="10"/>
  <c r="AD231" i="10" s="1"/>
  <c r="AC236" i="10"/>
  <c r="AD236" i="10" s="1"/>
  <c r="AC262" i="10"/>
  <c r="AD262" i="10" s="1"/>
  <c r="AC253" i="10"/>
  <c r="AD253" i="10" s="1"/>
  <c r="AC226" i="10"/>
  <c r="AD226" i="10" s="1"/>
  <c r="AC233" i="10"/>
  <c r="AD233" i="10" s="1"/>
  <c r="AC230" i="10"/>
  <c r="AD230" i="10" s="1"/>
  <c r="AC263" i="10"/>
  <c r="AD263" i="10" s="1"/>
  <c r="AC255" i="10"/>
  <c r="AD255" i="10" s="1"/>
  <c r="AC243" i="10"/>
  <c r="AD243" i="10" s="1"/>
  <c r="AC234" i="10"/>
  <c r="AD234" i="10" s="1"/>
  <c r="AC244" i="10"/>
  <c r="AD244" i="10" s="1"/>
  <c r="AC235" i="10"/>
  <c r="AD235" i="10" s="1"/>
  <c r="AC260" i="10"/>
  <c r="AD260" i="10" s="1"/>
  <c r="AC225" i="10"/>
  <c r="AD225" i="10" s="1"/>
  <c r="AC229" i="10"/>
  <c r="AD229" i="10" s="1"/>
  <c r="AC261" i="10"/>
  <c r="AD261" i="10" s="1"/>
  <c r="AC252" i="10"/>
  <c r="AD252" i="10" s="1"/>
  <c r="AC241" i="10"/>
  <c r="AD241" i="10" s="1"/>
  <c r="AC224" i="10"/>
  <c r="AD224" i="10" s="1"/>
  <c r="AC256" i="10"/>
  <c r="AD256" i="10" s="1"/>
  <c r="AC258" i="10"/>
  <c r="AD258" i="10" s="1"/>
  <c r="AC251" i="10"/>
  <c r="AD251" i="10" s="1"/>
  <c r="AC232" i="10"/>
  <c r="AD232" i="10" s="1"/>
  <c r="AC228" i="10"/>
  <c r="AD228" i="10" s="1"/>
  <c r="AC259" i="10"/>
  <c r="AD259" i="10" s="1"/>
  <c r="AC250" i="10"/>
  <c r="AD250" i="10" s="1"/>
  <c r="AC238" i="10"/>
  <c r="AD238" i="10" s="1"/>
  <c r="AH657" i="10"/>
  <c r="AH649" i="10"/>
  <c r="AH654" i="10"/>
  <c r="AF568" i="10"/>
  <c r="AF566" i="10"/>
  <c r="AF1182" i="10"/>
  <c r="AF1340" i="10"/>
  <c r="AF1353" i="10"/>
  <c r="AF1366" i="10"/>
  <c r="AF1364" i="10"/>
  <c r="AF1357" i="10"/>
  <c r="AF1370" i="10"/>
  <c r="AF1346" i="10"/>
  <c r="AF172" i="10"/>
  <c r="AF190" i="10"/>
  <c r="AF175" i="10"/>
  <c r="AF198" i="10"/>
  <c r="AF180" i="10"/>
  <c r="AF189" i="10"/>
  <c r="AF205" i="10"/>
  <c r="AF193" i="10"/>
  <c r="AF177" i="10"/>
  <c r="AF173" i="10"/>
  <c r="AF204" i="10"/>
  <c r="AF203" i="10"/>
  <c r="AF210" i="10"/>
  <c r="AF183" i="10"/>
  <c r="AF197" i="10"/>
  <c r="AF191" i="10"/>
  <c r="AF176" i="10"/>
  <c r="AF185" i="10"/>
  <c r="AF188" i="10"/>
  <c r="AF202" i="10"/>
  <c r="AF200" i="10"/>
  <c r="AF174" i="10"/>
  <c r="AF195" i="10"/>
  <c r="AF187" i="10"/>
  <c r="AF184" i="10"/>
  <c r="AF181" i="10"/>
  <c r="AF208" i="10"/>
  <c r="AF179" i="10"/>
  <c r="AF178" i="10"/>
  <c r="AF196" i="10"/>
  <c r="AF199" i="10"/>
  <c r="AF194" i="10"/>
  <c r="AF24" i="10"/>
  <c r="AF16" i="10"/>
  <c r="AF37" i="10"/>
  <c r="AF43" i="10"/>
  <c r="AF21" i="10"/>
  <c r="AF34" i="10"/>
  <c r="AF45" i="10"/>
  <c r="AF126" i="10"/>
  <c r="AF144" i="10"/>
  <c r="AF125" i="10"/>
  <c r="AF134" i="10"/>
  <c r="AF143" i="10"/>
  <c r="AF141" i="10"/>
  <c r="AF123" i="10"/>
  <c r="AF138" i="10"/>
  <c r="AF120" i="10"/>
  <c r="AF137" i="10"/>
  <c r="AF119" i="10"/>
  <c r="AF142" i="10"/>
  <c r="AF124" i="10"/>
  <c r="AF147" i="10"/>
  <c r="AF131" i="10"/>
  <c r="AF146" i="10"/>
  <c r="AN317" i="8"/>
  <c r="AN319" i="8" s="1"/>
  <c r="AH659" i="10"/>
  <c r="AH628" i="10"/>
  <c r="AF546" i="10"/>
  <c r="AF1164" i="10"/>
  <c r="AF1142" i="10"/>
  <c r="S373" i="8"/>
  <c r="S375" i="8" s="1"/>
  <c r="S990" i="8"/>
  <c r="S992" i="8" s="1"/>
  <c r="AF1232" i="10"/>
  <c r="S429" i="8"/>
  <c r="S431" i="8" s="1"/>
  <c r="AF1104" i="10" s="1"/>
  <c r="S485" i="8"/>
  <c r="S487" i="8" s="1"/>
  <c r="AF1238" i="10"/>
  <c r="AF1267" i="10"/>
  <c r="AF1269" i="10"/>
  <c r="AF1265" i="10"/>
  <c r="AF1241" i="10"/>
  <c r="AF1253" i="10"/>
  <c r="AF1263" i="10"/>
  <c r="AF1268" i="10"/>
  <c r="AF1270" i="10"/>
  <c r="AF1249" i="10"/>
  <c r="AF1257" i="10"/>
  <c r="AF1254" i="10"/>
  <c r="AF1262" i="10"/>
  <c r="AF1258" i="10"/>
  <c r="AF1233" i="10"/>
  <c r="AF1247" i="10"/>
  <c r="AF1236" i="10"/>
  <c r="AF1259" i="10"/>
  <c r="AF1266" i="10"/>
  <c r="AF1248" i="10"/>
  <c r="AF1256" i="10"/>
  <c r="AF1260" i="10"/>
  <c r="AF1264" i="10"/>
  <c r="AH105" i="10"/>
  <c r="AC246" i="10"/>
  <c r="AD246" i="10" s="1"/>
  <c r="AC240" i="10"/>
  <c r="AD240" i="10" s="1"/>
  <c r="AH193" i="10"/>
  <c r="AH194" i="10"/>
  <c r="AH198" i="10"/>
  <c r="AH202" i="10"/>
  <c r="AG317" i="10"/>
  <c r="AE1535" i="10"/>
  <c r="AF1495" i="10"/>
  <c r="AF1535" i="10" s="1"/>
  <c r="AE1059" i="10"/>
  <c r="AH1443" i="10"/>
  <c r="AH1483" i="10" s="1"/>
  <c r="AG1483" i="10"/>
  <c r="AF171" i="10"/>
  <c r="AE211" i="10"/>
  <c r="AC1127" i="10"/>
  <c r="AD1127" i="10" s="1"/>
  <c r="AC1128" i="10"/>
  <c r="AD1128" i="10" s="1"/>
  <c r="AC1135" i="10"/>
  <c r="AD1135" i="10" s="1"/>
  <c r="AC1136" i="10"/>
  <c r="AD1136" i="10" s="1"/>
  <c r="AC1144" i="10"/>
  <c r="AD1144" i="10" s="1"/>
  <c r="AC1145" i="10"/>
  <c r="AD1145" i="10" s="1"/>
  <c r="AC1153" i="10"/>
  <c r="AD1153" i="10" s="1"/>
  <c r="AC1154" i="10"/>
  <c r="AD1154" i="10" s="1"/>
  <c r="AC1162" i="10"/>
  <c r="AD1162" i="10" s="1"/>
  <c r="AC1163" i="10"/>
  <c r="AD1163" i="10" s="1"/>
  <c r="AC1129" i="10"/>
  <c r="AD1129" i="10" s="1"/>
  <c r="AC1130" i="10"/>
  <c r="AD1130" i="10" s="1"/>
  <c r="AC1137" i="10"/>
  <c r="AD1137" i="10" s="1"/>
  <c r="AC1138" i="10"/>
  <c r="AD1138" i="10" s="1"/>
  <c r="AC1148" i="10"/>
  <c r="AD1148" i="10" s="1"/>
  <c r="AC1157" i="10"/>
  <c r="AD1157" i="10" s="1"/>
  <c r="AC1164" i="10"/>
  <c r="AD1164" i="10" s="1"/>
  <c r="AC1126" i="10"/>
  <c r="AD1126" i="10" s="1"/>
  <c r="AC1133" i="10"/>
  <c r="AD1133" i="10" s="1"/>
  <c r="AC1143" i="10"/>
  <c r="AD1143" i="10" s="1"/>
  <c r="AC1151" i="10"/>
  <c r="AD1151" i="10" s="1"/>
  <c r="AC1161" i="10"/>
  <c r="AD1161" i="10" s="1"/>
  <c r="AC1132" i="10"/>
  <c r="AD1132" i="10" s="1"/>
  <c r="AC1139" i="10"/>
  <c r="AD1139" i="10" s="1"/>
  <c r="AC1150" i="10"/>
  <c r="AD1150" i="10" s="1"/>
  <c r="AC1158" i="10"/>
  <c r="AD1158" i="10" s="1"/>
  <c r="AC1134" i="10"/>
  <c r="AD1134" i="10" s="1"/>
  <c r="AC1142" i="10"/>
  <c r="AD1142" i="10" s="1"/>
  <c r="AC1131" i="10"/>
  <c r="AD1131" i="10" s="1"/>
  <c r="AC1159" i="10"/>
  <c r="AD1159" i="10" s="1"/>
  <c r="AC1152" i="10"/>
  <c r="AD1152" i="10" s="1"/>
  <c r="AC1160" i="10"/>
  <c r="AD1160" i="10" s="1"/>
  <c r="AC1149" i="10"/>
  <c r="AD1149" i="10" s="1"/>
  <c r="AC1147" i="10"/>
  <c r="AD1147" i="10" s="1"/>
  <c r="AC1156" i="10"/>
  <c r="AD1156" i="10" s="1"/>
  <c r="AC1141" i="10"/>
  <c r="AD1141" i="10" s="1"/>
  <c r="AC1125" i="10"/>
  <c r="AC457" i="10"/>
  <c r="AD457" i="10" s="1"/>
  <c r="AC466" i="10"/>
  <c r="AD466" i="10" s="1"/>
  <c r="AC467" i="10"/>
  <c r="AD467" i="10" s="1"/>
  <c r="AC474" i="10"/>
  <c r="AD474" i="10" s="1"/>
  <c r="AC452" i="10"/>
  <c r="AD452" i="10" s="1"/>
  <c r="AC453" i="10"/>
  <c r="AD453" i="10" s="1"/>
  <c r="AC461" i="10"/>
  <c r="AD461" i="10" s="1"/>
  <c r="AC462" i="10"/>
  <c r="AD462" i="10" s="1"/>
  <c r="AC470" i="10"/>
  <c r="AD470" i="10" s="1"/>
  <c r="AC471" i="10"/>
  <c r="AD471" i="10" s="1"/>
  <c r="AC436" i="10"/>
  <c r="AD436" i="10" s="1"/>
  <c r="AC440" i="10"/>
  <c r="AD440" i="10" s="1"/>
  <c r="AC444" i="10"/>
  <c r="AD444" i="10" s="1"/>
  <c r="AC448" i="10"/>
  <c r="AD448" i="10" s="1"/>
  <c r="AC454" i="10"/>
  <c r="AD454" i="10" s="1"/>
  <c r="AC464" i="10"/>
  <c r="AD464" i="10" s="1"/>
  <c r="AC472" i="10"/>
  <c r="AD472" i="10" s="1"/>
  <c r="AC435" i="10"/>
  <c r="AC439" i="10"/>
  <c r="AD439" i="10" s="1"/>
  <c r="AC443" i="10"/>
  <c r="AD443" i="10" s="1"/>
  <c r="AC447" i="10"/>
  <c r="AD447" i="10" s="1"/>
  <c r="AC451" i="10"/>
  <c r="AD451" i="10" s="1"/>
  <c r="AC459" i="10"/>
  <c r="AD459" i="10" s="1"/>
  <c r="AC469" i="10"/>
  <c r="AD469" i="10" s="1"/>
  <c r="AC441" i="10"/>
  <c r="AD441" i="10" s="1"/>
  <c r="AC449" i="10"/>
  <c r="AD449" i="10" s="1"/>
  <c r="AC442" i="10"/>
  <c r="AD442" i="10" s="1"/>
  <c r="AC455" i="10"/>
  <c r="AD455" i="10" s="1"/>
  <c r="AC463" i="10"/>
  <c r="AD463" i="10" s="1"/>
  <c r="AC438" i="10"/>
  <c r="AD438" i="10" s="1"/>
  <c r="AC473" i="10"/>
  <c r="AD473" i="10" s="1"/>
  <c r="AC445" i="10"/>
  <c r="AD445" i="10" s="1"/>
  <c r="AC460" i="10"/>
  <c r="AD460" i="10" s="1"/>
  <c r="AC468" i="10"/>
  <c r="AD468" i="10" s="1"/>
  <c r="AC446" i="10"/>
  <c r="AD446" i="10" s="1"/>
  <c r="AC437" i="10"/>
  <c r="AD437" i="10" s="1"/>
  <c r="AC458" i="10"/>
  <c r="AD458" i="10" s="1"/>
  <c r="AF594" i="10"/>
  <c r="AE634" i="10"/>
  <c r="AF1390" i="10"/>
  <c r="AF1430" i="10" s="1"/>
  <c r="AE1430" i="10"/>
  <c r="AF1443" i="10"/>
  <c r="AF1483" i="10" s="1"/>
  <c r="AE1483" i="10"/>
  <c r="AF224" i="10"/>
  <c r="AE264" i="10"/>
  <c r="AF647" i="10"/>
  <c r="AE687" i="10"/>
  <c r="AC541" i="10"/>
  <c r="AC542" i="10"/>
  <c r="AD542" i="10" s="1"/>
  <c r="AC549" i="10"/>
  <c r="AD549" i="10" s="1"/>
  <c r="AC550" i="10"/>
  <c r="AD550" i="10" s="1"/>
  <c r="AC558" i="10"/>
  <c r="AD558" i="10" s="1"/>
  <c r="AC559" i="10"/>
  <c r="AD559" i="10" s="1"/>
  <c r="AC567" i="10"/>
  <c r="AD567" i="10" s="1"/>
  <c r="AC568" i="10"/>
  <c r="AD568" i="10" s="1"/>
  <c r="AC545" i="10"/>
  <c r="AD545" i="10" s="1"/>
  <c r="AC546" i="10"/>
  <c r="AD546" i="10" s="1"/>
  <c r="AC553" i="10"/>
  <c r="AD553" i="10" s="1"/>
  <c r="AC554" i="10"/>
  <c r="AD554" i="10" s="1"/>
  <c r="AC564" i="10"/>
  <c r="AD564" i="10" s="1"/>
  <c r="AC572" i="10"/>
  <c r="AD572" i="10" s="1"/>
  <c r="AC573" i="10"/>
  <c r="AD573" i="10" s="1"/>
  <c r="AC575" i="10"/>
  <c r="AD575" i="10" s="1"/>
  <c r="AC576" i="10"/>
  <c r="AD576" i="10" s="1"/>
  <c r="AC577" i="10"/>
  <c r="AD577" i="10" s="1"/>
  <c r="AC547" i="10"/>
  <c r="AD547" i="10" s="1"/>
  <c r="AC565" i="10"/>
  <c r="AD565" i="10" s="1"/>
  <c r="AC544" i="10"/>
  <c r="AD544" i="10" s="1"/>
  <c r="AC551" i="10"/>
  <c r="AD551" i="10" s="1"/>
  <c r="AC561" i="10"/>
  <c r="AD561" i="10" s="1"/>
  <c r="AC569" i="10"/>
  <c r="AD569" i="10" s="1"/>
  <c r="AC578" i="10"/>
  <c r="AD578" i="10" s="1"/>
  <c r="AC580" i="10"/>
  <c r="AD580" i="10" s="1"/>
  <c r="AC552" i="10"/>
  <c r="AD552" i="10" s="1"/>
  <c r="AC560" i="10"/>
  <c r="AD560" i="10" s="1"/>
  <c r="AC566" i="10"/>
  <c r="AD566" i="10" s="1"/>
  <c r="AC574" i="10"/>
  <c r="AD574" i="10" s="1"/>
  <c r="AC579" i="10"/>
  <c r="AD579" i="10" s="1"/>
  <c r="AC570" i="10"/>
  <c r="AD570" i="10" s="1"/>
  <c r="AC555" i="10"/>
  <c r="AD555" i="10" s="1"/>
  <c r="AC543" i="10"/>
  <c r="AD543" i="10" s="1"/>
  <c r="AC548" i="10"/>
  <c r="AD548" i="10" s="1"/>
  <c r="AC557" i="10"/>
  <c r="AD557" i="10" s="1"/>
  <c r="AC563" i="10"/>
  <c r="AD563" i="10" s="1"/>
  <c r="AD65" i="10"/>
  <c r="AD105" i="10" s="1"/>
  <c r="AC105" i="10"/>
  <c r="AC1237" i="10"/>
  <c r="AD1237" i="10" s="1"/>
  <c r="AC1238" i="10"/>
  <c r="AD1238" i="10" s="1"/>
  <c r="AC1245" i="10"/>
  <c r="AD1245" i="10" s="1"/>
  <c r="AC1255" i="10"/>
  <c r="AD1255" i="10" s="1"/>
  <c r="AC1256" i="10"/>
  <c r="AD1256" i="10" s="1"/>
  <c r="AC1264" i="10"/>
  <c r="AD1264" i="10" s="1"/>
  <c r="AC1265" i="10"/>
  <c r="AD1265" i="10" s="1"/>
  <c r="AC1232" i="10"/>
  <c r="AD1232" i="10" s="1"/>
  <c r="AC1239" i="10"/>
  <c r="AD1239" i="10" s="1"/>
  <c r="AC1240" i="10"/>
  <c r="AD1240" i="10" s="1"/>
  <c r="AC1248" i="10"/>
  <c r="AD1248" i="10" s="1"/>
  <c r="AC1249" i="10"/>
  <c r="AD1249" i="10" s="1"/>
  <c r="AC1257" i="10"/>
  <c r="AD1257" i="10" s="1"/>
  <c r="AC1258" i="10"/>
  <c r="AD1258" i="10" s="1"/>
  <c r="AC1266" i="10"/>
  <c r="AD1266" i="10" s="1"/>
  <c r="AC1267" i="10"/>
  <c r="AD1267" i="10" s="1"/>
  <c r="AC1236" i="10"/>
  <c r="AD1236" i="10" s="1"/>
  <c r="AC1243" i="10"/>
  <c r="AD1243" i="10" s="1"/>
  <c r="AC1254" i="10"/>
  <c r="AD1254" i="10" s="1"/>
  <c r="AC1242" i="10"/>
  <c r="AD1242" i="10" s="1"/>
  <c r="AC1250" i="10"/>
  <c r="AD1250" i="10" s="1"/>
  <c r="AC1260" i="10"/>
  <c r="AD1260" i="10" s="1"/>
  <c r="AC1268" i="10"/>
  <c r="AD1268" i="10" s="1"/>
  <c r="AC1233" i="10"/>
  <c r="AD1233" i="10" s="1"/>
  <c r="AC1244" i="10"/>
  <c r="AD1244" i="10" s="1"/>
  <c r="AC1251" i="10"/>
  <c r="AD1251" i="10" s="1"/>
  <c r="AC1259" i="10"/>
  <c r="AD1259" i="10" s="1"/>
  <c r="AC1234" i="10"/>
  <c r="AD1234" i="10" s="1"/>
  <c r="AC1241" i="10"/>
  <c r="AD1241" i="10" s="1"/>
  <c r="AC1269" i="10"/>
  <c r="AD1269" i="10" s="1"/>
  <c r="AC1235" i="10"/>
  <c r="AD1235" i="10" s="1"/>
  <c r="AC1263" i="10"/>
  <c r="AD1263" i="10" s="1"/>
  <c r="AC1270" i="10"/>
  <c r="AD1270" i="10" s="1"/>
  <c r="AC1253" i="10"/>
  <c r="AD1253" i="10" s="1"/>
  <c r="AC1262" i="10"/>
  <c r="AD1262" i="10" s="1"/>
  <c r="AC1247" i="10"/>
  <c r="AD1247" i="10" s="1"/>
  <c r="AC1231" i="10"/>
  <c r="AF1178" i="10"/>
  <c r="AE1218" i="10"/>
  <c r="AC1182" i="10"/>
  <c r="AD1182" i="10" s="1"/>
  <c r="AC1183" i="10"/>
  <c r="AD1183" i="10" s="1"/>
  <c r="AC1190" i="10"/>
  <c r="AD1190" i="10" s="1"/>
  <c r="AC1191" i="10"/>
  <c r="AD1191" i="10" s="1"/>
  <c r="AC1200" i="10"/>
  <c r="AD1200" i="10" s="1"/>
  <c r="AC1201" i="10"/>
  <c r="AD1201" i="10" s="1"/>
  <c r="AC1210" i="10"/>
  <c r="AD1210" i="10" s="1"/>
  <c r="AC1217" i="10"/>
  <c r="AD1217" i="10" s="1"/>
  <c r="AC1184" i="10"/>
  <c r="AD1184" i="10" s="1"/>
  <c r="AC1185" i="10"/>
  <c r="AD1185" i="10" s="1"/>
  <c r="AC1192" i="10"/>
  <c r="AD1192" i="10" s="1"/>
  <c r="AC1194" i="10"/>
  <c r="AD1194" i="10" s="1"/>
  <c r="AC1202" i="10"/>
  <c r="AD1202" i="10" s="1"/>
  <c r="AC1203" i="10"/>
  <c r="AD1203" i="10" s="1"/>
  <c r="AC1211" i="10"/>
  <c r="AD1211" i="10" s="1"/>
  <c r="AC1212" i="10"/>
  <c r="AD1212" i="10" s="1"/>
  <c r="AC1181" i="10"/>
  <c r="AD1181" i="10" s="1"/>
  <c r="AC1188" i="10"/>
  <c r="AD1188" i="10" s="1"/>
  <c r="AC1198" i="10"/>
  <c r="AD1198" i="10" s="1"/>
  <c r="AC1206" i="10"/>
  <c r="AD1206" i="10" s="1"/>
  <c r="AC1216" i="10"/>
  <c r="AD1216" i="10" s="1"/>
  <c r="AC1205" i="10"/>
  <c r="AD1205" i="10" s="1"/>
  <c r="AC1187" i="10"/>
  <c r="AD1187" i="10" s="1"/>
  <c r="AC1195" i="10"/>
  <c r="AD1195" i="10" s="1"/>
  <c r="AC1213" i="10"/>
  <c r="AD1213" i="10" s="1"/>
  <c r="AC1189" i="10"/>
  <c r="AD1189" i="10" s="1"/>
  <c r="AC1197" i="10"/>
  <c r="AD1197" i="10" s="1"/>
  <c r="AC1179" i="10"/>
  <c r="AD1179" i="10" s="1"/>
  <c r="AC1186" i="10"/>
  <c r="AD1186" i="10" s="1"/>
  <c r="AC1214" i="10"/>
  <c r="AD1214" i="10" s="1"/>
  <c r="AC1180" i="10"/>
  <c r="AD1180" i="10" s="1"/>
  <c r="AC1207" i="10"/>
  <c r="AD1207" i="10" s="1"/>
  <c r="AC1215" i="10"/>
  <c r="AD1215" i="10" s="1"/>
  <c r="AC1196" i="10"/>
  <c r="AD1196" i="10" s="1"/>
  <c r="AC1204" i="10"/>
  <c r="AD1204" i="10" s="1"/>
  <c r="AC1209" i="10"/>
  <c r="AD1209" i="10" s="1"/>
  <c r="AC1178" i="10"/>
  <c r="AC1429" i="10"/>
  <c r="AD1429" i="10" s="1"/>
  <c r="AC1406" i="10"/>
  <c r="AD1406" i="10" s="1"/>
  <c r="AC1419" i="10"/>
  <c r="AD1419" i="10" s="1"/>
  <c r="AC1408" i="10"/>
  <c r="AD1408" i="10" s="1"/>
  <c r="AC1418" i="10"/>
  <c r="AD1418" i="10" s="1"/>
  <c r="AC1393" i="10"/>
  <c r="AD1393" i="10" s="1"/>
  <c r="AC1417" i="10"/>
  <c r="AD1417" i="10" s="1"/>
  <c r="AC1390" i="10"/>
  <c r="AC1423" i="10"/>
  <c r="AD1423" i="10" s="1"/>
  <c r="AC869" i="10"/>
  <c r="AD869" i="10" s="1"/>
  <c r="AC870" i="10"/>
  <c r="AD870" i="10" s="1"/>
  <c r="AC871" i="10"/>
  <c r="AD871" i="10" s="1"/>
  <c r="AC872" i="10"/>
  <c r="AD872" i="10" s="1"/>
  <c r="AC887" i="10"/>
  <c r="AD887" i="10" s="1"/>
  <c r="AC888" i="10"/>
  <c r="AD888" i="10" s="1"/>
  <c r="AC889" i="10"/>
  <c r="AD889" i="10" s="1"/>
  <c r="AC860" i="10"/>
  <c r="AC863" i="10"/>
  <c r="AD863" i="10" s="1"/>
  <c r="AC866" i="10"/>
  <c r="AD866" i="10" s="1"/>
  <c r="AC873" i="10"/>
  <c r="AD873" i="10" s="1"/>
  <c r="AC882" i="10"/>
  <c r="AD882" i="10" s="1"/>
  <c r="AC885" i="10"/>
  <c r="AD885" i="10" s="1"/>
  <c r="AC893" i="10"/>
  <c r="AD893" i="10" s="1"/>
  <c r="AC896" i="10"/>
  <c r="AD896" i="10" s="1"/>
  <c r="AC862" i="10"/>
  <c r="AD862" i="10" s="1"/>
  <c r="AC865" i="10"/>
  <c r="AD865" i="10" s="1"/>
  <c r="AC877" i="10"/>
  <c r="AD877" i="10" s="1"/>
  <c r="AC880" i="10"/>
  <c r="AD880" i="10" s="1"/>
  <c r="AC884" i="10"/>
  <c r="AD884" i="10" s="1"/>
  <c r="AC892" i="10"/>
  <c r="AD892" i="10" s="1"/>
  <c r="AC899" i="10"/>
  <c r="AD899" i="10" s="1"/>
  <c r="AC874" i="10"/>
  <c r="AD874" i="10" s="1"/>
  <c r="AC878" i="10"/>
  <c r="AD878" i="10" s="1"/>
  <c r="AC894" i="10"/>
  <c r="AD894" i="10" s="1"/>
  <c r="AC897" i="10"/>
  <c r="AD897" i="10" s="1"/>
  <c r="AC861" i="10"/>
  <c r="AD861" i="10" s="1"/>
  <c r="AC876" i="10"/>
  <c r="AD876" i="10" s="1"/>
  <c r="AC895" i="10"/>
  <c r="AD895" i="10" s="1"/>
  <c r="AC879" i="10"/>
  <c r="AD879" i="10" s="1"/>
  <c r="AC883" i="10"/>
  <c r="AD883" i="10" s="1"/>
  <c r="AC898" i="10"/>
  <c r="AD898" i="10" s="1"/>
  <c r="AC867" i="10"/>
  <c r="AD867" i="10" s="1"/>
  <c r="AC886" i="10"/>
  <c r="AD886" i="10" s="1"/>
  <c r="AC868" i="10"/>
  <c r="AD868" i="10" s="1"/>
  <c r="AC864" i="10"/>
  <c r="AD864" i="10" s="1"/>
  <c r="AC891" i="10"/>
  <c r="AD891" i="10" s="1"/>
  <c r="AE528" i="10"/>
  <c r="AC1025" i="10"/>
  <c r="AD1025" i="10" s="1"/>
  <c r="AC1026" i="10"/>
  <c r="AD1026" i="10" s="1"/>
  <c r="AC1033" i="10"/>
  <c r="AD1033" i="10" s="1"/>
  <c r="AC1035" i="10"/>
  <c r="AD1035" i="10" s="1"/>
  <c r="AC1043" i="10"/>
  <c r="AD1043" i="10" s="1"/>
  <c r="AC1044" i="10"/>
  <c r="AD1044" i="10" s="1"/>
  <c r="AC1053" i="10"/>
  <c r="AD1053" i="10" s="1"/>
  <c r="AC1027" i="10"/>
  <c r="AD1027" i="10" s="1"/>
  <c r="AC1028" i="10"/>
  <c r="AD1028" i="10" s="1"/>
  <c r="AC1036" i="10"/>
  <c r="AD1036" i="10" s="1"/>
  <c r="AC1037" i="10"/>
  <c r="AD1037" i="10" s="1"/>
  <c r="AC1045" i="10"/>
  <c r="AD1045" i="10" s="1"/>
  <c r="AC1046" i="10"/>
  <c r="AD1046" i="10" s="1"/>
  <c r="AC1054" i="10"/>
  <c r="AD1054" i="10" s="1"/>
  <c r="AC1055" i="10"/>
  <c r="AD1055" i="10" s="1"/>
  <c r="AC1023" i="10"/>
  <c r="AD1023" i="10" s="1"/>
  <c r="AC1032" i="10"/>
  <c r="AD1032" i="10" s="1"/>
  <c r="AC1058" i="10"/>
  <c r="AD1058" i="10" s="1"/>
  <c r="AC1047" i="10"/>
  <c r="AD1047" i="10" s="1"/>
  <c r="AC1022" i="10"/>
  <c r="AD1022" i="10" s="1"/>
  <c r="AC1029" i="10"/>
  <c r="AD1029" i="10" s="1"/>
  <c r="AC1057" i="10"/>
  <c r="AD1057" i="10" s="1"/>
  <c r="AC1024" i="10"/>
  <c r="AD1024" i="10" s="1"/>
  <c r="AC1031" i="10"/>
  <c r="AD1031" i="10" s="1"/>
  <c r="AC1021" i="10"/>
  <c r="AD1021" i="10" s="1"/>
  <c r="AC1048" i="10"/>
  <c r="AD1048" i="10" s="1"/>
  <c r="AC1056" i="10"/>
  <c r="AD1056" i="10" s="1"/>
  <c r="AC1019" i="10"/>
  <c r="AC1042" i="10"/>
  <c r="AD1042" i="10" s="1"/>
  <c r="AC1030" i="10"/>
  <c r="AD1030" i="10" s="1"/>
  <c r="AC1038" i="10"/>
  <c r="AD1038" i="10" s="1"/>
  <c r="AC1052" i="10"/>
  <c r="AD1052" i="10" s="1"/>
  <c r="AC1041" i="10"/>
  <c r="AD1041" i="10" s="1"/>
  <c r="AC1039" i="10"/>
  <c r="AD1039" i="10" s="1"/>
  <c r="AC1020" i="10"/>
  <c r="AD1020" i="10" s="1"/>
  <c r="AC1051" i="10"/>
  <c r="AD1051" i="10" s="1"/>
  <c r="AC1050" i="10"/>
  <c r="AD1050" i="10" s="1"/>
  <c r="AF541" i="10"/>
  <c r="AE581" i="10"/>
  <c r="AG581" i="10"/>
  <c r="AF1125" i="10"/>
  <c r="AE1165" i="10"/>
  <c r="AC1339" i="10"/>
  <c r="AD1339" i="10" s="1"/>
  <c r="AC1340" i="10"/>
  <c r="AD1340" i="10" s="1"/>
  <c r="AC1348" i="10"/>
  <c r="AD1348" i="10" s="1"/>
  <c r="AC1356" i="10"/>
  <c r="AD1356" i="10" s="1"/>
  <c r="AC1357" i="10"/>
  <c r="AD1357" i="10" s="1"/>
  <c r="AC1365" i="10"/>
  <c r="AD1365" i="10" s="1"/>
  <c r="AC1374" i="10"/>
  <c r="AD1374" i="10" s="1"/>
  <c r="AC1375" i="10"/>
  <c r="AD1375" i="10" s="1"/>
  <c r="AC1341" i="10"/>
  <c r="AD1341" i="10" s="1"/>
  <c r="AC1342" i="10"/>
  <c r="AD1342" i="10" s="1"/>
  <c r="AC1349" i="10"/>
  <c r="AD1349" i="10" s="1"/>
  <c r="AC1350" i="10"/>
  <c r="AD1350" i="10" s="1"/>
  <c r="AC1360" i="10"/>
  <c r="AD1360" i="10" s="1"/>
  <c r="AC1368" i="10"/>
  <c r="AD1368" i="10" s="1"/>
  <c r="AC1369" i="10"/>
  <c r="AD1369" i="10" s="1"/>
  <c r="AC1376" i="10"/>
  <c r="AD1376" i="10" s="1"/>
  <c r="AC1337" i="10"/>
  <c r="AC1346" i="10"/>
  <c r="AD1346" i="10" s="1"/>
  <c r="AC1354" i="10"/>
  <c r="AD1354" i="10" s="1"/>
  <c r="AC1364" i="10"/>
  <c r="AD1364" i="10" s="1"/>
  <c r="AC1372" i="10"/>
  <c r="AD1372" i="10" s="1"/>
  <c r="AC1355" i="10"/>
  <c r="AD1355" i="10" s="1"/>
  <c r="AC1363" i="10"/>
  <c r="AD1363" i="10" s="1"/>
  <c r="AC1344" i="10"/>
  <c r="AD1344" i="10" s="1"/>
  <c r="AC1351" i="10"/>
  <c r="AD1351" i="10" s="1"/>
  <c r="AC1338" i="10"/>
  <c r="AD1338" i="10" s="1"/>
  <c r="AC1345" i="10"/>
  <c r="AD1345" i="10" s="1"/>
  <c r="AC1373" i="10"/>
  <c r="AD1373" i="10" s="1"/>
  <c r="AC1362" i="10"/>
  <c r="AD1362" i="10" s="1"/>
  <c r="AC1370" i="10"/>
  <c r="AD1370" i="10" s="1"/>
  <c r="AC1366" i="10"/>
  <c r="AD1366" i="10" s="1"/>
  <c r="AC1347" i="10"/>
  <c r="AD1347" i="10" s="1"/>
  <c r="AC1371" i="10"/>
  <c r="AD1371" i="10" s="1"/>
  <c r="AC1361" i="10"/>
  <c r="AD1361" i="10" s="1"/>
  <c r="AC1359" i="10"/>
  <c r="AD1359" i="10" s="1"/>
  <c r="AC1343" i="10"/>
  <c r="AD1343" i="10" s="1"/>
  <c r="AC1353" i="10"/>
  <c r="AD1353" i="10" s="1"/>
  <c r="AF11" i="10"/>
  <c r="AE51" i="10"/>
  <c r="AC817" i="10"/>
  <c r="AD817" i="10" s="1"/>
  <c r="AC818" i="10"/>
  <c r="AD818" i="10" s="1"/>
  <c r="AC819" i="10"/>
  <c r="AD819" i="10" s="1"/>
  <c r="AC820" i="10"/>
  <c r="AD820" i="10" s="1"/>
  <c r="AC835" i="10"/>
  <c r="AD835" i="10" s="1"/>
  <c r="AC813" i="10"/>
  <c r="AD813" i="10" s="1"/>
  <c r="AC814" i="10"/>
  <c r="AD814" i="10" s="1"/>
  <c r="AC815" i="10"/>
  <c r="AD815" i="10" s="1"/>
  <c r="AC816" i="10"/>
  <c r="AD816" i="10" s="1"/>
  <c r="AC831" i="10"/>
  <c r="AD831" i="10" s="1"/>
  <c r="AC832" i="10"/>
  <c r="AD832" i="10" s="1"/>
  <c r="AC833" i="10"/>
  <c r="AD833" i="10" s="1"/>
  <c r="AC834" i="10"/>
  <c r="AD834" i="10" s="1"/>
  <c r="AC808" i="10"/>
  <c r="AD808" i="10" s="1"/>
  <c r="AC822" i="10"/>
  <c r="AD822" i="10" s="1"/>
  <c r="AC824" i="10"/>
  <c r="AD824" i="10" s="1"/>
  <c r="AC838" i="10"/>
  <c r="AD838" i="10" s="1"/>
  <c r="AC841" i="10"/>
  <c r="AD841" i="10" s="1"/>
  <c r="AC844" i="10"/>
  <c r="AD844" i="10" s="1"/>
  <c r="AC809" i="10"/>
  <c r="AD809" i="10" s="1"/>
  <c r="AC811" i="10"/>
  <c r="AD811" i="10" s="1"/>
  <c r="AC828" i="10"/>
  <c r="AD828" i="10" s="1"/>
  <c r="AC830" i="10"/>
  <c r="AD830" i="10" s="1"/>
  <c r="AC837" i="10"/>
  <c r="AD837" i="10" s="1"/>
  <c r="AC840" i="10"/>
  <c r="AD840" i="10" s="1"/>
  <c r="AC810" i="10"/>
  <c r="AD810" i="10" s="1"/>
  <c r="AC829" i="10"/>
  <c r="AD829" i="10" s="1"/>
  <c r="AC807" i="10"/>
  <c r="AD807" i="10" s="1"/>
  <c r="AC825" i="10"/>
  <c r="AD825" i="10" s="1"/>
  <c r="AC826" i="10"/>
  <c r="AD826" i="10" s="1"/>
  <c r="AC842" i="10"/>
  <c r="AD842" i="10" s="1"/>
  <c r="AC843" i="10"/>
  <c r="AD843" i="10" s="1"/>
  <c r="AC812" i="10"/>
  <c r="AD812" i="10" s="1"/>
  <c r="AC839" i="10"/>
  <c r="AD839" i="10" s="1"/>
  <c r="AC845" i="10"/>
  <c r="AD845" i="10" s="1"/>
  <c r="AC823" i="10"/>
  <c r="AD823" i="10" s="1"/>
  <c r="AC806" i="10"/>
  <c r="AE1112" i="10"/>
  <c r="AG1430" i="10"/>
  <c r="AC1285" i="10"/>
  <c r="AD1285" i="10" s="1"/>
  <c r="AC1292" i="10"/>
  <c r="AD1292" i="10" s="1"/>
  <c r="AC1293" i="10"/>
  <c r="AD1293" i="10" s="1"/>
  <c r="AC1301" i="10"/>
  <c r="AD1301" i="10" s="1"/>
  <c r="AC1302" i="10"/>
  <c r="AD1302" i="10" s="1"/>
  <c r="AC1310" i="10"/>
  <c r="AD1310" i="10" s="1"/>
  <c r="AC1311" i="10"/>
  <c r="AD1311" i="10" s="1"/>
  <c r="AC1319" i="10"/>
  <c r="AD1319" i="10" s="1"/>
  <c r="AC1320" i="10"/>
  <c r="AD1320" i="10" s="1"/>
  <c r="AC1286" i="10"/>
  <c r="AD1286" i="10" s="1"/>
  <c r="AC1287" i="10"/>
  <c r="AD1287" i="10" s="1"/>
  <c r="AC1294" i="10"/>
  <c r="AD1294" i="10" s="1"/>
  <c r="AC1295" i="10"/>
  <c r="AD1295" i="10" s="1"/>
  <c r="AC1303" i="10"/>
  <c r="AD1303" i="10" s="1"/>
  <c r="AC1304" i="10"/>
  <c r="AD1304" i="10" s="1"/>
  <c r="AC1312" i="10"/>
  <c r="AD1312" i="10" s="1"/>
  <c r="AC1313" i="10"/>
  <c r="AD1313" i="10" s="1"/>
  <c r="AC1321" i="10"/>
  <c r="AD1321" i="10" s="1"/>
  <c r="AC1322" i="10"/>
  <c r="AD1322" i="10" s="1"/>
  <c r="AC1291" i="10"/>
  <c r="AD1291" i="10" s="1"/>
  <c r="AC1298" i="10"/>
  <c r="AD1298" i="10" s="1"/>
  <c r="AC1309" i="10"/>
  <c r="AD1309" i="10" s="1"/>
  <c r="AC1317" i="10"/>
  <c r="AD1317" i="10" s="1"/>
  <c r="AC1288" i="10"/>
  <c r="AD1288" i="10" s="1"/>
  <c r="AC1323" i="10"/>
  <c r="AD1323" i="10" s="1"/>
  <c r="AC1297" i="10"/>
  <c r="AD1297" i="10" s="1"/>
  <c r="AC1316" i="10"/>
  <c r="AD1316" i="10" s="1"/>
  <c r="AC1308" i="10"/>
  <c r="AD1308" i="10" s="1"/>
  <c r="AC1315" i="10"/>
  <c r="AD1315" i="10" s="1"/>
  <c r="AC1289" i="10"/>
  <c r="AD1289" i="10" s="1"/>
  <c r="AC1296" i="10"/>
  <c r="AD1296" i="10" s="1"/>
  <c r="AC1307" i="10"/>
  <c r="AD1307" i="10" s="1"/>
  <c r="AC1290" i="10"/>
  <c r="AD1290" i="10" s="1"/>
  <c r="AC1318" i="10"/>
  <c r="AD1318" i="10" s="1"/>
  <c r="AC1306" i="10"/>
  <c r="AD1306" i="10" s="1"/>
  <c r="AC1300" i="10"/>
  <c r="AD1300" i="10" s="1"/>
  <c r="AC1284" i="10"/>
  <c r="AC920" i="10"/>
  <c r="AD920" i="10" s="1"/>
  <c r="AC921" i="10"/>
  <c r="AD921" i="10" s="1"/>
  <c r="AC930" i="10"/>
  <c r="AD930" i="10" s="1"/>
  <c r="AC938" i="10"/>
  <c r="AD938" i="10" s="1"/>
  <c r="AC939" i="10"/>
  <c r="AD939" i="10" s="1"/>
  <c r="AC915" i="10"/>
  <c r="AD915" i="10" s="1"/>
  <c r="AC922" i="10"/>
  <c r="AD922" i="10" s="1"/>
  <c r="AC923" i="10"/>
  <c r="AD923" i="10" s="1"/>
  <c r="AC931" i="10"/>
  <c r="AD931" i="10" s="1"/>
  <c r="AC932" i="10"/>
  <c r="AD932" i="10" s="1"/>
  <c r="AC940" i="10"/>
  <c r="AD940" i="10" s="1"/>
  <c r="AC941" i="10"/>
  <c r="AD941" i="10" s="1"/>
  <c r="AC945" i="10"/>
  <c r="AD945" i="10" s="1"/>
  <c r="AC947" i="10"/>
  <c r="AD947" i="10" s="1"/>
  <c r="AC949" i="10"/>
  <c r="AD949" i="10" s="1"/>
  <c r="AC951" i="10"/>
  <c r="AD951" i="10" s="1"/>
  <c r="AC919" i="10"/>
  <c r="AD919" i="10" s="1"/>
  <c r="AC926" i="10"/>
  <c r="AD926" i="10" s="1"/>
  <c r="AC937" i="10"/>
  <c r="AD937" i="10" s="1"/>
  <c r="AC946" i="10"/>
  <c r="AD946" i="10" s="1"/>
  <c r="AC950" i="10"/>
  <c r="AD950" i="10" s="1"/>
  <c r="AC916" i="10"/>
  <c r="AD916" i="10" s="1"/>
  <c r="AC925" i="10"/>
  <c r="AD925" i="10" s="1"/>
  <c r="AC933" i="10"/>
  <c r="AD933" i="10" s="1"/>
  <c r="AC914" i="10"/>
  <c r="AD914" i="10" s="1"/>
  <c r="AC927" i="10"/>
  <c r="AD927" i="10" s="1"/>
  <c r="AC936" i="10"/>
  <c r="AD936" i="10" s="1"/>
  <c r="AC944" i="10"/>
  <c r="AD944" i="10" s="1"/>
  <c r="AC952" i="10"/>
  <c r="AD952" i="10" s="1"/>
  <c r="AC917" i="10"/>
  <c r="AD917" i="10" s="1"/>
  <c r="AC924" i="10"/>
  <c r="AD924" i="10" s="1"/>
  <c r="AC918" i="10"/>
  <c r="AD918" i="10" s="1"/>
  <c r="AC948" i="10"/>
  <c r="AD948" i="10" s="1"/>
  <c r="AC942" i="10"/>
  <c r="AD942" i="10" s="1"/>
  <c r="AC935" i="10"/>
  <c r="AD935" i="10" s="1"/>
  <c r="AC929" i="10"/>
  <c r="AD929" i="10" s="1"/>
  <c r="AC913" i="10"/>
  <c r="AF435" i="10"/>
  <c r="AF475" i="10" s="1"/>
  <c r="AE475" i="10"/>
  <c r="AE1271" i="10"/>
  <c r="AF1231" i="10"/>
  <c r="AH647" i="10"/>
  <c r="AG687" i="10"/>
  <c r="AC494" i="10"/>
  <c r="AD494" i="10" s="1"/>
  <c r="AC495" i="10"/>
  <c r="AD495" i="10" s="1"/>
  <c r="AC502" i="10"/>
  <c r="AD502" i="10" s="1"/>
  <c r="AC512" i="10"/>
  <c r="AD512" i="10" s="1"/>
  <c r="AC513" i="10"/>
  <c r="AD513" i="10" s="1"/>
  <c r="AC521" i="10"/>
  <c r="AD521" i="10" s="1"/>
  <c r="AC522" i="10"/>
  <c r="AD522" i="10" s="1"/>
  <c r="AC490" i="10"/>
  <c r="AD490" i="10" s="1"/>
  <c r="AC491" i="10"/>
  <c r="AD491" i="10" s="1"/>
  <c r="AC498" i="10"/>
  <c r="AD498" i="10" s="1"/>
  <c r="AC499" i="10"/>
  <c r="AD499" i="10" s="1"/>
  <c r="AC507" i="10"/>
  <c r="AD507" i="10" s="1"/>
  <c r="AC508" i="10"/>
  <c r="AD508" i="10" s="1"/>
  <c r="AC516" i="10"/>
  <c r="AD516" i="10" s="1"/>
  <c r="AC517" i="10"/>
  <c r="AD517" i="10" s="1"/>
  <c r="AC525" i="10"/>
  <c r="AD525" i="10" s="1"/>
  <c r="AC526" i="10"/>
  <c r="AD526" i="10" s="1"/>
  <c r="AC492" i="10"/>
  <c r="AD492" i="10" s="1"/>
  <c r="AC501" i="10"/>
  <c r="AD501" i="10" s="1"/>
  <c r="AC520" i="10"/>
  <c r="AD520" i="10" s="1"/>
  <c r="AC527" i="10"/>
  <c r="AD527" i="10" s="1"/>
  <c r="AC489" i="10"/>
  <c r="AD489" i="10" s="1"/>
  <c r="AC496" i="10"/>
  <c r="AD496" i="10" s="1"/>
  <c r="AC506" i="10"/>
  <c r="AD506" i="10" s="1"/>
  <c r="AC514" i="10"/>
  <c r="AD514" i="10" s="1"/>
  <c r="AC524" i="10"/>
  <c r="AD524" i="10" s="1"/>
  <c r="AC497" i="10"/>
  <c r="AD497" i="10" s="1"/>
  <c r="AC505" i="10"/>
  <c r="AD505" i="10" s="1"/>
  <c r="AC511" i="10"/>
  <c r="AD511" i="10" s="1"/>
  <c r="AC493" i="10"/>
  <c r="AD493" i="10" s="1"/>
  <c r="AC500" i="10"/>
  <c r="AD500" i="10" s="1"/>
  <c r="AC515" i="10"/>
  <c r="AD515" i="10" s="1"/>
  <c r="AC523" i="10"/>
  <c r="AD523" i="10" s="1"/>
  <c r="AC510" i="10"/>
  <c r="AD510" i="10" s="1"/>
  <c r="AC519" i="10"/>
  <c r="AD519" i="10" s="1"/>
  <c r="AC488" i="10"/>
  <c r="AC504" i="10"/>
  <c r="AD504" i="10" s="1"/>
  <c r="AC651" i="10"/>
  <c r="AD651" i="10" s="1"/>
  <c r="AC652" i="10"/>
  <c r="AD652" i="10" s="1"/>
  <c r="AC659" i="10"/>
  <c r="AD659" i="10" s="1"/>
  <c r="AC660" i="10"/>
  <c r="AD660" i="10" s="1"/>
  <c r="AC670" i="10"/>
  <c r="AD670" i="10" s="1"/>
  <c r="AC685" i="10"/>
  <c r="AD685" i="10" s="1"/>
  <c r="AC686" i="10"/>
  <c r="AD686" i="10" s="1"/>
  <c r="AC648" i="10"/>
  <c r="AD648" i="10" s="1"/>
  <c r="AC655" i="10"/>
  <c r="AD655" i="10" s="1"/>
  <c r="AC650" i="10"/>
  <c r="AD650" i="10" s="1"/>
  <c r="AC667" i="10"/>
  <c r="AD667" i="10" s="1"/>
  <c r="AC674" i="10"/>
  <c r="AD674" i="10" s="1"/>
  <c r="AC675" i="10"/>
  <c r="AD675" i="10" s="1"/>
  <c r="AC679" i="10"/>
  <c r="AD679" i="10" s="1"/>
  <c r="AC682" i="10"/>
  <c r="AD682" i="10" s="1"/>
  <c r="AC654" i="10"/>
  <c r="AD654" i="10" s="1"/>
  <c r="AC658" i="10"/>
  <c r="AD658" i="10" s="1"/>
  <c r="AC665" i="10"/>
  <c r="AD665" i="10" s="1"/>
  <c r="AC666" i="10"/>
  <c r="AD666" i="10" s="1"/>
  <c r="AC672" i="10"/>
  <c r="AD672" i="10" s="1"/>
  <c r="AC673" i="10"/>
  <c r="AD673" i="10" s="1"/>
  <c r="AC678" i="10"/>
  <c r="AD678" i="10" s="1"/>
  <c r="AC681" i="10"/>
  <c r="AD681" i="10" s="1"/>
  <c r="AC680" i="10"/>
  <c r="AD680" i="10" s="1"/>
  <c r="AC683" i="10"/>
  <c r="AD683" i="10" s="1"/>
  <c r="AC649" i="10"/>
  <c r="AD649" i="10" s="1"/>
  <c r="AC656" i="10"/>
  <c r="AD656" i="10" s="1"/>
  <c r="AC664" i="10"/>
  <c r="AD664" i="10" s="1"/>
  <c r="AC684" i="10"/>
  <c r="AD684" i="10" s="1"/>
  <c r="AC657" i="10"/>
  <c r="AD657" i="10" s="1"/>
  <c r="AC663" i="10"/>
  <c r="AD663" i="10" s="1"/>
  <c r="AC653" i="10"/>
  <c r="AD653" i="10" s="1"/>
  <c r="AC671" i="10"/>
  <c r="AD671" i="10" s="1"/>
  <c r="AC661" i="10"/>
  <c r="AD661" i="10" s="1"/>
  <c r="AC676" i="10"/>
  <c r="AD676" i="10" s="1"/>
  <c r="AC647" i="10"/>
  <c r="AC669" i="10"/>
  <c r="AD669" i="10" s="1"/>
  <c r="AH599" i="10" l="1"/>
  <c r="AH630" i="10"/>
  <c r="AH597" i="10"/>
  <c r="AG1324" i="10"/>
  <c r="AH1271" i="10"/>
  <c r="AG1271" i="10"/>
  <c r="AG1165" i="10"/>
  <c r="AH1081" i="10"/>
  <c r="AH1100" i="10"/>
  <c r="AH976" i="10"/>
  <c r="AH862" i="10"/>
  <c r="AH617" i="10"/>
  <c r="AH622" i="10"/>
  <c r="AH603" i="10"/>
  <c r="AH607" i="10"/>
  <c r="AH611" i="10"/>
  <c r="AH606" i="10"/>
  <c r="AH632" i="10"/>
  <c r="AH610" i="10"/>
  <c r="AH608" i="10"/>
  <c r="AH627" i="10"/>
  <c r="AH631" i="10"/>
  <c r="AH623" i="10"/>
  <c r="AH605" i="10"/>
  <c r="AH612" i="10"/>
  <c r="AH625" i="10"/>
  <c r="AH621" i="10"/>
  <c r="AH626" i="10"/>
  <c r="AH629" i="10"/>
  <c r="AG634" i="10"/>
  <c r="AH618" i="10"/>
  <c r="AH177" i="10"/>
  <c r="AH210" i="10"/>
  <c r="AH185" i="10"/>
  <c r="AH199" i="10"/>
  <c r="AH203" i="10"/>
  <c r="AH181" i="10"/>
  <c r="AH205" i="10"/>
  <c r="AH173" i="10"/>
  <c r="AH179" i="10"/>
  <c r="AH172" i="10"/>
  <c r="AH196" i="10"/>
  <c r="AH190" i="10"/>
  <c r="AH175" i="10"/>
  <c r="AH195" i="10"/>
  <c r="AH207" i="10"/>
  <c r="AH176" i="10"/>
  <c r="AH183" i="10"/>
  <c r="AG211" i="10"/>
  <c r="AH180" i="10"/>
  <c r="AH178" i="10"/>
  <c r="AH184" i="10"/>
  <c r="AH191" i="10"/>
  <c r="AH187" i="10"/>
  <c r="AH182" i="10"/>
  <c r="AH174" i="10"/>
  <c r="AH208" i="10"/>
  <c r="AH204" i="10"/>
  <c r="AH197" i="10"/>
  <c r="AH1101" i="10"/>
  <c r="AH1097" i="10"/>
  <c r="AH1082" i="10"/>
  <c r="AH913" i="10"/>
  <c r="AH891" i="10"/>
  <c r="AH867" i="10"/>
  <c r="AH877" i="10"/>
  <c r="AG528" i="10"/>
  <c r="AG1006" i="10"/>
  <c r="AH846" i="10"/>
  <c r="AG740" i="10"/>
  <c r="AG1218" i="10"/>
  <c r="AH475" i="10"/>
  <c r="AG846" i="10"/>
  <c r="AH1077" i="10"/>
  <c r="AH868" i="10"/>
  <c r="AG475" i="10"/>
  <c r="AF285" i="10"/>
  <c r="AH1088" i="10"/>
  <c r="AH899" i="10"/>
  <c r="AH884" i="10"/>
  <c r="AH869" i="10"/>
  <c r="AH866" i="10"/>
  <c r="AC1395" i="10"/>
  <c r="AD1395" i="10" s="1"/>
  <c r="AC1399" i="10"/>
  <c r="AD1399" i="10" s="1"/>
  <c r="AC1391" i="10"/>
  <c r="AD1391" i="10" s="1"/>
  <c r="AC1397" i="10"/>
  <c r="AD1397" i="10" s="1"/>
  <c r="AH876" i="10"/>
  <c r="AH1083" i="10"/>
  <c r="AC1421" i="10"/>
  <c r="AD1421" i="10" s="1"/>
  <c r="AC1428" i="10"/>
  <c r="AD1428" i="10" s="1"/>
  <c r="AC1426" i="10"/>
  <c r="AD1426" i="10" s="1"/>
  <c r="AC1392" i="10"/>
  <c r="AD1392" i="10" s="1"/>
  <c r="AC1402" i="10"/>
  <c r="AD1402" i="10" s="1"/>
  <c r="AH887" i="10"/>
  <c r="AH871" i="10"/>
  <c r="AH1086" i="10"/>
  <c r="Z949" i="8"/>
  <c r="AD949" i="8" s="1"/>
  <c r="AD943" i="8" s="1"/>
  <c r="AD950" i="8" s="1"/>
  <c r="Z1006" i="8"/>
  <c r="AD1006" i="8" s="1"/>
  <c r="AD1000" i="8" s="1"/>
  <c r="AD1007" i="8" s="1"/>
  <c r="Z781" i="8"/>
  <c r="AD781" i="8" s="1"/>
  <c r="AD775" i="8" s="1"/>
  <c r="AD782" i="8" s="1"/>
  <c r="Z837" i="8"/>
  <c r="AD837" i="8" s="1"/>
  <c r="AD831" i="8" s="1"/>
  <c r="AD838" i="8" s="1"/>
  <c r="Z1062" i="8"/>
  <c r="AD1062" i="8" s="1"/>
  <c r="AD1056" i="8" s="1"/>
  <c r="AD1063" i="8" s="1"/>
  <c r="AH46" i="10"/>
  <c r="AG1377" i="10"/>
  <c r="AH1092" i="10"/>
  <c r="AH888" i="10"/>
  <c r="AH1105" i="10"/>
  <c r="AH342" i="10"/>
  <c r="AH334" i="10"/>
  <c r="AH341" i="10"/>
  <c r="AH340" i="10"/>
  <c r="AH350" i="10"/>
  <c r="AH339" i="10"/>
  <c r="AH338" i="10"/>
  <c r="AH346" i="10"/>
  <c r="AH354" i="10"/>
  <c r="AH349" i="10"/>
  <c r="AH369" i="10"/>
  <c r="AH348" i="10"/>
  <c r="AH337" i="10"/>
  <c r="AH335" i="10"/>
  <c r="AH347" i="10"/>
  <c r="AH333" i="10"/>
  <c r="AH1042" i="10"/>
  <c r="AH1111" i="10"/>
  <c r="AH34" i="10"/>
  <c r="AH415" i="10"/>
  <c r="AH394" i="10"/>
  <c r="AH405" i="10"/>
  <c r="AH392" i="10"/>
  <c r="AH388" i="10"/>
  <c r="AH420" i="10"/>
  <c r="AH402" i="10"/>
  <c r="AH399" i="10"/>
  <c r="AH422" i="10"/>
  <c r="AH417" i="10"/>
  <c r="AH889" i="10"/>
  <c r="AH864" i="10"/>
  <c r="AH880" i="10"/>
  <c r="AH896" i="10"/>
  <c r="AF356" i="10"/>
  <c r="AF348" i="10"/>
  <c r="AH893" i="10"/>
  <c r="AF405" i="10"/>
  <c r="AF420" i="10"/>
  <c r="AF389" i="10"/>
  <c r="AF399" i="10"/>
  <c r="AF402" i="10"/>
  <c r="AF969" i="10"/>
  <c r="AF1005" i="10"/>
  <c r="AF1001" i="10"/>
  <c r="AF985" i="10"/>
  <c r="AH894" i="10"/>
  <c r="AG953" i="10"/>
  <c r="AH1078" i="10"/>
  <c r="AH1080" i="10"/>
  <c r="AH1079" i="10"/>
  <c r="AH1099" i="10"/>
  <c r="AH1076" i="10"/>
  <c r="AH1094" i="10"/>
  <c r="AH1095" i="10"/>
  <c r="AH883" i="10"/>
  <c r="AH898" i="10"/>
  <c r="AG900" i="10"/>
  <c r="AH886" i="10"/>
  <c r="AH895" i="10"/>
  <c r="AH878" i="10"/>
  <c r="AH863" i="10"/>
  <c r="AH885" i="10"/>
  <c r="AH860" i="10"/>
  <c r="AH861" i="10"/>
  <c r="AH892" i="10"/>
  <c r="AH882" i="10"/>
  <c r="AH27" i="10"/>
  <c r="AH42" i="10"/>
  <c r="AH15" i="10"/>
  <c r="AH39" i="10"/>
  <c r="AH14" i="10"/>
  <c r="AH1091" i="10"/>
  <c r="AG1112" i="10"/>
  <c r="AH1096" i="10"/>
  <c r="AH1074" i="10"/>
  <c r="AH1098" i="10"/>
  <c r="AH1084" i="10"/>
  <c r="AH1073" i="10"/>
  <c r="AH38" i="10"/>
  <c r="AH16" i="10"/>
  <c r="AH36" i="10"/>
  <c r="AH30" i="10"/>
  <c r="AH1058" i="10"/>
  <c r="AF316" i="10"/>
  <c r="AF293" i="10"/>
  <c r="AH1048" i="10"/>
  <c r="AH418" i="10"/>
  <c r="AH393" i="10"/>
  <c r="AH416" i="10"/>
  <c r="AH391" i="10"/>
  <c r="AH414" i="10"/>
  <c r="AH408" i="10"/>
  <c r="AH411" i="10"/>
  <c r="AH410" i="10"/>
  <c r="AH387" i="10"/>
  <c r="AH409" i="10"/>
  <c r="AH395" i="10"/>
  <c r="AF1086" i="10"/>
  <c r="AF1103" i="10"/>
  <c r="AF367" i="10"/>
  <c r="AF363" i="10"/>
  <c r="AF357" i="10"/>
  <c r="AF347" i="10"/>
  <c r="AF340" i="10"/>
  <c r="AF359" i="10"/>
  <c r="AF349" i="10"/>
  <c r="AF341" i="10"/>
  <c r="AF369" i="10"/>
  <c r="AF364" i="10"/>
  <c r="AF337" i="10"/>
  <c r="AF354" i="10"/>
  <c r="AF366" i="10"/>
  <c r="AF362" i="10"/>
  <c r="AF355" i="10"/>
  <c r="AF346" i="10"/>
  <c r="AF339" i="10"/>
  <c r="AF334" i="10"/>
  <c r="AF335" i="10"/>
  <c r="AF365" i="10"/>
  <c r="AF361" i="10"/>
  <c r="AF352" i="10"/>
  <c r="AF342" i="10"/>
  <c r="AF338" i="10"/>
  <c r="AF368" i="10"/>
  <c r="AF515" i="10"/>
  <c r="AF506" i="10"/>
  <c r="AF411" i="10"/>
  <c r="AF388" i="10"/>
  <c r="AF394" i="10"/>
  <c r="AF410" i="10"/>
  <c r="AF395" i="10"/>
  <c r="AF422" i="10"/>
  <c r="AF409" i="10"/>
  <c r="AF393" i="10"/>
  <c r="AF418" i="10"/>
  <c r="AF408" i="10"/>
  <c r="AF391" i="10"/>
  <c r="AF415" i="10"/>
  <c r="AF417" i="10"/>
  <c r="AF416" i="10"/>
  <c r="AF387" i="10"/>
  <c r="AF414" i="10"/>
  <c r="AF392" i="10"/>
  <c r="AF966" i="10"/>
  <c r="AF976" i="10"/>
  <c r="AF971" i="10"/>
  <c r="AH33" i="10"/>
  <c r="AH43" i="10"/>
  <c r="AH366" i="10"/>
  <c r="AH362" i="10"/>
  <c r="AH355" i="10"/>
  <c r="AH365" i="10"/>
  <c r="AH361" i="10"/>
  <c r="AH352" i="10"/>
  <c r="AH368" i="10"/>
  <c r="AH364" i="10"/>
  <c r="AH359" i="10"/>
  <c r="AH367" i="10"/>
  <c r="AH363" i="10"/>
  <c r="AH357" i="10"/>
  <c r="AF1019" i="10"/>
  <c r="AF1029" i="10"/>
  <c r="AH23" i="10"/>
  <c r="AH25" i="10"/>
  <c r="AH21" i="10"/>
  <c r="AH13" i="10"/>
  <c r="AH50" i="10"/>
  <c r="AH29" i="10"/>
  <c r="AH793" i="10"/>
  <c r="AG793" i="10"/>
  <c r="AH1535" i="10"/>
  <c r="AC283" i="10"/>
  <c r="AD283" i="10" s="1"/>
  <c r="AH20" i="10"/>
  <c r="AH17" i="10"/>
  <c r="AG51" i="10"/>
  <c r="AH45" i="10"/>
  <c r="AH12" i="10"/>
  <c r="AH40" i="10"/>
  <c r="AH49" i="10"/>
  <c r="AH18" i="10"/>
  <c r="AH44" i="10"/>
  <c r="AH37" i="10"/>
  <c r="AH19" i="10"/>
  <c r="AH24" i="10"/>
  <c r="AH48" i="10"/>
  <c r="AH31" i="10"/>
  <c r="AH35" i="10"/>
  <c r="AG1535" i="10"/>
  <c r="AH1054" i="10"/>
  <c r="AH1025" i="10"/>
  <c r="AH1031" i="10"/>
  <c r="AH304" i="10"/>
  <c r="AH302" i="10"/>
  <c r="AH286" i="10"/>
  <c r="AH289" i="10"/>
  <c r="AH297" i="10"/>
  <c r="AH305" i="10"/>
  <c r="AH310" i="10"/>
  <c r="AH293" i="10"/>
  <c r="AH299" i="10"/>
  <c r="AH308" i="10"/>
  <c r="AH295" i="10"/>
  <c r="AH280" i="10"/>
  <c r="AH281" i="10"/>
  <c r="AH300" i="10"/>
  <c r="AH287" i="10"/>
  <c r="AH294" i="10"/>
  <c r="AH313" i="10"/>
  <c r="AH279" i="10"/>
  <c r="AH316" i="10"/>
  <c r="AH282" i="10"/>
  <c r="AH296" i="10"/>
  <c r="AH314" i="10"/>
  <c r="AH283" i="10"/>
  <c r="AH315" i="10"/>
  <c r="AH285" i="10"/>
  <c r="AH277" i="10"/>
  <c r="AH303" i="10"/>
  <c r="AH284" i="10"/>
  <c r="AH311" i="10"/>
  <c r="AH306" i="10"/>
  <c r="AH312" i="10"/>
  <c r="AH278" i="10"/>
  <c r="AH288" i="10"/>
  <c r="AH301" i="10"/>
  <c r="AH309" i="10"/>
  <c r="AH1056" i="10"/>
  <c r="AF295" i="10"/>
  <c r="AF281" i="10"/>
  <c r="AF299" i="10"/>
  <c r="AF294" i="10"/>
  <c r="AH1044" i="10"/>
  <c r="AH916" i="10"/>
  <c r="AF277" i="10"/>
  <c r="AF315" i="10"/>
  <c r="AF309" i="10"/>
  <c r="AF312" i="10"/>
  <c r="AF300" i="10"/>
  <c r="AF287" i="10"/>
  <c r="AF310" i="10"/>
  <c r="AF282" i="10"/>
  <c r="AF289" i="10"/>
  <c r="AF279" i="10"/>
  <c r="AF297" i="10"/>
  <c r="AF280" i="10"/>
  <c r="AF311" i="10"/>
  <c r="AF306" i="10"/>
  <c r="AF304" i="10"/>
  <c r="AF303" i="10"/>
  <c r="AF301" i="10"/>
  <c r="AF305" i="10"/>
  <c r="AF1078" i="10"/>
  <c r="AF1092" i="10"/>
  <c r="AH390" i="10"/>
  <c r="AH401" i="10"/>
  <c r="AH403" i="10"/>
  <c r="AH406" i="10"/>
  <c r="AH385" i="10"/>
  <c r="AH412" i="10"/>
  <c r="AH407" i="10"/>
  <c r="AH419" i="10"/>
  <c r="AH384" i="10"/>
  <c r="AH421" i="10"/>
  <c r="AH386" i="10"/>
  <c r="AH389" i="10"/>
  <c r="AH400" i="10"/>
  <c r="AH383" i="10"/>
  <c r="AF419" i="10"/>
  <c r="AF401" i="10"/>
  <c r="AF390" i="10"/>
  <c r="AF407" i="10"/>
  <c r="AF400" i="10"/>
  <c r="AF406" i="10"/>
  <c r="AF386" i="10"/>
  <c r="AF385" i="10"/>
  <c r="AF421" i="10"/>
  <c r="AF412" i="10"/>
  <c r="AF403" i="10"/>
  <c r="AF384" i="10"/>
  <c r="AF383" i="10"/>
  <c r="AF291" i="10"/>
  <c r="AF288" i="10"/>
  <c r="AF314" i="10"/>
  <c r="AF302" i="10"/>
  <c r="AF286" i="10"/>
  <c r="AF284" i="10"/>
  <c r="AF278" i="10"/>
  <c r="AF313" i="10"/>
  <c r="AF296" i="10"/>
  <c r="AF283" i="10"/>
  <c r="AH353" i="10"/>
  <c r="AH331" i="10"/>
  <c r="AH332" i="10"/>
  <c r="AH358" i="10"/>
  <c r="AH356" i="10"/>
  <c r="AH336" i="10"/>
  <c r="AH330" i="10"/>
  <c r="AF336" i="10"/>
  <c r="AF332" i="10"/>
  <c r="AF358" i="10"/>
  <c r="AF331" i="10"/>
  <c r="AF350" i="10"/>
  <c r="AF333" i="10"/>
  <c r="AF353" i="10"/>
  <c r="AF330" i="10"/>
  <c r="AC594" i="10"/>
  <c r="AD594" i="10" s="1"/>
  <c r="AH1036" i="10"/>
  <c r="AH1030" i="10"/>
  <c r="AH1037" i="10"/>
  <c r="AH1055" i="10"/>
  <c r="AC983" i="10"/>
  <c r="AD983" i="10" s="1"/>
  <c r="AC1002" i="10"/>
  <c r="AD1002" i="10" s="1"/>
  <c r="AC997" i="10"/>
  <c r="AD997" i="10" s="1"/>
  <c r="AC993" i="10"/>
  <c r="AD993" i="10" s="1"/>
  <c r="AC999" i="10"/>
  <c r="AD999" i="10" s="1"/>
  <c r="AC984" i="10"/>
  <c r="AD984" i="10" s="1"/>
  <c r="AC1004" i="10"/>
  <c r="AD1004" i="10" s="1"/>
  <c r="AC980" i="10"/>
  <c r="AD980" i="10" s="1"/>
  <c r="AC973" i="10"/>
  <c r="AD973" i="10" s="1"/>
  <c r="AC978" i="10"/>
  <c r="AD978" i="10" s="1"/>
  <c r="AC994" i="10"/>
  <c r="AD994" i="10" s="1"/>
  <c r="AC1000" i="10"/>
  <c r="AD1000" i="10" s="1"/>
  <c r="AC971" i="10"/>
  <c r="AD971" i="10" s="1"/>
  <c r="AC1001" i="10"/>
  <c r="AD1001" i="10" s="1"/>
  <c r="AC966" i="10"/>
  <c r="AD966" i="10" s="1"/>
  <c r="AC970" i="10"/>
  <c r="AD970" i="10" s="1"/>
  <c r="AC990" i="10"/>
  <c r="AD990" i="10" s="1"/>
  <c r="AC972" i="10"/>
  <c r="AD972" i="10" s="1"/>
  <c r="AC998" i="10"/>
  <c r="AD998" i="10" s="1"/>
  <c r="AC989" i="10"/>
  <c r="AD989" i="10" s="1"/>
  <c r="AC977" i="10"/>
  <c r="AD977" i="10" s="1"/>
  <c r="AC969" i="10"/>
  <c r="AD969" i="10" s="1"/>
  <c r="AC974" i="10"/>
  <c r="AD974" i="10" s="1"/>
  <c r="AC976" i="10"/>
  <c r="AD976" i="10" s="1"/>
  <c r="AC991" i="10"/>
  <c r="AD991" i="10" s="1"/>
  <c r="AC979" i="10"/>
  <c r="AD979" i="10" s="1"/>
  <c r="AC988" i="10"/>
  <c r="AD988" i="10" s="1"/>
  <c r="AC992" i="10"/>
  <c r="AD992" i="10" s="1"/>
  <c r="AC1005" i="10"/>
  <c r="AD1005" i="10" s="1"/>
  <c r="AC1003" i="10"/>
  <c r="AD1003" i="10" s="1"/>
  <c r="AC985" i="10"/>
  <c r="AD985" i="10" s="1"/>
  <c r="AC968" i="10"/>
  <c r="AD968" i="10" s="1"/>
  <c r="AC995" i="10"/>
  <c r="AD995" i="10" s="1"/>
  <c r="AC986" i="10"/>
  <c r="AD986" i="10" s="1"/>
  <c r="AC975" i="10"/>
  <c r="AD975" i="10" s="1"/>
  <c r="AC967" i="10"/>
  <c r="AD967" i="10" s="1"/>
  <c r="AF740" i="10"/>
  <c r="AG264" i="10"/>
  <c r="AF264" i="10"/>
  <c r="AC277" i="10"/>
  <c r="AD277" i="10" s="1"/>
  <c r="AH238" i="10"/>
  <c r="AH264" i="10" s="1"/>
  <c r="AH940" i="10"/>
  <c r="AH1026" i="10"/>
  <c r="AH937" i="10"/>
  <c r="AH922" i="10"/>
  <c r="AH933" i="10"/>
  <c r="AH925" i="10"/>
  <c r="AH1024" i="10"/>
  <c r="AD1483" i="10"/>
  <c r="AH1050" i="10"/>
  <c r="AH1051" i="10"/>
  <c r="AH1023" i="10"/>
  <c r="AH1028" i="10"/>
  <c r="AH1047" i="10"/>
  <c r="AH1035" i="10"/>
  <c r="AH1046" i="10"/>
  <c r="AH1052" i="10"/>
  <c r="AC725" i="10"/>
  <c r="AD725" i="10" s="1"/>
  <c r="AC1483" i="10"/>
  <c r="AC1412" i="10"/>
  <c r="AD1412" i="10" s="1"/>
  <c r="AC1401" i="10"/>
  <c r="AD1401" i="10" s="1"/>
  <c r="AC1407" i="10"/>
  <c r="AD1407" i="10" s="1"/>
  <c r="AC1410" i="10"/>
  <c r="AD1410" i="10" s="1"/>
  <c r="AC1398" i="10"/>
  <c r="AD1398" i="10" s="1"/>
  <c r="AC1409" i="10"/>
  <c r="AD1409" i="10" s="1"/>
  <c r="AC1404" i="10"/>
  <c r="AD1404" i="10" s="1"/>
  <c r="AC1422" i="10"/>
  <c r="AD1422" i="10" s="1"/>
  <c r="AC1403" i="10"/>
  <c r="AD1403" i="10" s="1"/>
  <c r="AC1415" i="10"/>
  <c r="AD1415" i="10" s="1"/>
  <c r="AC1413" i="10"/>
  <c r="AD1413" i="10" s="1"/>
  <c r="AC1400" i="10"/>
  <c r="AD1400" i="10" s="1"/>
  <c r="AC1425" i="10"/>
  <c r="AD1425" i="10" s="1"/>
  <c r="AC1416" i="10"/>
  <c r="AD1416" i="10" s="1"/>
  <c r="AC1427" i="10"/>
  <c r="AD1427" i="10" s="1"/>
  <c r="AC1414" i="10"/>
  <c r="AD1414" i="10" s="1"/>
  <c r="AC1396" i="10"/>
  <c r="AD1396" i="10" s="1"/>
  <c r="AC1394" i="10"/>
  <c r="AD1394" i="10" s="1"/>
  <c r="AH1022" i="10"/>
  <c r="AC734" i="10"/>
  <c r="AD734" i="10" s="1"/>
  <c r="AC713" i="10"/>
  <c r="AD713" i="10" s="1"/>
  <c r="AC739" i="10"/>
  <c r="AD739" i="10" s="1"/>
  <c r="AC735" i="10"/>
  <c r="AD735" i="10" s="1"/>
  <c r="AH921" i="10"/>
  <c r="AH938" i="10"/>
  <c r="AH930" i="10"/>
  <c r="AH1045" i="10"/>
  <c r="AH935" i="10"/>
  <c r="AH915" i="10"/>
  <c r="AH945" i="10"/>
  <c r="AH939" i="10"/>
  <c r="AH950" i="10"/>
  <c r="AF526" i="10"/>
  <c r="AF489" i="10"/>
  <c r="AF493" i="10"/>
  <c r="AF1324" i="10"/>
  <c r="AH1043" i="10"/>
  <c r="AH1053" i="10"/>
  <c r="AH1057" i="10"/>
  <c r="AG1059" i="10"/>
  <c r="AH1041" i="10"/>
  <c r="AF953" i="10"/>
  <c r="AC722" i="10"/>
  <c r="AD722" i="10" s="1"/>
  <c r="AC717" i="10"/>
  <c r="AD717" i="10" s="1"/>
  <c r="AC724" i="10"/>
  <c r="AD724" i="10" s="1"/>
  <c r="AC727" i="10"/>
  <c r="AD727" i="10" s="1"/>
  <c r="AC733" i="10"/>
  <c r="AD733" i="10" s="1"/>
  <c r="AC705" i="10"/>
  <c r="AD705" i="10" s="1"/>
  <c r="AC719" i="10"/>
  <c r="AD719" i="10" s="1"/>
  <c r="AC720" i="10"/>
  <c r="AD720" i="10" s="1"/>
  <c r="AC718" i="10"/>
  <c r="AD718" i="10" s="1"/>
  <c r="AC702" i="10"/>
  <c r="AD702" i="10" s="1"/>
  <c r="AC706" i="10"/>
  <c r="AD706" i="10" s="1"/>
  <c r="AC716" i="10"/>
  <c r="AD716" i="10" s="1"/>
  <c r="AC708" i="10"/>
  <c r="AD708" i="10" s="1"/>
  <c r="AC726" i="10"/>
  <c r="AD726" i="10" s="1"/>
  <c r="AC729" i="10"/>
  <c r="AD729" i="10" s="1"/>
  <c r="AF900" i="10"/>
  <c r="AC723" i="10"/>
  <c r="AD723" i="10" s="1"/>
  <c r="AC700" i="10"/>
  <c r="AD700" i="10" s="1"/>
  <c r="AC711" i="10"/>
  <c r="AD711" i="10" s="1"/>
  <c r="AC707" i="10"/>
  <c r="AD707" i="10" s="1"/>
  <c r="AC709" i="10"/>
  <c r="AD709" i="10" s="1"/>
  <c r="AC714" i="10"/>
  <c r="AD714" i="10" s="1"/>
  <c r="AC704" i="10"/>
  <c r="AD704" i="10" s="1"/>
  <c r="AC731" i="10"/>
  <c r="AD731" i="10" s="1"/>
  <c r="AC701" i="10"/>
  <c r="AD701" i="10" s="1"/>
  <c r="AC736" i="10"/>
  <c r="AD736" i="10" s="1"/>
  <c r="AC738" i="10"/>
  <c r="AD738" i="10" s="1"/>
  <c r="AC737" i="10"/>
  <c r="AD737" i="10" s="1"/>
  <c r="AC728" i="10"/>
  <c r="AD728" i="10" s="1"/>
  <c r="AC712" i="10"/>
  <c r="AD712" i="10" s="1"/>
  <c r="AC732" i="10"/>
  <c r="AD732" i="10" s="1"/>
  <c r="AC710" i="10"/>
  <c r="AD710" i="10" s="1"/>
  <c r="AC630" i="10"/>
  <c r="AD630" i="10" s="1"/>
  <c r="AC596" i="10"/>
  <c r="AD596" i="10" s="1"/>
  <c r="AC622" i="10"/>
  <c r="AD622" i="10" s="1"/>
  <c r="AC610" i="10"/>
  <c r="AD610" i="10" s="1"/>
  <c r="AC627" i="10"/>
  <c r="AD627" i="10" s="1"/>
  <c r="AC606" i="10"/>
  <c r="AD606" i="10" s="1"/>
  <c r="AC613" i="10"/>
  <c r="AD613" i="10" s="1"/>
  <c r="AC601" i="10"/>
  <c r="AD601" i="10" s="1"/>
  <c r="AC632" i="10"/>
  <c r="AD632" i="10" s="1"/>
  <c r="AC618" i="10"/>
  <c r="AD618" i="10" s="1"/>
  <c r="AC617" i="10"/>
  <c r="AD617" i="10" s="1"/>
  <c r="AC598" i="10"/>
  <c r="AD598" i="10" s="1"/>
  <c r="AC612" i="10"/>
  <c r="AD612" i="10" s="1"/>
  <c r="AC611" i="10"/>
  <c r="AD611" i="10" s="1"/>
  <c r="AC619" i="10"/>
  <c r="AD619" i="10" s="1"/>
  <c r="AC631" i="10"/>
  <c r="AD631" i="10" s="1"/>
  <c r="AC614" i="10"/>
  <c r="AD614" i="10" s="1"/>
  <c r="AC633" i="10"/>
  <c r="AD633" i="10" s="1"/>
  <c r="AC602" i="10"/>
  <c r="AD602" i="10" s="1"/>
  <c r="AC629" i="10"/>
  <c r="AD629" i="10" s="1"/>
  <c r="AC616" i="10"/>
  <c r="AD616" i="10" s="1"/>
  <c r="AC623" i="10"/>
  <c r="AD623" i="10" s="1"/>
  <c r="AC628" i="10"/>
  <c r="AD628" i="10" s="1"/>
  <c r="AC626" i="10"/>
  <c r="AD626" i="10" s="1"/>
  <c r="AC600" i="10"/>
  <c r="AD600" i="10" s="1"/>
  <c r="AC620" i="10"/>
  <c r="AD620" i="10" s="1"/>
  <c r="AC306" i="10"/>
  <c r="AD306" i="10" s="1"/>
  <c r="AC303" i="10"/>
  <c r="AD303" i="10" s="1"/>
  <c r="AC287" i="10"/>
  <c r="AD287" i="10" s="1"/>
  <c r="AC288" i="10"/>
  <c r="AD288" i="10" s="1"/>
  <c r="AC313" i="10"/>
  <c r="AD313" i="10" s="1"/>
  <c r="AC281" i="10"/>
  <c r="AD281" i="10" s="1"/>
  <c r="AC280" i="10"/>
  <c r="AD280" i="10" s="1"/>
  <c r="AC312" i="10"/>
  <c r="AD312" i="10" s="1"/>
  <c r="AC300" i="10"/>
  <c r="AD300" i="10" s="1"/>
  <c r="AC294" i="10"/>
  <c r="AD294" i="10" s="1"/>
  <c r="AC309" i="10"/>
  <c r="AD309" i="10" s="1"/>
  <c r="AC314" i="10"/>
  <c r="AD314" i="10" s="1"/>
  <c r="AC279" i="10"/>
  <c r="AD279" i="10" s="1"/>
  <c r="AC316" i="10"/>
  <c r="AD316" i="10" s="1"/>
  <c r="AC299" i="10"/>
  <c r="AD299" i="10" s="1"/>
  <c r="AC302" i="10"/>
  <c r="AD302" i="10" s="1"/>
  <c r="AC286" i="10"/>
  <c r="AD286" i="10" s="1"/>
  <c r="AC278" i="10"/>
  <c r="AD278" i="10" s="1"/>
  <c r="AC293" i="10"/>
  <c r="AD293" i="10" s="1"/>
  <c r="AC291" i="10"/>
  <c r="AD291" i="10" s="1"/>
  <c r="AC301" i="10"/>
  <c r="AD301" i="10" s="1"/>
  <c r="AC304" i="10"/>
  <c r="AD304" i="10" s="1"/>
  <c r="AC310" i="10"/>
  <c r="AD310" i="10" s="1"/>
  <c r="AC315" i="10"/>
  <c r="AD315" i="10" s="1"/>
  <c r="AC297" i="10"/>
  <c r="AD297" i="10" s="1"/>
  <c r="AC295" i="10"/>
  <c r="AD295" i="10" s="1"/>
  <c r="AC284" i="10"/>
  <c r="AD284" i="10" s="1"/>
  <c r="AC305" i="10"/>
  <c r="AD305" i="10" s="1"/>
  <c r="AC285" i="10"/>
  <c r="AD285" i="10" s="1"/>
  <c r="AC296" i="10"/>
  <c r="AD296" i="10" s="1"/>
  <c r="AC289" i="10"/>
  <c r="AD289" i="10" s="1"/>
  <c r="AC308" i="10"/>
  <c r="AD308" i="10" s="1"/>
  <c r="AC311" i="10"/>
  <c r="AD311" i="10" s="1"/>
  <c r="AC290" i="10"/>
  <c r="AD290" i="10" s="1"/>
  <c r="AF1377" i="10"/>
  <c r="AC625" i="10"/>
  <c r="AD625" i="10" s="1"/>
  <c r="AC595" i="10"/>
  <c r="AD595" i="10" s="1"/>
  <c r="AC605" i="10"/>
  <c r="AD605" i="10" s="1"/>
  <c r="AC608" i="10"/>
  <c r="AD608" i="10" s="1"/>
  <c r="AC603" i="10"/>
  <c r="AD603" i="10" s="1"/>
  <c r="AC604" i="10"/>
  <c r="AD604" i="10" s="1"/>
  <c r="AC597" i="10"/>
  <c r="AD597" i="10" s="1"/>
  <c r="AC607" i="10"/>
  <c r="AD607" i="10" s="1"/>
  <c r="AC599" i="10"/>
  <c r="AD599" i="10" s="1"/>
  <c r="AC621" i="10"/>
  <c r="AD621" i="10" s="1"/>
  <c r="AD264" i="10"/>
  <c r="AH947" i="10"/>
  <c r="AH951" i="10"/>
  <c r="AH931" i="10"/>
  <c r="AH944" i="10"/>
  <c r="AH948" i="10"/>
  <c r="AH918" i="10"/>
  <c r="AF1000" i="10"/>
  <c r="AF977" i="10"/>
  <c r="AF1003" i="10"/>
  <c r="AF970" i="10"/>
  <c r="AF991" i="10"/>
  <c r="AF995" i="10"/>
  <c r="AF988" i="10"/>
  <c r="AF999" i="10"/>
  <c r="AF974" i="10"/>
  <c r="AF979" i="10"/>
  <c r="AF984" i="10"/>
  <c r="AF975" i="10"/>
  <c r="AF968" i="10"/>
  <c r="AF972" i="10"/>
  <c r="AF990" i="10"/>
  <c r="AF992" i="10"/>
  <c r="AF982" i="10"/>
  <c r="AF967" i="10"/>
  <c r="AF158" i="10"/>
  <c r="AH1006" i="10"/>
  <c r="AH936" i="10"/>
  <c r="AH919" i="10"/>
  <c r="AH924" i="10"/>
  <c r="AH946" i="10"/>
  <c r="AH929" i="10"/>
  <c r="AH952" i="10"/>
  <c r="AH942" i="10"/>
  <c r="AH920" i="10"/>
  <c r="AH917" i="10"/>
  <c r="AH941" i="10"/>
  <c r="AH923" i="10"/>
  <c r="AH949" i="10"/>
  <c r="AH932" i="10"/>
  <c r="AH914" i="10"/>
  <c r="AH687" i="10"/>
  <c r="AF581" i="10"/>
  <c r="AF500" i="10"/>
  <c r="AF496" i="10"/>
  <c r="AF499" i="10"/>
  <c r="AF521" i="10"/>
  <c r="AF497" i="10"/>
  <c r="AF491" i="10"/>
  <c r="AF523" i="10"/>
  <c r="AF514" i="10"/>
  <c r="AF519" i="10"/>
  <c r="AF490" i="10"/>
  <c r="AF520" i="10"/>
  <c r="AF510" i="10"/>
  <c r="AF527" i="10"/>
  <c r="AF492" i="10"/>
  <c r="AF516" i="10"/>
  <c r="AF507" i="10"/>
  <c r="AF522" i="10"/>
  <c r="AF508" i="10"/>
  <c r="AF498" i="10"/>
  <c r="AF524" i="10"/>
  <c r="AF488" i="10"/>
  <c r="AF494" i="10"/>
  <c r="AF517" i="10"/>
  <c r="AF525" i="10"/>
  <c r="AF513" i="10"/>
  <c r="AF504" i="10"/>
  <c r="AF1218" i="10"/>
  <c r="AF211" i="10"/>
  <c r="AF1165" i="10"/>
  <c r="AF1101" i="10"/>
  <c r="AF1074" i="10"/>
  <c r="AF1105" i="10"/>
  <c r="AF1088" i="10"/>
  <c r="AF1082" i="10"/>
  <c r="AF1073" i="10"/>
  <c r="AF1081" i="10"/>
  <c r="AF1072" i="10"/>
  <c r="AF1096" i="10"/>
  <c r="AF1079" i="10"/>
  <c r="AF1097" i="10"/>
  <c r="AF1099" i="10"/>
  <c r="AF1077" i="10"/>
  <c r="AF1084" i="10"/>
  <c r="AF1111" i="10"/>
  <c r="AF1098" i="10"/>
  <c r="AF1100" i="10"/>
  <c r="AF1080" i="10"/>
  <c r="AF1094" i="10"/>
  <c r="AF1095" i="10"/>
  <c r="AF1075" i="10"/>
  <c r="AF1083" i="10"/>
  <c r="AF1091" i="10"/>
  <c r="AF1076" i="10"/>
  <c r="AF687" i="10"/>
  <c r="AF634" i="10"/>
  <c r="AF51" i="10"/>
  <c r="AF1028" i="10"/>
  <c r="AF1035" i="10"/>
  <c r="AF1044" i="10"/>
  <c r="AF1045" i="10"/>
  <c r="AF1046" i="10"/>
  <c r="AF1047" i="10"/>
  <c r="AF1048" i="10"/>
  <c r="AF1051" i="10"/>
  <c r="AF1052" i="10"/>
  <c r="AF1042" i="10"/>
  <c r="AF1043" i="10"/>
  <c r="AF1050" i="10"/>
  <c r="AF1057" i="10"/>
  <c r="AF1058" i="10"/>
  <c r="AF1024" i="10"/>
  <c r="AF1030" i="10"/>
  <c r="AF1041" i="10"/>
  <c r="AF1055" i="10"/>
  <c r="AF1056" i="10"/>
  <c r="AF1031" i="10"/>
  <c r="AF1036" i="10"/>
  <c r="AF1053" i="10"/>
  <c r="AF1054" i="10"/>
  <c r="AF1025" i="10"/>
  <c r="AF1021" i="10"/>
  <c r="AF1023" i="10"/>
  <c r="AF1027" i="10"/>
  <c r="AF1037" i="10"/>
  <c r="AF1026" i="10"/>
  <c r="AF1022" i="10"/>
  <c r="AF1271" i="10"/>
  <c r="AC264" i="10"/>
  <c r="AD1019" i="10"/>
  <c r="AD1059" i="10" s="1"/>
  <c r="AC1059" i="10"/>
  <c r="AD1390" i="10"/>
  <c r="AD488" i="10"/>
  <c r="AD528" i="10" s="1"/>
  <c r="AC528" i="10"/>
  <c r="AC1503" i="10"/>
  <c r="AD1503" i="10" s="1"/>
  <c r="AC1512" i="10"/>
  <c r="AD1512" i="10" s="1"/>
  <c r="AC1513" i="10"/>
  <c r="AD1513" i="10" s="1"/>
  <c r="AC1521" i="10"/>
  <c r="AD1521" i="10" s="1"/>
  <c r="AC1522" i="10"/>
  <c r="AD1522" i="10" s="1"/>
  <c r="AC1530" i="10"/>
  <c r="AD1530" i="10" s="1"/>
  <c r="AC1531" i="10"/>
  <c r="AD1531" i="10" s="1"/>
  <c r="AC1497" i="10"/>
  <c r="AD1497" i="10" s="1"/>
  <c r="AC1505" i="10"/>
  <c r="AD1505" i="10" s="1"/>
  <c r="AC1514" i="10"/>
  <c r="AD1514" i="10" s="1"/>
  <c r="AC1523" i="10"/>
  <c r="AD1523" i="10" s="1"/>
  <c r="AC1524" i="10"/>
  <c r="AD1524" i="10" s="1"/>
  <c r="AC1532" i="10"/>
  <c r="AD1532" i="10" s="1"/>
  <c r="AC1533" i="10"/>
  <c r="AD1533" i="10" s="1"/>
  <c r="AC1501" i="10"/>
  <c r="AD1501" i="10" s="1"/>
  <c r="AC1511" i="10"/>
  <c r="AD1511" i="10" s="1"/>
  <c r="AC1519" i="10"/>
  <c r="AD1519" i="10" s="1"/>
  <c r="AC1529" i="10"/>
  <c r="AD1529" i="10" s="1"/>
  <c r="AC1534" i="10"/>
  <c r="AD1534" i="10" s="1"/>
  <c r="AC1518" i="10"/>
  <c r="AD1518" i="10" s="1"/>
  <c r="AC1526" i="10"/>
  <c r="AD1526" i="10" s="1"/>
  <c r="AC1507" i="10"/>
  <c r="AD1507" i="10" s="1"/>
  <c r="AC1520" i="10"/>
  <c r="AD1520" i="10" s="1"/>
  <c r="AC1528" i="10"/>
  <c r="AD1528" i="10" s="1"/>
  <c r="AC1517" i="10"/>
  <c r="AD1517" i="10" s="1"/>
  <c r="AC1502" i="10"/>
  <c r="AD1502" i="10" s="1"/>
  <c r="AC1509" i="10"/>
  <c r="AD1509" i="10" s="1"/>
  <c r="AC1499" i="10"/>
  <c r="AD1499" i="10" s="1"/>
  <c r="AC1506" i="10"/>
  <c r="AD1506" i="10" s="1"/>
  <c r="AC1498" i="10"/>
  <c r="AD1498" i="10" s="1"/>
  <c r="AC1515" i="10"/>
  <c r="AD1515" i="10" s="1"/>
  <c r="AC1504" i="10"/>
  <c r="AD1504" i="10" s="1"/>
  <c r="AC1527" i="10"/>
  <c r="AD1527" i="10" s="1"/>
  <c r="AC1495" i="10"/>
  <c r="AC1500" i="10"/>
  <c r="AD1500" i="10" s="1"/>
  <c r="AC1508" i="10"/>
  <c r="AD1508" i="10" s="1"/>
  <c r="AC1496" i="10"/>
  <c r="AD1496" i="10" s="1"/>
  <c r="AD1231" i="10"/>
  <c r="AD1271" i="10" s="1"/>
  <c r="AC1271" i="10"/>
  <c r="AD1125" i="10"/>
  <c r="AD1165" i="10" s="1"/>
  <c r="AC1165" i="10"/>
  <c r="AD1337" i="10"/>
  <c r="AD1377" i="10" s="1"/>
  <c r="AC1377" i="10"/>
  <c r="AD1178" i="10"/>
  <c r="AD1218" i="10" s="1"/>
  <c r="AC1218" i="10"/>
  <c r="AC15" i="10"/>
  <c r="AD15" i="10" s="1"/>
  <c r="AC16" i="10"/>
  <c r="AD16" i="10" s="1"/>
  <c r="AC23" i="10"/>
  <c r="AD23" i="10" s="1"/>
  <c r="AC24" i="10"/>
  <c r="AD24" i="10" s="1"/>
  <c r="AC34" i="10"/>
  <c r="AD34" i="10" s="1"/>
  <c r="AC42" i="10"/>
  <c r="AD42" i="10" s="1"/>
  <c r="AC43" i="10"/>
  <c r="AD43" i="10" s="1"/>
  <c r="AC50" i="10"/>
  <c r="AD50" i="10" s="1"/>
  <c r="AC17" i="10"/>
  <c r="AD17" i="10" s="1"/>
  <c r="AC18" i="10"/>
  <c r="AD18" i="10" s="1"/>
  <c r="AC25" i="10"/>
  <c r="AD25" i="10" s="1"/>
  <c r="AC35" i="10"/>
  <c r="AD35" i="10" s="1"/>
  <c r="AC36" i="10"/>
  <c r="AD36" i="10" s="1"/>
  <c r="AC44" i="10"/>
  <c r="AD44" i="10" s="1"/>
  <c r="AC45" i="10"/>
  <c r="AD45" i="10" s="1"/>
  <c r="AC12" i="10"/>
  <c r="AD12" i="10" s="1"/>
  <c r="AC19" i="10"/>
  <c r="AD19" i="10" s="1"/>
  <c r="AC20" i="10"/>
  <c r="AD20" i="10" s="1"/>
  <c r="AC28" i="10"/>
  <c r="AD28" i="10" s="1"/>
  <c r="AC29" i="10"/>
  <c r="AD29" i="10" s="1"/>
  <c r="AC37" i="10"/>
  <c r="AD37" i="10" s="1"/>
  <c r="AC38" i="10"/>
  <c r="AD38" i="10" s="1"/>
  <c r="AC46" i="10"/>
  <c r="AD46" i="10" s="1"/>
  <c r="AC47" i="10"/>
  <c r="AD47" i="10" s="1"/>
  <c r="AC13" i="10"/>
  <c r="AD13" i="10" s="1"/>
  <c r="AC40" i="10"/>
  <c r="AD40" i="10" s="1"/>
  <c r="AC48" i="10"/>
  <c r="AD48" i="10" s="1"/>
  <c r="AC22" i="10"/>
  <c r="AD22" i="10" s="1"/>
  <c r="AC30" i="10"/>
  <c r="AD30" i="10" s="1"/>
  <c r="AC14" i="10"/>
  <c r="AD14" i="10" s="1"/>
  <c r="AC21" i="10"/>
  <c r="AD21" i="10" s="1"/>
  <c r="AC31" i="10"/>
  <c r="AD31" i="10" s="1"/>
  <c r="AC39" i="10"/>
  <c r="AD39" i="10" s="1"/>
  <c r="AC49" i="10"/>
  <c r="AD49" i="10" s="1"/>
  <c r="AC27" i="10"/>
  <c r="AD27" i="10" s="1"/>
  <c r="AC33" i="10"/>
  <c r="AD33" i="10" s="1"/>
  <c r="AC11" i="10"/>
  <c r="AD1284" i="10"/>
  <c r="AD1324" i="10" s="1"/>
  <c r="AC1324" i="10"/>
  <c r="AD806" i="10"/>
  <c r="AD846" i="10" s="1"/>
  <c r="AC846" i="10"/>
  <c r="AD541" i="10"/>
  <c r="AD581" i="10" s="1"/>
  <c r="AC581" i="10"/>
  <c r="AC176" i="10"/>
  <c r="AD176" i="10" s="1"/>
  <c r="AC180" i="10"/>
  <c r="AD180" i="10" s="1"/>
  <c r="AC184" i="10"/>
  <c r="AD184" i="10" s="1"/>
  <c r="AC189" i="10"/>
  <c r="AD189" i="10" s="1"/>
  <c r="AC175" i="10"/>
  <c r="AD175" i="10" s="1"/>
  <c r="AC179" i="10"/>
  <c r="AD179" i="10" s="1"/>
  <c r="AC183" i="10"/>
  <c r="AD183" i="10" s="1"/>
  <c r="AC188" i="10"/>
  <c r="AD188" i="10" s="1"/>
  <c r="AC197" i="10"/>
  <c r="AD197" i="10" s="1"/>
  <c r="AC206" i="10"/>
  <c r="AD206" i="10" s="1"/>
  <c r="AC210" i="10"/>
  <c r="AD210" i="10" s="1"/>
  <c r="AC174" i="10"/>
  <c r="AD174" i="10" s="1"/>
  <c r="AC178" i="10"/>
  <c r="AD178" i="10" s="1"/>
  <c r="AC182" i="10"/>
  <c r="AD182" i="10" s="1"/>
  <c r="AC187" i="10"/>
  <c r="AD187" i="10" s="1"/>
  <c r="AC191" i="10"/>
  <c r="AD191" i="10" s="1"/>
  <c r="AC196" i="10"/>
  <c r="AD196" i="10" s="1"/>
  <c r="AC200" i="10"/>
  <c r="AD200" i="10" s="1"/>
  <c r="AC205" i="10"/>
  <c r="AD205" i="10" s="1"/>
  <c r="AC209" i="10"/>
  <c r="AD209" i="10" s="1"/>
  <c r="AC171" i="10"/>
  <c r="AC181" i="10"/>
  <c r="AD181" i="10" s="1"/>
  <c r="AC198" i="10"/>
  <c r="AD198" i="10" s="1"/>
  <c r="AC207" i="10"/>
  <c r="AD207" i="10" s="1"/>
  <c r="AC173" i="10"/>
  <c r="AD173" i="10" s="1"/>
  <c r="AC190" i="10"/>
  <c r="AD190" i="10" s="1"/>
  <c r="AC194" i="10"/>
  <c r="AD194" i="10" s="1"/>
  <c r="AC203" i="10"/>
  <c r="AD203" i="10" s="1"/>
  <c r="AC185" i="10"/>
  <c r="AD185" i="10" s="1"/>
  <c r="AC195" i="10"/>
  <c r="AD195" i="10" s="1"/>
  <c r="AC177" i="10"/>
  <c r="AD177" i="10" s="1"/>
  <c r="AC208" i="10"/>
  <c r="AD208" i="10" s="1"/>
  <c r="AC172" i="10"/>
  <c r="AD172" i="10" s="1"/>
  <c r="AC199" i="10"/>
  <c r="AD199" i="10" s="1"/>
  <c r="AC204" i="10"/>
  <c r="AD204" i="10" s="1"/>
  <c r="AC202" i="10"/>
  <c r="AD202" i="10" s="1"/>
  <c r="AC193" i="10"/>
  <c r="AD193" i="10" s="1"/>
  <c r="AD647" i="10"/>
  <c r="AD687" i="10" s="1"/>
  <c r="AC687" i="10"/>
  <c r="AD913" i="10"/>
  <c r="AD953" i="10" s="1"/>
  <c r="AC953" i="10"/>
  <c r="AD860" i="10"/>
  <c r="AD900" i="10" s="1"/>
  <c r="AC900" i="10"/>
  <c r="AC764" i="10"/>
  <c r="AD764" i="10" s="1"/>
  <c r="AC765" i="10"/>
  <c r="AD765" i="10" s="1"/>
  <c r="AC766" i="10"/>
  <c r="AD766" i="10" s="1"/>
  <c r="AC767" i="10"/>
  <c r="AD767" i="10" s="1"/>
  <c r="AC784" i="10"/>
  <c r="AD784" i="10" s="1"/>
  <c r="AC785" i="10"/>
  <c r="AD785" i="10" s="1"/>
  <c r="AC760" i="10"/>
  <c r="AD760" i="10" s="1"/>
  <c r="AC761" i="10"/>
  <c r="AD761" i="10" s="1"/>
  <c r="AC762" i="10"/>
  <c r="AD762" i="10" s="1"/>
  <c r="AC763" i="10"/>
  <c r="AD763" i="10" s="1"/>
  <c r="AC778" i="10"/>
  <c r="AD778" i="10" s="1"/>
  <c r="AC779" i="10"/>
  <c r="AD779" i="10" s="1"/>
  <c r="AC780" i="10"/>
  <c r="AD780" i="10" s="1"/>
  <c r="AC781" i="10"/>
  <c r="AD781" i="10" s="1"/>
  <c r="AC754" i="10"/>
  <c r="AD754" i="10" s="1"/>
  <c r="AC770" i="10"/>
  <c r="AD770" i="10" s="1"/>
  <c r="AC772" i="10"/>
  <c r="AD772" i="10" s="1"/>
  <c r="AC787" i="10"/>
  <c r="AD787" i="10" s="1"/>
  <c r="AC789" i="10"/>
  <c r="AD789" i="10" s="1"/>
  <c r="AC757" i="10"/>
  <c r="AD757" i="10" s="1"/>
  <c r="AC759" i="10"/>
  <c r="AD759" i="10" s="1"/>
  <c r="AC773" i="10"/>
  <c r="AD773" i="10" s="1"/>
  <c r="AC776" i="10"/>
  <c r="AD776" i="10" s="1"/>
  <c r="AC792" i="10"/>
  <c r="AD792" i="10" s="1"/>
  <c r="AC756" i="10"/>
  <c r="AD756" i="10" s="1"/>
  <c r="AC775" i="10"/>
  <c r="AD775" i="10" s="1"/>
  <c r="AC771" i="10"/>
  <c r="AD771" i="10" s="1"/>
  <c r="AC790" i="10"/>
  <c r="AD790" i="10" s="1"/>
  <c r="AC753" i="10"/>
  <c r="AC758" i="10"/>
  <c r="AD758" i="10" s="1"/>
  <c r="AC777" i="10"/>
  <c r="AD777" i="10" s="1"/>
  <c r="AC788" i="10"/>
  <c r="AD788" i="10" s="1"/>
  <c r="AC791" i="10"/>
  <c r="AD791" i="10" s="1"/>
  <c r="AC755" i="10"/>
  <c r="AD755" i="10" s="1"/>
  <c r="AC769" i="10"/>
  <c r="AD769" i="10" s="1"/>
  <c r="AC786" i="10"/>
  <c r="AD786" i="10" s="1"/>
  <c r="AC782" i="10"/>
  <c r="AD782" i="10" s="1"/>
  <c r="AC1073" i="10"/>
  <c r="AD1073" i="10" s="1"/>
  <c r="AC1080" i="10"/>
  <c r="AD1080" i="10" s="1"/>
  <c r="AC1081" i="10"/>
  <c r="AD1081" i="10" s="1"/>
  <c r="AC1089" i="10"/>
  <c r="AD1089" i="10" s="1"/>
  <c r="AC1090" i="10"/>
  <c r="AD1090" i="10" s="1"/>
  <c r="AC1098" i="10"/>
  <c r="AD1098" i="10" s="1"/>
  <c r="AC1099" i="10"/>
  <c r="AD1099" i="10" s="1"/>
  <c r="AC1107" i="10"/>
  <c r="AD1107" i="10" s="1"/>
  <c r="AC1108" i="10"/>
  <c r="AD1108" i="10" s="1"/>
  <c r="AC1074" i="10"/>
  <c r="AD1074" i="10" s="1"/>
  <c r="AC1075" i="10"/>
  <c r="AD1075" i="10" s="1"/>
  <c r="AC1082" i="10"/>
  <c r="AD1082" i="10" s="1"/>
  <c r="AC1083" i="10"/>
  <c r="AD1083" i="10" s="1"/>
  <c r="AC1091" i="10"/>
  <c r="AD1091" i="10" s="1"/>
  <c r="AC1092" i="10"/>
  <c r="AD1092" i="10" s="1"/>
  <c r="AC1100" i="10"/>
  <c r="AD1100" i="10" s="1"/>
  <c r="AC1101" i="10"/>
  <c r="AD1101" i="10" s="1"/>
  <c r="AC1109" i="10"/>
  <c r="AD1109" i="10" s="1"/>
  <c r="AC1110" i="10"/>
  <c r="AD1110" i="10" s="1"/>
  <c r="AC1078" i="10"/>
  <c r="AD1078" i="10" s="1"/>
  <c r="AC1096" i="10"/>
  <c r="AD1096" i="10" s="1"/>
  <c r="AC1106" i="10"/>
  <c r="AD1106" i="10" s="1"/>
  <c r="AC1095" i="10"/>
  <c r="AD1095" i="10" s="1"/>
  <c r="AC1077" i="10"/>
  <c r="AD1077" i="10" s="1"/>
  <c r="AC1084" i="10"/>
  <c r="AD1084" i="10" s="1"/>
  <c r="AC1079" i="10"/>
  <c r="AD1079" i="10" s="1"/>
  <c r="AC1086" i="10"/>
  <c r="AD1086" i="10" s="1"/>
  <c r="AC1076" i="10"/>
  <c r="AD1076" i="10" s="1"/>
  <c r="AC1104" i="10"/>
  <c r="AD1104" i="10" s="1"/>
  <c r="AC1111" i="10"/>
  <c r="AD1111" i="10" s="1"/>
  <c r="AC1097" i="10"/>
  <c r="AD1097" i="10" s="1"/>
  <c r="AC1105" i="10"/>
  <c r="AD1105" i="10" s="1"/>
  <c r="AC1085" i="10"/>
  <c r="AD1085" i="10" s="1"/>
  <c r="AC1094" i="10"/>
  <c r="AD1094" i="10" s="1"/>
  <c r="AC1088" i="10"/>
  <c r="AD1088" i="10" s="1"/>
  <c r="AC1103" i="10"/>
  <c r="AD1103" i="10" s="1"/>
  <c r="AC1072" i="10"/>
  <c r="AD435" i="10"/>
  <c r="AD475" i="10" s="1"/>
  <c r="AC475" i="10"/>
  <c r="AH634" i="10" l="1"/>
  <c r="AH211" i="10"/>
  <c r="Z1118" i="8"/>
  <c r="AD1118" i="8" s="1"/>
  <c r="AD1112" i="8" s="1"/>
  <c r="AD1119" i="8" s="1"/>
  <c r="AN819" i="8"/>
  <c r="AN816" i="8"/>
  <c r="AN985" i="8"/>
  <c r="AN988" i="8"/>
  <c r="AN1041" i="8"/>
  <c r="AN1044" i="8"/>
  <c r="AN763" i="8"/>
  <c r="AN760" i="8"/>
  <c r="AN931" i="8"/>
  <c r="AN928" i="8"/>
  <c r="AH900" i="10"/>
  <c r="AH1112" i="10"/>
  <c r="AH51" i="10"/>
  <c r="AH317" i="10"/>
  <c r="AF317" i="10"/>
  <c r="AF423" i="10"/>
  <c r="AH423" i="10"/>
  <c r="AH370" i="10"/>
  <c r="AF370" i="10"/>
  <c r="AD1430" i="10"/>
  <c r="AC1430" i="10"/>
  <c r="AC1006" i="10"/>
  <c r="AD1006" i="10"/>
  <c r="AH1059" i="10"/>
  <c r="AC740" i="10"/>
  <c r="AD740" i="10"/>
  <c r="AC317" i="10"/>
  <c r="AD317" i="10"/>
  <c r="AC634" i="10"/>
  <c r="AD634" i="10"/>
  <c r="AH953" i="10"/>
  <c r="AF1006" i="10"/>
  <c r="AF528" i="10"/>
  <c r="AF1059" i="10"/>
  <c r="AF1112" i="10"/>
  <c r="AD753" i="10"/>
  <c r="AD793" i="10" s="1"/>
  <c r="AC793" i="10"/>
  <c r="AD1495" i="10"/>
  <c r="AD1535" i="10" s="1"/>
  <c r="AC1535" i="10"/>
  <c r="AD11" i="10"/>
  <c r="AD51" i="10" s="1"/>
  <c r="AC51" i="10"/>
  <c r="AD171" i="10"/>
  <c r="AD211" i="10" s="1"/>
  <c r="AC211" i="10"/>
  <c r="AD1072" i="10"/>
  <c r="AD1112" i="10" s="1"/>
  <c r="AC1112" i="10"/>
  <c r="AN933" i="8" l="1"/>
  <c r="AN935" i="8" s="1"/>
  <c r="AN765" i="8"/>
  <c r="AN767" i="8" s="1"/>
  <c r="AH1290" i="10" s="1"/>
  <c r="AN1046" i="8"/>
  <c r="AN1048" i="8" s="1"/>
  <c r="AH543" i="10" s="1"/>
  <c r="AN821" i="8"/>
  <c r="AN823" i="8" s="1"/>
  <c r="AN1100" i="8"/>
  <c r="AN1097" i="8"/>
  <c r="AN990" i="8"/>
  <c r="AN992" i="8" s="1"/>
  <c r="AH1363" i="10" l="1"/>
  <c r="AH1354" i="10"/>
  <c r="AH1211" i="10"/>
  <c r="AH1215" i="10"/>
  <c r="AH1184" i="10"/>
  <c r="AH1210" i="10"/>
  <c r="AH1294" i="10"/>
  <c r="AH1310" i="10"/>
  <c r="AH1315" i="10"/>
  <c r="AH568" i="10"/>
  <c r="AH1341" i="10"/>
  <c r="AH1307" i="10"/>
  <c r="AH1300" i="10"/>
  <c r="AH1309" i="10"/>
  <c r="AH1288" i="10"/>
  <c r="AH1304" i="10"/>
  <c r="AH1316" i="10"/>
  <c r="AH1295" i="10"/>
  <c r="AH1306" i="10"/>
  <c r="AH1293" i="10"/>
  <c r="AH1313" i="10"/>
  <c r="AH1296" i="10"/>
  <c r="AH1320" i="10"/>
  <c r="AH1312" i="10"/>
  <c r="AH1291" i="10"/>
  <c r="AH1289" i="10"/>
  <c r="AH1323" i="10"/>
  <c r="AH1322" i="10"/>
  <c r="AH1287" i="10"/>
  <c r="AH1362" i="10"/>
  <c r="AH1284" i="10"/>
  <c r="AH1302" i="10"/>
  <c r="AH1318" i="10"/>
  <c r="AH1317" i="10"/>
  <c r="AH1311" i="10"/>
  <c r="AH1301" i="10"/>
  <c r="AH1286" i="10"/>
  <c r="AH1351" i="10"/>
  <c r="AH1292" i="10"/>
  <c r="AH1356" i="10"/>
  <c r="AH1372" i="10"/>
  <c r="AH1216" i="10"/>
  <c r="AH1364" i="10"/>
  <c r="AH1345" i="10"/>
  <c r="AH579" i="10"/>
  <c r="AH1339" i="10"/>
  <c r="AH1360" i="10"/>
  <c r="AH1355" i="10"/>
  <c r="AH1353" i="10"/>
  <c r="AH1342" i="10"/>
  <c r="AH1338" i="10"/>
  <c r="AH1348" i="10"/>
  <c r="AH1337" i="10"/>
  <c r="AH1366" i="10"/>
  <c r="AH1369" i="10"/>
  <c r="AH1370" i="10"/>
  <c r="AH1365" i="10"/>
  <c r="AH1357" i="10"/>
  <c r="AH1376" i="10"/>
  <c r="AH1361" i="10"/>
  <c r="AH1340" i="10"/>
  <c r="AH1359" i="10"/>
  <c r="AH1374" i="10"/>
  <c r="AH1343" i="10"/>
  <c r="AH1368" i="10"/>
  <c r="AH1346" i="10"/>
  <c r="AH1197" i="10"/>
  <c r="AH572" i="10"/>
  <c r="AH1191" i="10"/>
  <c r="AH1217" i="10"/>
  <c r="AH1194" i="10"/>
  <c r="AH1212" i="10"/>
  <c r="AH563" i="10"/>
  <c r="AH552" i="10"/>
  <c r="AH1180" i="10"/>
  <c r="AH1209" i="10"/>
  <c r="AH1183" i="10"/>
  <c r="AH557" i="10"/>
  <c r="AH1181" i="10"/>
  <c r="AH1201" i="10"/>
  <c r="AH1205" i="10"/>
  <c r="AH1192" i="10"/>
  <c r="AH567" i="10"/>
  <c r="AH541" i="10"/>
  <c r="AH1198" i="10"/>
  <c r="AH1200" i="10"/>
  <c r="AH1206" i="10"/>
  <c r="AH1203" i="10"/>
  <c r="AH1202" i="10"/>
  <c r="AH1204" i="10"/>
  <c r="AH1179" i="10"/>
  <c r="AH546" i="10"/>
  <c r="AH544" i="10"/>
  <c r="AH1207" i="10"/>
  <c r="AH1187" i="10"/>
  <c r="AH1182" i="10"/>
  <c r="AH1186" i="10"/>
  <c r="AH1178" i="10"/>
  <c r="AH1189" i="10"/>
  <c r="AN1102" i="8"/>
  <c r="AN1104" i="8" s="1"/>
  <c r="AH517" i="10"/>
  <c r="AH525" i="10"/>
  <c r="AH490" i="10"/>
  <c r="AH504" i="10"/>
  <c r="AH513" i="10"/>
  <c r="AH500" i="10"/>
  <c r="AH510" i="10"/>
  <c r="AH488" i="10"/>
  <c r="AH516" i="10"/>
  <c r="AH522" i="10"/>
  <c r="AH519" i="10"/>
  <c r="AH523" i="10"/>
  <c r="AH492" i="10"/>
  <c r="AH493" i="10"/>
  <c r="AH489" i="10"/>
  <c r="AH499" i="10"/>
  <c r="AH508" i="10"/>
  <c r="AH498" i="10"/>
  <c r="AH507" i="10"/>
  <c r="AH496" i="10"/>
  <c r="AH494" i="10"/>
  <c r="AH520" i="10"/>
  <c r="AH515" i="10"/>
  <c r="AH497" i="10"/>
  <c r="AH526" i="10"/>
  <c r="AH521" i="10"/>
  <c r="AH527" i="10"/>
  <c r="AH491" i="10"/>
  <c r="AH524" i="10"/>
  <c r="AH514" i="10"/>
  <c r="AH506" i="10"/>
  <c r="AH736" i="10" l="1"/>
  <c r="AH703" i="10"/>
  <c r="AH705" i="10"/>
  <c r="AH719" i="10"/>
  <c r="AH1324" i="10"/>
  <c r="AH1377" i="10"/>
  <c r="AH716" i="10"/>
  <c r="AH720" i="10"/>
  <c r="AH731" i="10"/>
  <c r="AH714" i="10"/>
  <c r="AH700" i="10"/>
  <c r="AH702" i="10"/>
  <c r="AH1218" i="10"/>
  <c r="AH581" i="10"/>
  <c r="AH734" i="10"/>
  <c r="AH706" i="10"/>
  <c r="AH739" i="10"/>
  <c r="AH707" i="10"/>
  <c r="AH701" i="10"/>
  <c r="AH737" i="10"/>
  <c r="AH722" i="10"/>
  <c r="AH725" i="10"/>
  <c r="AH709" i="10"/>
  <c r="AH727" i="10"/>
  <c r="AH732" i="10"/>
  <c r="AH718" i="10"/>
  <c r="AH708" i="10"/>
  <c r="AH728" i="10"/>
  <c r="AH704" i="10"/>
  <c r="AH711" i="10"/>
  <c r="AH726" i="10"/>
  <c r="AH723" i="10"/>
  <c r="AH733" i="10"/>
  <c r="AH713" i="10"/>
  <c r="AH729" i="10"/>
  <c r="AH724" i="10"/>
  <c r="AH528" i="10"/>
  <c r="AH740" i="10" l="1"/>
  <c r="V50" i="13" l="1"/>
  <c r="V908" i="13" l="1"/>
  <c r="C44" i="27" l="1"/>
  <c r="C28" i="35"/>
  <c r="C25" i="35" l="1"/>
  <c r="C27" i="35"/>
  <c r="C29" i="35"/>
  <c r="C26" i="35"/>
  <c r="C24" i="35"/>
  <c r="C36" i="27" l="1"/>
  <c r="V187" i="13" l="1"/>
  <c r="V387" i="13"/>
  <c r="C42" i="27"/>
  <c r="V320" i="13" l="1"/>
  <c r="C34" i="27"/>
  <c r="C41" i="27"/>
  <c r="V584" i="13" l="1"/>
  <c r="C33" i="27"/>
  <c r="V254" i="13" l="1"/>
  <c r="V454" i="13" l="1"/>
  <c r="V844" i="13"/>
  <c r="V649" i="13" l="1"/>
  <c r="V519" i="13" l="1"/>
  <c r="V714" i="13"/>
  <c r="V119" i="13"/>
  <c r="V780" i="13" l="1"/>
  <c r="AG128" i="10" l="1"/>
  <c r="AG123" i="10" l="1"/>
  <c r="AG152" i="10"/>
  <c r="AG144" i="10"/>
  <c r="AG145" i="10"/>
  <c r="AG138" i="10"/>
  <c r="AG146" i="10"/>
  <c r="AG118" i="10"/>
  <c r="AG126" i="10"/>
  <c r="AG142" i="10"/>
  <c r="AG157" i="10"/>
  <c r="AG134" i="10"/>
  <c r="AG147" i="10"/>
  <c r="AG125" i="10"/>
  <c r="AG150" i="10"/>
  <c r="AG120" i="10"/>
  <c r="AG124" i="10"/>
  <c r="AG156" i="10"/>
  <c r="AG143" i="10"/>
  <c r="AG131" i="10"/>
  <c r="AG127" i="10"/>
  <c r="AG151" i="10"/>
  <c r="AG153" i="10"/>
  <c r="AG132" i="10"/>
  <c r="AG130" i="10"/>
  <c r="AG154" i="10"/>
  <c r="AG121" i="10"/>
  <c r="AG129" i="10"/>
  <c r="AG141" i="10"/>
  <c r="AG149" i="10"/>
  <c r="AG119" i="10"/>
  <c r="AG155" i="10"/>
  <c r="AG140" i="10"/>
  <c r="AG136" i="10"/>
  <c r="AG122" i="10"/>
  <c r="AG135" i="10"/>
  <c r="AG137" i="10"/>
  <c r="AG158" i="10" l="1"/>
  <c r="AC138" i="10" l="1"/>
  <c r="AD138" i="10" s="1"/>
  <c r="AC141" i="10"/>
  <c r="AD141" i="10" s="1"/>
  <c r="AC119" i="10"/>
  <c r="AD119" i="10" s="1"/>
  <c r="AC150" i="10"/>
  <c r="AD150" i="10" s="1"/>
  <c r="AC122" i="10"/>
  <c r="AD122" i="10" s="1"/>
  <c r="AC140" i="10"/>
  <c r="AD140" i="10" s="1"/>
  <c r="AC145" i="10"/>
  <c r="AD145" i="10" s="1"/>
  <c r="AC153" i="10"/>
  <c r="AD153" i="10" s="1"/>
  <c r="AC149" i="10"/>
  <c r="AD149" i="10" s="1"/>
  <c r="AC156" i="10"/>
  <c r="AD156" i="10" s="1"/>
  <c r="AC144" i="10"/>
  <c r="AD144" i="10" s="1"/>
  <c r="AC126" i="10"/>
  <c r="AD126" i="10" s="1"/>
  <c r="AC152" i="10"/>
  <c r="AD152" i="10" s="1"/>
  <c r="AC121" i="10"/>
  <c r="AD121" i="10" s="1"/>
  <c r="AC127" i="10"/>
  <c r="AD127" i="10" s="1"/>
  <c r="AC136" i="10"/>
  <c r="AD136" i="10" s="1"/>
  <c r="AC151" i="10"/>
  <c r="AD151" i="10" s="1"/>
  <c r="AC142" i="10"/>
  <c r="AD142" i="10" s="1"/>
  <c r="AC135" i="10"/>
  <c r="AD135" i="10" s="1"/>
  <c r="AC120" i="10"/>
  <c r="AD120" i="10" s="1"/>
  <c r="AC155" i="10"/>
  <c r="AD155" i="10" s="1"/>
  <c r="AC123" i="10"/>
  <c r="AD123" i="10" s="1"/>
  <c r="AC128" i="10"/>
  <c r="AD128" i="10" s="1"/>
  <c r="AC154" i="10"/>
  <c r="AD154" i="10" s="1"/>
  <c r="AC129" i="10"/>
  <c r="AD129" i="10" s="1"/>
  <c r="AC125" i="10"/>
  <c r="AD125" i="10" s="1"/>
  <c r="AC130" i="10"/>
  <c r="AD130" i="10" s="1"/>
  <c r="AC132" i="10"/>
  <c r="AD132" i="10" s="1"/>
  <c r="AC131" i="10"/>
  <c r="AD131" i="10" s="1"/>
  <c r="AC124" i="10"/>
  <c r="AD124" i="10" s="1"/>
  <c r="AC143" i="10"/>
  <c r="AD143" i="10" s="1"/>
  <c r="AC134" i="10"/>
  <c r="AD134" i="10" s="1"/>
  <c r="AC157" i="10"/>
  <c r="AD157" i="10" s="1"/>
  <c r="AC137" i="10"/>
  <c r="AD137" i="10" s="1"/>
  <c r="AN36" i="8"/>
  <c r="AC146" i="10"/>
  <c r="AD146" i="10" s="1"/>
  <c r="AC147" i="10"/>
  <c r="AD147" i="10" s="1"/>
  <c r="AC118" i="10"/>
  <c r="AN37" i="8" l="1"/>
  <c r="AN39" i="8" s="1"/>
  <c r="AD118" i="10"/>
  <c r="AD158" i="10" s="1"/>
  <c r="AC158" i="10"/>
  <c r="AH132" i="10" l="1"/>
  <c r="AH157" i="10"/>
  <c r="AH144" i="10"/>
  <c r="AH120" i="10"/>
  <c r="AH141" i="10"/>
  <c r="AH136" i="10"/>
  <c r="AH121" i="10"/>
  <c r="AH119" i="10"/>
  <c r="AH124" i="10"/>
  <c r="AH122" i="10"/>
  <c r="AH138" i="10"/>
  <c r="AH155" i="10"/>
  <c r="AH135" i="10"/>
  <c r="AH130" i="10"/>
  <c r="AH128" i="10"/>
  <c r="AH153" i="10"/>
  <c r="AH123" i="10"/>
  <c r="AH154" i="10"/>
  <c r="AH152" i="10"/>
  <c r="AH143" i="10"/>
  <c r="AH140" i="10"/>
  <c r="AH134" i="10"/>
  <c r="AH129" i="10"/>
  <c r="AH142" i="10"/>
  <c r="AH151" i="10"/>
  <c r="AH127" i="10"/>
  <c r="AH137" i="10"/>
  <c r="AH145" i="10"/>
  <c r="AH146" i="10"/>
  <c r="AH156" i="10"/>
  <c r="AH126" i="10"/>
  <c r="AH125" i="10"/>
  <c r="AH147" i="10"/>
  <c r="AH149" i="10"/>
  <c r="AH150" i="10"/>
  <c r="AH131" i="10"/>
  <c r="AH118" i="10"/>
  <c r="AH158" i="10" l="1"/>
  <c r="G27" i="29" l="1"/>
  <c r="G24" i="29"/>
  <c r="G25" i="29"/>
  <c r="G28" i="29"/>
  <c r="G26" i="29"/>
  <c r="G34" i="29" l="1"/>
  <c r="G31" i="29"/>
  <c r="G30" i="29"/>
  <c r="G33" i="29"/>
  <c r="G32" i="29"/>
  <c r="AN527" i="8" l="1"/>
  <c r="AN533" i="8"/>
  <c r="AN539" i="8" s="1"/>
  <c r="AN536" i="8" l="1"/>
  <c r="AN541" i="8" s="1"/>
  <c r="AN543" i="8" s="1"/>
  <c r="AH1160" i="10" s="1"/>
  <c r="AH1151" i="10" l="1"/>
  <c r="AH1125" i="10"/>
  <c r="AH1128" i="10"/>
  <c r="AH1144" i="10"/>
  <c r="AH1164" i="10"/>
  <c r="AH1143" i="10"/>
  <c r="AH1133" i="10"/>
  <c r="AH1127" i="10"/>
  <c r="AH1150" i="10"/>
  <c r="AH1152" i="10"/>
  <c r="AH1163" i="10"/>
  <c r="AH1149" i="10"/>
  <c r="AH1147" i="10"/>
  <c r="AH1157" i="10"/>
  <c r="AH1126" i="10"/>
  <c r="AH1142" i="10"/>
  <c r="AH1138" i="10"/>
  <c r="AH1132" i="10"/>
  <c r="AH1130" i="10"/>
  <c r="AH1141" i="10"/>
  <c r="AH1148" i="10"/>
  <c r="AH1145" i="10"/>
  <c r="AH1129" i="10"/>
  <c r="AH1153" i="10"/>
  <c r="AH1159" i="10"/>
  <c r="AH1131" i="10"/>
  <c r="AH1158" i="10"/>
  <c r="AH1165" i="10" l="1"/>
  <c r="C43" i="27" l="1"/>
  <c r="C35" i="27" l="1"/>
</calcChain>
</file>

<file path=xl/comments1.xml><?xml version="1.0" encoding="utf-8"?>
<comments xmlns="http://schemas.openxmlformats.org/spreadsheetml/2006/main">
  <authors>
    <author>Toshiba-User</author>
  </authors>
  <commentList>
    <comment ref="G18" authorId="0" shapeId="0">
      <text>
        <r>
          <rPr>
            <b/>
            <sz val="9"/>
            <color indexed="81"/>
            <rFont val="Tahoma"/>
            <family val="2"/>
          </rPr>
          <t>Toshiba-User
Ajustar el valor actual más incremento del IPC del 2022</t>
        </r>
      </text>
    </comment>
  </commentList>
</comments>
</file>

<file path=xl/comments2.xml><?xml version="1.0" encoding="utf-8"?>
<comments xmlns="http://schemas.openxmlformats.org/spreadsheetml/2006/main">
  <authors>
    <author>salas</author>
  </authors>
  <commentList>
    <comment ref="AL467" authorId="0" shapeId="0">
      <text>
        <r>
          <rPr>
            <b/>
            <sz val="9"/>
            <color indexed="81"/>
            <rFont val="Tahoma"/>
            <family val="2"/>
          </rPr>
          <t>salas:</t>
        </r>
        <r>
          <rPr>
            <sz val="9"/>
            <color indexed="81"/>
            <rFont val="Tahoma"/>
            <family val="2"/>
          </rPr>
          <t xml:space="preserve">
hay de dos clases no se cual</t>
        </r>
      </text>
    </comment>
  </commentList>
</comments>
</file>

<file path=xl/sharedStrings.xml><?xml version="1.0" encoding="utf-8"?>
<sst xmlns="http://schemas.openxmlformats.org/spreadsheetml/2006/main" count="22635" uniqueCount="2040">
  <si>
    <t xml:space="preserve">                     Federación Nal. De Cacaoteros Huila / Comité Departamental de Cafeteros del Huila</t>
  </si>
  <si>
    <t xml:space="preserve">  PLATANO  SOLO</t>
  </si>
  <si>
    <t xml:space="preserve">  PLATANO  INTERCALADO</t>
  </si>
  <si>
    <t>VARIACION</t>
  </si>
  <si>
    <t>ABSOLUTA  ($)</t>
  </si>
  <si>
    <t>RELATIVA  (%)</t>
  </si>
  <si>
    <t>EQUIVALENCIAS: 16 Huevos = 1 Kg,     1 Lt = 1 Kg</t>
  </si>
  <si>
    <t xml:space="preserve">TILAPIA </t>
  </si>
  <si>
    <t>TOTAL AGRP</t>
  </si>
  <si>
    <t>Costos de Produccion ($/Ha)</t>
  </si>
  <si>
    <t>Precio Pagado al Productor ($/Ton)</t>
  </si>
  <si>
    <t xml:space="preserve">TABACO RUBIO </t>
  </si>
  <si>
    <t xml:space="preserve">TOMATE DE MESA </t>
  </si>
  <si>
    <t>ACHIRA</t>
  </si>
  <si>
    <t>ARRACACHA</t>
  </si>
  <si>
    <t>YUCA</t>
  </si>
  <si>
    <t>CACAO</t>
  </si>
  <si>
    <t>Costos de  Establecimiento  ($/Ha)</t>
  </si>
  <si>
    <t>Costos de  Sostenimiento  ($/Ha)</t>
  </si>
  <si>
    <t>CAÑA PANELERA</t>
  </si>
  <si>
    <t>CULTIVOS FORRAJEROS</t>
  </si>
  <si>
    <t>PRODUCCIÓN DE LECHE POR TIPO DE EXPLOTACIÓN</t>
  </si>
  <si>
    <t>LECHERIA ESPECIALIZADA</t>
  </si>
  <si>
    <t>LECHERIA TRADICIONAL</t>
  </si>
  <si>
    <t>No. De Cabezas</t>
  </si>
  <si>
    <t>Sacrificadas</t>
  </si>
  <si>
    <t>MERCADO URBANO</t>
  </si>
  <si>
    <t>REGIONAL</t>
  </si>
  <si>
    <t>INDUSTRIA</t>
  </si>
  <si>
    <t>OTRO</t>
  </si>
  <si>
    <t>DESTINO DE LA PRODUCCIÓN %</t>
  </si>
  <si>
    <t xml:space="preserve">Neiva </t>
  </si>
  <si>
    <t xml:space="preserve">Aipe </t>
  </si>
  <si>
    <t xml:space="preserve">Algeciras </t>
  </si>
  <si>
    <t xml:space="preserve">Baraya </t>
  </si>
  <si>
    <t xml:space="preserve">Campoalegre </t>
  </si>
  <si>
    <t xml:space="preserve">Colombia </t>
  </si>
  <si>
    <t xml:space="preserve">Iquira </t>
  </si>
  <si>
    <t xml:space="preserve">Rivera </t>
  </si>
  <si>
    <t xml:space="preserve">Santa Maria </t>
  </si>
  <si>
    <t xml:space="preserve">Teruel </t>
  </si>
  <si>
    <t xml:space="preserve">Villavieja </t>
  </si>
  <si>
    <t xml:space="preserve">La Plata </t>
  </si>
  <si>
    <t xml:space="preserve">La Argentina </t>
  </si>
  <si>
    <t xml:space="preserve">Nátaga </t>
  </si>
  <si>
    <t xml:space="preserve">Paicol </t>
  </si>
  <si>
    <t xml:space="preserve">Garzón </t>
  </si>
  <si>
    <t xml:space="preserve">Agrado </t>
  </si>
  <si>
    <t xml:space="preserve">Altamira </t>
  </si>
  <si>
    <t xml:space="preserve">Gigante </t>
  </si>
  <si>
    <t xml:space="preserve">Guadalupe </t>
  </si>
  <si>
    <t xml:space="preserve">Pital </t>
  </si>
  <si>
    <t xml:space="preserve">Suaza </t>
  </si>
  <si>
    <t xml:space="preserve">Tarqui </t>
  </si>
  <si>
    <t xml:space="preserve">Acevedo </t>
  </si>
  <si>
    <t xml:space="preserve">Elias </t>
  </si>
  <si>
    <t xml:space="preserve">Isnos </t>
  </si>
  <si>
    <t xml:space="preserve">Oporapa </t>
  </si>
  <si>
    <t xml:space="preserve">Palestina </t>
  </si>
  <si>
    <t xml:space="preserve">Saladoblanco </t>
  </si>
  <si>
    <t xml:space="preserve">San Agustín </t>
  </si>
  <si>
    <t xml:space="preserve">Timaná </t>
  </si>
  <si>
    <t>PLATANO INTERCALADO</t>
  </si>
  <si>
    <t>PLATANO SOLO</t>
  </si>
  <si>
    <t>CAFÉ</t>
  </si>
  <si>
    <r>
      <t xml:space="preserve">Costos de  Establecimiento  ($/Ha) </t>
    </r>
    <r>
      <rPr>
        <b/>
        <sz val="12"/>
        <rFont val="Arial"/>
        <family val="2"/>
      </rPr>
      <t>&amp;</t>
    </r>
  </si>
  <si>
    <r>
      <t xml:space="preserve">Costos de  Sostenimiento  ($/Ha) </t>
    </r>
    <r>
      <rPr>
        <b/>
        <sz val="12"/>
        <rFont val="Arial"/>
        <family val="2"/>
      </rPr>
      <t>¢</t>
    </r>
  </si>
  <si>
    <t>Percio Productor ($/Ton)</t>
  </si>
  <si>
    <t>Precio Productor ($/Ton) Especial</t>
  </si>
  <si>
    <t>Café Especial **</t>
  </si>
  <si>
    <t xml:space="preserve">  GRANADILLA</t>
  </si>
  <si>
    <t xml:space="preserve">  LULO</t>
  </si>
  <si>
    <t xml:space="preserve">  MARACUYA</t>
  </si>
  <si>
    <t xml:space="preserve">  MORA</t>
  </si>
  <si>
    <t xml:space="preserve">  TOMATE DE ARBOL</t>
  </si>
  <si>
    <t xml:space="preserve">  UVA</t>
  </si>
  <si>
    <t>PRECIO</t>
  </si>
  <si>
    <t>PRODUCCION (TON)</t>
  </si>
  <si>
    <t>VALORACION DE LA PRODUCCION</t>
  </si>
  <si>
    <t>PAGADO</t>
  </si>
  <si>
    <t>VAR. %</t>
  </si>
  <si>
    <t>Fríjol Tecnificado</t>
  </si>
  <si>
    <t xml:space="preserve">Caña (Panela) </t>
  </si>
  <si>
    <t>Caña M.Veg</t>
  </si>
  <si>
    <t>CAÑA</t>
  </si>
  <si>
    <t xml:space="preserve">     producciçon (Ton) M.Veg (Otros usos)</t>
  </si>
  <si>
    <t>Caña Material Vegetal otros usos</t>
  </si>
  <si>
    <t xml:space="preserve">Fíjol Tradicional </t>
  </si>
  <si>
    <t xml:space="preserve">SUBTOTAL TRANS. BASICOS  </t>
  </si>
  <si>
    <t xml:space="preserve">Hortalizas ( Varias )  </t>
  </si>
  <si>
    <t>Cebolla Cabezona</t>
  </si>
  <si>
    <t>Pepino Cohombro</t>
  </si>
  <si>
    <t>Tomate de Mesa</t>
  </si>
  <si>
    <t xml:space="preserve">SUBTOTAL  TRANS. HORTALIZAS  </t>
  </si>
  <si>
    <r>
      <t xml:space="preserve">Achira  </t>
    </r>
    <r>
      <rPr>
        <b/>
        <sz val="12"/>
        <rFont val="Arial"/>
        <family val="2"/>
      </rPr>
      <t>(+)</t>
    </r>
  </si>
  <si>
    <r>
      <t xml:space="preserve">Cebolla Junca  </t>
    </r>
    <r>
      <rPr>
        <b/>
        <sz val="12"/>
        <rFont val="Arial"/>
        <family val="2"/>
      </rPr>
      <t>(+)</t>
    </r>
  </si>
  <si>
    <t>PARTICIPACION POR RUBROS DE CULTIVOS EN EL VOLÚMEN (Ton) Y VALOR DE LA PRODUCCIÓN ($ millones)</t>
  </si>
  <si>
    <r>
      <t xml:space="preserve">Plátano  </t>
    </r>
    <r>
      <rPr>
        <b/>
        <sz val="12"/>
        <rFont val="Arial"/>
        <family val="2"/>
      </rPr>
      <t>(**)</t>
    </r>
  </si>
  <si>
    <t xml:space="preserve">SUBTOTAL PREM. Y ANUAL BASICOS  </t>
  </si>
  <si>
    <t>Tomate de Árbol</t>
  </si>
  <si>
    <t xml:space="preserve">SUBTOTAL PERM. FRUTALES   </t>
  </si>
  <si>
    <t>GRAN  TOTAL PERM. SEMIP. Y ANUAL.</t>
  </si>
  <si>
    <t>VALORACIÓN DE LA</t>
  </si>
  <si>
    <t>PARTICIPACIÓN EN EL</t>
  </si>
  <si>
    <t>VALOR DE LA PRODUCCIÓN</t>
  </si>
  <si>
    <t xml:space="preserve">SUBTOTAL PREMAN. BASICOS  </t>
  </si>
  <si>
    <t>TOTAL TRANSITORIOS</t>
  </si>
  <si>
    <t>TOTAL PERMANENTES</t>
  </si>
  <si>
    <t>TOTAL AGRICOLA</t>
  </si>
  <si>
    <t>RENGLON</t>
  </si>
  <si>
    <t>PECUARIO</t>
  </si>
  <si>
    <t>BOVINOS</t>
  </si>
  <si>
    <t>CARNE:  Peso Total el Pie  (Ton)</t>
  </si>
  <si>
    <t>LECHE: Total Litros</t>
  </si>
  <si>
    <t>CARNE:  Peso Total en Pie (Ton)</t>
  </si>
  <si>
    <t>AVICULTURA</t>
  </si>
  <si>
    <t>CARNE:  Peso Total al Deguello (Ton)</t>
  </si>
  <si>
    <t>HUEVOS:  Unidades</t>
  </si>
  <si>
    <t>MIEL: Peso Total (Ton)</t>
  </si>
  <si>
    <t>PISCÍCOLA</t>
  </si>
  <si>
    <t>Peso Total Cosecha (Ton)</t>
  </si>
  <si>
    <t>TOTAL PISCÍCOLA</t>
  </si>
  <si>
    <t>TOTAL CARNES  (Ton)</t>
  </si>
  <si>
    <t>TOTAL MIEL (Ton)</t>
  </si>
  <si>
    <t>TOTAL LECHE (Lts)</t>
  </si>
  <si>
    <t>TOTAL HUEVOS (Und)</t>
  </si>
  <si>
    <t xml:space="preserve">                    CADENA PRODUCTIVA PISCÍCOLA</t>
  </si>
  <si>
    <t xml:space="preserve"> SECRETARIA DE AGRICULTURA Y MINERIA</t>
  </si>
  <si>
    <t xml:space="preserve">PRODUCCION </t>
  </si>
  <si>
    <t>TOTAL PECUARIO</t>
  </si>
  <si>
    <t>CACHAMA (Ton)</t>
  </si>
  <si>
    <t>CARPA  (Ton)</t>
  </si>
  <si>
    <t>TRUCHA  (Ton)</t>
  </si>
  <si>
    <t>TOTAL  PISCÍCOLA</t>
  </si>
  <si>
    <t>TOTAL CARNES   (Ton)</t>
  </si>
  <si>
    <t>TOTAL  PECUARIO Y PISCÍCOLA</t>
  </si>
  <si>
    <t xml:space="preserve">SUBTOTAL BOVINOS  </t>
  </si>
  <si>
    <t xml:space="preserve">SUBTOTAL  PORCINOS  </t>
  </si>
  <si>
    <t xml:space="preserve">SUBTOTAL AVICULTURA  </t>
  </si>
  <si>
    <t xml:space="preserve">SUBTOTAL APICULTURA   </t>
  </si>
  <si>
    <t>TOTAL PECUARIO Y PISCÍCOLA</t>
  </si>
  <si>
    <t>PASTO DE CORTE</t>
  </si>
  <si>
    <t>PRADERA TRADICIONAL</t>
  </si>
  <si>
    <t>PRADERA MEJORADA</t>
  </si>
  <si>
    <t xml:space="preserve">  TABLA  14 RESUMEN DEL CRECIMIENTO  AGROPECUARIO Y PISCÍCOLA</t>
  </si>
  <si>
    <t>Combustible</t>
  </si>
  <si>
    <t>Gasolina</t>
  </si>
  <si>
    <t>Gln</t>
  </si>
  <si>
    <t>Aceites y lubricantes</t>
  </si>
  <si>
    <t>Encallado</t>
  </si>
  <si>
    <r>
      <t xml:space="preserve">3. </t>
    </r>
    <r>
      <rPr>
        <b/>
        <sz val="10"/>
        <rFont val="Arial"/>
        <family val="2"/>
      </rPr>
      <t>OTROS COSTOS</t>
    </r>
  </si>
  <si>
    <t>Desojes</t>
  </si>
  <si>
    <r>
      <t xml:space="preserve">TOTAL COSTOS POR Ha </t>
    </r>
    <r>
      <rPr>
        <sz val="10"/>
        <rFont val="Arial"/>
        <family val="2"/>
      </rPr>
      <t>(labores insumos y otros)</t>
    </r>
  </si>
  <si>
    <t xml:space="preserve">                Base Costos de FEDEPANELA</t>
  </si>
  <si>
    <t>Alce</t>
  </si>
  <si>
    <t>Transporte Insumos y varios</t>
  </si>
  <si>
    <t>Formicidas 1</t>
  </si>
  <si>
    <t>Formicidas 2</t>
  </si>
  <si>
    <t>Ata-kill</t>
  </si>
  <si>
    <t>Oxicl cobre</t>
  </si>
  <si>
    <t>Preparación terreno</t>
  </si>
  <si>
    <t>Ahoyado Cacao</t>
  </si>
  <si>
    <t>Desinfección colinos</t>
  </si>
  <si>
    <t>Desinfectante de colinos</t>
  </si>
  <si>
    <t>Ahoyada plátano</t>
  </si>
  <si>
    <t>Pasta cicatrizante</t>
  </si>
  <si>
    <t>Arboles maderables</t>
  </si>
  <si>
    <t>Herramientas varias</t>
  </si>
  <si>
    <t>Mantenimiento canales riego</t>
  </si>
  <si>
    <t>Instalación Riego</t>
  </si>
  <si>
    <t>Siembra Plátano</t>
  </si>
  <si>
    <t>Siembra Cacao</t>
  </si>
  <si>
    <t>Siembra Sombrio Defin</t>
  </si>
  <si>
    <t>Resiembra(cacao y plátano)</t>
  </si>
  <si>
    <t>Arrendamiento (Costo Oportunidad de la tierra)</t>
  </si>
  <si>
    <t>Arreglo sombrio plátano</t>
  </si>
  <si>
    <t>Control fitosanitario plátano</t>
  </si>
  <si>
    <t>Control fitosanitario cacao</t>
  </si>
  <si>
    <t>control fitosanitario maderables</t>
  </si>
  <si>
    <t>Arreglos sombrio maderable</t>
  </si>
  <si>
    <t>Control de Malezas y plateo</t>
  </si>
  <si>
    <t>Podas cacao</t>
  </si>
  <si>
    <t>NOTA: El sistema de  riego contemplado es por gravedad</t>
  </si>
  <si>
    <t>Transporte materiales e insumos</t>
  </si>
  <si>
    <t>Omite</t>
  </si>
  <si>
    <t xml:space="preserve">Nutrifoliar </t>
  </si>
  <si>
    <t>Gesagard</t>
  </si>
  <si>
    <t xml:space="preserve">Alambre </t>
  </si>
  <si>
    <t>orthocide</t>
  </si>
  <si>
    <t>Postes de Madera</t>
  </si>
  <si>
    <t>SUB SECTORES</t>
  </si>
  <si>
    <t>AREA (Hás)</t>
  </si>
  <si>
    <t>A. COSECHADA</t>
  </si>
  <si>
    <t>RENOVADAS</t>
  </si>
  <si>
    <t>TOTAL AGRÍCOLA</t>
  </si>
  <si>
    <t>ANEXO</t>
  </si>
  <si>
    <t>TRANSITORIOS</t>
  </si>
  <si>
    <t>Cultivo</t>
  </si>
  <si>
    <t>Precio Pagado</t>
  </si>
  <si>
    <t>Caña Panela</t>
  </si>
  <si>
    <t>Fríjol</t>
  </si>
  <si>
    <t>Maíz Tecnificado</t>
  </si>
  <si>
    <t>Carne Bovina</t>
  </si>
  <si>
    <t>Leche Bovina</t>
  </si>
  <si>
    <t>Carne Porcina</t>
  </si>
  <si>
    <t>Carne Avícola</t>
  </si>
  <si>
    <t>Huevos Avícola</t>
  </si>
  <si>
    <t xml:space="preserve">Tilapia  </t>
  </si>
  <si>
    <t>Cachama</t>
  </si>
  <si>
    <t>Carpa</t>
  </si>
  <si>
    <t>Trucha</t>
  </si>
  <si>
    <t>Maíz Tradicional</t>
  </si>
  <si>
    <t>Guayaba Manza</t>
  </si>
  <si>
    <t>Plátano</t>
  </si>
  <si>
    <t xml:space="preserve"> JORNALES REQUERIDOS PARA LA PRODUCCIÓN   AGRÍCOLA</t>
  </si>
  <si>
    <t>JORNALES /Ha</t>
  </si>
  <si>
    <t>AREAS (Has)</t>
  </si>
  <si>
    <t>JORNALES AÑO</t>
  </si>
  <si>
    <t>ESTABLE-</t>
  </si>
  <si>
    <t>SOSTENI-</t>
  </si>
  <si>
    <t>JORNALES / AÑO</t>
  </si>
  <si>
    <t>CIMIENTO</t>
  </si>
  <si>
    <t>P y SP</t>
  </si>
  <si>
    <t>*</t>
  </si>
  <si>
    <t>ANUALES</t>
  </si>
  <si>
    <t xml:space="preserve">ACHIRA </t>
  </si>
  <si>
    <t>FRÍJOL TECNIFICADO</t>
  </si>
  <si>
    <t>MAÍZ TECNIFICADO</t>
  </si>
  <si>
    <t>MAÍZ TRADICIONAL</t>
  </si>
  <si>
    <t>SEMI Y PERMANENTES</t>
  </si>
  <si>
    <t>PLÁTANO INTERCALADO</t>
  </si>
  <si>
    <t>PLÁTANO SOLO</t>
  </si>
  <si>
    <t xml:space="preserve">CHOLUPA </t>
  </si>
  <si>
    <t>TOMATE DE ARBOL</t>
  </si>
  <si>
    <t>GRAN TOTAL</t>
  </si>
  <si>
    <r>
      <t xml:space="preserve">y  SOSTENIMIENTO </t>
    </r>
    <r>
      <rPr>
        <b/>
        <sz val="10"/>
        <rFont val="Arial"/>
        <family val="2"/>
      </rPr>
      <t>*</t>
    </r>
  </si>
  <si>
    <t>JORNALES</t>
  </si>
  <si>
    <t>AÑO</t>
  </si>
  <si>
    <t>TRANSITORIOS - HORTALIZAS</t>
  </si>
  <si>
    <t>SEMI y PERMANENTES-BÁSICOS</t>
  </si>
  <si>
    <t xml:space="preserve">Carne (Ton) </t>
  </si>
  <si>
    <t>Carne (Ton)</t>
  </si>
  <si>
    <t>Miel (Ton)</t>
  </si>
  <si>
    <t>TILAPIA ROJA</t>
  </si>
  <si>
    <t>TILAPIA PLATEADA</t>
  </si>
  <si>
    <t xml:space="preserve">  RESUMEN DEL VALOR BRUTO DE LA PRODUCCIÓN AGROPECUARIA Y PISCÍCOLA</t>
  </si>
  <si>
    <t>SUB SECTOR</t>
  </si>
  <si>
    <t>TOTAL SUB SECTOR AGRÍCOLA</t>
  </si>
  <si>
    <t>AGRÍCOLA</t>
  </si>
  <si>
    <t>Huevos (Ton)</t>
  </si>
  <si>
    <t>Leche (Ton)</t>
  </si>
  <si>
    <t>BOVINOS CARNE</t>
  </si>
  <si>
    <t>BOVINOS LECHE</t>
  </si>
  <si>
    <t>TOTAL BOVINOS</t>
  </si>
  <si>
    <t>PORCINOS CARNE</t>
  </si>
  <si>
    <t>AVÍCOLA CARNE</t>
  </si>
  <si>
    <t>AVÍCOLA HUEVOS</t>
  </si>
  <si>
    <t>TOTAL AVÍCOLA</t>
  </si>
  <si>
    <t>APÍCOLA MIEL</t>
  </si>
  <si>
    <t>TOTAL SUB SECTOR PECUARIO</t>
  </si>
  <si>
    <t>TOTAL SUB SECTOR PISCÍCOLA</t>
  </si>
  <si>
    <t>GRAN TOTAL AGROPECUARIO Y PISCÍCOLA</t>
  </si>
  <si>
    <t>RESUMEN POR GRUPOS AGROPECUARIO Y PISCÍCOLA (Precios corrientes)</t>
  </si>
  <si>
    <t xml:space="preserve"> * Corresponden a cultivos ANUALES.  TRANSITORIOS semestre A y B,  y para SEMI  y PERMANENTES </t>
  </si>
  <si>
    <t xml:space="preserve">    concernientes a áreas para sostenimiento proveniente de años anteriores.</t>
  </si>
  <si>
    <t>RESUMEN</t>
  </si>
  <si>
    <t>CULTIVOS ANUALES</t>
  </si>
  <si>
    <t>CULTIVOS TRANSITORIOS</t>
  </si>
  <si>
    <t>CULTIVOS SEMI y PERMANENTES</t>
  </si>
  <si>
    <t>Cultivos Semi y Permanentes nuevos (Instalación)</t>
  </si>
  <si>
    <t>Cultivos Semi y Permanentes años enteriores (Sostenimiento)</t>
  </si>
  <si>
    <t>VOLUMEN</t>
  </si>
  <si>
    <t>VALOR</t>
  </si>
  <si>
    <t>VR/SUBTOTAL</t>
  </si>
  <si>
    <t>VR/TOTAL</t>
  </si>
  <si>
    <t>($/Ton) *</t>
  </si>
  <si>
    <t>(millones $)</t>
  </si>
  <si>
    <t>TRANSITORIOS - BÁSICOS</t>
  </si>
  <si>
    <t>Maíz</t>
  </si>
  <si>
    <t>SUB TOTAL TRANS. BÁSICOS</t>
  </si>
  <si>
    <t>Pepino Cohómbro</t>
  </si>
  <si>
    <t>SUB TOTAL TRANS.HORTALIZAS</t>
  </si>
  <si>
    <t>TOTAL ANUALES</t>
  </si>
  <si>
    <t>Café Clásico</t>
  </si>
  <si>
    <t>Caña Panelera</t>
  </si>
  <si>
    <t>SUB TOTAL BÁSICOS</t>
  </si>
  <si>
    <t>Tomate de Arbol</t>
  </si>
  <si>
    <t>SUB TOTAL FRUTALES</t>
  </si>
  <si>
    <t>TOTAL SEMY y PERMANENTES</t>
  </si>
  <si>
    <t xml:space="preserve"> * Precio Promedio al Productor durante el  año para todos los cultivos y para Transitorios, promedio del Semestre A y B</t>
  </si>
  <si>
    <t xml:space="preserve">VALOR </t>
  </si>
  <si>
    <t>PARTICIPACIÓN %</t>
  </si>
  <si>
    <t>(Millones $)</t>
  </si>
  <si>
    <t>VALOR ($)</t>
  </si>
  <si>
    <t>VOLUMEN (Ton)</t>
  </si>
  <si>
    <t>TRANSITORIOS BÁSICOS</t>
  </si>
  <si>
    <t>TRANSITORIOS  HORTALIZAS</t>
  </si>
  <si>
    <t>PERM y SEM.PERM. BÁSICOS</t>
  </si>
  <si>
    <t>PERM y SEM.PERM. FRUTALES</t>
  </si>
  <si>
    <t>TOTAL PERMAN y SEMIPERMANENTES</t>
  </si>
  <si>
    <t>GRUPO</t>
  </si>
  <si>
    <t>Transitorios Básicos</t>
  </si>
  <si>
    <t>Transitorios Hortalizas</t>
  </si>
  <si>
    <t>CULTIVO SEMESTRAL:  HORTALIZAS VARIAS (Pequeña Escala)</t>
  </si>
  <si>
    <t>Permanentes Básicos</t>
  </si>
  <si>
    <t>Perm. Y semip. Frutales</t>
  </si>
  <si>
    <t>Anuales</t>
  </si>
  <si>
    <t>AVÍCOLA</t>
  </si>
  <si>
    <t>APÍCULTURA</t>
  </si>
  <si>
    <t>SUBTOTAL BOVINOS</t>
  </si>
  <si>
    <t>SUBTOTAL AVÍCOLA</t>
  </si>
  <si>
    <t>SUBTOTAL APÍCOLA</t>
  </si>
  <si>
    <t xml:space="preserve">EXPLOTACIÓN </t>
  </si>
  <si>
    <t>PECUARIA</t>
  </si>
  <si>
    <t>APÍCOLA</t>
  </si>
  <si>
    <t>SUBTOTAL PORCINOS</t>
  </si>
  <si>
    <t>(millones)</t>
  </si>
  <si>
    <t xml:space="preserve">           * Precio promedio Pagado al Productor</t>
  </si>
  <si>
    <t>$ (millones)</t>
  </si>
  <si>
    <t>ESPECIES</t>
  </si>
  <si>
    <t>VALOR PROMEDIO</t>
  </si>
  <si>
    <t xml:space="preserve">                * Precio Promedio al Productor</t>
  </si>
  <si>
    <t>PARTICIPACIÓN</t>
  </si>
  <si>
    <t>TOTAL AGROPECUARIO Y PISCÍCOLA</t>
  </si>
  <si>
    <t>DEPARTAMENTO DEL HUILA</t>
  </si>
  <si>
    <t>SECRETARIA DE  AGRICULTURA Y MINERIA</t>
  </si>
  <si>
    <t>CULTIVO SEMESTRAL: ALGODON</t>
  </si>
  <si>
    <t>MUNICIPIOS</t>
  </si>
  <si>
    <t>AREA</t>
  </si>
  <si>
    <t>ESTADO</t>
  </si>
  <si>
    <t>CALIFIC.</t>
  </si>
  <si>
    <t>PRODUC.</t>
  </si>
  <si>
    <t>RENDIM</t>
  </si>
  <si>
    <t>% PARTICIPAC</t>
  </si>
  <si>
    <t>SEMBR.</t>
  </si>
  <si>
    <t>COSECH.</t>
  </si>
  <si>
    <t>DEL</t>
  </si>
  <si>
    <t>PRECIO AL</t>
  </si>
  <si>
    <t>COSTOS DE</t>
  </si>
  <si>
    <t>ESPERAD</t>
  </si>
  <si>
    <t xml:space="preserve">DEL </t>
  </si>
  <si>
    <t>PRODUC</t>
  </si>
  <si>
    <t>PRODUCR</t>
  </si>
  <si>
    <t>ENTO</t>
  </si>
  <si>
    <t>(Ton/Ha)</t>
  </si>
  <si>
    <t>(Ha)</t>
  </si>
  <si>
    <t>(Ton)</t>
  </si>
  <si>
    <t>($/TON)</t>
  </si>
  <si>
    <t>($/Ha)</t>
  </si>
  <si>
    <t>A</t>
  </si>
  <si>
    <t>M</t>
  </si>
  <si>
    <t>B</t>
  </si>
  <si>
    <t>NORTE</t>
  </si>
  <si>
    <t>Neiva</t>
  </si>
  <si>
    <t>Aipe</t>
  </si>
  <si>
    <t>Algeciras</t>
  </si>
  <si>
    <t>Baraya</t>
  </si>
  <si>
    <t>Campoalegre</t>
  </si>
  <si>
    <t>Colombia</t>
  </si>
  <si>
    <t>Hobo</t>
  </si>
  <si>
    <t>Iquira</t>
  </si>
  <si>
    <t>Palerno</t>
  </si>
  <si>
    <t>Rivera</t>
  </si>
  <si>
    <t>Santa Maria</t>
  </si>
  <si>
    <t xml:space="preserve">Tello </t>
  </si>
  <si>
    <t>Teruel</t>
  </si>
  <si>
    <t>Villavieja</t>
  </si>
  <si>
    <t>Yaguará</t>
  </si>
  <si>
    <t>OCCIDENTE</t>
  </si>
  <si>
    <t>La Plata</t>
  </si>
  <si>
    <t>La Argentina</t>
  </si>
  <si>
    <t>Nátaga</t>
  </si>
  <si>
    <t>Paicol</t>
  </si>
  <si>
    <t>Tesalia</t>
  </si>
  <si>
    <t>CENTRO</t>
  </si>
  <si>
    <t>Garzón</t>
  </si>
  <si>
    <t>Agrado</t>
  </si>
  <si>
    <t>Altamira</t>
  </si>
  <si>
    <t>Gigante</t>
  </si>
  <si>
    <t>Guadalupe</t>
  </si>
  <si>
    <t>Pital</t>
  </si>
  <si>
    <t>Suaza</t>
  </si>
  <si>
    <t>Tarqui</t>
  </si>
  <si>
    <t>SUR</t>
  </si>
  <si>
    <t>Pitalito</t>
  </si>
  <si>
    <t>Acevedo</t>
  </si>
  <si>
    <t>Elias</t>
  </si>
  <si>
    <t>Isnos</t>
  </si>
  <si>
    <t>Oporapa</t>
  </si>
  <si>
    <t>Palestina</t>
  </si>
  <si>
    <t>Saladoblanco</t>
  </si>
  <si>
    <t>San Agustin</t>
  </si>
  <si>
    <t>Timaná</t>
  </si>
  <si>
    <t>TOTAL DPTO.</t>
  </si>
  <si>
    <t>CULTIVO SEMESTRAL: ARROZ RIEGO</t>
  </si>
  <si>
    <t>CULTIVO SEMESTRAL: AHUYAMA</t>
  </si>
  <si>
    <t>CULTIVO SEMESTRAL: ARVEJA</t>
  </si>
  <si>
    <t>CULTIVO SEMESTRAL:  CEBOLLA CABEZONA</t>
  </si>
  <si>
    <t>CULTIVO SEMESTRAL:  MAIZ TECNIFICADO AMARILLO</t>
  </si>
  <si>
    <t>CULTIVO SEMESTRAL: MAIZ TRADICIONAL AMARILLO</t>
  </si>
  <si>
    <t>CULTIVO SEMESTRAL:  MELON</t>
  </si>
  <si>
    <t>CULTIVO SEMESTRAL:  PEPINO COHOMBRO</t>
  </si>
  <si>
    <t>CULTIVO SEMESTRAL:  PEPINO PARA RELLENAR</t>
  </si>
  <si>
    <t>CULTIVO SEMESTRAL:  SANDIA</t>
  </si>
  <si>
    <t>CULTIVO SEMESTRAL:  SORGO</t>
  </si>
  <si>
    <t>CULTIVO SEMESTRAL:  TABACO RUBIO</t>
  </si>
  <si>
    <t>TUBERCULO</t>
  </si>
  <si>
    <t xml:space="preserve">SECRETARIA DE AGRICULTURA  Y MINERIA </t>
  </si>
  <si>
    <t>CULTIVOS</t>
  </si>
  <si>
    <t>(T/Ha)</t>
  </si>
  <si>
    <t>Algodón</t>
  </si>
  <si>
    <t>Arroz Riego</t>
  </si>
  <si>
    <t>Arveja</t>
  </si>
  <si>
    <t>Ahuyama</t>
  </si>
  <si>
    <t>Cebolla Cabeza</t>
  </si>
  <si>
    <t>Fríjol Tecnifica</t>
  </si>
  <si>
    <t>Fríjol Tradicio.</t>
  </si>
  <si>
    <t>Habichuela</t>
  </si>
  <si>
    <t>Hortalizas</t>
  </si>
  <si>
    <t>Maíz Tec. Blanco</t>
  </si>
  <si>
    <t>Maíz. Tec. Amarillo</t>
  </si>
  <si>
    <t>Maíz.Trad. Blanco</t>
  </si>
  <si>
    <t>Maíz.Trad. Amaril</t>
  </si>
  <si>
    <t>Melón</t>
  </si>
  <si>
    <t>Papa</t>
  </si>
  <si>
    <t>Pepino Cohom</t>
  </si>
  <si>
    <t>Pepino Rellenar</t>
  </si>
  <si>
    <t>Pimentón</t>
  </si>
  <si>
    <t>Sandía</t>
  </si>
  <si>
    <t>Sorgo</t>
  </si>
  <si>
    <t>Soya</t>
  </si>
  <si>
    <t>Tabaco Rubio</t>
  </si>
  <si>
    <t>Tomate Mesa</t>
  </si>
  <si>
    <t>TOTAL</t>
  </si>
  <si>
    <t>SECRETARÍA DE AGRICULTURA Y MINERÍA</t>
  </si>
  <si>
    <t>ACTIVIDADES</t>
  </si>
  <si>
    <t>P   A   T    R   O   N</t>
  </si>
  <si>
    <t xml:space="preserve">PRECIO </t>
  </si>
  <si>
    <t>VALOR TOTAL</t>
  </si>
  <si>
    <t>V/TOTAL</t>
  </si>
  <si>
    <t>UNIT.</t>
  </si>
  <si>
    <t>PRODUCTO</t>
  </si>
  <si>
    <t>UNIDAD</t>
  </si>
  <si>
    <t>CANTIDAD</t>
  </si>
  <si>
    <t>( $/Und)</t>
  </si>
  <si>
    <t>UTILIZADO</t>
  </si>
  <si>
    <t>1. LABORES</t>
  </si>
  <si>
    <t>2. INSUMOS</t>
  </si>
  <si>
    <t>1.1 PREPARACIÓN SEMILLERO</t>
  </si>
  <si>
    <t>Almacigos - siembras - sostenimiento</t>
  </si>
  <si>
    <t>Semillas</t>
  </si>
  <si>
    <t>Semilla</t>
  </si>
  <si>
    <t>Kg</t>
  </si>
  <si>
    <t>Trazado y aplicación de correctivos</t>
  </si>
  <si>
    <t>Fertilización</t>
  </si>
  <si>
    <t>otros</t>
  </si>
  <si>
    <t>Abono Organico</t>
  </si>
  <si>
    <t>1.2 PREPARACION SUELO</t>
  </si>
  <si>
    <t>Simple</t>
  </si>
  <si>
    <t>Urea</t>
  </si>
  <si>
    <t>Bulto</t>
  </si>
  <si>
    <t>Tumba - Socola</t>
  </si>
  <si>
    <t>Dap</t>
  </si>
  <si>
    <t>&lt;&lt;trazada - Ahoyada</t>
  </si>
  <si>
    <t>Produmac</t>
  </si>
  <si>
    <t>Rastreada</t>
  </si>
  <si>
    <t>Maquina</t>
  </si>
  <si>
    <t>Pases</t>
  </si>
  <si>
    <t>KCl</t>
  </si>
  <si>
    <t>Arada</t>
  </si>
  <si>
    <t>Rastrillada</t>
  </si>
  <si>
    <t>Foliares</t>
  </si>
  <si>
    <t>Cero Stress</t>
  </si>
  <si>
    <t>Lt</t>
  </si>
  <si>
    <t>Nivelada</t>
  </si>
  <si>
    <t>Control Sanitario</t>
  </si>
  <si>
    <t>Caballoneada Pulida</t>
  </si>
  <si>
    <t>Herbicida 1</t>
  </si>
  <si>
    <t>Trifluralina</t>
  </si>
  <si>
    <t>Galon</t>
  </si>
  <si>
    <t>Construcción de denajes</t>
  </si>
  <si>
    <t>Herbicida 2</t>
  </si>
  <si>
    <t>Glifosol</t>
  </si>
  <si>
    <t>Insecticida 1</t>
  </si>
  <si>
    <t>Max</t>
  </si>
  <si>
    <t>Otros  Cultivada</t>
  </si>
  <si>
    <t>Insecticida 2</t>
  </si>
  <si>
    <t>Confidor</t>
  </si>
  <si>
    <t>Apolque</t>
  </si>
  <si>
    <t>Insecticida 3</t>
  </si>
  <si>
    <t>1.3 SIEMBRA</t>
  </si>
  <si>
    <t>Fungicida 1</t>
  </si>
  <si>
    <t>Siembra y tapada</t>
  </si>
  <si>
    <t>Ha</t>
  </si>
  <si>
    <t>Fungicida 2</t>
  </si>
  <si>
    <t>Resiembra</t>
  </si>
  <si>
    <t>Jornal</t>
  </si>
  <si>
    <t>Und</t>
  </si>
  <si>
    <t xml:space="preserve">Control Biologico </t>
  </si>
  <si>
    <t>Mycoplas</t>
  </si>
  <si>
    <t>Sobre</t>
  </si>
  <si>
    <t>Aplicación de Pre-emergentes</t>
  </si>
  <si>
    <t>Otros. Coayudante</t>
  </si>
  <si>
    <t>Agrobuffer</t>
  </si>
  <si>
    <t>Otros</t>
  </si>
  <si>
    <t>Agua  Insecticida</t>
  </si>
  <si>
    <t>1.4  LABORES CULTURALES</t>
  </si>
  <si>
    <t>Empaques</t>
  </si>
  <si>
    <t>Lonas</t>
  </si>
  <si>
    <t>Aporques</t>
  </si>
  <si>
    <t>Cabuya - Hilazas</t>
  </si>
  <si>
    <t>Cordeles</t>
  </si>
  <si>
    <t>Cultivada</t>
  </si>
  <si>
    <t>Destrucción</t>
  </si>
  <si>
    <t>Podas</t>
  </si>
  <si>
    <t>Estacones</t>
  </si>
  <si>
    <t>Raleos</t>
  </si>
  <si>
    <t>Amarres</t>
  </si>
  <si>
    <t xml:space="preserve">Otros  </t>
  </si>
  <si>
    <t>Aplicación de Riego</t>
  </si>
  <si>
    <t>Aplicación de fungicidas</t>
  </si>
  <si>
    <t>SUBTOTAL  INSUMOS</t>
  </si>
  <si>
    <t>Control Biologico</t>
  </si>
  <si>
    <r>
      <t xml:space="preserve">3. </t>
    </r>
    <r>
      <rPr>
        <b/>
        <sz val="12"/>
        <rFont val="Comic Sans MS"/>
        <family val="4"/>
      </rPr>
      <t>OTROS COSTOS</t>
    </r>
  </si>
  <si>
    <t>Aplicación de insecticidas</t>
  </si>
  <si>
    <t>Administración (C.D.)</t>
  </si>
  <si>
    <t>Control de Malezas</t>
  </si>
  <si>
    <t>Asistencia tècnica</t>
  </si>
  <si>
    <t>Aplicación de Herbicidas - Preemergente</t>
  </si>
  <si>
    <t>Arrendamiento</t>
  </si>
  <si>
    <t>Desyerbas  - Postemergente</t>
  </si>
  <si>
    <t xml:space="preserve">Interes </t>
  </si>
  <si>
    <t>Despalille</t>
  </si>
  <si>
    <t>SUBTOTAL OTROS COSTOS</t>
  </si>
  <si>
    <t>Fertilizantes Simples</t>
  </si>
  <si>
    <t>Fertilizantes Compuestos</t>
  </si>
  <si>
    <r>
      <t xml:space="preserve">TOTAL COSTOS POR Ha </t>
    </r>
    <r>
      <rPr>
        <sz val="12"/>
        <rFont val="Comic Sans MS"/>
        <family val="4"/>
      </rPr>
      <t>(labores insumos y otros)</t>
    </r>
  </si>
  <si>
    <t>Fertilizantes Foliares</t>
  </si>
  <si>
    <t>Mantenimiento de canales</t>
  </si>
  <si>
    <t>R E S U M E N</t>
  </si>
  <si>
    <t>Vigilancia</t>
  </si>
  <si>
    <t>1. RENDIMIENTO (Ton./Ha)*</t>
  </si>
  <si>
    <t>Cambiar</t>
  </si>
  <si>
    <t>Pajareo</t>
  </si>
  <si>
    <t xml:space="preserve">2. COSTOS DE PRODUCCION ($/Ha)    </t>
  </si>
  <si>
    <t>1.5 COSECHA Y BENEFICIO</t>
  </si>
  <si>
    <t>3. PRECIO PAGADO AL PRODUCTOR  ($/Ton)</t>
  </si>
  <si>
    <t>Recolección</t>
  </si>
  <si>
    <t>Manipuleo</t>
  </si>
  <si>
    <t>5. UTILIDAD BRUTA ($/Ha) = 4 - 2</t>
  </si>
  <si>
    <t>Transporte Interno (Zorreo)</t>
  </si>
  <si>
    <t>Tractor</t>
  </si>
  <si>
    <t>Viaje</t>
  </si>
  <si>
    <t>*  Semilla</t>
  </si>
  <si>
    <t>Trasvaseo</t>
  </si>
  <si>
    <t>Desmote</t>
  </si>
  <si>
    <t>Ton</t>
  </si>
  <si>
    <t xml:space="preserve">Transporte </t>
  </si>
  <si>
    <t>SUBTOTAL</t>
  </si>
  <si>
    <t xml:space="preserve">Semillas </t>
  </si>
  <si>
    <t>1.2 PREPARACION DEL SUELO</t>
  </si>
  <si>
    <t>SAM</t>
  </si>
  <si>
    <t xml:space="preserve">Simple </t>
  </si>
  <si>
    <t>DAP</t>
  </si>
  <si>
    <t>Pase</t>
  </si>
  <si>
    <t>KCL</t>
  </si>
  <si>
    <t>Nutrifoliar</t>
  </si>
  <si>
    <t>Gl</t>
  </si>
  <si>
    <t>Otros  Alineación</t>
  </si>
  <si>
    <t>Jornal Alineanción</t>
  </si>
  <si>
    <t>Insecticida</t>
  </si>
  <si>
    <t>Otros Instalación y Sostenimiento</t>
  </si>
  <si>
    <t>Decis</t>
  </si>
  <si>
    <t>Fungicida</t>
  </si>
  <si>
    <t>Estacas</t>
  </si>
  <si>
    <t>Alambre</t>
  </si>
  <si>
    <t>Glifosato</t>
  </si>
  <si>
    <r>
      <t xml:space="preserve">3. </t>
    </r>
    <r>
      <rPr>
        <b/>
        <sz val="11"/>
        <rFont val="Comic Sans MS"/>
        <family val="4"/>
      </rPr>
      <t>OTROS COSTOS</t>
    </r>
  </si>
  <si>
    <t>Aplicación de Herbicidas</t>
  </si>
  <si>
    <t>Desyerbas</t>
  </si>
  <si>
    <t xml:space="preserve">Interes  </t>
  </si>
  <si>
    <t>Despalille  y Desrroje</t>
  </si>
  <si>
    <t>otros (Descuento fomento)</t>
  </si>
  <si>
    <r>
      <t xml:space="preserve">TOTAL COSTOS POR Ha </t>
    </r>
    <r>
      <rPr>
        <sz val="11"/>
        <rFont val="Comic Sans MS"/>
        <family val="4"/>
      </rPr>
      <t>(labores insumos y otros)</t>
    </r>
  </si>
  <si>
    <t>Mantenimiento de canales - Acequias y Drenaje</t>
  </si>
  <si>
    <t>Otros  Vigilante</t>
  </si>
  <si>
    <t>Transporte del Cultivo  al Molino</t>
  </si>
  <si>
    <t>Camion</t>
  </si>
  <si>
    <t>Sta Isabel</t>
  </si>
  <si>
    <t xml:space="preserve">Compuestos </t>
  </si>
  <si>
    <t>10-30-10</t>
  </si>
  <si>
    <t>Lts</t>
  </si>
  <si>
    <t>Sistemin</t>
  </si>
  <si>
    <t xml:space="preserve">Otros </t>
  </si>
  <si>
    <t>Trasplante</t>
  </si>
  <si>
    <t>Agua</t>
  </si>
  <si>
    <t>Costal</t>
  </si>
  <si>
    <t>Unidad</t>
  </si>
  <si>
    <t>Hilaza</t>
  </si>
  <si>
    <t>Cono</t>
  </si>
  <si>
    <t>Varas</t>
  </si>
  <si>
    <t>Liso</t>
  </si>
  <si>
    <t>Amarres y Tutorado</t>
  </si>
  <si>
    <t>Otros Entable</t>
  </si>
  <si>
    <t>Limpieza y secamiento</t>
  </si>
  <si>
    <t>Empacado</t>
  </si>
  <si>
    <t>Certificadas</t>
  </si>
  <si>
    <t>Trazado y ahoyada</t>
  </si>
  <si>
    <t>trazada - Ahoyada</t>
  </si>
  <si>
    <t>Raundoup</t>
  </si>
  <si>
    <t>Gramoxone</t>
  </si>
  <si>
    <t>Lorbans</t>
  </si>
  <si>
    <t>Benlate</t>
  </si>
  <si>
    <t>Cal</t>
  </si>
  <si>
    <t>Enagvillada</t>
  </si>
  <si>
    <t>Transporte</t>
  </si>
  <si>
    <t>S.I</t>
  </si>
  <si>
    <t>S.I: Sin Informaciòn</t>
  </si>
  <si>
    <t xml:space="preserve">                     S.I: Sin Informaciòn</t>
  </si>
  <si>
    <t>P-SECO</t>
  </si>
  <si>
    <t>INDICADOR</t>
  </si>
  <si>
    <t>No.VECES</t>
  </si>
  <si>
    <t>VR/ TOTAL</t>
  </si>
  <si>
    <t>NACIONAL</t>
  </si>
  <si>
    <t>HUILA</t>
  </si>
  <si>
    <t>UNITARIO</t>
  </si>
  <si>
    <t>PRIMER AÑO</t>
  </si>
  <si>
    <t>COSTOS  MANO DE OBRA</t>
  </si>
  <si>
    <t>Caña (Panela)</t>
  </si>
  <si>
    <t>Caña (Material Vegetal otros usos)</t>
  </si>
  <si>
    <t>PARTICIPACIONES %</t>
  </si>
  <si>
    <t>VR. $(millones)</t>
  </si>
  <si>
    <t>ELIMINACIÓN CAFÉ VIEJO</t>
  </si>
  <si>
    <t>Alámbre</t>
  </si>
  <si>
    <t>caja</t>
  </si>
  <si>
    <t>Coordinador: Observatorio de Territorios Rurales</t>
  </si>
  <si>
    <t xml:space="preserve">           I.C.A</t>
  </si>
  <si>
    <t xml:space="preserve">                     CENTRO AGROINDUSTRIAL Y DE EXPOSICIONES DEL HUILA - CEAGRODEX</t>
  </si>
  <si>
    <t xml:space="preserve">             GREMIOS DE LA PRODUCCIÓN, PRODUCTORES</t>
  </si>
  <si>
    <t>Cosecha Sanitaria</t>
  </si>
  <si>
    <t>3 Jornal/Ha</t>
  </si>
  <si>
    <t>Desrame</t>
  </si>
  <si>
    <t>700 arboles/Jorn</t>
  </si>
  <si>
    <t>INFRAESTRUCTURA DE PRODUCCIÒN PISCÍCOLA</t>
  </si>
  <si>
    <r>
      <t>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</si>
  <si>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Canastillas</t>
  </si>
  <si>
    <t>BOCACHICO</t>
  </si>
  <si>
    <t>NOTA: Los precios al productor son el promedio de  los semestres A y B</t>
  </si>
  <si>
    <t>Eliminación Arboles Guadaña-Motosierr</t>
  </si>
  <si>
    <t>2000 arboles/Jorn</t>
  </si>
  <si>
    <t>Retirada material grueso</t>
  </si>
  <si>
    <t>1200 arboles/Jorn</t>
  </si>
  <si>
    <t>Trazado - Estacas</t>
  </si>
  <si>
    <t>800/Jornal</t>
  </si>
  <si>
    <t>Distribución Plántulas en lote</t>
  </si>
  <si>
    <t>Hoyado</t>
  </si>
  <si>
    <t>200/Jornal</t>
  </si>
  <si>
    <t>280/Jornal</t>
  </si>
  <si>
    <t>Aplicación de M.O.O enmienda en hoyo</t>
  </si>
  <si>
    <t>Siembra de Plántulas</t>
  </si>
  <si>
    <t>LABORES CULTURALES</t>
  </si>
  <si>
    <t>Plateo manual</t>
  </si>
  <si>
    <t>Deshierva manual</t>
  </si>
  <si>
    <t>Deshierva con Guadaña</t>
  </si>
  <si>
    <t>4 Jornal/Ha</t>
  </si>
  <si>
    <t>Deshierva Selector</t>
  </si>
  <si>
    <t>FERTILIZACIÓN</t>
  </si>
  <si>
    <t>Fertilización Radicular</t>
  </si>
  <si>
    <t>993 sitios/Jornal</t>
  </si>
  <si>
    <t>1100 sitios/Jornal</t>
  </si>
  <si>
    <t>CONTROL FITOSANITARIO</t>
  </si>
  <si>
    <t>Controles Sanitarios</t>
  </si>
  <si>
    <t>OTRAS LABORES</t>
  </si>
  <si>
    <t>400 arboles/Jornal</t>
  </si>
  <si>
    <t>Conservación de Suelos</t>
  </si>
  <si>
    <t>Otras Labores internas</t>
  </si>
  <si>
    <t>SUBTOTAL MANO DE OBRA</t>
  </si>
  <si>
    <t>COSTOS  INSUMOS</t>
  </si>
  <si>
    <t>Plántulas de Café</t>
  </si>
  <si>
    <t>No.</t>
  </si>
  <si>
    <t>KIlo</t>
  </si>
  <si>
    <t>Agroquímicos</t>
  </si>
  <si>
    <t>SUBTOTAL INSUMOS</t>
  </si>
  <si>
    <t>TOTAL COSTOS DIRECTOS</t>
  </si>
  <si>
    <t>DETALLE DE LA ACTIVIDAD</t>
  </si>
  <si>
    <t>VR/ UNIDAD</t>
  </si>
  <si>
    <t>12 CARGAS</t>
  </si>
  <si>
    <t>16 CARGAS</t>
  </si>
  <si>
    <t>20 CARGAS</t>
  </si>
  <si>
    <t xml:space="preserve">Fertilizante   </t>
  </si>
  <si>
    <t>Sacos/año</t>
  </si>
  <si>
    <t>15 - 22 y 30</t>
  </si>
  <si>
    <t>Aplicación de Fertilizante</t>
  </si>
  <si>
    <t>Jornal/año</t>
  </si>
  <si>
    <t>3 - 4,5 y 6</t>
  </si>
  <si>
    <t>Control Fitosanitario</t>
  </si>
  <si>
    <t xml:space="preserve">Recolección (En 18 cargas - </t>
  </si>
  <si>
    <t>Kilos/contrato 50%</t>
  </si>
  <si>
    <t>750-1000 y 2500</t>
  </si>
  <si>
    <t>100% contratos)</t>
  </si>
  <si>
    <t>Jornal 50%</t>
  </si>
  <si>
    <t>46 - 66</t>
  </si>
  <si>
    <t>Beneficio y otros jornales</t>
  </si>
  <si>
    <t>Varios (Empaques, Agroquímicos)</t>
  </si>
  <si>
    <t>* Criolla</t>
  </si>
  <si>
    <t>COSTOS DIRECTOS SOSTENIMIENTO</t>
  </si>
  <si>
    <t xml:space="preserve"> COSTOS DE INSTALACIÓN DE UNA (1) HECTÁREA DE CAFÉ  EN EL DEPARTAMENTO DEL HUILA</t>
  </si>
  <si>
    <t xml:space="preserve"> COSTOS DE SOSTENIMIENTO - RECOLECCIÓN DE UNA (1) HECTÁREA DE CAFÉ  EN EL DEPARTAMENTO DEL HUILA</t>
  </si>
  <si>
    <t>COSTOS DE PRODUCCIÓN CAFÉ</t>
  </si>
  <si>
    <t>Bola Roja</t>
  </si>
  <si>
    <t>Gallinaza</t>
  </si>
  <si>
    <t>Trazada - Ahoyada</t>
  </si>
  <si>
    <t>Nitrato</t>
  </si>
  <si>
    <t>Roundup</t>
  </si>
  <si>
    <t>Granmoxone</t>
  </si>
  <si>
    <t>Otros  (Surcada)</t>
  </si>
  <si>
    <t>Derosal</t>
  </si>
  <si>
    <t>Transplante</t>
  </si>
  <si>
    <t>Kendazim</t>
  </si>
  <si>
    <t>Postes</t>
  </si>
  <si>
    <t>Envarado</t>
  </si>
  <si>
    <t>Conos</t>
  </si>
  <si>
    <t>Colgada</t>
  </si>
  <si>
    <t>Recolgado</t>
  </si>
  <si>
    <t>Empaque</t>
  </si>
  <si>
    <t>Tulas</t>
  </si>
  <si>
    <t>Interes  Anual</t>
  </si>
  <si>
    <t>Fertilización - Aplicación</t>
  </si>
  <si>
    <t>Clasificación</t>
  </si>
  <si>
    <t>Otros  - Transporte</t>
  </si>
  <si>
    <t>Vehículo</t>
  </si>
  <si>
    <t>Regional</t>
  </si>
  <si>
    <t>lt</t>
  </si>
  <si>
    <t>Resiembras</t>
  </si>
  <si>
    <t>Rollo</t>
  </si>
  <si>
    <t>costal</t>
  </si>
  <si>
    <t>und</t>
  </si>
  <si>
    <t>Blue Lake</t>
  </si>
  <si>
    <t>Agrotin</t>
  </si>
  <si>
    <t>Fibra</t>
  </si>
  <si>
    <t>Kilo</t>
  </si>
  <si>
    <t>Amarres - Hilazas</t>
  </si>
  <si>
    <t>Otros - Entable y Colgada</t>
  </si>
  <si>
    <t>Hibrido</t>
  </si>
  <si>
    <t>Compuestos  Simple</t>
  </si>
  <si>
    <t>Dual</t>
  </si>
  <si>
    <t>Atrazina</t>
  </si>
  <si>
    <t>Otros  (Labores Manuales)</t>
  </si>
  <si>
    <t>Lorsban</t>
  </si>
  <si>
    <t>Dimilin</t>
  </si>
  <si>
    <t>Emapques</t>
  </si>
  <si>
    <t>Otros (2.25 Vr Venta)</t>
  </si>
  <si>
    <t>Camiones</t>
  </si>
  <si>
    <t>15-15-15</t>
  </si>
  <si>
    <t>Lorsbans</t>
  </si>
  <si>
    <t>Paleos</t>
  </si>
  <si>
    <t>Interes</t>
  </si>
  <si>
    <t>(Ton/Há)</t>
  </si>
  <si>
    <t>4. INGRESO ($/Ha)= 3 X 1</t>
  </si>
  <si>
    <t>6. RENTABILIDAD PROMEDIA %</t>
  </si>
  <si>
    <t>Litro</t>
  </si>
  <si>
    <t>Malathion</t>
  </si>
  <si>
    <t>Ridomil</t>
  </si>
  <si>
    <t>Camión</t>
  </si>
  <si>
    <t>sacos</t>
  </si>
  <si>
    <t>Transporte Insumos</t>
  </si>
  <si>
    <t>2.1 SEMILLAS</t>
  </si>
  <si>
    <t>Plantulas</t>
  </si>
  <si>
    <t>2.1 FERTILIZANTES</t>
  </si>
  <si>
    <t>otros (Riego)</t>
  </si>
  <si>
    <t>16-6-17-4</t>
  </si>
  <si>
    <t>Bto (50 Kl)</t>
  </si>
  <si>
    <t>Superfos. Triple</t>
  </si>
  <si>
    <t>Maquinaria</t>
  </si>
  <si>
    <t>Klip-Boro</t>
  </si>
  <si>
    <t>Sulfato Potasio</t>
  </si>
  <si>
    <t>Surcada</t>
  </si>
  <si>
    <t>2.2 INSECTICIDAS</t>
  </si>
  <si>
    <t>Cipermetrina</t>
  </si>
  <si>
    <t>Traicer</t>
  </si>
  <si>
    <t>Fsco.(120 cc)</t>
  </si>
  <si>
    <t>Orthene</t>
  </si>
  <si>
    <t>Insecticida 4</t>
  </si>
  <si>
    <t>Dipel</t>
  </si>
  <si>
    <t>Insecticida 5</t>
  </si>
  <si>
    <t>Fsco (100 cc)</t>
  </si>
  <si>
    <t>2.3 HERBICIDAS</t>
  </si>
  <si>
    <t>Dual gold</t>
  </si>
  <si>
    <t>Finale</t>
  </si>
  <si>
    <t>2.4 FUNGICIDAS COADYUGANTES</t>
  </si>
  <si>
    <t>Bioplan</t>
  </si>
  <si>
    <t>Dithane</t>
  </si>
  <si>
    <t>Fungicida 3</t>
  </si>
  <si>
    <t>Kocide</t>
  </si>
  <si>
    <t>Global</t>
  </si>
  <si>
    <t>Fungicida 4</t>
  </si>
  <si>
    <t>Previcur</t>
  </si>
  <si>
    <t>2.5 HINHIBIDOR  DE CHUPON</t>
  </si>
  <si>
    <t>Pendimetalina</t>
  </si>
  <si>
    <t>2.6 OTROS</t>
  </si>
  <si>
    <t>Rollos</t>
  </si>
  <si>
    <t>Cabuya</t>
  </si>
  <si>
    <t>Curación</t>
  </si>
  <si>
    <t>Carbón mineral</t>
  </si>
  <si>
    <t>Combustibles y lubricantes</t>
  </si>
  <si>
    <t>Herramientas</t>
  </si>
  <si>
    <t>3. OTROS COSTOS</t>
  </si>
  <si>
    <t>Arrendamiento tierra</t>
  </si>
  <si>
    <t>Transporte Tabaco Seco</t>
  </si>
  <si>
    <t>Bto</t>
  </si>
  <si>
    <t>Desencuje</t>
  </si>
  <si>
    <t>SUBTOTAL PERM Y SEMIP FRUTAL  A.S.</t>
  </si>
  <si>
    <t>SUBTOTAL PERM Y SEMIP FRUTAL  A.C.</t>
  </si>
  <si>
    <t>SUBTOTAL PERM Y SEMI FRUTALES   P.</t>
  </si>
  <si>
    <t xml:space="preserve">                      &amp; Incluye Común y Pera-Manzana desde 2007</t>
  </si>
  <si>
    <t>GOLUPA</t>
  </si>
  <si>
    <t>Golupa</t>
  </si>
  <si>
    <t>GRAN TOTAL ANUALES</t>
  </si>
  <si>
    <t>GRAN TOTAL PERMANENTES Y SEMIPERMANENTES</t>
  </si>
  <si>
    <t xml:space="preserve"> TABLA 13. RESUMEN DEL CRECIMIENTO  PECUARIO Y PISCÍCOLA</t>
  </si>
  <si>
    <r>
      <t xml:space="preserve">TOTAL COSTOS PROMEDIOS POR HECTÁREA </t>
    </r>
    <r>
      <rPr>
        <sz val="12"/>
        <rFont val="Arial"/>
        <family val="2"/>
      </rPr>
      <t>(labores,  insumos y otros)</t>
    </r>
  </si>
  <si>
    <t>TOTAL JORNALES</t>
  </si>
  <si>
    <t>Hibeido</t>
  </si>
  <si>
    <t>Grs</t>
  </si>
  <si>
    <t>PADAM</t>
  </si>
  <si>
    <t>Manzate</t>
  </si>
  <si>
    <t>Unidades</t>
  </si>
  <si>
    <t>Cutivada</t>
  </si>
  <si>
    <t>Calibre 16</t>
  </si>
  <si>
    <t>Arroba</t>
  </si>
  <si>
    <t>Amarres y tuturado</t>
  </si>
  <si>
    <t>Otros  - Clasificación y Empacado</t>
  </si>
  <si>
    <t>GOBERNACIÓN DEL HUILA</t>
  </si>
  <si>
    <t>CULTIVO ANUAL: YUCA</t>
  </si>
  <si>
    <t>CALIFICACIÓN</t>
  </si>
  <si>
    <t>SEMBRADA</t>
  </si>
  <si>
    <t>COSECHADA</t>
  </si>
  <si>
    <t>PRODUCC</t>
  </si>
  <si>
    <t>RENDI</t>
  </si>
  <si>
    <t>RENDIMIENTO</t>
  </si>
  <si>
    <t>PRODUCCION</t>
  </si>
  <si>
    <t>OBTENIDA</t>
  </si>
  <si>
    <t>MIENTO</t>
  </si>
  <si>
    <t>PRODUCTOR</t>
  </si>
  <si>
    <t>(HA)</t>
  </si>
  <si>
    <t>CULTIVO ANUAL: ARRACACHA</t>
  </si>
  <si>
    <t>CULTIVO ANUAL:  ACHIRA</t>
  </si>
  <si>
    <t>CULTIVO ANUAL:  CEBOLLA JUNCA</t>
  </si>
  <si>
    <t>1.1 SEMILLERO</t>
  </si>
  <si>
    <t>Preparación semillero</t>
  </si>
  <si>
    <t>Rizomas</t>
  </si>
  <si>
    <t>Bultos</t>
  </si>
  <si>
    <t>Siembra</t>
  </si>
  <si>
    <t>Plántulas</t>
  </si>
  <si>
    <t>Control de Plagas y enfermedades</t>
  </si>
  <si>
    <t>Desinfectantes</t>
  </si>
  <si>
    <t>Formol</t>
  </si>
  <si>
    <t>Litros</t>
  </si>
  <si>
    <t>Arranque de colinos</t>
  </si>
  <si>
    <t>herbicidas</t>
  </si>
  <si>
    <t>Desinfección de colinos</t>
  </si>
  <si>
    <t>Insecticidas</t>
  </si>
  <si>
    <t>Transporte de colinos</t>
  </si>
  <si>
    <t>Fungicidas</t>
  </si>
  <si>
    <t>Humita</t>
  </si>
  <si>
    <t>Rastrillada y pulida</t>
  </si>
  <si>
    <t>Correctivos</t>
  </si>
  <si>
    <t xml:space="preserve">PERDIDAS </t>
  </si>
  <si>
    <t>PERDIDAS</t>
  </si>
  <si>
    <t>Abono Organito</t>
  </si>
  <si>
    <t>Caballoneada</t>
  </si>
  <si>
    <t>Control Biológico</t>
  </si>
  <si>
    <t>Aplicación Correctivos</t>
  </si>
  <si>
    <t>Riego</t>
  </si>
  <si>
    <t xml:space="preserve">Estacas                                    </t>
  </si>
  <si>
    <t>Raleo</t>
  </si>
  <si>
    <t xml:space="preserve">SUBTOTAL </t>
  </si>
  <si>
    <t>Aporque</t>
  </si>
  <si>
    <t>Aplicación  Pre-emergentes</t>
  </si>
  <si>
    <t>Aplicación Post-emergente</t>
  </si>
  <si>
    <t>Aplicación de Fertilizantes</t>
  </si>
  <si>
    <t>Control de Plagas</t>
  </si>
  <si>
    <t>Control de Enfermedades</t>
  </si>
  <si>
    <t>1.4 COSECHA</t>
  </si>
  <si>
    <t xml:space="preserve">Recolección </t>
  </si>
  <si>
    <t>lavado, rayado, tamizado, secado</t>
  </si>
  <si>
    <t>Zorreo</t>
  </si>
  <si>
    <t>ton</t>
  </si>
  <si>
    <t>Siembra y Ahoyado</t>
  </si>
  <si>
    <t>Estacos</t>
  </si>
  <si>
    <t>Otros Recolección Semilla</t>
  </si>
  <si>
    <t>Costales</t>
  </si>
  <si>
    <t>Recolección  - Arrancada</t>
  </si>
  <si>
    <t>Empacada</t>
  </si>
  <si>
    <t>Tallo</t>
  </si>
  <si>
    <t>Cebo tóxico</t>
  </si>
  <si>
    <t>Furadan</t>
  </si>
  <si>
    <t>bulto</t>
  </si>
  <si>
    <t>Desyerba</t>
  </si>
  <si>
    <t xml:space="preserve">Und </t>
  </si>
  <si>
    <t>cono</t>
  </si>
  <si>
    <t>Siembra y Resiembra</t>
  </si>
  <si>
    <t>Trazada</t>
  </si>
  <si>
    <t>Empaque y limpieza</t>
  </si>
  <si>
    <t>RENDI-</t>
  </si>
  <si>
    <t>Achira</t>
  </si>
  <si>
    <t>Arracacha</t>
  </si>
  <si>
    <t>Cebolla Junca</t>
  </si>
  <si>
    <t>Yuca</t>
  </si>
  <si>
    <t>SECRETARIA DE AGRICULTURA Y MINERIA</t>
  </si>
  <si>
    <t xml:space="preserve">  PONDERADOS (PRECIO PRODUCTOR Y  COSTOS DE PRODUCC.)</t>
  </si>
  <si>
    <t>COSTOS</t>
  </si>
  <si>
    <t>DESARROLLO</t>
  </si>
  <si>
    <t>PRODUCC.</t>
  </si>
  <si>
    <t>PROMEDIO</t>
  </si>
  <si>
    <t>PEOMEDIO</t>
  </si>
  <si>
    <t>x  PRECIO</t>
  </si>
  <si>
    <t>A. SEMBRAD</t>
  </si>
  <si>
    <t>A.SEM  x COST.</t>
  </si>
  <si>
    <t>Observatorio de Territorios Rurales</t>
  </si>
  <si>
    <t>PLANTADA</t>
  </si>
  <si>
    <t>ERRADICADAS</t>
  </si>
  <si>
    <t>NUEVAS</t>
  </si>
  <si>
    <t>AÑOS</t>
  </si>
  <si>
    <t>Ton.</t>
  </si>
  <si>
    <t>Ton/Ha</t>
  </si>
  <si>
    <t>PRODUCT.</t>
  </si>
  <si>
    <t>ESTABLEC.</t>
  </si>
  <si>
    <t>SOSTENIM.</t>
  </si>
  <si>
    <t>ESTABLECIMI</t>
  </si>
  <si>
    <t>SOSTENIMIENTO</t>
  </si>
  <si>
    <t>ANTERIORES</t>
  </si>
  <si>
    <t>$/Ton</t>
  </si>
  <si>
    <t>$/Ha</t>
  </si>
  <si>
    <t>(PRECIO PROM)</t>
  </si>
  <si>
    <t>(C.E. PROMED)</t>
  </si>
  <si>
    <t>(C.S. PROMED)</t>
  </si>
  <si>
    <t xml:space="preserve">Hobo </t>
  </si>
  <si>
    <t>Palermo</t>
  </si>
  <si>
    <t>Tello</t>
  </si>
  <si>
    <t>OCCIDENT</t>
  </si>
  <si>
    <t>San Agustín</t>
  </si>
  <si>
    <t>TOTAL DPT</t>
  </si>
  <si>
    <t>CULTIVO :    BANANO</t>
  </si>
  <si>
    <t>CULTIVO :    CAÑA PANELERA</t>
  </si>
  <si>
    <t xml:space="preserve">                     PRODUCTORES</t>
  </si>
  <si>
    <t>CULTIVO :   CACAO</t>
  </si>
  <si>
    <t>CULTIVO :   CHOLUPA</t>
  </si>
  <si>
    <t>CULTIVO :   GUANABANA</t>
  </si>
  <si>
    <t>CULTIVO :    LULO</t>
  </si>
  <si>
    <t>CULTIVO :    MANGO</t>
  </si>
  <si>
    <t>CULTIVO :    MARACUYA</t>
  </si>
  <si>
    <t>CULTIVO :    PIÑA</t>
  </si>
  <si>
    <t>CULTIVO:      PITAHAYA</t>
  </si>
  <si>
    <t>BASICOS</t>
  </si>
  <si>
    <t>Cacao</t>
  </si>
  <si>
    <t>Café</t>
  </si>
  <si>
    <t>Plátano Solo</t>
  </si>
  <si>
    <t>Plátano Inter.</t>
  </si>
  <si>
    <t>SUB TOTAL</t>
  </si>
  <si>
    <t>FRUTALES</t>
  </si>
  <si>
    <t>Aguacate</t>
  </si>
  <si>
    <t>Badea</t>
  </si>
  <si>
    <t>Banano</t>
  </si>
  <si>
    <t>Curuba</t>
  </si>
  <si>
    <t>Cítricos</t>
  </si>
  <si>
    <t>Cholupa</t>
  </si>
  <si>
    <t>Guayaba</t>
  </si>
  <si>
    <t>Guanábana</t>
  </si>
  <si>
    <t>Granadilla</t>
  </si>
  <si>
    <t>Lulo</t>
  </si>
  <si>
    <t>Mango</t>
  </si>
  <si>
    <t>Maracuyá</t>
  </si>
  <si>
    <t>Mora</t>
  </si>
  <si>
    <t>Papaya</t>
  </si>
  <si>
    <t>Piña</t>
  </si>
  <si>
    <t>Pitahaya</t>
  </si>
  <si>
    <t>Tom. Arbol</t>
  </si>
  <si>
    <t>Uva</t>
  </si>
  <si>
    <t>1.1 GERMINADOR</t>
  </si>
  <si>
    <t xml:space="preserve">Desinfección </t>
  </si>
  <si>
    <t>Control de plagas y enfermedades</t>
  </si>
  <si>
    <t>SEMILLA</t>
  </si>
  <si>
    <t>X</t>
  </si>
  <si>
    <t>P-VERDE</t>
  </si>
  <si>
    <t>VERDE</t>
  </si>
  <si>
    <t>BULBO</t>
  </si>
  <si>
    <t>G-SECO</t>
  </si>
  <si>
    <t>FRUTA</t>
  </si>
  <si>
    <t>H-SECA</t>
  </si>
  <si>
    <t>1.2 VIVERO</t>
  </si>
  <si>
    <t>Preparaciòn</t>
  </si>
  <si>
    <t>Fertilizaciòn</t>
  </si>
  <si>
    <t>1.3  PREPARACION TERRENO</t>
  </si>
  <si>
    <t>1.3  PREPARACIÓN TERRENO</t>
  </si>
  <si>
    <t>Tumba</t>
  </si>
  <si>
    <t>Socola</t>
  </si>
  <si>
    <t>Fosforita</t>
  </si>
  <si>
    <t>Ahoyada</t>
  </si>
  <si>
    <t>Aplicaciòn Correctivos</t>
  </si>
  <si>
    <t>Construcciòn  Drenaje</t>
  </si>
  <si>
    <t>1.4 SIEMBRA</t>
  </si>
  <si>
    <t>1.4 LABORES CULTURALES</t>
  </si>
  <si>
    <t>Tutorado o Emparrillado</t>
  </si>
  <si>
    <t>Manejo de Sombrio</t>
  </si>
  <si>
    <t>Administración</t>
  </si>
  <si>
    <t>Sombrio Definitivo</t>
  </si>
  <si>
    <t>Sombrio Transitorio</t>
  </si>
  <si>
    <t>Apuntalada o amarre aèreo</t>
  </si>
  <si>
    <t>Plateo</t>
  </si>
  <si>
    <t>Deschuponada</t>
  </si>
  <si>
    <t>Deshije y Destronque</t>
  </si>
  <si>
    <t>Colgada y Poda</t>
  </si>
  <si>
    <t>Guayaba Común</t>
  </si>
  <si>
    <t>Guayaba Pera</t>
  </si>
  <si>
    <t>PREDOMINANTE</t>
  </si>
  <si>
    <r>
      <t xml:space="preserve"> 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</si>
  <si>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EXPLOTACION RAZA y/o CRUCE</t>
  </si>
  <si>
    <t>Control de Malezas y Aporques</t>
  </si>
  <si>
    <t>Aplicaciòn de Herbicidas</t>
  </si>
  <si>
    <t>Aplicaciòn Pre emergentes</t>
  </si>
  <si>
    <t>Aplicaciòn Post emergentes</t>
  </si>
  <si>
    <t>Aplicaciòn de Fertilizantes</t>
  </si>
  <si>
    <t>1.5 COSECHA</t>
  </si>
  <si>
    <t>Pesada y Limpieza</t>
  </si>
  <si>
    <t>Beneficio</t>
  </si>
  <si>
    <t>1.1 PRELIMINAR</t>
  </si>
  <si>
    <t>Análisis de Suelos completo</t>
  </si>
  <si>
    <t>Cacao Clonado</t>
  </si>
  <si>
    <t>Plántula</t>
  </si>
  <si>
    <t>Platano</t>
  </si>
  <si>
    <t>Colinos</t>
  </si>
  <si>
    <t>Glifosfato</t>
  </si>
  <si>
    <t>Bolsa</t>
  </si>
  <si>
    <t>17-6-18-2</t>
  </si>
  <si>
    <t>1.3  PREPARACION DEL TERRENO</t>
  </si>
  <si>
    <t>Caldolomita</t>
  </si>
  <si>
    <t>Cicatrizante</t>
  </si>
  <si>
    <t>Tarro</t>
  </si>
  <si>
    <t xml:space="preserve">Riego </t>
  </si>
  <si>
    <t>Mantenimiento  Drenajes</t>
  </si>
  <si>
    <t>1.4 SIEMBRA Y MANEJO</t>
  </si>
  <si>
    <t>5% CD</t>
  </si>
  <si>
    <t>3% CD</t>
  </si>
  <si>
    <t>Recolección (Plátano)</t>
  </si>
  <si>
    <t>Desgrane y Secado</t>
  </si>
  <si>
    <t>Injerto</t>
  </si>
  <si>
    <t>Roun-up</t>
  </si>
  <si>
    <t>Varios</t>
  </si>
  <si>
    <t>Agrimins</t>
  </si>
  <si>
    <t>Dolomita</t>
  </si>
  <si>
    <t>poda</t>
  </si>
  <si>
    <t xml:space="preserve">Control de Malezas </t>
  </si>
  <si>
    <t>Coloso</t>
  </si>
  <si>
    <t>Herbicidas</t>
  </si>
  <si>
    <t xml:space="preserve">Malathion </t>
  </si>
  <si>
    <t xml:space="preserve">Bulto </t>
  </si>
  <si>
    <t>Humita 15</t>
  </si>
  <si>
    <t>Basf foliar</t>
  </si>
  <si>
    <t xml:space="preserve">Cal Dolomita </t>
  </si>
  <si>
    <t>Cal Dolomita</t>
  </si>
  <si>
    <t>Humus</t>
  </si>
  <si>
    <t>Trichograma</t>
  </si>
  <si>
    <t>Pulg</t>
  </si>
  <si>
    <t>Insepticida</t>
  </si>
  <si>
    <t>Tricrograma</t>
  </si>
  <si>
    <t>Crisopa</t>
  </si>
  <si>
    <t>Dosis</t>
  </si>
  <si>
    <t>Trazada y Ahoyado</t>
  </si>
  <si>
    <t>Cajas</t>
  </si>
  <si>
    <t xml:space="preserve">Unidad </t>
  </si>
  <si>
    <t>Alambre pua</t>
  </si>
  <si>
    <t>Calibre 10-12</t>
  </si>
  <si>
    <t xml:space="preserve">Postes Madera </t>
  </si>
  <si>
    <t xml:space="preserve">Postes </t>
  </si>
  <si>
    <t>Trapas</t>
  </si>
  <si>
    <t>Papel Periodico</t>
  </si>
  <si>
    <t>Papel</t>
  </si>
  <si>
    <t xml:space="preserve">Deschuponada </t>
  </si>
  <si>
    <t>Caja</t>
  </si>
  <si>
    <t>Plantula</t>
  </si>
  <si>
    <t>Fingicida</t>
  </si>
  <si>
    <t>Sumition</t>
  </si>
  <si>
    <t>Suffetocu</t>
  </si>
  <si>
    <t>OMITE</t>
  </si>
  <si>
    <t>LT</t>
  </si>
  <si>
    <t>Alambre 10</t>
  </si>
  <si>
    <t>Uunidad</t>
  </si>
  <si>
    <t>Guadua</t>
  </si>
  <si>
    <t>Herramienta y fumigador</t>
  </si>
  <si>
    <t>Deschuponada y Colgada</t>
  </si>
  <si>
    <t>Monitor</t>
  </si>
  <si>
    <t>Fertiaza</t>
  </si>
  <si>
    <t>Pepel periodico</t>
  </si>
  <si>
    <t>Poda 3</t>
  </si>
  <si>
    <t>Ingerto</t>
  </si>
  <si>
    <t>Insecticidas 1</t>
  </si>
  <si>
    <t>Insecticidas 2</t>
  </si>
  <si>
    <t>Gr</t>
  </si>
  <si>
    <t>Fungicidas 1</t>
  </si>
  <si>
    <t>Ditane</t>
  </si>
  <si>
    <t>Kl</t>
  </si>
  <si>
    <t>Fungicidas 2</t>
  </si>
  <si>
    <t>Microfoliar</t>
  </si>
  <si>
    <t>Pason</t>
  </si>
  <si>
    <t>Lorban</t>
  </si>
  <si>
    <t>Ha.</t>
  </si>
  <si>
    <t>Estantillos</t>
  </si>
  <si>
    <t>Und.</t>
  </si>
  <si>
    <t>Socola y limpia</t>
  </si>
  <si>
    <t>Cal dolomita</t>
  </si>
  <si>
    <t>Bocachi</t>
  </si>
  <si>
    <t>Caña material vegetal otros usos</t>
  </si>
  <si>
    <t>Trazada y ahoyado</t>
  </si>
  <si>
    <t>Calibre 10</t>
  </si>
  <si>
    <t>Grapas</t>
  </si>
  <si>
    <t>Jornales</t>
  </si>
  <si>
    <t>Nitr-Sulf</t>
  </si>
  <si>
    <t>varios</t>
  </si>
  <si>
    <t xml:space="preserve">Trazada </t>
  </si>
  <si>
    <t>Guadaña</t>
  </si>
  <si>
    <t>Kcl</t>
  </si>
  <si>
    <t>Roun- up</t>
  </si>
  <si>
    <t>KLc</t>
  </si>
  <si>
    <t xml:space="preserve">Deshoje </t>
  </si>
  <si>
    <t>Ton ($)*</t>
  </si>
  <si>
    <t>PARTICIPACIÓNES  %</t>
  </si>
  <si>
    <t>CALIFICACACIÒN</t>
  </si>
  <si>
    <t>PANELA</t>
  </si>
  <si>
    <t>RACIMO</t>
  </si>
  <si>
    <t>CULTIVO :    GUAYABA COMÚN</t>
  </si>
  <si>
    <t>Nota: En el municipio de Algeciras 100% pera roja sensación</t>
  </si>
  <si>
    <t>INVENTARIO DE GANADO PORCINO</t>
  </si>
  <si>
    <t>CUNICOLA</t>
  </si>
  <si>
    <t>CUYICOLA</t>
  </si>
  <si>
    <t>OTROS</t>
  </si>
  <si>
    <t>HUEVOS AÑO</t>
  </si>
  <si>
    <t>TILAPIA</t>
  </si>
  <si>
    <t>No. ALEVINOS</t>
  </si>
  <si>
    <t>PRODUCCION EN JAULAS Y JAULONES</t>
  </si>
  <si>
    <t>PRODUCCIÒN TOTAL</t>
  </si>
  <si>
    <t>AVES POSTURA</t>
  </si>
  <si>
    <t>AVES DE ENGORDE</t>
  </si>
  <si>
    <t>AVES POR</t>
  </si>
  <si>
    <t>CICLO</t>
  </si>
  <si>
    <t>CICLOS</t>
  </si>
  <si>
    <t>TOTAL AVES</t>
  </si>
  <si>
    <t>AVES AÑO</t>
  </si>
  <si>
    <t>PRODUCIDOS*</t>
  </si>
  <si>
    <t>Aves Año</t>
  </si>
  <si>
    <t xml:space="preserve">  TABLA  14.1  RESUMEN DEL CRECIMIENTO  AGROPECUARIO Y PISCÍCOLA</t>
  </si>
  <si>
    <t>VOLVER AL ÍNDICE</t>
  </si>
  <si>
    <t>ELABORADO:</t>
  </si>
  <si>
    <t>Administrador en Desarrollo Agroindustrial</t>
  </si>
  <si>
    <t>Biomel</t>
  </si>
  <si>
    <t>Protectants</t>
  </si>
  <si>
    <t>Roundoup</t>
  </si>
  <si>
    <t>Azodrin</t>
  </si>
  <si>
    <t>Preparaciòn (Lllenado Bolsas)</t>
  </si>
  <si>
    <t>CULTIVOS PERMAN Y SEMIPEM     FRUTALES</t>
  </si>
  <si>
    <t>CULTIVO:  FLOR DE JAMAICA</t>
  </si>
  <si>
    <t>FLOR DE JAMAICA</t>
  </si>
  <si>
    <t>Flor de Jamaica</t>
  </si>
  <si>
    <t>Flor de jamaica</t>
  </si>
  <si>
    <t xml:space="preserve">               S.I: Sin Información</t>
  </si>
  <si>
    <t>MAIZ TECNIFICADO BLANCO</t>
  </si>
  <si>
    <t>MAIZ TECNIFICADO AMARILLO</t>
  </si>
  <si>
    <t>MAIZ TRADICIONAL BLANCO</t>
  </si>
  <si>
    <t>MAIZ TRADICIONAL AMARILLO</t>
  </si>
  <si>
    <t>Maíz  Tecnificado</t>
  </si>
  <si>
    <r>
      <t xml:space="preserve">(*)  </t>
    </r>
    <r>
      <rPr>
        <sz val="11"/>
        <rFont val="Arial"/>
        <family val="2"/>
      </rPr>
      <t>Estos datos corresponden a la sumatoria de Maíz  Blanco y Amarillo.</t>
    </r>
  </si>
  <si>
    <r>
      <t xml:space="preserve">Maíz Tradicional  </t>
    </r>
    <r>
      <rPr>
        <b/>
        <sz val="12"/>
        <rFont val="Arial"/>
        <family val="2"/>
      </rPr>
      <t>(*)</t>
    </r>
  </si>
  <si>
    <t>(millones $)*</t>
  </si>
  <si>
    <r>
      <t xml:space="preserve">Maíz  Tecnificado  </t>
    </r>
    <r>
      <rPr>
        <b/>
        <sz val="12"/>
        <rFont val="Arial"/>
        <family val="2"/>
      </rPr>
      <t>(*)</t>
    </r>
  </si>
  <si>
    <r>
      <t xml:space="preserve">(**)  </t>
    </r>
    <r>
      <rPr>
        <sz val="11"/>
        <rFont val="Arial"/>
        <family val="2"/>
      </rPr>
      <t>Estos datos corresponden a la sumatoria de Plátano Intercalado y  Solo.</t>
    </r>
  </si>
  <si>
    <t>Elosal</t>
  </si>
  <si>
    <t>Elementos</t>
  </si>
  <si>
    <t>Menores</t>
  </si>
  <si>
    <t>Simples</t>
  </si>
  <si>
    <t>Alambre Liso</t>
  </si>
  <si>
    <t xml:space="preserve">Alambre Pua </t>
  </si>
  <si>
    <t>Bandeja Icopor</t>
  </si>
  <si>
    <t>500 Gr</t>
  </si>
  <si>
    <t>Bandeja</t>
  </si>
  <si>
    <t>Caja carton</t>
  </si>
  <si>
    <t>x 25 bandejas</t>
  </si>
  <si>
    <t>Papel celofan</t>
  </si>
  <si>
    <t>Herramienta</t>
  </si>
  <si>
    <t>Colgada y Poda (Formación)</t>
  </si>
  <si>
    <t>CANTIDAD DE ESTANQUES</t>
  </si>
  <si>
    <t>EN USO</t>
  </si>
  <si>
    <t>DESOCUPADOS</t>
  </si>
  <si>
    <t>UNIDADES</t>
  </si>
  <si>
    <t>PRODUCTORAS</t>
  </si>
  <si>
    <t>AREA ESTIMADA</t>
  </si>
  <si>
    <r>
      <t>ESPEJO 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</si>
  <si>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Nota: No incluye Riego</t>
  </si>
  <si>
    <t>Hoyado Postes</t>
  </si>
  <si>
    <t>Transporte Interno</t>
  </si>
  <si>
    <t>Transporte externo</t>
  </si>
  <si>
    <t>PRODUCCIÓN</t>
  </si>
  <si>
    <t>No. de</t>
  </si>
  <si>
    <t>SEMBRADAS</t>
  </si>
  <si>
    <t xml:space="preserve">                        G A N A D O   B O V I N O</t>
  </si>
  <si>
    <t>MACHOS</t>
  </si>
  <si>
    <t>HEMBRAS</t>
  </si>
  <si>
    <t xml:space="preserve">TOTAL   </t>
  </si>
  <si>
    <t xml:space="preserve">        TIPO EXPLOTACION RAZA y/o CRUCE PREDOMINANTE</t>
  </si>
  <si>
    <t>Número</t>
  </si>
  <si>
    <t>Ceba</t>
  </si>
  <si>
    <t>Lechería</t>
  </si>
  <si>
    <t>Doble Propósito</t>
  </si>
  <si>
    <t xml:space="preserve"> </t>
  </si>
  <si>
    <t>0 - 12</t>
  </si>
  <si>
    <t>13-24</t>
  </si>
  <si>
    <t>&gt; 24</t>
  </si>
  <si>
    <t>0 -12</t>
  </si>
  <si>
    <t>total de</t>
  </si>
  <si>
    <t>Raza y/o</t>
  </si>
  <si>
    <t>MESES</t>
  </si>
  <si>
    <t>Animales</t>
  </si>
  <si>
    <t>%</t>
  </si>
  <si>
    <t>Cruce</t>
  </si>
  <si>
    <t>C</t>
  </si>
  <si>
    <t>CxP</t>
  </si>
  <si>
    <t>H</t>
  </si>
  <si>
    <t>La PLata</t>
  </si>
  <si>
    <t>DOBLE PROPÓSITO</t>
  </si>
  <si>
    <t xml:space="preserve">TOTAL </t>
  </si>
  <si>
    <t xml:space="preserve">     G A N A D O   B O V I N O</t>
  </si>
  <si>
    <t>DISTRIBUCION Y AREA EN PASTOS</t>
  </si>
  <si>
    <t>MUNICIPIO</t>
  </si>
  <si>
    <t>Variedad</t>
  </si>
  <si>
    <t>Predominante</t>
  </si>
  <si>
    <t>Cabuya-Hilaza</t>
  </si>
  <si>
    <t>Arrendamiento (con Riego por gravedad)</t>
  </si>
  <si>
    <t>Nutri Foliar</t>
  </si>
  <si>
    <t>Dithane m45</t>
  </si>
  <si>
    <t>Clasificación y desgrane</t>
  </si>
  <si>
    <t>Limpieza, secamiento y empaque</t>
  </si>
  <si>
    <t>Bravonil 720</t>
  </si>
  <si>
    <t>Transportes varios</t>
  </si>
  <si>
    <t>vehículo</t>
  </si>
  <si>
    <t>global</t>
  </si>
  <si>
    <t>Secado y empacado</t>
  </si>
  <si>
    <t>Biológico</t>
  </si>
  <si>
    <t>Aplicación Insumos y Raleo</t>
  </si>
  <si>
    <t>Arada disco (tradicional)</t>
  </si>
  <si>
    <t>Rastra (disco)</t>
  </si>
  <si>
    <t>Zanjada</t>
  </si>
  <si>
    <t>Destrucción zocas</t>
  </si>
  <si>
    <t>Arranque y siembra</t>
  </si>
  <si>
    <t>Riegos y drenajes</t>
  </si>
  <si>
    <t>Aplic. Fertilizantes granulares- en agua</t>
  </si>
  <si>
    <t>Aplic. Fertilizantes Foliares</t>
  </si>
  <si>
    <t>Deshievas y aporques</t>
  </si>
  <si>
    <t>Aplic. Insecticidas</t>
  </si>
  <si>
    <t>Aplic. Fungicidas</t>
  </si>
  <si>
    <t>Cape y aplicación inhibidor</t>
  </si>
  <si>
    <t>Amarre y cargue de Horno</t>
  </si>
  <si>
    <t>Capataz de amarre</t>
  </si>
  <si>
    <t>Descargue</t>
  </si>
  <si>
    <t>Hoja</t>
  </si>
  <si>
    <t>Clasificación y empaque</t>
  </si>
  <si>
    <t>Transporte Personal</t>
  </si>
  <si>
    <t>Transporte Tabaco verde</t>
  </si>
  <si>
    <t>Coadyugante</t>
  </si>
  <si>
    <t>Seguro de hornos, mercancia y cultivo</t>
  </si>
  <si>
    <t>Fondo Nal del Tabaco</t>
  </si>
  <si>
    <t>Area (Hás)</t>
  </si>
  <si>
    <t>(Hás)</t>
  </si>
  <si>
    <t>K</t>
  </si>
  <si>
    <t>P</t>
  </si>
  <si>
    <t>S</t>
  </si>
  <si>
    <t>I</t>
  </si>
  <si>
    <t>SECRETARIA DE AGRICULTURA  Y MINERIA</t>
  </si>
  <si>
    <t>SACRIFICIO DE GANADO BOVINO</t>
  </si>
  <si>
    <t xml:space="preserve">Promedio </t>
  </si>
  <si>
    <t>No. Promedio</t>
  </si>
  <si>
    <t>Producción</t>
  </si>
  <si>
    <t>TOTAL SACRIFICIO</t>
  </si>
  <si>
    <t>Lt/Vaca/Día</t>
  </si>
  <si>
    <t>Vacas en</t>
  </si>
  <si>
    <t>Promedio</t>
  </si>
  <si>
    <t>Peso total</t>
  </si>
  <si>
    <t>Ordeño</t>
  </si>
  <si>
    <t>Lt/Año</t>
  </si>
  <si>
    <t>en Pie (Ton)</t>
  </si>
  <si>
    <t>TOTALES</t>
  </si>
  <si>
    <t xml:space="preserve"> TABLA 9.  VALOR BRUTO DE LA PRODUCCIÓN AGROPECUARIA Y PISCÍCOLA </t>
  </si>
  <si>
    <t xml:space="preserve"> TABLA 10.  VALOR BRUTO DE LA PRODUCCIÓN AGROPECUARIA Y PISCÍCOLA </t>
  </si>
  <si>
    <t>CULTIVO SEMESTRAL:  TABACO NEGRO</t>
  </si>
  <si>
    <t>Tabaco Negro</t>
  </si>
  <si>
    <t xml:space="preserve">   VALOR BRUTO DE LA PRODUCCIÓN AGRÍCOLA -SIN CAFÉ-</t>
  </si>
  <si>
    <t xml:space="preserve">   VALOR BRUTO DE LA PRODUCCIÓN AGRÍCOLA -CON CAFÉ-</t>
  </si>
  <si>
    <t>TABLA 10.  RESUMEN DEL CRECIMIENTO AGRÍCOLA EN EL</t>
  </si>
  <si>
    <t xml:space="preserve">  TABLA 10.1. RESUMEN DEL CRECIMIENTO AGRÍCOLA EN EL</t>
  </si>
  <si>
    <t xml:space="preserve">  TABLA 14. RESUMEN DEL VALOR BRUTO DE LA PRODUCCIÓN AGRÍCOLA </t>
  </si>
  <si>
    <t xml:space="preserve">  TABLA 15. VALOR BRUTO DE LA PRODUCCIÓN PECUARIA</t>
  </si>
  <si>
    <t xml:space="preserve"> TABLA 16.  VALOR BRUTO DE LA PRODUCCIÓN PISCÍCOLA</t>
  </si>
  <si>
    <t>PORCINOS</t>
  </si>
  <si>
    <t>Lechones</t>
  </si>
  <si>
    <t>días al</t>
  </si>
  <si>
    <t>Cria Tecn</t>
  </si>
  <si>
    <t>Ceba Tecn</t>
  </si>
  <si>
    <t>Tradicional</t>
  </si>
  <si>
    <t>por camada</t>
  </si>
  <si>
    <t>destete</t>
  </si>
  <si>
    <t>RAZA</t>
  </si>
  <si>
    <t>LxY</t>
  </si>
  <si>
    <t>LxP</t>
  </si>
  <si>
    <t>LxD</t>
  </si>
  <si>
    <t>PxY</t>
  </si>
  <si>
    <t>PxL</t>
  </si>
  <si>
    <t>LxCr</t>
  </si>
  <si>
    <t>L</t>
  </si>
  <si>
    <t>Cr</t>
  </si>
  <si>
    <t>DxCr</t>
  </si>
  <si>
    <t>Cr xD</t>
  </si>
  <si>
    <t>D</t>
  </si>
  <si>
    <t>YxP</t>
  </si>
  <si>
    <t>LxC</t>
  </si>
  <si>
    <t>TOTAL DPTO</t>
  </si>
  <si>
    <t>L x Y</t>
  </si>
  <si>
    <t>L x Cr</t>
  </si>
  <si>
    <t>L= Landrace           D= Duroc Jersey                Y= York Shire             P= Pietrain                   Cr= Criollo</t>
  </si>
  <si>
    <t>SACRIFICIO DE GANADO PORCINO</t>
  </si>
  <si>
    <t xml:space="preserve">Peso </t>
  </si>
  <si>
    <t>Total en</t>
  </si>
  <si>
    <t>Porcinos</t>
  </si>
  <si>
    <t>Peso en Pie</t>
  </si>
  <si>
    <t>Pie (Ton)</t>
  </si>
  <si>
    <t>Sacrificados</t>
  </si>
  <si>
    <t xml:space="preserve">              CENTRO AGROINDUSTRIAL Y DE EXPOSICIONES DEL HUILA - CEAGRODEX</t>
  </si>
  <si>
    <t>O T R A S   E S P E C I E S   P E C U A R I A S</t>
  </si>
  <si>
    <t>APICULTURA</t>
  </si>
  <si>
    <t>de</t>
  </si>
  <si>
    <t>Miel</t>
  </si>
  <si>
    <t>CABALLAR</t>
  </si>
  <si>
    <t>MULAR</t>
  </si>
  <si>
    <t>ASNAL</t>
  </si>
  <si>
    <t>BUFALINA</t>
  </si>
  <si>
    <t>OVINA</t>
  </si>
  <si>
    <t>CAPRINA</t>
  </si>
  <si>
    <t>Año</t>
  </si>
  <si>
    <t>Colmenas</t>
  </si>
  <si>
    <t>Kgs</t>
  </si>
  <si>
    <t>ESPEJO DE</t>
  </si>
  <si>
    <t>CANTIDAD DE</t>
  </si>
  <si>
    <t>CACHAMA</t>
  </si>
  <si>
    <t>CARPA</t>
  </si>
  <si>
    <t>TRUCHA</t>
  </si>
  <si>
    <t>SABALO</t>
  </si>
  <si>
    <t>PESO DE LA</t>
  </si>
  <si>
    <t>PESO PROM</t>
  </si>
  <si>
    <t>COSECHA Kg</t>
  </si>
  <si>
    <t>UNIDAD (Gs)</t>
  </si>
  <si>
    <t xml:space="preserve">Palermo </t>
  </si>
  <si>
    <t>palermo</t>
  </si>
  <si>
    <t xml:space="preserve">Yaguará  </t>
  </si>
  <si>
    <t xml:space="preserve">Yaguará </t>
  </si>
  <si>
    <t xml:space="preserve">Pitalito </t>
  </si>
  <si>
    <t>CULTIVOS TRANSITORIOS BASICOS</t>
  </si>
  <si>
    <t>TOTAL AÑO</t>
  </si>
  <si>
    <t>VARIACIONES</t>
  </si>
  <si>
    <t>SEMESTRES</t>
  </si>
  <si>
    <t>RELATIVA( %)</t>
  </si>
  <si>
    <t>ABSOLUTA</t>
  </si>
  <si>
    <t>ALGODÓN</t>
  </si>
  <si>
    <t xml:space="preserve">     Superficie  Sembrada (Has)</t>
  </si>
  <si>
    <t xml:space="preserve">     Superficie  Cosechada (Has)</t>
  </si>
  <si>
    <t xml:space="preserve">     Producción (Tons)</t>
  </si>
  <si>
    <t xml:space="preserve">     Rendimiento (Ton/Ha)</t>
  </si>
  <si>
    <t>ARROZ RIEGO</t>
  </si>
  <si>
    <t xml:space="preserve">     Rendimiento (Kg/Ha)</t>
  </si>
  <si>
    <t>FRIJOL TECNIFICADO</t>
  </si>
  <si>
    <t>FRIJOL TRADICIONAL</t>
  </si>
  <si>
    <t>SORGO</t>
  </si>
  <si>
    <t>SOYA</t>
  </si>
  <si>
    <t>TABACO RUBIO</t>
  </si>
  <si>
    <t>SUBTOTAL TRANS. BASICOS A.S.</t>
  </si>
  <si>
    <t>SUBTOTAL TRANS. BASICOS A.C.</t>
  </si>
  <si>
    <t>varas</t>
  </si>
  <si>
    <t>SUBTOTAL TRANS. BASICOS  P.</t>
  </si>
  <si>
    <r>
      <t xml:space="preserve">A.S : </t>
    </r>
    <r>
      <rPr>
        <sz val="11"/>
        <rFont val="Arial"/>
        <family val="2"/>
      </rPr>
      <t xml:space="preserve"> Area  Sembrada (Has).     </t>
    </r>
    <r>
      <rPr>
        <b/>
        <sz val="11"/>
        <rFont val="Arial"/>
        <family val="2"/>
      </rPr>
      <t>A.C :</t>
    </r>
    <r>
      <rPr>
        <sz val="11"/>
        <rFont val="Arial"/>
        <family val="2"/>
      </rPr>
      <t xml:space="preserve"> Area Cosechada (Has).    </t>
    </r>
    <r>
      <rPr>
        <b/>
        <sz val="11"/>
        <rFont val="Arial"/>
        <family val="2"/>
      </rPr>
      <t>P :</t>
    </r>
    <r>
      <rPr>
        <sz val="11"/>
        <rFont val="Arial"/>
        <family val="2"/>
      </rPr>
      <t xml:space="preserve"> Producción (Ton)</t>
    </r>
  </si>
  <si>
    <t>CULTIVOS TRANSITORIOS HORTALIZAS</t>
  </si>
  <si>
    <t>AHUYAMA</t>
  </si>
  <si>
    <t>ARVEJA</t>
  </si>
  <si>
    <t>HABICHUELA</t>
  </si>
  <si>
    <t>HORTALIZAS ( VARIAS )</t>
  </si>
  <si>
    <t>CEBOLLA CABEZONA</t>
  </si>
  <si>
    <t>MELÓN</t>
  </si>
  <si>
    <r>
      <t>A.S :</t>
    </r>
    <r>
      <rPr>
        <sz val="12"/>
        <rFont val="Arial"/>
        <family val="2"/>
      </rPr>
      <t xml:space="preserve"> 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</si>
  <si>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PAPA</t>
  </si>
  <si>
    <t>PEPINO COHOMBRO</t>
  </si>
  <si>
    <t>PIMENTÓN</t>
  </si>
  <si>
    <t>SANDÍA</t>
  </si>
  <si>
    <t>TOMATE DE MESA</t>
  </si>
  <si>
    <t>SUBTOTAL TRANS. HORTALIZAS    A.S.</t>
  </si>
  <si>
    <t>SUBTOTAL TRANS. HORTALIZAS    A.C.</t>
  </si>
  <si>
    <t>SUBTOTAL TRANS. HORTALIZAS     P.</t>
  </si>
  <si>
    <t>CULTIVOS PERM.  SEMIPEM Y ANUALES  BASICOS</t>
  </si>
  <si>
    <t xml:space="preserve">  ACHIRA</t>
  </si>
  <si>
    <t xml:space="preserve">  ARRACACHA</t>
  </si>
  <si>
    <t>CEBOLLA JUNCA</t>
  </si>
  <si>
    <t xml:space="preserve">  YUCA</t>
  </si>
  <si>
    <t xml:space="preserve">  CACAO</t>
  </si>
  <si>
    <t xml:space="preserve">  CAÑA PANELERA</t>
  </si>
  <si>
    <t xml:space="preserve">  CAFÉ  </t>
  </si>
  <si>
    <t>SUBTOTAL PERM-ANUAL BASICOS  A.S.</t>
  </si>
  <si>
    <t>SUBTOTAL PERM-ANUAL BASICOS  A.C.</t>
  </si>
  <si>
    <t>SUBTOTAL PERM-ANUAL BASICOS    P.</t>
  </si>
  <si>
    <t>ALMIDON</t>
  </si>
  <si>
    <t>TALLO</t>
  </si>
  <si>
    <t>CONTENIDO POR HOJA</t>
  </si>
  <si>
    <t>CULTIVOS TRANSITORIOS POR MUNICIPIOS</t>
  </si>
  <si>
    <t>CONSOLIDADO CULTIVOS TRANSITORIOS DEPARTAMENTAL</t>
  </si>
  <si>
    <t>COSTOS DE PRODUCCIÓN CULTIVOS TRANSITORIOS</t>
  </si>
  <si>
    <t>CONSOLIDADO CULTIVOS ANUALES DEPARTAMENTAL</t>
  </si>
  <si>
    <t>COSTOS DE PRODUCCIÓN CULTIVOS ANUALES</t>
  </si>
  <si>
    <t>CULTIVOS PERMANENTES Y SEMIPERMANENTES POR MUNICIPIOS</t>
  </si>
  <si>
    <t>CULTIVOS ANUALES POR MUNICIPIOS</t>
  </si>
  <si>
    <t>CONSOLIDADO CULTIVOS PERMANENTES Y SEMIPERMANENTES  DEPARTAMENTAL</t>
  </si>
  <si>
    <t>COSTOS DE PRODUCCIÓN CULTIVOS PERMANENTES Y SEMIPERMANENTES</t>
  </si>
  <si>
    <t>INVENTARIO BOVINO</t>
  </si>
  <si>
    <t>INVENTARIO DE ÁREAS DE PASTOS</t>
  </si>
  <si>
    <t>SACRIFICIO Y PRODUCCIÓN DE LECHE PARA BOVINOS</t>
  </si>
  <si>
    <t>OTRAS ESPECIES PECUARIAS</t>
  </si>
  <si>
    <t>INVENTARIO Y PRODUCCIÓN PISCÍCOLA</t>
  </si>
  <si>
    <t xml:space="preserve">REPORTES </t>
  </si>
  <si>
    <t>COMPORTAMIENTO DE CULTIVOS DEPARTAMENTAL</t>
  </si>
  <si>
    <t>COMPORTAMIENTO DE PRECIOS Y COSTOS DE PRODUCCIÓN</t>
  </si>
  <si>
    <t>COMPORTAMIENTO PECUARIO Y PISCÍCOLA DEPARTAMENTAL</t>
  </si>
  <si>
    <t>JORNALES REQUERIDOS PARA LA PRODUCCIÓN AGRÍCOLA</t>
  </si>
  <si>
    <t>VALOR DE LA PRODUCCIÓN AGRÍCOLA (Precios Corrientes)</t>
  </si>
  <si>
    <t>REPORTES A PRECIOS  CORRIENTES</t>
  </si>
  <si>
    <t>RESUMEN DEL VALOR DE LA PRODUCCIÓN AGRÍCOLA (Precios Corrientes)</t>
  </si>
  <si>
    <t>VALOR DE LA PRODUCCIÓN PECUARIA (Precios Corrientes)</t>
  </si>
  <si>
    <t>VALOR DE LA PRODUCCIÓN PISCÍCOLA (Precios Corrientes)</t>
  </si>
  <si>
    <t>VALOR DE LA PRODUCCIÓN TOTAL DEPARTAMENTAL (Precios Corrientes)</t>
  </si>
  <si>
    <t>CAPITULOS</t>
  </si>
  <si>
    <t>II</t>
  </si>
  <si>
    <t>III</t>
  </si>
  <si>
    <t>IV</t>
  </si>
  <si>
    <t>V</t>
  </si>
  <si>
    <t>INVENTARIO PORCINOS</t>
  </si>
  <si>
    <t>SACRIFICIO PORCINOS</t>
  </si>
  <si>
    <r>
      <t xml:space="preserve">(+) </t>
    </r>
    <r>
      <rPr>
        <sz val="11"/>
        <rFont val="Arial"/>
        <family val="2"/>
      </rPr>
      <t>Corresponde a la sumatoria de Plátano  Solo  y  Plátano Intercalado</t>
    </r>
  </si>
  <si>
    <t>AGUACATE</t>
  </si>
  <si>
    <t>BADEA</t>
  </si>
  <si>
    <t>BANANO</t>
  </si>
  <si>
    <t>CURUBA</t>
  </si>
  <si>
    <t>CÍTRICOS</t>
  </si>
  <si>
    <t>CHOLUPA</t>
  </si>
  <si>
    <t>GUANÁBANA</t>
  </si>
  <si>
    <t>GRANADILLA</t>
  </si>
  <si>
    <t>LULO</t>
  </si>
  <si>
    <r>
      <t xml:space="preserve">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</si>
  <si>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MANGO</t>
  </si>
  <si>
    <t>MARACUYÁ</t>
  </si>
  <si>
    <t>MORA</t>
  </si>
  <si>
    <t>PAPAYA</t>
  </si>
  <si>
    <t>PIÑA</t>
  </si>
  <si>
    <t>PITAHAYA</t>
  </si>
  <si>
    <t>TOMATE DE ÁRBOL</t>
  </si>
  <si>
    <t>UVA</t>
  </si>
  <si>
    <t xml:space="preserve">CULTIVOS </t>
  </si>
  <si>
    <t>GRAN TOTAL TRANSITORIOS</t>
  </si>
  <si>
    <t xml:space="preserve">     Superficie. Total Plantada (Has)</t>
  </si>
  <si>
    <t>GRAN TOTAL AGRICOLA</t>
  </si>
  <si>
    <t xml:space="preserve">    Sup. Sembrada  A.S.</t>
  </si>
  <si>
    <t xml:space="preserve">    Sup. Cosechada   A.C.</t>
  </si>
  <si>
    <t xml:space="preserve">    Producción   P.</t>
  </si>
  <si>
    <r>
      <t>A.S :</t>
    </r>
    <r>
      <rPr>
        <sz val="10"/>
        <rFont val="Arial"/>
        <family val="2"/>
      </rPr>
      <t xml:space="preserve">  Area  Sembrada (Has).     </t>
    </r>
    <r>
      <rPr>
        <b/>
        <sz val="10"/>
        <rFont val="Arial"/>
        <family val="2"/>
      </rPr>
      <t>A.C :</t>
    </r>
    <r>
      <rPr>
        <sz val="10"/>
        <rFont val="Arial"/>
        <family val="2"/>
      </rPr>
      <t xml:space="preserve"> Area Cosechada (Has).     </t>
    </r>
    <r>
      <rPr>
        <b/>
        <sz val="10"/>
        <rFont val="Arial"/>
        <family val="2"/>
      </rPr>
      <t xml:space="preserve"> P :</t>
    </r>
    <r>
      <rPr>
        <sz val="10"/>
        <rFont val="Arial"/>
        <family val="2"/>
      </rPr>
      <t xml:space="preserve"> Producción (Ton).</t>
    </r>
  </si>
  <si>
    <t>GUAYABA &amp;</t>
  </si>
  <si>
    <t>MAIZ  TECNIFICADO [+]</t>
  </si>
  <si>
    <t>MAIZ TRADICONAL [+]</t>
  </si>
  <si>
    <r>
      <t xml:space="preserve">(+) </t>
    </r>
    <r>
      <rPr>
        <sz val="10"/>
        <rFont val="Arial"/>
        <family val="2"/>
      </rPr>
      <t>Corresponde a la sumatoria de Maíz  Blanco y Amarillo</t>
    </r>
  </si>
  <si>
    <t xml:space="preserve">     Producción (Tons) Semilla</t>
  </si>
  <si>
    <t xml:space="preserve">     Producción (Tons) Paddy Verde</t>
  </si>
  <si>
    <t xml:space="preserve">     Producción (Tons) Grano Seco</t>
  </si>
  <si>
    <t xml:space="preserve">     Producción (Tons) Hoja Seca</t>
  </si>
  <si>
    <t>(Ton) *</t>
  </si>
  <si>
    <t xml:space="preserve">     Producción (Tons) Fruta</t>
  </si>
  <si>
    <t xml:space="preserve">     Producción (Tons)  Verde</t>
  </si>
  <si>
    <t xml:space="preserve">     Producción (Tons) Verde</t>
  </si>
  <si>
    <t xml:space="preserve">     Producción (Tons)  Bulbo</t>
  </si>
  <si>
    <t xml:space="preserve">     Producción (Tons) Tubérculo</t>
  </si>
  <si>
    <t xml:space="preserve">     Producción (Tons) Fruto</t>
  </si>
  <si>
    <t xml:space="preserve">     Producción (Tons) Almidón</t>
  </si>
  <si>
    <t xml:space="preserve">     Producción (Tons) Tallo</t>
  </si>
  <si>
    <t xml:space="preserve">     Producción (Tons) Panela</t>
  </si>
  <si>
    <t xml:space="preserve">     Producción (Tons)  Racimo</t>
  </si>
  <si>
    <t xml:space="preserve">     Producción (Tons) Pergamino Seco</t>
  </si>
  <si>
    <t>INVENTARIO ANIMALES DE LABOR Y OTRAS ESPECIES</t>
  </si>
  <si>
    <t>Esp. Agricultura Específica por Sitio</t>
  </si>
  <si>
    <t>Arriendo Hornos  x Kilo</t>
  </si>
  <si>
    <t>Transporte insumos</t>
  </si>
  <si>
    <t>CULTIVO:  DURAZNO</t>
  </si>
  <si>
    <t>Durazno</t>
  </si>
  <si>
    <t>DURAZNO</t>
  </si>
  <si>
    <t>Cñ</t>
  </si>
  <si>
    <t>Mf</t>
  </si>
  <si>
    <t>Bo</t>
  </si>
  <si>
    <t>Mr</t>
  </si>
  <si>
    <t>El</t>
  </si>
  <si>
    <t>Es</t>
  </si>
  <si>
    <t>Sb</t>
  </si>
  <si>
    <t>Q</t>
  </si>
  <si>
    <t>Precio promedio ($/Lt)</t>
  </si>
  <si>
    <t>Precio promedio ($/Kilo) en pie</t>
  </si>
  <si>
    <t>Precio promedio productor ($/Kl) pie</t>
  </si>
  <si>
    <t>Guayaba Manzana y Pera</t>
  </si>
  <si>
    <t>Hortalizas (varias pequeña escala)</t>
  </si>
  <si>
    <t>Control  Fungic</t>
  </si>
  <si>
    <t>herramientas</t>
  </si>
  <si>
    <t>TILAPIA   (Ton)</t>
  </si>
  <si>
    <t>COBERTURA DE VACUNACIÓN POR PREDIOS Y BOVINOS</t>
  </si>
  <si>
    <t>Total Bovinos</t>
  </si>
  <si>
    <t>Bovinos Vacunados</t>
  </si>
  <si>
    <t>Cypermetrin</t>
  </si>
  <si>
    <t>Bolsas lechosa</t>
  </si>
  <si>
    <t>Deschuponada - Formacion</t>
  </si>
  <si>
    <t>Poda</t>
  </si>
  <si>
    <t>Embolsado de frutos</t>
  </si>
  <si>
    <t>Promedio  Lt / Vaca / Día</t>
  </si>
  <si>
    <t>AUTOCONSUMO Y FINCA</t>
  </si>
  <si>
    <t>** Peso promedio deguello 1,65 Kg, sin: plumas y visceras</t>
  </si>
  <si>
    <t>FUENTE: Secretaría de Agricultura y Minería. Observatorio de Territorios Rurales. Evaluaciones Agropecuarias Municipales</t>
  </si>
  <si>
    <t>Otros  - Transporte Insumos</t>
  </si>
  <si>
    <t>Transporte intgerno</t>
  </si>
  <si>
    <t>Retefuente  2% sobre ($/Ha)</t>
  </si>
  <si>
    <t>Viajes</t>
  </si>
  <si>
    <t>FUENTE: Ministerio de Agricultura.</t>
  </si>
  <si>
    <t xml:space="preserve">                  Anuario Agropecuario del Huila 2005</t>
  </si>
  <si>
    <t>($/Ton) $2005</t>
  </si>
  <si>
    <t>* 16 huevos = 1 kilo,    $162 Unidad</t>
  </si>
  <si>
    <t>Café Especial</t>
  </si>
  <si>
    <t>Carne bovina</t>
  </si>
  <si>
    <t>Leche bovina</t>
  </si>
  <si>
    <t>Carne porcino</t>
  </si>
  <si>
    <t>Carne avícola</t>
  </si>
  <si>
    <t>Huevos</t>
  </si>
  <si>
    <t>Tilapia</t>
  </si>
  <si>
    <t>Mojarra Plateada</t>
  </si>
  <si>
    <t>Bocachico</t>
  </si>
  <si>
    <t>Sábalo</t>
  </si>
  <si>
    <t>Hortalizas (Peq. Escala)</t>
  </si>
  <si>
    <t xml:space="preserve"> PRECIOS CONSTANTES PAGADOS AL PRODUCTOR PROMEDIO NACIONAL Y DEPARTAMENTAL</t>
  </si>
  <si>
    <t>(PRECIOS CONSTANTES $/2005)</t>
  </si>
  <si>
    <t>MILLONES ($) 2005  &amp;</t>
  </si>
  <si>
    <t>($/2005)</t>
  </si>
  <si>
    <r>
      <t xml:space="preserve"> </t>
    </r>
    <r>
      <rPr>
        <b/>
        <sz val="11"/>
        <rFont val="Arial"/>
        <family val="2"/>
      </rPr>
      <t>&amp;</t>
    </r>
    <r>
      <rPr>
        <sz val="11"/>
        <rFont val="Arial"/>
        <family val="2"/>
      </rPr>
      <t xml:space="preserve"> VALORACION DE LA PRODUCCION MILL($)2005. Tabla base Min. Agricultura/SEDAM</t>
    </r>
  </si>
  <si>
    <t>MILLONES ($) 2005</t>
  </si>
  <si>
    <t>(Precios Constantes 2005)</t>
  </si>
  <si>
    <t>VALORACION DE LA PRODUCCION MILL($) 2005</t>
  </si>
  <si>
    <t xml:space="preserve">Achira </t>
  </si>
  <si>
    <t xml:space="preserve">Cebolla Junca </t>
  </si>
  <si>
    <t>G-SEGO</t>
  </si>
  <si>
    <t>Transporte de insumos e interno</t>
  </si>
  <si>
    <t>Deshoje y descoline</t>
  </si>
  <si>
    <t>Aplicaciòn de Fungicidas</t>
  </si>
  <si>
    <t>Aplicaciòn de Insecticidas</t>
  </si>
  <si>
    <t xml:space="preserve">Fungicida </t>
  </si>
  <si>
    <t>Clorotalonil</t>
  </si>
  <si>
    <t>Carbofuran</t>
  </si>
  <si>
    <t>Deshierva</t>
  </si>
  <si>
    <t>Aplicaciòn Fungicidas</t>
  </si>
  <si>
    <t>Aplicaciòn Insecticidaas</t>
  </si>
  <si>
    <t>Fríjol (Tecnificado y Tradicional)</t>
  </si>
  <si>
    <t>PRODUCCIÓN   (MILL ($) 2005)</t>
  </si>
  <si>
    <r>
      <t xml:space="preserve">PRODUCCIÓN </t>
    </r>
    <r>
      <rPr>
        <b/>
        <sz val="11"/>
        <rFont val="Arial"/>
        <family val="2"/>
      </rPr>
      <t>(MILLONES ($) 2005)</t>
    </r>
  </si>
  <si>
    <t>PRODUCCIÓN  (MILL ($) 2005)</t>
  </si>
  <si>
    <t xml:space="preserve">                   FINAGRO</t>
  </si>
  <si>
    <t>CULTIVO:  GULUPA</t>
  </si>
  <si>
    <t>Gulupa</t>
  </si>
  <si>
    <t>Ay</t>
  </si>
  <si>
    <t xml:space="preserve">Precio al </t>
  </si>
  <si>
    <t>Productor</t>
  </si>
  <si>
    <t>$/Kl</t>
  </si>
  <si>
    <t/>
  </si>
  <si>
    <t>Btos</t>
  </si>
  <si>
    <t>Interes sobre financiación (asociaciòn)  4% de ($6,000,000)</t>
  </si>
  <si>
    <t xml:space="preserve">                    DANE - Boletines Precios de Insumos y Factores Asociados a la Produción Agropecuaria</t>
  </si>
  <si>
    <t xml:space="preserve">               DANE - Boletines Precios de Insumos y Factores Asociados a la Produción Agropecuaria</t>
  </si>
  <si>
    <t xml:space="preserve">FUENTE: Secretaría de Agricultura y Minería. Observatorio de Territorios Rurales. Evaluaciones Agropecuarias Municipales </t>
  </si>
  <si>
    <t xml:space="preserve"> 15-15-15</t>
  </si>
  <si>
    <t xml:space="preserve">DA P </t>
  </si>
  <si>
    <t>Mz</t>
  </si>
  <si>
    <t>PARTICIPACIÓN POR RUBROS DE CULTIVOS EN EL VOLUMEN (Ton) Y VALOR DE LA PRODUCCIÓN ($)</t>
  </si>
  <si>
    <t>VALORACIÓN DEL CRECIMIENTO AGRÍCOLA DEPARTAMENTAL (Precios Constantes 2005)</t>
  </si>
  <si>
    <t>VALORACIÓN DEL CRECIMIENTO PECUARIO Y PISCÍCOLA DEPARTAMENTAL (Precios Constantes 2005)</t>
  </si>
  <si>
    <t>VALORACIÓN DEL CRECIMIENTO TOTAL DEPARTAMENTAL (Precios Constantes 2005)</t>
  </si>
  <si>
    <t>TABLA PRECIOS AL PRODUCTOR CONSTANTRES DE 2005</t>
  </si>
  <si>
    <t>*Panela</t>
  </si>
  <si>
    <t>SISTEMAS SILVOPASTORIL</t>
  </si>
  <si>
    <t>TOTAL AREA PASTOS, FORRAJES Y SILVOPASTORIL</t>
  </si>
  <si>
    <t>Ei</t>
  </si>
  <si>
    <t>Sn</t>
  </si>
  <si>
    <t xml:space="preserve">B </t>
  </si>
  <si>
    <t>Af</t>
  </si>
  <si>
    <t>Transporte Plántulas e insumos</t>
  </si>
  <si>
    <t>contrato</t>
  </si>
  <si>
    <t>Materia Orgánica</t>
  </si>
  <si>
    <t>NOTA: Se incluye varas para entable, como monocultivo en voluble</t>
  </si>
  <si>
    <t>Benlate 50</t>
  </si>
  <si>
    <t>sobre 100 g</t>
  </si>
  <si>
    <t>sobre 100g</t>
  </si>
  <si>
    <t xml:space="preserve">               FEDECACAO - Regional Huila </t>
  </si>
  <si>
    <t>Compuesto</t>
  </si>
  <si>
    <t>Microessential</t>
  </si>
  <si>
    <t>Borozinco</t>
  </si>
  <si>
    <t>Nitroxtend + K</t>
  </si>
  <si>
    <t>Sulcamag</t>
  </si>
  <si>
    <t>Coljap Zinc</t>
  </si>
  <si>
    <t>Fase 3</t>
  </si>
  <si>
    <t>Amidas</t>
  </si>
  <si>
    <t xml:space="preserve">KCL </t>
  </si>
  <si>
    <t xml:space="preserve">SAM </t>
  </si>
  <si>
    <t xml:space="preserve">Urea </t>
  </si>
  <si>
    <t>Monocrotofos</t>
  </si>
  <si>
    <t>Fulminator</t>
  </si>
  <si>
    <t>Roxion</t>
  </si>
  <si>
    <t>Imidacloprid</t>
  </si>
  <si>
    <t>Coadyuvante</t>
  </si>
  <si>
    <t>Inex A</t>
  </si>
  <si>
    <t>Taspa</t>
  </si>
  <si>
    <t>Rally</t>
  </si>
  <si>
    <t>Amistar Top</t>
  </si>
  <si>
    <t>Carbendazim</t>
  </si>
  <si>
    <t>Kazugamicina</t>
  </si>
  <si>
    <t>CosmoAgua</t>
  </si>
  <si>
    <t>Cumbre</t>
  </si>
  <si>
    <t>Propineb</t>
  </si>
  <si>
    <t>Merit Amarillo</t>
  </si>
  <si>
    <t>80 gs</t>
  </si>
  <si>
    <t>Bactericida</t>
  </si>
  <si>
    <t>200 gr</t>
  </si>
  <si>
    <t>Corrector Ph</t>
  </si>
  <si>
    <t>aquí</t>
  </si>
  <si>
    <t>Almacigos - siembras - sostenimiento - Trazado y aplicación de correctivos</t>
  </si>
  <si>
    <t>Hora</t>
  </si>
  <si>
    <t>Emplasticada</t>
  </si>
  <si>
    <t>Rotiado</t>
  </si>
  <si>
    <t>Guiada</t>
  </si>
  <si>
    <t>Saneo y volteo</t>
  </si>
  <si>
    <t>Atierrado</t>
  </si>
  <si>
    <t>Celaduría</t>
  </si>
  <si>
    <t>Libra</t>
  </si>
  <si>
    <t>Deltametrina</t>
  </si>
  <si>
    <t>Metanidafos</t>
  </si>
  <si>
    <t>Avermectina</t>
  </si>
  <si>
    <t>Mancozeb</t>
  </si>
  <si>
    <t>Cymoxanil</t>
  </si>
  <si>
    <t>Plástico</t>
  </si>
  <si>
    <t>m</t>
  </si>
  <si>
    <t>Paraquat</t>
  </si>
  <si>
    <t>MELON</t>
  </si>
  <si>
    <t xml:space="preserve">Rastrillada </t>
  </si>
  <si>
    <t>Fertilizante  (DAP)</t>
  </si>
  <si>
    <t>Fertilizante  (Urea)</t>
  </si>
  <si>
    <t>Fertilizante  (KCl)</t>
  </si>
  <si>
    <t>Kieserita</t>
  </si>
  <si>
    <t>Ahoyado y fijada de postes</t>
  </si>
  <si>
    <t>Calibre 8-10</t>
  </si>
  <si>
    <t>VR/UNIT</t>
  </si>
  <si>
    <t>Postes concreto</t>
  </si>
  <si>
    <t>Muertos para templetes</t>
  </si>
  <si>
    <t>INSUMO</t>
  </si>
  <si>
    <t>Pesada y Limpeza</t>
  </si>
  <si>
    <t>Nitrifoliar</t>
  </si>
  <si>
    <t>Riego y Drenajes</t>
  </si>
  <si>
    <t>Deschupada y polinización</t>
  </si>
  <si>
    <t>Pesada y limpieza</t>
  </si>
  <si>
    <t>Podas y Deschuponada</t>
  </si>
  <si>
    <t>Aplicaciòn Herbicidas</t>
  </si>
  <si>
    <t>Fertilizante Simple</t>
  </si>
  <si>
    <t>Fertilizante menores</t>
  </si>
  <si>
    <t>Abono Orgánico</t>
  </si>
  <si>
    <t>Compost</t>
  </si>
  <si>
    <t>Fertilizante foliar</t>
  </si>
  <si>
    <t>Cal Agrícola</t>
  </si>
  <si>
    <t>Deschuponada y polinización</t>
  </si>
  <si>
    <t>Embolsasda de fruto</t>
  </si>
  <si>
    <t>Bolsas</t>
  </si>
  <si>
    <t>MSc.  Sistemas de Información Geográfica</t>
  </si>
  <si>
    <t>CULTIVO SEMESTRAL:  FRIJOL TRADICIONAL</t>
  </si>
  <si>
    <t>CULTIVO SEMESTRAL:  MAIZ TECNIFICADO BLANCO</t>
  </si>
  <si>
    <t>CULTIVO SEMESTRAL:  PIMENTON</t>
  </si>
  <si>
    <t>CULTIVO SEMESTRAL:  SOYA</t>
  </si>
  <si>
    <t>CULTIVO :    BADEA</t>
  </si>
  <si>
    <t>CULTIVO:    CURUBA</t>
  </si>
  <si>
    <t>CULTIVO :    GRANADILLA</t>
  </si>
  <si>
    <t>CULTIVO :    MORA</t>
  </si>
  <si>
    <t>CULTIVO :   TOMATE DE ARBOL</t>
  </si>
  <si>
    <t xml:space="preserve">CULTIVO :   UVA </t>
  </si>
  <si>
    <t>HOBO</t>
  </si>
  <si>
    <t>CAMPOALEGRE</t>
  </si>
  <si>
    <t>YAGUARÁ</t>
  </si>
  <si>
    <t>ROJA %</t>
  </si>
  <si>
    <t>TOTAL %</t>
  </si>
  <si>
    <t xml:space="preserve">Producción Betania: </t>
  </si>
  <si>
    <r>
      <t xml:space="preserve">CONVENCIONES: </t>
    </r>
    <r>
      <rPr>
        <b/>
        <sz val="9"/>
        <rFont val="Arial"/>
        <family val="2"/>
      </rPr>
      <t>S: Sembrados                     C: Cosechados</t>
    </r>
  </si>
  <si>
    <t>Orthocide</t>
  </si>
  <si>
    <t xml:space="preserve">DAP </t>
  </si>
  <si>
    <t>Se recomienda para este cultivo, posteadura en concreto y muertos para templetes:</t>
  </si>
  <si>
    <t>PLATEADA %</t>
  </si>
  <si>
    <t>Alambre Cl 12</t>
  </si>
  <si>
    <t xml:space="preserve">                  Cadena Productiva Frutícola Departamento del Huila</t>
  </si>
  <si>
    <t xml:space="preserve">                    GREMIOS DE LA PRODUCCIÓN, PRODUCTORES, FINAGRO</t>
  </si>
  <si>
    <t xml:space="preserve">                   GREMIOS DE LA PRODUCCIÓN</t>
  </si>
  <si>
    <t>Café - PIC 2016</t>
  </si>
  <si>
    <t>18 MESES</t>
  </si>
  <si>
    <t>ARROZ</t>
  </si>
  <si>
    <t>CEB. CABEZONA</t>
  </si>
  <si>
    <t>FRIJOL TEC</t>
  </si>
  <si>
    <t>FRIJOL TRAD</t>
  </si>
  <si>
    <t>HORTALIZAS</t>
  </si>
  <si>
    <t>MAIZ TEC BLANCO</t>
  </si>
  <si>
    <t>MAIZ TEC AMARILLO</t>
  </si>
  <si>
    <t>MAIZ TRAD BLANCO</t>
  </si>
  <si>
    <t>MAIZ TRAD AMARILO</t>
  </si>
  <si>
    <t>PIMENTON</t>
  </si>
  <si>
    <t>SANDIA</t>
  </si>
  <si>
    <t>PLATANO INTERC</t>
  </si>
  <si>
    <t>CITRICOS</t>
  </si>
  <si>
    <t>GULUPA</t>
  </si>
  <si>
    <t>GUAYABA COMUN</t>
  </si>
  <si>
    <t>GUAYABA MANZANA</t>
  </si>
  <si>
    <t>GUANABANA</t>
  </si>
  <si>
    <t>MARACUYA</t>
  </si>
  <si>
    <t>TOMATE ARBOL</t>
  </si>
  <si>
    <t>FLOR JAMAICA</t>
  </si>
  <si>
    <t>TABACO</t>
  </si>
  <si>
    <t>TOMATE</t>
  </si>
  <si>
    <t>MAT. VEGETAL</t>
  </si>
  <si>
    <t>San Agustin *</t>
  </si>
  <si>
    <t>CULTIVO SEMESTRAL: MAIZ TRADICIONAL BLANCO</t>
  </si>
  <si>
    <t>F1</t>
  </si>
  <si>
    <t>Bn</t>
  </si>
  <si>
    <t xml:space="preserve">M </t>
  </si>
  <si>
    <t>Ay x C</t>
  </si>
  <si>
    <r>
      <t xml:space="preserve">CONVENCIONES:   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= Angus,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Cebú,  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= Pardo Suizo,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 xml:space="preserve">= Holstein, </t>
    </r>
    <r>
      <rPr>
        <b/>
        <sz val="10"/>
        <rFont val="Arial"/>
        <family val="2"/>
      </rPr>
      <t xml:space="preserve"> J </t>
    </r>
    <r>
      <rPr>
        <sz val="10"/>
        <rFont val="Arial"/>
        <family val="2"/>
      </rPr>
      <t xml:space="preserve">= Jersey,  </t>
    </r>
    <r>
      <rPr>
        <b/>
        <sz val="10"/>
        <rFont val="Arial"/>
        <family val="2"/>
      </rPr>
      <t xml:space="preserve">B </t>
    </r>
    <r>
      <rPr>
        <sz val="10"/>
        <rFont val="Arial"/>
        <family val="2"/>
      </rPr>
      <t xml:space="preserve">= Brahaman,   </t>
    </r>
    <r>
      <rPr>
        <b/>
        <sz val="10"/>
        <rFont val="Arial"/>
        <family val="2"/>
      </rPr>
      <t>Cr</t>
    </r>
    <r>
      <rPr>
        <sz val="10"/>
        <rFont val="Arial"/>
        <family val="2"/>
      </rPr>
      <t xml:space="preserve"> = Criollo, 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 xml:space="preserve">= Normando, 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 xml:space="preserve">= Mestizo, </t>
    </r>
    <r>
      <rPr>
        <b/>
        <sz val="10"/>
        <rFont val="Arial"/>
        <family val="2"/>
      </rPr>
      <t>Gr</t>
    </r>
    <r>
      <rPr>
        <sz val="10"/>
        <rFont val="Arial"/>
        <family val="2"/>
      </rPr>
      <t xml:space="preserve">=Guirolando,  </t>
    </r>
    <r>
      <rPr>
        <b/>
        <sz val="10"/>
        <rFont val="Arial"/>
        <family val="2"/>
      </rPr>
      <t>Ay</t>
    </r>
    <r>
      <rPr>
        <sz val="10"/>
        <rFont val="Arial"/>
        <family val="2"/>
      </rPr>
      <t xml:space="preserve">:Ayrshire, </t>
    </r>
    <r>
      <rPr>
        <b/>
        <sz val="10"/>
        <rFont val="Arial"/>
        <family val="2"/>
      </rPr>
      <t>Gy</t>
    </r>
    <r>
      <rPr>
        <sz val="10"/>
        <rFont val="Arial"/>
        <family val="2"/>
      </rPr>
      <t xml:space="preserve">=Gyr,  S = Simbrah,  </t>
    </r>
    <r>
      <rPr>
        <b/>
        <sz val="10"/>
        <rFont val="Arial"/>
        <family val="2"/>
      </rPr>
      <t>Bn</t>
    </r>
    <r>
      <rPr>
        <sz val="10"/>
        <rFont val="Arial"/>
        <family val="2"/>
      </rPr>
      <t xml:space="preserve"> = Bon,   </t>
    </r>
    <r>
      <rPr>
        <b/>
        <sz val="10"/>
        <rFont val="Arial"/>
        <family val="2"/>
      </rPr>
      <t>Br</t>
    </r>
    <r>
      <rPr>
        <sz val="10"/>
        <rFont val="Arial"/>
        <family val="2"/>
      </rPr>
      <t xml:space="preserve"> = Brangus</t>
    </r>
  </si>
  <si>
    <t>C x P</t>
  </si>
  <si>
    <t>A x S</t>
  </si>
  <si>
    <t>B x Gy</t>
  </si>
  <si>
    <t>H x Cr</t>
  </si>
  <si>
    <t>P x H</t>
  </si>
  <si>
    <t>C x H</t>
  </si>
  <si>
    <t>Gr x P</t>
  </si>
  <si>
    <t>C x M</t>
  </si>
  <si>
    <t>H x P</t>
  </si>
  <si>
    <t>F1 x M</t>
  </si>
  <si>
    <t>VARIEDADES PREDOMINANTES:   K= Kingrass      P= Puntero     B= Brachiaria     Es= Estrella        Mr=Maralfalfa      Q=Quicuyo             Gr=Grama                Mi=Micay        I=Imperial            Ch:Chachafruto    An: Angleton</t>
  </si>
  <si>
    <t>An</t>
  </si>
  <si>
    <t xml:space="preserve">Bo </t>
  </si>
  <si>
    <t xml:space="preserve">L </t>
  </si>
  <si>
    <t xml:space="preserve">El </t>
  </si>
  <si>
    <t xml:space="preserve">Es </t>
  </si>
  <si>
    <t>Mi</t>
  </si>
  <si>
    <t xml:space="preserve">I </t>
  </si>
  <si>
    <t>R</t>
  </si>
  <si>
    <t>Cl</t>
  </si>
  <si>
    <r>
      <t xml:space="preserve">                                              </t>
    </r>
    <r>
      <rPr>
        <b/>
        <sz val="10"/>
        <rFont val="Arial"/>
        <family val="2"/>
      </rPr>
      <t>Sb: Saboya        El: Elefante       L: Leucaena     Mz: Maíz Forrajero   Af: Acacia Forrajera     Ei: Estrella de la India      Sn: Sabana    R:Remolino   G: Gordura</t>
    </r>
  </si>
  <si>
    <t xml:space="preserve">G </t>
  </si>
  <si>
    <t xml:space="preserve">Gr </t>
  </si>
  <si>
    <t xml:space="preserve">An </t>
  </si>
  <si>
    <t xml:space="preserve">                                              M=Matarratón     Cñ=Caña     Cr=Crotalaria      R=Ramio     S=Sorgo Forrajero    C=Cuchiyuyo    Mf: Mani Forrajero    Bo:Boton de Oro     Cl:Colosuana   In:India</t>
  </si>
  <si>
    <t>In</t>
  </si>
  <si>
    <t xml:space="preserve">P </t>
  </si>
  <si>
    <t>* Después de asumida la mortalidad 10%</t>
  </si>
  <si>
    <t>JAULAS Y JAULONES</t>
  </si>
  <si>
    <t>SISTEMA DE PRODUCCIÓN EN TIERRA</t>
  </si>
  <si>
    <t>SISTEMAS EN JAULAS Y JAULONES FLOTANTES</t>
  </si>
  <si>
    <r>
      <t>ÁREA TOTAL ESPEJO DE AGUA ESTIMADA TIERRA M</t>
    </r>
    <r>
      <rPr>
        <b/>
        <vertAlign val="superscript"/>
        <sz val="9"/>
        <rFont val="Arial"/>
        <family val="2"/>
      </rPr>
      <t>2</t>
    </r>
  </si>
  <si>
    <t>OTRAS TECNOLOGÍAS UNIDADES</t>
  </si>
  <si>
    <t>PRODUCCIÒN EN TIERRA</t>
  </si>
  <si>
    <t>PRODUCCIÓN EN TIERRA</t>
  </si>
  <si>
    <t>SÁBALO</t>
  </si>
  <si>
    <t>BOCACHICO  (Ton)</t>
  </si>
  <si>
    <t>SÁBALO  (Ton)</t>
  </si>
  <si>
    <t xml:space="preserve">BOCACHICO  </t>
  </si>
  <si>
    <t>Café (Estandar + Especial)</t>
  </si>
  <si>
    <t xml:space="preserve">Bocachico  </t>
  </si>
  <si>
    <t>GRAN TOTAL AGROPECUARIO</t>
  </si>
  <si>
    <t>PASTURAS Y FORRAJES</t>
  </si>
  <si>
    <t>CARNE BOVINA</t>
  </si>
  <si>
    <t>LECHE BOVINA</t>
  </si>
  <si>
    <t>CARNE PORCINA</t>
  </si>
  <si>
    <t>CARNE AVÍCOLA</t>
  </si>
  <si>
    <t>HUEVOS AVÍCOLA</t>
  </si>
  <si>
    <t>MIEL</t>
  </si>
  <si>
    <t>GRAN TOTAL AGROPECAURIO</t>
  </si>
  <si>
    <t xml:space="preserve">                 </t>
  </si>
  <si>
    <t>P X H</t>
  </si>
  <si>
    <t>C X P</t>
  </si>
  <si>
    <t xml:space="preserve">P  </t>
  </si>
  <si>
    <t xml:space="preserve">H </t>
  </si>
  <si>
    <t>B x M</t>
  </si>
  <si>
    <t>B X Gy</t>
  </si>
  <si>
    <t xml:space="preserve">Cr </t>
  </si>
  <si>
    <t>C X B</t>
  </si>
  <si>
    <t>G</t>
  </si>
  <si>
    <t>H x Gr</t>
  </si>
  <si>
    <t>H X Gy</t>
  </si>
  <si>
    <t>H x B</t>
  </si>
  <si>
    <t>Gy</t>
  </si>
  <si>
    <t>P x C</t>
  </si>
  <si>
    <t xml:space="preserve">J </t>
  </si>
  <si>
    <t>H x Gy</t>
  </si>
  <si>
    <t>C x Cr</t>
  </si>
  <si>
    <t>P x M</t>
  </si>
  <si>
    <t>Gr x C</t>
  </si>
  <si>
    <t xml:space="preserve">              INSTITUTO COLOMBIANO AGROPECUARIO - ICA</t>
  </si>
  <si>
    <t>CARNE (Kgs)**</t>
  </si>
  <si>
    <r>
      <t xml:space="preserve">                       </t>
    </r>
    <r>
      <rPr>
        <b/>
        <sz val="9"/>
        <rFont val="Arial"/>
        <family val="2"/>
      </rPr>
      <t xml:space="preserve"> ¢ </t>
    </r>
    <r>
      <rPr>
        <sz val="9"/>
        <rFont val="Arial"/>
        <family val="2"/>
      </rPr>
      <t>Promedio para 12 a 20 cargas.</t>
    </r>
  </si>
  <si>
    <t>(Precios Constantes $/2005)</t>
  </si>
  <si>
    <t>VI</t>
  </si>
  <si>
    <t>CONSOLIDADO DE ÁREA (ha) SEMBRADA POR MUNICIPIO EN SISTEMAS PRODUCTIVOS AGRÍCOLAS, PASTURAS Y PISCÍCOLA</t>
  </si>
  <si>
    <t>CONSOLIDADO DE PRODUCCIÓN (ton) POR MUNICIPIO EN SISTEMAS PRODUCTIVOS AGRÍCOLAS, PECUARIOS Y PISCÍCOLAS</t>
  </si>
  <si>
    <t xml:space="preserve">           DANE - Boletines Precios de Insumos y Factores Asociados a la Produción Agropecuaria</t>
  </si>
  <si>
    <t>CULTIVO SEMESTRAL:  HABICHUELA</t>
  </si>
  <si>
    <t>CULTIVO SEMESTRAL:  PAPA</t>
  </si>
  <si>
    <t>CULTIVO SEMESTRAL:  TOMATE DE MESA</t>
  </si>
  <si>
    <t>CULTIVO :    CAFÉ</t>
  </si>
  <si>
    <t>CULTIVO : PLATANO SOLO</t>
  </si>
  <si>
    <t>CULTIVO :    PLATANO INTERCALADO</t>
  </si>
  <si>
    <t>CULTIVO :    CITRICOS</t>
  </si>
  <si>
    <t>CULTIVO :    GUAYABA MANZANA-PERA</t>
  </si>
  <si>
    <t>CULTIVO :    PAPAYA</t>
  </si>
  <si>
    <t>TON</t>
  </si>
  <si>
    <t>TOTAL TON</t>
  </si>
  <si>
    <t>P.P *</t>
  </si>
  <si>
    <t>D.PTO</t>
  </si>
  <si>
    <t>SUB TOTAL PERM  Y SEMIP. BÁSICOS</t>
  </si>
  <si>
    <t>TOTAL  PERMANENTES Y SEMIPERM.</t>
  </si>
  <si>
    <t>Carne Bovinos</t>
  </si>
  <si>
    <t>Leche Bovinos</t>
  </si>
  <si>
    <t>Carne Porcinos</t>
  </si>
  <si>
    <t>Miel Apícola</t>
  </si>
  <si>
    <t>TOTAL MUNICIPAL</t>
  </si>
  <si>
    <t>TOTAL DEPARTAMENTAL</t>
  </si>
  <si>
    <t>% MUNICIPAL</t>
  </si>
  <si>
    <t xml:space="preserve"> P:Producción(t)              P.P:Precio promedio al productor($/t)                V.P:Valor de la producción($)</t>
  </si>
  <si>
    <t>V.P ($ millones)</t>
  </si>
  <si>
    <t>Participación del volúmen de la producción de café:</t>
  </si>
  <si>
    <t>Especial:</t>
  </si>
  <si>
    <t>Clásico:</t>
  </si>
  <si>
    <t>SUBSECTOR</t>
  </si>
  <si>
    <t>PARTICIPACIONES (%) PRODUCCIÓN (t)</t>
  </si>
  <si>
    <t>PARTICIPACIONES (%) VR. PRODUCCIÓN ($)</t>
  </si>
  <si>
    <t>SUB SECTOR AGRÍCOLA</t>
  </si>
  <si>
    <t>SUB SECTOR PECUARIO</t>
  </si>
  <si>
    <t>SUB SECTOR PISCÍCOLA</t>
  </si>
  <si>
    <t>Santa María</t>
  </si>
  <si>
    <t>Teruél</t>
  </si>
  <si>
    <t>Paicól</t>
  </si>
  <si>
    <t>Elías</t>
  </si>
  <si>
    <t>VOLUMEN PRODUCCIÓN (ton)</t>
  </si>
  <si>
    <t>VALOR DE LA PRODUCCIÓN $Millones</t>
  </si>
  <si>
    <t>PART (%)</t>
  </si>
  <si>
    <t>VALOR DE LA PRODUCCIÓN AGROPECUARIA Y PISCÍCOLA, Y PARTICIPACIÓN POR MUNICIPIOS</t>
  </si>
  <si>
    <t xml:space="preserve">                     CONALGODÓN</t>
  </si>
  <si>
    <t>CULTIVO :   AGUACATE HASS</t>
  </si>
  <si>
    <t>CULTIVO :   AGUACATE LORENA</t>
  </si>
  <si>
    <t>REHABILITADA/RENOVADA</t>
  </si>
  <si>
    <t>CULTIVO :   AGUACATE (no Hass, ni Lorena)</t>
  </si>
  <si>
    <t>Aguacate (no hass, no lorena)</t>
  </si>
  <si>
    <t>Aguacate Hass</t>
  </si>
  <si>
    <t>Aguacate Lorena</t>
  </si>
  <si>
    <t>Fincas o Predos de 1 a 50 cabezas</t>
  </si>
  <si>
    <t>Fincas o Predos de 51 a 100 cabezas</t>
  </si>
  <si>
    <t>Fincas o Predos de 101 a 500 cabezas</t>
  </si>
  <si>
    <t>Fincas o Predos &gt;500 cabezas</t>
  </si>
  <si>
    <t>Total fincas o predios</t>
  </si>
  <si>
    <t>PREDIOS y/o FINCAS CON ACTIVIDAD BOVINA</t>
  </si>
  <si>
    <t>LECHONES &lt; 6 MESES</t>
  </si>
  <si>
    <t>HEMBRAS &gt; 6 MESES</t>
  </si>
  <si>
    <t>MACHOS &gt; 6 MESES</t>
  </si>
  <si>
    <t>PREDIOS TRASPATIO</t>
  </si>
  <si>
    <t>GRAN TOTAL PORCINOS</t>
  </si>
  <si>
    <t>GRAN TOTAL PREDIOS</t>
  </si>
  <si>
    <t>PORCINOS TRASPATIO</t>
  </si>
  <si>
    <t xml:space="preserve">                   CADENAS PRODUCTIVAS - GREMIOS DE LA PRODUCCIÓN  -  CONALGODON  - PRODUCTORES </t>
  </si>
  <si>
    <t xml:space="preserve">               GREMIOS DE LA PRODUCCIÓN, PRODUCTORES</t>
  </si>
  <si>
    <t>NOTA: Producción calculada con áreas rehabilitadas y cosechadas</t>
  </si>
  <si>
    <t>TUBÉRCULO</t>
  </si>
  <si>
    <t>CULTIVO SEMESTRAL:  FRIJOL TECNIFICADO</t>
  </si>
  <si>
    <t>Total Predios</t>
  </si>
  <si>
    <t>Predios Vacunados</t>
  </si>
  <si>
    <t>Cobertura Predios (%)</t>
  </si>
  <si>
    <t>Cobertura Bovinos (%)</t>
  </si>
  <si>
    <t>COMERCIAL FAMILIAR, INDUSTRIAL Y TECNIFICADO</t>
  </si>
  <si>
    <t>PREDIOS COMERCIAL FAMILIAR, INDUSTRIAL Y TECNIFICADO</t>
  </si>
  <si>
    <t xml:space="preserve">TOTAL PORCINOS </t>
  </si>
  <si>
    <t>** Lo Transado Por ALMACAFÉ y estimación del 40% adicional del total de la producción, en otros comercializadores</t>
  </si>
  <si>
    <t>AGUACATE NO HASS, NO LORENA</t>
  </si>
  <si>
    <t>AGUACATE HASS</t>
  </si>
  <si>
    <t>AGUACATE LORENA</t>
  </si>
  <si>
    <t xml:space="preserve">                Comité Departamental de Cafeteros del Huila </t>
  </si>
  <si>
    <t>COSTO DE PRODUCCIÓN PROMEDIO PARA UNA HECTÁREA  DE SORGO AÑO 2022</t>
  </si>
  <si>
    <t>EQUIPO TÉCNICO DE APOYO</t>
  </si>
  <si>
    <t>Ene-Dic-22</t>
  </si>
  <si>
    <t>AÑO 2022</t>
  </si>
  <si>
    <t>EVALUACIÓN PECUARIA AÑO 2022</t>
  </si>
  <si>
    <t>FUENTE: Instituto Colombiano Agropecuario -ICA - I ciclo de vacunación Aftosa 2022</t>
  </si>
  <si>
    <t xml:space="preserve">                      Instituto Colombiano Agropecuario (ICA). (2022). Dirección técnica de vigilancia Epidemiológica.</t>
  </si>
  <si>
    <t>COSTO DE PRODUCCIÓN PROMEDIO PARA UNA HECTÁREA  DE ALGODON AÑO 2023</t>
  </si>
  <si>
    <t>COSTO DE PRODUCCIÓN PROMEDIO PARA UNA HECTÁREA  DE ARROZ RIEGO AÑO 2023</t>
  </si>
  <si>
    <t>COSTO DE PRODUCCIÓN PROMEDIO PARA UNA HECTÁREA  DE FRIJOL TRADICIONAL AÑO 2023</t>
  </si>
  <si>
    <t>COSTO DE PRODUCCIÓN PROMEDIO PARA UNA HECTÁREA  DE HABICHUELA AÑO 2023</t>
  </si>
  <si>
    <t>COSTO DE PRODUCCIÓN PROMEDIO PARA UNA HECTÁREA  DE MAIZ TECNIFICADO AÑO 2023</t>
  </si>
  <si>
    <t>COSTO DE PRODUCCIÓN PROMEDIO PARA UNA HECTÁREA  DE MAIZ TRADICIONAL AÑO 2023</t>
  </si>
  <si>
    <t>COSTO DE PRODUCCIÓN PROMEDIO PARA UNA HECTÁREA  DE SANDIA AÑO 2023</t>
  </si>
  <si>
    <t>COSTO DE PRODUCCIÓN PROMEDIO PARA UNA HECTÁREA DE TABACO RUBIO AÑO 2023</t>
  </si>
  <si>
    <t>COSTO DE PRODUCCIÓN PROMEDIO PARA UNA HECTÁREA DE ARVEJA AÑO 2023</t>
  </si>
  <si>
    <t>COSTO DE PRODUCCIÓN PROMEDIO PARA UNA HECTÁREA DE AHUYAMA AÑO 2023</t>
  </si>
  <si>
    <t>COSTO DE PRODUCCIÓN PROMEDIO PARA UNA HECTÁREA  DE FRIJOL TECNIFICADO AÑO 2023</t>
  </si>
  <si>
    <t>COSTO DE PRODUCCIÓN PROMEDIO PARA UNA HECTÁREA  DE TOMATE DE MESA AÑO 2023</t>
  </si>
  <si>
    <t>COSTO DE PRODUCCIÓN PROMEDIO PARA UNA HECTÁREA  DE MELON AÑO 2023</t>
  </si>
  <si>
    <t>COSTO DE PRODUCCIÓN PROMEDIO PARA UNA HECTÁREA DE ARRACACHA AÑO 2023</t>
  </si>
  <si>
    <t>COSTO DE PRODUCCIÓN PROMEDIO PARA UNA HECTÁREA DE YUCA AÑO 2023</t>
  </si>
  <si>
    <t>COSTO DE PRODUCCIÓN PROMEDIO PARA UNA HECTÁREA DE CEBOLLA JUNCA AÑO 2023</t>
  </si>
  <si>
    <t>COSTO DE PRODUCCIÓN PROMEDIO PARA UNA HECTÁREA DE ACHIRA AÑO 2023</t>
  </si>
  <si>
    <t>COSTOS DE PRODUCCIÓN PROMEDIOS PARA UNA HECTÁREA DE  CAÑA PANELERA (SOSTENIMIENTO) AÑO 2023</t>
  </si>
  <si>
    <t>COSTOS DE PRODUCCIÓN PROMEDIOS PARA UNA HECTÁREA DE  CAÑA PANELERA (ESTABLECIMIENTO 1es AÑO) AÑO 2023</t>
  </si>
  <si>
    <t>7COSTOS DE PRODUCCIÓN PROMEDIOS PARA UNA HECTÁREA DE  CACAO (ESTABLECIMIENTO) AÑO  2023</t>
  </si>
  <si>
    <t>Cuota fomento ($16 x Kg)</t>
  </si>
  <si>
    <t xml:space="preserve"> EVALUACIÓN AGROPECUARIA DEL HUILA AÑO 2023</t>
  </si>
  <si>
    <t>EVALUACIÓN AGRICOLA PARA CULTIVOS TRANSITORIOS AÑO 2023</t>
  </si>
  <si>
    <t>SEMESTRE B/2023</t>
  </si>
  <si>
    <t>EVALUACIÓN AGRICOLA DEFINITIVA PARA CULTIVOS PERMANENTES Y SEMIPERMANENTES  AÑO 2023</t>
  </si>
  <si>
    <t>EVALUACION DEFINITIVA PARA EL AÑO 2023</t>
  </si>
  <si>
    <t>Ene-Dic-23</t>
  </si>
  <si>
    <t>FUENTE: Secretaría de Agricultura y Minería. Observatorio de Territorios Rurales. Evaluaciones Agropecuarias Municipales 2023</t>
  </si>
  <si>
    <t>EVALUACIÓN DEFINITIVA  SEMESTRE A/2023</t>
  </si>
  <si>
    <t>EVALUACIÓN AGRICOLA PARA CULTIVOS ANUALES DEFINITIVA AÑO  2023</t>
  </si>
  <si>
    <t xml:space="preserve">                     CONALGODÓN 2023</t>
  </si>
  <si>
    <t>NOTA: No se calcula el costo total debido a que no hay siembras para el 2023, por ende no hay indicadores de rendimientos y precios al productor</t>
  </si>
  <si>
    <t>EVALUACION DEFINITIVA PARA EL  AÑO 2023</t>
  </si>
  <si>
    <t>$/Ton **</t>
  </si>
  <si>
    <t>Ton. *</t>
  </si>
  <si>
    <t>*Pergamino seco               ** El Precio Promedio Pagado al Productor estandar</t>
  </si>
  <si>
    <t>Secretaría de Agricultura y Minería. Observatorio de Territorios Rurales. Evaluaciones Agropecuarias Municipales 2023</t>
  </si>
  <si>
    <t>RENOVACIÓN POR SIEMBRA - 5,555 PLÁNTAS POR HECTÁREA. AÑO 2023 (18 MESES)</t>
  </si>
  <si>
    <t>DENSIDAD PROMEDIA 5,555 ARBOLES. AÑO 2023</t>
  </si>
  <si>
    <t xml:space="preserve">                  EVALUACION DEFINITIVA CONSOLIDADA PARA CULTIVOS AGRÍCOLAS SEMIPERMANENTES Y PERMANENTES  AÑO 2023</t>
  </si>
  <si>
    <t>COSTOS DE PRODUCCIÓN PROMEDIOS PARA UNA HECTÁREA DE  CACAO (SOSTENIMIENTO) AÑO 2023</t>
  </si>
  <si>
    <t>COSTOS DE PRODUCCIÓN PROMEDIOS PARA UNA HECTÁREA DE  CITRICOS (ESTABLECIMIENTO) AÑO 2023</t>
  </si>
  <si>
    <t>COSTOS DE PRODUCCIÓN PROMEDIOS PARA UNA HECTÁREA DE  CITRICOS (SOSTENIMIENTO) AÑO 2023</t>
  </si>
  <si>
    <t>COSTOS DE PRODUCCIÓN PROMEDIOS PARA UNA HECTÁREA DE  GRANADILLA (ESTABLECIMIENTO) AÑO 2023</t>
  </si>
  <si>
    <t>COSTOS DE PRODUCCIÓN PROMEDIOS PARA UNA HECTÁREA DE  GRANADILLA (SOSTENIMIENTO) AÑO 2023</t>
  </si>
  <si>
    <t>COSTOS DE PRODUCCIÓN PROMEDIOS PARA UNA HECTÁREA DE  CHOLUPA (ESTABLECIMIENTO ) AÑO 2023</t>
  </si>
  <si>
    <t>COSTOS DE PRODUCCIÓN PROMEDIOS PARA UNA HECTÁREA DE CHOLUPA (SOSTENIMIENTO) AÑO 2023</t>
  </si>
  <si>
    <t>COSTOS DE PRODUCCIÓN PROMEDIOS PARA UNA HECTÁREA DE  LULO (ESTABLECIMIENTO) AÑO 2023</t>
  </si>
  <si>
    <t>COSTOS DE PRODUCCIÓN PROMEDIOS PARA UNA HECTÁREA DE  LULO (SOSTENIMIENTO) AÑO 2023</t>
  </si>
  <si>
    <t>COSTOS DE PRODUCCIÓN PROMEDIOS PARA UNA HECTÁREA DE  MANGO (ESTABLECIMIENTO) AÑO 2023</t>
  </si>
  <si>
    <t>COSTOS DE PRODUCCIÓN PROMEDIOS PARA UNA HECTÁREA DE  MANGO (SOSTENIMIENTO) AÑO 2023</t>
  </si>
  <si>
    <t>COSTOS DE PRODUCCIÓN PROMEDIOS PARA UNA HECTÁREA DE  MARACUYA (ESTABLECIMIENTO) AÑO 2023</t>
  </si>
  <si>
    <t>COSTOS DE PRODUCCIÓN PROMEDIOS PARA UNA HECTÁREA DE  MARACUYA (SOSTENIMIENTO) AÑO 2023</t>
  </si>
  <si>
    <t>COSTOS DE PRODUCCIÓN PROMEDIOS PARA UNA HECTÁREA DE  MORA (ESTABLECIMIENTO) AÑO 2023</t>
  </si>
  <si>
    <t>COSTOS DE PRODUCCIÓN PROMEDIOS PARA UNA HECTÁREA DE  MORA (SOSTENINIEMTO) AÑO 2023</t>
  </si>
  <si>
    <t>COSTOS DE PRODUCCIÓN PROMEDIOS PARA UNA HECTÁREA DE  PIÑA (ESTABLECIMIENTO) AÑO 2023</t>
  </si>
  <si>
    <t>COSTOS DE PRODUCCIÓN PROMEDIOS PARA UNA HECTÁREA DE  PIÑA (SOSTENINIEMTO) AÑO 2023</t>
  </si>
  <si>
    <t>COSTOS DE PRODUCCIÓN PROMEDIOS PARA UNA HECTÁREA DE  PITAHAYA (ESTABLECIMIENTO) AÑO 2023</t>
  </si>
  <si>
    <t>COSTOS DE PRODUCCIÓN PROMEDIOS PARA UNA HECTÁREA DE  PLATANO INTERCALADO (ESTABLECIMIENTO) AÑO 2023</t>
  </si>
  <si>
    <t>COSTOS DE PRODUCCIÓN PROMEDIOS PARA UNA HECTÁREA DE  PLATANO INTERCALADO (SOSTENIMIENTO) AÑO 2023</t>
  </si>
  <si>
    <t>COSTOS DE PRODUCCIÓN PROMEDIOS PARA UNA HECTÁREA DE  PLATANO SOLO (ESTABLECIMIENTO) AÑO 2023</t>
  </si>
  <si>
    <t>COSTOS DE PRODUCCIÓN PROMEDIOS PARA UNA HECTÁREA DE  PLATANO SOLO (SOSTENIMIENTO) AÑO 2023</t>
  </si>
  <si>
    <t>COSTOS DE PRODUCCIÓN PROMEDIOS PARA UNA HECTÁREA DE TOMATE DE ARBOL (ESTABLECIMIENTO) AÑO 2023</t>
  </si>
  <si>
    <t>COSTOS DE PRODUCCIÓN PROMEDIOS PARA UNA HECTÁREA DE TOMATE DE ARBOL (SOSTENIMIENTO) AÑO 2023</t>
  </si>
  <si>
    <t>COSTOS DE PRODUCCIÓN PROMEDIOS PARA UNA HECTÁREA DE  UVA (ESTABLECIMIENTO) AÑO 2023</t>
  </si>
  <si>
    <t>COSTOS DE PRODUCCIÓN PROMEDIOS PARA UNA HECTÁREA  UVA (SOSTENIMIENTO) AÑO 2023</t>
  </si>
  <si>
    <t>COSTOS DE PRODUCCIÓN PROMEDIOS PARA UNA HECTÁREA DE  AGUACATE (ESTABLECIMIENTO) AÑO 2023</t>
  </si>
  <si>
    <t>COSTOS DE PRODUCCIÓN PROMEDIOS PARA UNA HECTÁREA DE  AGUACATE (SOSTENIMIENTO) AÑO 2023</t>
  </si>
  <si>
    <t>COSTOS DE PRODUCCIÓN PROMEDIOS PARA UNA HECTÁREA DE  PAPAYA (ESTABLECIMIENTO) AÑO 2023</t>
  </si>
  <si>
    <t>COSTOS DE PRODUCCIÓN PROMEDIOS PARA UNA HECTÁREA DE  PAPAYA (SOSTENIMIENTO) AÑO 2023</t>
  </si>
  <si>
    <t>COSTOS DE PRODUCCIÓN PROMEDIOS PARA UNA HECTÁREA DE  BANANO (ESTABLECIMIENTO) AÑO 2023</t>
  </si>
  <si>
    <t>COSTOS DE PRODUCCIÓN PROMEDIOS PARA UNA HECTÁREA DE  BANANO (SOSTENIMIENTO) AÑO 2023</t>
  </si>
  <si>
    <t>COSTOS DE PRODUCCIÓN PROMEDIOS PARA UNA HECTÁREA DE CURUBA (ESTABLECIMIENTO) AÑO 2023</t>
  </si>
  <si>
    <t>COSTOS DE PRODUCCIÓN PROMEDIOS PARA UNA HECTÁREA DE  CURUBA (SOSTENIMIENTO) AÑO 2023</t>
  </si>
  <si>
    <t>COSTOS DE PRODUCCIÓN PROMEDIOS PARA UNA HECTÁREA DE  GUANABANA (ESTABLECIMIENTO) AÑO 2023</t>
  </si>
  <si>
    <t>COSTOS DE PRODUCCIÓN PROMEDIOS PARA UNA HECTÁREA DE  GUANABANA (SOSTENIMIENTO) AÑO 2023</t>
  </si>
  <si>
    <t>TABLA 1. COMPORTAMIENTO DE LOS CULTIVOS TRANSITORIOS BÁSICOS  EN EL DEPARTAMENTO DEL HUILA EVALUACION AÑO 2023</t>
  </si>
  <si>
    <t>23A/22A</t>
  </si>
  <si>
    <t>23B/22B</t>
  </si>
  <si>
    <t>2023/2022</t>
  </si>
  <si>
    <t>TABLA 2. COMPORTAMIENTO DE LOS CULTIVOS  TRANSITORIOS HORTALIZAS  EN EL DEPARTAMENTO HUILA EVALUACION AÑO 2023</t>
  </si>
  <si>
    <t>Continúa TABLA 2. COMPORTAMIENTO DE LOS CULTIVOS TRANSITORIOS HORTALIZAS  EN EL DEPARTAMENTO HUILA EVALUACION AÑO 2023</t>
  </si>
  <si>
    <t>TABLA 3. COMPORTAMIENTO DE LOS CULTIVOS PERMANENTES Y SEMIPERMANENTES  BÁSICOS Y ANUALES EN EL DEPARTAMENTO DEL HUILA EVALUACION AÑO 2023</t>
  </si>
  <si>
    <t>TABLA 4. COMPORTAMIENTO DE LOS CULTIVOS PERMANENTES SIMIPERMANENTES   FRUTALES  EN EL DEPARTAMENTO DEL HUILA EVALUACION AÑO 2023</t>
  </si>
  <si>
    <t>Continúa TABLA 4. COMPORTAMIENTO DE LOS CULTIVOS PERMANENTES SIMIPERMANENTES  FRUTALES  EN EL DEPARTAMENTO DEL HUILA EVALUACION AÑO 2023</t>
  </si>
  <si>
    <t xml:space="preserve"> TABLA 5.  COMPORTAMIENTO AGRÍCOLA  EN EL DEPARTAMENTO DEL HUILA  EVALUACION AÑO 2023</t>
  </si>
  <si>
    <r>
      <t xml:space="preserve">TABLA  6 </t>
    </r>
    <r>
      <rPr>
        <b/>
        <sz val="12"/>
        <rFont val="Arial"/>
        <family val="2"/>
      </rPr>
      <t xml:space="preserve">  PRECIOS PAGADO AL PRODUCTOR Y COSTOS DE PRODUCCION  PROMEDIOS PARA CULTIVOS TRANSITORIOS AÑO 2022 - 2023</t>
    </r>
  </si>
  <si>
    <t xml:space="preserve"> 2023/2022</t>
  </si>
  <si>
    <r>
      <t xml:space="preserve">TABLA  7 </t>
    </r>
    <r>
      <rPr>
        <b/>
        <sz val="12"/>
        <rFont val="Arial"/>
        <family val="2"/>
      </rPr>
      <t xml:space="preserve">  PRECIOS PAGADO AL PRODUCTOR Y COSTOS DE PRODUCCION  PROMEDIOS PARA CULTIVOS   BASICOS  PERMANENTES  SEMIPERMANENTES   Y  ANUALES  AÑO 2022 - 2023</t>
    </r>
  </si>
  <si>
    <r>
      <t xml:space="preserve">TABLA  8 </t>
    </r>
    <r>
      <rPr>
        <b/>
        <sz val="12"/>
        <rFont val="Arial"/>
        <family val="2"/>
      </rPr>
      <t xml:space="preserve">  PRECIOS PAGADO AL PRODUCTOR Y COSTOS DE PRODUCCION PROMEDIOS PARA FRUTALES  PERMANENTES   Y  SEMIPERMANENTES   AÑO 2022 - 2023</t>
    </r>
  </si>
  <si>
    <t xml:space="preserve">  TABLA 9, VALORACION DEL CRECIMIENTO  AGRICOLA  EN EL DEPARTAMENTO DEL HUILA. AÑO  2023- CON CAFÉ</t>
  </si>
  <si>
    <t>AÑO 2023</t>
  </si>
  <si>
    <t xml:space="preserve">  TABLA 9,1. VALORACION DEL CRECIMIENTO AGRICOLA  EN EL DEPARTAMENTO DEL HUILA. AÑO  2023 - SIN CAFÉ</t>
  </si>
  <si>
    <t>DEPARTAMENTO DEL HUILA AÑO 2023 - CON CAFÉ</t>
  </si>
  <si>
    <t>DEPARTAMENTO DEL HUILA AÑO 2023.   SIN CAFÉ</t>
  </si>
  <si>
    <t>TABLA 11. COMPORTAMIENTO DE LA PRODUCCIÓN PECUARIA Y PISCÍCOLA,  EN EL DEPARTAMENTO DEL HUILA EVALUACION AÑO 2023</t>
  </si>
  <si>
    <t>TABLA  12.  VALORACION DEL CRECIMIENTO  PECUARIO Y PISCÍCOLA  EN EL DEPARTAMENTO DEL HUILA AÑO 2023</t>
  </si>
  <si>
    <t>DEPARTAMENTO DEL HUILA AÑO 2023</t>
  </si>
  <si>
    <t xml:space="preserve">                                                                 DEPARTAMENTO DEL HUILA AÑO 2023. CON CAFÉ</t>
  </si>
  <si>
    <t xml:space="preserve">                                                                 DEPARTAMENTO DEL HUILA AÑO 2023 - SIN CAFÉ-</t>
  </si>
  <si>
    <t>EN EL DEPARTAMENTO DEL HUILA. AÑO 2023</t>
  </si>
  <si>
    <t>P y SP=  Areas para Cultivos SEMI y PERMANENTES sembradas en el 2023</t>
  </si>
  <si>
    <t>GRAN TOTAL JORNALES  AGRÍCOLAS  REQUERIDOS AÑO 2023</t>
  </si>
  <si>
    <t>(PRECIOS CORRIENTES. Año 2023)</t>
  </si>
  <si>
    <t>(PRECIOS CORRIENTES.  Año 2023)</t>
  </si>
  <si>
    <t>(PRECIOS CORRIENTES 2023)</t>
  </si>
  <si>
    <t xml:space="preserve"> (PRECIOS CORRIENTES 2023)</t>
  </si>
  <si>
    <t>EN EL DEPARTAMENTO DEL HUILA. AÑO 2023.   CON CAFÉ</t>
  </si>
  <si>
    <t>* (Precios Corrientes año 2023)</t>
  </si>
  <si>
    <t>EN EL DEPARTAMENTO DEL HUILA. AÑO 2023.   SIN  CAFÉ</t>
  </si>
  <si>
    <t xml:space="preserve"> *(Precios Corrientes año 2023)</t>
  </si>
  <si>
    <t>DURANTE EL 2023</t>
  </si>
  <si>
    <t>CONSOLIDADO DE ÁREA (ha) SEMBRADA POR MUNICIPIO EN SISTEMAS PRODUCTIVOS AGRÍCOLAS (TRANSITORIOS, ANUALES Y PERMANENTES) PASTURAS Y PISCÍCOLA  AÑO 2023</t>
  </si>
  <si>
    <t>CONSOLIDADO DE PRODUCCIÓN (ton) POR MUNICIPIO EN SISTEMAS PRODUCTIVOS AGRÍCOLAS, PECUARIOS Y PISCÍCOLAS AÑO 2023</t>
  </si>
  <si>
    <t>PARTICIPACIÓN MUNICIPAL EN LA PRODUCCIÓN Y VALOR DE LA PRODUCCIÓN AGROPECUARIA Y PISCÍCOLA DEPARTAMENTAL AÑO 2023</t>
  </si>
  <si>
    <t>CONSOLIDADO DE PRODUCCIÓN Y VALOR DE LA PRODUCCIÓN MUNICIPAL, AGROPECUARIA Y PISCÍCOLA DEL DEPARTAMENTO DEL HUILA, AÑO 2023</t>
  </si>
  <si>
    <t xml:space="preserve"> FUENTE: Secretaría de Agricultura y Minería. Observatorio de Territorios Rurales. Evaluaciones Agropecuarias Municipales 2023</t>
  </si>
  <si>
    <t>* Precios Corrientes año 2023, promedio departamental</t>
  </si>
  <si>
    <t>EVALUACIÓN PECUARIA AÑO 2023</t>
  </si>
  <si>
    <t>FUENTE: Instituto Colombiano Agropecuario -ICA 2023</t>
  </si>
  <si>
    <t>COBERTURA DE VACUNACIÓN BOVINA 2022</t>
  </si>
  <si>
    <t>EVALUACIÓN  PECUARIA AÑO 2023</t>
  </si>
  <si>
    <t xml:space="preserve">               Cadena Técnica Productiva Piscícola</t>
  </si>
  <si>
    <t>EVALUACIÓN PISCÍCOLA AÑO 2023</t>
  </si>
  <si>
    <t>20EVALUCIÓN PISCÍCOLA AÑO 2023</t>
  </si>
  <si>
    <t>NOTA: Valor promedio huevo unidad $435 PP</t>
  </si>
  <si>
    <t>JHON GARAY SUAZA - Profesional Universitario</t>
  </si>
  <si>
    <t>GLORIA ISABEL GUTIÉRREZ - Ing. Ambiental, Esp. Manejo y Gestión de Cuencas hidrográficas</t>
  </si>
  <si>
    <t>STEPHANY LORENA OLAYA CORREDOR - Ing. Ambietnal, Esp. Sistemas de Información Geográfica</t>
  </si>
  <si>
    <t>CONSOLIDADO EVALUACION  AGRICOLA PARA CULTIVOS TRANSITORIOS SEMESTRE A/2023, B/2023</t>
  </si>
  <si>
    <t>CONSOLIDADO EVALUACIÓN AÑO 2023</t>
  </si>
  <si>
    <t>EVALUACION CONSOLIDADA PARA CULTIVOS AGRICOLAS ANUALES 2023</t>
  </si>
  <si>
    <t xml:space="preserve"> EVALUACION DEFINITIVA PARA EL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</si>
</sst>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 * #,##0_ ;_ * \-#,##0_ ;_ * &quot;-&quot;_ ;_ @_ "/>
    <numFmt numFmtId="165" formatCode="_ * #,##0.00_ ;_ * \-#,##0.00_ ;_ * &quot;-&quot;??_ ;_ @_ "/>
    <numFmt numFmtId="166" formatCode="#,##0.0"/>
    <numFmt numFmtId="167" formatCode="0.0"/>
    <numFmt numFmtId="168" formatCode="#,##0.000"/>
    <numFmt numFmtId="169" formatCode="0.000"/>
    <numFmt numFmtId="170" formatCode="0.0%"/>
    <numFmt numFmtId="171" formatCode="#,##0.0000"/>
    <numFmt numFmtId="172" formatCode="&quot;$&quot;#,##0.00"/>
    <numFmt numFmtId="173" formatCode="&quot;$&quot;#,##0"/>
    <numFmt numFmtId="174" formatCode="_ * #,##0.0_ ;_ * \-#,##0.0_ ;_ * &quot;-&quot;??_ ;_ @_ "/>
  </numFmts>
  <fonts count="91" x14ac:knownFonts="1">
    <font>
      <sz val="10"/>
      <name val="Arial"/>
    </font>
    <font>
      <sz val="10"/>
      <name val="Arial"/>
      <family val="2"/>
    </font>
    <font>
      <b/>
      <sz val="14"/>
      <name val="Arial Black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sz val="11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u/>
      <sz val="11"/>
      <name val="Comic Sans MS"/>
      <family val="4"/>
    </font>
    <font>
      <b/>
      <sz val="9"/>
      <name val="Comic Sans MS"/>
      <family val="4"/>
    </font>
    <font>
      <sz val="11"/>
      <color indexed="10"/>
      <name val="Comic Sans MS"/>
      <family val="4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omic Sans MS"/>
      <family val="4"/>
    </font>
    <font>
      <b/>
      <sz val="11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 Black"/>
      <family val="2"/>
    </font>
    <font>
      <b/>
      <vertAlign val="superscript"/>
      <sz val="9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14"/>
      <name val="Bernard MT Condensed"/>
      <family val="1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0"/>
      <name val="Arial"/>
      <family val="2"/>
    </font>
    <font>
      <u/>
      <sz val="10"/>
      <color indexed="14"/>
      <name val="Arial"/>
      <family val="2"/>
    </font>
    <font>
      <u/>
      <sz val="10"/>
      <color indexed="17"/>
      <name val="Arial"/>
      <family val="2"/>
    </font>
    <font>
      <u/>
      <sz val="10"/>
      <color indexed="60"/>
      <name val="Arial"/>
      <family val="2"/>
    </font>
    <font>
      <b/>
      <sz val="16"/>
      <name val="Arial Black"/>
      <family val="2"/>
    </font>
    <font>
      <b/>
      <u/>
      <sz val="12"/>
      <color indexed="12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u/>
      <sz val="10"/>
      <color theme="6" tint="-0.499984740745262"/>
      <name val="Arial"/>
      <family val="2"/>
    </font>
    <font>
      <sz val="13"/>
      <name val="Bernard MT Condensed"/>
      <family val="1"/>
    </font>
    <font>
      <b/>
      <sz val="1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22"/>
      <color indexed="21"/>
      <name val="Arial"/>
      <family val="2"/>
    </font>
    <font>
      <sz val="22"/>
      <color indexed="12"/>
      <name val="Arial"/>
      <family val="2"/>
    </font>
    <font>
      <sz val="22"/>
      <color indexed="14"/>
      <name val="Arial"/>
      <family val="2"/>
    </font>
    <font>
      <u/>
      <sz val="10"/>
      <color rgb="FFC00000"/>
      <name val="Arial"/>
      <family val="2"/>
    </font>
    <font>
      <sz val="22"/>
      <color indexed="60"/>
      <name val="Arial"/>
      <family val="2"/>
    </font>
    <font>
      <sz val="22"/>
      <name val="Arial"/>
      <family val="2"/>
    </font>
    <font>
      <sz val="22"/>
      <color indexed="10"/>
      <name val="Arial"/>
      <family val="2"/>
    </font>
    <font>
      <sz val="10"/>
      <name val="Arial"/>
      <family val="2"/>
    </font>
    <font>
      <b/>
      <sz val="10.5"/>
      <name val="Arial"/>
      <family val="2"/>
    </font>
    <font>
      <b/>
      <i/>
      <sz val="11"/>
      <name val="Arial"/>
      <family val="2"/>
    </font>
    <font>
      <u/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Comic Sans MS"/>
      <family val="4"/>
    </font>
  </fonts>
  <fills count="3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46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2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7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</cellStyleXfs>
  <cellXfs count="333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left"/>
    </xf>
    <xf numFmtId="0" fontId="10" fillId="0" borderId="0" xfId="0" applyFont="1"/>
    <xf numFmtId="0" fontId="5" fillId="0" borderId="0" xfId="0" applyFont="1"/>
    <xf numFmtId="0" fontId="1" fillId="0" borderId="0" xfId="0" applyFont="1"/>
    <xf numFmtId="166" fontId="0" fillId="0" borderId="0" xfId="0" applyNumberFormat="1"/>
    <xf numFmtId="3" fontId="0" fillId="0" borderId="8" xfId="0" applyNumberFormat="1" applyBorder="1"/>
    <xf numFmtId="0" fontId="0" fillId="0" borderId="8" xfId="0" applyBorder="1"/>
    <xf numFmtId="0" fontId="0" fillId="0" borderId="8" xfId="0" applyBorder="1" applyAlignment="1">
      <alignment horizontal="center"/>
    </xf>
    <xf numFmtId="166" fontId="0" fillId="0" borderId="0" xfId="0" applyNumberFormat="1" applyAlignment="1">
      <alignment horizontal="right" wrapText="1"/>
    </xf>
    <xf numFmtId="166" fontId="5" fillId="0" borderId="0" xfId="0" applyNumberFormat="1" applyFont="1"/>
    <xf numFmtId="4" fontId="0" fillId="0" borderId="9" xfId="0" applyNumberFormat="1" applyBorder="1"/>
    <xf numFmtId="166" fontId="0" fillId="0" borderId="0" xfId="0" applyNumberFormat="1" applyAlignment="1">
      <alignment horizontal="left"/>
    </xf>
    <xf numFmtId="3" fontId="1" fillId="0" borderId="10" xfId="0" applyNumberFormat="1" applyFont="1" applyBorder="1"/>
    <xf numFmtId="2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left"/>
    </xf>
    <xf numFmtId="0" fontId="4" fillId="0" borderId="0" xfId="0" applyFont="1" applyAlignment="1">
      <alignment horizontal="left"/>
    </xf>
    <xf numFmtId="166" fontId="0" fillId="0" borderId="0" xfId="0" applyNumberFormat="1" applyAlignment="1">
      <alignment horizontal="center"/>
    </xf>
    <xf numFmtId="0" fontId="14" fillId="0" borderId="0" xfId="0" applyFont="1"/>
    <xf numFmtId="0" fontId="15" fillId="0" borderId="0" xfId="0" applyFont="1"/>
    <xf numFmtId="0" fontId="18" fillId="0" borderId="0" xfId="0" applyFont="1" applyAlignment="1">
      <alignment horizontal="center"/>
    </xf>
    <xf numFmtId="3" fontId="28" fillId="0" borderId="0" xfId="0" applyNumberFormat="1" applyFont="1" applyAlignment="1">
      <alignment horizontal="center" vertical="center" wrapText="1"/>
    </xf>
    <xf numFmtId="3" fontId="20" fillId="0" borderId="11" xfId="0" applyNumberFormat="1" applyFont="1" applyBorder="1" applyAlignment="1">
      <alignment horizontal="right" vertical="center"/>
    </xf>
    <xf numFmtId="0" fontId="22" fillId="0" borderId="13" xfId="0" applyFont="1" applyBorder="1" applyAlignment="1">
      <alignment vertical="center"/>
    </xf>
    <xf numFmtId="166" fontId="14" fillId="0" borderId="14" xfId="0" applyNumberFormat="1" applyFont="1" applyBorder="1" applyAlignment="1">
      <alignment vertical="center"/>
    </xf>
    <xf numFmtId="166" fontId="14" fillId="0" borderId="15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166" fontId="14" fillId="0" borderId="13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2" borderId="9" xfId="0" applyFont="1" applyFill="1" applyBorder="1"/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28" fillId="0" borderId="9" xfId="0" applyFont="1" applyBorder="1"/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justify" vertical="center" wrapText="1"/>
    </xf>
    <xf numFmtId="0" fontId="29" fillId="0" borderId="20" xfId="0" applyFont="1" applyBorder="1" applyAlignment="1">
      <alignment horizontal="justify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9" fillId="0" borderId="21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3" fontId="29" fillId="0" borderId="0" xfId="0" applyNumberFormat="1" applyFont="1" applyAlignment="1">
      <alignment horizontal="center"/>
    </xf>
    <xf numFmtId="0" fontId="32" fillId="0" borderId="17" xfId="0" applyFont="1" applyBorder="1" applyAlignment="1">
      <alignment horizontal="justify" vertical="center" wrapText="1"/>
    </xf>
    <xf numFmtId="3" fontId="32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 vertical="center" wrapText="1"/>
    </xf>
    <xf numFmtId="0" fontId="32" fillId="0" borderId="22" xfId="0" applyFont="1" applyBorder="1" applyAlignment="1">
      <alignment horizontal="justify" vertical="top" wrapText="1"/>
    </xf>
    <xf numFmtId="0" fontId="32" fillId="0" borderId="9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 wrapText="1"/>
    </xf>
    <xf numFmtId="0" fontId="32" fillId="0" borderId="22" xfId="0" applyFont="1" applyBorder="1"/>
    <xf numFmtId="0" fontId="32" fillId="0" borderId="9" xfId="0" applyFont="1" applyBorder="1"/>
    <xf numFmtId="0" fontId="32" fillId="0" borderId="22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0" fontId="32" fillId="0" borderId="17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29" fillId="0" borderId="9" xfId="0" applyFont="1" applyBorder="1" applyAlignment="1">
      <alignment horizontal="justify" vertical="center" wrapText="1"/>
    </xf>
    <xf numFmtId="0" fontId="29" fillId="3" borderId="23" xfId="0" applyFont="1" applyFill="1" applyBorder="1" applyAlignment="1">
      <alignment horizontal="justify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justify" vertical="center"/>
    </xf>
    <xf numFmtId="0" fontId="32" fillId="0" borderId="25" xfId="0" applyFont="1" applyBorder="1" applyAlignment="1">
      <alignment vertical="center"/>
    </xf>
    <xf numFmtId="3" fontId="32" fillId="0" borderId="25" xfId="0" applyNumberFormat="1" applyFont="1" applyBorder="1" applyAlignment="1">
      <alignment horizontal="center" vertical="center" wrapText="1"/>
    </xf>
    <xf numFmtId="3" fontId="32" fillId="0" borderId="26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9" fontId="32" fillId="0" borderId="0" xfId="0" applyNumberFormat="1" applyFont="1" applyAlignment="1">
      <alignment horizontal="left" vertical="center" wrapText="1"/>
    </xf>
    <xf numFmtId="3" fontId="32" fillId="0" borderId="0" xfId="0" applyNumberFormat="1" applyFont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 vertical="center"/>
    </xf>
    <xf numFmtId="170" fontId="32" fillId="0" borderId="0" xfId="0" applyNumberFormat="1" applyFont="1" applyAlignment="1">
      <alignment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32" fillId="3" borderId="0" xfId="0" applyFont="1" applyFill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3" borderId="29" xfId="0" applyFont="1" applyFill="1" applyBorder="1" applyAlignment="1">
      <alignment vertical="center"/>
    </xf>
    <xf numFmtId="0" fontId="32" fillId="3" borderId="30" xfId="0" applyFont="1" applyFill="1" applyBorder="1" applyAlignment="1">
      <alignment vertical="center"/>
    </xf>
    <xf numFmtId="0" fontId="32" fillId="0" borderId="31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4" fontId="32" fillId="0" borderId="32" xfId="0" applyNumberFormat="1" applyFont="1" applyBorder="1" applyAlignment="1">
      <alignment vertical="center"/>
    </xf>
    <xf numFmtId="0" fontId="32" fillId="0" borderId="24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3" fontId="32" fillId="0" borderId="32" xfId="0" applyNumberFormat="1" applyFont="1" applyBorder="1" applyAlignment="1">
      <alignment vertical="center"/>
    </xf>
    <xf numFmtId="3" fontId="32" fillId="0" borderId="0" xfId="0" applyNumberFormat="1" applyFont="1" applyAlignment="1">
      <alignment vertical="center"/>
    </xf>
    <xf numFmtId="0" fontId="32" fillId="0" borderId="33" xfId="0" applyFont="1" applyBorder="1" applyAlignment="1">
      <alignment horizontal="left" vertical="center"/>
    </xf>
    <xf numFmtId="0" fontId="32" fillId="0" borderId="34" xfId="0" applyFont="1" applyBorder="1" applyAlignment="1">
      <alignment horizontal="left" vertical="center"/>
    </xf>
    <xf numFmtId="3" fontId="32" fillId="0" borderId="35" xfId="0" applyNumberFormat="1" applyFont="1" applyBorder="1" applyAlignment="1">
      <alignment vertical="center"/>
    </xf>
    <xf numFmtId="0" fontId="29" fillId="3" borderId="29" xfId="0" applyFont="1" applyFill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1" fillId="0" borderId="19" xfId="0" applyFont="1" applyBorder="1" applyAlignment="1">
      <alignment horizontal="justify" vertical="center" wrapText="1"/>
    </xf>
    <xf numFmtId="0" fontId="31" fillId="0" borderId="20" xfId="0" applyFont="1" applyBorder="1" applyAlignment="1">
      <alignment horizontal="justify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1" fillId="0" borderId="0" xfId="0" applyNumberFormat="1" applyFont="1" applyAlignment="1">
      <alignment horizontal="center"/>
    </xf>
    <xf numFmtId="0" fontId="28" fillId="0" borderId="17" xfId="0" applyFont="1" applyBorder="1" applyAlignment="1">
      <alignment horizontal="justify" vertical="center" wrapText="1"/>
    </xf>
    <xf numFmtId="3" fontId="28" fillId="0" borderId="22" xfId="0" applyNumberFormat="1" applyFont="1" applyBorder="1" applyAlignment="1">
      <alignment horizontal="center" vertical="center" wrapText="1"/>
    </xf>
    <xf numFmtId="3" fontId="27" fillId="0" borderId="0" xfId="0" applyNumberFormat="1" applyFont="1" applyAlignment="1">
      <alignment horizontal="center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22" xfId="0" applyFont="1" applyBorder="1"/>
    <xf numFmtId="0" fontId="27" fillId="0" borderId="9" xfId="0" applyFont="1" applyBorder="1"/>
    <xf numFmtId="0" fontId="27" fillId="0" borderId="22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1" fillId="0" borderId="9" xfId="0" applyFont="1" applyBorder="1" applyAlignment="1">
      <alignment horizontal="justify" vertical="center" wrapText="1"/>
    </xf>
    <xf numFmtId="0" fontId="34" fillId="3" borderId="23" xfId="0" applyFont="1" applyFill="1" applyBorder="1" applyAlignment="1">
      <alignment horizontal="justify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horizontal="justify" vertical="center"/>
    </xf>
    <xf numFmtId="0" fontId="28" fillId="0" borderId="25" xfId="0" applyFont="1" applyBorder="1" applyAlignment="1">
      <alignment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9" fontId="28" fillId="0" borderId="0" xfId="0" applyNumberFormat="1" applyFont="1" applyAlignment="1">
      <alignment horizontal="left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/>
    </xf>
    <xf numFmtId="0" fontId="28" fillId="0" borderId="22" xfId="0" applyFont="1" applyBorder="1" applyAlignment="1">
      <alignment horizontal="left" vertical="center"/>
    </xf>
    <xf numFmtId="0" fontId="27" fillId="0" borderId="22" xfId="0" applyFont="1" applyBorder="1" applyAlignment="1">
      <alignment vertical="center" wrapText="1"/>
    </xf>
    <xf numFmtId="0" fontId="27" fillId="0" borderId="9" xfId="0" applyFont="1" applyBorder="1" applyAlignment="1">
      <alignment vertical="center" wrapText="1"/>
    </xf>
    <xf numFmtId="0" fontId="28" fillId="0" borderId="28" xfId="0" applyFont="1" applyBorder="1" applyAlignment="1">
      <alignment vertical="center"/>
    </xf>
    <xf numFmtId="0" fontId="30" fillId="3" borderId="22" xfId="0" applyFont="1" applyFill="1" applyBorder="1" applyAlignment="1">
      <alignment horizontal="left" vertical="center"/>
    </xf>
    <xf numFmtId="0" fontId="28" fillId="3" borderId="0" xfId="0" applyFont="1" applyFill="1" applyAlignment="1">
      <alignment horizontal="left" vertical="center"/>
    </xf>
    <xf numFmtId="0" fontId="28" fillId="3" borderId="0" xfId="0" applyFont="1" applyFill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3" borderId="29" xfId="0" applyFont="1" applyFill="1" applyBorder="1" applyAlignment="1">
      <alignment vertical="center"/>
    </xf>
    <xf numFmtId="0" fontId="28" fillId="3" borderId="30" xfId="0" applyFont="1" applyFill="1" applyBorder="1" applyAlignment="1">
      <alignment vertical="center"/>
    </xf>
    <xf numFmtId="0" fontId="31" fillId="3" borderId="29" xfId="0" applyFont="1" applyFill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left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0" fontId="25" fillId="4" borderId="0" xfId="0" applyFont="1" applyFill="1"/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5" borderId="37" xfId="0" applyFont="1" applyFill="1" applyBorder="1"/>
    <xf numFmtId="0" fontId="4" fillId="5" borderId="38" xfId="0" applyFont="1" applyFill="1" applyBorder="1"/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3" fontId="5" fillId="0" borderId="0" xfId="0" applyNumberFormat="1" applyFont="1" applyAlignment="1">
      <alignment horizontal="left"/>
    </xf>
    <xf numFmtId="3" fontId="0" fillId="0" borderId="0" xfId="0" applyNumberFormat="1" applyAlignment="1">
      <alignment horizontal="left"/>
    </xf>
    <xf numFmtId="3" fontId="1" fillId="0" borderId="0" xfId="0" applyNumberFormat="1" applyFont="1"/>
    <xf numFmtId="3" fontId="5" fillId="0" borderId="0" xfId="0" applyNumberFormat="1" applyFont="1"/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30" fillId="0" borderId="21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top" wrapText="1"/>
    </xf>
    <xf numFmtId="0" fontId="28" fillId="0" borderId="9" xfId="0" applyFont="1" applyBorder="1" applyAlignment="1">
      <alignment horizontal="justify" vertical="top" wrapText="1"/>
    </xf>
    <xf numFmtId="0" fontId="28" fillId="0" borderId="22" xfId="0" applyFont="1" applyBorder="1"/>
    <xf numFmtId="0" fontId="30" fillId="0" borderId="2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22" xfId="0" applyFont="1" applyBorder="1" applyAlignment="1">
      <alignment horizontal="justify" vertical="center" wrapText="1"/>
    </xf>
    <xf numFmtId="0" fontId="30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justify" vertical="center" wrapText="1"/>
    </xf>
    <xf numFmtId="0" fontId="30" fillId="3" borderId="22" xfId="0" applyFont="1" applyFill="1" applyBorder="1" applyAlignment="1">
      <alignment horizontal="justify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3" borderId="30" xfId="0" applyFont="1" applyFill="1" applyBorder="1" applyAlignment="1">
      <alignment vertical="center"/>
    </xf>
    <xf numFmtId="0" fontId="28" fillId="0" borderId="0" xfId="0" applyFont="1" applyAlignment="1">
      <alignment horizontal="left" vertical="center"/>
    </xf>
    <xf numFmtId="4" fontId="28" fillId="0" borderId="0" xfId="0" applyNumberFormat="1" applyFont="1" applyAlignment="1">
      <alignment vertical="center"/>
    </xf>
    <xf numFmtId="0" fontId="30" fillId="3" borderId="29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8" xfId="0" applyFont="1" applyFill="1" applyBorder="1" applyAlignment="1">
      <alignment vertical="center" wrapText="1"/>
    </xf>
    <xf numFmtId="0" fontId="28" fillId="3" borderId="16" xfId="0" applyFont="1" applyFill="1" applyBorder="1" applyAlignment="1">
      <alignment vertical="center" wrapText="1"/>
    </xf>
    <xf numFmtId="0" fontId="27" fillId="0" borderId="0" xfId="0" applyFont="1" applyAlignment="1">
      <alignment horizontal="justify" vertical="center" wrapText="1"/>
    </xf>
    <xf numFmtId="0" fontId="30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center" wrapText="1"/>
    </xf>
    <xf numFmtId="0" fontId="5" fillId="0" borderId="39" xfId="0" applyFont="1" applyBorder="1"/>
    <xf numFmtId="0" fontId="5" fillId="0" borderId="7" xfId="0" applyFont="1" applyBorder="1"/>
    <xf numFmtId="0" fontId="5" fillId="0" borderId="6" xfId="0" applyFont="1" applyBorder="1"/>
    <xf numFmtId="0" fontId="5" fillId="0" borderId="36" xfId="0" applyFont="1" applyBorder="1"/>
    <xf numFmtId="166" fontId="38" fillId="0" borderId="39" xfId="0" applyNumberFormat="1" applyFont="1" applyBorder="1" applyAlignment="1">
      <alignment vertical="center"/>
    </xf>
    <xf numFmtId="166" fontId="38" fillId="0" borderId="7" xfId="0" applyNumberFormat="1" applyFont="1" applyBorder="1" applyAlignment="1">
      <alignment vertical="center"/>
    </xf>
    <xf numFmtId="166" fontId="38" fillId="0" borderId="41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vertic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9" fillId="6" borderId="0" xfId="0" applyFont="1" applyFill="1"/>
    <xf numFmtId="0" fontId="1" fillId="7" borderId="1" xfId="0" applyFont="1" applyFill="1" applyBorder="1"/>
    <xf numFmtId="0" fontId="1" fillId="7" borderId="2" xfId="0" applyFont="1" applyFill="1" applyBorder="1"/>
    <xf numFmtId="0" fontId="7" fillId="3" borderId="4" xfId="0" applyFont="1" applyFill="1" applyBorder="1"/>
    <xf numFmtId="0" fontId="7" fillId="3" borderId="5" xfId="0" applyFont="1" applyFill="1" applyBorder="1"/>
    <xf numFmtId="0" fontId="7" fillId="3" borderId="6" xfId="0" applyFont="1" applyFill="1" applyBorder="1"/>
    <xf numFmtId="0" fontId="7" fillId="3" borderId="7" xfId="0" applyFont="1" applyFill="1" applyBorder="1"/>
    <xf numFmtId="0" fontId="1" fillId="0" borderId="6" xfId="0" applyFont="1" applyBorder="1"/>
    <xf numFmtId="0" fontId="1" fillId="0" borderId="7" xfId="0" applyFont="1" applyBorder="1"/>
    <xf numFmtId="3" fontId="1" fillId="0" borderId="7" xfId="0" applyNumberFormat="1" applyFont="1" applyBorder="1"/>
    <xf numFmtId="169" fontId="1" fillId="0" borderId="6" xfId="0" applyNumberFormat="1" applyFont="1" applyBorder="1"/>
    <xf numFmtId="169" fontId="1" fillId="0" borderId="7" xfId="0" applyNumberFormat="1" applyFont="1" applyBorder="1"/>
    <xf numFmtId="0" fontId="8" fillId="0" borderId="4" xfId="0" applyFont="1" applyBorder="1"/>
    <xf numFmtId="3" fontId="8" fillId="0" borderId="0" xfId="0" applyNumberFormat="1" applyFont="1"/>
    <xf numFmtId="3" fontId="8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7" borderId="3" xfId="0" applyFont="1" applyFill="1" applyBorder="1"/>
    <xf numFmtId="0" fontId="8" fillId="0" borderId="7" xfId="0" applyFont="1" applyBorder="1"/>
    <xf numFmtId="167" fontId="1" fillId="0" borderId="42" xfId="0" applyNumberFormat="1" applyFont="1" applyBorder="1"/>
    <xf numFmtId="3" fontId="9" fillId="0" borderId="0" xfId="0" applyNumberFormat="1" applyFont="1"/>
    <xf numFmtId="4" fontId="8" fillId="0" borderId="0" xfId="0" applyNumberFormat="1" applyFont="1"/>
    <xf numFmtId="4" fontId="1" fillId="0" borderId="42" xfId="0" applyNumberFormat="1" applyFont="1" applyBorder="1"/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39" fillId="6" borderId="4" xfId="0" applyFont="1" applyFill="1" applyBorder="1" applyAlignment="1">
      <alignment horizontal="center"/>
    </xf>
    <xf numFmtId="0" fontId="40" fillId="6" borderId="4" xfId="0" applyFont="1" applyFill="1" applyBorder="1" applyAlignment="1">
      <alignment horizontal="center"/>
    </xf>
    <xf numFmtId="14" fontId="39" fillId="6" borderId="4" xfId="0" applyNumberFormat="1" applyFont="1" applyFill="1" applyBorder="1" applyAlignment="1">
      <alignment horizontal="center"/>
    </xf>
    <xf numFmtId="166" fontId="4" fillId="3" borderId="43" xfId="0" applyNumberFormat="1" applyFont="1" applyFill="1" applyBorder="1" applyAlignment="1">
      <alignment vertical="center"/>
    </xf>
    <xf numFmtId="0" fontId="4" fillId="3" borderId="29" xfId="0" applyFont="1" applyFill="1" applyBorder="1" applyAlignment="1">
      <alignment vertical="center"/>
    </xf>
    <xf numFmtId="166" fontId="41" fillId="0" borderId="0" xfId="0" applyNumberFormat="1" applyFont="1" applyAlignment="1">
      <alignment vertical="center"/>
    </xf>
    <xf numFmtId="3" fontId="41" fillId="0" borderId="0" xfId="0" applyNumberFormat="1" applyFont="1" applyAlignment="1">
      <alignment vertical="center"/>
    </xf>
    <xf numFmtId="0" fontId="42" fillId="3" borderId="29" xfId="0" applyFont="1" applyFill="1" applyBorder="1" applyAlignment="1">
      <alignment vertical="center"/>
    </xf>
    <xf numFmtId="166" fontId="42" fillId="3" borderId="1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7" fillId="0" borderId="0" xfId="0" applyFont="1"/>
    <xf numFmtId="0" fontId="30" fillId="0" borderId="22" xfId="0" applyFont="1" applyBorder="1" applyAlignment="1">
      <alignment horizontal="center" vertical="center" wrapText="1"/>
    </xf>
    <xf numFmtId="9" fontId="28" fillId="0" borderId="0" xfId="0" applyNumberFormat="1" applyFont="1" applyAlignment="1">
      <alignment vertical="center" wrapText="1"/>
    </xf>
    <xf numFmtId="3" fontId="30" fillId="0" borderId="0" xfId="0" applyNumberFormat="1" applyFont="1" applyAlignment="1">
      <alignment horizontal="center" vertical="center"/>
    </xf>
    <xf numFmtId="4" fontId="32" fillId="0" borderId="0" xfId="0" applyNumberFormat="1" applyFont="1" applyAlignment="1">
      <alignment vertical="center"/>
    </xf>
    <xf numFmtId="3" fontId="43" fillId="0" borderId="0" xfId="0" applyNumberFormat="1" applyFont="1" applyAlignment="1">
      <alignment vertical="center"/>
    </xf>
    <xf numFmtId="3" fontId="28" fillId="6" borderId="0" xfId="0" applyNumberFormat="1" applyFont="1" applyFill="1" applyAlignment="1">
      <alignment horizontal="center" vertical="center" wrapText="1"/>
    </xf>
    <xf numFmtId="3" fontId="30" fillId="6" borderId="0" xfId="0" applyNumberFormat="1" applyFont="1" applyFill="1" applyAlignment="1">
      <alignment horizontal="center" vertical="center" wrapText="1"/>
    </xf>
    <xf numFmtId="0" fontId="28" fillId="6" borderId="0" xfId="0" applyFont="1" applyFill="1" applyAlignment="1">
      <alignment vertical="center"/>
    </xf>
    <xf numFmtId="0" fontId="30" fillId="6" borderId="0" xfId="0" applyFont="1" applyFill="1" applyAlignment="1">
      <alignment vertical="center" wrapText="1"/>
    </xf>
    <xf numFmtId="0" fontId="28" fillId="6" borderId="0" xfId="0" applyFont="1" applyFill="1" applyAlignment="1">
      <alignment vertical="center" wrapText="1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5" fillId="0" borderId="17" xfId="0" applyFont="1" applyBorder="1"/>
    <xf numFmtId="0" fontId="30" fillId="0" borderId="24" xfId="0" applyFont="1" applyBorder="1" applyAlignment="1">
      <alignment horizontal="justify" vertical="center"/>
    </xf>
    <xf numFmtId="0" fontId="28" fillId="0" borderId="0" xfId="0" applyFont="1" applyAlignment="1">
      <alignment vertical="center" wrapText="1"/>
    </xf>
    <xf numFmtId="3" fontId="35" fillId="0" borderId="0" xfId="0" applyNumberFormat="1" applyFont="1" applyAlignment="1">
      <alignment vertical="center" wrapText="1"/>
    </xf>
    <xf numFmtId="168" fontId="32" fillId="0" borderId="0" xfId="0" applyNumberFormat="1" applyFont="1" applyAlignment="1">
      <alignment vertical="center"/>
    </xf>
    <xf numFmtId="0" fontId="35" fillId="6" borderId="0" xfId="0" applyFont="1" applyFill="1" applyAlignment="1">
      <alignment vertical="center"/>
    </xf>
    <xf numFmtId="3" fontId="35" fillId="0" borderId="0" xfId="0" applyNumberFormat="1" applyFont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8" fillId="6" borderId="17" xfId="0" applyFont="1" applyFill="1" applyBorder="1" applyAlignment="1">
      <alignment horizontal="justify" vertical="center" wrapText="1"/>
    </xf>
    <xf numFmtId="3" fontId="35" fillId="0" borderId="22" xfId="0" applyNumberFormat="1" applyFont="1" applyBorder="1" applyAlignment="1">
      <alignment horizontal="center" vertical="center" wrapText="1"/>
    </xf>
    <xf numFmtId="3" fontId="44" fillId="0" borderId="22" xfId="0" applyNumberFormat="1" applyFont="1" applyBorder="1" applyAlignment="1">
      <alignment horizontal="center" vertical="center" wrapText="1"/>
    </xf>
    <xf numFmtId="3" fontId="44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6" borderId="0" xfId="0" applyFont="1" applyFill="1" applyAlignment="1">
      <alignment vertical="center"/>
    </xf>
    <xf numFmtId="0" fontId="0" fillId="6" borderId="0" xfId="0" applyFill="1"/>
    <xf numFmtId="9" fontId="0" fillId="0" borderId="0" xfId="0" applyNumberFormat="1"/>
    <xf numFmtId="4" fontId="28" fillId="0" borderId="0" xfId="0" applyNumberFormat="1" applyFont="1" applyAlignment="1">
      <alignment horizontal="right" vertical="center"/>
    </xf>
    <xf numFmtId="166" fontId="28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center"/>
    </xf>
    <xf numFmtId="4" fontId="32" fillId="0" borderId="0" xfId="0" applyNumberFormat="1" applyFont="1" applyAlignment="1">
      <alignment horizontal="right" vertical="center"/>
    </xf>
    <xf numFmtId="0" fontId="11" fillId="0" borderId="0" xfId="0" applyFont="1"/>
    <xf numFmtId="0" fontId="0" fillId="8" borderId="45" xfId="0" applyFill="1" applyBorder="1"/>
    <xf numFmtId="0" fontId="0" fillId="3" borderId="46" xfId="0" applyFill="1" applyBorder="1"/>
    <xf numFmtId="0" fontId="45" fillId="3" borderId="46" xfId="0" applyFont="1" applyFill="1" applyBorder="1"/>
    <xf numFmtId="0" fontId="0" fillId="3" borderId="47" xfId="0" applyFill="1" applyBorder="1"/>
    <xf numFmtId="0" fontId="5" fillId="8" borderId="48" xfId="0" applyFont="1" applyFill="1" applyBorder="1"/>
    <xf numFmtId="0" fontId="5" fillId="3" borderId="26" xfId="0" applyFont="1" applyFill="1" applyBorder="1" applyAlignment="1">
      <alignment horizontal="center"/>
    </xf>
    <xf numFmtId="0" fontId="5" fillId="8" borderId="48" xfId="0" applyFont="1" applyFill="1" applyBorder="1" applyAlignment="1">
      <alignment horizontal="center"/>
    </xf>
    <xf numFmtId="0" fontId="5" fillId="3" borderId="28" xfId="0" applyFont="1" applyFill="1" applyBorder="1"/>
    <xf numFmtId="0" fontId="5" fillId="3" borderId="27" xfId="0" applyFont="1" applyFill="1" applyBorder="1"/>
    <xf numFmtId="0" fontId="5" fillId="3" borderId="36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6" fillId="3" borderId="49" xfId="0" applyFont="1" applyFill="1" applyBorder="1"/>
    <xf numFmtId="0" fontId="6" fillId="3" borderId="50" xfId="0" applyFont="1" applyFill="1" applyBorder="1"/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/>
    <xf numFmtId="0" fontId="6" fillId="3" borderId="51" xfId="0" applyFont="1" applyFill="1" applyBorder="1"/>
    <xf numFmtId="0" fontId="5" fillId="8" borderId="52" xfId="0" applyFont="1" applyFill="1" applyBorder="1"/>
    <xf numFmtId="0" fontId="5" fillId="3" borderId="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53" xfId="0" applyFont="1" applyFill="1" applyBorder="1" applyAlignment="1">
      <alignment horizontal="center"/>
    </xf>
    <xf numFmtId="3" fontId="1" fillId="0" borderId="54" xfId="0" applyNumberFormat="1" applyFont="1" applyBorder="1"/>
    <xf numFmtId="0" fontId="0" fillId="0" borderId="55" xfId="0" applyBorder="1"/>
    <xf numFmtId="3" fontId="1" fillId="0" borderId="6" xfId="0" applyNumberFormat="1" applyFont="1" applyBorder="1"/>
    <xf numFmtId="3" fontId="1" fillId="0" borderId="39" xfId="0" applyNumberFormat="1" applyFont="1" applyBorder="1"/>
    <xf numFmtId="3" fontId="1" fillId="0" borderId="56" xfId="0" applyNumberFormat="1" applyFont="1" applyBorder="1"/>
    <xf numFmtId="3" fontId="1" fillId="0" borderId="36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9" fillId="3" borderId="57" xfId="0" applyFont="1" applyFill="1" applyBorder="1"/>
    <xf numFmtId="3" fontId="5" fillId="3" borderId="58" xfId="0" applyNumberFormat="1" applyFont="1" applyFill="1" applyBorder="1"/>
    <xf numFmtId="3" fontId="5" fillId="3" borderId="59" xfId="0" applyNumberFormat="1" applyFont="1" applyFill="1" applyBorder="1"/>
    <xf numFmtId="3" fontId="5" fillId="3" borderId="60" xfId="0" applyNumberFormat="1" applyFont="1" applyFill="1" applyBorder="1"/>
    <xf numFmtId="3" fontId="5" fillId="3" borderId="61" xfId="0" applyNumberFormat="1" applyFont="1" applyFill="1" applyBorder="1"/>
    <xf numFmtId="3" fontId="5" fillId="3" borderId="62" xfId="0" applyNumberFormat="1" applyFont="1" applyFill="1" applyBorder="1"/>
    <xf numFmtId="3" fontId="5" fillId="3" borderId="63" xfId="0" applyNumberFormat="1" applyFont="1" applyFill="1" applyBorder="1"/>
    <xf numFmtId="0" fontId="5" fillId="3" borderId="58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2" fontId="0" fillId="0" borderId="0" xfId="0" applyNumberFormat="1"/>
    <xf numFmtId="0" fontId="0" fillId="3" borderId="19" xfId="0" applyFill="1" applyBorder="1"/>
    <xf numFmtId="0" fontId="9" fillId="3" borderId="22" xfId="0" applyFont="1" applyFill="1" applyBorder="1" applyAlignment="1">
      <alignment horizontal="center"/>
    </xf>
    <xf numFmtId="0" fontId="13" fillId="0" borderId="0" xfId="0" applyFont="1"/>
    <xf numFmtId="0" fontId="0" fillId="3" borderId="21" xfId="0" applyFill="1" applyBorder="1"/>
    <xf numFmtId="0" fontId="9" fillId="3" borderId="17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0" fillId="3" borderId="17" xfId="0" applyFill="1" applyBorder="1"/>
    <xf numFmtId="0" fontId="36" fillId="3" borderId="26" xfId="0" applyFont="1" applyFill="1" applyBorder="1" applyAlignment="1">
      <alignment horizontal="center"/>
    </xf>
    <xf numFmtId="0" fontId="36" fillId="3" borderId="36" xfId="0" applyFont="1" applyFill="1" applyBorder="1" applyAlignment="1">
      <alignment horizontal="center"/>
    </xf>
    <xf numFmtId="0" fontId="0" fillId="0" borderId="17" xfId="0" applyBorder="1"/>
    <xf numFmtId="3" fontId="0" fillId="0" borderId="22" xfId="0" applyNumberFormat="1" applyBorder="1"/>
    <xf numFmtId="2" fontId="0" fillId="0" borderId="9" xfId="0" applyNumberFormat="1" applyBorder="1"/>
    <xf numFmtId="0" fontId="0" fillId="0" borderId="69" xfId="0" applyBorder="1"/>
    <xf numFmtId="3" fontId="0" fillId="0" borderId="31" xfId="0" applyNumberFormat="1" applyBorder="1"/>
    <xf numFmtId="2" fontId="0" fillId="0" borderId="74" xfId="0" applyNumberFormat="1" applyBorder="1"/>
    <xf numFmtId="0" fontId="42" fillId="0" borderId="75" xfId="0" applyFont="1" applyBorder="1"/>
    <xf numFmtId="0" fontId="0" fillId="0" borderId="75" xfId="0" applyBorder="1"/>
    <xf numFmtId="0" fontId="0" fillId="3" borderId="5" xfId="0" applyFill="1" applyBorder="1"/>
    <xf numFmtId="0" fontId="36" fillId="3" borderId="5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3" fontId="5" fillId="3" borderId="44" xfId="0" applyNumberFormat="1" applyFont="1" applyFill="1" applyBorder="1"/>
    <xf numFmtId="0" fontId="6" fillId="0" borderId="0" xfId="0" applyFont="1"/>
    <xf numFmtId="0" fontId="0" fillId="8" borderId="78" xfId="0" applyFill="1" applyBorder="1"/>
    <xf numFmtId="0" fontId="5" fillId="8" borderId="78" xfId="0" applyFont="1" applyFill="1" applyBorder="1"/>
    <xf numFmtId="0" fontId="5" fillId="8" borderId="78" xfId="0" applyFont="1" applyFill="1" applyBorder="1" applyAlignment="1">
      <alignment horizontal="center"/>
    </xf>
    <xf numFmtId="0" fontId="9" fillId="3" borderId="66" xfId="0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80" xfId="0" applyFont="1" applyFill="1" applyBorder="1" applyAlignment="1">
      <alignment horizontal="center"/>
    </xf>
    <xf numFmtId="0" fontId="5" fillId="8" borderId="81" xfId="0" applyFont="1" applyFill="1" applyBorder="1"/>
    <xf numFmtId="0" fontId="0" fillId="3" borderId="82" xfId="0" applyFill="1" applyBorder="1"/>
    <xf numFmtId="0" fontId="9" fillId="3" borderId="83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2" fontId="9" fillId="3" borderId="38" xfId="0" applyNumberFormat="1" applyFont="1" applyFill="1" applyBorder="1"/>
    <xf numFmtId="3" fontId="9" fillId="3" borderId="4" xfId="0" applyNumberFormat="1" applyFont="1" applyFill="1" applyBorder="1"/>
    <xf numFmtId="3" fontId="9" fillId="3" borderId="11" xfId="0" applyNumberFormat="1" applyFont="1" applyFill="1" applyBorder="1"/>
    <xf numFmtId="4" fontId="9" fillId="3" borderId="20" xfId="0" applyNumberFormat="1" applyFont="1" applyFill="1" applyBorder="1"/>
    <xf numFmtId="0" fontId="0" fillId="0" borderId="78" xfId="0" applyBorder="1"/>
    <xf numFmtId="4" fontId="0" fillId="0" borderId="38" xfId="0" applyNumberFormat="1" applyBorder="1"/>
    <xf numFmtId="3" fontId="0" fillId="0" borderId="4" xfId="0" applyNumberFormat="1" applyBorder="1"/>
    <xf numFmtId="0" fontId="9" fillId="3" borderId="84" xfId="0" applyFont="1" applyFill="1" applyBorder="1"/>
    <xf numFmtId="4" fontId="9" fillId="3" borderId="85" xfId="0" applyNumberFormat="1" applyFont="1" applyFill="1" applyBorder="1"/>
    <xf numFmtId="3" fontId="9" fillId="3" borderId="86" xfId="0" applyNumberFormat="1" applyFont="1" applyFill="1" applyBorder="1"/>
    <xf numFmtId="4" fontId="0" fillId="0" borderId="0" xfId="0" applyNumberForma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22" xfId="0" applyFont="1" applyBorder="1" applyAlignment="1">
      <alignment horizontal="center" vertical="center" wrapText="1"/>
    </xf>
    <xf numFmtId="0" fontId="0" fillId="0" borderId="9" xfId="0" applyBorder="1"/>
    <xf numFmtId="0" fontId="0" fillId="0" borderId="74" xfId="0" applyBorder="1"/>
    <xf numFmtId="0" fontId="0" fillId="0" borderId="16" xfId="0" applyBorder="1"/>
    <xf numFmtId="0" fontId="9" fillId="3" borderId="87" xfId="0" applyFont="1" applyFill="1" applyBorder="1"/>
    <xf numFmtId="0" fontId="9" fillId="3" borderId="16" xfId="0" applyFont="1" applyFill="1" applyBorder="1"/>
    <xf numFmtId="0" fontId="5" fillId="7" borderId="89" xfId="0" applyFont="1" applyFill="1" applyBorder="1"/>
    <xf numFmtId="0" fontId="5" fillId="7" borderId="78" xfId="0" applyFont="1" applyFill="1" applyBorder="1" applyAlignment="1">
      <alignment horizontal="center"/>
    </xf>
    <xf numFmtId="0" fontId="36" fillId="3" borderId="66" xfId="0" applyFont="1" applyFill="1" applyBorder="1" applyAlignment="1">
      <alignment horizontal="center"/>
    </xf>
    <xf numFmtId="0" fontId="36" fillId="3" borderId="80" xfId="0" applyFont="1" applyFill="1" applyBorder="1" applyAlignment="1">
      <alignment horizontal="center"/>
    </xf>
    <xf numFmtId="0" fontId="36" fillId="3" borderId="50" xfId="0" applyFont="1" applyFill="1" applyBorder="1" applyAlignment="1">
      <alignment horizontal="center"/>
    </xf>
    <xf numFmtId="0" fontId="5" fillId="7" borderId="78" xfId="0" applyFont="1" applyFill="1" applyBorder="1"/>
    <xf numFmtId="0" fontId="9" fillId="3" borderId="90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7" borderId="55" xfId="0" applyFont="1" applyFill="1" applyBorder="1"/>
    <xf numFmtId="0" fontId="36" fillId="3" borderId="82" xfId="0" applyFont="1" applyFill="1" applyBorder="1" applyAlignment="1">
      <alignment horizontal="center"/>
    </xf>
    <xf numFmtId="0" fontId="5" fillId="3" borderId="78" xfId="0" applyFont="1" applyFill="1" applyBorder="1"/>
    <xf numFmtId="3" fontId="9" fillId="3" borderId="91" xfId="0" applyNumberFormat="1" applyFont="1" applyFill="1" applyBorder="1"/>
    <xf numFmtId="0" fontId="5" fillId="0" borderId="5" xfId="0" applyFont="1" applyBorder="1"/>
    <xf numFmtId="0" fontId="5" fillId="0" borderId="4" xfId="0" applyFont="1" applyBorder="1"/>
    <xf numFmtId="0" fontId="5" fillId="0" borderId="90" xfId="0" applyFont="1" applyBorder="1"/>
    <xf numFmtId="0" fontId="5" fillId="0" borderId="92" xfId="0" applyFont="1" applyBorder="1"/>
    <xf numFmtId="0" fontId="0" fillId="0" borderId="93" xfId="0" applyBorder="1"/>
    <xf numFmtId="3" fontId="0" fillId="0" borderId="42" xfId="0" applyNumberFormat="1" applyBorder="1"/>
    <xf numFmtId="3" fontId="0" fillId="0" borderId="32" xfId="0" applyNumberFormat="1" applyBorder="1"/>
    <xf numFmtId="3" fontId="0" fillId="0" borderId="69" xfId="0" applyNumberFormat="1" applyBorder="1"/>
    <xf numFmtId="0" fontId="1" fillId="0" borderId="3" xfId="0" applyFont="1" applyBorder="1"/>
    <xf numFmtId="0" fontId="1" fillId="0" borderId="42" xfId="0" applyFont="1" applyBorder="1"/>
    <xf numFmtId="0" fontId="1" fillId="0" borderId="32" xfId="0" applyFont="1" applyBorder="1"/>
    <xf numFmtId="0" fontId="1" fillId="0" borderId="3" xfId="0" applyFont="1" applyBorder="1" applyAlignment="1">
      <alignment horizontal="right"/>
    </xf>
    <xf numFmtId="0" fontId="1" fillId="0" borderId="42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5" fillId="3" borderId="93" xfId="0" applyFont="1" applyFill="1" applyBorder="1"/>
    <xf numFmtId="3" fontId="9" fillId="3" borderId="68" xfId="0" applyNumberFormat="1" applyFont="1" applyFill="1" applyBorder="1"/>
    <xf numFmtId="3" fontId="9" fillId="3" borderId="42" xfId="0" applyNumberFormat="1" applyFont="1" applyFill="1" applyBorder="1"/>
    <xf numFmtId="3" fontId="9" fillId="3" borderId="32" xfId="0" applyNumberFormat="1" applyFont="1" applyFill="1" applyBorder="1"/>
    <xf numFmtId="3" fontId="9" fillId="3" borderId="69" xfId="0" applyNumberFormat="1" applyFont="1" applyFill="1" applyBorder="1"/>
    <xf numFmtId="0" fontId="0" fillId="0" borderId="38" xfId="0" applyBorder="1"/>
    <xf numFmtId="0" fontId="0" fillId="0" borderId="90" xfId="0" applyBorder="1"/>
    <xf numFmtId="0" fontId="1" fillId="0" borderId="5" xfId="0" applyFont="1" applyBorder="1"/>
    <xf numFmtId="0" fontId="1" fillId="0" borderId="4" xfId="0" applyFont="1" applyBorder="1"/>
    <xf numFmtId="0" fontId="1" fillId="0" borderId="90" xfId="0" applyFont="1" applyBorder="1"/>
    <xf numFmtId="0" fontId="9" fillId="3" borderId="95" xfId="0" applyFont="1" applyFill="1" applyBorder="1"/>
    <xf numFmtId="3" fontId="9" fillId="3" borderId="96" xfId="0" applyNumberFormat="1" applyFont="1" applyFill="1" applyBorder="1"/>
    <xf numFmtId="1" fontId="5" fillId="3" borderId="86" xfId="0" applyNumberFormat="1" applyFont="1" applyFill="1" applyBorder="1"/>
    <xf numFmtId="3" fontId="47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0" fontId="42" fillId="0" borderId="0" xfId="0" applyFont="1"/>
    <xf numFmtId="0" fontId="9" fillId="0" borderId="0" xfId="0" applyFont="1" applyAlignment="1">
      <alignment horizontal="right"/>
    </xf>
    <xf numFmtId="0" fontId="9" fillId="3" borderId="0" xfId="0" applyFont="1" applyFill="1" applyAlignment="1">
      <alignment horizontal="center"/>
    </xf>
    <xf numFmtId="0" fontId="5" fillId="8" borderId="55" xfId="0" applyFont="1" applyFill="1" applyBorder="1"/>
    <xf numFmtId="17" fontId="36" fillId="3" borderId="39" xfId="0" applyNumberFormat="1" applyFont="1" applyFill="1" applyBorder="1" applyAlignment="1">
      <alignment horizontal="center"/>
    </xf>
    <xf numFmtId="17" fontId="9" fillId="3" borderId="56" xfId="0" applyNumberFormat="1" applyFont="1" applyFill="1" applyBorder="1" applyAlignment="1">
      <alignment horizontal="center"/>
    </xf>
    <xf numFmtId="17" fontId="36" fillId="3" borderId="28" xfId="0" applyNumberFormat="1" applyFont="1" applyFill="1" applyBorder="1" applyAlignment="1">
      <alignment horizontal="center"/>
    </xf>
    <xf numFmtId="17" fontId="9" fillId="3" borderId="28" xfId="0" applyNumberFormat="1" applyFont="1" applyFill="1" applyBorder="1" applyAlignment="1">
      <alignment horizontal="center"/>
    </xf>
    <xf numFmtId="17" fontId="36" fillId="0" borderId="0" xfId="0" applyNumberFormat="1" applyFont="1" applyAlignment="1">
      <alignment horizontal="center"/>
    </xf>
    <xf numFmtId="3" fontId="5" fillId="0" borderId="39" xfId="0" applyNumberFormat="1" applyFont="1" applyBorder="1" applyAlignment="1">
      <alignment horizontal="right"/>
    </xf>
    <xf numFmtId="4" fontId="5" fillId="0" borderId="56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5" fillId="3" borderId="60" xfId="0" applyNumberFormat="1" applyFont="1" applyFill="1" applyBorder="1" applyAlignment="1">
      <alignment horizontal="right"/>
    </xf>
    <xf numFmtId="4" fontId="5" fillId="3" borderId="61" xfId="0" applyNumberFormat="1" applyFont="1" applyFill="1" applyBorder="1" applyAlignment="1">
      <alignment horizontal="right"/>
    </xf>
    <xf numFmtId="3" fontId="5" fillId="3" borderId="64" xfId="0" applyNumberFormat="1" applyFont="1" applyFill="1" applyBorder="1" applyAlignment="1">
      <alignment horizontal="right"/>
    </xf>
    <xf numFmtId="3" fontId="0" fillId="0" borderId="24" xfId="0" applyNumberFormat="1" applyBorder="1"/>
    <xf numFmtId="3" fontId="0" fillId="0" borderId="2" xfId="0" applyNumberFormat="1" applyBorder="1"/>
    <xf numFmtId="0" fontId="9" fillId="3" borderId="29" xfId="0" applyFont="1" applyFill="1" applyBorder="1"/>
    <xf numFmtId="0" fontId="5" fillId="3" borderId="49" xfId="0" applyFont="1" applyFill="1" applyBorder="1"/>
    <xf numFmtId="0" fontId="9" fillId="3" borderId="50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3" fontId="1" fillId="0" borderId="4" xfId="0" applyNumberFormat="1" applyFont="1" applyBorder="1"/>
    <xf numFmtId="4" fontId="1" fillId="0" borderId="44" xfId="0" applyNumberFormat="1" applyFont="1" applyBorder="1"/>
    <xf numFmtId="3" fontId="1" fillId="0" borderId="5" xfId="0" applyNumberFormat="1" applyFont="1" applyBorder="1"/>
    <xf numFmtId="3" fontId="5" fillId="3" borderId="100" xfId="0" applyNumberFormat="1" applyFont="1" applyFill="1" applyBorder="1"/>
    <xf numFmtId="4" fontId="5" fillId="3" borderId="101" xfId="0" applyNumberFormat="1" applyFont="1" applyFill="1" applyBorder="1"/>
    <xf numFmtId="3" fontId="5" fillId="3" borderId="96" xfId="0" applyNumberFormat="1" applyFont="1" applyFill="1" applyBorder="1"/>
    <xf numFmtId="3" fontId="5" fillId="3" borderId="86" xfId="0" applyNumberFormat="1" applyFont="1" applyFill="1" applyBorder="1"/>
    <xf numFmtId="3" fontId="5" fillId="3" borderId="102" xfId="0" applyNumberFormat="1" applyFont="1" applyFill="1" applyBorder="1"/>
    <xf numFmtId="0" fontId="3" fillId="0" borderId="0" xfId="0" applyFont="1"/>
    <xf numFmtId="0" fontId="5" fillId="4" borderId="48" xfId="0" applyFont="1" applyFill="1" applyBorder="1"/>
    <xf numFmtId="0" fontId="5" fillId="4" borderId="78" xfId="0" applyFont="1" applyFill="1" applyBorder="1"/>
    <xf numFmtId="0" fontId="9" fillId="0" borderId="0" xfId="0" applyFont="1" applyAlignment="1">
      <alignment horizontal="centerContinuous"/>
    </xf>
    <xf numFmtId="0" fontId="5" fillId="4" borderId="48" xfId="0" applyFont="1" applyFill="1" applyBorder="1" applyAlignment="1">
      <alignment horizontal="center"/>
    </xf>
    <xf numFmtId="0" fontId="5" fillId="4" borderId="78" xfId="0" applyFont="1" applyFill="1" applyBorder="1" applyAlignment="1">
      <alignment horizontal="center"/>
    </xf>
    <xf numFmtId="0" fontId="12" fillId="3" borderId="9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36" fillId="3" borderId="38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17" fontId="12" fillId="0" borderId="0" xfId="0" applyNumberFormat="1" applyFont="1" applyAlignment="1">
      <alignment horizontal="center"/>
    </xf>
    <xf numFmtId="0" fontId="36" fillId="3" borderId="71" xfId="0" applyFont="1" applyFill="1" applyBorder="1" applyAlignment="1">
      <alignment horizontal="center"/>
    </xf>
    <xf numFmtId="0" fontId="36" fillId="3" borderId="70" xfId="0" applyFont="1" applyFill="1" applyBorder="1" applyAlignment="1">
      <alignment horizontal="center"/>
    </xf>
    <xf numFmtId="17" fontId="36" fillId="3" borderId="98" xfId="0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right"/>
    </xf>
    <xf numFmtId="1" fontId="1" fillId="0" borderId="0" xfId="0" applyNumberFormat="1" applyFont="1"/>
    <xf numFmtId="3" fontId="9" fillId="0" borderId="0" xfId="0" applyNumberFormat="1" applyFont="1" applyAlignment="1">
      <alignment horizontal="right"/>
    </xf>
    <xf numFmtId="1" fontId="9" fillId="0" borderId="0" xfId="0" applyNumberFormat="1" applyFont="1"/>
    <xf numFmtId="3" fontId="11" fillId="0" borderId="0" xfId="0" applyNumberFormat="1" applyFont="1" applyAlignment="1">
      <alignment horizontal="right"/>
    </xf>
    <xf numFmtId="0" fontId="11" fillId="0" borderId="48" xfId="0" applyFont="1" applyBorder="1"/>
    <xf numFmtId="0" fontId="9" fillId="3" borderId="103" xfId="0" applyFont="1" applyFill="1" applyBorder="1"/>
    <xf numFmtId="3" fontId="5" fillId="3" borderId="96" xfId="0" applyNumberFormat="1" applyFont="1" applyFill="1" applyBorder="1" applyAlignment="1">
      <alignment horizontal="right"/>
    </xf>
    <xf numFmtId="3" fontId="5" fillId="3" borderId="104" xfId="0" applyNumberFormat="1" applyFont="1" applyFill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5" fillId="3" borderId="58" xfId="0" applyNumberFormat="1" applyFont="1" applyFill="1" applyBorder="1" applyAlignment="1">
      <alignment horizontal="right"/>
    </xf>
    <xf numFmtId="3" fontId="5" fillId="3" borderId="59" xfId="0" applyNumberFormat="1" applyFont="1" applyFill="1" applyBorder="1" applyAlignment="1">
      <alignment horizontal="right"/>
    </xf>
    <xf numFmtId="3" fontId="9" fillId="3" borderId="88" xfId="0" applyNumberFormat="1" applyFont="1" applyFill="1" applyBorder="1"/>
    <xf numFmtId="3" fontId="5" fillId="3" borderId="75" xfId="0" applyNumberFormat="1" applyFont="1" applyFill="1" applyBorder="1" applyAlignment="1">
      <alignment horizontal="right"/>
    </xf>
    <xf numFmtId="3" fontId="5" fillId="3" borderId="65" xfId="0" applyNumberFormat="1" applyFont="1" applyFill="1" applyBorder="1" applyAlignment="1">
      <alignment horizontal="right"/>
    </xf>
    <xf numFmtId="4" fontId="13" fillId="0" borderId="0" xfId="0" applyNumberFormat="1" applyFont="1"/>
    <xf numFmtId="0" fontId="0" fillId="6" borderId="0" xfId="0" applyFill="1" applyAlignment="1">
      <alignment vertical="center"/>
    </xf>
    <xf numFmtId="0" fontId="3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justify" vertical="center" wrapText="1"/>
    </xf>
    <xf numFmtId="0" fontId="3" fillId="3" borderId="49" xfId="0" applyFont="1" applyFill="1" applyBorder="1" applyAlignment="1">
      <alignment horizontal="justify" vertical="center" wrapText="1"/>
    </xf>
    <xf numFmtId="0" fontId="3" fillId="3" borderId="25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8" fillId="6" borderId="37" xfId="0" applyFont="1" applyFill="1" applyBorder="1" applyAlignment="1">
      <alignment vertical="center"/>
    </xf>
    <xf numFmtId="0" fontId="38" fillId="6" borderId="105" xfId="0" applyFont="1" applyFill="1" applyBorder="1" applyAlignment="1">
      <alignment vertical="center"/>
    </xf>
    <xf numFmtId="0" fontId="38" fillId="6" borderId="91" xfId="0" applyFont="1" applyFill="1" applyBorder="1" applyAlignment="1">
      <alignment vertical="center"/>
    </xf>
    <xf numFmtId="0" fontId="38" fillId="6" borderId="8" xfId="0" applyFont="1" applyFill="1" applyBorder="1" applyAlignment="1">
      <alignment vertical="center"/>
    </xf>
    <xf numFmtId="0" fontId="38" fillId="6" borderId="11" xfId="0" applyFont="1" applyFill="1" applyBorder="1" applyAlignment="1">
      <alignment vertical="center"/>
    </xf>
    <xf numFmtId="0" fontId="38" fillId="0" borderId="20" xfId="0" applyFont="1" applyBorder="1" applyAlignment="1">
      <alignment vertical="center"/>
    </xf>
    <xf numFmtId="0" fontId="38" fillId="6" borderId="20" xfId="0" applyFont="1" applyFill="1" applyBorder="1" applyAlignment="1">
      <alignment vertical="center"/>
    </xf>
    <xf numFmtId="3" fontId="38" fillId="6" borderId="19" xfId="0" applyNumberFormat="1" applyFont="1" applyFill="1" applyBorder="1" applyAlignment="1">
      <alignment vertical="center"/>
    </xf>
    <xf numFmtId="3" fontId="38" fillId="6" borderId="11" xfId="0" applyNumberFormat="1" applyFont="1" applyFill="1" applyBorder="1" applyAlignment="1">
      <alignment vertical="center"/>
    </xf>
    <xf numFmtId="3" fontId="38" fillId="6" borderId="20" xfId="0" applyNumberFormat="1" applyFont="1" applyFill="1" applyBorder="1" applyAlignment="1">
      <alignment vertical="center"/>
    </xf>
    <xf numFmtId="166" fontId="38" fillId="6" borderId="68" xfId="0" applyNumberFormat="1" applyFont="1" applyFill="1" applyBorder="1" applyAlignment="1">
      <alignment vertical="center"/>
    </xf>
    <xf numFmtId="166" fontId="38" fillId="6" borderId="42" xfId="0" applyNumberFormat="1" applyFont="1" applyFill="1" applyBorder="1" applyAlignment="1">
      <alignment vertical="center"/>
    </xf>
    <xf numFmtId="166" fontId="38" fillId="6" borderId="32" xfId="0" applyNumberFormat="1" applyFont="1" applyFill="1" applyBorder="1" applyAlignment="1">
      <alignment vertical="center"/>
    </xf>
    <xf numFmtId="166" fontId="38" fillId="6" borderId="2" xfId="0" applyNumberFormat="1" applyFont="1" applyFill="1" applyBorder="1" applyAlignment="1">
      <alignment vertical="center"/>
    </xf>
    <xf numFmtId="166" fontId="38" fillId="0" borderId="74" xfId="0" applyNumberFormat="1" applyFont="1" applyBorder="1" applyAlignment="1">
      <alignment vertical="center"/>
    </xf>
    <xf numFmtId="167" fontId="38" fillId="6" borderId="2" xfId="0" applyNumberFormat="1" applyFont="1" applyFill="1" applyBorder="1" applyAlignment="1">
      <alignment vertical="center"/>
    </xf>
    <xf numFmtId="167" fontId="38" fillId="6" borderId="42" xfId="0" applyNumberFormat="1" applyFont="1" applyFill="1" applyBorder="1" applyAlignment="1">
      <alignment vertical="center"/>
    </xf>
    <xf numFmtId="167" fontId="38" fillId="6" borderId="74" xfId="0" applyNumberFormat="1" applyFont="1" applyFill="1" applyBorder="1" applyAlignment="1">
      <alignment vertical="center"/>
    </xf>
    <xf numFmtId="3" fontId="38" fillId="6" borderId="31" xfId="0" applyNumberFormat="1" applyFont="1" applyFill="1" applyBorder="1" applyAlignment="1">
      <alignment vertical="center"/>
    </xf>
    <xf numFmtId="3" fontId="38" fillId="6" borderId="42" xfId="0" applyNumberFormat="1" applyFont="1" applyFill="1" applyBorder="1" applyAlignment="1">
      <alignment vertical="center"/>
    </xf>
    <xf numFmtId="3" fontId="38" fillId="6" borderId="74" xfId="0" applyNumberFormat="1" applyFont="1" applyFill="1" applyBorder="1" applyAlignment="1">
      <alignment vertical="center"/>
    </xf>
    <xf numFmtId="166" fontId="38" fillId="6" borderId="10" xfId="0" applyNumberFormat="1" applyFont="1" applyFill="1" applyBorder="1" applyAlignment="1">
      <alignment vertical="center"/>
    </xf>
    <xf numFmtId="166" fontId="38" fillId="6" borderId="106" xfId="0" applyNumberFormat="1" applyFont="1" applyFill="1" applyBorder="1" applyAlignment="1">
      <alignment vertical="center"/>
    </xf>
    <xf numFmtId="167" fontId="38" fillId="6" borderId="107" xfId="0" applyNumberFormat="1" applyFont="1" applyFill="1" applyBorder="1" applyAlignment="1">
      <alignment vertical="center"/>
    </xf>
    <xf numFmtId="166" fontId="38" fillId="6" borderId="31" xfId="0" applyNumberFormat="1" applyFont="1" applyFill="1" applyBorder="1" applyAlignment="1">
      <alignment vertical="center"/>
    </xf>
    <xf numFmtId="0" fontId="38" fillId="6" borderId="2" xfId="0" applyFont="1" applyFill="1" applyBorder="1" applyAlignment="1">
      <alignment vertical="center"/>
    </xf>
    <xf numFmtId="0" fontId="38" fillId="6" borderId="42" xfId="0" applyFont="1" applyFill="1" applyBorder="1" applyAlignment="1">
      <alignment vertical="center"/>
    </xf>
    <xf numFmtId="0" fontId="38" fillId="6" borderId="74" xfId="0" applyFont="1" applyFill="1" applyBorder="1" applyAlignment="1">
      <alignment vertical="center"/>
    </xf>
    <xf numFmtId="167" fontId="38" fillId="6" borderId="9" xfId="0" applyNumberFormat="1" applyFont="1" applyFill="1" applyBorder="1" applyAlignment="1">
      <alignment vertical="center"/>
    </xf>
    <xf numFmtId="4" fontId="38" fillId="6" borderId="9" xfId="0" applyNumberFormat="1" applyFont="1" applyFill="1" applyBorder="1" applyAlignment="1">
      <alignment vertical="center"/>
    </xf>
    <xf numFmtId="0" fontId="3" fillId="3" borderId="108" xfId="0" applyFont="1" applyFill="1" applyBorder="1" applyAlignment="1">
      <alignment vertical="center"/>
    </xf>
    <xf numFmtId="166" fontId="3" fillId="3" borderId="109" xfId="0" applyNumberFormat="1" applyFont="1" applyFill="1" applyBorder="1" applyAlignment="1">
      <alignment vertical="center"/>
    </xf>
    <xf numFmtId="167" fontId="3" fillId="3" borderId="110" xfId="0" applyNumberFormat="1" applyFont="1" applyFill="1" applyBorder="1" applyAlignment="1">
      <alignment vertical="center"/>
    </xf>
    <xf numFmtId="167" fontId="3" fillId="3" borderId="111" xfId="0" applyNumberFormat="1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167" fontId="3" fillId="3" borderId="2" xfId="0" applyNumberFormat="1" applyFont="1" applyFill="1" applyBorder="1" applyAlignment="1">
      <alignment vertical="center"/>
    </xf>
    <xf numFmtId="167" fontId="3" fillId="3" borderId="42" xfId="0" applyNumberFormat="1" applyFont="1" applyFill="1" applyBorder="1" applyAlignment="1">
      <alignment vertical="center"/>
    </xf>
    <xf numFmtId="167" fontId="3" fillId="3" borderId="74" xfId="0" applyNumberFormat="1" applyFont="1" applyFill="1" applyBorder="1" applyAlignment="1">
      <alignment vertical="center"/>
    </xf>
    <xf numFmtId="3" fontId="3" fillId="3" borderId="68" xfId="0" applyNumberFormat="1" applyFont="1" applyFill="1" applyBorder="1" applyAlignment="1">
      <alignment vertical="center"/>
    </xf>
    <xf numFmtId="3" fontId="3" fillId="3" borderId="42" xfId="0" applyNumberFormat="1" applyFont="1" applyFill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166" fontId="3" fillId="3" borderId="37" xfId="0" applyNumberFormat="1" applyFont="1" applyFill="1" applyBorder="1" applyAlignment="1">
      <alignment vertical="center"/>
    </xf>
    <xf numFmtId="167" fontId="3" fillId="3" borderId="112" xfId="0" applyNumberFormat="1" applyFont="1" applyFill="1" applyBorder="1" applyAlignment="1">
      <alignment vertical="center"/>
    </xf>
    <xf numFmtId="167" fontId="3" fillId="3" borderId="71" xfId="0" applyNumberFormat="1" applyFont="1" applyFill="1" applyBorder="1" applyAlignment="1">
      <alignment vertical="center"/>
    </xf>
    <xf numFmtId="167" fontId="3" fillId="3" borderId="35" xfId="0" applyNumberFormat="1" applyFont="1" applyFill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" fillId="3" borderId="7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49" fillId="6" borderId="8" xfId="0" applyNumberFormat="1" applyFont="1" applyFill="1" applyBorder="1" applyAlignment="1">
      <alignment vertical="center"/>
    </xf>
    <xf numFmtId="3" fontId="49" fillId="6" borderId="0" xfId="0" applyNumberFormat="1" applyFont="1" applyFill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8" fillId="6" borderId="19" xfId="0" applyFont="1" applyFill="1" applyBorder="1" applyAlignment="1">
      <alignment vertical="center"/>
    </xf>
    <xf numFmtId="166" fontId="38" fillId="0" borderId="32" xfId="0" applyNumberFormat="1" applyFont="1" applyBorder="1" applyAlignment="1">
      <alignment vertical="center"/>
    </xf>
    <xf numFmtId="167" fontId="38" fillId="6" borderId="0" xfId="0" applyNumberFormat="1" applyFont="1" applyFill="1" applyAlignment="1">
      <alignment vertical="center"/>
    </xf>
    <xf numFmtId="167" fontId="38" fillId="6" borderId="4" xfId="0" applyNumberFormat="1" applyFont="1" applyFill="1" applyBorder="1" applyAlignment="1">
      <alignment vertical="center"/>
    </xf>
    <xf numFmtId="4" fontId="38" fillId="6" borderId="22" xfId="0" applyNumberFormat="1" applyFont="1" applyFill="1" applyBorder="1" applyAlignment="1">
      <alignment vertical="center"/>
    </xf>
    <xf numFmtId="4" fontId="38" fillId="6" borderId="4" xfId="0" applyNumberFormat="1" applyFont="1" applyFill="1" applyBorder="1" applyAlignment="1">
      <alignment vertical="center"/>
    </xf>
    <xf numFmtId="0" fontId="38" fillId="6" borderId="25" xfId="0" applyFont="1" applyFill="1" applyBorder="1" applyAlignment="1">
      <alignment vertical="center"/>
    </xf>
    <xf numFmtId="4" fontId="38" fillId="6" borderId="25" xfId="0" applyNumberFormat="1" applyFont="1" applyFill="1" applyBorder="1" applyAlignment="1">
      <alignment vertical="center"/>
    </xf>
    <xf numFmtId="167" fontId="38" fillId="6" borderId="25" xfId="0" applyNumberFormat="1" applyFont="1" applyFill="1" applyBorder="1" applyAlignment="1">
      <alignment vertical="center"/>
    </xf>
    <xf numFmtId="167" fontId="38" fillId="6" borderId="28" xfId="0" applyNumberFormat="1" applyFont="1" applyFill="1" applyBorder="1" applyAlignment="1">
      <alignment vertical="center"/>
    </xf>
    <xf numFmtId="167" fontId="38" fillId="6" borderId="6" xfId="0" applyNumberFormat="1" applyFont="1" applyFill="1" applyBorder="1" applyAlignment="1">
      <alignment vertical="center"/>
    </xf>
    <xf numFmtId="167" fontId="38" fillId="6" borderId="36" xfId="0" applyNumberFormat="1" applyFont="1" applyFill="1" applyBorder="1" applyAlignment="1">
      <alignment vertical="center"/>
    </xf>
    <xf numFmtId="4" fontId="38" fillId="6" borderId="27" xfId="0" applyNumberFormat="1" applyFont="1" applyFill="1" applyBorder="1" applyAlignment="1">
      <alignment vertical="center"/>
    </xf>
    <xf numFmtId="4" fontId="38" fillId="6" borderId="6" xfId="0" applyNumberFormat="1" applyFont="1" applyFill="1" applyBorder="1" applyAlignment="1">
      <alignment vertical="center"/>
    </xf>
    <xf numFmtId="4" fontId="38" fillId="6" borderId="36" xfId="0" applyNumberFormat="1" applyFont="1" applyFill="1" applyBorder="1" applyAlignment="1">
      <alignment vertical="center"/>
    </xf>
    <xf numFmtId="166" fontId="3" fillId="3" borderId="31" xfId="0" applyNumberFormat="1" applyFont="1" applyFill="1" applyBorder="1" applyAlignment="1">
      <alignment vertical="center"/>
    </xf>
    <xf numFmtId="166" fontId="3" fillId="3" borderId="69" xfId="0" applyNumberFormat="1" applyFont="1" applyFill="1" applyBorder="1" applyAlignment="1">
      <alignment vertical="center"/>
    </xf>
    <xf numFmtId="167" fontId="3" fillId="3" borderId="3" xfId="0" applyNumberFormat="1" applyFont="1" applyFill="1" applyBorder="1" applyAlignment="1">
      <alignment vertical="center"/>
    </xf>
    <xf numFmtId="167" fontId="3" fillId="3" borderId="32" xfId="0" applyNumberFormat="1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3" fontId="38" fillId="6" borderId="8" xfId="0" applyNumberFormat="1" applyFont="1" applyFill="1" applyBorder="1" applyAlignment="1">
      <alignment vertical="center"/>
    </xf>
    <xf numFmtId="166" fontId="38" fillId="6" borderId="74" xfId="0" applyNumberFormat="1" applyFont="1" applyFill="1" applyBorder="1" applyAlignment="1">
      <alignment vertical="center"/>
    </xf>
    <xf numFmtId="3" fontId="38" fillId="6" borderId="1" xfId="0" applyNumberFormat="1" applyFont="1" applyFill="1" applyBorder="1" applyAlignment="1">
      <alignment vertical="center"/>
    </xf>
    <xf numFmtId="3" fontId="38" fillId="6" borderId="2" xfId="0" applyNumberFormat="1" applyFont="1" applyFill="1" applyBorder="1" applyAlignment="1">
      <alignment vertical="center"/>
    </xf>
    <xf numFmtId="0" fontId="38" fillId="6" borderId="31" xfId="0" applyFont="1" applyFill="1" applyBorder="1" applyAlignment="1">
      <alignment vertical="center"/>
    </xf>
    <xf numFmtId="3" fontId="38" fillId="6" borderId="22" xfId="0" applyNumberFormat="1" applyFont="1" applyFill="1" applyBorder="1" applyAlignment="1">
      <alignment vertical="center"/>
    </xf>
    <xf numFmtId="3" fontId="38" fillId="6" borderId="0" xfId="0" applyNumberFormat="1" applyFont="1" applyFill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166" fontId="3" fillId="3" borderId="3" xfId="0" applyNumberFormat="1" applyFont="1" applyFill="1" applyBorder="1" applyAlignment="1">
      <alignment vertical="center"/>
    </xf>
    <xf numFmtId="166" fontId="3" fillId="3" borderId="1" xfId="0" applyNumberFormat="1" applyFont="1" applyFill="1" applyBorder="1" applyAlignment="1">
      <alignment vertical="center"/>
    </xf>
    <xf numFmtId="166" fontId="3" fillId="3" borderId="2" xfId="0" applyNumberFormat="1" applyFont="1" applyFill="1" applyBorder="1" applyAlignment="1">
      <alignment vertical="center"/>
    </xf>
    <xf numFmtId="3" fontId="3" fillId="3" borderId="74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166" fontId="3" fillId="3" borderId="112" xfId="0" applyNumberFormat="1" applyFont="1" applyFill="1" applyBorder="1" applyAlignment="1">
      <alignment vertical="center"/>
    </xf>
    <xf numFmtId="166" fontId="3" fillId="3" borderId="70" xfId="0" applyNumberFormat="1" applyFont="1" applyFill="1" applyBorder="1" applyAlignment="1">
      <alignment vertical="center"/>
    </xf>
    <xf numFmtId="166" fontId="3" fillId="3" borderId="34" xfId="0" applyNumberFormat="1" applyFont="1" applyFill="1" applyBorder="1" applyAlignment="1">
      <alignment vertical="center"/>
    </xf>
    <xf numFmtId="167" fontId="3" fillId="3" borderId="34" xfId="0" applyNumberFormat="1" applyFont="1" applyFill="1" applyBorder="1" applyAlignment="1">
      <alignment vertical="center"/>
    </xf>
    <xf numFmtId="167" fontId="3" fillId="3" borderId="113" xfId="0" applyNumberFormat="1" applyFont="1" applyFill="1" applyBorder="1" applyAlignment="1">
      <alignment vertical="center"/>
    </xf>
    <xf numFmtId="3" fontId="3" fillId="3" borderId="113" xfId="0" applyNumberFormat="1" applyFont="1" applyFill="1" applyBorder="1" applyAlignment="1">
      <alignment vertical="center"/>
    </xf>
    <xf numFmtId="166" fontId="38" fillId="6" borderId="0" xfId="0" applyNumberFormat="1" applyFont="1" applyFill="1" applyAlignment="1">
      <alignment vertical="center"/>
    </xf>
    <xf numFmtId="0" fontId="26" fillId="6" borderId="0" xfId="0" applyFont="1" applyFill="1" applyAlignment="1">
      <alignment vertical="center"/>
    </xf>
    <xf numFmtId="0" fontId="38" fillId="6" borderId="108" xfId="0" applyFont="1" applyFill="1" applyBorder="1" applyAlignment="1">
      <alignment vertical="center"/>
    </xf>
    <xf numFmtId="0" fontId="38" fillId="6" borderId="110" xfId="0" applyFont="1" applyFill="1" applyBorder="1" applyAlignment="1">
      <alignment vertical="center"/>
    </xf>
    <xf numFmtId="0" fontId="38" fillId="0" borderId="114" xfId="0" applyFont="1" applyBorder="1" applyAlignment="1">
      <alignment vertical="center"/>
    </xf>
    <xf numFmtId="0" fontId="38" fillId="6" borderId="114" xfId="0" applyFont="1" applyFill="1" applyBorder="1" applyAlignment="1">
      <alignment vertical="center"/>
    </xf>
    <xf numFmtId="3" fontId="38" fillId="6" borderId="108" xfId="0" applyNumberFormat="1" applyFont="1" applyFill="1" applyBorder="1" applyAlignment="1">
      <alignment vertical="center"/>
    </xf>
    <xf numFmtId="3" fontId="38" fillId="6" borderId="110" xfId="0" applyNumberFormat="1" applyFont="1" applyFill="1" applyBorder="1" applyAlignment="1">
      <alignment vertical="center"/>
    </xf>
    <xf numFmtId="3" fontId="38" fillId="6" borderId="114" xfId="0" applyNumberFormat="1" applyFont="1" applyFill="1" applyBorder="1" applyAlignment="1">
      <alignment vertical="center"/>
    </xf>
    <xf numFmtId="0" fontId="3" fillId="6" borderId="69" xfId="0" applyFont="1" applyFill="1" applyBorder="1" applyAlignment="1">
      <alignment vertical="center"/>
    </xf>
    <xf numFmtId="0" fontId="38" fillId="6" borderId="22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3" fillId="6" borderId="8" xfId="0" applyFont="1" applyFill="1" applyBorder="1" applyAlignment="1">
      <alignment vertical="center"/>
    </xf>
    <xf numFmtId="0" fontId="46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0" fontId="38" fillId="3" borderId="24" xfId="0" applyFont="1" applyFill="1" applyBorder="1" applyAlignment="1">
      <alignment horizontal="justify" vertical="center" wrapText="1"/>
    </xf>
    <xf numFmtId="0" fontId="38" fillId="3" borderId="49" xfId="0" applyFont="1" applyFill="1" applyBorder="1" applyAlignment="1">
      <alignment horizontal="justify" vertical="center" wrapText="1"/>
    </xf>
    <xf numFmtId="0" fontId="46" fillId="6" borderId="13" xfId="0" applyFont="1" applyFill="1" applyBorder="1" applyAlignment="1">
      <alignment vertical="center"/>
    </xf>
    <xf numFmtId="3" fontId="45" fillId="6" borderId="19" xfId="0" applyNumberFormat="1" applyFont="1" applyFill="1" applyBorder="1" applyAlignment="1">
      <alignment vertical="center"/>
    </xf>
    <xf numFmtId="3" fontId="45" fillId="6" borderId="11" xfId="0" applyNumberFormat="1" applyFont="1" applyFill="1" applyBorder="1" applyAlignment="1">
      <alignment vertical="center"/>
    </xf>
    <xf numFmtId="3" fontId="45" fillId="6" borderId="91" xfId="0" applyNumberFormat="1" applyFont="1" applyFill="1" applyBorder="1" applyAlignment="1">
      <alignment vertical="center"/>
    </xf>
    <xf numFmtId="3" fontId="45" fillId="6" borderId="8" xfId="0" applyNumberFormat="1" applyFont="1" applyFill="1" applyBorder="1" applyAlignment="1">
      <alignment vertical="center"/>
    </xf>
    <xf numFmtId="3" fontId="45" fillId="0" borderId="20" xfId="0" applyNumberFormat="1" applyFont="1" applyBorder="1" applyAlignment="1">
      <alignment vertical="center"/>
    </xf>
    <xf numFmtId="167" fontId="45" fillId="6" borderId="13" xfId="0" applyNumberFormat="1" applyFont="1" applyFill="1" applyBorder="1" applyAlignment="1">
      <alignment vertical="center"/>
    </xf>
    <xf numFmtId="167" fontId="45" fillId="6" borderId="43" xfId="0" applyNumberFormat="1" applyFont="1" applyFill="1" applyBorder="1" applyAlignment="1">
      <alignment vertical="center"/>
    </xf>
    <xf numFmtId="167" fontId="45" fillId="6" borderId="88" xfId="0" applyNumberFormat="1" applyFont="1" applyFill="1" applyBorder="1" applyAlignment="1">
      <alignment vertical="center"/>
    </xf>
    <xf numFmtId="3" fontId="45" fillId="6" borderId="115" xfId="0" applyNumberFormat="1" applyFont="1" applyFill="1" applyBorder="1" applyAlignment="1">
      <alignment vertical="center"/>
    </xf>
    <xf numFmtId="3" fontId="45" fillId="6" borderId="43" xfId="0" applyNumberFormat="1" applyFont="1" applyFill="1" applyBorder="1" applyAlignment="1">
      <alignment vertical="center"/>
    </xf>
    <xf numFmtId="3" fontId="45" fillId="6" borderId="15" xfId="0" applyNumberFormat="1" applyFont="1" applyFill="1" applyBorder="1" applyAlignment="1">
      <alignment vertical="center"/>
    </xf>
    <xf numFmtId="0" fontId="45" fillId="6" borderId="22" xfId="0" applyFont="1" applyFill="1" applyBorder="1" applyAlignment="1">
      <alignment vertical="center"/>
    </xf>
    <xf numFmtId="166" fontId="45" fillId="6" borderId="19" xfId="0" applyNumberFormat="1" applyFont="1" applyFill="1" applyBorder="1" applyAlignment="1">
      <alignment vertical="center"/>
    </xf>
    <xf numFmtId="166" fontId="45" fillId="6" borderId="11" xfId="0" applyNumberFormat="1" applyFont="1" applyFill="1" applyBorder="1" applyAlignment="1">
      <alignment vertical="center"/>
    </xf>
    <xf numFmtId="166" fontId="45" fillId="6" borderId="116" xfId="0" applyNumberFormat="1" applyFont="1" applyFill="1" applyBorder="1" applyAlignment="1">
      <alignment vertical="center"/>
    </xf>
    <xf numFmtId="166" fontId="45" fillId="6" borderId="8" xfId="0" applyNumberFormat="1" applyFont="1" applyFill="1" applyBorder="1" applyAlignment="1">
      <alignment vertical="center"/>
    </xf>
    <xf numFmtId="166" fontId="45" fillId="0" borderId="116" xfId="0" applyNumberFormat="1" applyFont="1" applyBorder="1" applyAlignment="1">
      <alignment vertical="center"/>
    </xf>
    <xf numFmtId="167" fontId="45" fillId="6" borderId="0" xfId="0" applyNumberFormat="1" applyFont="1" applyFill="1" applyAlignment="1">
      <alignment vertical="center"/>
    </xf>
    <xf numFmtId="167" fontId="45" fillId="6" borderId="11" xfId="0" applyNumberFormat="1" applyFont="1" applyFill="1" applyBorder="1" applyAlignment="1">
      <alignment vertical="center"/>
    </xf>
    <xf numFmtId="167" fontId="45" fillId="6" borderId="90" xfId="0" applyNumberFormat="1" applyFont="1" applyFill="1" applyBorder="1" applyAlignment="1">
      <alignment vertical="center"/>
    </xf>
    <xf numFmtId="3" fontId="45" fillId="6" borderId="20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vertical="center"/>
    </xf>
    <xf numFmtId="166" fontId="45" fillId="6" borderId="31" xfId="0" applyNumberFormat="1" applyFont="1" applyFill="1" applyBorder="1" applyAlignment="1">
      <alignment vertical="center"/>
    </xf>
    <xf numFmtId="166" fontId="45" fillId="6" borderId="42" xfId="0" applyNumberFormat="1" applyFont="1" applyFill="1" applyBorder="1" applyAlignment="1">
      <alignment vertical="center"/>
    </xf>
    <xf numFmtId="166" fontId="45" fillId="6" borderId="32" xfId="0" applyNumberFormat="1" applyFont="1" applyFill="1" applyBorder="1" applyAlignment="1">
      <alignment vertical="center"/>
    </xf>
    <xf numFmtId="166" fontId="45" fillId="0" borderId="32" xfId="0" applyNumberFormat="1" applyFont="1" applyBorder="1" applyAlignment="1">
      <alignment vertical="center"/>
    </xf>
    <xf numFmtId="167" fontId="45" fillId="6" borderId="2" xfId="0" applyNumberFormat="1" applyFont="1" applyFill="1" applyBorder="1" applyAlignment="1">
      <alignment vertical="center"/>
    </xf>
    <xf numFmtId="167" fontId="45" fillId="6" borderId="42" xfId="0" applyNumberFormat="1" applyFont="1" applyFill="1" applyBorder="1" applyAlignment="1">
      <alignment vertical="center"/>
    </xf>
    <xf numFmtId="167" fontId="45" fillId="6" borderId="32" xfId="0" applyNumberFormat="1" applyFont="1" applyFill="1" applyBorder="1" applyAlignment="1">
      <alignment vertical="center"/>
    </xf>
    <xf numFmtId="3" fontId="45" fillId="6" borderId="3" xfId="0" applyNumberFormat="1" applyFont="1" applyFill="1" applyBorder="1" applyAlignment="1">
      <alignment vertical="center"/>
    </xf>
    <xf numFmtId="166" fontId="45" fillId="6" borderId="27" xfId="0" applyNumberFormat="1" applyFont="1" applyFill="1" applyBorder="1" applyAlignment="1">
      <alignment vertical="center"/>
    </xf>
    <xf numFmtId="166" fontId="45" fillId="6" borderId="83" xfId="0" applyNumberFormat="1" applyFont="1" applyFill="1" applyBorder="1" applyAlignment="1">
      <alignment vertical="center"/>
    </xf>
    <xf numFmtId="166" fontId="45" fillId="6" borderId="90" xfId="0" applyNumberFormat="1" applyFont="1" applyFill="1" applyBorder="1" applyAlignment="1">
      <alignment vertical="center"/>
    </xf>
    <xf numFmtId="166" fontId="45" fillId="6" borderId="28" xfId="0" applyNumberFormat="1" applyFont="1" applyFill="1" applyBorder="1" applyAlignment="1">
      <alignment vertical="center"/>
    </xf>
    <xf numFmtId="166" fontId="45" fillId="0" borderId="98" xfId="0" applyNumberFormat="1" applyFont="1" applyBorder="1" applyAlignment="1">
      <alignment vertical="center"/>
    </xf>
    <xf numFmtId="167" fontId="45" fillId="6" borderId="83" xfId="0" applyNumberFormat="1" applyFont="1" applyFill="1" applyBorder="1" applyAlignment="1">
      <alignment vertical="center"/>
    </xf>
    <xf numFmtId="0" fontId="46" fillId="6" borderId="14" xfId="0" applyFont="1" applyFill="1" applyBorder="1" applyAlignment="1">
      <alignment vertical="center" wrapText="1"/>
    </xf>
    <xf numFmtId="0" fontId="45" fillId="6" borderId="13" xfId="0" applyFont="1" applyFill="1" applyBorder="1" applyAlignment="1">
      <alignment vertical="center"/>
    </xf>
    <xf numFmtId="0" fontId="45" fillId="6" borderId="43" xfId="0" applyFont="1" applyFill="1" applyBorder="1" applyAlignment="1">
      <alignment vertical="center"/>
    </xf>
    <xf numFmtId="0" fontId="45" fillId="6" borderId="88" xfId="0" applyFont="1" applyFill="1" applyBorder="1" applyAlignment="1">
      <alignment vertical="center"/>
    </xf>
    <xf numFmtId="0" fontId="45" fillId="6" borderId="115" xfId="0" applyFont="1" applyFill="1" applyBorder="1" applyAlignment="1">
      <alignment vertical="center"/>
    </xf>
    <xf numFmtId="0" fontId="45" fillId="0" borderId="15" xfId="0" applyFont="1" applyBorder="1" applyAlignment="1">
      <alignment vertical="center"/>
    </xf>
    <xf numFmtId="0" fontId="45" fillId="6" borderId="11" xfId="0" applyFont="1" applyFill="1" applyBorder="1" applyAlignment="1">
      <alignment vertical="center"/>
    </xf>
    <xf numFmtId="3" fontId="45" fillId="6" borderId="0" xfId="0" applyNumberFormat="1" applyFont="1" applyFill="1" applyAlignment="1">
      <alignment vertical="center"/>
    </xf>
    <xf numFmtId="3" fontId="45" fillId="6" borderId="31" xfId="0" applyNumberFormat="1" applyFont="1" applyFill="1" applyBorder="1" applyAlignment="1">
      <alignment vertical="center"/>
    </xf>
    <xf numFmtId="3" fontId="45" fillId="6" borderId="42" xfId="0" applyNumberFormat="1" applyFont="1" applyFill="1" applyBorder="1" applyAlignment="1">
      <alignment vertical="center"/>
    </xf>
    <xf numFmtId="167" fontId="45" fillId="6" borderId="3" xfId="0" applyNumberFormat="1" applyFont="1" applyFill="1" applyBorder="1" applyAlignment="1">
      <alignment vertical="center"/>
    </xf>
    <xf numFmtId="0" fontId="45" fillId="6" borderId="42" xfId="0" applyFont="1" applyFill="1" applyBorder="1" applyAlignment="1">
      <alignment vertical="center"/>
    </xf>
    <xf numFmtId="3" fontId="45" fillId="6" borderId="2" xfId="0" applyNumberFormat="1" applyFont="1" applyFill="1" applyBorder="1" applyAlignment="1">
      <alignment vertical="center"/>
    </xf>
    <xf numFmtId="3" fontId="45" fillId="6" borderId="29" xfId="0" applyNumberFormat="1" applyFont="1" applyFill="1" applyBorder="1" applyAlignment="1">
      <alignment vertical="center"/>
    </xf>
    <xf numFmtId="3" fontId="45" fillId="6" borderId="83" xfId="0" applyNumberFormat="1" applyFont="1" applyFill="1" applyBorder="1" applyAlignment="1">
      <alignment vertical="center"/>
    </xf>
    <xf numFmtId="3" fontId="45" fillId="6" borderId="112" xfId="0" applyNumberFormat="1" applyFont="1" applyFill="1" applyBorder="1" applyAlignment="1">
      <alignment vertical="center"/>
    </xf>
    <xf numFmtId="3" fontId="45" fillId="6" borderId="71" xfId="0" applyNumberFormat="1" applyFont="1" applyFill="1" applyBorder="1" applyAlignment="1">
      <alignment vertical="center"/>
    </xf>
    <xf numFmtId="0" fontId="45" fillId="6" borderId="83" xfId="0" applyFont="1" applyFill="1" applyBorder="1" applyAlignment="1">
      <alignment vertical="center"/>
    </xf>
    <xf numFmtId="3" fontId="45" fillId="6" borderId="30" xfId="0" applyNumberFormat="1" applyFont="1" applyFill="1" applyBorder="1" applyAlignment="1">
      <alignment vertical="center"/>
    </xf>
    <xf numFmtId="0" fontId="46" fillId="3" borderId="14" xfId="0" applyFont="1" applyFill="1" applyBorder="1" applyAlignment="1">
      <alignment vertical="center"/>
    </xf>
    <xf numFmtId="0" fontId="45" fillId="3" borderId="13" xfId="0" applyFont="1" applyFill="1" applyBorder="1" applyAlignment="1">
      <alignment vertical="center"/>
    </xf>
    <xf numFmtId="0" fontId="45" fillId="3" borderId="43" xfId="0" applyFont="1" applyFill="1" applyBorder="1" applyAlignment="1">
      <alignment vertical="center"/>
    </xf>
    <xf numFmtId="0" fontId="45" fillId="3" borderId="115" xfId="0" applyFont="1" applyFill="1" applyBorder="1" applyAlignment="1">
      <alignment vertical="center"/>
    </xf>
    <xf numFmtId="0" fontId="45" fillId="3" borderId="15" xfId="0" applyFont="1" applyFill="1" applyBorder="1" applyAlignment="1">
      <alignment vertical="center"/>
    </xf>
    <xf numFmtId="0" fontId="45" fillId="3" borderId="19" xfId="0" applyFont="1" applyFill="1" applyBorder="1" applyAlignment="1">
      <alignment vertical="center"/>
    </xf>
    <xf numFmtId="0" fontId="45" fillId="3" borderId="11" xfId="0" applyFont="1" applyFill="1" applyBorder="1" applyAlignment="1">
      <alignment vertical="center"/>
    </xf>
    <xf numFmtId="0" fontId="45" fillId="3" borderId="91" xfId="0" applyFont="1" applyFill="1" applyBorder="1" applyAlignment="1">
      <alignment vertical="center"/>
    </xf>
    <xf numFmtId="0" fontId="46" fillId="3" borderId="17" xfId="0" applyFont="1" applyFill="1" applyBorder="1" applyAlignment="1">
      <alignment vertical="center"/>
    </xf>
    <xf numFmtId="3" fontId="46" fillId="3" borderId="37" xfId="0" applyNumberFormat="1" applyFont="1" applyFill="1" applyBorder="1" applyAlignment="1">
      <alignment vertical="center"/>
    </xf>
    <xf numFmtId="3" fontId="46" fillId="3" borderId="0" xfId="0" applyNumberFormat="1" applyFont="1" applyFill="1" applyAlignment="1">
      <alignment vertical="center"/>
    </xf>
    <xf numFmtId="3" fontId="46" fillId="3" borderId="111" xfId="0" applyNumberFormat="1" applyFont="1" applyFill="1" applyBorder="1" applyAlignment="1">
      <alignment vertical="center"/>
    </xf>
    <xf numFmtId="167" fontId="46" fillId="3" borderId="109" xfId="0" applyNumberFormat="1" applyFont="1" applyFill="1" applyBorder="1" applyAlignment="1">
      <alignment vertical="center"/>
    </xf>
    <xf numFmtId="167" fontId="46" fillId="3" borderId="111" xfId="0" applyNumberFormat="1" applyFont="1" applyFill="1" applyBorder="1" applyAlignment="1">
      <alignment vertical="center"/>
    </xf>
    <xf numFmtId="3" fontId="46" fillId="3" borderId="117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vertical="center"/>
    </xf>
    <xf numFmtId="3" fontId="46" fillId="3" borderId="68" xfId="0" applyNumberFormat="1" applyFont="1" applyFill="1" applyBorder="1" applyAlignment="1">
      <alignment vertical="center"/>
    </xf>
    <xf numFmtId="3" fontId="46" fillId="3" borderId="2" xfId="0" applyNumberFormat="1" applyFont="1" applyFill="1" applyBorder="1" applyAlignment="1">
      <alignment vertical="center"/>
    </xf>
    <xf numFmtId="3" fontId="46" fillId="3" borderId="3" xfId="0" applyNumberFormat="1" applyFont="1" applyFill="1" applyBorder="1" applyAlignment="1">
      <alignment vertical="center"/>
    </xf>
    <xf numFmtId="3" fontId="46" fillId="3" borderId="42" xfId="0" applyNumberFormat="1" applyFont="1" applyFill="1" applyBorder="1" applyAlignment="1">
      <alignment vertical="center"/>
    </xf>
    <xf numFmtId="167" fontId="46" fillId="3" borderId="68" xfId="0" applyNumberFormat="1" applyFont="1" applyFill="1" applyBorder="1" applyAlignment="1">
      <alignment vertical="center"/>
    </xf>
    <xf numFmtId="167" fontId="46" fillId="3" borderId="42" xfId="0" applyNumberFormat="1" applyFont="1" applyFill="1" applyBorder="1" applyAlignment="1">
      <alignment vertical="center"/>
    </xf>
    <xf numFmtId="0" fontId="46" fillId="3" borderId="18" xfId="0" applyFont="1" applyFill="1" applyBorder="1" applyAlignment="1">
      <alignment vertical="center"/>
    </xf>
    <xf numFmtId="3" fontId="46" fillId="3" borderId="82" xfId="0" applyNumberFormat="1" applyFont="1" applyFill="1" applyBorder="1" applyAlignment="1">
      <alignment vertical="center"/>
    </xf>
    <xf numFmtId="3" fontId="46" fillId="3" borderId="30" xfId="0" applyNumberFormat="1" applyFont="1" applyFill="1" applyBorder="1" applyAlignment="1">
      <alignment vertical="center"/>
    </xf>
    <xf numFmtId="3" fontId="46" fillId="3" borderId="112" xfId="0" applyNumberFormat="1" applyFont="1" applyFill="1" applyBorder="1" applyAlignment="1">
      <alignment vertical="center"/>
    </xf>
    <xf numFmtId="3" fontId="46" fillId="3" borderId="71" xfId="0" applyNumberFormat="1" applyFont="1" applyFill="1" applyBorder="1" applyAlignment="1">
      <alignment vertical="center"/>
    </xf>
    <xf numFmtId="167" fontId="46" fillId="3" borderId="29" xfId="0" applyNumberFormat="1" applyFont="1" applyFill="1" applyBorder="1" applyAlignment="1">
      <alignment vertical="center"/>
    </xf>
    <xf numFmtId="167" fontId="46" fillId="3" borderId="83" xfId="0" applyNumberFormat="1" applyFont="1" applyFill="1" applyBorder="1" applyAlignment="1">
      <alignment vertical="center"/>
    </xf>
    <xf numFmtId="3" fontId="46" fillId="3" borderId="118" xfId="0" applyNumberFormat="1" applyFont="1" applyFill="1" applyBorder="1" applyAlignment="1">
      <alignment vertical="center"/>
    </xf>
    <xf numFmtId="3" fontId="46" fillId="3" borderId="83" xfId="0" applyNumberFormat="1" applyFont="1" applyFill="1" applyBorder="1" applyAlignment="1">
      <alignment vertical="center"/>
    </xf>
    <xf numFmtId="0" fontId="38" fillId="3" borderId="21" xfId="0" applyFont="1" applyFill="1" applyBorder="1" applyAlignment="1">
      <alignment vertical="center"/>
    </xf>
    <xf numFmtId="0" fontId="38" fillId="3" borderId="17" xfId="0" applyFont="1" applyFill="1" applyBorder="1" applyAlignment="1">
      <alignment horizontal="center" vertical="center"/>
    </xf>
    <xf numFmtId="0" fontId="38" fillId="3" borderId="17" xfId="0" applyFont="1" applyFill="1" applyBorder="1" applyAlignment="1">
      <alignment vertical="center"/>
    </xf>
    <xf numFmtId="0" fontId="38" fillId="3" borderId="18" xfId="0" applyFont="1" applyFill="1" applyBorder="1" applyAlignment="1">
      <alignment vertical="center"/>
    </xf>
    <xf numFmtId="0" fontId="3" fillId="6" borderId="23" xfId="0" applyFont="1" applyFill="1" applyBorder="1" applyAlignment="1">
      <alignment vertical="center"/>
    </xf>
    <xf numFmtId="0" fontId="38" fillId="6" borderId="27" xfId="0" applyFont="1" applyFill="1" applyBorder="1" applyAlignment="1">
      <alignment vertical="center"/>
    </xf>
    <xf numFmtId="0" fontId="38" fillId="6" borderId="23" xfId="0" applyFont="1" applyFill="1" applyBorder="1" applyAlignment="1">
      <alignment vertical="center"/>
    </xf>
    <xf numFmtId="0" fontId="38" fillId="6" borderId="17" xfId="0" applyFont="1" applyFill="1" applyBorder="1" applyAlignment="1">
      <alignment vertical="center"/>
    </xf>
    <xf numFmtId="3" fontId="38" fillId="6" borderId="17" xfId="0" applyNumberFormat="1" applyFont="1" applyFill="1" applyBorder="1" applyAlignment="1">
      <alignment vertical="center"/>
    </xf>
    <xf numFmtId="167" fontId="38" fillId="6" borderId="17" xfId="0" applyNumberFormat="1" applyFont="1" applyFill="1" applyBorder="1" applyAlignment="1">
      <alignment vertical="center"/>
    </xf>
    <xf numFmtId="3" fontId="38" fillId="6" borderId="69" xfId="0" applyNumberFormat="1" applyFont="1" applyFill="1" applyBorder="1" applyAlignment="1">
      <alignment vertical="center"/>
    </xf>
    <xf numFmtId="167" fontId="38" fillId="6" borderId="69" xfId="0" applyNumberFormat="1" applyFont="1" applyFill="1" applyBorder="1" applyAlignment="1">
      <alignment vertical="center"/>
    </xf>
    <xf numFmtId="3" fontId="38" fillId="6" borderId="27" xfId="0" applyNumberFormat="1" applyFont="1" applyFill="1" applyBorder="1" applyAlignment="1">
      <alignment vertical="center"/>
    </xf>
    <xf numFmtId="3" fontId="38" fillId="6" borderId="23" xfId="0" applyNumberFormat="1" applyFont="1" applyFill="1" applyBorder="1" applyAlignment="1">
      <alignment vertical="center"/>
    </xf>
    <xf numFmtId="167" fontId="38" fillId="6" borderId="23" xfId="0" applyNumberFormat="1" applyFont="1" applyFill="1" applyBorder="1" applyAlignment="1">
      <alignment vertical="center"/>
    </xf>
    <xf numFmtId="0" fontId="38" fillId="6" borderId="18" xfId="0" applyFont="1" applyFill="1" applyBorder="1" applyAlignment="1">
      <alignment vertical="center"/>
    </xf>
    <xf numFmtId="3" fontId="38" fillId="6" borderId="29" xfId="0" applyNumberFormat="1" applyFont="1" applyFill="1" applyBorder="1" applyAlignment="1">
      <alignment vertical="center"/>
    </xf>
    <xf numFmtId="3" fontId="38" fillId="6" borderId="18" xfId="0" applyNumberFormat="1" applyFont="1" applyFill="1" applyBorder="1" applyAlignment="1">
      <alignment vertical="center"/>
    </xf>
    <xf numFmtId="167" fontId="38" fillId="6" borderId="18" xfId="0" applyNumberFormat="1" applyFont="1" applyFill="1" applyBorder="1" applyAlignment="1">
      <alignment vertical="center"/>
    </xf>
    <xf numFmtId="0" fontId="51" fillId="6" borderId="0" xfId="0" applyFont="1" applyFill="1" applyAlignment="1">
      <alignment vertical="center"/>
    </xf>
    <xf numFmtId="0" fontId="3" fillId="6" borderId="14" xfId="0" applyFont="1" applyFill="1" applyBorder="1" applyAlignment="1">
      <alignment vertical="center"/>
    </xf>
    <xf numFmtId="0" fontId="38" fillId="6" borderId="13" xfId="0" applyFont="1" applyFill="1" applyBorder="1" applyAlignment="1">
      <alignment vertical="center"/>
    </xf>
    <xf numFmtId="0" fontId="38" fillId="6" borderId="14" xfId="0" applyFont="1" applyFill="1" applyBorder="1" applyAlignment="1">
      <alignment vertical="center"/>
    </xf>
    <xf numFmtId="3" fontId="38" fillId="6" borderId="13" xfId="0" applyNumberFormat="1" applyFont="1" applyFill="1" applyBorder="1" applyAlignment="1">
      <alignment vertical="center"/>
    </xf>
    <xf numFmtId="3" fontId="38" fillId="6" borderId="14" xfId="0" applyNumberFormat="1" applyFont="1" applyFill="1" applyBorder="1" applyAlignment="1">
      <alignment vertical="center"/>
    </xf>
    <xf numFmtId="167" fontId="38" fillId="6" borderId="14" xfId="0" applyNumberFormat="1" applyFont="1" applyFill="1" applyBorder="1" applyAlignment="1">
      <alignment vertical="center"/>
    </xf>
    <xf numFmtId="0" fontId="38" fillId="6" borderId="67" xfId="0" applyFont="1" applyFill="1" applyBorder="1" applyAlignment="1">
      <alignment vertical="center"/>
    </xf>
    <xf numFmtId="3" fontId="38" fillId="6" borderId="67" xfId="0" applyNumberFormat="1" applyFont="1" applyFill="1" applyBorder="1" applyAlignment="1">
      <alignment vertical="center"/>
    </xf>
    <xf numFmtId="167" fontId="38" fillId="6" borderId="67" xfId="0" applyNumberFormat="1" applyFont="1" applyFill="1" applyBorder="1" applyAlignment="1">
      <alignment vertical="center"/>
    </xf>
    <xf numFmtId="0" fontId="3" fillId="6" borderId="17" xfId="0" applyFont="1" applyFill="1" applyBorder="1" applyAlignment="1">
      <alignment vertical="center"/>
    </xf>
    <xf numFmtId="0" fontId="3" fillId="6" borderId="30" xfId="0" applyFont="1" applyFill="1" applyBorder="1" applyAlignment="1">
      <alignment horizontal="right" vertical="center"/>
    </xf>
    <xf numFmtId="0" fontId="3" fillId="6" borderId="30" xfId="0" applyFont="1" applyFill="1" applyBorder="1" applyAlignment="1">
      <alignment vertical="center"/>
    </xf>
    <xf numFmtId="3" fontId="38" fillId="6" borderId="21" xfId="0" applyNumberFormat="1" applyFont="1" applyFill="1" applyBorder="1" applyAlignment="1">
      <alignment vertical="center"/>
    </xf>
    <xf numFmtId="0" fontId="38" fillId="6" borderId="21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/>
    </xf>
    <xf numFmtId="4" fontId="3" fillId="3" borderId="14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4" fontId="3" fillId="3" borderId="115" xfId="0" applyNumberFormat="1" applyFont="1" applyFill="1" applyBorder="1" applyAlignment="1">
      <alignment vertical="center"/>
    </xf>
    <xf numFmtId="3" fontId="4" fillId="6" borderId="0" xfId="0" applyNumberFormat="1" applyFont="1" applyFill="1" applyAlignment="1">
      <alignment vertical="center"/>
    </xf>
    <xf numFmtId="3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52" fillId="3" borderId="21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52" fillId="3" borderId="18" xfId="0" applyFont="1" applyFill="1" applyBorder="1" applyAlignment="1">
      <alignment horizontal="center"/>
    </xf>
    <xf numFmtId="0" fontId="53" fillId="6" borderId="69" xfId="0" applyFont="1" applyFill="1" applyBorder="1" applyAlignment="1">
      <alignment vertical="center"/>
    </xf>
    <xf numFmtId="3" fontId="45" fillId="6" borderId="119" xfId="0" applyNumberFormat="1" applyFont="1" applyFill="1" applyBorder="1" applyAlignment="1">
      <alignment vertical="center"/>
    </xf>
    <xf numFmtId="4" fontId="45" fillId="6" borderId="69" xfId="0" applyNumberFormat="1" applyFont="1" applyFill="1" applyBorder="1" applyAlignment="1">
      <alignment vertical="center"/>
    </xf>
    <xf numFmtId="2" fontId="45" fillId="6" borderId="17" xfId="0" applyNumberFormat="1" applyFont="1" applyFill="1" applyBorder="1" applyAlignment="1">
      <alignment horizontal="right" vertical="center"/>
    </xf>
    <xf numFmtId="2" fontId="45" fillId="6" borderId="69" xfId="0" applyNumberFormat="1" applyFont="1" applyFill="1" applyBorder="1" applyAlignment="1">
      <alignment horizontal="right" vertical="center"/>
    </xf>
    <xf numFmtId="3" fontId="45" fillId="6" borderId="69" xfId="0" applyNumberFormat="1" applyFont="1" applyFill="1" applyBorder="1" applyAlignment="1">
      <alignment vertical="center"/>
    </xf>
    <xf numFmtId="0" fontId="53" fillId="6" borderId="72" xfId="0" applyFont="1" applyFill="1" applyBorder="1" applyAlignment="1">
      <alignment vertical="center"/>
    </xf>
    <xf numFmtId="0" fontId="52" fillId="0" borderId="14" xfId="0" applyFont="1" applyBorder="1" applyAlignment="1">
      <alignment vertical="center"/>
    </xf>
    <xf numFmtId="4" fontId="37" fillId="0" borderId="14" xfId="0" applyNumberFormat="1" applyFont="1" applyBorder="1" applyAlignment="1">
      <alignment vertical="center"/>
    </xf>
    <xf numFmtId="2" fontId="37" fillId="6" borderId="14" xfId="0" applyNumberFormat="1" applyFont="1" applyFill="1" applyBorder="1" applyAlignment="1">
      <alignment horizontal="right" vertical="center"/>
    </xf>
    <xf numFmtId="3" fontId="54" fillId="3" borderId="14" xfId="0" applyNumberFormat="1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46" fillId="3" borderId="21" xfId="0" applyFont="1" applyFill="1" applyBorder="1" applyAlignment="1">
      <alignment vertical="center"/>
    </xf>
    <xf numFmtId="0" fontId="46" fillId="3" borderId="8" xfId="0" applyFont="1" applyFill="1" applyBorder="1" applyAlignment="1">
      <alignment vertical="center"/>
    </xf>
    <xf numFmtId="0" fontId="46" fillId="3" borderId="20" xfId="0" applyFont="1" applyFill="1" applyBorder="1" applyAlignment="1">
      <alignment vertical="center"/>
    </xf>
    <xf numFmtId="0" fontId="46" fillId="3" borderId="17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6" borderId="19" xfId="0" applyFont="1" applyFill="1" applyBorder="1" applyAlignment="1">
      <alignment vertical="center"/>
    </xf>
    <xf numFmtId="0" fontId="45" fillId="6" borderId="19" xfId="0" applyFont="1" applyFill="1" applyBorder="1" applyAlignment="1">
      <alignment vertical="center"/>
    </xf>
    <xf numFmtId="0" fontId="45" fillId="6" borderId="8" xfId="0" applyFont="1" applyFill="1" applyBorder="1" applyAlignment="1">
      <alignment vertical="center"/>
    </xf>
    <xf numFmtId="0" fontId="45" fillId="6" borderId="105" xfId="0" applyFont="1" applyFill="1" applyBorder="1" applyAlignment="1">
      <alignment vertical="center"/>
    </xf>
    <xf numFmtId="0" fontId="45" fillId="0" borderId="20" xfId="0" applyFont="1" applyBorder="1" applyAlignment="1">
      <alignment vertical="center"/>
    </xf>
    <xf numFmtId="0" fontId="45" fillId="6" borderId="20" xfId="0" applyFont="1" applyFill="1" applyBorder="1" applyAlignment="1">
      <alignment vertical="center"/>
    </xf>
    <xf numFmtId="0" fontId="46" fillId="6" borderId="69" xfId="0" applyFont="1" applyFill="1" applyBorder="1" applyAlignment="1">
      <alignment vertical="center"/>
    </xf>
    <xf numFmtId="3" fontId="45" fillId="6" borderId="22" xfId="0" applyNumberFormat="1" applyFont="1" applyFill="1" applyBorder="1" applyAlignment="1">
      <alignment vertical="center"/>
    </xf>
    <xf numFmtId="4" fontId="45" fillId="0" borderId="106" xfId="0" applyNumberFormat="1" applyFont="1" applyBorder="1" applyAlignment="1">
      <alignment vertical="center"/>
    </xf>
    <xf numFmtId="3" fontId="45" fillId="6" borderId="40" xfId="0" applyNumberFormat="1" applyFont="1" applyFill="1" applyBorder="1" applyAlignment="1">
      <alignment vertical="center"/>
    </xf>
    <xf numFmtId="4" fontId="45" fillId="0" borderId="107" xfId="0" applyNumberFormat="1" applyFont="1" applyBorder="1" applyAlignment="1">
      <alignment vertical="center"/>
    </xf>
    <xf numFmtId="2" fontId="45" fillId="6" borderId="9" xfId="0" applyNumberFormat="1" applyFont="1" applyFill="1" applyBorder="1" applyAlignment="1">
      <alignment vertical="center"/>
    </xf>
    <xf numFmtId="0" fontId="46" fillId="3" borderId="31" xfId="0" applyFont="1" applyFill="1" applyBorder="1" applyAlignment="1">
      <alignment vertical="center"/>
    </xf>
    <xf numFmtId="3" fontId="46" fillId="3" borderId="31" xfId="0" applyNumberFormat="1" applyFont="1" applyFill="1" applyBorder="1" applyAlignment="1">
      <alignment vertical="center"/>
    </xf>
    <xf numFmtId="167" fontId="46" fillId="3" borderId="2" xfId="0" applyNumberFormat="1" applyFont="1" applyFill="1" applyBorder="1" applyAlignment="1">
      <alignment vertical="center"/>
    </xf>
    <xf numFmtId="167" fontId="46" fillId="3" borderId="74" xfId="0" applyNumberFormat="1" applyFont="1" applyFill="1" applyBorder="1" applyAlignment="1">
      <alignment vertical="center"/>
    </xf>
    <xf numFmtId="0" fontId="46" fillId="3" borderId="33" xfId="0" applyFont="1" applyFill="1" applyBorder="1" applyAlignment="1">
      <alignment vertical="center"/>
    </xf>
    <xf numFmtId="3" fontId="46" fillId="3" borderId="33" xfId="0" applyNumberFormat="1" applyFont="1" applyFill="1" applyBorder="1" applyAlignment="1">
      <alignment vertical="center"/>
    </xf>
    <xf numFmtId="3" fontId="46" fillId="3" borderId="34" xfId="0" applyNumberFormat="1" applyFont="1" applyFill="1" applyBorder="1" applyAlignment="1">
      <alignment vertical="center"/>
    </xf>
    <xf numFmtId="167" fontId="46" fillId="3" borderId="34" xfId="0" applyNumberFormat="1" applyFont="1" applyFill="1" applyBorder="1" applyAlignment="1">
      <alignment vertical="center"/>
    </xf>
    <xf numFmtId="167" fontId="46" fillId="3" borderId="113" xfId="0" applyNumberFormat="1" applyFont="1" applyFill="1" applyBorder="1" applyAlignment="1">
      <alignment vertical="center"/>
    </xf>
    <xf numFmtId="4" fontId="38" fillId="6" borderId="120" xfId="0" applyNumberFormat="1" applyFont="1" applyFill="1" applyBorder="1" applyAlignment="1">
      <alignment vertical="center"/>
    </xf>
    <xf numFmtId="4" fontId="38" fillId="6" borderId="121" xfId="0" applyNumberFormat="1" applyFont="1" applyFill="1" applyBorder="1" applyAlignment="1">
      <alignment vertical="center"/>
    </xf>
    <xf numFmtId="3" fontId="45" fillId="3" borderId="2" xfId="0" applyNumberFormat="1" applyFont="1" applyFill="1" applyBorder="1" applyAlignment="1">
      <alignment vertical="center"/>
    </xf>
    <xf numFmtId="3" fontId="45" fillId="3" borderId="69" xfId="0" applyNumberFormat="1" applyFont="1" applyFill="1" applyBorder="1" applyAlignment="1">
      <alignment vertical="center"/>
    </xf>
    <xf numFmtId="3" fontId="45" fillId="3" borderId="74" xfId="0" applyNumberFormat="1" applyFont="1" applyFill="1" applyBorder="1" applyAlignment="1">
      <alignment vertical="center"/>
    </xf>
    <xf numFmtId="4" fontId="46" fillId="3" borderId="69" xfId="0" applyNumberFormat="1" applyFont="1" applyFill="1" applyBorder="1" applyAlignment="1">
      <alignment vertical="center"/>
    </xf>
    <xf numFmtId="4" fontId="46" fillId="3" borderId="2" xfId="0" applyNumberFormat="1" applyFont="1" applyFill="1" applyBorder="1" applyAlignment="1">
      <alignment vertical="center"/>
    </xf>
    <xf numFmtId="4" fontId="46" fillId="3" borderId="74" xfId="0" applyNumberFormat="1" applyFont="1" applyFill="1" applyBorder="1" applyAlignment="1">
      <alignment vertical="center"/>
    </xf>
    <xf numFmtId="3" fontId="38" fillId="0" borderId="18" xfId="0" applyNumberFormat="1" applyFont="1" applyBorder="1" applyAlignment="1">
      <alignment vertical="center"/>
    </xf>
    <xf numFmtId="4" fontId="38" fillId="0" borderId="18" xfId="0" applyNumberFormat="1" applyFont="1" applyBorder="1" applyAlignment="1">
      <alignment vertical="center"/>
    </xf>
    <xf numFmtId="0" fontId="46" fillId="3" borderId="24" xfId="0" applyFont="1" applyFill="1" applyBorder="1" applyAlignment="1">
      <alignment vertical="center"/>
    </xf>
    <xf numFmtId="0" fontId="46" fillId="3" borderId="29" xfId="0" applyFont="1" applyFill="1" applyBorder="1" applyAlignment="1">
      <alignment vertical="center"/>
    </xf>
    <xf numFmtId="0" fontId="46" fillId="3" borderId="13" xfId="0" applyFont="1" applyFill="1" applyBorder="1" applyAlignment="1">
      <alignment vertical="center"/>
    </xf>
    <xf numFmtId="0" fontId="53" fillId="6" borderId="119" xfId="0" applyFont="1" applyFill="1" applyBorder="1" applyAlignment="1">
      <alignment vertical="center"/>
    </xf>
    <xf numFmtId="4" fontId="45" fillId="6" borderId="119" xfId="0" applyNumberFormat="1" applyFont="1" applyFill="1" applyBorder="1" applyAlignment="1">
      <alignment vertical="center"/>
    </xf>
    <xf numFmtId="0" fontId="53" fillId="6" borderId="18" xfId="0" applyFont="1" applyFill="1" applyBorder="1" applyAlignment="1">
      <alignment vertical="center"/>
    </xf>
    <xf numFmtId="4" fontId="45" fillId="6" borderId="23" xfId="0" applyNumberFormat="1" applyFont="1" applyFill="1" applyBorder="1" applyAlignment="1">
      <alignment vertical="center"/>
    </xf>
    <xf numFmtId="0" fontId="52" fillId="3" borderId="14" xfId="0" applyFont="1" applyFill="1" applyBorder="1" applyAlignment="1">
      <alignment vertical="center"/>
    </xf>
    <xf numFmtId="3" fontId="37" fillId="3" borderId="15" xfId="0" applyNumberFormat="1" applyFont="1" applyFill="1" applyBorder="1" applyAlignment="1">
      <alignment vertical="center"/>
    </xf>
    <xf numFmtId="4" fontId="37" fillId="3" borderId="14" xfId="0" applyNumberFormat="1" applyFont="1" applyFill="1" applyBorder="1" applyAlignment="1">
      <alignment vertical="center"/>
    </xf>
    <xf numFmtId="2" fontId="37" fillId="3" borderId="14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vertical="center"/>
    </xf>
    <xf numFmtId="0" fontId="52" fillId="6" borderId="119" xfId="0" applyFont="1" applyFill="1" applyBorder="1" applyAlignment="1">
      <alignment vertical="center"/>
    </xf>
    <xf numFmtId="2" fontId="45" fillId="6" borderId="119" xfId="0" applyNumberFormat="1" applyFont="1" applyFill="1" applyBorder="1" applyAlignment="1">
      <alignment horizontal="right" vertical="center"/>
    </xf>
    <xf numFmtId="0" fontId="52" fillId="6" borderId="69" xfId="0" applyFont="1" applyFill="1" applyBorder="1" applyAlignment="1">
      <alignment vertical="center"/>
    </xf>
    <xf numFmtId="4" fontId="54" fillId="3" borderId="14" xfId="0" applyNumberFormat="1" applyFont="1" applyFill="1" applyBorder="1" applyAlignment="1">
      <alignment vertical="center"/>
    </xf>
    <xf numFmtId="2" fontId="54" fillId="3" borderId="122" xfId="0" applyNumberFormat="1" applyFont="1" applyFill="1" applyBorder="1" applyAlignment="1">
      <alignment horizontal="right" vertical="center"/>
    </xf>
    <xf numFmtId="0" fontId="45" fillId="6" borderId="14" xfId="0" applyFont="1" applyFill="1" applyBorder="1" applyAlignment="1">
      <alignment horizontal="center"/>
    </xf>
    <xf numFmtId="0" fontId="45" fillId="6" borderId="17" xfId="0" applyFont="1" applyFill="1" applyBorder="1"/>
    <xf numFmtId="3" fontId="45" fillId="6" borderId="17" xfId="0" applyNumberFormat="1" applyFont="1" applyFill="1" applyBorder="1"/>
    <xf numFmtId="0" fontId="45" fillId="6" borderId="18" xfId="0" applyFont="1" applyFill="1" applyBorder="1"/>
    <xf numFmtId="3" fontId="45" fillId="6" borderId="18" xfId="0" applyNumberFormat="1" applyFont="1" applyFill="1" applyBorder="1"/>
    <xf numFmtId="0" fontId="49" fillId="6" borderId="0" xfId="0" applyFont="1" applyFill="1"/>
    <xf numFmtId="0" fontId="55" fillId="0" borderId="0" xfId="0" applyFont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91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36" fillId="3" borderId="21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0" fontId="12" fillId="3" borderId="98" xfId="0" applyFont="1" applyFill="1" applyBorder="1" applyAlignment="1">
      <alignment horizontal="center"/>
    </xf>
    <xf numFmtId="0" fontId="12" fillId="3" borderId="8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125" xfId="0" applyBorder="1"/>
    <xf numFmtId="0" fontId="0" fillId="0" borderId="22" xfId="0" applyBorder="1"/>
    <xf numFmtId="0" fontId="0" fillId="0" borderId="99" xfId="0" applyBorder="1"/>
    <xf numFmtId="166" fontId="0" fillId="0" borderId="9" xfId="0" applyNumberFormat="1" applyBorder="1"/>
    <xf numFmtId="3" fontId="0" fillId="0" borderId="17" xfId="0" applyNumberFormat="1" applyBorder="1"/>
    <xf numFmtId="166" fontId="0" fillId="0" borderId="17" xfId="0" applyNumberFormat="1" applyBorder="1"/>
    <xf numFmtId="166" fontId="0" fillId="0" borderId="99" xfId="0" applyNumberFormat="1" applyBorder="1"/>
    <xf numFmtId="0" fontId="9" fillId="3" borderId="127" xfId="0" applyFont="1" applyFill="1" applyBorder="1" applyAlignment="1">
      <alignment horizontal="left"/>
    </xf>
    <xf numFmtId="0" fontId="0" fillId="3" borderId="91" xfId="0" applyFill="1" applyBorder="1"/>
    <xf numFmtId="0" fontId="0" fillId="3" borderId="37" xfId="0" applyFill="1" applyBorder="1"/>
    <xf numFmtId="0" fontId="0" fillId="3" borderId="20" xfId="0" applyFill="1" applyBorder="1"/>
    <xf numFmtId="3" fontId="0" fillId="3" borderId="21" xfId="0" applyNumberFormat="1" applyFill="1" applyBorder="1"/>
    <xf numFmtId="0" fontId="9" fillId="3" borderId="128" xfId="0" applyFont="1" applyFill="1" applyBorder="1" applyAlignment="1">
      <alignment horizontal="left"/>
    </xf>
    <xf numFmtId="0" fontId="0" fillId="3" borderId="129" xfId="0" applyFill="1" applyBorder="1"/>
    <xf numFmtId="0" fontId="0" fillId="3" borderId="61" xfId="0" applyFill="1" applyBorder="1"/>
    <xf numFmtId="0" fontId="0" fillId="3" borderId="60" xfId="0" applyFill="1" applyBorder="1"/>
    <xf numFmtId="0" fontId="0" fillId="3" borderId="62" xfId="0" applyFill="1" applyBorder="1"/>
    <xf numFmtId="0" fontId="43" fillId="0" borderId="0" xfId="0" applyFont="1" applyAlignment="1">
      <alignment vertical="center"/>
    </xf>
    <xf numFmtId="0" fontId="0" fillId="0" borderId="130" xfId="0" applyBorder="1"/>
    <xf numFmtId="0" fontId="9" fillId="3" borderId="76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31" xfId="0" applyFont="1" applyFill="1" applyBorder="1" applyAlignment="1">
      <alignment horizontal="center"/>
    </xf>
    <xf numFmtId="0" fontId="9" fillId="0" borderId="125" xfId="0" applyFont="1" applyBorder="1"/>
    <xf numFmtId="0" fontId="0" fillId="0" borderId="132" xfId="0" applyBorder="1"/>
    <xf numFmtId="166" fontId="0" fillId="0" borderId="69" xfId="0" applyNumberFormat="1" applyBorder="1"/>
    <xf numFmtId="0" fontId="0" fillId="0" borderId="133" xfId="0" applyBorder="1"/>
    <xf numFmtId="166" fontId="0" fillId="0" borderId="67" xfId="0" applyNumberFormat="1" applyBorder="1"/>
    <xf numFmtId="3" fontId="0" fillId="0" borderId="67" xfId="0" applyNumberFormat="1" applyBorder="1"/>
    <xf numFmtId="0" fontId="9" fillId="3" borderId="132" xfId="0" applyFont="1" applyFill="1" applyBorder="1"/>
    <xf numFmtId="166" fontId="9" fillId="3" borderId="69" xfId="0" applyNumberFormat="1" applyFont="1" applyFill="1" applyBorder="1"/>
    <xf numFmtId="166" fontId="9" fillId="6" borderId="134" xfId="0" applyNumberFormat="1" applyFont="1" applyFill="1" applyBorder="1"/>
    <xf numFmtId="0" fontId="0" fillId="0" borderId="135" xfId="0" applyBorder="1"/>
    <xf numFmtId="166" fontId="0" fillId="0" borderId="23" xfId="0" applyNumberFormat="1" applyBorder="1"/>
    <xf numFmtId="0" fontId="9" fillId="3" borderId="136" xfId="0" applyFont="1" applyFill="1" applyBorder="1"/>
    <xf numFmtId="166" fontId="9" fillId="3" borderId="14" xfId="0" applyNumberFormat="1" applyFont="1" applyFill="1" applyBorder="1"/>
    <xf numFmtId="0" fontId="9" fillId="3" borderId="14" xfId="0" applyFont="1" applyFill="1" applyBorder="1"/>
    <xf numFmtId="166" fontId="9" fillId="6" borderId="137" xfId="0" applyNumberFormat="1" applyFont="1" applyFill="1" applyBorder="1"/>
    <xf numFmtId="0" fontId="0" fillId="3" borderId="14" xfId="0" applyFill="1" applyBorder="1"/>
    <xf numFmtId="166" fontId="9" fillId="3" borderId="138" xfId="0" applyNumberFormat="1" applyFont="1" applyFill="1" applyBorder="1"/>
    <xf numFmtId="3" fontId="9" fillId="3" borderId="14" xfId="0" applyNumberFormat="1" applyFont="1" applyFill="1" applyBorder="1"/>
    <xf numFmtId="3" fontId="0" fillId="3" borderId="69" xfId="0" applyNumberFormat="1" applyFill="1" applyBorder="1"/>
    <xf numFmtId="0" fontId="9" fillId="3" borderId="139" xfId="0" applyFont="1" applyFill="1" applyBorder="1"/>
    <xf numFmtId="166" fontId="9" fillId="3" borderId="72" xfId="0" applyNumberFormat="1" applyFont="1" applyFill="1" applyBorder="1"/>
    <xf numFmtId="3" fontId="0" fillId="3" borderId="72" xfId="0" applyNumberFormat="1" applyFill="1" applyBorder="1"/>
    <xf numFmtId="166" fontId="9" fillId="3" borderId="97" xfId="0" applyNumberFormat="1" applyFont="1" applyFill="1" applyBorder="1"/>
    <xf numFmtId="0" fontId="9" fillId="3" borderId="97" xfId="0" applyFont="1" applyFill="1" applyBorder="1"/>
    <xf numFmtId="166" fontId="9" fillId="3" borderId="140" xfId="0" applyNumberFormat="1" applyFont="1" applyFill="1" applyBorder="1"/>
    <xf numFmtId="0" fontId="55" fillId="0" borderId="30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6" fontId="0" fillId="0" borderId="22" xfId="0" applyNumberFormat="1" applyBorder="1"/>
    <xf numFmtId="2" fontId="0" fillId="0" borderId="17" xfId="0" applyNumberFormat="1" applyBorder="1"/>
    <xf numFmtId="0" fontId="9" fillId="3" borderId="31" xfId="0" applyFont="1" applyFill="1" applyBorder="1"/>
    <xf numFmtId="0" fontId="9" fillId="3" borderId="74" xfId="0" applyFont="1" applyFill="1" applyBorder="1"/>
    <xf numFmtId="166" fontId="9" fillId="3" borderId="2" xfId="0" applyNumberFormat="1" applyFont="1" applyFill="1" applyBorder="1"/>
    <xf numFmtId="2" fontId="9" fillId="3" borderId="69" xfId="0" applyNumberFormat="1" applyFont="1" applyFill="1" applyBorder="1"/>
    <xf numFmtId="0" fontId="9" fillId="3" borderId="13" xfId="0" applyFont="1" applyFill="1" applyBorder="1"/>
    <xf numFmtId="0" fontId="9" fillId="3" borderId="15" xfId="0" applyFont="1" applyFill="1" applyBorder="1"/>
    <xf numFmtId="166" fontId="9" fillId="3" borderId="115" xfId="0" applyNumberFormat="1" applyFont="1" applyFill="1" applyBorder="1"/>
    <xf numFmtId="3" fontId="9" fillId="3" borderId="13" xfId="0" applyNumberFormat="1" applyFont="1" applyFill="1" applyBorder="1"/>
    <xf numFmtId="2" fontId="9" fillId="3" borderId="14" xfId="0" applyNumberFormat="1" applyFont="1" applyFill="1" applyBorder="1"/>
    <xf numFmtId="0" fontId="9" fillId="0" borderId="12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99" xfId="0" applyFont="1" applyBorder="1" applyAlignment="1">
      <alignment horizontal="center"/>
    </xf>
    <xf numFmtId="166" fontId="0" fillId="0" borderId="141" xfId="0" applyNumberFormat="1" applyBorder="1"/>
    <xf numFmtId="3" fontId="0" fillId="0" borderId="18" xfId="0" applyNumberFormat="1" applyBorder="1"/>
    <xf numFmtId="0" fontId="0" fillId="3" borderId="127" xfId="0" applyFill="1" applyBorder="1"/>
    <xf numFmtId="166" fontId="0" fillId="3" borderId="142" xfId="0" applyNumberFormat="1" applyFill="1" applyBorder="1"/>
    <xf numFmtId="0" fontId="9" fillId="3" borderId="128" xfId="0" applyFont="1" applyFill="1" applyBorder="1" applyAlignment="1">
      <alignment horizontal="center"/>
    </xf>
    <xf numFmtId="0" fontId="9" fillId="3" borderId="143" xfId="0" applyFont="1" applyFill="1" applyBorder="1"/>
    <xf numFmtId="166" fontId="9" fillId="3" borderId="65" xfId="0" applyNumberFormat="1" applyFont="1" applyFill="1" applyBorder="1"/>
    <xf numFmtId="0" fontId="58" fillId="0" borderId="135" xfId="0" applyFont="1" applyBorder="1"/>
    <xf numFmtId="166" fontId="49" fillId="0" borderId="23" xfId="0" applyNumberFormat="1" applyFont="1" applyBorder="1"/>
    <xf numFmtId="4" fontId="49" fillId="0" borderId="23" xfId="0" applyNumberFormat="1" applyFont="1" applyBorder="1"/>
    <xf numFmtId="166" fontId="49" fillId="0" borderId="67" xfId="0" applyNumberFormat="1" applyFont="1" applyBorder="1"/>
    <xf numFmtId="3" fontId="49" fillId="0" borderId="67" xfId="0" applyNumberFormat="1" applyFont="1" applyBorder="1"/>
    <xf numFmtId="0" fontId="45" fillId="0" borderId="135" xfId="0" applyFont="1" applyBorder="1"/>
    <xf numFmtId="0" fontId="0" fillId="0" borderId="126" xfId="0" applyBorder="1"/>
    <xf numFmtId="0" fontId="49" fillId="0" borderId="18" xfId="0" applyFont="1" applyBorder="1"/>
    <xf numFmtId="166" fontId="59" fillId="3" borderId="97" xfId="0" applyNumberFormat="1" applyFont="1" applyFill="1" applyBorder="1"/>
    <xf numFmtId="4" fontId="59" fillId="3" borderId="97" xfId="0" applyNumberFormat="1" applyFont="1" applyFill="1" applyBorder="1"/>
    <xf numFmtId="0" fontId="0" fillId="0" borderId="18" xfId="0" applyBorder="1"/>
    <xf numFmtId="166" fontId="46" fillId="3" borderId="97" xfId="0" applyNumberFormat="1" applyFont="1" applyFill="1" applyBorder="1"/>
    <xf numFmtId="4" fontId="46" fillId="3" borderId="97" xfId="0" applyNumberFormat="1" applyFont="1" applyFill="1" applyBorder="1"/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4" fontId="1" fillId="0" borderId="0" xfId="0" applyNumberFormat="1" applyFont="1"/>
    <xf numFmtId="0" fontId="52" fillId="3" borderId="13" xfId="0" applyFont="1" applyFill="1" applyBorder="1" applyAlignment="1">
      <alignment vertical="center" wrapText="1"/>
    </xf>
    <xf numFmtId="0" fontId="46" fillId="3" borderId="95" xfId="0" applyFont="1" applyFill="1" applyBorder="1" applyAlignment="1">
      <alignment horizontal="left" wrapText="1"/>
    </xf>
    <xf numFmtId="0" fontId="1" fillId="0" borderId="39" xfId="0" applyFont="1" applyBorder="1"/>
    <xf numFmtId="0" fontId="1" fillId="0" borderId="68" xfId="0" applyFont="1" applyBorder="1"/>
    <xf numFmtId="0" fontId="8" fillId="0" borderId="3" xfId="0" applyFont="1" applyBorder="1"/>
    <xf numFmtId="0" fontId="8" fillId="0" borderId="42" xfId="0" applyFont="1" applyBorder="1"/>
    <xf numFmtId="166" fontId="1" fillId="0" borderId="42" xfId="0" applyNumberFormat="1" applyFont="1" applyBorder="1"/>
    <xf numFmtId="4" fontId="1" fillId="0" borderId="42" xfId="3" applyNumberFormat="1" applyFont="1" applyBorder="1" applyAlignment="1">
      <alignment horizontal="right" wrapText="1"/>
    </xf>
    <xf numFmtId="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8" xfId="0" applyFont="1" applyBorder="1"/>
    <xf numFmtId="0" fontId="1" fillId="0" borderId="1" xfId="0" applyFont="1" applyBorder="1" applyAlignment="1">
      <alignment horizontal="center"/>
    </xf>
    <xf numFmtId="4" fontId="1" fillId="0" borderId="42" xfId="0" applyNumberFormat="1" applyFont="1" applyBorder="1" applyAlignment="1">
      <alignment horizontal="right" wrapText="1"/>
    </xf>
    <xf numFmtId="3" fontId="5" fillId="0" borderId="42" xfId="0" applyNumberFormat="1" applyFont="1" applyBorder="1"/>
    <xf numFmtId="0" fontId="5" fillId="0" borderId="4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" fillId="0" borderId="42" xfId="0" applyNumberFormat="1" applyFont="1" applyBorder="1"/>
    <xf numFmtId="0" fontId="5" fillId="0" borderId="42" xfId="0" applyFont="1" applyBorder="1"/>
    <xf numFmtId="3" fontId="5" fillId="0" borderId="4" xfId="0" applyNumberFormat="1" applyFont="1" applyBorder="1"/>
    <xf numFmtId="0" fontId="1" fillId="0" borderId="4" xfId="0" applyFont="1" applyBorder="1" applyAlignment="1">
      <alignment horizontal="center"/>
    </xf>
    <xf numFmtId="4" fontId="5" fillId="0" borderId="4" xfId="3" applyNumberFormat="1" applyFont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3" borderId="66" xfId="0" applyFont="1" applyFill="1" applyBorder="1"/>
    <xf numFmtId="166" fontId="5" fillId="3" borderId="49" xfId="0" applyNumberFormat="1" applyFont="1" applyFill="1" applyBorder="1"/>
    <xf numFmtId="166" fontId="5" fillId="3" borderId="49" xfId="0" applyNumberFormat="1" applyFont="1" applyFill="1" applyBorder="1" applyAlignment="1">
      <alignment horizontal="right"/>
    </xf>
    <xf numFmtId="166" fontId="5" fillId="3" borderId="49" xfId="0" applyNumberFormat="1" applyFont="1" applyFill="1" applyBorder="1" applyAlignment="1">
      <alignment horizontal="center"/>
    </xf>
    <xf numFmtId="166" fontId="5" fillId="3" borderId="49" xfId="0" applyNumberFormat="1" applyFont="1" applyFill="1" applyBorder="1" applyAlignment="1">
      <alignment horizontal="right" wrapText="1"/>
    </xf>
    <xf numFmtId="166" fontId="5" fillId="3" borderId="73" xfId="0" applyNumberFormat="1" applyFont="1" applyFill="1" applyBorder="1" applyAlignment="1">
      <alignment horizontal="center"/>
    </xf>
    <xf numFmtId="166" fontId="5" fillId="3" borderId="66" xfId="0" applyNumberFormat="1" applyFont="1" applyFill="1" applyBorder="1" applyAlignment="1">
      <alignment horizontal="right"/>
    </xf>
    <xf numFmtId="166" fontId="5" fillId="3" borderId="80" xfId="0" applyNumberFormat="1" applyFont="1" applyFill="1" applyBorder="1"/>
    <xf numFmtId="0" fontId="5" fillId="3" borderId="68" xfId="0" applyFont="1" applyFill="1" applyBorder="1"/>
    <xf numFmtId="166" fontId="9" fillId="3" borderId="3" xfId="0" applyNumberFormat="1" applyFont="1" applyFill="1" applyBorder="1"/>
    <xf numFmtId="3" fontId="9" fillId="3" borderId="3" xfId="0" applyNumberFormat="1" applyFont="1" applyFill="1" applyBorder="1" applyAlignment="1">
      <alignment horizontal="right"/>
    </xf>
    <xf numFmtId="166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 applyAlignment="1">
      <alignment horizontal="right" wrapText="1"/>
    </xf>
    <xf numFmtId="166" fontId="8" fillId="3" borderId="42" xfId="0" applyNumberFormat="1" applyFont="1" applyFill="1" applyBorder="1"/>
    <xf numFmtId="166" fontId="8" fillId="3" borderId="42" xfId="0" applyNumberFormat="1" applyFont="1" applyFill="1" applyBorder="1" applyAlignment="1">
      <alignment horizontal="center"/>
    </xf>
    <xf numFmtId="166" fontId="8" fillId="3" borderId="1" xfId="0" applyNumberFormat="1" applyFont="1" applyFill="1" applyBorder="1" applyAlignment="1">
      <alignment horizontal="center"/>
    </xf>
    <xf numFmtId="166" fontId="9" fillId="3" borderId="68" xfId="0" applyNumberFormat="1" applyFont="1" applyFill="1" applyBorder="1"/>
    <xf numFmtId="166" fontId="1" fillId="3" borderId="1" xfId="0" applyNumberFormat="1" applyFont="1" applyFill="1" applyBorder="1" applyAlignment="1">
      <alignment horizontal="center"/>
    </xf>
    <xf numFmtId="166" fontId="5" fillId="3" borderId="32" xfId="0" applyNumberFormat="1" applyFont="1" applyFill="1" applyBorder="1"/>
    <xf numFmtId="167" fontId="9" fillId="3" borderId="3" xfId="0" applyNumberFormat="1" applyFont="1" applyFill="1" applyBorder="1"/>
    <xf numFmtId="0" fontId="1" fillId="3" borderId="42" xfId="0" applyFont="1" applyFill="1" applyBorder="1" applyAlignment="1">
      <alignment horizontal="center"/>
    </xf>
    <xf numFmtId="3" fontId="8" fillId="3" borderId="42" xfId="0" applyNumberFormat="1" applyFont="1" applyFill="1" applyBorder="1"/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7" fontId="9" fillId="3" borderId="68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5" fillId="3" borderId="32" xfId="0" applyFont="1" applyFill="1" applyBorder="1"/>
    <xf numFmtId="166" fontId="9" fillId="3" borderId="42" xfId="0" applyNumberFormat="1" applyFont="1" applyFill="1" applyBorder="1"/>
    <xf numFmtId="4" fontId="1" fillId="3" borderId="42" xfId="3" applyNumberFormat="1" applyFont="1" applyFill="1" applyBorder="1" applyAlignment="1">
      <alignment horizontal="right" wrapText="1"/>
    </xf>
    <xf numFmtId="3" fontId="5" fillId="3" borderId="42" xfId="0" applyNumberFormat="1" applyFont="1" applyFill="1" applyBorder="1"/>
    <xf numFmtId="0" fontId="5" fillId="3" borderId="42" xfId="0" applyFont="1" applyFill="1" applyBorder="1" applyAlignment="1">
      <alignment horizontal="center"/>
    </xf>
    <xf numFmtId="0" fontId="6" fillId="3" borderId="82" xfId="0" applyFont="1" applyFill="1" applyBorder="1"/>
    <xf numFmtId="166" fontId="5" fillId="3" borderId="71" xfId="0" applyNumberFormat="1" applyFont="1" applyFill="1" applyBorder="1"/>
    <xf numFmtId="0" fontId="5" fillId="3" borderId="71" xfId="0" applyFont="1" applyFill="1" applyBorder="1" applyAlignment="1">
      <alignment horizontal="center"/>
    </xf>
    <xf numFmtId="4" fontId="5" fillId="3" borderId="71" xfId="3" applyNumberFormat="1" applyFont="1" applyFill="1" applyBorder="1" applyAlignment="1">
      <alignment horizontal="right" wrapText="1"/>
    </xf>
    <xf numFmtId="3" fontId="6" fillId="3" borderId="71" xfId="0" applyNumberFormat="1" applyFont="1" applyFill="1" applyBorder="1"/>
    <xf numFmtId="0" fontId="5" fillId="3" borderId="70" xfId="0" applyFont="1" applyFill="1" applyBorder="1" applyAlignment="1">
      <alignment horizontal="center"/>
    </xf>
    <xf numFmtId="3" fontId="5" fillId="3" borderId="70" xfId="0" applyNumberFormat="1" applyFont="1" applyFill="1" applyBorder="1" applyAlignment="1">
      <alignment horizontal="center"/>
    </xf>
    <xf numFmtId="1" fontId="5" fillId="3" borderId="35" xfId="3" applyNumberFormat="1" applyFont="1" applyFill="1" applyBorder="1"/>
    <xf numFmtId="0" fontId="7" fillId="8" borderId="4" xfId="0" applyFont="1" applyFill="1" applyBorder="1" applyAlignment="1">
      <alignment horizontal="center"/>
    </xf>
    <xf numFmtId="0" fontId="7" fillId="8" borderId="40" xfId="0" applyFont="1" applyFill="1" applyBorder="1"/>
    <xf numFmtId="0" fontId="7" fillId="8" borderId="28" xfId="0" applyFont="1" applyFill="1" applyBorder="1"/>
    <xf numFmtId="0" fontId="7" fillId="8" borderId="36" xfId="0" applyFont="1" applyFill="1" applyBorder="1"/>
    <xf numFmtId="0" fontId="7" fillId="8" borderId="6" xfId="0" applyFont="1" applyFill="1" applyBorder="1" applyAlignment="1">
      <alignment horizontal="center"/>
    </xf>
    <xf numFmtId="0" fontId="7" fillId="8" borderId="42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90" xfId="0" applyFont="1" applyFill="1" applyBorder="1" applyAlignment="1">
      <alignment horizontal="center"/>
    </xf>
    <xf numFmtId="0" fontId="7" fillId="9" borderId="38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9" borderId="56" xfId="0" applyFont="1" applyFill="1" applyBorder="1" applyAlignment="1">
      <alignment horizontal="center"/>
    </xf>
    <xf numFmtId="166" fontId="14" fillId="0" borderId="11" xfId="0" applyNumberFormat="1" applyFont="1" applyBorder="1" applyAlignment="1">
      <alignment vertical="center"/>
    </xf>
    <xf numFmtId="166" fontId="14" fillId="0" borderId="37" xfId="0" applyNumberFormat="1" applyFont="1" applyBorder="1" applyAlignment="1">
      <alignment vertical="center"/>
    </xf>
    <xf numFmtId="0" fontId="19" fillId="0" borderId="82" xfId="0" applyFont="1" applyBorder="1" applyAlignment="1">
      <alignment horizontal="justify" vertical="center"/>
    </xf>
    <xf numFmtId="166" fontId="15" fillId="0" borderId="83" xfId="0" applyNumberFormat="1" applyFont="1" applyBorder="1" applyAlignment="1">
      <alignment vertical="center"/>
    </xf>
    <xf numFmtId="166" fontId="15" fillId="0" borderId="144" xfId="0" applyNumberFormat="1" applyFont="1" applyBorder="1" applyAlignment="1">
      <alignment vertical="center"/>
    </xf>
    <xf numFmtId="166" fontId="14" fillId="0" borderId="83" xfId="0" applyNumberFormat="1" applyFont="1" applyBorder="1" applyAlignment="1">
      <alignment vertical="center"/>
    </xf>
    <xf numFmtId="166" fontId="21" fillId="0" borderId="83" xfId="0" applyNumberFormat="1" applyFont="1" applyBorder="1" applyAlignment="1">
      <alignment vertical="center"/>
    </xf>
    <xf numFmtId="3" fontId="20" fillId="0" borderId="83" xfId="0" applyNumberFormat="1" applyFont="1" applyBorder="1" applyAlignment="1">
      <alignment horizontal="right" vertical="center"/>
    </xf>
    <xf numFmtId="0" fontId="19" fillId="0" borderId="68" xfId="0" applyFont="1" applyBorder="1" applyAlignment="1">
      <alignment vertical="center"/>
    </xf>
    <xf numFmtId="166" fontId="14" fillId="0" borderId="42" xfId="0" applyNumberFormat="1" applyFont="1" applyBorder="1" applyAlignment="1">
      <alignment vertical="center"/>
    </xf>
    <xf numFmtId="166" fontId="15" fillId="0" borderId="42" xfId="0" applyNumberFormat="1" applyFont="1" applyBorder="1" applyAlignment="1">
      <alignment vertical="center"/>
    </xf>
    <xf numFmtId="166" fontId="15" fillId="0" borderId="1" xfId="0" applyNumberFormat="1" applyFont="1" applyBorder="1" applyAlignment="1">
      <alignment vertical="center"/>
    </xf>
    <xf numFmtId="166" fontId="14" fillId="0" borderId="68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horizontal="right" vertical="center"/>
    </xf>
    <xf numFmtId="166" fontId="21" fillId="0" borderId="42" xfId="0" applyNumberFormat="1" applyFont="1" applyBorder="1" applyAlignment="1">
      <alignment vertical="center"/>
    </xf>
    <xf numFmtId="0" fontId="19" fillId="0" borderId="68" xfId="0" applyFont="1" applyBorder="1" applyAlignment="1">
      <alignment horizontal="justify" vertical="center"/>
    </xf>
    <xf numFmtId="166" fontId="14" fillId="0" borderId="71" xfId="0" applyNumberFormat="1" applyFont="1" applyBorder="1" applyAlignment="1">
      <alignment vertical="center"/>
    </xf>
    <xf numFmtId="3" fontId="0" fillId="4" borderId="0" xfId="0" applyNumberFormat="1" applyFill="1"/>
    <xf numFmtId="0" fontId="32" fillId="0" borderId="13" xfId="0" applyFont="1" applyBorder="1" applyAlignment="1">
      <alignment vertical="center"/>
    </xf>
    <xf numFmtId="0" fontId="32" fillId="0" borderId="115" xfId="0" applyFont="1" applyBorder="1" applyAlignment="1">
      <alignment vertical="center"/>
    </xf>
    <xf numFmtId="4" fontId="32" fillId="0" borderId="88" xfId="0" applyNumberFormat="1" applyFont="1" applyBorder="1" applyAlignment="1">
      <alignment vertical="center"/>
    </xf>
    <xf numFmtId="0" fontId="7" fillId="5" borderId="5" xfId="0" applyFont="1" applyFill="1" applyBorder="1"/>
    <xf numFmtId="0" fontId="7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26" fillId="0" borderId="39" xfId="0" applyFont="1" applyBorder="1"/>
    <xf numFmtId="3" fontId="1" fillId="0" borderId="4" xfId="0" applyNumberFormat="1" applyFont="1" applyBorder="1" applyAlignment="1">
      <alignment horizontal="center"/>
    </xf>
    <xf numFmtId="3" fontId="1" fillId="0" borderId="90" xfId="0" applyNumberFormat="1" applyFont="1" applyBorder="1" applyAlignment="1">
      <alignment horizontal="center"/>
    </xf>
    <xf numFmtId="0" fontId="26" fillId="0" borderId="68" xfId="0" applyFont="1" applyBorder="1"/>
    <xf numFmtId="166" fontId="1" fillId="0" borderId="42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1" fillId="0" borderId="32" xfId="0" applyNumberFormat="1" applyFont="1" applyBorder="1" applyAlignment="1">
      <alignment horizontal="center"/>
    </xf>
    <xf numFmtId="166" fontId="1" fillId="0" borderId="3" xfId="0" applyNumberFormat="1" applyFont="1" applyBorder="1"/>
    <xf numFmtId="0" fontId="4" fillId="3" borderId="66" xfId="0" applyFont="1" applyFill="1" applyBorder="1"/>
    <xf numFmtId="166" fontId="9" fillId="3" borderId="49" xfId="0" applyNumberFormat="1" applyFont="1" applyFill="1" applyBorder="1"/>
    <xf numFmtId="0" fontId="0" fillId="3" borderId="49" xfId="0" applyFill="1" applyBorder="1" applyAlignment="1">
      <alignment horizontal="center"/>
    </xf>
    <xf numFmtId="0" fontId="0" fillId="3" borderId="49" xfId="0" applyFill="1" applyBorder="1"/>
    <xf numFmtId="0" fontId="0" fillId="3" borderId="80" xfId="0" applyFill="1" applyBorder="1" applyAlignment="1">
      <alignment horizontal="center"/>
    </xf>
    <xf numFmtId="0" fontId="4" fillId="3" borderId="68" xfId="0" applyFont="1" applyFill="1" applyBorder="1"/>
    <xf numFmtId="166" fontId="9" fillId="3" borderId="42" xfId="0" applyNumberFormat="1" applyFont="1" applyFill="1" applyBorder="1" applyAlignment="1">
      <alignment horizontal="right"/>
    </xf>
    <xf numFmtId="3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/>
    <xf numFmtId="3" fontId="1" fillId="3" borderId="42" xfId="0" applyNumberFormat="1" applyFont="1" applyFill="1" applyBorder="1"/>
    <xf numFmtId="3" fontId="1" fillId="3" borderId="32" xfId="0" applyNumberFormat="1" applyFont="1" applyFill="1" applyBorder="1" applyAlignment="1">
      <alignment horizontal="center"/>
    </xf>
    <xf numFmtId="0" fontId="4" fillId="3" borderId="82" xfId="0" applyFont="1" applyFill="1" applyBorder="1"/>
    <xf numFmtId="166" fontId="5" fillId="3" borderId="83" xfId="0" applyNumberFormat="1" applyFont="1" applyFill="1" applyBorder="1" applyAlignment="1">
      <alignment horizontal="right"/>
    </xf>
    <xf numFmtId="166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/>
    <xf numFmtId="3" fontId="5" fillId="3" borderId="71" xfId="0" applyNumberFormat="1" applyFont="1" applyFill="1" applyBorder="1"/>
    <xf numFmtId="3" fontId="5" fillId="3" borderId="71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0" xfId="0" applyFont="1" applyFill="1" applyAlignment="1">
      <alignment vertical="center"/>
    </xf>
    <xf numFmtId="0" fontId="12" fillId="5" borderId="118" xfId="0" applyFont="1" applyFill="1" applyBorder="1" applyAlignment="1">
      <alignment horizontal="center" vertical="center"/>
    </xf>
    <xf numFmtId="0" fontId="12" fillId="5" borderId="112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166" fontId="38" fillId="0" borderId="56" xfId="0" applyNumberFormat="1" applyFont="1" applyBorder="1" applyAlignment="1">
      <alignment vertical="center"/>
    </xf>
    <xf numFmtId="166" fontId="3" fillId="0" borderId="19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83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4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83" xfId="0" applyFont="1" applyFill="1" applyBorder="1" applyAlignment="1">
      <alignment horizontal="center" vertical="center"/>
    </xf>
    <xf numFmtId="0" fontId="39" fillId="10" borderId="49" xfId="0" applyFont="1" applyFill="1" applyBorder="1" applyAlignment="1">
      <alignment horizontal="center"/>
    </xf>
    <xf numFmtId="0" fontId="39" fillId="10" borderId="4" xfId="0" applyFont="1" applyFill="1" applyBorder="1" applyAlignment="1">
      <alignment horizontal="center"/>
    </xf>
    <xf numFmtId="14" fontId="39" fillId="10" borderId="83" xfId="0" applyNumberFormat="1" applyFont="1" applyFill="1" applyBorder="1" applyAlignment="1">
      <alignment horizontal="center"/>
    </xf>
    <xf numFmtId="0" fontId="39" fillId="10" borderId="83" xfId="0" applyFont="1" applyFill="1" applyBorder="1" applyAlignment="1">
      <alignment horizontal="center"/>
    </xf>
    <xf numFmtId="0" fontId="40" fillId="10" borderId="83" xfId="0" applyFont="1" applyFill="1" applyBorder="1" applyAlignment="1">
      <alignment horizontal="center"/>
    </xf>
    <xf numFmtId="0" fontId="39" fillId="10" borderId="80" xfId="0" applyFont="1" applyFill="1" applyBorder="1" applyAlignment="1">
      <alignment horizontal="center"/>
    </xf>
    <xf numFmtId="0" fontId="39" fillId="10" borderId="90" xfId="0" applyFont="1" applyFill="1" applyBorder="1" applyAlignment="1">
      <alignment horizontal="center"/>
    </xf>
    <xf numFmtId="0" fontId="39" fillId="10" borderId="98" xfId="0" applyFont="1" applyFill="1" applyBorder="1" applyAlignment="1">
      <alignment horizontal="center"/>
    </xf>
    <xf numFmtId="166" fontId="9" fillId="3" borderId="4" xfId="0" applyNumberFormat="1" applyFont="1" applyFill="1" applyBorder="1"/>
    <xf numFmtId="166" fontId="9" fillId="3" borderId="43" xfId="0" applyNumberFormat="1" applyFont="1" applyFill="1" applyBorder="1"/>
    <xf numFmtId="4" fontId="9" fillId="3" borderId="43" xfId="0" applyNumberFormat="1" applyFont="1" applyFill="1" applyBorder="1"/>
    <xf numFmtId="168" fontId="9" fillId="3" borderId="43" xfId="0" applyNumberFormat="1" applyFont="1" applyFill="1" applyBorder="1"/>
    <xf numFmtId="3" fontId="9" fillId="3" borderId="43" xfId="0" applyNumberFormat="1" applyFont="1" applyFill="1" applyBorder="1"/>
    <xf numFmtId="0" fontId="9" fillId="3" borderId="38" xfId="0" applyFont="1" applyFill="1" applyBorder="1"/>
    <xf numFmtId="4" fontId="9" fillId="3" borderId="4" xfId="0" applyNumberFormat="1" applyFont="1" applyFill="1" applyBorder="1"/>
    <xf numFmtId="0" fontId="9" fillId="3" borderId="4" xfId="0" applyFont="1" applyFill="1" applyBorder="1"/>
    <xf numFmtId="0" fontId="8" fillId="3" borderId="4" xfId="0" applyFont="1" applyFill="1" applyBorder="1"/>
    <xf numFmtId="0" fontId="8" fillId="3" borderId="90" xfId="0" applyFont="1" applyFill="1" applyBorder="1"/>
    <xf numFmtId="0" fontId="8" fillId="0" borderId="38" xfId="0" applyFont="1" applyBorder="1"/>
    <xf numFmtId="166" fontId="8" fillId="0" borderId="4" xfId="0" applyNumberFormat="1" applyFont="1" applyBorder="1"/>
    <xf numFmtId="4" fontId="8" fillId="0" borderId="4" xfId="0" applyNumberFormat="1" applyFont="1" applyBorder="1"/>
    <xf numFmtId="3" fontId="8" fillId="0" borderId="4" xfId="0" applyNumberFormat="1" applyFont="1" applyBorder="1" applyAlignment="1">
      <alignment horizontal="center"/>
    </xf>
    <xf numFmtId="3" fontId="8" fillId="0" borderId="10" xfId="0" applyNumberFormat="1" applyFont="1" applyBorder="1"/>
    <xf numFmtId="3" fontId="8" fillId="0" borderId="54" xfId="0" applyNumberFormat="1" applyFont="1" applyBorder="1"/>
    <xf numFmtId="166" fontId="8" fillId="0" borderId="42" xfId="0" applyNumberFormat="1" applyFont="1" applyBorder="1"/>
    <xf numFmtId="4" fontId="8" fillId="0" borderId="42" xfId="0" applyNumberFormat="1" applyFont="1" applyBorder="1"/>
    <xf numFmtId="3" fontId="8" fillId="0" borderId="42" xfId="0" applyNumberFormat="1" applyFont="1" applyBorder="1" applyAlignment="1">
      <alignment horizontal="center"/>
    </xf>
    <xf numFmtId="3" fontId="8" fillId="0" borderId="32" xfId="0" applyNumberFormat="1" applyFont="1" applyBorder="1"/>
    <xf numFmtId="4" fontId="9" fillId="3" borderId="42" xfId="0" applyNumberFormat="1" applyFont="1" applyFill="1" applyBorder="1"/>
    <xf numFmtId="4" fontId="8" fillId="3" borderId="42" xfId="0" applyNumberFormat="1" applyFont="1" applyFill="1" applyBorder="1"/>
    <xf numFmtId="3" fontId="8" fillId="3" borderId="42" xfId="0" applyNumberFormat="1" applyFont="1" applyFill="1" applyBorder="1" applyAlignment="1">
      <alignment horizontal="center"/>
    </xf>
    <xf numFmtId="3" fontId="8" fillId="3" borderId="32" xfId="0" applyNumberFormat="1" applyFont="1" applyFill="1" applyBorder="1"/>
    <xf numFmtId="0" fontId="9" fillId="3" borderId="68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169" fontId="1" fillId="3" borderId="6" xfId="0" applyNumberFormat="1" applyFont="1" applyFill="1" applyBorder="1"/>
    <xf numFmtId="169" fontId="1" fillId="3" borderId="7" xfId="0" applyNumberFormat="1" applyFont="1" applyFill="1" applyBorder="1"/>
    <xf numFmtId="2" fontId="9" fillId="3" borderId="42" xfId="0" applyNumberFormat="1" applyFont="1" applyFill="1" applyBorder="1"/>
    <xf numFmtId="164" fontId="9" fillId="3" borderId="7" xfId="3" applyFont="1" applyFill="1" applyBorder="1"/>
    <xf numFmtId="2" fontId="9" fillId="3" borderId="7" xfId="0" applyNumberFormat="1" applyFont="1" applyFill="1" applyBorder="1"/>
    <xf numFmtId="4" fontId="0" fillId="0" borderId="69" xfId="0" applyNumberFormat="1" applyBorder="1"/>
    <xf numFmtId="4" fontId="0" fillId="0" borderId="2" xfId="0" applyNumberFormat="1" applyBorder="1"/>
    <xf numFmtId="166" fontId="41" fillId="0" borderId="42" xfId="0" applyNumberFormat="1" applyFont="1" applyBorder="1" applyAlignment="1">
      <alignment vertical="center"/>
    </xf>
    <xf numFmtId="168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vertical="center"/>
    </xf>
    <xf numFmtId="166" fontId="4" fillId="3" borderId="42" xfId="0" applyNumberFormat="1" applyFont="1" applyFill="1" applyBorder="1" applyAlignment="1">
      <alignment vertical="center"/>
    </xf>
    <xf numFmtId="4" fontId="4" fillId="3" borderId="42" xfId="0" applyNumberFormat="1" applyFont="1" applyFill="1" applyBorder="1" applyAlignment="1">
      <alignment vertical="center"/>
    </xf>
    <xf numFmtId="3" fontId="4" fillId="3" borderId="42" xfId="0" applyNumberFormat="1" applyFont="1" applyFill="1" applyBorder="1" applyAlignment="1">
      <alignment vertical="center"/>
    </xf>
    <xf numFmtId="0" fontId="39" fillId="6" borderId="42" xfId="0" applyFont="1" applyFill="1" applyBorder="1" applyAlignment="1">
      <alignment horizontal="center"/>
    </xf>
    <xf numFmtId="0" fontId="40" fillId="6" borderId="42" xfId="0" applyFont="1" applyFill="1" applyBorder="1" applyAlignment="1">
      <alignment horizontal="center"/>
    </xf>
    <xf numFmtId="14" fontId="39" fillId="6" borderId="42" xfId="0" applyNumberFormat="1" applyFont="1" applyFill="1" applyBorder="1" applyAlignment="1">
      <alignment horizontal="center"/>
    </xf>
    <xf numFmtId="0" fontId="41" fillId="0" borderId="31" xfId="0" applyFont="1" applyBorder="1" applyAlignment="1">
      <alignment vertical="center"/>
    </xf>
    <xf numFmtId="166" fontId="41" fillId="0" borderId="68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6" fillId="0" borderId="31" xfId="0" applyFont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9" fillId="3" borderId="31" xfId="0" applyFont="1" applyFill="1" applyBorder="1" applyAlignment="1">
      <alignment horizontal="center" vertical="center"/>
    </xf>
    <xf numFmtId="166" fontId="4" fillId="3" borderId="87" xfId="0" applyNumberFormat="1" applyFont="1" applyFill="1" applyBorder="1" applyAlignment="1">
      <alignment vertical="center"/>
    </xf>
    <xf numFmtId="166" fontId="41" fillId="0" borderId="71" xfId="0" applyNumberFormat="1" applyFont="1" applyBorder="1" applyAlignment="1">
      <alignment vertical="center"/>
    </xf>
    <xf numFmtId="166" fontId="4" fillId="3" borderId="68" xfId="0" applyNumberFormat="1" applyFont="1" applyFill="1" applyBorder="1" applyAlignment="1">
      <alignment vertical="center"/>
    </xf>
    <xf numFmtId="0" fontId="39" fillId="10" borderId="66" xfId="0" applyFont="1" applyFill="1" applyBorder="1" applyAlignment="1">
      <alignment horizontal="center"/>
    </xf>
    <xf numFmtId="0" fontId="39" fillId="10" borderId="38" xfId="0" applyFont="1" applyFill="1" applyBorder="1" applyAlignment="1">
      <alignment horizontal="center"/>
    </xf>
    <xf numFmtId="14" fontId="39" fillId="10" borderId="82" xfId="0" applyNumberFormat="1" applyFont="1" applyFill="1" applyBorder="1" applyAlignment="1">
      <alignment horizontal="center"/>
    </xf>
    <xf numFmtId="14" fontId="39" fillId="6" borderId="37" xfId="0" applyNumberFormat="1" applyFont="1" applyFill="1" applyBorder="1" applyAlignment="1">
      <alignment horizontal="center"/>
    </xf>
    <xf numFmtId="14" fontId="39" fillId="6" borderId="68" xfId="0" applyNumberFormat="1" applyFont="1" applyFill="1" applyBorder="1" applyAlignment="1">
      <alignment horizontal="center"/>
    </xf>
    <xf numFmtId="166" fontId="41" fillId="0" borderId="31" xfId="0" applyNumberFormat="1" applyFont="1" applyBorder="1" applyAlignment="1">
      <alignment vertical="center"/>
    </xf>
    <xf numFmtId="3" fontId="5" fillId="3" borderId="4" xfId="0" applyNumberFormat="1" applyFont="1" applyFill="1" applyBorder="1"/>
    <xf numFmtId="3" fontId="5" fillId="3" borderId="38" xfId="0" applyNumberFormat="1" applyFont="1" applyFill="1" applyBorder="1"/>
    <xf numFmtId="3" fontId="5" fillId="3" borderId="90" xfId="0" applyNumberFormat="1" applyFont="1" applyFill="1" applyBorder="1"/>
    <xf numFmtId="3" fontId="5" fillId="3" borderId="9" xfId="0" applyNumberFormat="1" applyFont="1" applyFill="1" applyBorder="1"/>
    <xf numFmtId="3" fontId="5" fillId="3" borderId="5" xfId="0" applyNumberFormat="1" applyFont="1" applyFill="1" applyBorder="1"/>
    <xf numFmtId="2" fontId="5" fillId="3" borderId="4" xfId="0" applyNumberFormat="1" applyFont="1" applyFill="1" applyBorder="1"/>
    <xf numFmtId="0" fontId="5" fillId="3" borderId="44" xfId="0" applyFont="1" applyFill="1" applyBorder="1"/>
    <xf numFmtId="3" fontId="5" fillId="3" borderId="66" xfId="0" applyNumberFormat="1" applyFont="1" applyFill="1" applyBorder="1"/>
    <xf numFmtId="3" fontId="1" fillId="0" borderId="1" xfId="0" applyNumberFormat="1" applyFont="1" applyBorder="1"/>
    <xf numFmtId="3" fontId="1" fillId="0" borderId="68" xfId="0" applyNumberFormat="1" applyFont="1" applyBorder="1"/>
    <xf numFmtId="3" fontId="1" fillId="0" borderId="32" xfId="0" applyNumberFormat="1" applyFont="1" applyBorder="1"/>
    <xf numFmtId="3" fontId="1" fillId="0" borderId="74" xfId="0" applyNumberFormat="1" applyFont="1" applyBorder="1"/>
    <xf numFmtId="3" fontId="1" fillId="0" borderId="3" xfId="0" applyNumberFormat="1" applyFont="1" applyBorder="1"/>
    <xf numFmtId="3" fontId="5" fillId="3" borderId="1" xfId="0" applyNumberFormat="1" applyFont="1" applyFill="1" applyBorder="1"/>
    <xf numFmtId="3" fontId="5" fillId="3" borderId="68" xfId="0" applyNumberFormat="1" applyFont="1" applyFill="1" applyBorder="1"/>
    <xf numFmtId="3" fontId="5" fillId="3" borderId="32" xfId="0" applyNumberFormat="1" applyFont="1" applyFill="1" applyBorder="1"/>
    <xf numFmtId="3" fontId="5" fillId="3" borderId="74" xfId="0" applyNumberFormat="1" applyFont="1" applyFill="1" applyBorder="1"/>
    <xf numFmtId="3" fontId="5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74" xfId="0" applyNumberFormat="1" applyFont="1" applyFill="1" applyBorder="1"/>
    <xf numFmtId="3" fontId="9" fillId="3" borderId="3" xfId="0" applyNumberFormat="1" applyFont="1" applyFill="1" applyBorder="1"/>
    <xf numFmtId="3" fontId="9" fillId="3" borderId="94" xfId="0" applyNumberFormat="1" applyFont="1" applyFill="1" applyBorder="1"/>
    <xf numFmtId="0" fontId="9" fillId="3" borderId="78" xfId="0" applyFont="1" applyFill="1" applyBorder="1"/>
    <xf numFmtId="4" fontId="0" fillId="0" borderId="68" xfId="0" applyNumberFormat="1" applyBorder="1"/>
    <xf numFmtId="4" fontId="0" fillId="0" borderId="74" xfId="0" applyNumberFormat="1" applyBorder="1"/>
    <xf numFmtId="0" fontId="9" fillId="3" borderId="93" xfId="0" applyFont="1" applyFill="1" applyBorder="1"/>
    <xf numFmtId="4" fontId="9" fillId="3" borderId="74" xfId="0" applyNumberFormat="1" applyFont="1" applyFill="1" applyBorder="1"/>
    <xf numFmtId="3" fontId="5" fillId="3" borderId="38" xfId="0" applyNumberFormat="1" applyFont="1" applyFill="1" applyBorder="1" applyAlignment="1">
      <alignment horizontal="right"/>
    </xf>
    <xf numFmtId="4" fontId="5" fillId="3" borderId="90" xfId="0" applyNumberFormat="1" applyFont="1" applyFill="1" applyBorder="1" applyAlignment="1">
      <alignment horizontal="right"/>
    </xf>
    <xf numFmtId="3" fontId="5" fillId="3" borderId="4" xfId="0" applyNumberFormat="1" applyFont="1" applyFill="1" applyBorder="1" applyAlignment="1">
      <alignment horizontal="right"/>
    </xf>
    <xf numFmtId="4" fontId="5" fillId="3" borderId="80" xfId="0" applyNumberFormat="1" applyFont="1" applyFill="1" applyBorder="1" applyAlignment="1">
      <alignment horizontal="right"/>
    </xf>
    <xf numFmtId="3" fontId="5" fillId="3" borderId="5" xfId="0" applyNumberFormat="1" applyFont="1" applyFill="1" applyBorder="1" applyAlignment="1">
      <alignment horizontal="right"/>
    </xf>
    <xf numFmtId="3" fontId="1" fillId="0" borderId="68" xfId="0" applyNumberFormat="1" applyFont="1" applyBorder="1" applyAlignment="1">
      <alignment horizontal="right"/>
    </xf>
    <xf numFmtId="4" fontId="1" fillId="0" borderId="3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9" fillId="3" borderId="68" xfId="0" applyNumberFormat="1" applyFont="1" applyFill="1" applyBorder="1" applyAlignment="1">
      <alignment horizontal="right"/>
    </xf>
    <xf numFmtId="4" fontId="9" fillId="3" borderId="32" xfId="0" applyNumberFormat="1" applyFont="1" applyFill="1" applyBorder="1" applyAlignment="1">
      <alignment horizontal="right"/>
    </xf>
    <xf numFmtId="4" fontId="5" fillId="3" borderId="44" xfId="0" applyNumberFormat="1" applyFont="1" applyFill="1" applyBorder="1"/>
    <xf numFmtId="3" fontId="5" fillId="3" borderId="80" xfId="0" applyNumberFormat="1" applyFont="1" applyFill="1" applyBorder="1"/>
    <xf numFmtId="4" fontId="1" fillId="0" borderId="2" xfId="0" applyNumberFormat="1" applyFont="1" applyBorder="1"/>
    <xf numFmtId="4" fontId="1" fillId="0" borderId="1" xfId="0" applyNumberFormat="1" applyFont="1" applyBorder="1"/>
    <xf numFmtId="0" fontId="9" fillId="3" borderId="145" xfId="0" applyFont="1" applyFill="1" applyBorder="1"/>
    <xf numFmtId="3" fontId="9" fillId="3" borderId="19" xfId="0" applyNumberFormat="1" applyFont="1" applyFill="1" applyBorder="1"/>
    <xf numFmtId="3" fontId="9" fillId="3" borderId="8" xfId="0" applyNumberFormat="1" applyFont="1" applyFill="1" applyBorder="1"/>
    <xf numFmtId="3" fontId="1" fillId="0" borderId="90" xfId="0" applyNumberFormat="1" applyFont="1" applyBorder="1" applyAlignment="1">
      <alignment horizontal="right"/>
    </xf>
    <xf numFmtId="0" fontId="8" fillId="0" borderId="146" xfId="0" applyFont="1" applyBorder="1"/>
    <xf numFmtId="3" fontId="1" fillId="0" borderId="1" xfId="0" applyNumberFormat="1" applyFont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9" fillId="3" borderId="146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9" fillId="3" borderId="3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9" fillId="3" borderId="66" xfId="0" applyNumberFormat="1" applyFont="1" applyFill="1" applyBorder="1"/>
    <xf numFmtId="3" fontId="9" fillId="3" borderId="49" xfId="0" applyNumberFormat="1" applyFont="1" applyFill="1" applyBorder="1"/>
    <xf numFmtId="3" fontId="9" fillId="3" borderId="73" xfId="0" applyNumberFormat="1" applyFont="1" applyFill="1" applyBorder="1"/>
    <xf numFmtId="0" fontId="9" fillId="3" borderId="90" xfId="0" applyFont="1" applyFill="1" applyBorder="1" applyAlignment="1">
      <alignment horizontal="right"/>
    </xf>
    <xf numFmtId="3" fontId="9" fillId="3" borderId="50" xfId="0" applyNumberFormat="1" applyFont="1" applyFill="1" applyBorder="1"/>
    <xf numFmtId="0" fontId="9" fillId="3" borderId="90" xfId="0" applyFont="1" applyFill="1" applyBorder="1"/>
    <xf numFmtId="0" fontId="9" fillId="3" borderId="92" xfId="0" applyFont="1" applyFill="1" applyBorder="1"/>
    <xf numFmtId="3" fontId="8" fillId="0" borderId="81" xfId="0" applyNumberFormat="1" applyFont="1" applyBorder="1"/>
    <xf numFmtId="3" fontId="5" fillId="0" borderId="82" xfId="0" applyNumberFormat="1" applyFont="1" applyBorder="1"/>
    <xf numFmtId="3" fontId="5" fillId="0" borderId="83" xfId="0" applyNumberFormat="1" applyFont="1" applyBorder="1"/>
    <xf numFmtId="3" fontId="1" fillId="0" borderId="144" xfId="0" applyNumberFormat="1" applyFont="1" applyBorder="1" applyAlignment="1">
      <alignment horizontal="right"/>
    </xf>
    <xf numFmtId="3" fontId="1" fillId="0" borderId="98" xfId="0" applyNumberFormat="1" applyFont="1" applyBorder="1" applyAlignment="1">
      <alignment horizontal="right"/>
    </xf>
    <xf numFmtId="3" fontId="5" fillId="0" borderId="118" xfId="0" applyNumberFormat="1" applyFont="1" applyBorder="1"/>
    <xf numFmtId="3" fontId="1" fillId="0" borderId="144" xfId="0" applyNumberFormat="1" applyFont="1" applyBorder="1"/>
    <xf numFmtId="3" fontId="8" fillId="0" borderId="93" xfId="0" applyNumberFormat="1" applyFont="1" applyBorder="1"/>
    <xf numFmtId="3" fontId="8" fillId="0" borderId="68" xfId="0" applyNumberFormat="1" applyFont="1" applyBorder="1"/>
    <xf numFmtId="1" fontId="1" fillId="0" borderId="32" xfId="0" applyNumberFormat="1" applyFont="1" applyBorder="1"/>
    <xf numFmtId="3" fontId="8" fillId="0" borderId="3" xfId="0" applyNumberFormat="1" applyFont="1" applyBorder="1"/>
    <xf numFmtId="3" fontId="1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3" fontId="9" fillId="3" borderId="93" xfId="0" applyNumberFormat="1" applyFont="1" applyFill="1" applyBorder="1"/>
    <xf numFmtId="3" fontId="9" fillId="3" borderId="42" xfId="0" applyNumberFormat="1" applyFont="1" applyFill="1" applyBorder="1" applyAlignment="1">
      <alignment horizontal="right"/>
    </xf>
    <xf numFmtId="1" fontId="9" fillId="3" borderId="32" xfId="0" applyNumberFormat="1" applyFont="1" applyFill="1" applyBorder="1"/>
    <xf numFmtId="1" fontId="9" fillId="3" borderId="32" xfId="0" applyNumberFormat="1" applyFont="1" applyFill="1" applyBorder="1" applyAlignment="1">
      <alignment horizontal="right"/>
    </xf>
    <xf numFmtId="3" fontId="9" fillId="3" borderId="25" xfId="0" applyNumberFormat="1" applyFont="1" applyFill="1" applyBorder="1"/>
    <xf numFmtId="3" fontId="9" fillId="3" borderId="51" xfId="0" applyNumberFormat="1" applyFont="1" applyFill="1" applyBorder="1"/>
    <xf numFmtId="3" fontId="5" fillId="0" borderId="30" xfId="0" applyNumberFormat="1" applyFont="1" applyBorder="1"/>
    <xf numFmtId="3" fontId="1" fillId="0" borderId="131" xfId="0" applyNumberFormat="1" applyFont="1" applyBorder="1" applyAlignment="1">
      <alignment horizontal="right"/>
    </xf>
    <xf numFmtId="3" fontId="1" fillId="0" borderId="31" xfId="0" applyNumberFormat="1" applyFont="1" applyBorder="1"/>
    <xf numFmtId="3" fontId="1" fillId="0" borderId="141" xfId="0" applyNumberFormat="1" applyFont="1" applyBorder="1"/>
    <xf numFmtId="3" fontId="9" fillId="3" borderId="141" xfId="0" applyNumberFormat="1" applyFont="1" applyFill="1" applyBorder="1" applyAlignment="1">
      <alignment horizontal="right"/>
    </xf>
    <xf numFmtId="166" fontId="38" fillId="6" borderId="3" xfId="0" applyNumberFormat="1" applyFont="1" applyFill="1" applyBorder="1" applyAlignment="1">
      <alignment vertical="center"/>
    </xf>
    <xf numFmtId="166" fontId="45" fillId="6" borderId="91" xfId="0" applyNumberFormat="1" applyFont="1" applyFill="1" applyBorder="1" applyAlignment="1">
      <alignment vertical="center"/>
    </xf>
    <xf numFmtId="166" fontId="45" fillId="6" borderId="56" xfId="0" applyNumberFormat="1" applyFont="1" applyFill="1" applyBorder="1" applyAlignment="1">
      <alignment vertical="center"/>
    </xf>
    <xf numFmtId="166" fontId="45" fillId="3" borderId="88" xfId="0" applyNumberFormat="1" applyFont="1" applyFill="1" applyBorder="1" applyAlignment="1">
      <alignment vertical="center"/>
    </xf>
    <xf numFmtId="166" fontId="46" fillId="3" borderId="91" xfId="0" applyNumberFormat="1" applyFont="1" applyFill="1" applyBorder="1" applyAlignment="1">
      <alignment vertical="center"/>
    </xf>
    <xf numFmtId="166" fontId="46" fillId="3" borderId="32" xfId="0" applyNumberFormat="1" applyFont="1" applyFill="1" applyBorder="1" applyAlignment="1">
      <alignment vertical="center"/>
    </xf>
    <xf numFmtId="166" fontId="46" fillId="3" borderId="35" xfId="0" applyNumberFormat="1" applyFont="1" applyFill="1" applyBorder="1" applyAlignment="1">
      <alignment vertical="center"/>
    </xf>
    <xf numFmtId="166" fontId="3" fillId="3" borderId="116" xfId="0" applyNumberFormat="1" applyFont="1" applyFill="1" applyBorder="1" applyAlignment="1">
      <alignment vertical="center"/>
    </xf>
    <xf numFmtId="166" fontId="3" fillId="3" borderId="32" xfId="0" applyNumberFormat="1" applyFont="1" applyFill="1" applyBorder="1" applyAlignment="1">
      <alignment vertical="center"/>
    </xf>
    <xf numFmtId="166" fontId="3" fillId="3" borderId="35" xfId="0" applyNumberFormat="1" applyFont="1" applyFill="1" applyBorder="1" applyAlignment="1">
      <alignment vertical="center"/>
    </xf>
    <xf numFmtId="166" fontId="3" fillId="3" borderId="111" xfId="0" applyNumberFormat="1" applyFont="1" applyFill="1" applyBorder="1" applyAlignment="1">
      <alignment vertical="center"/>
    </xf>
    <xf numFmtId="166" fontId="3" fillId="3" borderId="68" xfId="0" applyNumberFormat="1" applyFont="1" applyFill="1" applyBorder="1" applyAlignment="1">
      <alignment vertical="center"/>
    </xf>
    <xf numFmtId="166" fontId="3" fillId="3" borderId="42" xfId="0" applyNumberFormat="1" applyFont="1" applyFill="1" applyBorder="1" applyAlignment="1">
      <alignment vertical="center"/>
    </xf>
    <xf numFmtId="166" fontId="3" fillId="3" borderId="41" xfId="0" applyNumberFormat="1" applyFont="1" applyFill="1" applyBorder="1" applyAlignment="1">
      <alignment vertical="center"/>
    </xf>
    <xf numFmtId="166" fontId="3" fillId="3" borderId="71" xfId="0" applyNumberFormat="1" applyFont="1" applyFill="1" applyBorder="1" applyAlignment="1">
      <alignment vertical="center"/>
    </xf>
    <xf numFmtId="167" fontId="38" fillId="6" borderId="1" xfId="0" applyNumberFormat="1" applyFont="1" applyFill="1" applyBorder="1" applyAlignment="1">
      <alignment vertical="center"/>
    </xf>
    <xf numFmtId="4" fontId="38" fillId="6" borderId="68" xfId="0" applyNumberFormat="1" applyFont="1" applyFill="1" applyBorder="1" applyAlignment="1">
      <alignment vertical="center"/>
    </xf>
    <xf numFmtId="168" fontId="38" fillId="6" borderId="3" xfId="0" applyNumberFormat="1" applyFont="1" applyFill="1" applyBorder="1" applyAlignment="1">
      <alignment vertical="center"/>
    </xf>
    <xf numFmtId="4" fontId="38" fillId="6" borderId="32" xfId="0" applyNumberFormat="1" applyFont="1" applyFill="1" applyBorder="1" applyAlignment="1">
      <alignment vertical="center"/>
    </xf>
    <xf numFmtId="4" fontId="38" fillId="6" borderId="42" xfId="0" applyNumberFormat="1" applyFont="1" applyFill="1" applyBorder="1" applyAlignment="1">
      <alignment vertical="center"/>
    </xf>
    <xf numFmtId="4" fontId="38" fillId="6" borderId="74" xfId="0" applyNumberFormat="1" applyFont="1" applyFill="1" applyBorder="1" applyAlignment="1">
      <alignment vertical="center"/>
    </xf>
    <xf numFmtId="168" fontId="38" fillId="6" borderId="1" xfId="0" applyNumberFormat="1" applyFont="1" applyFill="1" applyBorder="1" applyAlignment="1">
      <alignment vertical="center"/>
    </xf>
    <xf numFmtId="168" fontId="38" fillId="6" borderId="42" xfId="0" applyNumberFormat="1" applyFont="1" applyFill="1" applyBorder="1" applyAlignment="1">
      <alignment vertical="center"/>
    </xf>
    <xf numFmtId="168" fontId="38" fillId="6" borderId="74" xfId="0" applyNumberFormat="1" applyFont="1" applyFill="1" applyBorder="1" applyAlignment="1">
      <alignment vertical="center"/>
    </xf>
    <xf numFmtId="4" fontId="38" fillId="6" borderId="3" xfId="0" applyNumberFormat="1" applyFont="1" applyFill="1" applyBorder="1" applyAlignment="1">
      <alignment vertical="center"/>
    </xf>
    <xf numFmtId="2" fontId="38" fillId="6" borderId="2" xfId="0" applyNumberFormat="1" applyFont="1" applyFill="1" applyBorder="1" applyAlignment="1">
      <alignment vertical="center"/>
    </xf>
    <xf numFmtId="2" fontId="38" fillId="6" borderId="42" xfId="0" applyNumberFormat="1" applyFont="1" applyFill="1" applyBorder="1" applyAlignment="1">
      <alignment vertical="center"/>
    </xf>
    <xf numFmtId="2" fontId="38" fillId="6" borderId="74" xfId="0" applyNumberFormat="1" applyFont="1" applyFill="1" applyBorder="1" applyAlignment="1">
      <alignment vertical="center"/>
    </xf>
    <xf numFmtId="4" fontId="38" fillId="6" borderId="31" xfId="0" applyNumberFormat="1" applyFont="1" applyFill="1" applyBorder="1" applyAlignment="1">
      <alignment vertical="center"/>
    </xf>
    <xf numFmtId="168" fontId="38" fillId="6" borderId="31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4" fontId="38" fillId="6" borderId="39" xfId="0" applyNumberFormat="1" applyFont="1" applyFill="1" applyBorder="1" applyAlignment="1">
      <alignment vertical="center"/>
    </xf>
    <xf numFmtId="4" fontId="38" fillId="6" borderId="56" xfId="0" applyNumberFormat="1" applyFont="1" applyFill="1" applyBorder="1" applyAlignment="1">
      <alignment vertical="center"/>
    </xf>
    <xf numFmtId="166" fontId="3" fillId="3" borderId="33" xfId="0" applyNumberFormat="1" applyFont="1" applyFill="1" applyBorder="1" applyAlignment="1">
      <alignment vertical="center"/>
    </xf>
    <xf numFmtId="166" fontId="3" fillId="3" borderId="72" xfId="0" applyNumberFormat="1" applyFont="1" applyFill="1" applyBorder="1" applyAlignment="1">
      <alignment vertical="center"/>
    </xf>
    <xf numFmtId="166" fontId="49" fillId="6" borderId="8" xfId="0" applyNumberFormat="1" applyFont="1" applyFill="1" applyBorder="1" applyAlignment="1">
      <alignment vertical="center"/>
    </xf>
    <xf numFmtId="4" fontId="38" fillId="6" borderId="107" xfId="0" applyNumberFormat="1" applyFont="1" applyFill="1" applyBorder="1" applyAlignment="1">
      <alignment vertical="center"/>
    </xf>
    <xf numFmtId="0" fontId="38" fillId="0" borderId="8" xfId="0" applyFont="1" applyBorder="1" applyAlignment="1">
      <alignment vertical="center"/>
    </xf>
    <xf numFmtId="167" fontId="38" fillId="6" borderId="31" xfId="0" applyNumberFormat="1" applyFont="1" applyFill="1" applyBorder="1" applyAlignment="1">
      <alignment vertical="center"/>
    </xf>
    <xf numFmtId="166" fontId="3" fillId="3" borderId="74" xfId="0" applyNumberFormat="1" applyFont="1" applyFill="1" applyBorder="1" applyAlignment="1">
      <alignment vertical="center"/>
    </xf>
    <xf numFmtId="166" fontId="3" fillId="3" borderId="113" xfId="0" applyNumberFormat="1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166" fontId="46" fillId="3" borderId="20" xfId="0" applyNumberFormat="1" applyFont="1" applyFill="1" applyBorder="1" applyAlignment="1">
      <alignment vertical="center"/>
    </xf>
    <xf numFmtId="166" fontId="46" fillId="3" borderId="74" xfId="0" applyNumberFormat="1" applyFont="1" applyFill="1" applyBorder="1" applyAlignment="1">
      <alignment vertical="center"/>
    </xf>
    <xf numFmtId="166" fontId="46" fillId="3" borderId="16" xfId="0" applyNumberFormat="1" applyFont="1" applyFill="1" applyBorder="1" applyAlignment="1">
      <alignment vertical="center"/>
    </xf>
    <xf numFmtId="166" fontId="45" fillId="6" borderId="20" xfId="0" applyNumberFormat="1" applyFont="1" applyFill="1" applyBorder="1" applyAlignment="1">
      <alignment vertical="center"/>
    </xf>
    <xf numFmtId="166" fontId="45" fillId="6" borderId="74" xfId="0" applyNumberFormat="1" applyFont="1" applyFill="1" applyBorder="1" applyAlignment="1">
      <alignment vertical="center"/>
    </xf>
    <xf numFmtId="166" fontId="45" fillId="6" borderId="16" xfId="0" applyNumberFormat="1" applyFont="1" applyFill="1" applyBorder="1" applyAlignment="1">
      <alignment vertical="center"/>
    </xf>
    <xf numFmtId="166" fontId="45" fillId="6" borderId="15" xfId="0" applyNumberFormat="1" applyFont="1" applyFill="1" applyBorder="1" applyAlignment="1">
      <alignment vertical="center"/>
    </xf>
    <xf numFmtId="166" fontId="45" fillId="6" borderId="105" xfId="0" applyNumberFormat="1" applyFont="1" applyFill="1" applyBorder="1" applyAlignment="1">
      <alignment vertical="center"/>
    </xf>
    <xf numFmtId="166" fontId="45" fillId="6" borderId="3" xfId="0" applyNumberFormat="1" applyFont="1" applyFill="1" applyBorder="1" applyAlignment="1">
      <alignment vertical="center"/>
    </xf>
    <xf numFmtId="166" fontId="45" fillId="6" borderId="118" xfId="0" applyNumberFormat="1" applyFont="1" applyFill="1" applyBorder="1" applyAlignment="1">
      <alignment vertical="center"/>
    </xf>
    <xf numFmtId="0" fontId="51" fillId="6" borderId="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3" fontId="38" fillId="3" borderId="16" xfId="0" applyNumberFormat="1" applyFont="1" applyFill="1" applyBorder="1" applyAlignment="1">
      <alignment vertical="center"/>
    </xf>
    <xf numFmtId="4" fontId="3" fillId="3" borderId="18" xfId="0" applyNumberFormat="1" applyFont="1" applyFill="1" applyBorder="1" applyAlignment="1">
      <alignment vertical="center"/>
    </xf>
    <xf numFmtId="0" fontId="38" fillId="6" borderId="69" xfId="0" applyFont="1" applyFill="1" applyBorder="1" applyAlignment="1">
      <alignment vertical="center"/>
    </xf>
    <xf numFmtId="4" fontId="38" fillId="6" borderId="69" xfId="0" applyNumberFormat="1" applyFont="1" applyFill="1" applyBorder="1" applyAlignment="1">
      <alignment vertical="center"/>
    </xf>
    <xf numFmtId="4" fontId="38" fillId="6" borderId="2" xfId="0" applyNumberFormat="1" applyFont="1" applyFill="1" applyBorder="1" applyAlignment="1">
      <alignment vertical="center"/>
    </xf>
    <xf numFmtId="3" fontId="38" fillId="3" borderId="2" xfId="0" applyNumberFormat="1" applyFont="1" applyFill="1" applyBorder="1" applyAlignment="1">
      <alignment vertical="center"/>
    </xf>
    <xf numFmtId="4" fontId="3" fillId="3" borderId="69" xfId="0" applyNumberFormat="1" applyFont="1" applyFill="1" applyBorder="1" applyAlignment="1">
      <alignment vertical="center"/>
    </xf>
    <xf numFmtId="3" fontId="38" fillId="3" borderId="31" xfId="0" applyNumberFormat="1" applyFont="1" applyFill="1" applyBorder="1" applyAlignment="1">
      <alignment vertical="center"/>
    </xf>
    <xf numFmtId="4" fontId="3" fillId="3" borderId="74" xfId="0" applyNumberFormat="1" applyFont="1" applyFill="1" applyBorder="1" applyAlignment="1">
      <alignment vertical="center"/>
    </xf>
    <xf numFmtId="4" fontId="45" fillId="6" borderId="72" xfId="0" applyNumberFormat="1" applyFont="1" applyFill="1" applyBorder="1" applyAlignment="1">
      <alignment vertical="center"/>
    </xf>
    <xf numFmtId="4" fontId="37" fillId="0" borderId="15" xfId="0" applyNumberFormat="1" applyFont="1" applyBorder="1" applyAlignment="1">
      <alignment vertical="center"/>
    </xf>
    <xf numFmtId="4" fontId="37" fillId="3" borderId="18" xfId="0" applyNumberFormat="1" applyFont="1" applyFill="1" applyBorder="1" applyAlignment="1">
      <alignment vertical="center"/>
    </xf>
    <xf numFmtId="2" fontId="37" fillId="3" borderId="122" xfId="0" applyNumberFormat="1" applyFont="1" applyFill="1" applyBorder="1" applyAlignment="1">
      <alignment horizontal="right" vertical="center"/>
    </xf>
    <xf numFmtId="4" fontId="45" fillId="6" borderId="21" xfId="0" applyNumberFormat="1" applyFont="1" applyFill="1" applyBorder="1" applyAlignment="1">
      <alignment vertical="center"/>
    </xf>
    <xf numFmtId="4" fontId="10" fillId="0" borderId="42" xfId="3" applyNumberFormat="1" applyFont="1" applyBorder="1" applyAlignment="1">
      <alignment horizontal="right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46" fillId="3" borderId="1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horizontal="center" vertical="center"/>
    </xf>
    <xf numFmtId="0" fontId="45" fillId="6" borderId="31" xfId="0" applyFont="1" applyFill="1" applyBorder="1" applyAlignment="1">
      <alignment vertical="center"/>
    </xf>
    <xf numFmtId="0" fontId="45" fillId="6" borderId="2" xfId="0" applyFont="1" applyFill="1" applyBorder="1" applyAlignment="1">
      <alignment vertical="center"/>
    </xf>
    <xf numFmtId="166" fontId="45" fillId="0" borderId="2" xfId="0" applyNumberFormat="1" applyFont="1" applyBorder="1" applyAlignment="1">
      <alignment vertical="center"/>
    </xf>
    <xf numFmtId="0" fontId="45" fillId="6" borderId="1" xfId="0" applyFont="1" applyFill="1" applyBorder="1" applyAlignment="1">
      <alignment vertical="center"/>
    </xf>
    <xf numFmtId="166" fontId="45" fillId="0" borderId="74" xfId="0" applyNumberFormat="1" applyFont="1" applyBorder="1" applyAlignment="1">
      <alignment vertical="center"/>
    </xf>
    <xf numFmtId="167" fontId="45" fillId="6" borderId="74" xfId="0" applyNumberFormat="1" applyFont="1" applyFill="1" applyBorder="1" applyAlignment="1">
      <alignment vertical="center"/>
    </xf>
    <xf numFmtId="3" fontId="45" fillId="6" borderId="74" xfId="0" applyNumberFormat="1" applyFont="1" applyFill="1" applyBorder="1" applyAlignment="1">
      <alignment vertical="center"/>
    </xf>
    <xf numFmtId="3" fontId="45" fillId="0" borderId="2" xfId="0" applyNumberFormat="1" applyFont="1" applyBorder="1" applyAlignment="1">
      <alignment vertical="center"/>
    </xf>
    <xf numFmtId="3" fontId="45" fillId="6" borderId="1" xfId="0" applyNumberFormat="1" applyFont="1" applyFill="1" applyBorder="1" applyAlignment="1">
      <alignment vertical="center"/>
    </xf>
    <xf numFmtId="3" fontId="45" fillId="0" borderId="74" xfId="0" applyNumberFormat="1" applyFont="1" applyBorder="1" applyAlignment="1">
      <alignment vertical="center"/>
    </xf>
    <xf numFmtId="2" fontId="45" fillId="6" borderId="74" xfId="0" applyNumberFormat="1" applyFont="1" applyFill="1" applyBorder="1" applyAlignment="1">
      <alignment vertical="center"/>
    </xf>
    <xf numFmtId="0" fontId="45" fillId="6" borderId="74" xfId="0" applyFont="1" applyFill="1" applyBorder="1" applyAlignment="1">
      <alignment vertical="center"/>
    </xf>
    <xf numFmtId="4" fontId="45" fillId="6" borderId="74" xfId="0" applyNumberFormat="1" applyFont="1" applyFill="1" applyBorder="1" applyAlignment="1">
      <alignment vertical="center"/>
    </xf>
    <xf numFmtId="4" fontId="45" fillId="0" borderId="2" xfId="0" applyNumberFormat="1" applyFont="1" applyBorder="1" applyAlignment="1">
      <alignment vertical="center"/>
    </xf>
    <xf numFmtId="4" fontId="45" fillId="0" borderId="74" xfId="0" applyNumberFormat="1" applyFont="1" applyBorder="1" applyAlignment="1">
      <alignment vertical="center"/>
    </xf>
    <xf numFmtId="0" fontId="45" fillId="6" borderId="69" xfId="0" applyFont="1" applyFill="1" applyBorder="1" applyAlignment="1">
      <alignment horizontal="center" vertical="center"/>
    </xf>
    <xf numFmtId="3" fontId="38" fillId="0" borderId="30" xfId="0" applyNumberFormat="1" applyFont="1" applyBorder="1" applyAlignment="1">
      <alignment vertical="center"/>
    </xf>
    <xf numFmtId="3" fontId="38" fillId="3" borderId="13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0" fontId="46" fillId="3" borderId="120" xfId="0" applyFont="1" applyFill="1" applyBorder="1" applyAlignment="1">
      <alignment horizontal="center" vertical="center"/>
    </xf>
    <xf numFmtId="3" fontId="38" fillId="6" borderId="120" xfId="0" applyNumberFormat="1" applyFont="1" applyFill="1" applyBorder="1" applyAlignment="1">
      <alignment vertical="center"/>
    </xf>
    <xf numFmtId="3" fontId="38" fillId="6" borderId="121" xfId="0" applyNumberFormat="1" applyFont="1" applyFill="1" applyBorder="1" applyAlignment="1">
      <alignment vertical="center"/>
    </xf>
    <xf numFmtId="3" fontId="45" fillId="0" borderId="69" xfId="0" applyNumberFormat="1" applyFont="1" applyBorder="1" applyAlignment="1">
      <alignment vertical="center"/>
    </xf>
    <xf numFmtId="3" fontId="46" fillId="6" borderId="2" xfId="0" applyNumberFormat="1" applyFont="1" applyFill="1" applyBorder="1" applyAlignment="1">
      <alignment vertical="center"/>
    </xf>
    <xf numFmtId="4" fontId="46" fillId="6" borderId="69" xfId="0" applyNumberFormat="1" applyFont="1" applyFill="1" applyBorder="1" applyAlignment="1">
      <alignment vertical="center"/>
    </xf>
    <xf numFmtId="4" fontId="46" fillId="6" borderId="74" xfId="0" applyNumberFormat="1" applyFont="1" applyFill="1" applyBorder="1" applyAlignment="1">
      <alignment vertical="center"/>
    </xf>
    <xf numFmtId="4" fontId="46" fillId="6" borderId="2" xfId="0" applyNumberFormat="1" applyFont="1" applyFill="1" applyBorder="1" applyAlignment="1">
      <alignment vertical="center"/>
    </xf>
    <xf numFmtId="4" fontId="37" fillId="3" borderId="15" xfId="0" applyNumberFormat="1" applyFont="1" applyFill="1" applyBorder="1" applyAlignment="1">
      <alignment vertical="center"/>
    </xf>
    <xf numFmtId="2" fontId="45" fillId="6" borderId="19" xfId="0" applyNumberFormat="1" applyFont="1" applyFill="1" applyBorder="1" applyAlignment="1">
      <alignment horizontal="right" vertical="center"/>
    </xf>
    <xf numFmtId="2" fontId="45" fillId="6" borderId="31" xfId="0" applyNumberFormat="1" applyFont="1" applyFill="1" applyBorder="1" applyAlignment="1">
      <alignment horizontal="right" vertical="center"/>
    </xf>
    <xf numFmtId="2" fontId="45" fillId="6" borderId="27" xfId="0" applyNumberFormat="1" applyFont="1" applyFill="1" applyBorder="1" applyAlignment="1">
      <alignment horizontal="right" vertical="center"/>
    </xf>
    <xf numFmtId="2" fontId="45" fillId="6" borderId="29" xfId="0" applyNumberFormat="1" applyFont="1" applyFill="1" applyBorder="1" applyAlignment="1">
      <alignment horizontal="right" vertical="center"/>
    </xf>
    <xf numFmtId="2" fontId="45" fillId="6" borderId="21" xfId="0" applyNumberFormat="1" applyFont="1" applyFill="1" applyBorder="1" applyAlignment="1">
      <alignment horizontal="right" vertical="center"/>
    </xf>
    <xf numFmtId="2" fontId="45" fillId="6" borderId="23" xfId="0" applyNumberFormat="1" applyFont="1" applyFill="1" applyBorder="1" applyAlignment="1">
      <alignment horizontal="right" vertical="center"/>
    </xf>
    <xf numFmtId="2" fontId="45" fillId="6" borderId="18" xfId="0" applyNumberFormat="1" applyFont="1" applyFill="1" applyBorder="1" applyAlignment="1">
      <alignment horizontal="right" vertical="center"/>
    </xf>
    <xf numFmtId="0" fontId="38" fillId="0" borderId="3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4" fontId="38" fillId="0" borderId="32" xfId="0" applyNumberFormat="1" applyFont="1" applyBorder="1" applyAlignment="1">
      <alignment vertical="center"/>
    </xf>
    <xf numFmtId="0" fontId="38" fillId="0" borderId="24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3" fontId="38" fillId="0" borderId="32" xfId="0" applyNumberFormat="1" applyFont="1" applyBorder="1" applyAlignment="1">
      <alignment vertical="center"/>
    </xf>
    <xf numFmtId="0" fontId="38" fillId="0" borderId="33" xfId="0" applyFont="1" applyBorder="1" applyAlignment="1">
      <alignment horizontal="left" vertical="center"/>
    </xf>
    <xf numFmtId="0" fontId="38" fillId="0" borderId="34" xfId="0" applyFont="1" applyBorder="1" applyAlignment="1">
      <alignment horizontal="left" vertical="center"/>
    </xf>
    <xf numFmtId="3" fontId="38" fillId="0" borderId="35" xfId="0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15" xfId="0" applyFont="1" applyBorder="1" applyAlignment="1">
      <alignment vertical="center"/>
    </xf>
    <xf numFmtId="4" fontId="38" fillId="0" borderId="88" xfId="0" applyNumberFormat="1" applyFont="1" applyBorder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0" fontId="38" fillId="0" borderId="17" xfId="0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center"/>
    </xf>
    <xf numFmtId="0" fontId="38" fillId="0" borderId="17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3" fontId="38" fillId="0" borderId="0" xfId="0" applyNumberFormat="1" applyFont="1" applyAlignment="1">
      <alignment horizontal="center"/>
    </xf>
    <xf numFmtId="0" fontId="3" fillId="0" borderId="17" xfId="0" applyFont="1" applyBorder="1" applyAlignment="1">
      <alignment horizontal="justify" vertical="center" wrapText="1"/>
    </xf>
    <xf numFmtId="3" fontId="3" fillId="0" borderId="0" xfId="0" applyNumberFormat="1" applyFont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7" xfId="0" applyFont="1" applyBorder="1" applyAlignment="1">
      <alignment vertical="center"/>
    </xf>
    <xf numFmtId="0" fontId="38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justify" vertical="center" wrapText="1"/>
    </xf>
    <xf numFmtId="0" fontId="38" fillId="3" borderId="2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justify" vertical="center"/>
    </xf>
    <xf numFmtId="0" fontId="38" fillId="0" borderId="25" xfId="0" applyFont="1" applyBorder="1" applyAlignment="1">
      <alignment vertical="center"/>
    </xf>
    <xf numFmtId="3" fontId="38" fillId="0" borderId="25" xfId="0" applyNumberFormat="1" applyFont="1" applyBorder="1" applyAlignment="1">
      <alignment horizontal="center" vertical="center" wrapText="1"/>
    </xf>
    <xf numFmtId="3" fontId="38" fillId="0" borderId="26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vertical="center" wrapText="1"/>
    </xf>
    <xf numFmtId="0" fontId="38" fillId="0" borderId="9" xfId="0" applyFont="1" applyBorder="1" applyAlignment="1">
      <alignment vertical="center" wrapText="1"/>
    </xf>
    <xf numFmtId="3" fontId="38" fillId="0" borderId="0" xfId="0" applyNumberFormat="1" applyFont="1" applyAlignment="1">
      <alignment horizontal="center" vertical="center" wrapText="1"/>
    </xf>
    <xf numFmtId="0" fontId="38" fillId="0" borderId="22" xfId="0" applyFont="1" applyBorder="1" applyAlignment="1">
      <alignment horizontal="justify" vertical="center" wrapText="1"/>
    </xf>
    <xf numFmtId="0" fontId="38" fillId="0" borderId="9" xfId="0" applyFont="1" applyBorder="1" applyAlignment="1">
      <alignment horizontal="justify" vertical="center" wrapText="1"/>
    </xf>
    <xf numFmtId="0" fontId="3" fillId="0" borderId="22" xfId="0" applyFont="1" applyBorder="1" applyAlignment="1">
      <alignment vertical="center"/>
    </xf>
    <xf numFmtId="10" fontId="38" fillId="0" borderId="0" xfId="0" applyNumberFormat="1" applyFont="1" applyAlignment="1">
      <alignment horizontal="left" vertical="center"/>
    </xf>
    <xf numFmtId="0" fontId="38" fillId="0" borderId="27" xfId="0" applyFont="1" applyBorder="1" applyAlignment="1">
      <alignment vertical="center"/>
    </xf>
    <xf numFmtId="0" fontId="38" fillId="0" borderId="28" xfId="0" applyFont="1" applyBorder="1" applyAlignment="1">
      <alignment vertical="center"/>
    </xf>
    <xf numFmtId="0" fontId="3" fillId="3" borderId="22" xfId="0" applyFont="1" applyFill="1" applyBorder="1" applyAlignment="1">
      <alignment horizontal="left" vertical="center"/>
    </xf>
    <xf numFmtId="0" fontId="38" fillId="3" borderId="0" xfId="0" applyFont="1" applyFill="1" applyAlignment="1">
      <alignment horizontal="left" vertical="center"/>
    </xf>
    <xf numFmtId="0" fontId="38" fillId="3" borderId="0" xfId="0" applyFont="1" applyFill="1" applyAlignment="1">
      <alignment horizontal="center" vertical="center"/>
    </xf>
    <xf numFmtId="0" fontId="3" fillId="3" borderId="29" xfId="0" applyFont="1" applyFill="1" applyBorder="1" applyAlignment="1">
      <alignment vertical="center"/>
    </xf>
    <xf numFmtId="0" fontId="38" fillId="3" borderId="30" xfId="0" applyFont="1" applyFill="1" applyBorder="1" applyAlignment="1">
      <alignment vertical="center"/>
    </xf>
    <xf numFmtId="3" fontId="38" fillId="0" borderId="0" xfId="0" applyNumberFormat="1" applyFont="1" applyAlignment="1">
      <alignment vertical="center"/>
    </xf>
    <xf numFmtId="0" fontId="3" fillId="3" borderId="2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3" fontId="0" fillId="0" borderId="98" xfId="0" applyNumberFormat="1" applyBorder="1"/>
    <xf numFmtId="166" fontId="0" fillId="3" borderId="21" xfId="0" applyNumberFormat="1" applyFill="1" applyBorder="1"/>
    <xf numFmtId="166" fontId="9" fillId="3" borderId="143" xfId="0" applyNumberFormat="1" applyFont="1" applyFill="1" applyBorder="1"/>
    <xf numFmtId="166" fontId="9" fillId="3" borderId="147" xfId="0" applyNumberFormat="1" applyFont="1" applyFill="1" applyBorder="1"/>
    <xf numFmtId="0" fontId="12" fillId="3" borderId="148" xfId="0" applyFont="1" applyFill="1" applyBorder="1" applyAlignment="1">
      <alignment horizontal="center"/>
    </xf>
    <xf numFmtId="0" fontId="12" fillId="3" borderId="134" xfId="0" applyFont="1" applyFill="1" applyBorder="1" applyAlignment="1">
      <alignment horizontal="center"/>
    </xf>
    <xf numFmtId="0" fontId="0" fillId="0" borderId="134" xfId="0" applyBorder="1"/>
    <xf numFmtId="166" fontId="0" fillId="0" borderId="134" xfId="0" applyNumberFormat="1" applyBorder="1"/>
    <xf numFmtId="0" fontId="12" fillId="3" borderId="137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68" xfId="0" applyFill="1" applyBorder="1"/>
    <xf numFmtId="0" fontId="0" fillId="3" borderId="74" xfId="0" applyFill="1" applyBorder="1"/>
    <xf numFmtId="166" fontId="9" fillId="3" borderId="31" xfId="0" applyNumberFormat="1" applyFont="1" applyFill="1" applyBorder="1"/>
    <xf numFmtId="166" fontId="9" fillId="3" borderId="149" xfId="0" applyNumberFormat="1" applyFont="1" applyFill="1" applyBorder="1"/>
    <xf numFmtId="0" fontId="0" fillId="0" borderId="32" xfId="0" applyBorder="1"/>
    <xf numFmtId="0" fontId="0" fillId="0" borderId="68" xfId="0" applyBorder="1"/>
    <xf numFmtId="166" fontId="0" fillId="0" borderId="74" xfId="0" applyNumberFormat="1" applyBorder="1"/>
    <xf numFmtId="166" fontId="0" fillId="0" borderId="2" xfId="0" applyNumberFormat="1" applyBorder="1"/>
    <xf numFmtId="166" fontId="0" fillId="0" borderId="149" xfId="0" applyNumberFormat="1" applyBorder="1"/>
    <xf numFmtId="166" fontId="0" fillId="3" borderId="74" xfId="0" applyNumberFormat="1" applyFill="1" applyBorder="1"/>
    <xf numFmtId="0" fontId="0" fillId="0" borderId="31" xfId="0" applyBorder="1"/>
    <xf numFmtId="0" fontId="0" fillId="3" borderId="104" xfId="0" applyFill="1" applyBorder="1"/>
    <xf numFmtId="0" fontId="0" fillId="3" borderId="85" xfId="0" applyFill="1" applyBorder="1"/>
    <xf numFmtId="166" fontId="9" fillId="6" borderId="99" xfId="0" applyNumberFormat="1" applyFont="1" applyFill="1" applyBorder="1"/>
    <xf numFmtId="166" fontId="9" fillId="6" borderId="23" xfId="0" applyNumberFormat="1" applyFont="1" applyFill="1" applyBorder="1"/>
    <xf numFmtId="3" fontId="9" fillId="6" borderId="23" xfId="0" applyNumberFormat="1" applyFont="1" applyFill="1" applyBorder="1"/>
    <xf numFmtId="166" fontId="9" fillId="3" borderId="74" xfId="0" applyNumberFormat="1" applyFont="1" applyFill="1" applyBorder="1"/>
    <xf numFmtId="0" fontId="9" fillId="0" borderId="132" xfId="0" applyFont="1" applyBorder="1"/>
    <xf numFmtId="0" fontId="0" fillId="0" borderId="141" xfId="0" applyBorder="1"/>
    <xf numFmtId="166" fontId="9" fillId="3" borderId="141" xfId="0" applyNumberFormat="1" applyFont="1" applyFill="1" applyBorder="1"/>
    <xf numFmtId="166" fontId="0" fillId="0" borderId="31" xfId="0" applyNumberFormat="1" applyBorder="1"/>
    <xf numFmtId="2" fontId="0" fillId="0" borderId="69" xfId="0" applyNumberFormat="1" applyBorder="1"/>
    <xf numFmtId="0" fontId="0" fillId="0" borderId="2" xfId="0" applyBorder="1"/>
    <xf numFmtId="0" fontId="9" fillId="3" borderId="2" xfId="0" applyFont="1" applyFill="1" applyBorder="1"/>
    <xf numFmtId="0" fontId="0" fillId="0" borderId="13" xfId="0" applyBorder="1"/>
    <xf numFmtId="0" fontId="0" fillId="0" borderId="115" xfId="0" applyBorder="1"/>
    <xf numFmtId="0" fontId="0" fillId="0" borderId="15" xfId="0" applyBorder="1"/>
    <xf numFmtId="166" fontId="9" fillId="3" borderId="15" xfId="0" applyNumberFormat="1" applyFont="1" applyFill="1" applyBorder="1"/>
    <xf numFmtId="2" fontId="9" fillId="3" borderId="74" xfId="0" applyNumberFormat="1" applyFont="1" applyFill="1" applyBorder="1"/>
    <xf numFmtId="4" fontId="6" fillId="3" borderId="71" xfId="3" applyNumberFormat="1" applyFont="1" applyFill="1" applyBorder="1" applyAlignment="1">
      <alignment horizontal="right" wrapText="1"/>
    </xf>
    <xf numFmtId="0" fontId="1" fillId="0" borderId="31" xfId="0" applyFont="1" applyBorder="1"/>
    <xf numFmtId="2" fontId="5" fillId="3" borderId="71" xfId="0" applyNumberFormat="1" applyFont="1" applyFill="1" applyBorder="1" applyAlignment="1">
      <alignment horizontal="right"/>
    </xf>
    <xf numFmtId="4" fontId="13" fillId="0" borderId="42" xfId="3" applyNumberFormat="1" applyFont="1" applyBorder="1" applyAlignment="1">
      <alignment horizontal="right" wrapText="1"/>
    </xf>
    <xf numFmtId="0" fontId="5" fillId="3" borderId="31" xfId="0" applyFont="1" applyFill="1" applyBorder="1"/>
    <xf numFmtId="167" fontId="9" fillId="3" borderId="42" xfId="0" applyNumberFormat="1" applyFont="1" applyFill="1" applyBorder="1"/>
    <xf numFmtId="166" fontId="8" fillId="3" borderId="3" xfId="0" applyNumberFormat="1" applyFont="1" applyFill="1" applyBorder="1"/>
    <xf numFmtId="166" fontId="8" fillId="3" borderId="32" xfId="0" applyNumberFormat="1" applyFont="1" applyFill="1" applyBorder="1"/>
    <xf numFmtId="3" fontId="8" fillId="3" borderId="3" xfId="0" applyNumberFormat="1" applyFont="1" applyFill="1" applyBorder="1"/>
    <xf numFmtId="0" fontId="8" fillId="0" borderId="3" xfId="0" applyFont="1" applyBorder="1" applyAlignment="1">
      <alignment horizontal="center"/>
    </xf>
    <xf numFmtId="166" fontId="8" fillId="3" borderId="3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7" xfId="0" applyFont="1" applyBorder="1"/>
    <xf numFmtId="4" fontId="8" fillId="0" borderId="42" xfId="0" applyNumberFormat="1" applyFont="1" applyBorder="1" applyAlignment="1">
      <alignment horizontal="right" wrapText="1"/>
    </xf>
    <xf numFmtId="4" fontId="5" fillId="0" borderId="42" xfId="3" applyNumberFormat="1" applyFont="1" applyBorder="1" applyAlignment="1">
      <alignment horizontal="right" wrapText="1"/>
    </xf>
    <xf numFmtId="0" fontId="8" fillId="0" borderId="4" xfId="0" applyFont="1" applyBorder="1" applyAlignment="1">
      <alignment horizontal="center"/>
    </xf>
    <xf numFmtId="4" fontId="8" fillId="3" borderId="42" xfId="0" applyNumberFormat="1" applyFont="1" applyFill="1" applyBorder="1" applyAlignment="1">
      <alignment horizontal="right" wrapText="1"/>
    </xf>
    <xf numFmtId="167" fontId="8" fillId="0" borderId="42" xfId="0" applyNumberFormat="1" applyFont="1" applyBorder="1"/>
    <xf numFmtId="4" fontId="10" fillId="0" borderId="42" xfId="0" applyNumberFormat="1" applyFont="1" applyBorder="1" applyAlignment="1">
      <alignment horizontal="right" wrapText="1"/>
    </xf>
    <xf numFmtId="3" fontId="5" fillId="0" borderId="3" xfId="0" applyNumberFormat="1" applyFont="1" applyBorder="1"/>
    <xf numFmtId="0" fontId="5" fillId="3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5" fillId="3" borderId="71" xfId="0" applyFont="1" applyFill="1" applyBorder="1" applyAlignment="1">
      <alignment horizontal="right"/>
    </xf>
    <xf numFmtId="166" fontId="5" fillId="3" borderId="42" xfId="0" applyNumberFormat="1" applyFont="1" applyFill="1" applyBorder="1"/>
    <xf numFmtId="167" fontId="5" fillId="3" borderId="71" xfId="0" applyNumberFormat="1" applyFont="1" applyFill="1" applyBorder="1" applyAlignment="1">
      <alignment horizontal="right"/>
    </xf>
    <xf numFmtId="4" fontId="14" fillId="0" borderId="42" xfId="0" applyNumberFormat="1" applyFont="1" applyBorder="1" applyAlignment="1">
      <alignment vertical="center"/>
    </xf>
    <xf numFmtId="167" fontId="5" fillId="0" borderId="0" xfId="0" applyNumberFormat="1" applyFont="1" applyAlignment="1">
      <alignment horizontal="center"/>
    </xf>
    <xf numFmtId="167" fontId="5" fillId="0" borderId="0" xfId="0" applyNumberFormat="1" applyFont="1"/>
    <xf numFmtId="4" fontId="10" fillId="0" borderId="42" xfId="0" applyNumberFormat="1" applyFont="1" applyBorder="1"/>
    <xf numFmtId="4" fontId="5" fillId="3" borderId="83" xfId="0" applyNumberFormat="1" applyFont="1" applyFill="1" applyBorder="1" applyAlignment="1">
      <alignment horizontal="right"/>
    </xf>
    <xf numFmtId="3" fontId="5" fillId="3" borderId="83" xfId="0" applyNumberFormat="1" applyFont="1" applyFill="1" applyBorder="1"/>
    <xf numFmtId="4" fontId="1" fillId="0" borderId="2" xfId="0" applyNumberFormat="1" applyFont="1" applyBorder="1" applyAlignment="1">
      <alignment horizontal="right"/>
    </xf>
    <xf numFmtId="4" fontId="9" fillId="3" borderId="118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vertical="center"/>
    </xf>
    <xf numFmtId="166" fontId="8" fillId="0" borderId="7" xfId="0" applyNumberFormat="1" applyFont="1" applyBorder="1" applyAlignment="1">
      <alignment vertical="center"/>
    </xf>
    <xf numFmtId="4" fontId="1" fillId="0" borderId="42" xfId="0" applyNumberFormat="1" applyFont="1" applyBorder="1" applyAlignment="1">
      <alignment horizontal="right"/>
    </xf>
    <xf numFmtId="4" fontId="1" fillId="3" borderId="42" xfId="0" applyNumberFormat="1" applyFont="1" applyFill="1" applyBorder="1" applyAlignment="1">
      <alignment horizontal="right"/>
    </xf>
    <xf numFmtId="4" fontId="9" fillId="3" borderId="71" xfId="0" applyNumberFormat="1" applyFont="1" applyFill="1" applyBorder="1" applyAlignment="1">
      <alignment horizontal="center"/>
    </xf>
    <xf numFmtId="4" fontId="12" fillId="3" borderId="83" xfId="0" applyNumberFormat="1" applyFont="1" applyFill="1" applyBorder="1"/>
    <xf numFmtId="4" fontId="9" fillId="3" borderId="83" xfId="0" applyNumberFormat="1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3" fontId="9" fillId="3" borderId="43" xfId="0" applyNumberFormat="1" applyFont="1" applyFill="1" applyBorder="1" applyAlignment="1">
      <alignment horizontal="center"/>
    </xf>
    <xf numFmtId="4" fontId="8" fillId="0" borderId="6" xfId="0" applyNumberFormat="1" applyFont="1" applyBorder="1"/>
    <xf numFmtId="169" fontId="9" fillId="3" borderId="4" xfId="0" applyNumberFormat="1" applyFont="1" applyFill="1" applyBorder="1"/>
    <xf numFmtId="168" fontId="9" fillId="3" borderId="42" xfId="0" applyNumberFormat="1" applyFont="1" applyFill="1" applyBorder="1"/>
    <xf numFmtId="166" fontId="8" fillId="0" borderId="6" xfId="0" applyNumberFormat="1" applyFont="1" applyBorder="1"/>
    <xf numFmtId="3" fontId="39" fillId="6" borderId="42" xfId="0" applyNumberFormat="1" applyFont="1" applyFill="1" applyBorder="1" applyAlignment="1">
      <alignment horizontal="center"/>
    </xf>
    <xf numFmtId="3" fontId="41" fillId="0" borderId="71" xfId="0" applyNumberFormat="1" applyFont="1" applyBorder="1" applyAlignment="1">
      <alignment vertical="center"/>
    </xf>
    <xf numFmtId="4" fontId="41" fillId="0" borderId="42" xfId="0" applyNumberFormat="1" applyFont="1" applyBorder="1" applyAlignment="1">
      <alignment vertical="center"/>
    </xf>
    <xf numFmtId="3" fontId="9" fillId="0" borderId="42" xfId="0" applyNumberFormat="1" applyFont="1" applyBorder="1"/>
    <xf numFmtId="3" fontId="9" fillId="0" borderId="32" xfId="0" applyNumberFormat="1" applyFont="1" applyBorder="1"/>
    <xf numFmtId="2" fontId="9" fillId="3" borderId="4" xfId="0" applyNumberFormat="1" applyFont="1" applyFill="1" applyBorder="1"/>
    <xf numFmtId="167" fontId="8" fillId="0" borderId="7" xfId="0" applyNumberFormat="1" applyFont="1" applyBorder="1"/>
    <xf numFmtId="167" fontId="8" fillId="0" borderId="6" xfId="0" applyNumberFormat="1" applyFont="1" applyBorder="1"/>
    <xf numFmtId="167" fontId="1" fillId="0" borderId="150" xfId="0" applyNumberFormat="1" applyFont="1" applyBorder="1"/>
    <xf numFmtId="166" fontId="8" fillId="0" borderId="49" xfId="0" applyNumberFormat="1" applyFont="1" applyBorder="1"/>
    <xf numFmtId="4" fontId="8" fillId="0" borderId="49" xfId="0" applyNumberFormat="1" applyFont="1" applyBorder="1"/>
    <xf numFmtId="3" fontId="9" fillId="3" borderId="88" xfId="0" applyNumberFormat="1" applyFont="1" applyFill="1" applyBorder="1" applyAlignment="1">
      <alignment horizontal="center"/>
    </xf>
    <xf numFmtId="167" fontId="0" fillId="0" borderId="4" xfId="0" applyNumberFormat="1" applyBorder="1"/>
    <xf numFmtId="167" fontId="0" fillId="0" borderId="42" xfId="0" applyNumberFormat="1" applyBorder="1"/>
    <xf numFmtId="168" fontId="8" fillId="0" borderId="0" xfId="0" applyNumberFormat="1" applyFont="1"/>
    <xf numFmtId="166" fontId="1" fillId="0" borderId="150" xfId="0" applyNumberFormat="1" applyFont="1" applyBorder="1"/>
    <xf numFmtId="166" fontId="8" fillId="0" borderId="44" xfId="0" applyNumberFormat="1" applyFont="1" applyBorder="1"/>
    <xf numFmtId="166" fontId="8" fillId="0" borderId="42" xfId="0" applyNumberFormat="1" applyFont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27" xfId="0" applyFont="1" applyBorder="1"/>
    <xf numFmtId="0" fontId="0" fillId="0" borderId="69" xfId="0" applyBorder="1" applyAlignment="1">
      <alignment horizontal="center"/>
    </xf>
    <xf numFmtId="3" fontId="9" fillId="3" borderId="141" xfId="0" applyNumberFormat="1" applyFont="1" applyFill="1" applyBorder="1"/>
    <xf numFmtId="0" fontId="0" fillId="0" borderId="17" xfId="0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3" fontId="0" fillId="0" borderId="99" xfId="0" applyNumberFormat="1" applyBorder="1"/>
    <xf numFmtId="166" fontId="0" fillId="0" borderId="69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6" fontId="9" fillId="3" borderId="8" xfId="0" applyNumberFormat="1" applyFont="1" applyFill="1" applyBorder="1" applyAlignment="1">
      <alignment horizontal="center"/>
    </xf>
    <xf numFmtId="3" fontId="0" fillId="3" borderId="8" xfId="0" applyNumberFormat="1" applyFill="1" applyBorder="1"/>
    <xf numFmtId="3" fontId="9" fillId="3" borderId="142" xfId="0" applyNumberFormat="1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/>
    <xf numFmtId="3" fontId="0" fillId="0" borderId="142" xfId="0" applyNumberFormat="1" applyBorder="1"/>
    <xf numFmtId="0" fontId="9" fillId="3" borderId="151" xfId="0" applyFont="1" applyFill="1" applyBorder="1"/>
    <xf numFmtId="0" fontId="0" fillId="3" borderId="115" xfId="0" applyFill="1" applyBorder="1" applyAlignment="1">
      <alignment horizontal="center"/>
    </xf>
    <xf numFmtId="3" fontId="0" fillId="3" borderId="115" xfId="0" applyNumberFormat="1" applyFill="1" applyBorder="1"/>
    <xf numFmtId="3" fontId="9" fillId="3" borderId="138" xfId="0" applyNumberFormat="1" applyFont="1" applyFill="1" applyBorder="1"/>
    <xf numFmtId="0" fontId="13" fillId="0" borderId="152" xfId="0" applyFont="1" applyBorder="1"/>
    <xf numFmtId="0" fontId="0" fillId="0" borderId="152" xfId="0" applyBorder="1"/>
    <xf numFmtId="0" fontId="0" fillId="3" borderId="89" xfId="0" applyFill="1" applyBorder="1"/>
    <xf numFmtId="0" fontId="0" fillId="3" borderId="124" xfId="0" applyFill="1" applyBorder="1"/>
    <xf numFmtId="0" fontId="0" fillId="3" borderId="153" xfId="0" applyFill="1" applyBorder="1"/>
    <xf numFmtId="0" fontId="0" fillId="3" borderId="152" xfId="0" applyFill="1" applyBorder="1"/>
    <xf numFmtId="0" fontId="9" fillId="3" borderId="78" xfId="0" applyFont="1" applyFill="1" applyBorder="1" applyAlignment="1">
      <alignment horizontal="center"/>
    </xf>
    <xf numFmtId="0" fontId="0" fillId="3" borderId="81" xfId="0" applyFill="1" applyBorder="1"/>
    <xf numFmtId="0" fontId="0" fillId="3" borderId="18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131" xfId="0" applyFill="1" applyBorder="1"/>
    <xf numFmtId="3" fontId="0" fillId="0" borderId="31" xfId="0" applyNumberFormat="1" applyBorder="1" applyAlignment="1">
      <alignment horizontal="center"/>
    </xf>
    <xf numFmtId="3" fontId="0" fillId="0" borderId="141" xfId="0" applyNumberFormat="1" applyBorder="1"/>
    <xf numFmtId="9" fontId="0" fillId="0" borderId="17" xfId="0" applyNumberFormat="1" applyBorder="1" applyAlignment="1">
      <alignment horizontal="center"/>
    </xf>
    <xf numFmtId="0" fontId="0" fillId="0" borderId="125" xfId="0" applyBorder="1" applyAlignment="1">
      <alignment horizontal="left"/>
    </xf>
    <xf numFmtId="9" fontId="0" fillId="0" borderId="69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154" xfId="0" applyBorder="1"/>
    <xf numFmtId="0" fontId="0" fillId="0" borderId="67" xfId="0" applyBorder="1"/>
    <xf numFmtId="3" fontId="0" fillId="0" borderId="25" xfId="0" applyNumberFormat="1" applyBorder="1"/>
    <xf numFmtId="3" fontId="0" fillId="0" borderId="51" xfId="0" applyNumberFormat="1" applyBorder="1"/>
    <xf numFmtId="0" fontId="0" fillId="3" borderId="130" xfId="0" applyFill="1" applyBorder="1"/>
    <xf numFmtId="3" fontId="0" fillId="3" borderId="19" xfId="0" applyNumberFormat="1" applyFill="1" applyBorder="1"/>
    <xf numFmtId="3" fontId="0" fillId="3" borderId="142" xfId="0" applyNumberFormat="1" applyFill="1" applyBorder="1"/>
    <xf numFmtId="0" fontId="0" fillId="3" borderId="9" xfId="0" applyFill="1" applyBorder="1"/>
    <xf numFmtId="3" fontId="0" fillId="3" borderId="22" xfId="0" applyNumberFormat="1" applyFill="1" applyBorder="1"/>
    <xf numFmtId="3" fontId="0" fillId="3" borderId="0" xfId="0" applyNumberFormat="1" applyFill="1"/>
    <xf numFmtId="3" fontId="9" fillId="3" borderId="17" xfId="0" applyNumberFormat="1" applyFont="1" applyFill="1" applyBorder="1"/>
    <xf numFmtId="3" fontId="9" fillId="3" borderId="134" xfId="0" applyNumberFormat="1" applyFont="1" applyFill="1" applyBorder="1"/>
    <xf numFmtId="0" fontId="0" fillId="3" borderId="57" xfId="0" applyFill="1" applyBorder="1"/>
    <xf numFmtId="0" fontId="0" fillId="3" borderId="143" xfId="0" applyFill="1" applyBorder="1"/>
    <xf numFmtId="0" fontId="0" fillId="3" borderId="75" xfId="0" applyFill="1" applyBorder="1"/>
    <xf numFmtId="0" fontId="0" fillId="3" borderId="65" xfId="0" applyFill="1" applyBorder="1"/>
    <xf numFmtId="166" fontId="1" fillId="3" borderId="42" xfId="0" applyNumberFormat="1" applyFont="1" applyFill="1" applyBorder="1" applyAlignment="1">
      <alignment horizontal="right"/>
    </xf>
    <xf numFmtId="3" fontId="5" fillId="3" borderId="70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3" fontId="5" fillId="3" borderId="32" xfId="0" applyNumberFormat="1" applyFont="1" applyFill="1" applyBorder="1" applyAlignment="1">
      <alignment horizontal="right"/>
    </xf>
    <xf numFmtId="3" fontId="8" fillId="0" borderId="32" xfId="0" applyNumberFormat="1" applyFont="1" applyBorder="1" applyAlignment="1">
      <alignment horizontal="right"/>
    </xf>
    <xf numFmtId="3" fontId="5" fillId="3" borderId="35" xfId="3" applyNumberFormat="1" applyFont="1" applyFill="1" applyBorder="1" applyAlignment="1">
      <alignment horizontal="right"/>
    </xf>
    <xf numFmtId="4" fontId="5" fillId="3" borderId="49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right"/>
    </xf>
    <xf numFmtId="3" fontId="5" fillId="3" borderId="80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5" fillId="3" borderId="35" xfId="3" applyNumberFormat="1" applyFont="1" applyFill="1" applyBorder="1"/>
    <xf numFmtId="3" fontId="14" fillId="0" borderId="11" xfId="0" applyNumberFormat="1" applyFont="1" applyBorder="1" applyAlignment="1">
      <alignment vertical="center"/>
    </xf>
    <xf numFmtId="3" fontId="14" fillId="0" borderId="42" xfId="0" applyNumberFormat="1" applyFont="1" applyBorder="1" applyAlignment="1">
      <alignment vertical="center"/>
    </xf>
    <xf numFmtId="0" fontId="8" fillId="0" borderId="32" xfId="0" applyFont="1" applyBorder="1"/>
    <xf numFmtId="167" fontId="8" fillId="0" borderId="4" xfId="0" applyNumberFormat="1" applyFont="1" applyBorder="1"/>
    <xf numFmtId="0" fontId="8" fillId="0" borderId="90" xfId="0" applyFont="1" applyBorder="1"/>
    <xf numFmtId="166" fontId="8" fillId="0" borderId="42" xfId="0" applyNumberFormat="1" applyFont="1" applyBorder="1" applyAlignment="1">
      <alignment horizontal="right"/>
    </xf>
    <xf numFmtId="166" fontId="8" fillId="0" borderId="4" xfId="0" applyNumberFormat="1" applyFont="1" applyBorder="1" applyAlignment="1">
      <alignment horizontal="right"/>
    </xf>
    <xf numFmtId="3" fontId="8" fillId="0" borderId="44" xfId="0" applyNumberFormat="1" applyFont="1" applyBorder="1" applyAlignment="1">
      <alignment horizontal="right"/>
    </xf>
    <xf numFmtId="3" fontId="8" fillId="0" borderId="90" xfId="0" applyNumberFormat="1" applyFont="1" applyBorder="1" applyAlignment="1">
      <alignment horizontal="right"/>
    </xf>
    <xf numFmtId="4" fontId="8" fillId="0" borderId="42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0" fontId="8" fillId="0" borderId="150" xfId="0" applyFont="1" applyBorder="1"/>
    <xf numFmtId="166" fontId="8" fillId="0" borderId="150" xfId="0" applyNumberFormat="1" applyFont="1" applyBorder="1"/>
    <xf numFmtId="0" fontId="8" fillId="0" borderId="6" xfId="0" applyFont="1" applyBorder="1"/>
    <xf numFmtId="3" fontId="8" fillId="0" borderId="56" xfId="0" applyNumberFormat="1" applyFont="1" applyBorder="1"/>
    <xf numFmtId="3" fontId="9" fillId="3" borderId="31" xfId="0" applyNumberFormat="1" applyFont="1" applyFill="1" applyBorder="1"/>
    <xf numFmtId="4" fontId="8" fillId="0" borderId="3" xfId="0" applyNumberFormat="1" applyFont="1" applyBorder="1"/>
    <xf numFmtId="0" fontId="13" fillId="0" borderId="0" xfId="0" applyFont="1" applyAlignment="1">
      <alignment horizontal="left"/>
    </xf>
    <xf numFmtId="0" fontId="0" fillId="3" borderId="0" xfId="0" applyFill="1"/>
    <xf numFmtId="0" fontId="1" fillId="0" borderId="3" xfId="0" applyFont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9" fillId="3" borderId="60" xfId="0" applyFont="1" applyFill="1" applyBorder="1" applyAlignment="1">
      <alignment horizontal="center"/>
    </xf>
    <xf numFmtId="3" fontId="9" fillId="3" borderId="2" xfId="0" applyNumberFormat="1" applyFont="1" applyFill="1" applyBorder="1"/>
    <xf numFmtId="3" fontId="9" fillId="3" borderId="104" xfId="0" applyNumberFormat="1" applyFont="1" applyFill="1" applyBorder="1"/>
    <xf numFmtId="4" fontId="9" fillId="3" borderId="8" xfId="0" applyNumberFormat="1" applyFont="1" applyFill="1" applyBorder="1"/>
    <xf numFmtId="4" fontId="9" fillId="3" borderId="2" xfId="0" applyNumberFormat="1" applyFont="1" applyFill="1" applyBorder="1"/>
    <xf numFmtId="167" fontId="0" fillId="0" borderId="0" xfId="0" applyNumberFormat="1"/>
    <xf numFmtId="2" fontId="9" fillId="3" borderId="87" xfId="0" applyNumberFormat="1" applyFont="1" applyFill="1" applyBorder="1"/>
    <xf numFmtId="4" fontId="9" fillId="3" borderId="87" xfId="0" applyNumberFormat="1" applyFont="1" applyFill="1" applyBorder="1"/>
    <xf numFmtId="3" fontId="9" fillId="3" borderId="115" xfId="0" applyNumberFormat="1" applyFont="1" applyFill="1" applyBorder="1"/>
    <xf numFmtId="0" fontId="5" fillId="8" borderId="89" xfId="0" applyFont="1" applyFill="1" applyBorder="1"/>
    <xf numFmtId="0" fontId="0" fillId="8" borderId="156" xfId="0" applyFill="1" applyBorder="1"/>
    <xf numFmtId="0" fontId="0" fillId="8" borderId="9" xfId="0" applyFill="1" applyBorder="1"/>
    <xf numFmtId="0" fontId="0" fillId="3" borderId="99" xfId="0" applyFill="1" applyBorder="1"/>
    <xf numFmtId="0" fontId="0" fillId="0" borderId="5" xfId="0" applyBorder="1"/>
    <xf numFmtId="3" fontId="9" fillId="3" borderId="105" xfId="0" applyNumberFormat="1" applyFont="1" applyFill="1" applyBorder="1"/>
    <xf numFmtId="0" fontId="0" fillId="3" borderId="8" xfId="0" applyFill="1" applyBorder="1"/>
    <xf numFmtId="0" fontId="0" fillId="3" borderId="44" xfId="0" applyFill="1" applyBorder="1"/>
    <xf numFmtId="0" fontId="0" fillId="3" borderId="12" xfId="0" applyFill="1" applyBorder="1"/>
    <xf numFmtId="0" fontId="0" fillId="0" borderId="44" xfId="0" applyBorder="1"/>
    <xf numFmtId="0" fontId="0" fillId="3" borderId="101" xfId="0" applyFill="1" applyBorder="1"/>
    <xf numFmtId="0" fontId="9" fillId="3" borderId="130" xfId="0" applyFont="1" applyFill="1" applyBorder="1"/>
    <xf numFmtId="0" fontId="0" fillId="0" borderId="1" xfId="0" applyBorder="1"/>
    <xf numFmtId="0" fontId="0" fillId="3" borderId="1" xfId="0" applyFill="1" applyBorder="1"/>
    <xf numFmtId="0" fontId="0" fillId="3" borderId="2" xfId="0" applyFill="1" applyBorder="1"/>
    <xf numFmtId="0" fontId="0" fillId="6" borderId="75" xfId="0" applyFill="1" applyBorder="1"/>
    <xf numFmtId="0" fontId="0" fillId="3" borderId="141" xfId="0" applyFill="1" applyBorder="1"/>
    <xf numFmtId="0" fontId="0" fillId="3" borderId="157" xfId="0" applyFill="1" applyBorder="1"/>
    <xf numFmtId="0" fontId="9" fillId="3" borderId="25" xfId="0" applyFont="1" applyFill="1" applyBorder="1"/>
    <xf numFmtId="0" fontId="9" fillId="3" borderId="51" xfId="0" applyFont="1" applyFill="1" applyBorder="1"/>
    <xf numFmtId="0" fontId="0" fillId="0" borderId="3" xfId="0" applyBorder="1"/>
    <xf numFmtId="0" fontId="0" fillId="3" borderId="3" xfId="0" applyFill="1" applyBorder="1"/>
    <xf numFmtId="0" fontId="0" fillId="8" borderId="123" xfId="0" applyFill="1" applyBorder="1"/>
    <xf numFmtId="0" fontId="5" fillId="8" borderId="125" xfId="0" applyFont="1" applyFill="1" applyBorder="1"/>
    <xf numFmtId="0" fontId="5" fillId="8" borderId="125" xfId="0" applyFont="1" applyFill="1" applyBorder="1" applyAlignment="1">
      <alignment horizontal="center"/>
    </xf>
    <xf numFmtId="0" fontId="5" fillId="8" borderId="135" xfId="0" applyFont="1" applyFill="1" applyBorder="1"/>
    <xf numFmtId="0" fontId="5" fillId="3" borderId="125" xfId="0" applyFont="1" applyFill="1" applyBorder="1"/>
    <xf numFmtId="0" fontId="5" fillId="3" borderId="132" xfId="0" applyFont="1" applyFill="1" applyBorder="1"/>
    <xf numFmtId="0" fontId="0" fillId="3" borderId="51" xfId="0" applyFill="1" applyBorder="1"/>
    <xf numFmtId="0" fontId="0" fillId="3" borderId="4" xfId="0" applyFill="1" applyBorder="1"/>
    <xf numFmtId="17" fontId="36" fillId="3" borderId="4" xfId="0" applyNumberFormat="1" applyFont="1" applyFill="1" applyBorder="1" applyAlignment="1">
      <alignment horizontal="center"/>
    </xf>
    <xf numFmtId="0" fontId="36" fillId="3" borderId="4" xfId="0" applyFont="1" applyFill="1" applyBorder="1"/>
    <xf numFmtId="3" fontId="5" fillId="3" borderId="94" xfId="0" applyNumberFormat="1" applyFont="1" applyFill="1" applyBorder="1"/>
    <xf numFmtId="0" fontId="0" fillId="0" borderId="94" xfId="0" applyBorder="1"/>
    <xf numFmtId="0" fontId="0" fillId="0" borderId="92" xfId="0" applyBorder="1"/>
    <xf numFmtId="0" fontId="36" fillId="3" borderId="118" xfId="0" applyFont="1" applyFill="1" applyBorder="1" applyAlignment="1">
      <alignment horizontal="center"/>
    </xf>
    <xf numFmtId="0" fontId="0" fillId="0" borderId="24" xfId="0" applyBorder="1"/>
    <xf numFmtId="0" fontId="0" fillId="0" borderId="49" xfId="0" applyBorder="1"/>
    <xf numFmtId="0" fontId="5" fillId="4" borderId="45" xfId="0" applyFont="1" applyFill="1" applyBorder="1"/>
    <xf numFmtId="0" fontId="12" fillId="3" borderId="158" xfId="0" applyFont="1" applyFill="1" applyBorder="1" applyAlignment="1">
      <alignment horizontal="center"/>
    </xf>
    <xf numFmtId="3" fontId="9" fillId="3" borderId="159" xfId="0" applyNumberFormat="1" applyFont="1" applyFill="1" applyBorder="1"/>
    <xf numFmtId="3" fontId="1" fillId="0" borderId="94" xfId="0" applyNumberFormat="1" applyFont="1" applyBorder="1" applyAlignment="1">
      <alignment horizontal="right"/>
    </xf>
    <xf numFmtId="3" fontId="9" fillId="3" borderId="94" xfId="0" applyNumberFormat="1" applyFont="1" applyFill="1" applyBorder="1" applyAlignment="1">
      <alignment horizontal="right"/>
    </xf>
    <xf numFmtId="3" fontId="1" fillId="0" borderId="92" xfId="0" applyNumberFormat="1" applyFont="1" applyBorder="1" applyAlignment="1">
      <alignment horizontal="right"/>
    </xf>
    <xf numFmtId="3" fontId="5" fillId="3" borderId="102" xfId="0" applyNumberFormat="1" applyFont="1" applyFill="1" applyBorder="1" applyAlignment="1">
      <alignment horizontal="right"/>
    </xf>
    <xf numFmtId="0" fontId="5" fillId="4" borderId="89" xfId="0" applyFont="1" applyFill="1" applyBorder="1"/>
    <xf numFmtId="0" fontId="36" fillId="3" borderId="160" xfId="0" applyFont="1" applyFill="1" applyBorder="1" applyAlignment="1">
      <alignment horizontal="center"/>
    </xf>
    <xf numFmtId="3" fontId="9" fillId="3" borderId="84" xfId="0" applyNumberFormat="1" applyFont="1" applyFill="1" applyBorder="1"/>
    <xf numFmtId="0" fontId="36" fillId="3" borderId="158" xfId="0" applyFont="1" applyFill="1" applyBorder="1" applyAlignment="1">
      <alignment horizontal="center"/>
    </xf>
    <xf numFmtId="17" fontId="36" fillId="3" borderId="161" xfId="0" applyNumberFormat="1" applyFont="1" applyFill="1" applyBorder="1" applyAlignment="1">
      <alignment horizontal="center"/>
    </xf>
    <xf numFmtId="1" fontId="1" fillId="0" borderId="94" xfId="0" applyNumberFormat="1" applyFont="1" applyBorder="1"/>
    <xf numFmtId="1" fontId="9" fillId="3" borderId="94" xfId="0" applyNumberFormat="1" applyFont="1" applyFill="1" applyBorder="1"/>
    <xf numFmtId="1" fontId="9" fillId="3" borderId="94" xfId="0" applyNumberFormat="1" applyFont="1" applyFill="1" applyBorder="1" applyAlignment="1">
      <alignment horizontal="right"/>
    </xf>
    <xf numFmtId="3" fontId="1" fillId="0" borderId="161" xfId="0" applyNumberFormat="1" applyFont="1" applyBorder="1" applyAlignment="1">
      <alignment horizontal="right"/>
    </xf>
    <xf numFmtId="3" fontId="9" fillId="3" borderId="102" xfId="0" applyNumberFormat="1" applyFont="1" applyFill="1" applyBorder="1"/>
    <xf numFmtId="3" fontId="5" fillId="3" borderId="162" xfId="0" applyNumberFormat="1" applyFont="1" applyFill="1" applyBorder="1" applyAlignment="1">
      <alignment horizontal="right"/>
    </xf>
    <xf numFmtId="3" fontId="5" fillId="3" borderId="100" xfId="0" applyNumberFormat="1" applyFont="1" applyFill="1" applyBorder="1" applyAlignment="1">
      <alignment horizontal="right"/>
    </xf>
    <xf numFmtId="0" fontId="12" fillId="3" borderId="49" xfId="0" applyFont="1" applyFill="1" applyBorder="1" applyAlignment="1">
      <alignment horizontal="center"/>
    </xf>
    <xf numFmtId="17" fontId="12" fillId="3" borderId="4" xfId="0" applyNumberFormat="1" applyFont="1" applyFill="1" applyBorder="1" applyAlignment="1">
      <alignment horizontal="center"/>
    </xf>
    <xf numFmtId="3" fontId="1" fillId="0" borderId="4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6" fontId="0" fillId="3" borderId="163" xfId="0" applyNumberFormat="1" applyFill="1" applyBorder="1"/>
    <xf numFmtId="166" fontId="0" fillId="0" borderId="8" xfId="0" applyNumberFormat="1" applyBorder="1"/>
    <xf numFmtId="0" fontId="67" fillId="0" borderId="0" xfId="0" applyFont="1"/>
    <xf numFmtId="4" fontId="20" fillId="0" borderId="11" xfId="0" applyNumberFormat="1" applyFont="1" applyBorder="1" applyAlignment="1">
      <alignment horizontal="right" vertical="center"/>
    </xf>
    <xf numFmtId="4" fontId="20" fillId="0" borderId="42" xfId="0" applyNumberFormat="1" applyFont="1" applyBorder="1" applyAlignment="1">
      <alignment horizontal="right" vertical="center"/>
    </xf>
    <xf numFmtId="4" fontId="20" fillId="0" borderId="71" xfId="0" applyNumberFormat="1" applyFont="1" applyBorder="1" applyAlignment="1">
      <alignment horizontal="right" vertical="center"/>
    </xf>
    <xf numFmtId="166" fontId="14" fillId="0" borderId="29" xfId="0" applyNumberFormat="1" applyFont="1" applyBorder="1" applyAlignment="1">
      <alignment vertical="center"/>
    </xf>
    <xf numFmtId="3" fontId="14" fillId="0" borderId="71" xfId="0" applyNumberFormat="1" applyFont="1" applyBorder="1" applyAlignment="1">
      <alignment vertical="center"/>
    </xf>
    <xf numFmtId="166" fontId="14" fillId="0" borderId="41" xfId="0" applyNumberFormat="1" applyFont="1" applyBorder="1" applyAlignment="1">
      <alignment vertical="center"/>
    </xf>
    <xf numFmtId="166" fontId="9" fillId="3" borderId="13" xfId="0" applyNumberFormat="1" applyFont="1" applyFill="1" applyBorder="1"/>
    <xf numFmtId="166" fontId="0" fillId="0" borderId="21" xfId="0" applyNumberFormat="1" applyBorder="1"/>
    <xf numFmtId="166" fontId="0" fillId="0" borderId="115" xfId="0" applyNumberFormat="1" applyBorder="1"/>
    <xf numFmtId="4" fontId="46" fillId="3" borderId="14" xfId="0" applyNumberFormat="1" applyFont="1" applyFill="1" applyBorder="1" applyAlignment="1">
      <alignment vertical="center"/>
    </xf>
    <xf numFmtId="0" fontId="0" fillId="3" borderId="140" xfId="0" applyFill="1" applyBorder="1"/>
    <xf numFmtId="0" fontId="46" fillId="6" borderId="22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2" fillId="3" borderId="161" xfId="0" applyFont="1" applyFill="1" applyBorder="1" applyAlignment="1">
      <alignment horizontal="center"/>
    </xf>
    <xf numFmtId="166" fontId="45" fillId="6" borderId="9" xfId="0" applyNumberFormat="1" applyFont="1" applyFill="1" applyBorder="1" applyAlignment="1">
      <alignment vertical="center"/>
    </xf>
    <xf numFmtId="166" fontId="46" fillId="3" borderId="113" xfId="0" applyNumberFormat="1" applyFont="1" applyFill="1" applyBorder="1" applyAlignment="1">
      <alignment vertical="center"/>
    </xf>
    <xf numFmtId="3" fontId="9" fillId="3" borderId="111" xfId="0" applyNumberFormat="1" applyFont="1" applyFill="1" applyBorder="1"/>
    <xf numFmtId="166" fontId="3" fillId="0" borderId="0" xfId="0" applyNumberFormat="1" applyFont="1" applyAlignment="1">
      <alignment horizontal="center" vertical="center"/>
    </xf>
    <xf numFmtId="2" fontId="46" fillId="3" borderId="116" xfId="0" applyNumberFormat="1" applyFont="1" applyFill="1" applyBorder="1" applyAlignment="1">
      <alignment vertical="center"/>
    </xf>
    <xf numFmtId="2" fontId="46" fillId="3" borderId="32" xfId="0" applyNumberFormat="1" applyFont="1" applyFill="1" applyBorder="1" applyAlignment="1">
      <alignment vertical="center"/>
    </xf>
    <xf numFmtId="2" fontId="46" fillId="3" borderId="98" xfId="0" applyNumberFormat="1" applyFont="1" applyFill="1" applyBorder="1" applyAlignment="1">
      <alignment vertical="center"/>
    </xf>
    <xf numFmtId="4" fontId="0" fillId="6" borderId="0" xfId="0" applyNumberFormat="1" applyFill="1" applyAlignment="1">
      <alignment vertical="center"/>
    </xf>
    <xf numFmtId="4" fontId="9" fillId="3" borderId="18" xfId="0" applyNumberFormat="1" applyFont="1" applyFill="1" applyBorder="1"/>
    <xf numFmtId="2" fontId="46" fillId="3" borderId="74" xfId="0" applyNumberFormat="1" applyFont="1" applyFill="1" applyBorder="1" applyAlignment="1">
      <alignment vertical="center"/>
    </xf>
    <xf numFmtId="0" fontId="68" fillId="0" borderId="0" xfId="0" applyFont="1"/>
    <xf numFmtId="4" fontId="8" fillId="6" borderId="42" xfId="0" applyNumberFormat="1" applyFont="1" applyFill="1" applyBorder="1"/>
    <xf numFmtId="4" fontId="8" fillId="6" borderId="83" xfId="0" applyNumberFormat="1" applyFont="1" applyFill="1" applyBorder="1"/>
    <xf numFmtId="0" fontId="3" fillId="0" borderId="17" xfId="0" applyFont="1" applyBorder="1" applyAlignment="1">
      <alignment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3" fontId="8" fillId="0" borderId="22" xfId="0" applyNumberFormat="1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center"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/>
    </xf>
    <xf numFmtId="0" fontId="8" fillId="0" borderId="25" xfId="0" applyFont="1" applyBorder="1" applyAlignment="1">
      <alignment vertical="center"/>
    </xf>
    <xf numFmtId="9" fontId="8" fillId="0" borderId="0" xfId="0" applyNumberFormat="1" applyFont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vertical="center"/>
    </xf>
    <xf numFmtId="0" fontId="9" fillId="3" borderId="22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3" fontId="9" fillId="0" borderId="0" xfId="0" applyNumberFormat="1" applyFont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3" fontId="8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4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9" fillId="3" borderId="29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69" fillId="0" borderId="0" xfId="0" applyFont="1" applyAlignment="1">
      <alignment vertical="center"/>
    </xf>
    <xf numFmtId="0" fontId="21" fillId="6" borderId="9" xfId="0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horizontal="justify" vertical="center" wrapText="1"/>
    </xf>
    <xf numFmtId="0" fontId="69" fillId="0" borderId="0" xfId="0" applyFont="1" applyAlignment="1">
      <alignment horizontal="center"/>
    </xf>
    <xf numFmtId="0" fontId="69" fillId="0" borderId="17" xfId="0" applyFont="1" applyBorder="1"/>
    <xf numFmtId="0" fontId="9" fillId="3" borderId="22" xfId="0" applyFont="1" applyFill="1" applyBorder="1" applyAlignment="1">
      <alignment vertical="center" wrapText="1"/>
    </xf>
    <xf numFmtId="0" fontId="9" fillId="0" borderId="24" xfId="0" applyFont="1" applyBorder="1" applyAlignment="1">
      <alignment horizontal="justify" vertical="center"/>
    </xf>
    <xf numFmtId="0" fontId="8" fillId="0" borderId="0" xfId="0" applyFont="1" applyAlignment="1">
      <alignment vertical="center" wrapText="1"/>
    </xf>
    <xf numFmtId="0" fontId="21" fillId="0" borderId="22" xfId="0" applyFont="1" applyBorder="1" applyAlignment="1">
      <alignment vertical="center"/>
    </xf>
    <xf numFmtId="3" fontId="69" fillId="0" borderId="0" xfId="0" applyNumberFormat="1" applyFont="1" applyAlignment="1">
      <alignment vertical="center" wrapText="1"/>
    </xf>
    <xf numFmtId="0" fontId="69" fillId="0" borderId="0" xfId="0" applyFont="1"/>
    <xf numFmtId="0" fontId="12" fillId="3" borderId="70" xfId="0" applyFont="1" applyFill="1" applyBorder="1" applyAlignment="1">
      <alignment horizontal="center"/>
    </xf>
    <xf numFmtId="0" fontId="12" fillId="3" borderId="112" xfId="0" applyFont="1" applyFill="1" applyBorder="1" applyAlignment="1">
      <alignment horizontal="center"/>
    </xf>
    <xf numFmtId="0" fontId="12" fillId="3" borderId="71" xfId="0" applyFont="1" applyFill="1" applyBorder="1" applyAlignment="1">
      <alignment horizontal="center"/>
    </xf>
    <xf numFmtId="0" fontId="8" fillId="0" borderId="42" xfId="0" applyFont="1" applyBorder="1" applyAlignment="1">
      <alignment horizontal="right"/>
    </xf>
    <xf numFmtId="0" fontId="1" fillId="3" borderId="42" xfId="0" applyFont="1" applyFill="1" applyBorder="1" applyAlignment="1">
      <alignment horizontal="right"/>
    </xf>
    <xf numFmtId="4" fontId="38" fillId="0" borderId="7" xfId="0" applyNumberFormat="1" applyFont="1" applyBorder="1" applyAlignment="1">
      <alignment vertical="center"/>
    </xf>
    <xf numFmtId="3" fontId="0" fillId="6" borderId="0" xfId="0" applyNumberFormat="1" applyFill="1" applyAlignment="1">
      <alignment vertical="center"/>
    </xf>
    <xf numFmtId="3" fontId="9" fillId="3" borderId="157" xfId="0" applyNumberFormat="1" applyFont="1" applyFill="1" applyBorder="1"/>
    <xf numFmtId="3" fontId="0" fillId="0" borderId="1" xfId="0" applyNumberFormat="1" applyBorder="1"/>
    <xf numFmtId="0" fontId="38" fillId="6" borderId="72" xfId="0" applyFont="1" applyFill="1" applyBorder="1" applyAlignment="1">
      <alignment vertical="center"/>
    </xf>
    <xf numFmtId="4" fontId="0" fillId="6" borderId="0" xfId="0" applyNumberFormat="1" applyFill="1"/>
    <xf numFmtId="166" fontId="0" fillId="6" borderId="0" xfId="0" applyNumberFormat="1" applyFill="1" applyAlignment="1">
      <alignment vertical="center"/>
    </xf>
    <xf numFmtId="166" fontId="4" fillId="6" borderId="0" xfId="0" applyNumberFormat="1" applyFont="1" applyFill="1" applyAlignment="1">
      <alignment vertical="center"/>
    </xf>
    <xf numFmtId="166" fontId="15" fillId="0" borderId="0" xfId="0" applyNumberFormat="1" applyFont="1"/>
    <xf numFmtId="1" fontId="8" fillId="0" borderId="42" xfId="0" applyNumberFormat="1" applyFont="1" applyBorder="1"/>
    <xf numFmtId="0" fontId="0" fillId="8" borderId="89" xfId="0" applyFill="1" applyBorder="1"/>
    <xf numFmtId="0" fontId="1" fillId="0" borderId="5" xfId="0" applyFont="1" applyBorder="1" applyAlignment="1">
      <alignment horizontal="right"/>
    </xf>
    <xf numFmtId="0" fontId="1" fillId="0" borderId="92" xfId="0" applyFont="1" applyBorder="1" applyAlignment="1">
      <alignment horizontal="center"/>
    </xf>
    <xf numFmtId="1" fontId="5" fillId="3" borderId="104" xfId="0" applyNumberFormat="1" applyFont="1" applyFill="1" applyBorder="1"/>
    <xf numFmtId="4" fontId="5" fillId="3" borderId="162" xfId="0" applyNumberFormat="1" applyFont="1" applyFill="1" applyBorder="1"/>
    <xf numFmtId="0" fontId="5" fillId="3" borderId="100" xfId="0" applyFont="1" applyFill="1" applyBorder="1" applyAlignment="1">
      <alignment horizontal="center"/>
    </xf>
    <xf numFmtId="4" fontId="5" fillId="3" borderId="100" xfId="0" applyNumberFormat="1" applyFont="1" applyFill="1" applyBorder="1"/>
    <xf numFmtId="0" fontId="5" fillId="3" borderId="102" xfId="0" applyFont="1" applyFill="1" applyBorder="1" applyAlignment="1">
      <alignment horizontal="center"/>
    </xf>
    <xf numFmtId="166" fontId="14" fillId="0" borderId="31" xfId="0" applyNumberFormat="1" applyFont="1" applyBorder="1" applyAlignment="1">
      <alignment vertical="center"/>
    </xf>
    <xf numFmtId="166" fontId="14" fillId="0" borderId="3" xfId="0" applyNumberFormat="1" applyFont="1" applyBorder="1" applyAlignment="1">
      <alignment vertical="center"/>
    </xf>
    <xf numFmtId="4" fontId="38" fillId="6" borderId="38" xfId="0" applyNumberFormat="1" applyFont="1" applyFill="1" applyBorder="1" applyAlignment="1">
      <alignment vertical="center"/>
    </xf>
    <xf numFmtId="4" fontId="38" fillId="6" borderId="5" xfId="0" applyNumberFormat="1" applyFont="1" applyFill="1" applyBorder="1" applyAlignment="1">
      <alignment vertical="center"/>
    </xf>
    <xf numFmtId="4" fontId="38" fillId="6" borderId="90" xfId="0" applyNumberFormat="1" applyFont="1" applyFill="1" applyBorder="1" applyAlignment="1">
      <alignment vertical="center"/>
    </xf>
    <xf numFmtId="166" fontId="3" fillId="3" borderId="117" xfId="0" applyNumberFormat="1" applyFont="1" applyFill="1" applyBorder="1" applyAlignment="1">
      <alignment vertical="center"/>
    </xf>
    <xf numFmtId="166" fontId="3" fillId="3" borderId="119" xfId="0" applyNumberFormat="1" applyFont="1" applyFill="1" applyBorder="1" applyAlignment="1">
      <alignment vertical="center"/>
    </xf>
    <xf numFmtId="166" fontId="3" fillId="3" borderId="14" xfId="0" applyNumberFormat="1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9" fillId="3" borderId="36" xfId="0" applyFont="1" applyFill="1" applyBorder="1" applyAlignment="1">
      <alignment horizontal="center"/>
    </xf>
    <xf numFmtId="3" fontId="1" fillId="0" borderId="42" xfId="0" applyNumberFormat="1" applyFont="1" applyBorder="1" applyAlignment="1">
      <alignment vertical="center"/>
    </xf>
    <xf numFmtId="3" fontId="1" fillId="0" borderId="32" xfId="0" applyNumberFormat="1" applyFont="1" applyBorder="1" applyAlignment="1">
      <alignment vertical="center"/>
    </xf>
    <xf numFmtId="167" fontId="38" fillId="6" borderId="26" xfId="0" applyNumberFormat="1" applyFont="1" applyFill="1" applyBorder="1" applyAlignment="1">
      <alignment vertical="center"/>
    </xf>
    <xf numFmtId="4" fontId="38" fillId="6" borderId="26" xfId="0" applyNumberFormat="1" applyFont="1" applyFill="1" applyBorder="1" applyAlignment="1">
      <alignment vertical="center"/>
    </xf>
    <xf numFmtId="3" fontId="45" fillId="6" borderId="4" xfId="0" applyNumberFormat="1" applyFont="1" applyFill="1" applyBorder="1" applyAlignment="1">
      <alignment vertical="center"/>
    </xf>
    <xf numFmtId="3" fontId="45" fillId="6" borderId="7" xfId="0" applyNumberFormat="1" applyFont="1" applyFill="1" applyBorder="1" applyAlignment="1">
      <alignment vertical="center"/>
    </xf>
    <xf numFmtId="3" fontId="45" fillId="6" borderId="6" xfId="0" applyNumberFormat="1" applyFont="1" applyFill="1" applyBorder="1" applyAlignment="1">
      <alignment vertical="center"/>
    </xf>
    <xf numFmtId="0" fontId="45" fillId="6" borderId="4" xfId="0" applyFont="1" applyFill="1" applyBorder="1" applyAlignment="1">
      <alignment vertical="center"/>
    </xf>
    <xf numFmtId="167" fontId="45" fillId="6" borderId="56" xfId="0" applyNumberFormat="1" applyFont="1" applyFill="1" applyBorder="1" applyAlignment="1">
      <alignment vertical="center"/>
    </xf>
    <xf numFmtId="0" fontId="46" fillId="6" borderId="13" xfId="0" applyFont="1" applyFill="1" applyBorder="1" applyAlignment="1">
      <alignment vertical="center" wrapText="1"/>
    </xf>
    <xf numFmtId="166" fontId="46" fillId="3" borderId="2" xfId="0" applyNumberFormat="1" applyFont="1" applyFill="1" applyBorder="1" applyAlignment="1">
      <alignment vertical="center"/>
    </xf>
    <xf numFmtId="166" fontId="46" fillId="3" borderId="3" xfId="0" applyNumberFormat="1" applyFont="1" applyFill="1" applyBorder="1" applyAlignment="1">
      <alignment vertical="center"/>
    </xf>
    <xf numFmtId="0" fontId="9" fillId="3" borderId="39" xfId="0" applyFont="1" applyFill="1" applyBorder="1" applyAlignment="1">
      <alignment horizontal="center"/>
    </xf>
    <xf numFmtId="3" fontId="1" fillId="0" borderId="38" xfId="0" applyNumberFormat="1" applyFont="1" applyBorder="1"/>
    <xf numFmtId="3" fontId="5" fillId="3" borderId="162" xfId="0" applyNumberFormat="1" applyFont="1" applyFill="1" applyBorder="1"/>
    <xf numFmtId="166" fontId="0" fillId="0" borderId="68" xfId="0" applyNumberFormat="1" applyBorder="1"/>
    <xf numFmtId="166" fontId="0" fillId="0" borderId="38" xfId="0" applyNumberFormat="1" applyBorder="1"/>
    <xf numFmtId="4" fontId="45" fillId="6" borderId="2" xfId="0" applyNumberFormat="1" applyFont="1" applyFill="1" applyBorder="1" applyAlignment="1">
      <alignment vertical="center"/>
    </xf>
    <xf numFmtId="3" fontId="45" fillId="3" borderId="18" xfId="0" applyNumberFormat="1" applyFont="1" applyFill="1" applyBorder="1" applyAlignment="1">
      <alignment vertical="center"/>
    </xf>
    <xf numFmtId="4" fontId="45" fillId="3" borderId="120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4" fontId="45" fillId="3" borderId="14" xfId="0" applyNumberFormat="1" applyFont="1" applyFill="1" applyBorder="1" applyAlignment="1">
      <alignment vertical="center"/>
    </xf>
    <xf numFmtId="166" fontId="8" fillId="0" borderId="74" xfId="0" applyNumberFormat="1" applyFont="1" applyBorder="1" applyAlignment="1">
      <alignment vertical="center"/>
    </xf>
    <xf numFmtId="166" fontId="5" fillId="0" borderId="0" xfId="0" applyNumberFormat="1" applyFont="1" applyAlignment="1">
      <alignment horizontal="center"/>
    </xf>
    <xf numFmtId="4" fontId="5" fillId="3" borderId="49" xfId="0" applyNumberFormat="1" applyFont="1" applyFill="1" applyBorder="1"/>
    <xf numFmtId="4" fontId="0" fillId="0" borderId="21" xfId="0" applyNumberFormat="1" applyBorder="1"/>
    <xf numFmtId="4" fontId="0" fillId="0" borderId="72" xfId="0" applyNumberFormat="1" applyBorder="1"/>
    <xf numFmtId="0" fontId="9" fillId="3" borderId="21" xfId="0" applyFont="1" applyFill="1" applyBorder="1" applyAlignment="1">
      <alignment horizontal="center"/>
    </xf>
    <xf numFmtId="4" fontId="9" fillId="3" borderId="16" xfId="0" applyNumberFormat="1" applyFont="1" applyFill="1" applyBorder="1"/>
    <xf numFmtId="168" fontId="0" fillId="0" borderId="69" xfId="0" applyNumberFormat="1" applyBorder="1"/>
    <xf numFmtId="0" fontId="51" fillId="0" borderId="0" xfId="0" applyFont="1"/>
    <xf numFmtId="2" fontId="9" fillId="3" borderId="49" xfId="0" applyNumberFormat="1" applyFont="1" applyFill="1" applyBorder="1" applyAlignment="1">
      <alignment horizontal="right"/>
    </xf>
    <xf numFmtId="4" fontId="41" fillId="0" borderId="71" xfId="0" applyNumberFormat="1" applyFont="1" applyBorder="1" applyAlignment="1">
      <alignment vertical="center"/>
    </xf>
    <xf numFmtId="166" fontId="1" fillId="0" borderId="42" xfId="0" applyNumberFormat="1" applyFont="1" applyBorder="1" applyAlignment="1">
      <alignment vertical="center"/>
    </xf>
    <xf numFmtId="166" fontId="1" fillId="0" borderId="71" xfId="0" applyNumberFormat="1" applyFont="1" applyBorder="1" applyAlignment="1">
      <alignment vertical="center"/>
    </xf>
    <xf numFmtId="0" fontId="0" fillId="0" borderId="119" xfId="0" applyBorder="1"/>
    <xf numFmtId="0" fontId="0" fillId="14" borderId="93" xfId="0" applyFill="1" applyBorder="1"/>
    <xf numFmtId="3" fontId="1" fillId="14" borderId="42" xfId="0" applyNumberFormat="1" applyFont="1" applyFill="1" applyBorder="1"/>
    <xf numFmtId="2" fontId="38" fillId="6" borderId="0" xfId="0" applyNumberFormat="1" applyFont="1" applyFill="1" applyAlignment="1">
      <alignment vertical="center"/>
    </xf>
    <xf numFmtId="166" fontId="3" fillId="15" borderId="82" xfId="0" applyNumberFormat="1" applyFont="1" applyFill="1" applyBorder="1" applyAlignment="1">
      <alignment vertical="center"/>
    </xf>
    <xf numFmtId="166" fontId="3" fillId="15" borderId="43" xfId="0" applyNumberFormat="1" applyFont="1" applyFill="1" applyBorder="1" applyAlignment="1">
      <alignment vertical="center"/>
    </xf>
    <xf numFmtId="166" fontId="3" fillId="15" borderId="164" xfId="0" applyNumberFormat="1" applyFont="1" applyFill="1" applyBorder="1" applyAlignment="1">
      <alignment vertical="center"/>
    </xf>
    <xf numFmtId="166" fontId="3" fillId="15" borderId="115" xfId="0" applyNumberFormat="1" applyFont="1" applyFill="1" applyBorder="1" applyAlignment="1">
      <alignment vertical="center"/>
    </xf>
    <xf numFmtId="166" fontId="3" fillId="15" borderId="87" xfId="0" applyNumberFormat="1" applyFont="1" applyFill="1" applyBorder="1" applyAlignment="1">
      <alignment vertical="center"/>
    </xf>
    <xf numFmtId="14" fontId="13" fillId="10" borderId="83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13" fillId="3" borderId="71" xfId="3" applyNumberFormat="1" applyFont="1" applyFill="1" applyBorder="1" applyAlignment="1">
      <alignment horizontal="right" wrapText="1"/>
    </xf>
    <xf numFmtId="166" fontId="14" fillId="0" borderId="6" xfId="0" applyNumberFormat="1" applyFont="1" applyBorder="1" applyAlignment="1">
      <alignment vertical="center"/>
    </xf>
    <xf numFmtId="4" fontId="14" fillId="0" borderId="83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166" fontId="14" fillId="0" borderId="82" xfId="0" applyNumberFormat="1" applyFont="1" applyBorder="1" applyAlignment="1">
      <alignment vertical="center"/>
    </xf>
    <xf numFmtId="0" fontId="19" fillId="0" borderId="109" xfId="0" applyFont="1" applyBorder="1" applyAlignment="1">
      <alignment vertical="center"/>
    </xf>
    <xf numFmtId="166" fontId="14" fillId="0" borderId="111" xfId="0" applyNumberFormat="1" applyFont="1" applyBorder="1" applyAlignment="1">
      <alignment vertical="center"/>
    </xf>
    <xf numFmtId="4" fontId="14" fillId="0" borderId="111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166" fontId="14" fillId="0" borderId="165" xfId="0" applyNumberFormat="1" applyFont="1" applyBorder="1" applyAlignment="1">
      <alignment vertical="center"/>
    </xf>
    <xf numFmtId="166" fontId="14" fillId="0" borderId="109" xfId="0" applyNumberFormat="1" applyFont="1" applyBorder="1" applyAlignment="1">
      <alignment vertical="center"/>
    </xf>
    <xf numFmtId="173" fontId="38" fillId="0" borderId="0" xfId="0" applyNumberFormat="1" applyFont="1" applyAlignment="1">
      <alignment vertical="center"/>
    </xf>
    <xf numFmtId="173" fontId="38" fillId="0" borderId="32" xfId="0" applyNumberFormat="1" applyFont="1" applyBorder="1" applyAlignment="1">
      <alignment vertical="center"/>
    </xf>
    <xf numFmtId="0" fontId="9" fillId="3" borderId="44" xfId="0" applyFont="1" applyFill="1" applyBorder="1" applyAlignment="1">
      <alignment horizontal="center"/>
    </xf>
    <xf numFmtId="3" fontId="9" fillId="3" borderId="166" xfId="0" applyNumberFormat="1" applyFont="1" applyFill="1" applyBorder="1"/>
    <xf numFmtId="3" fontId="0" fillId="0" borderId="149" xfId="0" applyNumberFormat="1" applyBorder="1"/>
    <xf numFmtId="3" fontId="9" fillId="3" borderId="149" xfId="0" applyNumberFormat="1" applyFont="1" applyFill="1" applyBorder="1"/>
    <xf numFmtId="3" fontId="0" fillId="0" borderId="167" xfId="0" applyNumberFormat="1" applyBorder="1"/>
    <xf numFmtId="4" fontId="9" fillId="3" borderId="104" xfId="0" applyNumberFormat="1" applyFont="1" applyFill="1" applyBorder="1"/>
    <xf numFmtId="3" fontId="5" fillId="16" borderId="166" xfId="0" applyNumberFormat="1" applyFont="1" applyFill="1" applyBorder="1"/>
    <xf numFmtId="3" fontId="5" fillId="16" borderId="149" xfId="0" applyNumberFormat="1" applyFont="1" applyFill="1" applyBorder="1"/>
    <xf numFmtId="3" fontId="5" fillId="16" borderId="147" xfId="0" applyNumberFormat="1" applyFont="1" applyFill="1" applyBorder="1"/>
    <xf numFmtId="17" fontId="9" fillId="3" borderId="40" xfId="0" applyNumberFormat="1" applyFont="1" applyFill="1" applyBorder="1" applyAlignment="1">
      <alignment horizontal="center"/>
    </xf>
    <xf numFmtId="4" fontId="5" fillId="3" borderId="73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0" fillId="0" borderId="40" xfId="0" applyNumberFormat="1" applyBorder="1" applyAlignment="1">
      <alignment horizontal="right"/>
    </xf>
    <xf numFmtId="4" fontId="5" fillId="3" borderId="59" xfId="0" applyNumberFormat="1" applyFont="1" applyFill="1" applyBorder="1" applyAlignment="1">
      <alignment horizontal="right"/>
    </xf>
    <xf numFmtId="3" fontId="5" fillId="16" borderId="149" xfId="0" applyNumberFormat="1" applyFont="1" applyFill="1" applyBorder="1" applyAlignment="1">
      <alignment horizontal="right"/>
    </xf>
    <xf numFmtId="3" fontId="8" fillId="0" borderId="149" xfId="0" applyNumberFormat="1" applyFont="1" applyBorder="1" applyAlignment="1">
      <alignment horizontal="right"/>
    </xf>
    <xf numFmtId="3" fontId="9" fillId="16" borderId="149" xfId="0" applyNumberFormat="1" applyFont="1" applyFill="1" applyBorder="1" applyAlignment="1">
      <alignment horizontal="right"/>
    </xf>
    <xf numFmtId="3" fontId="0" fillId="0" borderId="149" xfId="0" applyNumberFormat="1" applyBorder="1" applyAlignment="1">
      <alignment horizontal="right"/>
    </xf>
    <xf numFmtId="3" fontId="5" fillId="16" borderId="147" xfId="0" applyNumberFormat="1" applyFont="1" applyFill="1" applyBorder="1" applyAlignment="1">
      <alignment horizontal="right"/>
    </xf>
    <xf numFmtId="171" fontId="0" fillId="0" borderId="72" xfId="0" applyNumberFormat="1" applyBorder="1"/>
    <xf numFmtId="0" fontId="8" fillId="0" borderId="69" xfId="0" applyFont="1" applyBorder="1"/>
    <xf numFmtId="0" fontId="32" fillId="0" borderId="9" xfId="0" applyFont="1" applyBorder="1" applyAlignment="1">
      <alignment vertical="center" wrapText="1"/>
    </xf>
    <xf numFmtId="0" fontId="32" fillId="0" borderId="27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3" fontId="8" fillId="0" borderId="42" xfId="0" applyNumberFormat="1" applyFont="1" applyBorder="1" applyAlignment="1">
      <alignment horizontal="right"/>
    </xf>
    <xf numFmtId="166" fontId="45" fillId="0" borderId="69" xfId="0" applyNumberFormat="1" applyFont="1" applyBorder="1" applyAlignment="1">
      <alignment vertical="center"/>
    </xf>
    <xf numFmtId="3" fontId="1" fillId="0" borderId="71" xfId="0" applyNumberFormat="1" applyFont="1" applyBorder="1"/>
    <xf numFmtId="1" fontId="1" fillId="0" borderId="74" xfId="0" applyNumberFormat="1" applyFont="1" applyBorder="1"/>
    <xf numFmtId="3" fontId="8" fillId="0" borderId="3" xfId="0" applyNumberFormat="1" applyFont="1" applyBorder="1" applyAlignment="1">
      <alignment horizontal="right"/>
    </xf>
    <xf numFmtId="3" fontId="41" fillId="0" borderId="42" xfId="0" applyNumberFormat="1" applyFont="1" applyBorder="1" applyAlignment="1">
      <alignment horizontal="right" vertical="center"/>
    </xf>
    <xf numFmtId="0" fontId="9" fillId="3" borderId="168" xfId="0" applyFont="1" applyFill="1" applyBorder="1"/>
    <xf numFmtId="0" fontId="5" fillId="4" borderId="126" xfId="0" applyFont="1" applyFill="1" applyBorder="1"/>
    <xf numFmtId="3" fontId="5" fillId="16" borderId="42" xfId="0" applyNumberFormat="1" applyFont="1" applyFill="1" applyBorder="1"/>
    <xf numFmtId="0" fontId="5" fillId="3" borderId="18" xfId="0" applyFont="1" applyFill="1" applyBorder="1" applyAlignment="1">
      <alignment horizontal="center"/>
    </xf>
    <xf numFmtId="2" fontId="3" fillId="3" borderId="114" xfId="0" applyNumberFormat="1" applyFont="1" applyFill="1" applyBorder="1" applyAlignment="1">
      <alignment vertical="center"/>
    </xf>
    <xf numFmtId="2" fontId="3" fillId="3" borderId="74" xfId="0" applyNumberFormat="1" applyFont="1" applyFill="1" applyBorder="1" applyAlignment="1">
      <alignment vertical="center"/>
    </xf>
    <xf numFmtId="2" fontId="3" fillId="3" borderId="35" xfId="0" applyNumberFormat="1" applyFont="1" applyFill="1" applyBorder="1" applyAlignment="1">
      <alignment vertical="center"/>
    </xf>
    <xf numFmtId="166" fontId="18" fillId="0" borderId="0" xfId="0" applyNumberFormat="1" applyFont="1" applyAlignment="1">
      <alignment horizontal="center"/>
    </xf>
    <xf numFmtId="0" fontId="5" fillId="3" borderId="84" xfId="0" applyFont="1" applyFill="1" applyBorder="1"/>
    <xf numFmtId="3" fontId="32" fillId="0" borderId="22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vertical="center" wrapText="1"/>
    </xf>
    <xf numFmtId="0" fontId="29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1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0" fontId="5" fillId="3" borderId="87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0" fillId="0" borderId="68" xfId="0" applyFont="1" applyBorder="1"/>
    <xf numFmtId="0" fontId="10" fillId="0" borderId="38" xfId="0" applyFont="1" applyBorder="1"/>
    <xf numFmtId="0" fontId="0" fillId="3" borderId="86" xfId="0" applyFill="1" applyBorder="1"/>
    <xf numFmtId="0" fontId="5" fillId="3" borderId="164" xfId="0" applyFont="1" applyFill="1" applyBorder="1" applyAlignment="1">
      <alignment horizontal="center"/>
    </xf>
    <xf numFmtId="3" fontId="10" fillId="0" borderId="74" xfId="0" applyNumberFormat="1" applyFont="1" applyBorder="1"/>
    <xf numFmtId="3" fontId="10" fillId="0" borderId="9" xfId="0" applyNumberFormat="1" applyFont="1" applyBorder="1"/>
    <xf numFmtId="2" fontId="6" fillId="3" borderId="38" xfId="0" applyNumberFormat="1" applyFont="1" applyFill="1" applyBorder="1"/>
    <xf numFmtId="3" fontId="6" fillId="3" borderId="9" xfId="0" applyNumberFormat="1" applyFont="1" applyFill="1" applyBorder="1"/>
    <xf numFmtId="2" fontId="6" fillId="3" borderId="68" xfId="0" applyNumberFormat="1" applyFont="1" applyFill="1" applyBorder="1"/>
    <xf numFmtId="3" fontId="6" fillId="3" borderId="74" xfId="0" applyNumberFormat="1" applyFont="1" applyFill="1" applyBorder="1"/>
    <xf numFmtId="2" fontId="6" fillId="3" borderId="162" xfId="0" applyNumberFormat="1" applyFont="1" applyFill="1" applyBorder="1"/>
    <xf numFmtId="3" fontId="6" fillId="3" borderId="85" xfId="0" applyNumberFormat="1" applyFont="1" applyFill="1" applyBorder="1"/>
    <xf numFmtId="0" fontId="5" fillId="3" borderId="138" xfId="0" applyFont="1" applyFill="1" applyBorder="1" applyAlignment="1">
      <alignment horizontal="center"/>
    </xf>
    <xf numFmtId="167" fontId="1" fillId="0" borderId="0" xfId="0" applyNumberFormat="1" applyFont="1"/>
    <xf numFmtId="2" fontId="1" fillId="0" borderId="0" xfId="0" applyNumberFormat="1" applyFont="1"/>
    <xf numFmtId="3" fontId="8" fillId="0" borderId="1" xfId="0" applyNumberFormat="1" applyFont="1" applyBorder="1"/>
    <xf numFmtId="174" fontId="1" fillId="0" borderId="0" xfId="2" applyNumberFormat="1" applyFont="1"/>
    <xf numFmtId="167" fontId="5" fillId="3" borderId="49" xfId="0" applyNumberFormat="1" applyFont="1" applyFill="1" applyBorder="1" applyAlignment="1">
      <alignment horizontal="right"/>
    </xf>
    <xf numFmtId="4" fontId="7" fillId="3" borderId="71" xfId="3" applyNumberFormat="1" applyFont="1" applyFill="1" applyBorder="1" applyAlignment="1">
      <alignment horizontal="right" wrapText="1"/>
    </xf>
    <xf numFmtId="3" fontId="8" fillId="0" borderId="56" xfId="0" applyNumberFormat="1" applyFont="1" applyBorder="1" applyAlignment="1">
      <alignment horizontal="right"/>
    </xf>
    <xf numFmtId="4" fontId="38" fillId="0" borderId="9" xfId="0" applyNumberFormat="1" applyFont="1" applyBorder="1"/>
    <xf numFmtId="4" fontId="38" fillId="0" borderId="74" xfId="0" applyNumberFormat="1" applyFont="1" applyBorder="1"/>
    <xf numFmtId="3" fontId="8" fillId="14" borderId="68" xfId="0" applyNumberFormat="1" applyFont="1" applyFill="1" applyBorder="1"/>
    <xf numFmtId="3" fontId="0" fillId="14" borderId="31" xfId="0" applyNumberFormat="1" applyFill="1" applyBorder="1"/>
    <xf numFmtId="0" fontId="0" fillId="0" borderId="29" xfId="0" applyBorder="1"/>
    <xf numFmtId="2" fontId="0" fillId="0" borderId="26" xfId="0" applyNumberFormat="1" applyBorder="1"/>
    <xf numFmtId="0" fontId="70" fillId="0" borderId="0" xfId="0" applyFont="1"/>
    <xf numFmtId="172" fontId="38" fillId="0" borderId="0" xfId="0" applyNumberFormat="1" applyFont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38" fillId="6" borderId="0" xfId="0" applyFont="1" applyFill="1"/>
    <xf numFmtId="0" fontId="6" fillId="6" borderId="30" xfId="0" applyFont="1" applyFill="1" applyBorder="1" applyAlignment="1">
      <alignment horizontal="right" vertical="center"/>
    </xf>
    <xf numFmtId="0" fontId="6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45" fillId="6" borderId="21" xfId="0" applyFont="1" applyFill="1" applyBorder="1"/>
    <xf numFmtId="3" fontId="45" fillId="6" borderId="21" xfId="0" applyNumberFormat="1" applyFont="1" applyFill="1" applyBorder="1"/>
    <xf numFmtId="0" fontId="5" fillId="6" borderId="0" xfId="0" applyFont="1" applyFill="1" applyAlignment="1">
      <alignment horizontal="right" vertical="center"/>
    </xf>
    <xf numFmtId="0" fontId="8" fillId="0" borderId="133" xfId="0" applyFont="1" applyBorder="1"/>
    <xf numFmtId="0" fontId="9" fillId="17" borderId="135" xfId="0" applyFont="1" applyFill="1" applyBorder="1"/>
    <xf numFmtId="0" fontId="9" fillId="17" borderId="125" xfId="0" applyFont="1" applyFill="1" applyBorder="1"/>
    <xf numFmtId="0" fontId="56" fillId="17" borderId="125" xfId="0" applyFont="1" applyFill="1" applyBorder="1"/>
    <xf numFmtId="4" fontId="5" fillId="14" borderId="0" xfId="0" applyNumberFormat="1" applyFont="1" applyFill="1"/>
    <xf numFmtId="4" fontId="5" fillId="0" borderId="0" xfId="0" applyNumberFormat="1" applyFont="1" applyAlignment="1">
      <alignment horizontal="left"/>
    </xf>
    <xf numFmtId="0" fontId="5" fillId="3" borderId="158" xfId="0" applyFont="1" applyFill="1" applyBorder="1"/>
    <xf numFmtId="0" fontId="1" fillId="3" borderId="94" xfId="0" applyFont="1" applyFill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5" fillId="3" borderId="180" xfId="0" applyFont="1" applyFill="1" applyBorder="1" applyAlignment="1">
      <alignment horizontal="center"/>
    </xf>
    <xf numFmtId="3" fontId="0" fillId="0" borderId="42" xfId="0" applyNumberFormat="1" applyBorder="1" applyAlignment="1">
      <alignment vertical="center"/>
    </xf>
    <xf numFmtId="4" fontId="6" fillId="16" borderId="71" xfId="3" applyNumberFormat="1" applyFont="1" applyFill="1" applyBorder="1" applyAlignment="1">
      <alignment horizontal="right" wrapText="1"/>
    </xf>
    <xf numFmtId="0" fontId="13" fillId="14" borderId="0" xfId="0" applyFont="1" applyFill="1" applyAlignment="1">
      <alignment horizontal="center"/>
    </xf>
    <xf numFmtId="0" fontId="1" fillId="6" borderId="0" xfId="0" applyFont="1" applyFill="1" applyAlignment="1">
      <alignment vertical="center"/>
    </xf>
    <xf numFmtId="4" fontId="1" fillId="14" borderId="0" xfId="0" applyNumberFormat="1" applyFont="1" applyFill="1"/>
    <xf numFmtId="0" fontId="1" fillId="14" borderId="0" xfId="0" applyFont="1" applyFill="1"/>
    <xf numFmtId="0" fontId="0" fillId="14" borderId="0" xfId="0" applyFill="1"/>
    <xf numFmtId="0" fontId="9" fillId="3" borderId="28" xfId="0" applyFont="1" applyFill="1" applyBorder="1" applyAlignment="1">
      <alignment horizontal="center"/>
    </xf>
    <xf numFmtId="166" fontId="47" fillId="0" borderId="0" xfId="0" applyNumberFormat="1" applyFont="1" applyAlignment="1">
      <alignment wrapText="1"/>
    </xf>
    <xf numFmtId="166" fontId="9" fillId="0" borderId="0" xfId="0" applyNumberFormat="1" applyFont="1" applyAlignment="1">
      <alignment wrapText="1"/>
    </xf>
    <xf numFmtId="3" fontId="5" fillId="3" borderId="101" xfId="0" applyNumberFormat="1" applyFont="1" applyFill="1" applyBorder="1"/>
    <xf numFmtId="0" fontId="5" fillId="16" borderId="158" xfId="0" applyFont="1" applyFill="1" applyBorder="1" applyAlignment="1">
      <alignment horizontal="center"/>
    </xf>
    <xf numFmtId="0" fontId="5" fillId="16" borderId="77" xfId="0" applyFont="1" applyFill="1" applyBorder="1" applyAlignment="1">
      <alignment horizontal="center"/>
    </xf>
    <xf numFmtId="0" fontId="5" fillId="16" borderId="92" xfId="0" applyFont="1" applyFill="1" applyBorder="1" applyAlignment="1">
      <alignment horizontal="center"/>
    </xf>
    <xf numFmtId="0" fontId="0" fillId="16" borderId="94" xfId="0" applyFill="1" applyBorder="1"/>
    <xf numFmtId="3" fontId="5" fillId="16" borderId="102" xfId="0" applyNumberFormat="1" applyFont="1" applyFill="1" applyBorder="1"/>
    <xf numFmtId="1" fontId="0" fillId="0" borderId="0" xfId="0" applyNumberFormat="1"/>
    <xf numFmtId="3" fontId="1" fillId="6" borderId="68" xfId="0" applyNumberFormat="1" applyFont="1" applyFill="1" applyBorder="1"/>
    <xf numFmtId="0" fontId="1" fillId="0" borderId="9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132" xfId="0" applyFont="1" applyBorder="1"/>
    <xf numFmtId="0" fontId="1" fillId="0" borderId="69" xfId="0" applyFont="1" applyBorder="1"/>
    <xf numFmtId="0" fontId="3" fillId="14" borderId="69" xfId="0" applyFont="1" applyFill="1" applyBorder="1" applyAlignment="1">
      <alignment vertical="center"/>
    </xf>
    <xf numFmtId="3" fontId="38" fillId="14" borderId="2" xfId="0" applyNumberFormat="1" applyFont="1" applyFill="1" applyBorder="1" applyAlignment="1">
      <alignment vertical="center"/>
    </xf>
    <xf numFmtId="4" fontId="3" fillId="14" borderId="69" xfId="0" applyNumberFormat="1" applyFont="1" applyFill="1" applyBorder="1" applyAlignment="1">
      <alignment vertical="center"/>
    </xf>
    <xf numFmtId="4" fontId="3" fillId="14" borderId="74" xfId="0" applyNumberFormat="1" applyFont="1" applyFill="1" applyBorder="1" applyAlignment="1">
      <alignment vertical="center"/>
    </xf>
    <xf numFmtId="4" fontId="3" fillId="14" borderId="2" xfId="0" applyNumberFormat="1" applyFont="1" applyFill="1" applyBorder="1" applyAlignment="1">
      <alignment vertical="center"/>
    </xf>
    <xf numFmtId="0" fontId="0" fillId="14" borderId="0" xfId="0" applyFill="1" applyAlignment="1">
      <alignment vertical="center"/>
    </xf>
    <xf numFmtId="3" fontId="1" fillId="0" borderId="3" xfId="0" applyNumberFormat="1" applyFont="1" applyBorder="1" applyAlignment="1">
      <alignment horizontal="right"/>
    </xf>
    <xf numFmtId="166" fontId="1" fillId="0" borderId="42" xfId="0" applyNumberFormat="1" applyFont="1" applyBorder="1" applyAlignment="1">
      <alignment horizontal="center"/>
    </xf>
    <xf numFmtId="3" fontId="8" fillId="3" borderId="42" xfId="0" applyNumberFormat="1" applyFont="1" applyFill="1" applyBorder="1" applyAlignment="1">
      <alignment horizontal="right"/>
    </xf>
    <xf numFmtId="3" fontId="41" fillId="0" borderId="71" xfId="0" applyNumberFormat="1" applyFont="1" applyBorder="1" applyAlignment="1">
      <alignment horizontal="right" vertical="center"/>
    </xf>
    <xf numFmtId="0" fontId="5" fillId="3" borderId="2" xfId="0" applyFont="1" applyFill="1" applyBorder="1"/>
    <xf numFmtId="0" fontId="0" fillId="0" borderId="28" xfId="0" applyBorder="1"/>
    <xf numFmtId="0" fontId="0" fillId="3" borderId="90" xfId="0" applyFill="1" applyBorder="1"/>
    <xf numFmtId="0" fontId="5" fillId="3" borderId="5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3" fillId="3" borderId="2" xfId="0" applyFont="1" applyFill="1" applyBorder="1"/>
    <xf numFmtId="0" fontId="5" fillId="3" borderId="3" xfId="0" applyFont="1" applyFill="1" applyBorder="1"/>
    <xf numFmtId="0" fontId="1" fillId="0" borderId="68" xfId="0" applyFont="1" applyBorder="1" applyAlignment="1">
      <alignment horizontal="center"/>
    </xf>
    <xf numFmtId="0" fontId="5" fillId="3" borderId="63" xfId="0" applyFont="1" applyFill="1" applyBorder="1" applyAlignment="1">
      <alignment horizontal="center"/>
    </xf>
    <xf numFmtId="0" fontId="0" fillId="14" borderId="132" xfId="0" applyFill="1" applyBorder="1"/>
    <xf numFmtId="0" fontId="9" fillId="3" borderId="159" xfId="0" applyFont="1" applyFill="1" applyBorder="1"/>
    <xf numFmtId="166" fontId="0" fillId="0" borderId="0" xfId="0" applyNumberFormat="1" applyAlignment="1">
      <alignment vertical="center"/>
    </xf>
    <xf numFmtId="0" fontId="1" fillId="0" borderId="125" xfId="0" applyFont="1" applyBorder="1"/>
    <xf numFmtId="0" fontId="1" fillId="0" borderId="17" xfId="0" applyFont="1" applyBorder="1" applyAlignment="1">
      <alignment horizontal="center"/>
    </xf>
    <xf numFmtId="0" fontId="7" fillId="5" borderId="91" xfId="0" applyFont="1" applyFill="1" applyBorder="1" applyAlignment="1">
      <alignment horizontal="center" vertical="center"/>
    </xf>
    <xf numFmtId="0" fontId="7" fillId="5" borderId="90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3" fontId="20" fillId="0" borderId="91" xfId="0" applyNumberFormat="1" applyFont="1" applyBorder="1" applyAlignment="1">
      <alignment horizontal="right" vertical="center"/>
    </xf>
    <xf numFmtId="3" fontId="20" fillId="0" borderId="32" xfId="0" applyNumberFormat="1" applyFont="1" applyBorder="1" applyAlignment="1">
      <alignment horizontal="right" vertical="center"/>
    </xf>
    <xf numFmtId="3" fontId="15" fillId="0" borderId="32" xfId="0" applyNumberFormat="1" applyFont="1" applyBorder="1" applyAlignment="1">
      <alignment horizontal="right" vertical="center"/>
    </xf>
    <xf numFmtId="3" fontId="20" fillId="0" borderId="98" xfId="0" applyNumberFormat="1" applyFont="1" applyBorder="1" applyAlignment="1">
      <alignment horizontal="right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83" xfId="0" applyFont="1" applyFill="1" applyBorder="1" applyAlignment="1">
      <alignment horizontal="center" vertical="center"/>
    </xf>
    <xf numFmtId="0" fontId="12" fillId="5" borderId="35" xfId="0" applyFont="1" applyFill="1" applyBorder="1" applyAlignment="1">
      <alignment horizontal="center" vertical="center"/>
    </xf>
    <xf numFmtId="166" fontId="38" fillId="0" borderId="6" xfId="0" applyNumberFormat="1" applyFont="1" applyBorder="1" applyAlignment="1">
      <alignment vertical="center"/>
    </xf>
    <xf numFmtId="166" fontId="38" fillId="0" borderId="36" xfId="0" applyNumberFormat="1" applyFont="1" applyBorder="1" applyAlignment="1">
      <alignment vertical="center"/>
    </xf>
    <xf numFmtId="166" fontId="38" fillId="0" borderId="83" xfId="0" applyNumberFormat="1" applyFont="1" applyBorder="1" applyAlignment="1">
      <alignment vertical="center"/>
    </xf>
    <xf numFmtId="166" fontId="38" fillId="0" borderId="118" xfId="0" applyNumberFormat="1" applyFont="1" applyBorder="1" applyAlignment="1">
      <alignment vertical="center"/>
    </xf>
    <xf numFmtId="4" fontId="38" fillId="0" borderId="118" xfId="0" applyNumberFormat="1" applyFont="1" applyBorder="1" applyAlignment="1">
      <alignment vertical="center"/>
    </xf>
    <xf numFmtId="166" fontId="8" fillId="0" borderId="118" xfId="0" applyNumberFormat="1" applyFont="1" applyBorder="1" applyAlignment="1">
      <alignment vertical="center"/>
    </xf>
    <xf numFmtId="3" fontId="38" fillId="0" borderId="118" xfId="0" applyNumberFormat="1" applyFont="1" applyBorder="1" applyAlignment="1">
      <alignment vertical="center"/>
    </xf>
    <xf numFmtId="166" fontId="38" fillId="0" borderId="98" xfId="0" applyNumberFormat="1" applyFont="1" applyBorder="1" applyAlignment="1">
      <alignment vertical="center"/>
    </xf>
    <xf numFmtId="0" fontId="39" fillId="6" borderId="9" xfId="0" applyFont="1" applyFill="1" applyBorder="1" applyAlignment="1">
      <alignment horizontal="center"/>
    </xf>
    <xf numFmtId="3" fontId="41" fillId="0" borderId="32" xfId="0" applyNumberFormat="1" applyFont="1" applyBorder="1" applyAlignment="1">
      <alignment vertical="center"/>
    </xf>
    <xf numFmtId="3" fontId="4" fillId="3" borderId="74" xfId="0" applyNumberFormat="1" applyFont="1" applyFill="1" applyBorder="1" applyAlignment="1">
      <alignment vertical="center"/>
    </xf>
    <xf numFmtId="3" fontId="39" fillId="6" borderId="74" xfId="0" applyNumberFormat="1" applyFont="1" applyFill="1" applyBorder="1" applyAlignment="1">
      <alignment horizontal="center"/>
    </xf>
    <xf numFmtId="3" fontId="41" fillId="0" borderId="32" xfId="0" applyNumberFormat="1" applyFont="1" applyBorder="1" applyAlignment="1">
      <alignment horizontal="right" vertical="center"/>
    </xf>
    <xf numFmtId="166" fontId="41" fillId="0" borderId="41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right" vertical="center"/>
    </xf>
    <xf numFmtId="166" fontId="41" fillId="0" borderId="8" xfId="0" applyNumberFormat="1" applyFont="1" applyBorder="1" applyAlignment="1">
      <alignment vertical="center"/>
    </xf>
    <xf numFmtId="4" fontId="8" fillId="0" borderId="0" xfId="0" applyNumberFormat="1" applyFont="1" applyAlignment="1">
      <alignment horizontal="center"/>
    </xf>
    <xf numFmtId="3" fontId="1" fillId="14" borderId="68" xfId="0" applyNumberFormat="1" applyFont="1" applyFill="1" applyBorder="1" applyAlignment="1">
      <alignment horizontal="right"/>
    </xf>
    <xf numFmtId="3" fontId="8" fillId="14" borderId="42" xfId="0" applyNumberFormat="1" applyFont="1" applyFill="1" applyBorder="1"/>
    <xf numFmtId="0" fontId="5" fillId="3" borderId="21" xfId="0" applyFont="1" applyFill="1" applyBorder="1" applyAlignment="1">
      <alignment horizontal="center"/>
    </xf>
    <xf numFmtId="2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0" fillId="18" borderId="0" xfId="0" applyFill="1"/>
    <xf numFmtId="3" fontId="0" fillId="18" borderId="0" xfId="0" applyNumberFormat="1" applyFill="1"/>
    <xf numFmtId="0" fontId="28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vertical="center"/>
    </xf>
    <xf numFmtId="0" fontId="28" fillId="0" borderId="42" xfId="0" applyFont="1" applyBorder="1"/>
    <xf numFmtId="3" fontId="28" fillId="0" borderId="42" xfId="0" applyNumberFormat="1" applyFont="1" applyBorder="1"/>
    <xf numFmtId="0" fontId="30" fillId="15" borderId="42" xfId="0" applyFont="1" applyFill="1" applyBorder="1" applyAlignment="1">
      <alignment vertical="center"/>
    </xf>
    <xf numFmtId="3" fontId="34" fillId="15" borderId="42" xfId="0" applyNumberFormat="1" applyFont="1" applyFill="1" applyBorder="1" applyAlignment="1">
      <alignment vertical="center"/>
    </xf>
    <xf numFmtId="166" fontId="8" fillId="3" borderId="1" xfId="0" applyNumberFormat="1" applyFont="1" applyFill="1" applyBorder="1"/>
    <xf numFmtId="3" fontId="8" fillId="3" borderId="1" xfId="0" applyNumberFormat="1" applyFont="1" applyFill="1" applyBorder="1"/>
    <xf numFmtId="3" fontId="5" fillId="0" borderId="1" xfId="0" applyNumberFormat="1" applyFont="1" applyBorder="1"/>
    <xf numFmtId="3" fontId="5" fillId="0" borderId="44" xfId="0" applyNumberFormat="1" applyFont="1" applyBorder="1"/>
    <xf numFmtId="3" fontId="5" fillId="3" borderId="70" xfId="0" applyNumberFormat="1" applyFont="1" applyFill="1" applyBorder="1"/>
    <xf numFmtId="0" fontId="8" fillId="0" borderId="68" xfId="0" applyFont="1" applyBorder="1" applyAlignment="1">
      <alignment horizontal="center"/>
    </xf>
    <xf numFmtId="166" fontId="8" fillId="3" borderId="68" xfId="0" applyNumberFormat="1" applyFont="1" applyFill="1" applyBorder="1" applyAlignment="1">
      <alignment horizontal="center"/>
    </xf>
    <xf numFmtId="0" fontId="8" fillId="3" borderId="68" xfId="0" applyFont="1" applyFill="1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26" fillId="14" borderId="68" xfId="0" applyFont="1" applyFill="1" applyBorder="1"/>
    <xf numFmtId="0" fontId="26" fillId="14" borderId="39" xfId="0" applyFont="1" applyFill="1" applyBorder="1"/>
    <xf numFmtId="0" fontId="8" fillId="14" borderId="68" xfId="0" applyFont="1" applyFill="1" applyBorder="1"/>
    <xf numFmtId="3" fontId="1" fillId="0" borderId="6" xfId="0" applyNumberFormat="1" applyFont="1" applyBorder="1" applyAlignment="1">
      <alignment horizontal="center"/>
    </xf>
    <xf numFmtId="4" fontId="0" fillId="14" borderId="68" xfId="0" applyNumberFormat="1" applyFill="1" applyBorder="1"/>
    <xf numFmtId="0" fontId="1" fillId="0" borderId="93" xfId="0" applyFont="1" applyBorder="1"/>
    <xf numFmtId="0" fontId="10" fillId="0" borderId="42" xfId="0" applyFont="1" applyBorder="1"/>
    <xf numFmtId="2" fontId="10" fillId="0" borderId="42" xfId="0" applyNumberFormat="1" applyFont="1" applyBorder="1"/>
    <xf numFmtId="0" fontId="6" fillId="0" borderId="42" xfId="0" applyFont="1" applyBorder="1"/>
    <xf numFmtId="2" fontId="6" fillId="0" borderId="42" xfId="0" applyNumberFormat="1" applyFont="1" applyBorder="1"/>
    <xf numFmtId="0" fontId="8" fillId="14" borderId="146" xfId="0" applyFont="1" applyFill="1" applyBorder="1"/>
    <xf numFmtId="3" fontId="0" fillId="19" borderId="0" xfId="0" applyNumberFormat="1" applyFill="1"/>
    <xf numFmtId="0" fontId="0" fillId="3" borderId="116" xfId="0" applyFill="1" applyBorder="1"/>
    <xf numFmtId="3" fontId="0" fillId="0" borderId="68" xfId="0" applyNumberFormat="1" applyBorder="1"/>
    <xf numFmtId="3" fontId="0" fillId="0" borderId="17" xfId="0" applyNumberForma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8" fillId="0" borderId="72" xfId="0" applyFont="1" applyBorder="1"/>
    <xf numFmtId="0" fontId="13" fillId="10" borderId="49" xfId="0" applyFont="1" applyFill="1" applyBorder="1" applyAlignment="1">
      <alignment horizontal="center"/>
    </xf>
    <xf numFmtId="4" fontId="73" fillId="3" borderId="14" xfId="0" applyNumberFormat="1" applyFont="1" applyFill="1" applyBorder="1" applyAlignment="1">
      <alignment vertical="center"/>
    </xf>
    <xf numFmtId="0" fontId="9" fillId="17" borderId="13" xfId="0" applyFont="1" applyFill="1" applyBorder="1"/>
    <xf numFmtId="0" fontId="9" fillId="17" borderId="15" xfId="0" applyFont="1" applyFill="1" applyBorder="1"/>
    <xf numFmtId="166" fontId="9" fillId="17" borderId="115" xfId="0" applyNumberFormat="1" applyFont="1" applyFill="1" applyBorder="1"/>
    <xf numFmtId="166" fontId="9" fillId="17" borderId="13" xfId="0" applyNumberFormat="1" applyFont="1" applyFill="1" applyBorder="1"/>
    <xf numFmtId="2" fontId="9" fillId="17" borderId="14" xfId="0" applyNumberFormat="1" applyFont="1" applyFill="1" applyBorder="1"/>
    <xf numFmtId="0" fontId="0" fillId="17" borderId="115" xfId="0" applyFill="1" applyBorder="1"/>
    <xf numFmtId="166" fontId="9" fillId="17" borderId="14" xfId="0" applyNumberFormat="1" applyFont="1" applyFill="1" applyBorder="1"/>
    <xf numFmtId="0" fontId="9" fillId="17" borderId="14" xfId="0" applyFont="1" applyFill="1" applyBorder="1"/>
    <xf numFmtId="0" fontId="9" fillId="17" borderId="115" xfId="0" applyFont="1" applyFill="1" applyBorder="1"/>
    <xf numFmtId="3" fontId="3" fillId="0" borderId="0" xfId="0" applyNumberFormat="1" applyFont="1" applyAlignment="1">
      <alignment horizontal="center" wrapText="1"/>
    </xf>
    <xf numFmtId="0" fontId="5" fillId="3" borderId="42" xfId="0" applyFont="1" applyFill="1" applyBorder="1"/>
    <xf numFmtId="166" fontId="5" fillId="16" borderId="42" xfId="0" applyNumberFormat="1" applyFont="1" applyFill="1" applyBorder="1"/>
    <xf numFmtId="166" fontId="0" fillId="0" borderId="42" xfId="0" applyNumberFormat="1" applyBorder="1"/>
    <xf numFmtId="0" fontId="6" fillId="3" borderId="42" xfId="0" applyFont="1" applyFill="1" applyBorder="1"/>
    <xf numFmtId="166" fontId="5" fillId="16" borderId="42" xfId="0" applyNumberFormat="1" applyFont="1" applyFill="1" applyBorder="1" applyAlignment="1">
      <alignment horizontal="right"/>
    </xf>
    <xf numFmtId="0" fontId="5" fillId="17" borderId="42" xfId="0" applyFont="1" applyFill="1" applyBorder="1"/>
    <xf numFmtId="0" fontId="5" fillId="16" borderId="42" xfId="0" applyFont="1" applyFill="1" applyBorder="1" applyAlignment="1">
      <alignment vertical="center"/>
    </xf>
    <xf numFmtId="0" fontId="13" fillId="10" borderId="4" xfId="0" applyFont="1" applyFill="1" applyBorder="1" applyAlignment="1">
      <alignment horizontal="center"/>
    </xf>
    <xf numFmtId="0" fontId="13" fillId="10" borderId="83" xfId="0" applyFont="1" applyFill="1" applyBorder="1" applyAlignment="1">
      <alignment horizontal="center"/>
    </xf>
    <xf numFmtId="0" fontId="76" fillId="0" borderId="0" xfId="0" applyFont="1"/>
    <xf numFmtId="0" fontId="74" fillId="0" borderId="0" xfId="0" applyFont="1"/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 wrapText="1"/>
    </xf>
    <xf numFmtId="0" fontId="75" fillId="0" borderId="0" xfId="0" applyFont="1"/>
    <xf numFmtId="0" fontId="75" fillId="0" borderId="0" xfId="0" applyFont="1" applyAlignment="1">
      <alignment horizontal="center"/>
    </xf>
    <xf numFmtId="0" fontId="1" fillId="0" borderId="0" xfId="0" applyFont="1" applyAlignment="1">
      <alignment horizontal="right" wrapText="1"/>
    </xf>
    <xf numFmtId="166" fontId="5" fillId="3" borderId="3" xfId="0" applyNumberFormat="1" applyFont="1" applyFill="1" applyBorder="1"/>
    <xf numFmtId="166" fontId="1" fillId="3" borderId="3" xfId="0" applyNumberFormat="1" applyFont="1" applyFill="1" applyBorder="1"/>
    <xf numFmtId="166" fontId="1" fillId="3" borderId="42" xfId="0" applyNumberFormat="1" applyFont="1" applyFill="1" applyBorder="1"/>
    <xf numFmtId="166" fontId="1" fillId="3" borderId="3" xfId="0" applyNumberFormat="1" applyFont="1" applyFill="1" applyBorder="1" applyAlignment="1">
      <alignment horizontal="center"/>
    </xf>
    <xf numFmtId="3" fontId="1" fillId="3" borderId="3" xfId="0" applyNumberFormat="1" applyFont="1" applyFill="1" applyBorder="1"/>
    <xf numFmtId="0" fontId="1" fillId="3" borderId="3" xfId="0" applyFont="1" applyFill="1" applyBorder="1" applyAlignment="1">
      <alignment horizontal="center"/>
    </xf>
    <xf numFmtId="166" fontId="1" fillId="3" borderId="32" xfId="0" applyNumberFormat="1" applyFont="1" applyFill="1" applyBorder="1"/>
    <xf numFmtId="3" fontId="1" fillId="3" borderId="32" xfId="0" applyNumberFormat="1" applyFont="1" applyFill="1" applyBorder="1"/>
    <xf numFmtId="4" fontId="8" fillId="14" borderId="42" xfId="0" applyNumberFormat="1" applyFont="1" applyFill="1" applyBorder="1"/>
    <xf numFmtId="4" fontId="8" fillId="14" borderId="7" xfId="0" applyNumberFormat="1" applyFont="1" applyFill="1" applyBorder="1"/>
    <xf numFmtId="4" fontId="8" fillId="14" borderId="4" xfId="0" applyNumberFormat="1" applyFont="1" applyFill="1" applyBorder="1"/>
    <xf numFmtId="4" fontId="8" fillId="14" borderId="6" xfId="0" applyNumberFormat="1" applyFont="1" applyFill="1" applyBorder="1"/>
    <xf numFmtId="166" fontId="8" fillId="14" borderId="42" xfId="0" applyNumberFormat="1" applyFont="1" applyFill="1" applyBorder="1"/>
    <xf numFmtId="4" fontId="8" fillId="14" borderId="3" xfId="0" applyNumberFormat="1" applyFont="1" applyFill="1" applyBorder="1"/>
    <xf numFmtId="0" fontId="5" fillId="3" borderId="5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1" fillId="0" borderId="152" xfId="0" applyFont="1" applyBorder="1"/>
    <xf numFmtId="0" fontId="5" fillId="3" borderId="146" xfId="0" applyFont="1" applyFill="1" applyBorder="1"/>
    <xf numFmtId="2" fontId="5" fillId="16" borderId="94" xfId="0" applyNumberFormat="1" applyFont="1" applyFill="1" applyBorder="1"/>
    <xf numFmtId="0" fontId="0" fillId="0" borderId="146" xfId="0" applyBorder="1"/>
    <xf numFmtId="2" fontId="0" fillId="0" borderId="94" xfId="0" applyNumberFormat="1" applyBorder="1"/>
    <xf numFmtId="0" fontId="0" fillId="14" borderId="146" xfId="0" applyFill="1" applyBorder="1"/>
    <xf numFmtId="0" fontId="5" fillId="3" borderId="183" xfId="0" applyFont="1" applyFill="1" applyBorder="1"/>
    <xf numFmtId="3" fontId="5" fillId="16" borderId="184" xfId="0" applyNumberFormat="1" applyFont="1" applyFill="1" applyBorder="1"/>
    <xf numFmtId="2" fontId="5" fillId="16" borderId="79" xfId="0" applyNumberFormat="1" applyFont="1" applyFill="1" applyBorder="1"/>
    <xf numFmtId="3" fontId="5" fillId="3" borderId="26" xfId="0" applyNumberFormat="1" applyFont="1" applyFill="1" applyBorder="1" applyAlignment="1">
      <alignment horizontal="right"/>
    </xf>
    <xf numFmtId="3" fontId="9" fillId="3" borderId="74" xfId="0" applyNumberFormat="1" applyFont="1" applyFill="1" applyBorder="1" applyAlignment="1">
      <alignment horizontal="right"/>
    </xf>
    <xf numFmtId="3" fontId="5" fillId="3" borderId="62" xfId="0" applyNumberFormat="1" applyFont="1" applyFill="1" applyBorder="1" applyAlignment="1">
      <alignment horizontal="right"/>
    </xf>
    <xf numFmtId="0" fontId="0" fillId="0" borderId="36" xfId="0" applyBorder="1" applyAlignment="1">
      <alignment horizontal="right"/>
    </xf>
    <xf numFmtId="0" fontId="5" fillId="3" borderId="38" xfId="0" applyFont="1" applyFill="1" applyBorder="1"/>
    <xf numFmtId="0" fontId="1" fillId="0" borderId="39" xfId="0" applyFont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3" fontId="1" fillId="0" borderId="68" xfId="0" applyNumberFormat="1" applyFont="1" applyBorder="1" applyAlignment="1">
      <alignment horizontal="center"/>
    </xf>
    <xf numFmtId="3" fontId="9" fillId="3" borderId="68" xfId="0" applyNumberFormat="1" applyFont="1" applyFill="1" applyBorder="1" applyAlignment="1">
      <alignment horizontal="center"/>
    </xf>
    <xf numFmtId="3" fontId="1" fillId="0" borderId="39" xfId="0" applyNumberFormat="1" applyFont="1" applyBorder="1" applyAlignment="1">
      <alignment horizontal="center"/>
    </xf>
    <xf numFmtId="3" fontId="5" fillId="3" borderId="60" xfId="0" applyNumberFormat="1" applyFont="1" applyFill="1" applyBorder="1" applyAlignment="1">
      <alignment horizontal="center"/>
    </xf>
    <xf numFmtId="3" fontId="9" fillId="3" borderId="99" xfId="0" applyNumberFormat="1" applyFont="1" applyFill="1" applyBorder="1"/>
    <xf numFmtId="3" fontId="1" fillId="0" borderId="53" xfId="0" applyNumberFormat="1" applyFont="1" applyBorder="1"/>
    <xf numFmtId="3" fontId="5" fillId="3" borderId="185" xfId="0" applyNumberFormat="1" applyFont="1" applyFill="1" applyBorder="1"/>
    <xf numFmtId="0" fontId="36" fillId="3" borderId="39" xfId="0" applyFont="1" applyFill="1" applyBorder="1" applyAlignment="1">
      <alignment horizontal="center"/>
    </xf>
    <xf numFmtId="166" fontId="45" fillId="3" borderId="18" xfId="0" applyNumberFormat="1" applyFont="1" applyFill="1" applyBorder="1" applyAlignment="1">
      <alignment vertical="center"/>
    </xf>
    <xf numFmtId="166" fontId="45" fillId="3" borderId="14" xfId="0" applyNumberFormat="1" applyFont="1" applyFill="1" applyBorder="1" applyAlignment="1">
      <alignment vertical="center"/>
    </xf>
    <xf numFmtId="17" fontId="6" fillId="3" borderId="4" xfId="0" applyNumberFormat="1" applyFont="1" applyFill="1" applyBorder="1" applyAlignment="1">
      <alignment horizontal="center"/>
    </xf>
    <xf numFmtId="3" fontId="9" fillId="0" borderId="0" xfId="0" applyNumberFormat="1" applyFont="1" applyAlignment="1">
      <alignment horizontal="center"/>
    </xf>
    <xf numFmtId="0" fontId="12" fillId="3" borderId="80" xfId="0" applyFont="1" applyFill="1" applyBorder="1" applyAlignment="1">
      <alignment horizontal="center"/>
    </xf>
    <xf numFmtId="3" fontId="1" fillId="0" borderId="74" xfId="0" applyNumberFormat="1" applyFont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17" fontId="12" fillId="3" borderId="5" xfId="0" applyNumberFormat="1" applyFont="1" applyFill="1" applyBorder="1" applyAlignment="1">
      <alignment horizontal="center"/>
    </xf>
    <xf numFmtId="3" fontId="1" fillId="0" borderId="5" xfId="0" applyNumberFormat="1" applyFont="1" applyBorder="1" applyAlignment="1">
      <alignment horizontal="right"/>
    </xf>
    <xf numFmtId="3" fontId="5" fillId="3" borderId="86" xfId="0" applyNumberFormat="1" applyFont="1" applyFill="1" applyBorder="1" applyAlignment="1">
      <alignment horizontal="right"/>
    </xf>
    <xf numFmtId="17" fontId="12" fillId="3" borderId="44" xfId="0" applyNumberFormat="1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3" fontId="9" fillId="3" borderId="189" xfId="0" applyNumberFormat="1" applyFont="1" applyFill="1" applyBorder="1"/>
    <xf numFmtId="3" fontId="1" fillId="0" borderId="181" xfId="0" applyNumberFormat="1" applyFont="1" applyBorder="1" applyAlignment="1">
      <alignment horizontal="right"/>
    </xf>
    <xf numFmtId="3" fontId="9" fillId="3" borderId="181" xfId="0" applyNumberFormat="1" applyFont="1" applyFill="1" applyBorder="1" applyAlignment="1">
      <alignment horizontal="right"/>
    </xf>
    <xf numFmtId="3" fontId="5" fillId="3" borderId="188" xfId="0" applyNumberFormat="1" applyFont="1" applyFill="1" applyBorder="1" applyAlignment="1">
      <alignment horizontal="right"/>
    </xf>
    <xf numFmtId="167" fontId="45" fillId="0" borderId="0" xfId="0" applyNumberFormat="1" applyFont="1"/>
    <xf numFmtId="166" fontId="46" fillId="3" borderId="69" xfId="0" applyNumberFormat="1" applyFont="1" applyFill="1" applyBorder="1" applyAlignment="1">
      <alignment vertical="center"/>
    </xf>
    <xf numFmtId="2" fontId="0" fillId="0" borderId="36" xfId="0" applyNumberFormat="1" applyBorder="1"/>
    <xf numFmtId="0" fontId="5" fillId="3" borderId="112" xfId="0" applyFont="1" applyFill="1" applyBorder="1" applyAlignment="1">
      <alignment horizontal="center"/>
    </xf>
    <xf numFmtId="3" fontId="5" fillId="3" borderId="35" xfId="0" applyNumberFormat="1" applyFont="1" applyFill="1" applyBorder="1"/>
    <xf numFmtId="0" fontId="1" fillId="0" borderId="21" xfId="0" applyFont="1" applyBorder="1"/>
    <xf numFmtId="0" fontId="1" fillId="0" borderId="17" xfId="0" applyFont="1" applyBorder="1" applyAlignment="1">
      <alignment horizontal="center" vertical="center" wrapText="1"/>
    </xf>
    <xf numFmtId="166" fontId="8" fillId="0" borderId="68" xfId="0" applyNumberFormat="1" applyFont="1" applyBorder="1"/>
    <xf numFmtId="166" fontId="8" fillId="0" borderId="3" xfId="0" applyNumberFormat="1" applyFont="1" applyBorder="1"/>
    <xf numFmtId="4" fontId="8" fillId="0" borderId="3" xfId="0" applyNumberFormat="1" applyFont="1" applyBorder="1" applyAlignment="1">
      <alignment horizontal="right" wrapText="1"/>
    </xf>
    <xf numFmtId="4" fontId="5" fillId="3" borderId="50" xfId="0" applyNumberFormat="1" applyFont="1" applyFill="1" applyBorder="1" applyAlignment="1">
      <alignment horizontal="right"/>
    </xf>
    <xf numFmtId="166" fontId="8" fillId="0" borderId="31" xfId="0" applyNumberFormat="1" applyFont="1" applyBorder="1"/>
    <xf numFmtId="167" fontId="9" fillId="3" borderId="31" xfId="0" applyNumberFormat="1" applyFont="1" applyFill="1" applyBorder="1"/>
    <xf numFmtId="166" fontId="8" fillId="0" borderId="22" xfId="0" applyNumberFormat="1" applyFont="1" applyBorder="1"/>
    <xf numFmtId="166" fontId="5" fillId="3" borderId="41" xfId="0" applyNumberFormat="1" applyFont="1" applyFill="1" applyBorder="1"/>
    <xf numFmtId="167" fontId="8" fillId="0" borderId="44" xfId="0" applyNumberFormat="1" applyFont="1" applyBorder="1"/>
    <xf numFmtId="3" fontId="8" fillId="14" borderId="32" xfId="0" applyNumberFormat="1" applyFont="1" applyFill="1" applyBorder="1"/>
    <xf numFmtId="167" fontId="8" fillId="0" borderId="0" xfId="0" applyNumberFormat="1" applyFont="1"/>
    <xf numFmtId="167" fontId="5" fillId="3" borderId="64" xfId="0" applyNumberFormat="1" applyFont="1" applyFill="1" applyBorder="1"/>
    <xf numFmtId="167" fontId="5" fillId="3" borderId="58" xfId="0" applyNumberFormat="1" applyFont="1" applyFill="1" applyBorder="1"/>
    <xf numFmtId="167" fontId="5" fillId="3" borderId="4" xfId="0" applyNumberFormat="1" applyFont="1" applyFill="1" applyBorder="1"/>
    <xf numFmtId="1" fontId="0" fillId="14" borderId="0" xfId="0" applyNumberFormat="1" applyFill="1"/>
    <xf numFmtId="3" fontId="0" fillId="0" borderId="68" xfId="0" applyNumberFormat="1" applyBorder="1" applyAlignment="1">
      <alignment horizontal="center"/>
    </xf>
    <xf numFmtId="3" fontId="5" fillId="3" borderId="68" xfId="0" applyNumberFormat="1" applyFont="1" applyFill="1" applyBorder="1" applyAlignment="1">
      <alignment horizontal="center"/>
    </xf>
    <xf numFmtId="3" fontId="0" fillId="0" borderId="82" xfId="0" applyNumberFormat="1" applyBorder="1"/>
    <xf numFmtId="3" fontId="1" fillId="0" borderId="94" xfId="0" applyNumberFormat="1" applyFont="1" applyBorder="1"/>
    <xf numFmtId="3" fontId="1" fillId="0" borderId="161" xfId="0" applyNumberFormat="1" applyFont="1" applyBorder="1"/>
    <xf numFmtId="4" fontId="8" fillId="0" borderId="3" xfId="0" applyNumberFormat="1" applyFont="1" applyBorder="1" applyAlignment="1">
      <alignment horizontal="right"/>
    </xf>
    <xf numFmtId="167" fontId="8" fillId="0" borderId="31" xfId="0" applyNumberFormat="1" applyFont="1" applyBorder="1"/>
    <xf numFmtId="4" fontId="1" fillId="0" borderId="3" xfId="0" applyNumberFormat="1" applyFont="1" applyBorder="1" applyAlignment="1">
      <alignment horizontal="right" wrapText="1"/>
    </xf>
    <xf numFmtId="166" fontId="1" fillId="0" borderId="6" xfId="0" applyNumberFormat="1" applyFont="1" applyBorder="1"/>
    <xf numFmtId="166" fontId="1" fillId="0" borderId="31" xfId="0" applyNumberFormat="1" applyFont="1" applyBorder="1"/>
    <xf numFmtId="166" fontId="5" fillId="3" borderId="31" xfId="0" applyNumberFormat="1" applyFont="1" applyFill="1" applyBorder="1"/>
    <xf numFmtId="166" fontId="1" fillId="0" borderId="22" xfId="0" applyNumberFormat="1" applyFont="1" applyBorder="1"/>
    <xf numFmtId="4" fontId="1" fillId="0" borderId="3" xfId="0" applyNumberFormat="1" applyFont="1" applyBorder="1" applyAlignment="1">
      <alignment horizontal="right"/>
    </xf>
    <xf numFmtId="0" fontId="5" fillId="18" borderId="42" xfId="0" applyFont="1" applyFill="1" applyBorder="1"/>
    <xf numFmtId="0" fontId="5" fillId="20" borderId="42" xfId="0" applyFont="1" applyFill="1" applyBorder="1"/>
    <xf numFmtId="166" fontId="5" fillId="20" borderId="42" xfId="0" applyNumberFormat="1" applyFont="1" applyFill="1" applyBorder="1"/>
    <xf numFmtId="166" fontId="5" fillId="22" borderId="42" xfId="0" applyNumberFormat="1" applyFont="1" applyFill="1" applyBorder="1"/>
    <xf numFmtId="166" fontId="5" fillId="18" borderId="42" xfId="0" applyNumberFormat="1" applyFont="1" applyFill="1" applyBorder="1"/>
    <xf numFmtId="166" fontId="5" fillId="19" borderId="42" xfId="0" applyNumberFormat="1" applyFont="1" applyFill="1" applyBorder="1"/>
    <xf numFmtId="166" fontId="0" fillId="20" borderId="42" xfId="0" applyNumberFormat="1" applyFill="1" applyBorder="1"/>
    <xf numFmtId="0" fontId="5" fillId="24" borderId="42" xfId="0" applyFont="1" applyFill="1" applyBorder="1"/>
    <xf numFmtId="166" fontId="0" fillId="24" borderId="42" xfId="0" applyNumberFormat="1" applyFill="1" applyBorder="1"/>
    <xf numFmtId="166" fontId="5" fillId="25" borderId="42" xfId="0" applyNumberFormat="1" applyFont="1" applyFill="1" applyBorder="1"/>
    <xf numFmtId="0" fontId="5" fillId="26" borderId="42" xfId="0" applyFont="1" applyFill="1" applyBorder="1"/>
    <xf numFmtId="166" fontId="5" fillId="26" borderId="42" xfId="0" applyNumberFormat="1" applyFont="1" applyFill="1" applyBorder="1"/>
    <xf numFmtId="166" fontId="5" fillId="27" borderId="42" xfId="0" applyNumberFormat="1" applyFont="1" applyFill="1" applyBorder="1"/>
    <xf numFmtId="0" fontId="27" fillId="18" borderId="0" xfId="0" applyFont="1" applyFill="1" applyAlignment="1">
      <alignment vertical="center"/>
    </xf>
    <xf numFmtId="3" fontId="3" fillId="0" borderId="0" xfId="0" applyNumberFormat="1" applyFont="1" applyAlignment="1">
      <alignment wrapText="1"/>
    </xf>
    <xf numFmtId="3" fontId="3" fillId="18" borderId="0" xfId="0" applyNumberFormat="1" applyFont="1" applyFill="1" applyAlignment="1">
      <alignment wrapText="1"/>
    </xf>
    <xf numFmtId="166" fontId="1" fillId="0" borderId="0" xfId="0" applyNumberFormat="1" applyFont="1"/>
    <xf numFmtId="2" fontId="1" fillId="14" borderId="0" xfId="0" applyNumberFormat="1" applyFont="1" applyFill="1"/>
    <xf numFmtId="0" fontId="0" fillId="14" borderId="74" xfId="0" applyFill="1" applyBorder="1"/>
    <xf numFmtId="2" fontId="10" fillId="0" borderId="25" xfId="0" applyNumberFormat="1" applyFont="1" applyBorder="1"/>
    <xf numFmtId="0" fontId="0" fillId="0" borderId="25" xfId="0" applyBorder="1"/>
    <xf numFmtId="166" fontId="14" fillId="0" borderId="0" xfId="0" applyNumberFormat="1" applyFont="1"/>
    <xf numFmtId="166" fontId="8" fillId="0" borderId="0" xfId="0" applyNumberFormat="1" applyFont="1" applyAlignment="1">
      <alignment horizontal="center"/>
    </xf>
    <xf numFmtId="4" fontId="10" fillId="0" borderId="0" xfId="0" applyNumberFormat="1" applyFont="1"/>
    <xf numFmtId="167" fontId="10" fillId="0" borderId="42" xfId="0" applyNumberFormat="1" applyFont="1" applyBorder="1"/>
    <xf numFmtId="167" fontId="6" fillId="0" borderId="42" xfId="0" applyNumberFormat="1" applyFont="1" applyBorder="1"/>
    <xf numFmtId="0" fontId="13" fillId="0" borderId="0" xfId="0" applyFont="1" applyAlignment="1">
      <alignment horizontal="right"/>
    </xf>
    <xf numFmtId="10" fontId="13" fillId="0" borderId="0" xfId="4" applyNumberFormat="1" applyFont="1" applyAlignment="1">
      <alignment horizontal="left"/>
    </xf>
    <xf numFmtId="2" fontId="0" fillId="0" borderId="42" xfId="0" applyNumberFormat="1" applyBorder="1"/>
    <xf numFmtId="0" fontId="82" fillId="0" borderId="0" xfId="0" applyFont="1" applyAlignment="1">
      <alignment horizontal="center" vertical="center"/>
    </xf>
    <xf numFmtId="0" fontId="87" fillId="0" borderId="0" xfId="0" applyFont="1"/>
    <xf numFmtId="0" fontId="28" fillId="30" borderId="0" xfId="0" applyFont="1" applyFill="1" applyAlignment="1">
      <alignment vertical="center"/>
    </xf>
    <xf numFmtId="166" fontId="8" fillId="0" borderId="27" xfId="0" applyNumberFormat="1" applyFont="1" applyBorder="1"/>
    <xf numFmtId="3" fontId="8" fillId="0" borderId="2" xfId="0" applyNumberFormat="1" applyFont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5" fillId="3" borderId="34" xfId="0" applyNumberFormat="1" applyFont="1" applyFill="1" applyBorder="1" applyAlignment="1">
      <alignment horizontal="right"/>
    </xf>
    <xf numFmtId="4" fontId="8" fillId="0" borderId="2" xfId="0" applyNumberFormat="1" applyFont="1" applyBorder="1"/>
    <xf numFmtId="4" fontId="1" fillId="3" borderId="3" xfId="0" applyNumberFormat="1" applyFont="1" applyFill="1" applyBorder="1" applyAlignment="1">
      <alignment horizontal="right"/>
    </xf>
    <xf numFmtId="166" fontId="0" fillId="14" borderId="0" xfId="0" applyNumberFormat="1" applyFill="1" applyAlignment="1">
      <alignment vertical="center"/>
    </xf>
    <xf numFmtId="3" fontId="26" fillId="0" borderId="42" xfId="0" applyNumberFormat="1" applyFont="1" applyBorder="1" applyAlignment="1">
      <alignment vertical="center"/>
    </xf>
    <xf numFmtId="3" fontId="26" fillId="0" borderId="32" xfId="0" applyNumberFormat="1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3" fontId="5" fillId="3" borderId="43" xfId="0" applyNumberFormat="1" applyFont="1" applyFill="1" applyBorder="1" applyAlignment="1">
      <alignment horizontal="center"/>
    </xf>
    <xf numFmtId="0" fontId="5" fillId="8" borderId="45" xfId="0" applyFont="1" applyFill="1" applyBorder="1"/>
    <xf numFmtId="1" fontId="0" fillId="0" borderId="141" xfId="0" applyNumberFormat="1" applyBorder="1"/>
    <xf numFmtId="1" fontId="5" fillId="16" borderId="42" xfId="0" applyNumberFormat="1" applyFont="1" applyFill="1" applyBorder="1"/>
    <xf numFmtId="3" fontId="9" fillId="3" borderId="202" xfId="0" applyNumberFormat="1" applyFont="1" applyFill="1" applyBorder="1"/>
    <xf numFmtId="3" fontId="0" fillId="0" borderId="202" xfId="0" applyNumberFormat="1" applyBorder="1"/>
    <xf numFmtId="0" fontId="0" fillId="0" borderId="201" xfId="0" applyBorder="1"/>
    <xf numFmtId="3" fontId="9" fillId="3" borderId="203" xfId="0" applyNumberFormat="1" applyFont="1" applyFill="1" applyBorder="1"/>
    <xf numFmtId="0" fontId="0" fillId="0" borderId="4" xfId="0" applyBorder="1"/>
    <xf numFmtId="3" fontId="9" fillId="3" borderId="100" xfId="0" applyNumberFormat="1" applyFont="1" applyFill="1" applyBorder="1"/>
    <xf numFmtId="0" fontId="0" fillId="0" borderId="80" xfId="0" applyBorder="1"/>
    <xf numFmtId="0" fontId="0" fillId="0" borderId="200" xfId="0" applyBorder="1"/>
    <xf numFmtId="0" fontId="0" fillId="0" borderId="71" xfId="0" applyBorder="1"/>
    <xf numFmtId="4" fontId="5" fillId="16" borderId="68" xfId="0" applyNumberFormat="1" applyFont="1" applyFill="1" applyBorder="1"/>
    <xf numFmtId="0" fontId="28" fillId="14" borderId="9" xfId="0" applyFont="1" applyFill="1" applyBorder="1" applyAlignment="1">
      <alignment horizontal="center" vertical="center" wrapText="1"/>
    </xf>
    <xf numFmtId="0" fontId="90" fillId="14" borderId="0" xfId="0" applyFont="1" applyFill="1" applyAlignment="1">
      <alignment horizontal="center" vertical="center"/>
    </xf>
    <xf numFmtId="167" fontId="8" fillId="0" borderId="42" xfId="0" applyNumberFormat="1" applyFont="1" applyBorder="1" applyAlignment="1">
      <alignment horizontal="right"/>
    </xf>
    <xf numFmtId="167" fontId="1" fillId="0" borderId="42" xfId="0" applyNumberFormat="1" applyFont="1" applyBorder="1" applyAlignment="1">
      <alignment horizontal="right"/>
    </xf>
    <xf numFmtId="4" fontId="1" fillId="0" borderId="5" xfId="0" applyNumberFormat="1" applyFont="1" applyBorder="1"/>
    <xf numFmtId="166" fontId="5" fillId="3" borderId="42" xfId="0" applyNumberFormat="1" applyFont="1" applyFill="1" applyBorder="1" applyAlignment="1">
      <alignment horizontal="right"/>
    </xf>
    <xf numFmtId="166" fontId="5" fillId="3" borderId="3" xfId="0" applyNumberFormat="1" applyFont="1" applyFill="1" applyBorder="1" applyAlignment="1">
      <alignment horizontal="right"/>
    </xf>
    <xf numFmtId="167" fontId="8" fillId="0" borderId="68" xfId="0" applyNumberFormat="1" applyFont="1" applyBorder="1"/>
    <xf numFmtId="167" fontId="8" fillId="0" borderId="3" xfId="0" applyNumberFormat="1" applyFont="1" applyBorder="1"/>
    <xf numFmtId="167" fontId="8" fillId="0" borderId="39" xfId="0" applyNumberFormat="1" applyFont="1" applyBorder="1"/>
    <xf numFmtId="167" fontId="8" fillId="0" borderId="5" xfId="0" applyNumberFormat="1" applyFont="1" applyBorder="1"/>
    <xf numFmtId="166" fontId="9" fillId="3" borderId="3" xfId="0" applyNumberFormat="1" applyFont="1" applyFill="1" applyBorder="1" applyAlignment="1">
      <alignment horizontal="right"/>
    </xf>
    <xf numFmtId="166" fontId="5" fillId="0" borderId="4" xfId="0" applyNumberFormat="1" applyFont="1" applyBorder="1"/>
    <xf numFmtId="166" fontId="8" fillId="0" borderId="1" xfId="0" applyNumberFormat="1" applyFont="1" applyBorder="1"/>
    <xf numFmtId="167" fontId="9" fillId="3" borderId="3" xfId="0" applyNumberFormat="1" applyFont="1" applyFill="1" applyBorder="1" applyAlignment="1">
      <alignment horizontal="right"/>
    </xf>
    <xf numFmtId="4" fontId="8" fillId="0" borderId="7" xfId="0" applyNumberFormat="1" applyFont="1" applyBorder="1"/>
    <xf numFmtId="4" fontId="9" fillId="3" borderId="3" xfId="0" applyNumberFormat="1" applyFont="1" applyFill="1" applyBorder="1"/>
    <xf numFmtId="4" fontId="9" fillId="3" borderId="3" xfId="0" applyNumberFormat="1" applyFont="1" applyFill="1" applyBorder="1" applyAlignment="1">
      <alignment horizontal="right"/>
    </xf>
    <xf numFmtId="4" fontId="8" fillId="0" borderId="31" xfId="0" applyNumberFormat="1" applyFont="1" applyBorder="1"/>
    <xf numFmtId="4" fontId="9" fillId="3" borderId="31" xfId="0" applyNumberFormat="1" applyFont="1" applyFill="1" applyBorder="1"/>
    <xf numFmtId="4" fontId="8" fillId="0" borderId="5" xfId="0" applyNumberFormat="1" applyFont="1" applyBorder="1"/>
    <xf numFmtId="166" fontId="5" fillId="0" borderId="42" xfId="0" applyNumberFormat="1" applyFont="1" applyBorder="1"/>
    <xf numFmtId="167" fontId="5" fillId="0" borderId="42" xfId="0" applyNumberFormat="1" applyFont="1" applyBorder="1"/>
    <xf numFmtId="167" fontId="1" fillId="3" borderId="42" xfId="0" applyNumberFormat="1" applyFont="1" applyFill="1" applyBorder="1" applyAlignment="1">
      <alignment horizontal="right"/>
    </xf>
    <xf numFmtId="167" fontId="8" fillId="14" borderId="31" xfId="0" applyNumberFormat="1" applyFont="1" applyFill="1" applyBorder="1"/>
    <xf numFmtId="167" fontId="8" fillId="14" borderId="42" xfId="0" applyNumberFormat="1" applyFont="1" applyFill="1" applyBorder="1"/>
    <xf numFmtId="167" fontId="1" fillId="0" borderId="31" xfId="0" applyNumberFormat="1" applyFont="1" applyBorder="1"/>
    <xf numFmtId="167" fontId="8" fillId="0" borderId="38" xfId="0" applyNumberFormat="1" applyFont="1" applyBorder="1"/>
    <xf numFmtId="2" fontId="8" fillId="0" borderId="42" xfId="0" applyNumberFormat="1" applyFont="1" applyBorder="1"/>
    <xf numFmtId="2" fontId="5" fillId="3" borderId="49" xfId="0" applyNumberFormat="1" applyFont="1" applyFill="1" applyBorder="1"/>
    <xf numFmtId="2" fontId="1" fillId="0" borderId="42" xfId="0" applyNumberFormat="1" applyFont="1" applyBorder="1"/>
    <xf numFmtId="2" fontId="1" fillId="3" borderId="42" xfId="0" applyNumberFormat="1" applyFont="1" applyFill="1" applyBorder="1"/>
    <xf numFmtId="4" fontId="8" fillId="0" borderId="6" xfId="0" applyNumberFormat="1" applyFont="1" applyBorder="1" applyAlignment="1">
      <alignment horizontal="right"/>
    </xf>
    <xf numFmtId="167" fontId="8" fillId="0" borderId="22" xfId="0" applyNumberFormat="1" applyFont="1" applyBorder="1"/>
    <xf numFmtId="4" fontId="8" fillId="0" borderId="5" xfId="0" applyNumberFormat="1" applyFont="1" applyBorder="1" applyAlignment="1">
      <alignment horizontal="right"/>
    </xf>
    <xf numFmtId="4" fontId="8" fillId="0" borderId="27" xfId="0" applyNumberFormat="1" applyFont="1" applyBorder="1"/>
    <xf numFmtId="3" fontId="8" fillId="14" borderId="32" xfId="0" applyNumberFormat="1" applyFont="1" applyFill="1" applyBorder="1" applyAlignment="1">
      <alignment horizontal="right"/>
    </xf>
    <xf numFmtId="3" fontId="10" fillId="0" borderId="42" xfId="3" applyNumberFormat="1" applyFont="1" applyBorder="1" applyAlignment="1">
      <alignment horizontal="right" wrapText="1"/>
    </xf>
    <xf numFmtId="4" fontId="9" fillId="3" borderId="49" xfId="0" applyNumberFormat="1" applyFont="1" applyFill="1" applyBorder="1" applyAlignment="1">
      <alignment horizontal="right"/>
    </xf>
    <xf numFmtId="4" fontId="10" fillId="0" borderId="42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6" fillId="3" borderId="83" xfId="0" applyNumberFormat="1" applyFont="1" applyFill="1" applyBorder="1" applyAlignment="1">
      <alignment horizontal="center"/>
    </xf>
    <xf numFmtId="0" fontId="0" fillId="14" borderId="3" xfId="0" applyFill="1" applyBorder="1"/>
    <xf numFmtId="3" fontId="5" fillId="16" borderId="3" xfId="0" applyNumberFormat="1" applyFont="1" applyFill="1" applyBorder="1"/>
    <xf numFmtId="3" fontId="0" fillId="0" borderId="3" xfId="0" applyNumberFormat="1" applyBorder="1"/>
    <xf numFmtId="3" fontId="5" fillId="16" borderId="208" xfId="0" applyNumberFormat="1" applyFont="1" applyFill="1" applyBorder="1"/>
    <xf numFmtId="2" fontId="5" fillId="16" borderId="32" xfId="0" applyNumberFormat="1" applyFont="1" applyFill="1" applyBorder="1"/>
    <xf numFmtId="2" fontId="0" fillId="0" borderId="32" xfId="0" applyNumberFormat="1" applyBorder="1"/>
    <xf numFmtId="2" fontId="5" fillId="16" borderId="211" xfId="0" applyNumberFormat="1" applyFont="1" applyFill="1" applyBorder="1"/>
    <xf numFmtId="3" fontId="9" fillId="3" borderId="212" xfId="0" applyNumberFormat="1" applyFont="1" applyFill="1" applyBorder="1"/>
    <xf numFmtId="0" fontId="5" fillId="17" borderId="42" xfId="0" applyFont="1" applyFill="1" applyBorder="1" applyAlignment="1">
      <alignment horizontal="center" vertical="center" wrapText="1"/>
    </xf>
    <xf numFmtId="166" fontId="22" fillId="16" borderId="42" xfId="0" applyNumberFormat="1" applyFont="1" applyFill="1" applyBorder="1" applyAlignment="1">
      <alignment vertical="center"/>
    </xf>
    <xf numFmtId="4" fontId="1" fillId="3" borderId="42" xfId="0" applyNumberFormat="1" applyFont="1" applyFill="1" applyBorder="1" applyAlignment="1">
      <alignment horizontal="center"/>
    </xf>
    <xf numFmtId="166" fontId="9" fillId="3" borderId="1" xfId="0" applyNumberFormat="1" applyFont="1" applyFill="1" applyBorder="1"/>
    <xf numFmtId="166" fontId="5" fillId="3" borderId="70" xfId="0" applyNumberFormat="1" applyFont="1" applyFill="1" applyBorder="1"/>
    <xf numFmtId="2" fontId="5" fillId="3" borderId="49" xfId="0" applyNumberFormat="1" applyFont="1" applyFill="1" applyBorder="1" applyAlignment="1">
      <alignment horizontal="right"/>
    </xf>
    <xf numFmtId="2" fontId="1" fillId="0" borderId="42" xfId="0" applyNumberFormat="1" applyFont="1" applyBorder="1" applyAlignment="1">
      <alignment horizontal="right" wrapText="1"/>
    </xf>
    <xf numFmtId="2" fontId="8" fillId="0" borderId="42" xfId="0" applyNumberFormat="1" applyFont="1" applyBorder="1" applyAlignment="1">
      <alignment horizontal="right"/>
    </xf>
    <xf numFmtId="2" fontId="1" fillId="0" borderId="42" xfId="0" applyNumberFormat="1" applyFont="1" applyBorder="1" applyAlignment="1">
      <alignment horizontal="right"/>
    </xf>
    <xf numFmtId="2" fontId="1" fillId="3" borderId="42" xfId="0" applyNumberFormat="1" applyFont="1" applyFill="1" applyBorder="1" applyAlignment="1">
      <alignment horizontal="center"/>
    </xf>
    <xf numFmtId="2" fontId="1" fillId="0" borderId="4" xfId="0" applyNumberFormat="1" applyFont="1" applyBorder="1" applyAlignment="1">
      <alignment horizontal="right"/>
    </xf>
    <xf numFmtId="2" fontId="8" fillId="0" borderId="42" xfId="0" applyNumberFormat="1" applyFont="1" applyBorder="1" applyAlignment="1">
      <alignment horizontal="right" wrapText="1"/>
    </xf>
    <xf numFmtId="2" fontId="8" fillId="3" borderId="42" xfId="0" applyNumberFormat="1" applyFont="1" applyFill="1" applyBorder="1" applyAlignment="1">
      <alignment horizontal="right" wrapText="1"/>
    </xf>
    <xf numFmtId="2" fontId="1" fillId="3" borderId="42" xfId="0" applyNumberFormat="1" applyFont="1" applyFill="1" applyBorder="1" applyAlignment="1">
      <alignment horizontal="right"/>
    </xf>
    <xf numFmtId="0" fontId="30" fillId="14" borderId="0" xfId="0" applyFont="1" applyFill="1" applyAlignment="1">
      <alignment vertical="center" wrapText="1"/>
    </xf>
    <xf numFmtId="3" fontId="30" fillId="14" borderId="0" xfId="0" applyNumberFormat="1" applyFont="1" applyFill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4" fontId="38" fillId="0" borderId="113" xfId="0" applyNumberFormat="1" applyFont="1" applyBorder="1"/>
    <xf numFmtId="3" fontId="0" fillId="14" borderId="2" xfId="0" applyNumberFormat="1" applyFill="1" applyBorder="1"/>
    <xf numFmtId="0" fontId="0" fillId="22" borderId="0" xfId="0" applyFill="1"/>
    <xf numFmtId="0" fontId="1" fillId="14" borderId="27" xfId="0" applyFont="1" applyFill="1" applyBorder="1" applyAlignment="1">
      <alignment horizontal="left" vertical="center"/>
    </xf>
    <xf numFmtId="3" fontId="3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/>
    </xf>
    <xf numFmtId="0" fontId="5" fillId="14" borderId="0" xfId="0" applyFont="1" applyFill="1" applyAlignment="1">
      <alignment horizontal="left"/>
    </xf>
    <xf numFmtId="166" fontId="1" fillId="0" borderId="0" xfId="0" applyNumberFormat="1" applyFont="1" applyFill="1" applyBorder="1"/>
    <xf numFmtId="0" fontId="3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3" fontId="38" fillId="14" borderId="29" xfId="0" applyNumberFormat="1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1" fillId="0" borderId="1" xfId="0" applyNumberFormat="1" applyFont="1" applyBorder="1" applyAlignment="1"/>
    <xf numFmtId="0" fontId="3" fillId="6" borderId="14" xfId="0" applyFont="1" applyFill="1" applyBorder="1" applyAlignment="1">
      <alignment horizontal="left" vertical="center"/>
    </xf>
    <xf numFmtId="0" fontId="1" fillId="0" borderId="0" xfId="5"/>
    <xf numFmtId="0" fontId="5" fillId="0" borderId="0" xfId="5" applyFont="1" applyAlignment="1">
      <alignment horizontal="left"/>
    </xf>
    <xf numFmtId="0" fontId="5" fillId="16" borderId="42" xfId="5" applyFont="1" applyFill="1" applyBorder="1" applyAlignment="1">
      <alignment vertical="center"/>
    </xf>
    <xf numFmtId="0" fontId="5" fillId="16" borderId="42" xfId="5" applyFont="1" applyFill="1" applyBorder="1"/>
    <xf numFmtId="0" fontId="5" fillId="18" borderId="42" xfId="5" applyFont="1" applyFill="1" applyBorder="1"/>
    <xf numFmtId="0" fontId="5" fillId="16" borderId="42" xfId="5" applyFont="1" applyFill="1" applyBorder="1" applyAlignment="1">
      <alignment horizontal="center" wrapText="1"/>
    </xf>
    <xf numFmtId="0" fontId="5" fillId="16" borderId="42" xfId="5" applyFont="1" applyFill="1" applyBorder="1" applyAlignment="1">
      <alignment horizontal="center" vertical="center" wrapText="1"/>
    </xf>
    <xf numFmtId="0" fontId="5" fillId="20" borderId="42" xfId="5" applyFont="1" applyFill="1" applyBorder="1"/>
    <xf numFmtId="0" fontId="5" fillId="16" borderId="42" xfId="5" applyFont="1" applyFill="1" applyBorder="1" applyAlignment="1">
      <alignment horizontal="center"/>
    </xf>
    <xf numFmtId="0" fontId="5" fillId="23" borderId="42" xfId="5" applyFont="1" applyFill="1" applyBorder="1"/>
    <xf numFmtId="0" fontId="5" fillId="3" borderId="42" xfId="5" applyFont="1" applyFill="1" applyBorder="1"/>
    <xf numFmtId="166" fontId="5" fillId="16" borderId="42" xfId="5" applyNumberFormat="1" applyFont="1" applyFill="1" applyBorder="1"/>
    <xf numFmtId="166" fontId="5" fillId="19" borderId="42" xfId="5" applyNumberFormat="1" applyFont="1" applyFill="1" applyBorder="1"/>
    <xf numFmtId="166" fontId="5" fillId="22" borderId="42" xfId="5" applyNumberFormat="1" applyFont="1" applyFill="1" applyBorder="1"/>
    <xf numFmtId="166" fontId="5" fillId="15" borderId="42" xfId="5" applyNumberFormat="1" applyFont="1" applyFill="1" applyBorder="1"/>
    <xf numFmtId="166" fontId="5" fillId="21" borderId="42" xfId="5" applyNumberFormat="1" applyFont="1" applyFill="1" applyBorder="1"/>
    <xf numFmtId="0" fontId="1" fillId="0" borderId="42" xfId="5" applyBorder="1"/>
    <xf numFmtId="166" fontId="1" fillId="0" borderId="42" xfId="5" applyNumberFormat="1" applyBorder="1"/>
    <xf numFmtId="0" fontId="15" fillId="0" borderId="42" xfId="5" applyFont="1" applyBorder="1" applyAlignment="1">
      <alignment vertical="center"/>
    </xf>
    <xf numFmtId="166" fontId="5" fillId="18" borderId="42" xfId="5" applyNumberFormat="1" applyFont="1" applyFill="1" applyBorder="1"/>
    <xf numFmtId="4" fontId="1" fillId="0" borderId="42" xfId="5" applyNumberFormat="1" applyBorder="1"/>
    <xf numFmtId="166" fontId="5" fillId="20" borderId="42" xfId="5" applyNumberFormat="1" applyFont="1" applyFill="1" applyBorder="1"/>
    <xf numFmtId="166" fontId="1" fillId="18" borderId="42" xfId="5" applyNumberFormat="1" applyFill="1" applyBorder="1"/>
    <xf numFmtId="166" fontId="1" fillId="23" borderId="42" xfId="5" applyNumberFormat="1" applyFill="1" applyBorder="1"/>
    <xf numFmtId="0" fontId="22" fillId="16" borderId="42" xfId="5" applyFont="1" applyFill="1" applyBorder="1" applyAlignment="1">
      <alignment vertical="center"/>
    </xf>
    <xf numFmtId="4" fontId="5" fillId="16" borderId="42" xfId="5" applyNumberFormat="1" applyFont="1" applyFill="1" applyBorder="1"/>
    <xf numFmtId="0" fontId="6" fillId="3" borderId="42" xfId="5" applyFont="1" applyFill="1" applyBorder="1"/>
    <xf numFmtId="166" fontId="5" fillId="16" borderId="42" xfId="5" applyNumberFormat="1" applyFont="1" applyFill="1" applyBorder="1" applyAlignment="1">
      <alignment horizontal="right"/>
    </xf>
    <xf numFmtId="166" fontId="5" fillId="17" borderId="42" xfId="5" applyNumberFormat="1" applyFont="1" applyFill="1" applyBorder="1"/>
    <xf numFmtId="166" fontId="1" fillId="0" borderId="0" xfId="5" applyNumberFormat="1"/>
    <xf numFmtId="2" fontId="1" fillId="0" borderId="0" xfId="5" applyNumberFormat="1"/>
    <xf numFmtId="0" fontId="5" fillId="16" borderId="194" xfId="5" applyFont="1" applyFill="1" applyBorder="1" applyAlignment="1">
      <alignment horizontal="center"/>
    </xf>
    <xf numFmtId="0" fontId="5" fillId="16" borderId="14" xfId="5" applyFont="1" applyFill="1" applyBorder="1" applyAlignment="1">
      <alignment horizontal="center"/>
    </xf>
    <xf numFmtId="0" fontId="5" fillId="16" borderId="115" xfId="5" applyFont="1" applyFill="1" applyBorder="1" applyAlignment="1">
      <alignment horizontal="center"/>
    </xf>
    <xf numFmtId="0" fontId="5" fillId="16" borderId="15" xfId="5" applyFont="1" applyFill="1" applyBorder="1" applyAlignment="1">
      <alignment horizontal="center"/>
    </xf>
    <xf numFmtId="0" fontId="5" fillId="17" borderId="21" xfId="5" applyFont="1" applyFill="1" applyBorder="1" applyAlignment="1">
      <alignment horizontal="center"/>
    </xf>
    <xf numFmtId="0" fontId="10" fillId="0" borderId="119" xfId="5" applyFont="1" applyBorder="1"/>
    <xf numFmtId="0" fontId="10" fillId="0" borderId="195" xfId="5" applyFont="1" applyBorder="1"/>
    <xf numFmtId="0" fontId="10" fillId="0" borderId="0" xfId="5" applyFont="1"/>
    <xf numFmtId="0" fontId="10" fillId="0" borderId="21" xfId="5" applyFont="1" applyBorder="1"/>
    <xf numFmtId="0" fontId="10" fillId="0" borderId="189" xfId="5" applyFont="1" applyBorder="1"/>
    <xf numFmtId="0" fontId="10" fillId="0" borderId="9" xfId="5" applyFont="1" applyBorder="1"/>
    <xf numFmtId="0" fontId="1" fillId="0" borderId="132" xfId="5" applyBorder="1"/>
    <xf numFmtId="4" fontId="10" fillId="0" borderId="69" xfId="5" applyNumberFormat="1" applyFont="1" applyBorder="1"/>
    <xf numFmtId="3" fontId="10" fillId="0" borderId="69" xfId="5" applyNumberFormat="1" applyFont="1" applyBorder="1"/>
    <xf numFmtId="4" fontId="10" fillId="0" borderId="181" xfId="5" applyNumberFormat="1" applyFont="1" applyBorder="1"/>
    <xf numFmtId="4" fontId="10" fillId="0" borderId="2" xfId="5" applyNumberFormat="1" applyFont="1" applyBorder="1"/>
    <xf numFmtId="4" fontId="10" fillId="0" borderId="74" xfId="5" applyNumberFormat="1" applyFont="1" applyBorder="1"/>
    <xf numFmtId="0" fontId="1" fillId="0" borderId="133" xfId="5" applyBorder="1"/>
    <xf numFmtId="0" fontId="6" fillId="28" borderId="69" xfId="5" applyFont="1" applyFill="1" applyBorder="1"/>
    <xf numFmtId="4" fontId="6" fillId="28" borderId="69" xfId="5" applyNumberFormat="1" applyFont="1" applyFill="1" applyBorder="1"/>
    <xf numFmtId="4" fontId="6" fillId="28" borderId="181" xfId="5" applyNumberFormat="1" applyFont="1" applyFill="1" applyBorder="1"/>
    <xf numFmtId="4" fontId="6" fillId="28" borderId="2" xfId="5" applyNumberFormat="1" applyFont="1" applyFill="1" applyBorder="1"/>
    <xf numFmtId="4" fontId="6" fillId="28" borderId="74" xfId="5" applyNumberFormat="1" applyFont="1" applyFill="1" applyBorder="1"/>
    <xf numFmtId="0" fontId="1" fillId="0" borderId="135" xfId="5" applyBorder="1"/>
    <xf numFmtId="0" fontId="1" fillId="0" borderId="125" xfId="5" applyBorder="1"/>
    <xf numFmtId="0" fontId="6" fillId="15" borderId="69" xfId="5" applyFont="1" applyFill="1" applyBorder="1"/>
    <xf numFmtId="4" fontId="6" fillId="15" borderId="69" xfId="5" applyNumberFormat="1" applyFont="1" applyFill="1" applyBorder="1"/>
    <xf numFmtId="4" fontId="6" fillId="15" borderId="181" xfId="5" applyNumberFormat="1" applyFont="1" applyFill="1" applyBorder="1"/>
    <xf numFmtId="4" fontId="6" fillId="15" borderId="2" xfId="5" applyNumberFormat="1" applyFont="1" applyFill="1" applyBorder="1"/>
    <xf numFmtId="4" fontId="6" fillId="15" borderId="74" xfId="5" applyNumberFormat="1" applyFont="1" applyFill="1" applyBorder="1"/>
    <xf numFmtId="0" fontId="5" fillId="16" borderId="69" xfId="5" applyFont="1" applyFill="1" applyBorder="1"/>
    <xf numFmtId="4" fontId="6" fillId="16" borderId="69" xfId="5" applyNumberFormat="1" applyFont="1" applyFill="1" applyBorder="1"/>
    <xf numFmtId="0" fontId="6" fillId="16" borderId="69" xfId="5" applyFont="1" applyFill="1" applyBorder="1"/>
    <xf numFmtId="4" fontId="6" fillId="16" borderId="181" xfId="5" applyNumberFormat="1" applyFont="1" applyFill="1" applyBorder="1"/>
    <xf numFmtId="4" fontId="6" fillId="16" borderId="2" xfId="5" applyNumberFormat="1" applyFont="1" applyFill="1" applyBorder="1"/>
    <xf numFmtId="4" fontId="6" fillId="16" borderId="74" xfId="5" applyNumberFormat="1" applyFont="1" applyFill="1" applyBorder="1"/>
    <xf numFmtId="0" fontId="5" fillId="17" borderId="69" xfId="5" applyFont="1" applyFill="1" applyBorder="1" applyAlignment="1">
      <alignment horizontal="center"/>
    </xf>
    <xf numFmtId="0" fontId="10" fillId="0" borderId="69" xfId="5" applyFont="1" applyBorder="1"/>
    <xf numFmtId="0" fontId="1" fillId="0" borderId="69" xfId="5" applyBorder="1"/>
    <xf numFmtId="0" fontId="5" fillId="28" borderId="69" xfId="5" applyFont="1" applyFill="1" applyBorder="1"/>
    <xf numFmtId="3" fontId="6" fillId="28" borderId="69" xfId="5" applyNumberFormat="1" applyFont="1" applyFill="1" applyBorder="1"/>
    <xf numFmtId="0" fontId="5" fillId="15" borderId="69" xfId="5" applyFont="1" applyFill="1" applyBorder="1"/>
    <xf numFmtId="0" fontId="85" fillId="16" borderId="69" xfId="5" applyFont="1" applyFill="1" applyBorder="1"/>
    <xf numFmtId="0" fontId="6" fillId="29" borderId="69" xfId="5" applyFont="1" applyFill="1" applyBorder="1"/>
    <xf numFmtId="4" fontId="6" fillId="29" borderId="196" xfId="5" applyNumberFormat="1" applyFont="1" applyFill="1" applyBorder="1"/>
    <xf numFmtId="4" fontId="6" fillId="16" borderId="72" xfId="5" applyNumberFormat="1" applyFont="1" applyFill="1" applyBorder="1"/>
    <xf numFmtId="4" fontId="6" fillId="16" borderId="197" xfId="5" applyNumberFormat="1" applyFont="1" applyFill="1" applyBorder="1"/>
    <xf numFmtId="4" fontId="6" fillId="29" borderId="34" xfId="5" applyNumberFormat="1" applyFont="1" applyFill="1" applyBorder="1"/>
    <xf numFmtId="4" fontId="6" fillId="16" borderId="113" xfId="5" applyNumberFormat="1" applyFont="1" applyFill="1" applyBorder="1"/>
    <xf numFmtId="0" fontId="86" fillId="17" borderId="18" xfId="5" applyFont="1" applyFill="1" applyBorder="1"/>
    <xf numFmtId="4" fontId="5" fillId="17" borderId="69" xfId="5" applyNumberFormat="1" applyFont="1" applyFill="1" applyBorder="1"/>
    <xf numFmtId="166" fontId="5" fillId="29" borderId="69" xfId="5" applyNumberFormat="1" applyFont="1" applyFill="1" applyBorder="1"/>
    <xf numFmtId="4" fontId="5" fillId="17" borderId="181" xfId="5" applyNumberFormat="1" applyFont="1" applyFill="1" applyBorder="1"/>
    <xf numFmtId="4" fontId="5" fillId="14" borderId="198" xfId="5" applyNumberFormat="1" applyFont="1" applyFill="1" applyBorder="1"/>
    <xf numFmtId="4" fontId="5" fillId="14" borderId="0" xfId="5" applyNumberFormat="1" applyFont="1" applyFill="1"/>
    <xf numFmtId="0" fontId="86" fillId="17" borderId="14" xfId="5" applyFont="1" applyFill="1" applyBorder="1"/>
    <xf numFmtId="4" fontId="3" fillId="17" borderId="72" xfId="5" applyNumberFormat="1" applyFont="1" applyFill="1" applyBorder="1"/>
    <xf numFmtId="4" fontId="5" fillId="29" borderId="72" xfId="5" applyNumberFormat="1" applyFont="1" applyFill="1" applyBorder="1"/>
    <xf numFmtId="4" fontId="3" fillId="17" borderId="197" xfId="5" applyNumberFormat="1" applyFont="1" applyFill="1" applyBorder="1"/>
    <xf numFmtId="0" fontId="13" fillId="0" borderId="0" xfId="5" applyFont="1"/>
    <xf numFmtId="0" fontId="68" fillId="0" borderId="0" xfId="5" applyFont="1"/>
    <xf numFmtId="4" fontId="10" fillId="28" borderId="2" xfId="5" applyNumberFormat="1" applyFont="1" applyFill="1" applyBorder="1"/>
    <xf numFmtId="4" fontId="10" fillId="28" borderId="69" xfId="5" applyNumberFormat="1" applyFont="1" applyFill="1" applyBorder="1"/>
    <xf numFmtId="4" fontId="6" fillId="0" borderId="2" xfId="5" applyNumberFormat="1" applyFont="1" applyBorder="1"/>
    <xf numFmtId="4" fontId="6" fillId="0" borderId="69" xfId="5" applyNumberFormat="1" applyFont="1" applyBorder="1"/>
    <xf numFmtId="0" fontId="1" fillId="14" borderId="0" xfId="5" applyFill="1"/>
    <xf numFmtId="0" fontId="1" fillId="0" borderId="28" xfId="5" applyBorder="1"/>
    <xf numFmtId="0" fontId="5" fillId="14" borderId="0" xfId="5" applyFont="1" applyFill="1"/>
    <xf numFmtId="4" fontId="10" fillId="15" borderId="2" xfId="5" applyNumberFormat="1" applyFont="1" applyFill="1" applyBorder="1"/>
    <xf numFmtId="4" fontId="10" fillId="15" borderId="69" xfId="5" applyNumberFormat="1" applyFont="1" applyFill="1" applyBorder="1"/>
    <xf numFmtId="0" fontId="5" fillId="17" borderId="42" xfId="5" applyFont="1" applyFill="1" applyBorder="1" applyAlignment="1">
      <alignment horizontal="center" vertical="center"/>
    </xf>
    <xf numFmtId="0" fontId="6" fillId="17" borderId="42" xfId="5" applyFont="1" applyFill="1" applyBorder="1" applyAlignment="1">
      <alignment horizontal="center" vertical="center" wrapText="1"/>
    </xf>
    <xf numFmtId="2" fontId="5" fillId="16" borderId="42" xfId="5" applyNumberFormat="1" applyFont="1" applyFill="1" applyBorder="1"/>
    <xf numFmtId="0" fontId="1" fillId="14" borderId="42" xfId="5" applyFill="1" applyBorder="1"/>
    <xf numFmtId="2" fontId="1" fillId="0" borderId="42" xfId="5" applyNumberFormat="1" applyBorder="1"/>
    <xf numFmtId="0" fontId="6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7" fillId="0" borderId="0" xfId="0" applyFont="1" applyAlignment="1">
      <alignment horizontal="left" wrapText="1"/>
    </xf>
    <xf numFmtId="0" fontId="63" fillId="0" borderId="0" xfId="1" applyFont="1" applyAlignment="1" applyProtection="1">
      <alignment horizontal="left"/>
    </xf>
    <xf numFmtId="0" fontId="61" fillId="0" borderId="0" xfId="1" applyFont="1" applyAlignment="1" applyProtection="1">
      <alignment horizontal="left"/>
    </xf>
    <xf numFmtId="0" fontId="60" fillId="0" borderId="0" xfId="1" applyFont="1" applyAlignment="1" applyProtection="1">
      <alignment horizontal="left"/>
    </xf>
    <xf numFmtId="0" fontId="62" fillId="0" borderId="0" xfId="1" applyFont="1" applyAlignment="1" applyProtection="1">
      <alignment horizontal="left"/>
    </xf>
    <xf numFmtId="0" fontId="87" fillId="0" borderId="0" xfId="1" applyFont="1" applyAlignment="1" applyProtection="1">
      <alignment horizontal="left"/>
    </xf>
    <xf numFmtId="0" fontId="57" fillId="0" borderId="0" xfId="1" applyAlignment="1" applyProtection="1">
      <alignment horizontal="left"/>
    </xf>
    <xf numFmtId="0" fontId="80" fillId="0" borderId="0" xfId="1" applyFont="1" applyAlignment="1" applyProtection="1">
      <alignment horizontal="left"/>
    </xf>
    <xf numFmtId="0" fontId="9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83" fillId="0" borderId="0" xfId="0" applyFont="1" applyAlignment="1">
      <alignment horizontal="center" vertical="center"/>
    </xf>
    <xf numFmtId="0" fontId="71" fillId="0" borderId="0" xfId="1" applyFont="1" applyAlignment="1" applyProtection="1">
      <alignment horizontal="left"/>
    </xf>
    <xf numFmtId="3" fontId="3" fillId="0" borderId="0" xfId="0" applyNumberFormat="1" applyFont="1" applyAlignment="1">
      <alignment horizontal="center" wrapText="1"/>
    </xf>
    <xf numFmtId="0" fontId="6" fillId="8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6" fillId="8" borderId="39" xfId="0" applyFont="1" applyFill="1" applyBorder="1" applyAlignment="1">
      <alignment horizontal="center" vertical="center"/>
    </xf>
    <xf numFmtId="0" fontId="7" fillId="11" borderId="169" xfId="0" applyFont="1" applyFill="1" applyBorder="1" applyAlignment="1">
      <alignment horizontal="center" wrapText="1"/>
    </xf>
    <xf numFmtId="0" fontId="7" fillId="11" borderId="115" xfId="0" applyFont="1" applyFill="1" applyBorder="1" applyAlignment="1">
      <alignment horizontal="center" wrapText="1"/>
    </xf>
    <xf numFmtId="0" fontId="7" fillId="12" borderId="87" xfId="0" applyFont="1" applyFill="1" applyBorder="1" applyAlignment="1">
      <alignment horizontal="center"/>
    </xf>
    <xf numFmtId="0" fontId="7" fillId="12" borderId="43" xfId="0" applyFont="1" applyFill="1" applyBorder="1" applyAlignment="1">
      <alignment horizontal="center"/>
    </xf>
    <xf numFmtId="0" fontId="7" fillId="12" borderId="169" xfId="0" applyFont="1" applyFill="1" applyBorder="1" applyAlignment="1">
      <alignment horizontal="center"/>
    </xf>
    <xf numFmtId="0" fontId="7" fillId="12" borderId="88" xfId="0" applyFont="1" applyFill="1" applyBorder="1" applyAlignment="1">
      <alignment horizontal="center"/>
    </xf>
    <xf numFmtId="0" fontId="7" fillId="8" borderId="165" xfId="0" applyFont="1" applyFill="1" applyBorder="1" applyAlignment="1">
      <alignment horizontal="center"/>
    </xf>
    <xf numFmtId="0" fontId="7" fillId="8" borderId="117" xfId="0" applyFont="1" applyFill="1" applyBorder="1" applyAlignment="1">
      <alignment horizontal="center"/>
    </xf>
    <xf numFmtId="0" fontId="7" fillId="9" borderId="108" xfId="0" applyFont="1" applyFill="1" applyBorder="1" applyAlignment="1">
      <alignment horizontal="center"/>
    </xf>
    <xf numFmtId="0" fontId="7" fillId="9" borderId="117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20" xfId="0" applyFont="1" applyFill="1" applyBorder="1" applyAlignment="1">
      <alignment horizontal="center"/>
    </xf>
    <xf numFmtId="0" fontId="7" fillId="8" borderId="44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8" borderId="40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9" borderId="108" xfId="0" applyFont="1" applyFill="1" applyBorder="1" applyAlignment="1">
      <alignment horizontal="center" vertical="center"/>
    </xf>
    <xf numFmtId="0" fontId="7" fillId="9" borderId="117" xfId="0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center" vertical="center"/>
    </xf>
    <xf numFmtId="0" fontId="7" fillId="5" borderId="117" xfId="0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8" borderId="37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11" borderId="169" xfId="0" applyFont="1" applyFill="1" applyBorder="1" applyAlignment="1">
      <alignment horizontal="center" vertical="center" wrapText="1"/>
    </xf>
    <xf numFmtId="0" fontId="7" fillId="11" borderId="11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/>
    </xf>
    <xf numFmtId="0" fontId="7" fillId="12" borderId="115" xfId="0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horizontal="center" vertical="center"/>
    </xf>
    <xf numFmtId="0" fontId="7" fillId="13" borderId="115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8" borderId="165" xfId="0" applyFont="1" applyFill="1" applyBorder="1" applyAlignment="1">
      <alignment horizontal="center" vertical="center"/>
    </xf>
    <xf numFmtId="0" fontId="7" fillId="8" borderId="117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30" fillId="3" borderId="29" xfId="0" applyNumberFormat="1" applyFont="1" applyFill="1" applyBorder="1" applyAlignment="1">
      <alignment horizontal="center" vertical="center" wrapText="1"/>
    </xf>
    <xf numFmtId="3" fontId="30" fillId="3" borderId="16" xfId="0" applyNumberFormat="1" applyFont="1" applyFill="1" applyBorder="1" applyAlignment="1">
      <alignment horizontal="center" vertical="center" wrapText="1"/>
    </xf>
    <xf numFmtId="3" fontId="28" fillId="3" borderId="29" xfId="0" applyNumberFormat="1" applyFont="1" applyFill="1" applyBorder="1" applyAlignment="1">
      <alignment horizontal="center" vertical="center" wrapText="1"/>
    </xf>
    <xf numFmtId="3" fontId="28" fillId="3" borderId="16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center" vertical="center" wrapText="1"/>
    </xf>
    <xf numFmtId="3" fontId="32" fillId="14" borderId="22" xfId="0" applyNumberFormat="1" applyFont="1" applyFill="1" applyBorder="1" applyAlignment="1">
      <alignment horizontal="center" vertical="center" wrapText="1"/>
    </xf>
    <xf numFmtId="3" fontId="32" fillId="14" borderId="9" xfId="0" applyNumberFormat="1" applyFont="1" applyFill="1" applyBorder="1" applyAlignment="1">
      <alignment horizontal="center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166" fontId="28" fillId="0" borderId="22" xfId="0" applyNumberFormat="1" applyFont="1" applyBorder="1" applyAlignment="1">
      <alignment horizontal="center" vertical="center" wrapText="1"/>
    </xf>
    <xf numFmtId="166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3" fontId="28" fillId="0" borderId="0" xfId="0" applyNumberFormat="1" applyFont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3" fontId="30" fillId="3" borderId="30" xfId="0" applyNumberFormat="1" applyFont="1" applyFill="1" applyBorder="1" applyAlignment="1">
      <alignment horizontal="center" vertical="center"/>
    </xf>
    <xf numFmtId="3" fontId="30" fillId="3" borderId="16" xfId="0" applyNumberFormat="1" applyFont="1" applyFill="1" applyBorder="1" applyAlignment="1">
      <alignment horizontal="center" vertical="center"/>
    </xf>
    <xf numFmtId="0" fontId="29" fillId="0" borderId="108" xfId="0" applyFont="1" applyBorder="1" applyAlignment="1">
      <alignment horizontal="center" vertical="center"/>
    </xf>
    <xf numFmtId="0" fontId="29" fillId="0" borderId="110" xfId="0" applyFont="1" applyBorder="1" applyAlignment="1">
      <alignment horizontal="center" vertical="center"/>
    </xf>
    <xf numFmtId="0" fontId="29" fillId="0" borderId="114" xfId="0" applyFont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3" fontId="30" fillId="3" borderId="25" xfId="0" applyNumberFormat="1" applyFont="1" applyFill="1" applyBorder="1" applyAlignment="1">
      <alignment horizontal="center" vertical="center"/>
    </xf>
    <xf numFmtId="3" fontId="30" fillId="3" borderId="26" xfId="0" applyNumberFormat="1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3" fontId="28" fillId="3" borderId="27" xfId="0" applyNumberFormat="1" applyFont="1" applyFill="1" applyBorder="1" applyAlignment="1">
      <alignment horizontal="center" vertical="center" wrapText="1"/>
    </xf>
    <xf numFmtId="3" fontId="28" fillId="3" borderId="36" xfId="0" applyNumberFormat="1" applyFont="1" applyFill="1" applyBorder="1" applyAlignment="1">
      <alignment horizontal="center" vertical="center" wrapText="1"/>
    </xf>
    <xf numFmtId="3" fontId="30" fillId="3" borderId="27" xfId="0" applyNumberFormat="1" applyFont="1" applyFill="1" applyBorder="1" applyAlignment="1">
      <alignment horizontal="center" vertical="center" wrapText="1"/>
    </xf>
    <xf numFmtId="3" fontId="30" fillId="3" borderId="36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justify"/>
    </xf>
    <xf numFmtId="0" fontId="27" fillId="0" borderId="9" xfId="0" applyFont="1" applyBorder="1" applyAlignment="1">
      <alignment horizontal="justify"/>
    </xf>
    <xf numFmtId="3" fontId="28" fillId="0" borderId="193" xfId="0" applyNumberFormat="1" applyFont="1" applyBorder="1" applyAlignment="1">
      <alignment horizontal="center" vertical="center" wrapText="1"/>
    </xf>
    <xf numFmtId="0" fontId="34" fillId="0" borderId="22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3" fontId="28" fillId="14" borderId="193" xfId="0" applyNumberFormat="1" applyFont="1" applyFill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3" fontId="28" fillId="0" borderId="19" xfId="0" applyNumberFormat="1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/>
    </xf>
    <xf numFmtId="3" fontId="27" fillId="0" borderId="20" xfId="0" applyNumberFormat="1" applyFont="1" applyBorder="1" applyAlignment="1">
      <alignment horizontal="center"/>
    </xf>
    <xf numFmtId="3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3" fontId="30" fillId="3" borderId="19" xfId="0" applyNumberFormat="1" applyFont="1" applyFill="1" applyBorder="1" applyAlignment="1">
      <alignment horizontal="center" vertical="center" wrapText="1"/>
    </xf>
    <xf numFmtId="3" fontId="30" fillId="3" borderId="20" xfId="0" applyNumberFormat="1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3" fontId="30" fillId="3" borderId="22" xfId="0" applyNumberFormat="1" applyFont="1" applyFill="1" applyBorder="1" applyAlignment="1">
      <alignment horizontal="center" vertical="center" wrapText="1"/>
    </xf>
    <xf numFmtId="3" fontId="30" fillId="3" borderId="9" xfId="0" applyNumberFormat="1" applyFont="1" applyFill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/>
    </xf>
    <xf numFmtId="0" fontId="28" fillId="3" borderId="16" xfId="0" applyFont="1" applyFill="1" applyBorder="1" applyAlignment="1">
      <alignment horizontal="center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/>
    </xf>
    <xf numFmtId="3" fontId="28" fillId="0" borderId="17" xfId="0" applyNumberFormat="1" applyFont="1" applyBorder="1" applyAlignment="1">
      <alignment horizontal="center" vertical="center" wrapText="1"/>
    </xf>
    <xf numFmtId="3" fontId="27" fillId="0" borderId="17" xfId="0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 wrapText="1"/>
    </xf>
    <xf numFmtId="0" fontId="27" fillId="0" borderId="17" xfId="0" applyFont="1" applyBorder="1"/>
    <xf numFmtId="4" fontId="28" fillId="0" borderId="17" xfId="0" applyNumberFormat="1" applyFont="1" applyBorder="1" applyAlignment="1">
      <alignment horizontal="center" vertical="center" wrapText="1"/>
    </xf>
    <xf numFmtId="4" fontId="27" fillId="0" borderId="17" xfId="0" applyNumberFormat="1" applyFont="1" applyBorder="1" applyAlignment="1">
      <alignment horizontal="center"/>
    </xf>
    <xf numFmtId="0" fontId="28" fillId="0" borderId="20" xfId="0" applyFont="1" applyBorder="1"/>
    <xf numFmtId="0" fontId="28" fillId="0" borderId="9" xfId="0" applyFont="1" applyBorder="1"/>
    <xf numFmtId="3" fontId="28" fillId="0" borderId="21" xfId="0" applyNumberFormat="1" applyFont="1" applyBorder="1" applyAlignment="1">
      <alignment horizontal="center" vertical="center" wrapText="1"/>
    </xf>
    <xf numFmtId="0" fontId="28" fillId="0" borderId="29" xfId="0" applyFont="1" applyBorder="1"/>
    <xf numFmtId="0" fontId="28" fillId="0" borderId="16" xfId="0" applyFont="1" applyBorder="1"/>
    <xf numFmtId="0" fontId="29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3" fontId="32" fillId="0" borderId="0" xfId="0" applyNumberFormat="1" applyFont="1" applyAlignment="1">
      <alignment horizontal="center" vertical="center" wrapText="1"/>
    </xf>
    <xf numFmtId="3" fontId="29" fillId="3" borderId="25" xfId="0" applyNumberFormat="1" applyFont="1" applyFill="1" applyBorder="1" applyAlignment="1">
      <alignment horizontal="center" vertical="center"/>
    </xf>
    <xf numFmtId="3" fontId="29" fillId="3" borderId="26" xfId="0" applyNumberFormat="1" applyFont="1" applyFill="1" applyBorder="1" applyAlignment="1">
      <alignment horizontal="center" vertical="center"/>
    </xf>
    <xf numFmtId="3" fontId="29" fillId="3" borderId="30" xfId="0" applyNumberFormat="1" applyFont="1" applyFill="1" applyBorder="1" applyAlignment="1">
      <alignment horizontal="center" vertical="center"/>
    </xf>
    <xf numFmtId="3" fontId="29" fillId="3" borderId="16" xfId="0" applyNumberFormat="1" applyFont="1" applyFill="1" applyBorder="1" applyAlignment="1">
      <alignment horizontal="center" vertical="center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/>
    </xf>
    <xf numFmtId="0" fontId="32" fillId="0" borderId="22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/>
    <xf numFmtId="0" fontId="29" fillId="0" borderId="22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3" fontId="32" fillId="0" borderId="21" xfId="0" applyNumberFormat="1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Border="1"/>
    <xf numFmtId="3" fontId="32" fillId="0" borderId="21" xfId="0" applyNumberFormat="1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20" xfId="0" applyNumberFormat="1" applyFont="1" applyBorder="1" applyAlignment="1">
      <alignment horizontal="center"/>
    </xf>
    <xf numFmtId="3" fontId="32" fillId="0" borderId="193" xfId="0" applyNumberFormat="1" applyFont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3" fontId="32" fillId="14" borderId="193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166" fontId="32" fillId="0" borderId="17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/>
    </xf>
    <xf numFmtId="0" fontId="32" fillId="0" borderId="9" xfId="0" applyFont="1" applyBorder="1" applyAlignment="1">
      <alignment horizontal="justify"/>
    </xf>
    <xf numFmtId="4" fontId="32" fillId="0" borderId="17" xfId="0" applyNumberFormat="1" applyFont="1" applyBorder="1" applyAlignment="1">
      <alignment horizontal="center" vertical="center" wrapText="1"/>
    </xf>
    <xf numFmtId="3" fontId="32" fillId="0" borderId="193" xfId="0" applyNumberFormat="1" applyFont="1" applyBorder="1" applyAlignment="1">
      <alignment horizontal="center"/>
    </xf>
    <xf numFmtId="3" fontId="32" fillId="0" borderId="192" xfId="0" applyNumberFormat="1" applyFont="1" applyBorder="1" applyAlignment="1">
      <alignment horizontal="center" vertical="center" wrapText="1"/>
    </xf>
    <xf numFmtId="3" fontId="32" fillId="0" borderId="192" xfId="0" applyNumberFormat="1" applyFont="1" applyBorder="1" applyAlignment="1">
      <alignment horizont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3" fontId="32" fillId="0" borderId="191" xfId="0" applyNumberFormat="1" applyFont="1" applyBorder="1" applyAlignment="1">
      <alignment horizontal="center" vertical="center" wrapText="1"/>
    </xf>
    <xf numFmtId="3" fontId="32" fillId="0" borderId="191" xfId="0" applyNumberFormat="1" applyFont="1" applyBorder="1" applyAlignment="1">
      <alignment horizontal="center"/>
    </xf>
    <xf numFmtId="3" fontId="29" fillId="3" borderId="27" xfId="0" applyNumberFormat="1" applyFont="1" applyFill="1" applyBorder="1" applyAlignment="1">
      <alignment horizontal="center" vertical="center" wrapText="1"/>
    </xf>
    <xf numFmtId="3" fontId="29" fillId="3" borderId="36" xfId="0" applyNumberFormat="1" applyFont="1" applyFill="1" applyBorder="1" applyAlignment="1">
      <alignment horizontal="center" vertical="center" wrapText="1"/>
    </xf>
    <xf numFmtId="3" fontId="32" fillId="3" borderId="27" xfId="0" applyNumberFormat="1" applyFont="1" applyFill="1" applyBorder="1" applyAlignment="1">
      <alignment horizontal="center" vertical="center" wrapText="1"/>
    </xf>
    <xf numFmtId="3" fontId="32" fillId="3" borderId="36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4" fontId="32" fillId="0" borderId="17" xfId="0" applyNumberFormat="1" applyFont="1" applyBorder="1" applyAlignment="1">
      <alignment horizontal="center"/>
    </xf>
    <xf numFmtId="3" fontId="29" fillId="3" borderId="29" xfId="0" applyNumberFormat="1" applyFont="1" applyFill="1" applyBorder="1" applyAlignment="1">
      <alignment horizontal="center" vertical="center" wrapText="1"/>
    </xf>
    <xf numFmtId="3" fontId="29" fillId="3" borderId="16" xfId="0" applyNumberFormat="1" applyFont="1" applyFill="1" applyBorder="1" applyAlignment="1">
      <alignment horizontal="center" vertical="center" wrapText="1"/>
    </xf>
    <xf numFmtId="3" fontId="32" fillId="3" borderId="29" xfId="0" applyNumberFormat="1" applyFont="1" applyFill="1" applyBorder="1" applyAlignment="1">
      <alignment horizontal="center" vertical="center" wrapText="1"/>
    </xf>
    <xf numFmtId="3" fontId="32" fillId="3" borderId="16" xfId="0" applyNumberFormat="1" applyFont="1" applyFill="1" applyBorder="1" applyAlignment="1">
      <alignment horizontal="center" vertical="center" wrapText="1"/>
    </xf>
    <xf numFmtId="166" fontId="32" fillId="0" borderId="22" xfId="0" applyNumberFormat="1" applyFont="1" applyBorder="1" applyAlignment="1">
      <alignment horizontal="center" vertical="center" wrapText="1"/>
    </xf>
    <xf numFmtId="166" fontId="32" fillId="0" borderId="9" xfId="0" applyNumberFormat="1" applyFont="1" applyBorder="1" applyAlignment="1">
      <alignment horizontal="center" vertical="center" wrapText="1"/>
    </xf>
    <xf numFmtId="4" fontId="32" fillId="0" borderId="22" xfId="0" applyNumberFormat="1" applyFont="1" applyBorder="1" applyAlignment="1">
      <alignment horizontal="center" vertical="center" wrapText="1"/>
    </xf>
    <xf numFmtId="4" fontId="32" fillId="0" borderId="9" xfId="0" applyNumberFormat="1" applyFont="1" applyBorder="1" applyAlignment="1">
      <alignment horizontal="center" vertical="center" wrapText="1"/>
    </xf>
    <xf numFmtId="3" fontId="32" fillId="0" borderId="22" xfId="0" applyNumberFormat="1" applyFont="1" applyBorder="1" applyAlignment="1">
      <alignment horizontal="center"/>
    </xf>
    <xf numFmtId="3" fontId="32" fillId="0" borderId="44" xfId="0" applyNumberFormat="1" applyFont="1" applyBorder="1" applyAlignment="1">
      <alignment horizontal="center" vertical="center" wrapText="1"/>
    </xf>
    <xf numFmtId="3" fontId="32" fillId="0" borderId="5" xfId="0" applyNumberFormat="1" applyFont="1" applyBorder="1" applyAlignment="1">
      <alignment horizontal="center"/>
    </xf>
    <xf numFmtId="3" fontId="32" fillId="0" borderId="90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/>
    </xf>
    <xf numFmtId="0" fontId="28" fillId="0" borderId="21" xfId="0" applyFont="1" applyBorder="1" applyAlignment="1">
      <alignment horizontal="center" vertical="center" wrapText="1"/>
    </xf>
    <xf numFmtId="0" fontId="27" fillId="0" borderId="21" xfId="0" applyFont="1" applyBorder="1"/>
    <xf numFmtId="3" fontId="27" fillId="0" borderId="21" xfId="0" applyNumberFormat="1" applyFont="1" applyBorder="1" applyAlignment="1">
      <alignment horizontal="center"/>
    </xf>
    <xf numFmtId="3" fontId="30" fillId="0" borderId="17" xfId="0" applyNumberFormat="1" applyFont="1" applyBorder="1" applyAlignment="1">
      <alignment horizontal="center" vertical="center" wrapText="1"/>
    </xf>
    <xf numFmtId="3" fontId="31" fillId="0" borderId="17" xfId="0" applyNumberFormat="1" applyFont="1" applyBorder="1" applyAlignment="1">
      <alignment horizontal="center"/>
    </xf>
    <xf numFmtId="3" fontId="28" fillId="14" borderId="17" xfId="0" applyNumberFormat="1" applyFont="1" applyFill="1" applyBorder="1" applyAlignment="1">
      <alignment horizontal="center" vertical="center" wrapText="1"/>
    </xf>
    <xf numFmtId="166" fontId="28" fillId="0" borderId="17" xfId="0" applyNumberFormat="1" applyFont="1" applyBorder="1" applyAlignment="1">
      <alignment horizontal="center" vertical="center" wrapText="1"/>
    </xf>
    <xf numFmtId="0" fontId="29" fillId="14" borderId="0" xfId="0" applyFont="1" applyFill="1" applyAlignment="1">
      <alignment horizontal="center" vertical="center"/>
    </xf>
    <xf numFmtId="166" fontId="30" fillId="3" borderId="29" xfId="0" applyNumberFormat="1" applyFont="1" applyFill="1" applyBorder="1" applyAlignment="1">
      <alignment horizontal="center" vertical="center" wrapText="1"/>
    </xf>
    <xf numFmtId="166" fontId="30" fillId="3" borderId="16" xfId="0" applyNumberFormat="1" applyFont="1" applyFill="1" applyBorder="1" applyAlignment="1">
      <alignment horizontal="center" vertical="center" wrapText="1"/>
    </xf>
    <xf numFmtId="166" fontId="27" fillId="0" borderId="17" xfId="0" applyNumberFormat="1" applyFont="1" applyBorder="1" applyAlignment="1">
      <alignment horizontal="center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3" fontId="28" fillId="0" borderId="17" xfId="0" applyNumberFormat="1" applyFont="1" applyBorder="1" applyAlignment="1">
      <alignment horizontal="center"/>
    </xf>
    <xf numFmtId="0" fontId="28" fillId="0" borderId="17" xfId="0" applyFont="1" applyBorder="1"/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/>
    <xf numFmtId="3" fontId="38" fillId="0" borderId="21" xfId="0" applyNumberFormat="1" applyFont="1" applyBorder="1" applyAlignment="1">
      <alignment horizontal="center" vertical="center" wrapText="1"/>
    </xf>
    <xf numFmtId="3" fontId="38" fillId="0" borderId="21" xfId="0" applyNumberFormat="1" applyFont="1" applyBorder="1" applyAlignment="1">
      <alignment horizontal="center"/>
    </xf>
    <xf numFmtId="3" fontId="38" fillId="0" borderId="19" xfId="0" applyNumberFormat="1" applyFont="1" applyBorder="1" applyAlignment="1">
      <alignment horizontal="center"/>
    </xf>
    <xf numFmtId="3" fontId="38" fillId="0" borderId="20" xfId="0" applyNumberFormat="1" applyFont="1" applyBorder="1" applyAlignment="1">
      <alignment horizontal="center"/>
    </xf>
    <xf numFmtId="0" fontId="3" fillId="0" borderId="2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7" xfId="0" applyFont="1" applyBorder="1"/>
    <xf numFmtId="3" fontId="38" fillId="0" borderId="17" xfId="0" applyNumberFormat="1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/>
    </xf>
    <xf numFmtId="3" fontId="3" fillId="0" borderId="17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166" fontId="38" fillId="0" borderId="17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3" fillId="0" borderId="2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38" fillId="0" borderId="9" xfId="0" applyFont="1" applyBorder="1" applyAlignment="1">
      <alignment horizontal="left" vertical="top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3" fontId="38" fillId="14" borderId="17" xfId="0" applyNumberFormat="1" applyFont="1" applyFill="1" applyBorder="1" applyAlignment="1">
      <alignment horizontal="center" vertical="center" wrapText="1"/>
    </xf>
    <xf numFmtId="0" fontId="38" fillId="0" borderId="22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166" fontId="38" fillId="0" borderId="22" xfId="0" applyNumberFormat="1" applyFont="1" applyBorder="1" applyAlignment="1">
      <alignment horizontal="center" vertical="center" wrapText="1"/>
    </xf>
    <xf numFmtId="166" fontId="38" fillId="0" borderId="9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3" fontId="38" fillId="3" borderId="27" xfId="0" applyNumberFormat="1" applyFont="1" applyFill="1" applyBorder="1" applyAlignment="1">
      <alignment horizontal="center" vertical="center" wrapText="1"/>
    </xf>
    <xf numFmtId="3" fontId="38" fillId="3" borderId="36" xfId="0" applyNumberFormat="1" applyFont="1" applyFill="1" applyBorder="1" applyAlignment="1">
      <alignment horizontal="center" vertical="center" wrapText="1"/>
    </xf>
    <xf numFmtId="3" fontId="3" fillId="3" borderId="27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3" fontId="38" fillId="0" borderId="28" xfId="0" applyNumberFormat="1" applyFont="1" applyBorder="1" applyAlignment="1">
      <alignment horizontal="center" vertical="center"/>
    </xf>
    <xf numFmtId="3" fontId="38" fillId="0" borderId="36" xfId="0" applyNumberFormat="1" applyFont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3" fontId="3" fillId="0" borderId="67" xfId="0" applyNumberFormat="1" applyFont="1" applyBorder="1" applyAlignment="1">
      <alignment horizontal="center" vertical="center" wrapText="1"/>
    </xf>
    <xf numFmtId="3" fontId="3" fillId="0" borderId="67" xfId="0" applyNumberFormat="1" applyFont="1" applyBorder="1" applyAlignment="1">
      <alignment horizontal="center"/>
    </xf>
    <xf numFmtId="3" fontId="38" fillId="3" borderId="29" xfId="0" applyNumberFormat="1" applyFont="1" applyFill="1" applyBorder="1" applyAlignment="1">
      <alignment horizontal="center" vertical="center" wrapText="1"/>
    </xf>
    <xf numFmtId="3" fontId="38" fillId="3" borderId="16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0" fontId="90" fillId="14" borderId="0" xfId="0" applyFont="1" applyFill="1" applyAlignment="1">
      <alignment horizontal="center" vertical="center"/>
    </xf>
    <xf numFmtId="3" fontId="32" fillId="14" borderId="0" xfId="0" applyNumberFormat="1" applyFont="1" applyFill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3" fontId="32" fillId="0" borderId="36" xfId="0" applyNumberFormat="1" applyFont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5" borderId="169" xfId="0" applyFont="1" applyFill="1" applyBorder="1" applyAlignment="1">
      <alignment horizontal="center"/>
    </xf>
    <xf numFmtId="0" fontId="7" fillId="5" borderId="115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7" fillId="5" borderId="165" xfId="0" applyFont="1" applyFill="1" applyBorder="1" applyAlignment="1">
      <alignment horizontal="center"/>
    </xf>
    <xf numFmtId="0" fontId="7" fillId="5" borderId="117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169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5" borderId="165" xfId="0" applyFont="1" applyFill="1" applyBorder="1" applyAlignment="1">
      <alignment horizontal="center" vertical="center"/>
    </xf>
    <xf numFmtId="0" fontId="12" fillId="5" borderId="117" xfId="0" applyFont="1" applyFill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/>
    </xf>
    <xf numFmtId="3" fontId="28" fillId="0" borderId="9" xfId="0" applyNumberFormat="1" applyFont="1" applyBorder="1"/>
    <xf numFmtId="0" fontId="28" fillId="0" borderId="22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30" fillId="0" borderId="22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3" fontId="30" fillId="0" borderId="9" xfId="0" applyNumberFormat="1" applyFont="1" applyBorder="1"/>
    <xf numFmtId="0" fontId="28" fillId="0" borderId="22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3" fontId="28" fillId="3" borderId="22" xfId="0" applyNumberFormat="1" applyFont="1" applyFill="1" applyBorder="1" applyAlignment="1">
      <alignment horizontal="center" vertical="center" wrapText="1"/>
    </xf>
    <xf numFmtId="3" fontId="28" fillId="3" borderId="9" xfId="0" applyNumberFormat="1" applyFont="1" applyFill="1" applyBorder="1" applyAlignment="1">
      <alignment horizontal="center" vertical="center" wrapText="1"/>
    </xf>
    <xf numFmtId="3" fontId="28" fillId="0" borderId="22" xfId="0" applyNumberFormat="1" applyFont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 wrapText="1"/>
    </xf>
    <xf numFmtId="0" fontId="27" fillId="0" borderId="0" xfId="0" applyFont="1"/>
    <xf numFmtId="3" fontId="27" fillId="0" borderId="0" xfId="0" applyNumberFormat="1" applyFont="1" applyAlignment="1">
      <alignment horizontal="center"/>
    </xf>
    <xf numFmtId="3" fontId="27" fillId="0" borderId="0" xfId="0" applyNumberFormat="1" applyFont="1"/>
    <xf numFmtId="0" fontId="28" fillId="0" borderId="22" xfId="0" applyFont="1" applyBorder="1" applyAlignment="1">
      <alignment horizontal="justify" vertical="center" wrapText="1"/>
    </xf>
    <xf numFmtId="0" fontId="28" fillId="0" borderId="9" xfId="0" applyFont="1" applyBorder="1" applyAlignment="1">
      <alignment horizontal="justify" vertical="center" wrapText="1"/>
    </xf>
    <xf numFmtId="0" fontId="13" fillId="10" borderId="49" xfId="0" applyFont="1" applyFill="1" applyBorder="1" applyAlignment="1">
      <alignment horizontal="center" wrapText="1"/>
    </xf>
    <xf numFmtId="0" fontId="13" fillId="10" borderId="4" xfId="0" applyFont="1" applyFill="1" applyBorder="1" applyAlignment="1">
      <alignment horizontal="center" wrapText="1"/>
    </xf>
    <xf numFmtId="3" fontId="4" fillId="0" borderId="0" xfId="0" applyNumberFormat="1" applyFont="1" applyAlignment="1">
      <alignment horizontal="center"/>
    </xf>
    <xf numFmtId="0" fontId="9" fillId="10" borderId="109" xfId="0" applyFont="1" applyFill="1" applyBorder="1" applyAlignment="1">
      <alignment horizontal="center" vertical="center"/>
    </xf>
    <xf numFmtId="0" fontId="9" fillId="10" borderId="68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0" fontId="5" fillId="10" borderId="111" xfId="0" applyFont="1" applyFill="1" applyBorder="1" applyAlignment="1">
      <alignment horizontal="center"/>
    </xf>
    <xf numFmtId="0" fontId="9" fillId="10" borderId="111" xfId="0" applyFont="1" applyFill="1" applyBorder="1" applyAlignment="1">
      <alignment horizontal="center"/>
    </xf>
    <xf numFmtId="0" fontId="9" fillId="10" borderId="116" xfId="0" applyFont="1" applyFill="1" applyBorder="1" applyAlignment="1">
      <alignment horizontal="center"/>
    </xf>
    <xf numFmtId="0" fontId="5" fillId="10" borderId="42" xfId="0" applyFont="1" applyFill="1" applyBorder="1" applyAlignment="1">
      <alignment horizontal="center"/>
    </xf>
    <xf numFmtId="166" fontId="41" fillId="0" borderId="31" xfId="0" applyNumberFormat="1" applyFont="1" applyBorder="1" applyAlignment="1">
      <alignment horizontal="center" vertical="center"/>
    </xf>
    <xf numFmtId="166" fontId="41" fillId="0" borderId="2" xfId="0" applyNumberFormat="1" applyFont="1" applyBorder="1" applyAlignment="1">
      <alignment horizontal="center" vertical="center"/>
    </xf>
    <xf numFmtId="166" fontId="41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10" borderId="108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3" fillId="10" borderId="109" xfId="0" applyFont="1" applyFill="1" applyBorder="1" applyAlignment="1">
      <alignment horizontal="center"/>
    </xf>
    <xf numFmtId="0" fontId="3" fillId="10" borderId="111" xfId="0" applyFont="1" applyFill="1" applyBorder="1" applyAlignment="1">
      <alignment horizontal="center"/>
    </xf>
    <xf numFmtId="0" fontId="3" fillId="10" borderId="116" xfId="0" applyFont="1" applyFill="1" applyBorder="1" applyAlignment="1">
      <alignment horizontal="center"/>
    </xf>
    <xf numFmtId="0" fontId="9" fillId="10" borderId="68" xfId="0" applyFont="1" applyFill="1" applyBorder="1" applyAlignment="1">
      <alignment horizontal="center"/>
    </xf>
    <xf numFmtId="0" fontId="9" fillId="10" borderId="42" xfId="0" applyFont="1" applyFill="1" applyBorder="1" applyAlignment="1">
      <alignment horizontal="center"/>
    </xf>
    <xf numFmtId="3" fontId="9" fillId="3" borderId="170" xfId="0" applyNumberFormat="1" applyFont="1" applyFill="1" applyBorder="1" applyAlignment="1">
      <alignment horizontal="center"/>
    </xf>
    <xf numFmtId="3" fontId="9" fillId="3" borderId="171" xfId="0" applyNumberFormat="1" applyFont="1" applyFill="1" applyBorder="1" applyAlignment="1">
      <alignment horizontal="center"/>
    </xf>
    <xf numFmtId="3" fontId="9" fillId="3" borderId="172" xfId="0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74" xfId="0" applyNumberFormat="1" applyBorder="1" applyAlignment="1">
      <alignment horizontal="center"/>
    </xf>
    <xf numFmtId="0" fontId="55" fillId="0" borderId="0" xfId="0" applyFont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70" xfId="0" applyFont="1" applyFill="1" applyBorder="1" applyAlignment="1">
      <alignment horizontal="center"/>
    </xf>
    <xf numFmtId="0" fontId="9" fillId="3" borderId="172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27" fillId="0" borderId="9" xfId="0" applyFont="1" applyBorder="1"/>
    <xf numFmtId="0" fontId="30" fillId="3" borderId="29" xfId="0" applyFont="1" applyFill="1" applyBorder="1" applyAlignment="1">
      <alignment horizontal="left" vertical="center" wrapText="1"/>
    </xf>
    <xf numFmtId="0" fontId="30" fillId="3" borderId="16" xfId="0" applyFont="1" applyFill="1" applyBorder="1" applyAlignment="1">
      <alignment horizontal="left" vertical="center" wrapText="1"/>
    </xf>
    <xf numFmtId="3" fontId="8" fillId="0" borderId="22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28" fillId="6" borderId="28" xfId="0" applyNumberFormat="1" applyFont="1" applyFill="1" applyBorder="1" applyAlignment="1">
      <alignment horizontal="center"/>
    </xf>
    <xf numFmtId="3" fontId="28" fillId="6" borderId="36" xfId="0" applyNumberFormat="1" applyFont="1" applyFill="1" applyBorder="1" applyAlignment="1">
      <alignment horizont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31" fillId="0" borderId="9" xfId="0" applyFont="1" applyBorder="1"/>
    <xf numFmtId="3" fontId="28" fillId="3" borderId="17" xfId="0" applyNumberFormat="1" applyFont="1" applyFill="1" applyBorder="1" applyAlignment="1">
      <alignment horizontal="center" vertical="center" wrapText="1"/>
    </xf>
    <xf numFmtId="3" fontId="30" fillId="3" borderId="17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27" fillId="0" borderId="20" xfId="0" applyFont="1" applyBorder="1"/>
    <xf numFmtId="0" fontId="27" fillId="0" borderId="29" xfId="0" applyFont="1" applyBorder="1"/>
    <xf numFmtId="0" fontId="27" fillId="0" borderId="16" xfId="0" applyFont="1" applyBorder="1"/>
    <xf numFmtId="1" fontId="28" fillId="0" borderId="22" xfId="0" applyNumberFormat="1" applyFont="1" applyBorder="1" applyAlignment="1">
      <alignment horizontal="center" vertical="center" wrapText="1"/>
    </xf>
    <xf numFmtId="1" fontId="28" fillId="0" borderId="9" xfId="0" applyNumberFormat="1" applyFont="1" applyBorder="1"/>
    <xf numFmtId="3" fontId="28" fillId="14" borderId="17" xfId="0" applyNumberFormat="1" applyFont="1" applyFill="1" applyBorder="1" applyAlignment="1">
      <alignment horizontal="center"/>
    </xf>
    <xf numFmtId="0" fontId="30" fillId="14" borderId="0" xfId="0" applyFont="1" applyFill="1" applyAlignment="1">
      <alignment horizontal="center" vertical="center"/>
    </xf>
    <xf numFmtId="3" fontId="28" fillId="14" borderId="22" xfId="0" applyNumberFormat="1" applyFont="1" applyFill="1" applyBorder="1" applyAlignment="1">
      <alignment horizontal="center" vertical="center" wrapText="1"/>
    </xf>
    <xf numFmtId="3" fontId="28" fillId="14" borderId="9" xfId="0" applyNumberFormat="1" applyFont="1" applyFill="1" applyBorder="1" applyAlignment="1">
      <alignment horizontal="center" vertical="center" wrapText="1"/>
    </xf>
    <xf numFmtId="3" fontId="28" fillId="4" borderId="0" xfId="0" applyNumberFormat="1" applyFont="1" applyFill="1" applyAlignment="1">
      <alignment horizontal="center" vertical="center"/>
    </xf>
    <xf numFmtId="3" fontId="28" fillId="14" borderId="0" xfId="0" applyNumberFormat="1" applyFont="1" applyFill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28" fillId="0" borderId="22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3" fontId="28" fillId="0" borderId="0" xfId="0" applyNumberFormat="1" applyFont="1" applyAlignment="1">
      <alignment horizontal="center" vertical="center"/>
    </xf>
    <xf numFmtId="3" fontId="27" fillId="0" borderId="9" xfId="0" applyNumberFormat="1" applyFont="1" applyBorder="1"/>
    <xf numFmtId="1" fontId="26" fillId="0" borderId="22" xfId="0" applyNumberFormat="1" applyFont="1" applyBorder="1" applyAlignment="1">
      <alignment horizontal="center" vertical="center" wrapText="1"/>
    </xf>
    <xf numFmtId="1" fontId="26" fillId="0" borderId="9" xfId="0" applyNumberFormat="1" applyFont="1" applyBorder="1" applyAlignment="1">
      <alignment horizontal="center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/>
    <xf numFmtId="0" fontId="9" fillId="0" borderId="19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center" vertical="center" wrapText="1"/>
    </xf>
    <xf numFmtId="3" fontId="8" fillId="3" borderId="29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9" xfId="0" applyFont="1" applyBorder="1"/>
    <xf numFmtId="0" fontId="8" fillId="0" borderId="2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8" fillId="0" borderId="20" xfId="0" applyFont="1" applyBorder="1"/>
    <xf numFmtId="0" fontId="8" fillId="0" borderId="29" xfId="0" applyFont="1" applyBorder="1"/>
    <xf numFmtId="0" fontId="8" fillId="0" borderId="16" xfId="0" applyFont="1" applyBorder="1"/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1" fontId="8" fillId="0" borderId="9" xfId="0" applyNumberFormat="1" applyFont="1" applyBorder="1"/>
    <xf numFmtId="3" fontId="8" fillId="0" borderId="17" xfId="0" applyNumberFormat="1" applyFont="1" applyBorder="1" applyAlignment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8" fillId="0" borderId="25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/>
    </xf>
    <xf numFmtId="3" fontId="8" fillId="0" borderId="28" xfId="0" applyNumberFormat="1" applyFont="1" applyBorder="1" applyAlignment="1">
      <alignment horizontal="center" vertical="center" wrapText="1"/>
    </xf>
    <xf numFmtId="3" fontId="8" fillId="0" borderId="36" xfId="0" applyNumberFormat="1" applyFont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3" fontId="9" fillId="3" borderId="9" xfId="0" applyNumberFormat="1" applyFont="1" applyFill="1" applyBorder="1" applyAlignment="1">
      <alignment horizontal="center" vertical="center"/>
    </xf>
    <xf numFmtId="0" fontId="8" fillId="0" borderId="2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 wrapText="1"/>
    </xf>
    <xf numFmtId="3" fontId="21" fillId="0" borderId="22" xfId="0" applyNumberFormat="1" applyFont="1" applyBorder="1" applyAlignment="1">
      <alignment horizontal="center" vertical="center" wrapText="1"/>
    </xf>
    <xf numFmtId="3" fontId="21" fillId="0" borderId="9" xfId="0" applyNumberFormat="1" applyFont="1" applyBorder="1" applyAlignment="1">
      <alignment horizontal="center" vertical="center" wrapText="1"/>
    </xf>
    <xf numFmtId="3" fontId="1" fillId="0" borderId="22" xfId="0" applyNumberFormat="1" applyFont="1" applyBorder="1" applyAlignment="1">
      <alignment horizontal="center" vertical="center" wrapText="1"/>
    </xf>
    <xf numFmtId="3" fontId="8" fillId="3" borderId="22" xfId="0" applyNumberFormat="1" applyFont="1" applyFill="1" applyBorder="1" applyAlignment="1">
      <alignment horizontal="center" vertical="center" wrapText="1"/>
    </xf>
    <xf numFmtId="3" fontId="8" fillId="3" borderId="9" xfId="0" applyNumberFormat="1" applyFont="1" applyFill="1" applyBorder="1" applyAlignment="1">
      <alignment horizontal="center" vertical="center" wrapText="1"/>
    </xf>
    <xf numFmtId="3" fontId="9" fillId="3" borderId="22" xfId="0" applyNumberFormat="1" applyFont="1" applyFill="1" applyBorder="1" applyAlignment="1">
      <alignment horizontal="center" vertical="center" wrapText="1"/>
    </xf>
    <xf numFmtId="3" fontId="9" fillId="3" borderId="9" xfId="0" applyNumberFormat="1" applyFont="1" applyFill="1" applyBorder="1" applyAlignment="1">
      <alignment horizontal="center" vertical="center" wrapText="1"/>
    </xf>
    <xf numFmtId="3" fontId="8" fillId="6" borderId="28" xfId="0" applyNumberFormat="1" applyFont="1" applyFill="1" applyBorder="1" applyAlignment="1">
      <alignment horizontal="center"/>
    </xf>
    <xf numFmtId="3" fontId="8" fillId="6" borderId="36" xfId="0" applyNumberFormat="1" applyFont="1" applyFill="1" applyBorder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3" fontId="4" fillId="3" borderId="30" xfId="0" applyNumberFormat="1" applyFont="1" applyFill="1" applyBorder="1" applyAlignment="1">
      <alignment horizontal="center" vertical="center"/>
    </xf>
    <xf numFmtId="3" fontId="4" fillId="3" borderId="16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justify" vertical="center" wrapText="1"/>
    </xf>
    <xf numFmtId="0" fontId="31" fillId="0" borderId="22" xfId="0" applyFont="1" applyBorder="1" applyAlignment="1">
      <alignment horizontal="justify" vertical="center" wrapText="1"/>
    </xf>
    <xf numFmtId="0" fontId="31" fillId="0" borderId="9" xfId="0" applyFont="1" applyBorder="1" applyAlignment="1">
      <alignment horizontal="justify" vertical="center" wrapText="1"/>
    </xf>
    <xf numFmtId="1" fontId="27" fillId="0" borderId="9" xfId="0" applyNumberFormat="1" applyFont="1" applyBorder="1"/>
    <xf numFmtId="0" fontId="28" fillId="4" borderId="0" xfId="0" applyFont="1" applyFill="1" applyAlignment="1">
      <alignment horizontal="center" vertical="center"/>
    </xf>
    <xf numFmtId="0" fontId="27" fillId="0" borderId="9" xfId="0" applyFont="1" applyBorder="1" applyAlignment="1">
      <alignment horizontal="center"/>
    </xf>
    <xf numFmtId="1" fontId="28" fillId="0" borderId="9" xfId="0" applyNumberFormat="1" applyFont="1" applyBorder="1" applyAlignment="1">
      <alignment horizontal="center" vertical="center" wrapText="1"/>
    </xf>
    <xf numFmtId="0" fontId="28" fillId="14" borderId="22" xfId="0" applyFont="1" applyFill="1" applyBorder="1" applyAlignment="1">
      <alignment horizontal="center" vertical="center" wrapText="1"/>
    </xf>
    <xf numFmtId="0" fontId="27" fillId="14" borderId="9" xfId="0" applyFont="1" applyFill="1" applyBorder="1"/>
    <xf numFmtId="3" fontId="28" fillId="0" borderId="42" xfId="0" applyNumberFormat="1" applyFont="1" applyBorder="1" applyAlignment="1">
      <alignment horizontal="center"/>
    </xf>
    <xf numFmtId="3" fontId="30" fillId="15" borderId="42" xfId="0" applyNumberFormat="1" applyFont="1" applyFill="1" applyBorder="1" applyAlignment="1">
      <alignment horizontal="center" vertical="center"/>
    </xf>
    <xf numFmtId="3" fontId="30" fillId="15" borderId="1" xfId="0" applyNumberFormat="1" applyFont="1" applyFill="1" applyBorder="1" applyAlignment="1">
      <alignment horizontal="center" vertical="center"/>
    </xf>
    <xf numFmtId="3" fontId="30" fillId="15" borderId="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75" xfId="0" applyFont="1" applyBorder="1" applyAlignment="1">
      <alignment horizontal="center"/>
    </xf>
    <xf numFmtId="0" fontId="9" fillId="0" borderId="75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141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" fillId="3" borderId="25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3" borderId="7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0" fontId="5" fillId="16" borderId="141" xfId="0" applyFont="1" applyFill="1" applyBorder="1" applyAlignment="1">
      <alignment horizontal="center"/>
    </xf>
    <xf numFmtId="0" fontId="5" fillId="16" borderId="49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0" fontId="5" fillId="16" borderId="99" xfId="0" applyFont="1" applyFill="1" applyBorder="1" applyAlignment="1">
      <alignment horizontal="center" vertical="center" wrapText="1"/>
    </xf>
    <xf numFmtId="0" fontId="5" fillId="16" borderId="158" xfId="0" applyFont="1" applyFill="1" applyBorder="1" applyAlignment="1">
      <alignment horizontal="center" vertical="center" wrapText="1"/>
    </xf>
    <xf numFmtId="0" fontId="5" fillId="16" borderId="92" xfId="0" applyFont="1" applyFill="1" applyBorder="1" applyAlignment="1">
      <alignment horizontal="center" vertical="center" wrapText="1"/>
    </xf>
    <xf numFmtId="0" fontId="5" fillId="16" borderId="50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5" fillId="16" borderId="209" xfId="0" applyFont="1" applyFill="1" applyBorder="1" applyAlignment="1">
      <alignment horizontal="center"/>
    </xf>
    <xf numFmtId="0" fontId="5" fillId="16" borderId="210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 vertical="center" wrapText="1"/>
    </xf>
    <xf numFmtId="0" fontId="5" fillId="16" borderId="9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74" xfId="0" applyFont="1" applyFill="1" applyBorder="1" applyAlignment="1">
      <alignment horizontal="center"/>
    </xf>
    <xf numFmtId="0" fontId="5" fillId="3" borderId="158" xfId="0" applyFont="1" applyFill="1" applyBorder="1" applyAlignment="1">
      <alignment horizontal="center" vertical="center" wrapText="1"/>
    </xf>
    <xf numFmtId="0" fontId="5" fillId="3" borderId="99" xfId="0" applyFont="1" applyFill="1" applyBorder="1" applyAlignment="1">
      <alignment horizontal="center" vertical="center" wrapText="1"/>
    </xf>
    <xf numFmtId="0" fontId="46" fillId="3" borderId="153" xfId="0" applyFont="1" applyFill="1" applyBorder="1" applyAlignment="1">
      <alignment horizontal="center"/>
    </xf>
    <xf numFmtId="0" fontId="46" fillId="3" borderId="152" xfId="0" applyFont="1" applyFill="1" applyBorder="1" applyAlignment="1">
      <alignment horizontal="center"/>
    </xf>
    <xf numFmtId="0" fontId="46" fillId="3" borderId="7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9" fillId="3" borderId="144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155" xfId="0" applyFont="1" applyFill="1" applyBorder="1" applyAlignment="1">
      <alignment horizontal="center"/>
    </xf>
    <xf numFmtId="0" fontId="9" fillId="3" borderId="46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3" fontId="9" fillId="0" borderId="0" xfId="0" applyNumberFormat="1" applyFont="1" applyAlignment="1">
      <alignment horizontal="center" wrapText="1"/>
    </xf>
    <xf numFmtId="3" fontId="5" fillId="0" borderId="0" xfId="0" applyNumberFormat="1" applyFont="1" applyAlignment="1">
      <alignment horizontal="center" wrapText="1"/>
    </xf>
    <xf numFmtId="0" fontId="8" fillId="16" borderId="148" xfId="0" applyFont="1" applyFill="1" applyBorder="1" applyAlignment="1">
      <alignment horizontal="center" vertical="center" wrapText="1"/>
    </xf>
    <xf numFmtId="0" fontId="8" fillId="16" borderId="13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3" fontId="47" fillId="0" borderId="0" xfId="0" applyNumberFormat="1" applyFont="1" applyAlignment="1">
      <alignment horizontal="center" wrapText="1"/>
    </xf>
    <xf numFmtId="0" fontId="9" fillId="3" borderId="0" xfId="0" applyFont="1" applyFill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5" fillId="8" borderId="7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3" fillId="3" borderId="153" xfId="0" applyFont="1" applyFill="1" applyBorder="1" applyAlignment="1">
      <alignment horizontal="center"/>
    </xf>
    <xf numFmtId="0" fontId="3" fillId="3" borderId="152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2" xfId="0" applyFont="1" applyFill="1" applyBorder="1" applyAlignment="1">
      <alignment horizontal="center" vertical="center" wrapText="1"/>
    </xf>
    <xf numFmtId="0" fontId="5" fillId="3" borderId="148" xfId="0" applyFont="1" applyFill="1" applyBorder="1" applyAlignment="1">
      <alignment horizontal="center" vertical="center" wrapText="1"/>
    </xf>
    <xf numFmtId="0" fontId="5" fillId="3" borderId="134" xfId="0" applyFont="1" applyFill="1" applyBorder="1" applyAlignment="1">
      <alignment horizontal="center" vertical="center" wrapText="1"/>
    </xf>
    <xf numFmtId="0" fontId="5" fillId="3" borderId="137" xfId="0" applyFont="1" applyFill="1" applyBorder="1" applyAlignment="1">
      <alignment horizontal="center" vertical="center" wrapText="1"/>
    </xf>
    <xf numFmtId="0" fontId="9" fillId="3" borderId="47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205" xfId="0" applyFont="1" applyFill="1" applyBorder="1" applyAlignment="1">
      <alignment horizontal="center" vertical="center" wrapText="1"/>
    </xf>
    <xf numFmtId="0" fontId="7" fillId="3" borderId="206" xfId="0" applyFont="1" applyFill="1" applyBorder="1" applyAlignment="1">
      <alignment horizontal="center" vertical="center" wrapText="1"/>
    </xf>
    <xf numFmtId="0" fontId="7" fillId="3" borderId="207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200" xfId="0" applyFont="1" applyFill="1" applyBorder="1" applyAlignment="1">
      <alignment horizontal="center" vertical="center" wrapText="1"/>
    </xf>
    <xf numFmtId="0" fontId="7" fillId="3" borderId="201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74" xfId="0" applyFont="1" applyFill="1" applyBorder="1" applyAlignment="1">
      <alignment horizontal="center" vertical="center" wrapText="1"/>
    </xf>
    <xf numFmtId="0" fontId="7" fillId="3" borderId="80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/>
    </xf>
    <xf numFmtId="0" fontId="5" fillId="3" borderId="173" xfId="0" applyFont="1" applyFill="1" applyBorder="1" applyAlignment="1">
      <alignment horizontal="center"/>
    </xf>
    <xf numFmtId="0" fontId="5" fillId="3" borderId="153" xfId="0" applyFont="1" applyFill="1" applyBorder="1" applyAlignment="1">
      <alignment horizontal="center"/>
    </xf>
    <xf numFmtId="0" fontId="5" fillId="3" borderId="152" xfId="0" applyFont="1" applyFill="1" applyBorder="1" applyAlignment="1">
      <alignment horizontal="center"/>
    </xf>
    <xf numFmtId="0" fontId="5" fillId="3" borderId="76" xfId="0" applyFont="1" applyFill="1" applyBorder="1" applyAlignment="1">
      <alignment horizontal="center"/>
    </xf>
    <xf numFmtId="0" fontId="9" fillId="3" borderId="190" xfId="0" applyFont="1" applyFill="1" applyBorder="1" applyAlignment="1">
      <alignment horizontal="center"/>
    </xf>
    <xf numFmtId="0" fontId="7" fillId="3" borderId="186" xfId="0" applyFont="1" applyFill="1" applyBorder="1" applyAlignment="1">
      <alignment horizontal="center" vertical="center" wrapText="1"/>
    </xf>
    <xf numFmtId="0" fontId="7" fillId="3" borderId="204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41" xfId="0" applyFont="1" applyFill="1" applyBorder="1" applyAlignment="1">
      <alignment horizontal="center"/>
    </xf>
    <xf numFmtId="0" fontId="7" fillId="16" borderId="148" xfId="0" applyFont="1" applyFill="1" applyBorder="1" applyAlignment="1">
      <alignment horizontal="center" vertical="center" wrapText="1"/>
    </xf>
    <xf numFmtId="0" fontId="7" fillId="16" borderId="134" xfId="0" applyFont="1" applyFill="1" applyBorder="1" applyAlignment="1">
      <alignment horizontal="center" vertical="center" wrapText="1"/>
    </xf>
    <xf numFmtId="0" fontId="7" fillId="16" borderId="174" xfId="0" applyFont="1" applyFill="1" applyBorder="1" applyAlignment="1">
      <alignment horizontal="center" vertical="center" wrapText="1"/>
    </xf>
    <xf numFmtId="0" fontId="3" fillId="3" borderId="15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46" fillId="3" borderId="175" xfId="0" applyFont="1" applyFill="1" applyBorder="1" applyAlignment="1">
      <alignment horizontal="center"/>
    </xf>
    <xf numFmtId="0" fontId="5" fillId="16" borderId="31" xfId="0" applyFont="1" applyFill="1" applyBorder="1" applyAlignment="1">
      <alignment horizontal="center"/>
    </xf>
    <xf numFmtId="0" fontId="9" fillId="3" borderId="186" xfId="0" applyFont="1" applyFill="1" applyBorder="1" applyAlignment="1">
      <alignment horizontal="center"/>
    </xf>
    <xf numFmtId="0" fontId="6" fillId="3" borderId="186" xfId="0" applyFont="1" applyFill="1" applyBorder="1" applyAlignment="1">
      <alignment horizontal="center" wrapText="1"/>
    </xf>
    <xf numFmtId="0" fontId="6" fillId="3" borderId="187" xfId="0" applyFont="1" applyFill="1" applyBorder="1" applyAlignment="1">
      <alignment horizontal="center" wrapText="1"/>
    </xf>
    <xf numFmtId="0" fontId="6" fillId="3" borderId="49" xfId="0" applyFont="1" applyFill="1" applyBorder="1" applyAlignment="1">
      <alignment horizontal="center" wrapText="1"/>
    </xf>
    <xf numFmtId="0" fontId="6" fillId="3" borderId="83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/>
    </xf>
    <xf numFmtId="0" fontId="9" fillId="3" borderId="153" xfId="0" applyFont="1" applyFill="1" applyBorder="1" applyAlignment="1">
      <alignment horizontal="center"/>
    </xf>
    <xf numFmtId="0" fontId="9" fillId="3" borderId="152" xfId="0" applyFont="1" applyFill="1" applyBorder="1" applyAlignment="1">
      <alignment horizontal="center"/>
    </xf>
    <xf numFmtId="0" fontId="9" fillId="3" borderId="156" xfId="0" applyFont="1" applyFill="1" applyBorder="1" applyAlignment="1">
      <alignment horizontal="center"/>
    </xf>
    <xf numFmtId="0" fontId="3" fillId="3" borderId="170" xfId="0" applyFont="1" applyFill="1" applyBorder="1" applyAlignment="1">
      <alignment horizontal="center"/>
    </xf>
    <xf numFmtId="0" fontId="3" fillId="3" borderId="171" xfId="0" applyFont="1" applyFill="1" applyBorder="1" applyAlignment="1">
      <alignment horizontal="center"/>
    </xf>
    <xf numFmtId="0" fontId="3" fillId="3" borderId="177" xfId="0" applyFont="1" applyFill="1" applyBorder="1" applyAlignment="1">
      <alignment horizontal="center"/>
    </xf>
    <xf numFmtId="0" fontId="5" fillId="3" borderId="108" xfId="0" applyFont="1" applyFill="1" applyBorder="1" applyAlignment="1">
      <alignment horizontal="center"/>
    </xf>
    <xf numFmtId="0" fontId="9" fillId="3" borderId="110" xfId="0" applyFont="1" applyFill="1" applyBorder="1" applyAlignment="1">
      <alignment horizontal="center"/>
    </xf>
    <xf numFmtId="0" fontId="9" fillId="3" borderId="114" xfId="0" applyFont="1" applyFill="1" applyBorder="1" applyAlignment="1">
      <alignment horizontal="center"/>
    </xf>
    <xf numFmtId="0" fontId="9" fillId="3" borderId="176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3" fillId="3" borderId="178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0" fontId="65" fillId="4" borderId="13" xfId="1" applyFont="1" applyFill="1" applyBorder="1" applyAlignment="1" applyProtection="1">
      <alignment horizontal="center"/>
    </xf>
    <xf numFmtId="0" fontId="65" fillId="4" borderId="15" xfId="1" applyFont="1" applyFill="1" applyBorder="1" applyAlignment="1" applyProtection="1">
      <alignment horizontal="center"/>
    </xf>
    <xf numFmtId="0" fontId="36" fillId="3" borderId="141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0" fontId="9" fillId="3" borderId="108" xfId="0" applyFont="1" applyFill="1" applyBorder="1" applyAlignment="1">
      <alignment horizontal="center"/>
    </xf>
    <xf numFmtId="0" fontId="3" fillId="3" borderId="172" xfId="0" applyFont="1" applyFill="1" applyBorder="1" applyAlignment="1">
      <alignment horizontal="center"/>
    </xf>
    <xf numFmtId="0" fontId="3" fillId="3" borderId="76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3" fillId="6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/>
    </xf>
    <xf numFmtId="0" fontId="3" fillId="3" borderId="11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82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83" xfId="0" applyFont="1" applyFill="1" applyBorder="1" applyAlignment="1">
      <alignment horizontal="center" vertical="center"/>
    </xf>
    <xf numFmtId="168" fontId="38" fillId="6" borderId="31" xfId="0" applyNumberFormat="1" applyFont="1" applyFill="1" applyBorder="1" applyAlignment="1">
      <alignment horizontal="right" vertical="center"/>
    </xf>
    <xf numFmtId="168" fontId="38" fillId="6" borderId="2" xfId="0" applyNumberFormat="1" applyFont="1" applyFill="1" applyBorder="1" applyAlignment="1">
      <alignment horizontal="right" vertical="center"/>
    </xf>
    <xf numFmtId="166" fontId="38" fillId="6" borderId="31" xfId="0" applyNumberFormat="1" applyFont="1" applyFill="1" applyBorder="1" applyAlignment="1">
      <alignment horizontal="right" vertical="center"/>
    </xf>
    <xf numFmtId="166" fontId="38" fillId="6" borderId="2" xfId="0" applyNumberFormat="1" applyFont="1" applyFill="1" applyBorder="1" applyAlignment="1">
      <alignment horizontal="right" vertical="center"/>
    </xf>
    <xf numFmtId="166" fontId="38" fillId="0" borderId="31" xfId="0" applyNumberFormat="1" applyFont="1" applyBorder="1" applyAlignment="1">
      <alignment horizontal="right" vertical="center"/>
    </xf>
    <xf numFmtId="166" fontId="38" fillId="0" borderId="2" xfId="0" applyNumberFormat="1" applyFont="1" applyBorder="1" applyAlignment="1">
      <alignment horizontal="right" vertical="center"/>
    </xf>
    <xf numFmtId="166" fontId="38" fillId="0" borderId="74" xfId="0" applyNumberFormat="1" applyFont="1" applyBorder="1" applyAlignment="1">
      <alignment horizontal="right" vertical="center"/>
    </xf>
    <xf numFmtId="0" fontId="3" fillId="3" borderId="21" xfId="0" applyFont="1" applyFill="1" applyBorder="1" applyAlignment="1">
      <alignment horizontal="justify" vertical="center"/>
    </xf>
    <xf numFmtId="0" fontId="3" fillId="3" borderId="17" xfId="0" applyFont="1" applyFill="1" applyBorder="1" applyAlignment="1">
      <alignment horizontal="justify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 wrapText="1"/>
    </xf>
    <xf numFmtId="0" fontId="3" fillId="3" borderId="144" xfId="0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right" vertical="center"/>
    </xf>
    <xf numFmtId="4" fontId="38" fillId="6" borderId="2" xfId="0" applyNumberFormat="1" applyFont="1" applyFill="1" applyBorder="1" applyAlignment="1">
      <alignment horizontal="right" vertical="center"/>
    </xf>
    <xf numFmtId="4" fontId="38" fillId="6" borderId="74" xfId="0" applyNumberFormat="1" applyFont="1" applyFill="1" applyBorder="1" applyAlignment="1">
      <alignment horizontal="right" vertical="center"/>
    </xf>
    <xf numFmtId="4" fontId="38" fillId="0" borderId="31" xfId="0" applyNumberFormat="1" applyFont="1" applyBorder="1" applyAlignment="1">
      <alignment horizontal="right" vertical="center"/>
    </xf>
    <xf numFmtId="4" fontId="38" fillId="0" borderId="2" xfId="0" applyNumberFormat="1" applyFont="1" applyBorder="1" applyAlignment="1">
      <alignment horizontal="right" vertical="center"/>
    </xf>
    <xf numFmtId="4" fontId="38" fillId="0" borderId="74" xfId="0" applyNumberFormat="1" applyFont="1" applyBorder="1" applyAlignment="1">
      <alignment horizontal="right" vertical="center"/>
    </xf>
    <xf numFmtId="0" fontId="38" fillId="6" borderId="31" xfId="0" applyFont="1" applyFill="1" applyBorder="1" applyAlignment="1">
      <alignment horizontal="right" vertical="center"/>
    </xf>
    <xf numFmtId="0" fontId="38" fillId="6" borderId="2" xfId="0" applyFont="1" applyFill="1" applyBorder="1" applyAlignment="1">
      <alignment horizontal="right" vertical="center"/>
    </xf>
    <xf numFmtId="0" fontId="38" fillId="6" borderId="74" xfId="0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center" vertical="center"/>
    </xf>
    <xf numFmtId="3" fontId="38" fillId="6" borderId="2" xfId="0" applyNumberFormat="1" applyFont="1" applyFill="1" applyBorder="1" applyAlignment="1">
      <alignment horizontal="center" vertical="center"/>
    </xf>
    <xf numFmtId="3" fontId="38" fillId="6" borderId="74" xfId="0" applyNumberFormat="1" applyFont="1" applyFill="1" applyBorder="1" applyAlignment="1">
      <alignment horizontal="center" vertical="center"/>
    </xf>
    <xf numFmtId="4" fontId="38" fillId="0" borderId="31" xfId="0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4" fontId="38" fillId="0" borderId="74" xfId="0" applyNumberFormat="1" applyFont="1" applyBorder="1" applyAlignment="1">
      <alignment horizontal="center" vertical="center"/>
    </xf>
    <xf numFmtId="166" fontId="38" fillId="6" borderId="74" xfId="0" applyNumberFormat="1" applyFont="1" applyFill="1" applyBorder="1" applyAlignment="1">
      <alignment horizontal="right" vertical="center"/>
    </xf>
    <xf numFmtId="0" fontId="0" fillId="0" borderId="2" xfId="0" applyBorder="1"/>
    <xf numFmtId="0" fontId="0" fillId="0" borderId="74" xfId="0" applyBorder="1"/>
    <xf numFmtId="0" fontId="38" fillId="6" borderId="31" xfId="0" applyFont="1" applyFill="1" applyBorder="1" applyAlignment="1">
      <alignment horizontal="center" vertical="center"/>
    </xf>
    <xf numFmtId="0" fontId="38" fillId="6" borderId="2" xfId="0" applyFont="1" applyFill="1" applyBorder="1" applyAlignment="1">
      <alignment horizontal="center" vertical="center"/>
    </xf>
    <xf numFmtId="0" fontId="38" fillId="6" borderId="74" xfId="0" applyFont="1" applyFill="1" applyBorder="1" applyAlignment="1">
      <alignment horizontal="center" vertical="center"/>
    </xf>
    <xf numFmtId="3" fontId="38" fillId="6" borderId="31" xfId="0" applyNumberFormat="1" applyFont="1" applyFill="1" applyBorder="1" applyAlignment="1">
      <alignment horizontal="right" vertical="center"/>
    </xf>
    <xf numFmtId="3" fontId="38" fillId="6" borderId="2" xfId="0" applyNumberFormat="1" applyFont="1" applyFill="1" applyBorder="1" applyAlignment="1">
      <alignment horizontal="right" vertical="center"/>
    </xf>
    <xf numFmtId="3" fontId="38" fillId="6" borderId="74" xfId="0" applyNumberFormat="1" applyFont="1" applyFill="1" applyBorder="1" applyAlignment="1">
      <alignment horizontal="right" vertical="center"/>
    </xf>
    <xf numFmtId="0" fontId="46" fillId="6" borderId="0" xfId="0" applyFont="1" applyFill="1" applyAlignment="1">
      <alignment horizontal="center" vertical="center"/>
    </xf>
    <xf numFmtId="4" fontId="38" fillId="6" borderId="22" xfId="0" applyNumberFormat="1" applyFont="1" applyFill="1" applyBorder="1" applyAlignment="1">
      <alignment horizontal="right" vertical="center"/>
    </xf>
    <xf numFmtId="4" fontId="38" fillId="6" borderId="0" xfId="0" applyNumberFormat="1" applyFont="1" applyFill="1" applyAlignment="1">
      <alignment horizontal="right" vertical="center"/>
    </xf>
    <xf numFmtId="4" fontId="38" fillId="6" borderId="9" xfId="0" applyNumberFormat="1" applyFont="1" applyFill="1" applyBorder="1" applyAlignment="1">
      <alignment horizontal="right" vertical="center"/>
    </xf>
    <xf numFmtId="0" fontId="3" fillId="3" borderId="118" xfId="0" applyFont="1" applyFill="1" applyBorder="1" applyAlignment="1">
      <alignment horizontal="center" vertical="center"/>
    </xf>
    <xf numFmtId="168" fontId="38" fillId="0" borderId="31" xfId="0" applyNumberFormat="1" applyFont="1" applyBorder="1" applyAlignment="1">
      <alignment horizontal="right" vertical="center"/>
    </xf>
    <xf numFmtId="168" fontId="38" fillId="0" borderId="2" xfId="0" applyNumberFormat="1" applyFont="1" applyBorder="1" applyAlignment="1">
      <alignment horizontal="right" vertical="center"/>
    </xf>
    <xf numFmtId="168" fontId="38" fillId="0" borderId="74" xfId="0" applyNumberFormat="1" applyFont="1" applyBorder="1" applyAlignment="1">
      <alignment horizontal="right" vertical="center"/>
    </xf>
    <xf numFmtId="4" fontId="38" fillId="0" borderId="33" xfId="0" applyNumberFormat="1" applyFont="1" applyBorder="1" applyAlignment="1">
      <alignment horizontal="right" vertical="center"/>
    </xf>
    <xf numFmtId="4" fontId="38" fillId="0" borderId="34" xfId="0" applyNumberFormat="1" applyFont="1" applyBorder="1" applyAlignment="1">
      <alignment horizontal="right" vertical="center"/>
    </xf>
    <xf numFmtId="4" fontId="38" fillId="0" borderId="113" xfId="0" applyNumberFormat="1" applyFont="1" applyBorder="1" applyAlignment="1">
      <alignment horizontal="right" vertical="center"/>
    </xf>
    <xf numFmtId="4" fontId="38" fillId="6" borderId="31" xfId="0" applyNumberFormat="1" applyFont="1" applyFill="1" applyBorder="1" applyAlignment="1">
      <alignment horizontal="center" vertical="center"/>
    </xf>
    <xf numFmtId="4" fontId="38" fillId="6" borderId="2" xfId="0" applyNumberFormat="1" applyFont="1" applyFill="1" applyBorder="1" applyAlignment="1">
      <alignment horizontal="center" vertical="center"/>
    </xf>
    <xf numFmtId="4" fontId="38" fillId="6" borderId="74" xfId="0" applyNumberFormat="1" applyFont="1" applyFill="1" applyBorder="1" applyAlignment="1">
      <alignment horizontal="center" vertical="center"/>
    </xf>
    <xf numFmtId="4" fontId="38" fillId="6" borderId="29" xfId="0" applyNumberFormat="1" applyFont="1" applyFill="1" applyBorder="1" applyAlignment="1">
      <alignment horizontal="right" vertical="center"/>
    </xf>
    <xf numFmtId="4" fontId="38" fillId="6" borderId="30" xfId="0" applyNumberFormat="1" applyFont="1" applyFill="1" applyBorder="1" applyAlignment="1">
      <alignment horizontal="right" vertical="center"/>
    </xf>
    <xf numFmtId="4" fontId="38" fillId="6" borderId="16" xfId="0" applyNumberFormat="1" applyFont="1" applyFill="1" applyBorder="1" applyAlignment="1">
      <alignment horizontal="right" vertical="center"/>
    </xf>
    <xf numFmtId="0" fontId="50" fillId="6" borderId="30" xfId="0" applyFont="1" applyFill="1" applyBorder="1" applyAlignment="1">
      <alignment horizontal="center" vertical="center" wrapText="1"/>
    </xf>
    <xf numFmtId="0" fontId="50" fillId="6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65" fillId="14" borderId="0" xfId="1" applyFont="1" applyFill="1" applyBorder="1" applyAlignment="1" applyProtection="1">
      <alignment horizontal="center"/>
    </xf>
    <xf numFmtId="0" fontId="52" fillId="3" borderId="21" xfId="0" applyFont="1" applyFill="1" applyBorder="1" applyAlignment="1">
      <alignment horizontal="center" vertical="center"/>
    </xf>
    <xf numFmtId="0" fontId="52" fillId="3" borderId="17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 vertical="center"/>
    </xf>
    <xf numFmtId="0" fontId="52" fillId="3" borderId="8" xfId="0" applyFont="1" applyFill="1" applyBorder="1" applyAlignment="1">
      <alignment horizontal="center" vertical="center"/>
    </xf>
    <xf numFmtId="0" fontId="52" fillId="3" borderId="20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/>
    </xf>
    <xf numFmtId="0" fontId="52" fillId="3" borderId="20" xfId="0" applyFont="1" applyFill="1" applyBorder="1" applyAlignment="1">
      <alignment horizontal="center"/>
    </xf>
    <xf numFmtId="0" fontId="52" fillId="3" borderId="29" xfId="0" applyFont="1" applyFill="1" applyBorder="1" applyAlignment="1">
      <alignment horizontal="center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52" fillId="3" borderId="21" xfId="0" applyFont="1" applyFill="1" applyBorder="1" applyAlignment="1">
      <alignment horizontal="center" vertical="center" wrapText="1"/>
    </xf>
    <xf numFmtId="0" fontId="52" fillId="3" borderId="18" xfId="0" applyFont="1" applyFill="1" applyBorder="1" applyAlignment="1">
      <alignment horizontal="center" vertical="center" wrapText="1"/>
    </xf>
    <xf numFmtId="0" fontId="46" fillId="3" borderId="19" xfId="0" applyFont="1" applyFill="1" applyBorder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0" fontId="46" fillId="3" borderId="105" xfId="0" applyFont="1" applyFill="1" applyBorder="1" applyAlignment="1">
      <alignment horizontal="center" vertical="center"/>
    </xf>
    <xf numFmtId="0" fontId="46" fillId="3" borderId="13" xfId="0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center"/>
    </xf>
    <xf numFmtId="0" fontId="46" fillId="3" borderId="15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108" xfId="0" applyFont="1" applyFill="1" applyBorder="1" applyAlignment="1">
      <alignment horizontal="center" vertical="center"/>
    </xf>
    <xf numFmtId="0" fontId="46" fillId="3" borderId="110" xfId="0" applyFont="1" applyFill="1" applyBorder="1" applyAlignment="1">
      <alignment horizontal="center" vertical="center"/>
    </xf>
    <xf numFmtId="0" fontId="46" fillId="3" borderId="114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6" fillId="3" borderId="26" xfId="0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center" vertical="center"/>
    </xf>
    <xf numFmtId="0" fontId="46" fillId="3" borderId="30" xfId="0" applyFont="1" applyFill="1" applyBorder="1" applyAlignment="1">
      <alignment horizontal="center" vertical="center"/>
    </xf>
    <xf numFmtId="0" fontId="46" fillId="3" borderId="118" xfId="0" applyFont="1" applyFill="1" applyBorder="1" applyAlignment="1">
      <alignment horizontal="center" vertical="center"/>
    </xf>
    <xf numFmtId="0" fontId="46" fillId="3" borderId="144" xfId="0" applyFont="1" applyFill="1" applyBorder="1" applyAlignment="1">
      <alignment horizontal="center" vertical="center"/>
    </xf>
    <xf numFmtId="0" fontId="46" fillId="3" borderId="16" xfId="0" applyFont="1" applyFill="1" applyBorder="1" applyAlignment="1">
      <alignment horizontal="center" vertical="center"/>
    </xf>
    <xf numFmtId="16" fontId="46" fillId="3" borderId="29" xfId="0" applyNumberFormat="1" applyFont="1" applyFill="1" applyBorder="1" applyAlignment="1">
      <alignment horizontal="center" vertical="center"/>
    </xf>
    <xf numFmtId="16" fontId="46" fillId="3" borderId="30" xfId="0" applyNumberFormat="1" applyFont="1" applyFill="1" applyBorder="1" applyAlignment="1">
      <alignment horizontal="center" vertical="center"/>
    </xf>
    <xf numFmtId="16" fontId="46" fillId="3" borderId="16" xfId="0" applyNumberFormat="1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0" xfId="0" applyFont="1" applyFill="1"/>
    <xf numFmtId="0" fontId="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36" fillId="3" borderId="170" xfId="0" applyFont="1" applyFill="1" applyBorder="1" applyAlignment="1">
      <alignment horizontal="center"/>
    </xf>
    <xf numFmtId="0" fontId="36" fillId="3" borderId="172" xfId="0" applyFont="1" applyFill="1" applyBorder="1" applyAlignment="1">
      <alignment horizontal="center"/>
    </xf>
    <xf numFmtId="166" fontId="9" fillId="0" borderId="22" xfId="0" applyNumberFormat="1" applyFont="1" applyBorder="1" applyAlignment="1">
      <alignment horizontal="right"/>
    </xf>
    <xf numFmtId="166" fontId="9" fillId="0" borderId="99" xfId="0" applyNumberFormat="1" applyFont="1" applyBorder="1" applyAlignment="1">
      <alignment horizontal="right"/>
    </xf>
    <xf numFmtId="166" fontId="8" fillId="0" borderId="22" xfId="0" applyNumberFormat="1" applyFont="1" applyBorder="1" applyAlignment="1">
      <alignment horizontal="right"/>
    </xf>
    <xf numFmtId="166" fontId="8" fillId="0" borderId="99" xfId="0" applyNumberFormat="1" applyFont="1" applyBorder="1" applyAlignment="1">
      <alignment horizontal="right"/>
    </xf>
    <xf numFmtId="166" fontId="8" fillId="0" borderId="29" xfId="0" applyNumberFormat="1" applyFont="1" applyBorder="1" applyAlignment="1">
      <alignment horizontal="right"/>
    </xf>
    <xf numFmtId="166" fontId="8" fillId="0" borderId="131" xfId="0" applyNumberFormat="1" applyFont="1" applyBorder="1" applyAlignment="1">
      <alignment horizontal="right"/>
    </xf>
    <xf numFmtId="166" fontId="9" fillId="3" borderId="157" xfId="0" applyNumberFormat="1" applyFont="1" applyFill="1" applyBorder="1" applyAlignment="1">
      <alignment horizontal="right"/>
    </xf>
    <xf numFmtId="166" fontId="9" fillId="3" borderId="140" xfId="0" applyNumberFormat="1" applyFont="1" applyFill="1" applyBorder="1" applyAlignment="1">
      <alignment horizontal="right"/>
    </xf>
    <xf numFmtId="0" fontId="9" fillId="3" borderId="179" xfId="0" applyFont="1" applyFill="1" applyBorder="1" applyAlignment="1">
      <alignment horizontal="center"/>
    </xf>
    <xf numFmtId="0" fontId="9" fillId="3" borderId="171" xfId="0" applyFont="1" applyFill="1" applyBorder="1" applyAlignment="1">
      <alignment horizontal="center"/>
    </xf>
    <xf numFmtId="0" fontId="9" fillId="3" borderId="177" xfId="0" applyFont="1" applyFill="1" applyBorder="1" applyAlignment="1">
      <alignment horizontal="center"/>
    </xf>
    <xf numFmtId="166" fontId="9" fillId="0" borderId="19" xfId="0" applyNumberFormat="1" applyFont="1" applyBorder="1" applyAlignment="1">
      <alignment horizontal="right"/>
    </xf>
    <xf numFmtId="166" fontId="9" fillId="0" borderId="142" xfId="0" applyNumberFormat="1" applyFont="1" applyBorder="1" applyAlignment="1">
      <alignment horizontal="right"/>
    </xf>
    <xf numFmtId="0" fontId="72" fillId="0" borderId="0" xfId="0" applyFont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9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15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 wrapText="1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3" fontId="3" fillId="0" borderId="0" xfId="5" applyNumberFormat="1" applyFont="1" applyAlignment="1">
      <alignment horizontal="center" wrapText="1"/>
    </xf>
    <xf numFmtId="0" fontId="5" fillId="0" borderId="28" xfId="5" applyFont="1" applyBorder="1" applyAlignment="1">
      <alignment horizontal="center" vertical="center" wrapText="1"/>
    </xf>
    <xf numFmtId="0" fontId="5" fillId="0" borderId="30" xfId="5" applyFont="1" applyBorder="1" applyAlignment="1">
      <alignment horizontal="center"/>
    </xf>
    <xf numFmtId="0" fontId="54" fillId="16" borderId="21" xfId="5" applyFont="1" applyFill="1" applyBorder="1" applyAlignment="1">
      <alignment horizontal="center" vertical="center" wrapText="1"/>
    </xf>
    <xf numFmtId="0" fontId="54" fillId="16" borderId="18" xfId="5" applyFont="1" applyFill="1" applyBorder="1" applyAlignment="1">
      <alignment horizontal="center" vertical="center" wrapText="1"/>
    </xf>
    <xf numFmtId="0" fontId="5" fillId="16" borderId="21" xfId="5" applyFont="1" applyFill="1" applyBorder="1" applyAlignment="1">
      <alignment horizontal="center" vertical="center" wrapText="1"/>
    </xf>
    <xf numFmtId="0" fontId="5" fillId="16" borderId="18" xfId="5" applyFont="1" applyFill="1" applyBorder="1" applyAlignment="1">
      <alignment horizontal="center" vertical="center" wrapText="1"/>
    </xf>
    <xf numFmtId="0" fontId="5" fillId="16" borderId="189" xfId="5" applyFont="1" applyFill="1" applyBorder="1" applyAlignment="1">
      <alignment horizontal="center" vertical="center" wrapText="1"/>
    </xf>
    <xf numFmtId="0" fontId="5" fillId="16" borderId="182" xfId="5" applyFont="1" applyFill="1" applyBorder="1" applyAlignment="1">
      <alignment horizontal="center" vertical="center" wrapText="1"/>
    </xf>
    <xf numFmtId="0" fontId="6" fillId="16" borderId="194" xfId="5" applyFont="1" applyFill="1" applyBorder="1" applyAlignment="1">
      <alignment horizontal="center"/>
    </xf>
    <xf numFmtId="0" fontId="6" fillId="16" borderId="115" xfId="5" applyFont="1" applyFill="1" applyBorder="1" applyAlignment="1">
      <alignment horizontal="center"/>
    </xf>
    <xf numFmtId="0" fontId="6" fillId="16" borderId="199" xfId="5" applyFont="1" applyFill="1" applyBorder="1" applyAlignment="1">
      <alignment horizontal="center"/>
    </xf>
    <xf numFmtId="0" fontId="6" fillId="16" borderId="15" xfId="5" applyFont="1" applyFill="1" applyBorder="1" applyAlignment="1">
      <alignment horizontal="center"/>
    </xf>
  </cellXfs>
  <cellStyles count="6">
    <cellStyle name="Hipervínculo" xfId="1" builtinId="8"/>
    <cellStyle name="Millares" xfId="2" builtinId="3"/>
    <cellStyle name="Millares [0]" xfId="3" builtinId="6"/>
    <cellStyle name="Normal" xfId="0" builtinId="0"/>
    <cellStyle name="Normal 2" xfId="5"/>
    <cellStyle name="Porcentaje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PARTICIPACIÓN DE LOS CULTIVOS EN LA PRODUCCIÓN (Ton) AGRÍCOLA DEL HUILA.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 2023</a:t>
            </a:r>
          </a:p>
        </c:rich>
      </c:tx>
      <c:layout>
        <c:manualLayout>
          <c:xMode val="edge"/>
          <c:yMode val="edge"/>
          <c:x val="0.1204819994515611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85542168674698"/>
          <c:y val="0.4652956298200514"/>
          <c:w val="0.52409638554214033"/>
          <c:h val="0.177377892030848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63-447B-A2C0-B84348FF2EA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63-447B-A2C0-B84348FF2EA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63-447B-A2C0-B84348FF2EA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63-447B-A2C0-B84348FF2EA4}"/>
              </c:ext>
            </c:extLst>
          </c:dPt>
          <c:dLbls>
            <c:dLbl>
              <c:idx val="0"/>
              <c:layout>
                <c:manualLayout>
                  <c:x val="3.4906555355279312E-2"/>
                  <c:y val="-3.33542497419185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732473199893968E-4"/>
                  <c:y val="5.6848639421357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3669481073901863E-2"/>
                  <c:y val="4.3741473189887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09660690004065E-2"/>
                  <c:y val="-8.8933600523584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63-447B-A2C0-B84348FF2EA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5369825759731839E-2"/>
                  <c:y val="-8.506069132104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63-447B-A2C0-B84348FF2EA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AGRICOLA'!$F$24:$F$28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AGRICOLA'!$G$24:$G$28</c:f>
              <c:numCache>
                <c:formatCode>#,##0.00</c:formatCode>
                <c:ptCount val="5"/>
                <c:pt idx="0">
                  <c:v>31.59584680566639</c:v>
                </c:pt>
                <c:pt idx="1">
                  <c:v>6.6537046719454462</c:v>
                </c:pt>
                <c:pt idx="2">
                  <c:v>37.849312174036122</c:v>
                </c:pt>
                <c:pt idx="3">
                  <c:v>19.416607312702872</c:v>
                </c:pt>
                <c:pt idx="4">
                  <c:v>4.4845290356491647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63-447B-A2C0-B84348FF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LOS CULTIVOS EN EL VALOR BRUTO ($) DE LA PRODUCCIÓN AGRÍCOLA EN EL HUILA AÑO 2023</a:t>
            </a:r>
          </a:p>
        </c:rich>
      </c:tx>
      <c:layout>
        <c:manualLayout>
          <c:xMode val="edge"/>
          <c:yMode val="edge"/>
          <c:x val="0.13927588218140594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62674094707522"/>
          <c:y val="0.49484598356707565"/>
          <c:w val="0.51532033426183843"/>
          <c:h val="0.18814456666872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8-484D-A35E-B4763429B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8-484D-A35E-B4763429B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8-484D-A35E-B4763429B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8-484D-A35E-B4763429B2C9}"/>
              </c:ext>
            </c:extLst>
          </c:dPt>
          <c:dLbls>
            <c:dLbl>
              <c:idx val="0"/>
              <c:layout>
                <c:manualLayout>
                  <c:x val="2.4069484350667567E-2"/>
                  <c:y val="-6.68967118553803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681339971779324E-2"/>
                  <c:y val="7.601376102989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023088339584288E-2"/>
                  <c:y val="5.0069027406295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292669196294736E-2"/>
                  <c:y val="-7.373177952983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A98-484D-A35E-B4763429B2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7318374896735724E-2"/>
                  <c:y val="-5.0646227213147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98-484D-A35E-B4763429B2C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AGRICOLA'!$F$30:$F$34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AGRICOLA'!$G$30:$G$34</c:f>
              <c:numCache>
                <c:formatCode>#,##0.00</c:formatCode>
                <c:ptCount val="5"/>
                <c:pt idx="0">
                  <c:v>16.216219997420929</c:v>
                </c:pt>
                <c:pt idx="1">
                  <c:v>3.6219752188489669</c:v>
                </c:pt>
                <c:pt idx="2">
                  <c:v>63.634821001413293</c:v>
                </c:pt>
                <c:pt idx="3">
                  <c:v>13.787874811271811</c:v>
                </c:pt>
                <c:pt idx="4">
                  <c:v>2.7391089710450185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A98-484D-A35E-B4763429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EXPLOTACIONES PECUARIAS EN EL VALOR BRUTO DE LA PRODUCCIÓN PECUARIA.  AÑO 2023
</a:t>
            </a:r>
          </a:p>
        </c:rich>
      </c:tx>
      <c:layout>
        <c:manualLayout>
          <c:xMode val="edge"/>
          <c:yMode val="edge"/>
          <c:x val="0.11111128785669469"/>
          <c:y val="3.5928143712574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0710475047472"/>
          <c:y val="0.35029991330802257"/>
          <c:w val="0.54545544220762676"/>
          <c:h val="0.383234093191688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90-44B6-A5C8-8033E37778A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90-44B6-A5C8-8033E37778A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90-44B6-A5C8-8033E37778AE}"/>
              </c:ext>
            </c:extLst>
          </c:dPt>
          <c:dLbls>
            <c:dLbl>
              <c:idx val="0"/>
              <c:layout>
                <c:manualLayout>
                  <c:x val="1.9996429075531941E-2"/>
                  <c:y val="9.9005233683617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018161005787533E-4"/>
                  <c:y val="6.0705664571329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038470973937807E-3"/>
                  <c:y val="-9.1287900008528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F90-44B6-A5C8-8033E37778A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473341712444952"/>
                  <c:y val="-2.6437792789413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F90-44B6-A5C8-8033E37778AE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PECUARIA'!$B$33:$B$36</c:f>
              <c:strCache>
                <c:ptCount val="4"/>
                <c:pt idx="0">
                  <c:v>BOVINOS</c:v>
                </c:pt>
                <c:pt idx="1">
                  <c:v>PORCINOS</c:v>
                </c:pt>
                <c:pt idx="2">
                  <c:v>AVÍCOLA</c:v>
                </c:pt>
                <c:pt idx="3">
                  <c:v>APÍCOLA</c:v>
                </c:pt>
              </c:strCache>
            </c:strRef>
          </c:cat>
          <c:val>
            <c:numRef>
              <c:f>'VR PROD PECUARIA'!$C$33:$C$36</c:f>
              <c:numCache>
                <c:formatCode>#,##0.0</c:formatCode>
                <c:ptCount val="4"/>
                <c:pt idx="0">
                  <c:v>561842.94217599998</c:v>
                </c:pt>
                <c:pt idx="1">
                  <c:v>55053.21</c:v>
                </c:pt>
                <c:pt idx="2">
                  <c:v>379665.44390253298</c:v>
                </c:pt>
                <c:pt idx="3">
                  <c:v>14969.849999999999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F90-44B6-A5C8-8033E377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ESPECIES EN EL VALOR BRUTO DE LA PRODUCCIÓN PISCÍCOLA DEL DEPARTAMENTO DEL HUILA. AÑO 2023
</a:t>
            </a:r>
          </a:p>
        </c:rich>
      </c:tx>
      <c:layout>
        <c:manualLayout>
          <c:xMode val="edge"/>
          <c:yMode val="edge"/>
          <c:x val="0.13442640161783848"/>
          <c:y val="2.91666666666666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21324860180195"/>
          <c:y val="0.38750078837239776"/>
          <c:w val="0.65082019308740602"/>
          <c:h val="0.329167336359326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2-41B0-BD0C-DB6C7E0670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2-41B0-BD0C-DB6C7E0670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42-41B0-BD0C-DB6C7E0670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42-41B0-BD0C-DB6C7E0670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42-41B0-BD0C-DB6C7E0670B1}"/>
              </c:ext>
            </c:extLst>
          </c:dPt>
          <c:dLbls>
            <c:dLbl>
              <c:idx val="0"/>
              <c:layout>
                <c:manualLayout>
                  <c:x val="-6.3982077392303119E-2"/>
                  <c:y val="3.9172756054602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95822321805259"/>
                  <c:y val="2.0628021381881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16218991691191"/>
                  <c:y val="-0.1002055577879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2099748584685E-2"/>
                  <c:y val="-0.189789073379470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15752334236909"/>
                  <c:y val="-0.14048359580052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42-41B0-BD0C-DB6C7E0670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953654317800439"/>
                  <c:y val="-5.4372047244094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42-41B0-BD0C-DB6C7E0670B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PISCÍCOLA'!$B$24:$B$29</c:f>
              <c:strCache>
                <c:ptCount val="6"/>
                <c:pt idx="0">
                  <c:v>TILAPIA</c:v>
                </c:pt>
                <c:pt idx="1">
                  <c:v>CACHAMA</c:v>
                </c:pt>
                <c:pt idx="2">
                  <c:v>CARPA</c:v>
                </c:pt>
                <c:pt idx="3">
                  <c:v>TRUCHA</c:v>
                </c:pt>
                <c:pt idx="4">
                  <c:v>BOCACHICO  </c:v>
                </c:pt>
                <c:pt idx="5">
                  <c:v>SÁBALO</c:v>
                </c:pt>
              </c:strCache>
            </c:strRef>
          </c:cat>
          <c:val>
            <c:numRef>
              <c:f>'VR PROD PISCÍCOLA'!$C$24:$C$29</c:f>
              <c:numCache>
                <c:formatCode>#,##0.0</c:formatCode>
                <c:ptCount val="6"/>
                <c:pt idx="0">
                  <c:v>901154.76</c:v>
                </c:pt>
                <c:pt idx="1">
                  <c:v>31254.42</c:v>
                </c:pt>
                <c:pt idx="2">
                  <c:v>5401.2</c:v>
                </c:pt>
                <c:pt idx="3">
                  <c:v>21218.112499999999</c:v>
                </c:pt>
                <c:pt idx="4">
                  <c:v>5762.5147800000004</c:v>
                </c:pt>
                <c:pt idx="5">
                  <c:v>4962.8500000000004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342-41B0-BD0C-DB6C7E06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133350</xdr:rowOff>
    </xdr:from>
    <xdr:to>
      <xdr:col>6</xdr:col>
      <xdr:colOff>976312</xdr:colOff>
      <xdr:row>3</xdr:row>
      <xdr:rowOff>180975</xdr:rowOff>
    </xdr:to>
    <xdr:sp macro="" textlink="">
      <xdr:nvSpPr>
        <xdr:cNvPr id="2049" name="Object 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xmlns="" id="{00000000-0008-0000-0200-00000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276225</xdr:colOff>
      <xdr:row>0</xdr:row>
      <xdr:rowOff>133350</xdr:rowOff>
    </xdr:from>
    <xdr:to>
      <xdr:col>6</xdr:col>
      <xdr:colOff>976312</xdr:colOff>
      <xdr:row>3</xdr:row>
      <xdr:rowOff>180975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9A4BCFB0-DEEB-4AEB-9646-9A5B72F77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33350"/>
          <a:ext cx="695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87" name="Rectangle 1">
          <a:extLst>
            <a:ext uri="{FF2B5EF4-FFF2-40B4-BE49-F238E27FC236}">
              <a16:creationId xmlns:a16="http://schemas.microsoft.com/office/drawing/2014/main" xmlns="" id="{00000000-0008-0000-0300-00000F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88" name="Rectangle 2">
          <a:extLst>
            <a:ext uri="{FF2B5EF4-FFF2-40B4-BE49-F238E27FC236}">
              <a16:creationId xmlns:a16="http://schemas.microsoft.com/office/drawing/2014/main" xmlns="" id="{00000000-0008-0000-0300-000010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89" name="Rectangle 3">
          <a:extLst>
            <a:ext uri="{FF2B5EF4-FFF2-40B4-BE49-F238E27FC236}">
              <a16:creationId xmlns:a16="http://schemas.microsoft.com/office/drawing/2014/main" xmlns="" id="{00000000-0008-0000-0300-000011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0" name="Rectangle 4">
          <a:extLst>
            <a:ext uri="{FF2B5EF4-FFF2-40B4-BE49-F238E27FC236}">
              <a16:creationId xmlns:a16="http://schemas.microsoft.com/office/drawing/2014/main" xmlns="" id="{00000000-0008-0000-0300-000012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1" name="Rectangle 5">
          <a:extLst>
            <a:ext uri="{FF2B5EF4-FFF2-40B4-BE49-F238E27FC236}">
              <a16:creationId xmlns:a16="http://schemas.microsoft.com/office/drawing/2014/main" xmlns="" id="{00000000-0008-0000-0300-000013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2" name="Rectangle 6">
          <a:extLst>
            <a:ext uri="{FF2B5EF4-FFF2-40B4-BE49-F238E27FC236}">
              <a16:creationId xmlns:a16="http://schemas.microsoft.com/office/drawing/2014/main" xmlns="" id="{00000000-0008-0000-0300-000014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3" name="Rectangle 7">
          <a:extLst>
            <a:ext uri="{FF2B5EF4-FFF2-40B4-BE49-F238E27FC236}">
              <a16:creationId xmlns:a16="http://schemas.microsoft.com/office/drawing/2014/main" xmlns="" id="{00000000-0008-0000-0300-000015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4" name="Rectangle 8">
          <a:extLst>
            <a:ext uri="{FF2B5EF4-FFF2-40B4-BE49-F238E27FC236}">
              <a16:creationId xmlns:a16="http://schemas.microsoft.com/office/drawing/2014/main" xmlns="" id="{00000000-0008-0000-0300-000016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5" name="Rectangle 9">
          <a:extLst>
            <a:ext uri="{FF2B5EF4-FFF2-40B4-BE49-F238E27FC236}">
              <a16:creationId xmlns:a16="http://schemas.microsoft.com/office/drawing/2014/main" xmlns="" id="{00000000-0008-0000-0300-000017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6" name="Rectangle 10">
          <a:extLst>
            <a:ext uri="{FF2B5EF4-FFF2-40B4-BE49-F238E27FC236}">
              <a16:creationId xmlns:a16="http://schemas.microsoft.com/office/drawing/2014/main" xmlns="" id="{00000000-0008-0000-0300-000018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7" name="Rectangle 11">
          <a:extLst>
            <a:ext uri="{FF2B5EF4-FFF2-40B4-BE49-F238E27FC236}">
              <a16:creationId xmlns:a16="http://schemas.microsoft.com/office/drawing/2014/main" xmlns="" id="{00000000-0008-0000-0300-000019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8" name="Rectangle 12">
          <a:extLst>
            <a:ext uri="{FF2B5EF4-FFF2-40B4-BE49-F238E27FC236}">
              <a16:creationId xmlns:a16="http://schemas.microsoft.com/office/drawing/2014/main" xmlns="" id="{00000000-0008-0000-0300-00001A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9" name="Rectangle 13">
          <a:extLst>
            <a:ext uri="{FF2B5EF4-FFF2-40B4-BE49-F238E27FC236}">
              <a16:creationId xmlns:a16="http://schemas.microsoft.com/office/drawing/2014/main" xmlns="" id="{00000000-0008-0000-0300-00001B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0" name="Rectangle 14">
          <a:extLst>
            <a:ext uri="{FF2B5EF4-FFF2-40B4-BE49-F238E27FC236}">
              <a16:creationId xmlns:a16="http://schemas.microsoft.com/office/drawing/2014/main" xmlns="" id="{00000000-0008-0000-0300-00001C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1" name="Rectangle 15">
          <a:extLst>
            <a:ext uri="{FF2B5EF4-FFF2-40B4-BE49-F238E27FC236}">
              <a16:creationId xmlns:a16="http://schemas.microsoft.com/office/drawing/2014/main" xmlns="" id="{00000000-0008-0000-0300-00001D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2" name="Rectangle 16">
          <a:extLst>
            <a:ext uri="{FF2B5EF4-FFF2-40B4-BE49-F238E27FC236}">
              <a16:creationId xmlns:a16="http://schemas.microsoft.com/office/drawing/2014/main" xmlns="" id="{00000000-0008-0000-0300-00001E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3" name="Rectangle 17">
          <a:extLst>
            <a:ext uri="{FF2B5EF4-FFF2-40B4-BE49-F238E27FC236}">
              <a16:creationId xmlns:a16="http://schemas.microsoft.com/office/drawing/2014/main" xmlns="" id="{00000000-0008-0000-0300-00001F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4" name="Rectangle 18">
          <a:extLst>
            <a:ext uri="{FF2B5EF4-FFF2-40B4-BE49-F238E27FC236}">
              <a16:creationId xmlns:a16="http://schemas.microsoft.com/office/drawing/2014/main" xmlns="" id="{00000000-0008-0000-0300-000020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5" name="Rectangle 19">
          <a:extLst>
            <a:ext uri="{FF2B5EF4-FFF2-40B4-BE49-F238E27FC236}">
              <a16:creationId xmlns:a16="http://schemas.microsoft.com/office/drawing/2014/main" xmlns="" id="{00000000-0008-0000-0300-000021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6" name="Rectangle 20">
          <a:extLst>
            <a:ext uri="{FF2B5EF4-FFF2-40B4-BE49-F238E27FC236}">
              <a16:creationId xmlns:a16="http://schemas.microsoft.com/office/drawing/2014/main" xmlns="" id="{00000000-0008-0000-0300-000022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7" name="Rectangle 21">
          <a:extLst>
            <a:ext uri="{FF2B5EF4-FFF2-40B4-BE49-F238E27FC236}">
              <a16:creationId xmlns:a16="http://schemas.microsoft.com/office/drawing/2014/main" xmlns="" id="{00000000-0008-0000-0300-000023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8" name="Rectangle 22">
          <a:extLst>
            <a:ext uri="{FF2B5EF4-FFF2-40B4-BE49-F238E27FC236}">
              <a16:creationId xmlns:a16="http://schemas.microsoft.com/office/drawing/2014/main" xmlns="" id="{00000000-0008-0000-0300-000024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9" name="Rectangle 23">
          <a:extLst>
            <a:ext uri="{FF2B5EF4-FFF2-40B4-BE49-F238E27FC236}">
              <a16:creationId xmlns:a16="http://schemas.microsoft.com/office/drawing/2014/main" xmlns="" id="{00000000-0008-0000-0300-000025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0" name="Rectangle 24">
          <a:extLst>
            <a:ext uri="{FF2B5EF4-FFF2-40B4-BE49-F238E27FC236}">
              <a16:creationId xmlns:a16="http://schemas.microsoft.com/office/drawing/2014/main" xmlns="" id="{00000000-0008-0000-0300-000026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1" name="Rectangle 25">
          <a:extLst>
            <a:ext uri="{FF2B5EF4-FFF2-40B4-BE49-F238E27FC236}">
              <a16:creationId xmlns:a16="http://schemas.microsoft.com/office/drawing/2014/main" xmlns="" id="{00000000-0008-0000-0300-000027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2" name="Rectangle 26">
          <a:extLst>
            <a:ext uri="{FF2B5EF4-FFF2-40B4-BE49-F238E27FC236}">
              <a16:creationId xmlns:a16="http://schemas.microsoft.com/office/drawing/2014/main" xmlns="" id="{00000000-0008-0000-0300-000028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3" name="Rectangle 27">
          <a:extLst>
            <a:ext uri="{FF2B5EF4-FFF2-40B4-BE49-F238E27FC236}">
              <a16:creationId xmlns:a16="http://schemas.microsoft.com/office/drawing/2014/main" xmlns="" id="{00000000-0008-0000-0300-000029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4" name="Rectangle 28">
          <a:extLst>
            <a:ext uri="{FF2B5EF4-FFF2-40B4-BE49-F238E27FC236}">
              <a16:creationId xmlns:a16="http://schemas.microsoft.com/office/drawing/2014/main" xmlns="" id="{00000000-0008-0000-0300-00002A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5" name="Rectangle 29">
          <a:extLst>
            <a:ext uri="{FF2B5EF4-FFF2-40B4-BE49-F238E27FC236}">
              <a16:creationId xmlns:a16="http://schemas.microsoft.com/office/drawing/2014/main" xmlns="" id="{00000000-0008-0000-0300-00002B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6" name="Rectangle 30">
          <a:extLst>
            <a:ext uri="{FF2B5EF4-FFF2-40B4-BE49-F238E27FC236}">
              <a16:creationId xmlns:a16="http://schemas.microsoft.com/office/drawing/2014/main" xmlns="" id="{00000000-0008-0000-0300-00002C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7" name="Rectangle 31">
          <a:extLst>
            <a:ext uri="{FF2B5EF4-FFF2-40B4-BE49-F238E27FC236}">
              <a16:creationId xmlns:a16="http://schemas.microsoft.com/office/drawing/2014/main" xmlns="" id="{00000000-0008-0000-0300-00002D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8" name="Rectangle 32">
          <a:extLst>
            <a:ext uri="{FF2B5EF4-FFF2-40B4-BE49-F238E27FC236}">
              <a16:creationId xmlns:a16="http://schemas.microsoft.com/office/drawing/2014/main" xmlns="" id="{00000000-0008-0000-0300-00002E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9" name="Rectangle 33">
          <a:extLst>
            <a:ext uri="{FF2B5EF4-FFF2-40B4-BE49-F238E27FC236}">
              <a16:creationId xmlns:a16="http://schemas.microsoft.com/office/drawing/2014/main" xmlns="" id="{00000000-0008-0000-0300-00002F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0" name="Rectangle 34">
          <a:extLst>
            <a:ext uri="{FF2B5EF4-FFF2-40B4-BE49-F238E27FC236}">
              <a16:creationId xmlns:a16="http://schemas.microsoft.com/office/drawing/2014/main" xmlns="" id="{00000000-0008-0000-0300-000030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1" name="Rectangle 35">
          <a:extLst>
            <a:ext uri="{FF2B5EF4-FFF2-40B4-BE49-F238E27FC236}">
              <a16:creationId xmlns:a16="http://schemas.microsoft.com/office/drawing/2014/main" xmlns="" id="{00000000-0008-0000-0300-000031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2" name="Rectangle 36">
          <a:extLst>
            <a:ext uri="{FF2B5EF4-FFF2-40B4-BE49-F238E27FC236}">
              <a16:creationId xmlns:a16="http://schemas.microsoft.com/office/drawing/2014/main" xmlns="" id="{00000000-0008-0000-0300-000032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3" name="Rectangle 37">
          <a:extLst>
            <a:ext uri="{FF2B5EF4-FFF2-40B4-BE49-F238E27FC236}">
              <a16:creationId xmlns:a16="http://schemas.microsoft.com/office/drawing/2014/main" xmlns="" id="{00000000-0008-0000-0300-000033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4" name="Rectangle 38">
          <a:extLst>
            <a:ext uri="{FF2B5EF4-FFF2-40B4-BE49-F238E27FC236}">
              <a16:creationId xmlns:a16="http://schemas.microsoft.com/office/drawing/2014/main" xmlns="" id="{00000000-0008-0000-0300-000034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5" name="Rectangle 39">
          <a:extLst>
            <a:ext uri="{FF2B5EF4-FFF2-40B4-BE49-F238E27FC236}">
              <a16:creationId xmlns:a16="http://schemas.microsoft.com/office/drawing/2014/main" xmlns="" id="{00000000-0008-0000-0300-000035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6" name="Rectangle 40">
          <a:extLst>
            <a:ext uri="{FF2B5EF4-FFF2-40B4-BE49-F238E27FC236}">
              <a16:creationId xmlns:a16="http://schemas.microsoft.com/office/drawing/2014/main" xmlns="" id="{00000000-0008-0000-0300-000036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7" name="Rectangle 41">
          <a:extLst>
            <a:ext uri="{FF2B5EF4-FFF2-40B4-BE49-F238E27FC236}">
              <a16:creationId xmlns:a16="http://schemas.microsoft.com/office/drawing/2014/main" xmlns="" id="{00000000-0008-0000-0300-000037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8" name="Rectangle 42">
          <a:extLst>
            <a:ext uri="{FF2B5EF4-FFF2-40B4-BE49-F238E27FC236}">
              <a16:creationId xmlns:a16="http://schemas.microsoft.com/office/drawing/2014/main" xmlns="" id="{00000000-0008-0000-0300-000038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9" name="Rectangle 43">
          <a:extLst>
            <a:ext uri="{FF2B5EF4-FFF2-40B4-BE49-F238E27FC236}">
              <a16:creationId xmlns:a16="http://schemas.microsoft.com/office/drawing/2014/main" xmlns="" id="{00000000-0008-0000-0300-000039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0" name="Rectangle 44">
          <a:extLst>
            <a:ext uri="{FF2B5EF4-FFF2-40B4-BE49-F238E27FC236}">
              <a16:creationId xmlns:a16="http://schemas.microsoft.com/office/drawing/2014/main" xmlns="" id="{00000000-0008-0000-0300-00003A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1" name="Rectangle 45">
          <a:extLst>
            <a:ext uri="{FF2B5EF4-FFF2-40B4-BE49-F238E27FC236}">
              <a16:creationId xmlns:a16="http://schemas.microsoft.com/office/drawing/2014/main" xmlns="" id="{00000000-0008-0000-0300-00003B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2" name="Rectangle 46">
          <a:extLst>
            <a:ext uri="{FF2B5EF4-FFF2-40B4-BE49-F238E27FC236}">
              <a16:creationId xmlns:a16="http://schemas.microsoft.com/office/drawing/2014/main" xmlns="" id="{00000000-0008-0000-0300-00003C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3" name="Rectangle 47">
          <a:extLst>
            <a:ext uri="{FF2B5EF4-FFF2-40B4-BE49-F238E27FC236}">
              <a16:creationId xmlns:a16="http://schemas.microsoft.com/office/drawing/2014/main" xmlns="" id="{00000000-0008-0000-0300-00003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4" name="Rectangle 48">
          <a:extLst>
            <a:ext uri="{FF2B5EF4-FFF2-40B4-BE49-F238E27FC236}">
              <a16:creationId xmlns:a16="http://schemas.microsoft.com/office/drawing/2014/main" xmlns="" id="{00000000-0008-0000-0300-00003E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5" name="Rectangle 49">
          <a:extLst>
            <a:ext uri="{FF2B5EF4-FFF2-40B4-BE49-F238E27FC236}">
              <a16:creationId xmlns:a16="http://schemas.microsoft.com/office/drawing/2014/main" xmlns="" id="{00000000-0008-0000-0300-00003F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6" name="Rectangle 50">
          <a:extLst>
            <a:ext uri="{FF2B5EF4-FFF2-40B4-BE49-F238E27FC236}">
              <a16:creationId xmlns:a16="http://schemas.microsoft.com/office/drawing/2014/main" xmlns="" id="{00000000-0008-0000-0300-000040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7" name="Rectangle 51">
          <a:extLst>
            <a:ext uri="{FF2B5EF4-FFF2-40B4-BE49-F238E27FC236}">
              <a16:creationId xmlns:a16="http://schemas.microsoft.com/office/drawing/2014/main" xmlns="" id="{00000000-0008-0000-0300-000041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8" name="Rectangle 52">
          <a:extLst>
            <a:ext uri="{FF2B5EF4-FFF2-40B4-BE49-F238E27FC236}">
              <a16:creationId xmlns:a16="http://schemas.microsoft.com/office/drawing/2014/main" xmlns="" id="{00000000-0008-0000-0300-000042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9" name="Rectangle 53">
          <a:extLst>
            <a:ext uri="{FF2B5EF4-FFF2-40B4-BE49-F238E27FC236}">
              <a16:creationId xmlns:a16="http://schemas.microsoft.com/office/drawing/2014/main" xmlns="" id="{00000000-0008-0000-0300-000043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0" name="Rectangle 54">
          <a:extLst>
            <a:ext uri="{FF2B5EF4-FFF2-40B4-BE49-F238E27FC236}">
              <a16:creationId xmlns:a16="http://schemas.microsoft.com/office/drawing/2014/main" xmlns="" id="{00000000-0008-0000-0300-000044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1" name="Rectangle 55">
          <a:extLst>
            <a:ext uri="{FF2B5EF4-FFF2-40B4-BE49-F238E27FC236}">
              <a16:creationId xmlns:a16="http://schemas.microsoft.com/office/drawing/2014/main" xmlns="" id="{00000000-0008-0000-0300-000045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2" name="Rectangle 56">
          <a:extLst>
            <a:ext uri="{FF2B5EF4-FFF2-40B4-BE49-F238E27FC236}">
              <a16:creationId xmlns:a16="http://schemas.microsoft.com/office/drawing/2014/main" xmlns="" id="{00000000-0008-0000-0300-000046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3" name="Rectangle 57">
          <a:extLst>
            <a:ext uri="{FF2B5EF4-FFF2-40B4-BE49-F238E27FC236}">
              <a16:creationId xmlns:a16="http://schemas.microsoft.com/office/drawing/2014/main" xmlns="" id="{00000000-0008-0000-0300-000047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4" name="Rectangle 58">
          <a:extLst>
            <a:ext uri="{FF2B5EF4-FFF2-40B4-BE49-F238E27FC236}">
              <a16:creationId xmlns:a16="http://schemas.microsoft.com/office/drawing/2014/main" xmlns="" id="{00000000-0008-0000-0300-000048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5" name="Rectangle 59">
          <a:extLst>
            <a:ext uri="{FF2B5EF4-FFF2-40B4-BE49-F238E27FC236}">
              <a16:creationId xmlns:a16="http://schemas.microsoft.com/office/drawing/2014/main" xmlns="" id="{00000000-0008-0000-0300-000049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6" name="Rectangle 60">
          <a:extLst>
            <a:ext uri="{FF2B5EF4-FFF2-40B4-BE49-F238E27FC236}">
              <a16:creationId xmlns:a16="http://schemas.microsoft.com/office/drawing/2014/main" xmlns="" id="{00000000-0008-0000-0300-00004A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7" name="Rectangle 61">
          <a:extLst>
            <a:ext uri="{FF2B5EF4-FFF2-40B4-BE49-F238E27FC236}">
              <a16:creationId xmlns:a16="http://schemas.microsoft.com/office/drawing/2014/main" xmlns="" id="{00000000-0008-0000-0300-00004B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8" name="Rectangle 62">
          <a:extLst>
            <a:ext uri="{FF2B5EF4-FFF2-40B4-BE49-F238E27FC236}">
              <a16:creationId xmlns:a16="http://schemas.microsoft.com/office/drawing/2014/main" xmlns="" id="{00000000-0008-0000-0300-00004C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9" name="Rectangle 63">
          <a:extLst>
            <a:ext uri="{FF2B5EF4-FFF2-40B4-BE49-F238E27FC236}">
              <a16:creationId xmlns:a16="http://schemas.microsoft.com/office/drawing/2014/main" xmlns="" id="{00000000-0008-0000-0300-00004D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0" name="Rectangle 64">
          <a:extLst>
            <a:ext uri="{FF2B5EF4-FFF2-40B4-BE49-F238E27FC236}">
              <a16:creationId xmlns:a16="http://schemas.microsoft.com/office/drawing/2014/main" xmlns="" id="{00000000-0008-0000-0300-00004E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1" name="Rectangle 65">
          <a:extLst>
            <a:ext uri="{FF2B5EF4-FFF2-40B4-BE49-F238E27FC236}">
              <a16:creationId xmlns:a16="http://schemas.microsoft.com/office/drawing/2014/main" xmlns="" id="{00000000-0008-0000-0300-00004F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2" name="Rectangle 66">
          <a:extLst>
            <a:ext uri="{FF2B5EF4-FFF2-40B4-BE49-F238E27FC236}">
              <a16:creationId xmlns:a16="http://schemas.microsoft.com/office/drawing/2014/main" xmlns="" id="{00000000-0008-0000-0300-000050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3" name="Rectangle 67">
          <a:extLst>
            <a:ext uri="{FF2B5EF4-FFF2-40B4-BE49-F238E27FC236}">
              <a16:creationId xmlns:a16="http://schemas.microsoft.com/office/drawing/2014/main" xmlns="" id="{00000000-0008-0000-0300-000051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4" name="Rectangle 68">
          <a:extLst>
            <a:ext uri="{FF2B5EF4-FFF2-40B4-BE49-F238E27FC236}">
              <a16:creationId xmlns:a16="http://schemas.microsoft.com/office/drawing/2014/main" xmlns="" id="{00000000-0008-0000-0300-000052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5" name="Rectangle 69">
          <a:extLst>
            <a:ext uri="{FF2B5EF4-FFF2-40B4-BE49-F238E27FC236}">
              <a16:creationId xmlns:a16="http://schemas.microsoft.com/office/drawing/2014/main" xmlns="" id="{00000000-0008-0000-0300-000053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6" name="Rectangle 70">
          <a:extLst>
            <a:ext uri="{FF2B5EF4-FFF2-40B4-BE49-F238E27FC236}">
              <a16:creationId xmlns:a16="http://schemas.microsoft.com/office/drawing/2014/main" xmlns="" id="{00000000-0008-0000-0300-000054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7" name="Rectangle 71">
          <a:extLst>
            <a:ext uri="{FF2B5EF4-FFF2-40B4-BE49-F238E27FC236}">
              <a16:creationId xmlns:a16="http://schemas.microsoft.com/office/drawing/2014/main" xmlns="" id="{00000000-0008-0000-0300-000055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8" name="Rectangle 72">
          <a:extLst>
            <a:ext uri="{FF2B5EF4-FFF2-40B4-BE49-F238E27FC236}">
              <a16:creationId xmlns:a16="http://schemas.microsoft.com/office/drawing/2014/main" xmlns="" id="{00000000-0008-0000-0300-000056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9" name="Rectangle 73">
          <a:extLst>
            <a:ext uri="{FF2B5EF4-FFF2-40B4-BE49-F238E27FC236}">
              <a16:creationId xmlns:a16="http://schemas.microsoft.com/office/drawing/2014/main" xmlns="" id="{00000000-0008-0000-0300-000057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0" name="Rectangle 74">
          <a:extLst>
            <a:ext uri="{FF2B5EF4-FFF2-40B4-BE49-F238E27FC236}">
              <a16:creationId xmlns:a16="http://schemas.microsoft.com/office/drawing/2014/main" xmlns="" id="{00000000-0008-0000-0300-000058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1" name="Rectangle 75">
          <a:extLst>
            <a:ext uri="{FF2B5EF4-FFF2-40B4-BE49-F238E27FC236}">
              <a16:creationId xmlns:a16="http://schemas.microsoft.com/office/drawing/2014/main" xmlns="" id="{00000000-0008-0000-0300-000059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62" name="Rectangle 76">
          <a:extLst>
            <a:ext uri="{FF2B5EF4-FFF2-40B4-BE49-F238E27FC236}">
              <a16:creationId xmlns:a16="http://schemas.microsoft.com/office/drawing/2014/main" xmlns="" id="{00000000-0008-0000-0300-00005A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3" name="Rectangle 77">
          <a:extLst>
            <a:ext uri="{FF2B5EF4-FFF2-40B4-BE49-F238E27FC236}">
              <a16:creationId xmlns:a16="http://schemas.microsoft.com/office/drawing/2014/main" xmlns="" id="{00000000-0008-0000-0300-00005B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4" name="Rectangle 78">
          <a:extLst>
            <a:ext uri="{FF2B5EF4-FFF2-40B4-BE49-F238E27FC236}">
              <a16:creationId xmlns:a16="http://schemas.microsoft.com/office/drawing/2014/main" xmlns="" id="{00000000-0008-0000-0300-00005C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5" name="Rectangle 79">
          <a:extLst>
            <a:ext uri="{FF2B5EF4-FFF2-40B4-BE49-F238E27FC236}">
              <a16:creationId xmlns:a16="http://schemas.microsoft.com/office/drawing/2014/main" xmlns="" id="{00000000-0008-0000-0300-00005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6" name="Rectangle 80">
          <a:extLst>
            <a:ext uri="{FF2B5EF4-FFF2-40B4-BE49-F238E27FC236}">
              <a16:creationId xmlns:a16="http://schemas.microsoft.com/office/drawing/2014/main" xmlns="" id="{00000000-0008-0000-0300-00005E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7" name="Rectangle 81">
          <a:extLst>
            <a:ext uri="{FF2B5EF4-FFF2-40B4-BE49-F238E27FC236}">
              <a16:creationId xmlns:a16="http://schemas.microsoft.com/office/drawing/2014/main" xmlns="" id="{00000000-0008-0000-0300-00005F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8" name="Rectangle 82">
          <a:extLst>
            <a:ext uri="{FF2B5EF4-FFF2-40B4-BE49-F238E27FC236}">
              <a16:creationId xmlns:a16="http://schemas.microsoft.com/office/drawing/2014/main" xmlns="" id="{00000000-0008-0000-0300-000060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9" name="Rectangle 83">
          <a:extLst>
            <a:ext uri="{FF2B5EF4-FFF2-40B4-BE49-F238E27FC236}">
              <a16:creationId xmlns:a16="http://schemas.microsoft.com/office/drawing/2014/main" xmlns="" id="{00000000-0008-0000-0300-000061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0" name="Rectangle 84">
          <a:extLst>
            <a:ext uri="{FF2B5EF4-FFF2-40B4-BE49-F238E27FC236}">
              <a16:creationId xmlns:a16="http://schemas.microsoft.com/office/drawing/2014/main" xmlns="" id="{00000000-0008-0000-0300-000062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1" name="Rectangle 85">
          <a:extLst>
            <a:ext uri="{FF2B5EF4-FFF2-40B4-BE49-F238E27FC236}">
              <a16:creationId xmlns:a16="http://schemas.microsoft.com/office/drawing/2014/main" xmlns="" id="{00000000-0008-0000-0300-000063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2" name="Rectangle 86">
          <a:extLst>
            <a:ext uri="{FF2B5EF4-FFF2-40B4-BE49-F238E27FC236}">
              <a16:creationId xmlns:a16="http://schemas.microsoft.com/office/drawing/2014/main" xmlns="" id="{00000000-0008-0000-0300-000064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3" name="Rectangle 87">
          <a:extLst>
            <a:ext uri="{FF2B5EF4-FFF2-40B4-BE49-F238E27FC236}">
              <a16:creationId xmlns:a16="http://schemas.microsoft.com/office/drawing/2014/main" xmlns="" id="{00000000-0008-0000-0300-000065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4" name="Rectangle 88">
          <a:extLst>
            <a:ext uri="{FF2B5EF4-FFF2-40B4-BE49-F238E27FC236}">
              <a16:creationId xmlns:a16="http://schemas.microsoft.com/office/drawing/2014/main" xmlns="" id="{00000000-0008-0000-0300-000066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5" name="Rectangle 89">
          <a:extLst>
            <a:ext uri="{FF2B5EF4-FFF2-40B4-BE49-F238E27FC236}">
              <a16:creationId xmlns:a16="http://schemas.microsoft.com/office/drawing/2014/main" xmlns="" id="{00000000-0008-0000-0300-000067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6" name="Rectangle 90">
          <a:extLst>
            <a:ext uri="{FF2B5EF4-FFF2-40B4-BE49-F238E27FC236}">
              <a16:creationId xmlns:a16="http://schemas.microsoft.com/office/drawing/2014/main" xmlns="" id="{00000000-0008-0000-0300-000068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7" name="Rectangle 91">
          <a:extLst>
            <a:ext uri="{FF2B5EF4-FFF2-40B4-BE49-F238E27FC236}">
              <a16:creationId xmlns:a16="http://schemas.microsoft.com/office/drawing/2014/main" xmlns="" id="{00000000-0008-0000-0300-000069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78" name="Rectangle 92">
          <a:extLst>
            <a:ext uri="{FF2B5EF4-FFF2-40B4-BE49-F238E27FC236}">
              <a16:creationId xmlns:a16="http://schemas.microsoft.com/office/drawing/2014/main" xmlns="" id="{00000000-0008-0000-0300-00006A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0" name="Rectangle 94">
          <a:extLst>
            <a:ext uri="{FF2B5EF4-FFF2-40B4-BE49-F238E27FC236}">
              <a16:creationId xmlns:a16="http://schemas.microsoft.com/office/drawing/2014/main" xmlns="" id="{00000000-0008-0000-0300-00006C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1" name="Rectangle 95">
          <a:extLst>
            <a:ext uri="{FF2B5EF4-FFF2-40B4-BE49-F238E27FC236}">
              <a16:creationId xmlns:a16="http://schemas.microsoft.com/office/drawing/2014/main" xmlns="" id="{00000000-0008-0000-0300-00006D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2" name="Rectangle 96">
          <a:extLst>
            <a:ext uri="{FF2B5EF4-FFF2-40B4-BE49-F238E27FC236}">
              <a16:creationId xmlns:a16="http://schemas.microsoft.com/office/drawing/2014/main" xmlns="" id="{00000000-0008-0000-0300-00006E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3" name="Rectangle 97">
          <a:extLst>
            <a:ext uri="{FF2B5EF4-FFF2-40B4-BE49-F238E27FC236}">
              <a16:creationId xmlns:a16="http://schemas.microsoft.com/office/drawing/2014/main" xmlns="" id="{00000000-0008-0000-0300-00006F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4" name="Rectangle 98">
          <a:extLst>
            <a:ext uri="{FF2B5EF4-FFF2-40B4-BE49-F238E27FC236}">
              <a16:creationId xmlns:a16="http://schemas.microsoft.com/office/drawing/2014/main" xmlns="" id="{00000000-0008-0000-0300-000070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5" name="Rectangle 99">
          <a:extLst>
            <a:ext uri="{FF2B5EF4-FFF2-40B4-BE49-F238E27FC236}">
              <a16:creationId xmlns:a16="http://schemas.microsoft.com/office/drawing/2014/main" xmlns="" id="{00000000-0008-0000-0300-000071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6" name="Rectangle 100">
          <a:extLst>
            <a:ext uri="{FF2B5EF4-FFF2-40B4-BE49-F238E27FC236}">
              <a16:creationId xmlns:a16="http://schemas.microsoft.com/office/drawing/2014/main" xmlns="" id="{00000000-0008-0000-0300-000072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7" name="Rectangle 101">
          <a:extLst>
            <a:ext uri="{FF2B5EF4-FFF2-40B4-BE49-F238E27FC236}">
              <a16:creationId xmlns:a16="http://schemas.microsoft.com/office/drawing/2014/main" xmlns="" id="{00000000-0008-0000-0300-000073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8" name="Rectangle 102">
          <a:extLst>
            <a:ext uri="{FF2B5EF4-FFF2-40B4-BE49-F238E27FC236}">
              <a16:creationId xmlns:a16="http://schemas.microsoft.com/office/drawing/2014/main" xmlns="" id="{00000000-0008-0000-0300-000074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9" name="Rectangle 103">
          <a:extLst>
            <a:ext uri="{FF2B5EF4-FFF2-40B4-BE49-F238E27FC236}">
              <a16:creationId xmlns:a16="http://schemas.microsoft.com/office/drawing/2014/main" xmlns="" id="{00000000-0008-0000-0300-000075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0" name="Rectangle 104">
          <a:extLst>
            <a:ext uri="{FF2B5EF4-FFF2-40B4-BE49-F238E27FC236}">
              <a16:creationId xmlns:a16="http://schemas.microsoft.com/office/drawing/2014/main" xmlns="" id="{00000000-0008-0000-0300-000076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1" name="Rectangle 105">
          <a:extLst>
            <a:ext uri="{FF2B5EF4-FFF2-40B4-BE49-F238E27FC236}">
              <a16:creationId xmlns:a16="http://schemas.microsoft.com/office/drawing/2014/main" xmlns="" id="{00000000-0008-0000-0300-000077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2" name="Rectangle 106">
          <a:extLst>
            <a:ext uri="{FF2B5EF4-FFF2-40B4-BE49-F238E27FC236}">
              <a16:creationId xmlns:a16="http://schemas.microsoft.com/office/drawing/2014/main" xmlns="" id="{00000000-0008-0000-0300-000078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3" name="Rectangle 107">
          <a:extLst>
            <a:ext uri="{FF2B5EF4-FFF2-40B4-BE49-F238E27FC236}">
              <a16:creationId xmlns:a16="http://schemas.microsoft.com/office/drawing/2014/main" xmlns="" id="{00000000-0008-0000-0300-000079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4" name="Rectangle 108">
          <a:extLst>
            <a:ext uri="{FF2B5EF4-FFF2-40B4-BE49-F238E27FC236}">
              <a16:creationId xmlns:a16="http://schemas.microsoft.com/office/drawing/2014/main" xmlns="" id="{00000000-0008-0000-0300-00007A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5" name="Rectangle 109">
          <a:extLst>
            <a:ext uri="{FF2B5EF4-FFF2-40B4-BE49-F238E27FC236}">
              <a16:creationId xmlns:a16="http://schemas.microsoft.com/office/drawing/2014/main" xmlns="" id="{00000000-0008-0000-0300-00007B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6" name="Rectangle 110">
          <a:extLst>
            <a:ext uri="{FF2B5EF4-FFF2-40B4-BE49-F238E27FC236}">
              <a16:creationId xmlns:a16="http://schemas.microsoft.com/office/drawing/2014/main" xmlns="" id="{00000000-0008-0000-0300-00007C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7" name="Rectangle 111">
          <a:extLst>
            <a:ext uri="{FF2B5EF4-FFF2-40B4-BE49-F238E27FC236}">
              <a16:creationId xmlns:a16="http://schemas.microsoft.com/office/drawing/2014/main" xmlns="" id="{00000000-0008-0000-0300-00007D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8" name="Rectangle 112">
          <a:extLst>
            <a:ext uri="{FF2B5EF4-FFF2-40B4-BE49-F238E27FC236}">
              <a16:creationId xmlns:a16="http://schemas.microsoft.com/office/drawing/2014/main" xmlns="" id="{00000000-0008-0000-0300-00007E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9" name="Rectangle 113">
          <a:extLst>
            <a:ext uri="{FF2B5EF4-FFF2-40B4-BE49-F238E27FC236}">
              <a16:creationId xmlns:a16="http://schemas.microsoft.com/office/drawing/2014/main" xmlns="" id="{00000000-0008-0000-0300-00007F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0" name="Rectangle 114">
          <a:extLst>
            <a:ext uri="{FF2B5EF4-FFF2-40B4-BE49-F238E27FC236}">
              <a16:creationId xmlns:a16="http://schemas.microsoft.com/office/drawing/2014/main" xmlns="" id="{00000000-0008-0000-0300-000080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1" name="Rectangle 115">
          <a:extLst>
            <a:ext uri="{FF2B5EF4-FFF2-40B4-BE49-F238E27FC236}">
              <a16:creationId xmlns:a16="http://schemas.microsoft.com/office/drawing/2014/main" xmlns="" id="{00000000-0008-0000-0300-000081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2" name="Rectangle 116">
          <a:extLst>
            <a:ext uri="{FF2B5EF4-FFF2-40B4-BE49-F238E27FC236}">
              <a16:creationId xmlns:a16="http://schemas.microsoft.com/office/drawing/2014/main" xmlns="" id="{00000000-0008-0000-0300-000082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3" name="Rectangle 117">
          <a:extLst>
            <a:ext uri="{FF2B5EF4-FFF2-40B4-BE49-F238E27FC236}">
              <a16:creationId xmlns:a16="http://schemas.microsoft.com/office/drawing/2014/main" xmlns="" id="{00000000-0008-0000-0300-000083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4" name="Rectangle 118">
          <a:extLst>
            <a:ext uri="{FF2B5EF4-FFF2-40B4-BE49-F238E27FC236}">
              <a16:creationId xmlns:a16="http://schemas.microsoft.com/office/drawing/2014/main" xmlns="" id="{00000000-0008-0000-0300-000084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5" name="Rectangle 119">
          <a:extLst>
            <a:ext uri="{FF2B5EF4-FFF2-40B4-BE49-F238E27FC236}">
              <a16:creationId xmlns:a16="http://schemas.microsoft.com/office/drawing/2014/main" xmlns="" id="{00000000-0008-0000-0300-000085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6" name="Rectangle 120">
          <a:extLst>
            <a:ext uri="{FF2B5EF4-FFF2-40B4-BE49-F238E27FC236}">
              <a16:creationId xmlns:a16="http://schemas.microsoft.com/office/drawing/2014/main" xmlns="" id="{00000000-0008-0000-0300-000086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7" name="Rectangle 121">
          <a:extLst>
            <a:ext uri="{FF2B5EF4-FFF2-40B4-BE49-F238E27FC236}">
              <a16:creationId xmlns:a16="http://schemas.microsoft.com/office/drawing/2014/main" xmlns="" id="{00000000-0008-0000-0300-000087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8" name="Rectangle 122">
          <a:extLst>
            <a:ext uri="{FF2B5EF4-FFF2-40B4-BE49-F238E27FC236}">
              <a16:creationId xmlns:a16="http://schemas.microsoft.com/office/drawing/2014/main" xmlns="" id="{00000000-0008-0000-0300-000088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9" name="Rectangle 123">
          <a:extLst>
            <a:ext uri="{FF2B5EF4-FFF2-40B4-BE49-F238E27FC236}">
              <a16:creationId xmlns:a16="http://schemas.microsoft.com/office/drawing/2014/main" xmlns="" id="{00000000-0008-0000-0300-000089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10" name="Rectangle 124">
          <a:extLst>
            <a:ext uri="{FF2B5EF4-FFF2-40B4-BE49-F238E27FC236}">
              <a16:creationId xmlns:a16="http://schemas.microsoft.com/office/drawing/2014/main" xmlns="" id="{00000000-0008-0000-0300-00008A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11" name="Rectangle 125">
          <a:extLst>
            <a:ext uri="{FF2B5EF4-FFF2-40B4-BE49-F238E27FC236}">
              <a16:creationId xmlns:a16="http://schemas.microsoft.com/office/drawing/2014/main" xmlns="" id="{00000000-0008-0000-0300-00008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6" name="Rectangle 130">
          <a:extLst>
            <a:ext uri="{FF2B5EF4-FFF2-40B4-BE49-F238E27FC236}">
              <a16:creationId xmlns:a16="http://schemas.microsoft.com/office/drawing/2014/main" xmlns="" id="{00000000-0008-0000-0300-000090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7" name="Rectangle 131">
          <a:extLst>
            <a:ext uri="{FF2B5EF4-FFF2-40B4-BE49-F238E27FC236}">
              <a16:creationId xmlns:a16="http://schemas.microsoft.com/office/drawing/2014/main" xmlns="" id="{00000000-0008-0000-0300-000091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8" name="Rectangle 132">
          <a:extLst>
            <a:ext uri="{FF2B5EF4-FFF2-40B4-BE49-F238E27FC236}">
              <a16:creationId xmlns:a16="http://schemas.microsoft.com/office/drawing/2014/main" xmlns="" id="{00000000-0008-0000-0300-000092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9" name="Rectangle 133">
          <a:extLst>
            <a:ext uri="{FF2B5EF4-FFF2-40B4-BE49-F238E27FC236}">
              <a16:creationId xmlns:a16="http://schemas.microsoft.com/office/drawing/2014/main" xmlns="" id="{00000000-0008-0000-0300-000093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0" name="Rectangle 134">
          <a:extLst>
            <a:ext uri="{FF2B5EF4-FFF2-40B4-BE49-F238E27FC236}">
              <a16:creationId xmlns:a16="http://schemas.microsoft.com/office/drawing/2014/main" xmlns="" id="{00000000-0008-0000-0300-000094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1" name="Rectangle 135">
          <a:extLst>
            <a:ext uri="{FF2B5EF4-FFF2-40B4-BE49-F238E27FC236}">
              <a16:creationId xmlns:a16="http://schemas.microsoft.com/office/drawing/2014/main" xmlns="" id="{00000000-0008-0000-0300-000095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2" name="Rectangle 136">
          <a:extLst>
            <a:ext uri="{FF2B5EF4-FFF2-40B4-BE49-F238E27FC236}">
              <a16:creationId xmlns:a16="http://schemas.microsoft.com/office/drawing/2014/main" xmlns="" id="{00000000-0008-0000-0300-000096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3" name="Rectangle 137">
          <a:extLst>
            <a:ext uri="{FF2B5EF4-FFF2-40B4-BE49-F238E27FC236}">
              <a16:creationId xmlns:a16="http://schemas.microsoft.com/office/drawing/2014/main" xmlns="" id="{00000000-0008-0000-0300-000097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4" name="Rectangle 138">
          <a:extLst>
            <a:ext uri="{FF2B5EF4-FFF2-40B4-BE49-F238E27FC236}">
              <a16:creationId xmlns:a16="http://schemas.microsoft.com/office/drawing/2014/main" xmlns="" id="{00000000-0008-0000-0300-000098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5" name="Rectangle 139">
          <a:extLst>
            <a:ext uri="{FF2B5EF4-FFF2-40B4-BE49-F238E27FC236}">
              <a16:creationId xmlns:a16="http://schemas.microsoft.com/office/drawing/2014/main" xmlns="" id="{00000000-0008-0000-0300-00009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6" name="Rectangle 140">
          <a:extLst>
            <a:ext uri="{FF2B5EF4-FFF2-40B4-BE49-F238E27FC236}">
              <a16:creationId xmlns:a16="http://schemas.microsoft.com/office/drawing/2014/main" xmlns="" id="{00000000-0008-0000-0300-00009A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7" name="Rectangle 141">
          <a:extLst>
            <a:ext uri="{FF2B5EF4-FFF2-40B4-BE49-F238E27FC236}">
              <a16:creationId xmlns:a16="http://schemas.microsoft.com/office/drawing/2014/main" xmlns="" id="{00000000-0008-0000-0300-00009B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8" name="Rectangle 142">
          <a:extLst>
            <a:ext uri="{FF2B5EF4-FFF2-40B4-BE49-F238E27FC236}">
              <a16:creationId xmlns:a16="http://schemas.microsoft.com/office/drawing/2014/main" xmlns="" id="{00000000-0008-0000-0300-00009C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9" name="Rectangle 143">
          <a:extLst>
            <a:ext uri="{FF2B5EF4-FFF2-40B4-BE49-F238E27FC236}">
              <a16:creationId xmlns:a16="http://schemas.microsoft.com/office/drawing/2014/main" xmlns="" id="{00000000-0008-0000-0300-00009D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0" name="Rectangle 144">
          <a:extLst>
            <a:ext uri="{FF2B5EF4-FFF2-40B4-BE49-F238E27FC236}">
              <a16:creationId xmlns:a16="http://schemas.microsoft.com/office/drawing/2014/main" xmlns="" id="{00000000-0008-0000-0300-00009E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1" name="Rectangle 145">
          <a:extLst>
            <a:ext uri="{FF2B5EF4-FFF2-40B4-BE49-F238E27FC236}">
              <a16:creationId xmlns:a16="http://schemas.microsoft.com/office/drawing/2014/main" xmlns="" id="{00000000-0008-0000-0300-00009F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2" name="Rectangle 146">
          <a:extLst>
            <a:ext uri="{FF2B5EF4-FFF2-40B4-BE49-F238E27FC236}">
              <a16:creationId xmlns:a16="http://schemas.microsoft.com/office/drawing/2014/main" xmlns="" id="{00000000-0008-0000-0300-0000A0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3" name="Rectangle 147">
          <a:extLst>
            <a:ext uri="{FF2B5EF4-FFF2-40B4-BE49-F238E27FC236}">
              <a16:creationId xmlns:a16="http://schemas.microsoft.com/office/drawing/2014/main" xmlns="" id="{00000000-0008-0000-0300-0000A1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4" name="Rectangle 148">
          <a:extLst>
            <a:ext uri="{FF2B5EF4-FFF2-40B4-BE49-F238E27FC236}">
              <a16:creationId xmlns:a16="http://schemas.microsoft.com/office/drawing/2014/main" xmlns="" id="{00000000-0008-0000-0300-0000A2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5" name="Rectangle 149">
          <a:extLst>
            <a:ext uri="{FF2B5EF4-FFF2-40B4-BE49-F238E27FC236}">
              <a16:creationId xmlns:a16="http://schemas.microsoft.com/office/drawing/2014/main" xmlns="" id="{00000000-0008-0000-0300-0000A3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6" name="Rectangle 150">
          <a:extLst>
            <a:ext uri="{FF2B5EF4-FFF2-40B4-BE49-F238E27FC236}">
              <a16:creationId xmlns:a16="http://schemas.microsoft.com/office/drawing/2014/main" xmlns="" id="{00000000-0008-0000-0300-0000A4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7" name="Rectangle 151">
          <a:extLst>
            <a:ext uri="{FF2B5EF4-FFF2-40B4-BE49-F238E27FC236}">
              <a16:creationId xmlns:a16="http://schemas.microsoft.com/office/drawing/2014/main" xmlns="" id="{00000000-0008-0000-0300-0000A5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8" name="Rectangle 152">
          <a:extLst>
            <a:ext uri="{FF2B5EF4-FFF2-40B4-BE49-F238E27FC236}">
              <a16:creationId xmlns:a16="http://schemas.microsoft.com/office/drawing/2014/main" xmlns="" id="{00000000-0008-0000-0300-0000A6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9" name="Rectangle 153">
          <a:extLst>
            <a:ext uri="{FF2B5EF4-FFF2-40B4-BE49-F238E27FC236}">
              <a16:creationId xmlns:a16="http://schemas.microsoft.com/office/drawing/2014/main" xmlns="" id="{00000000-0008-0000-0300-0000A7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0" name="Rectangle 154">
          <a:extLst>
            <a:ext uri="{FF2B5EF4-FFF2-40B4-BE49-F238E27FC236}">
              <a16:creationId xmlns:a16="http://schemas.microsoft.com/office/drawing/2014/main" xmlns="" id="{00000000-0008-0000-0300-0000A8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1" name="Rectangle 155">
          <a:extLst>
            <a:ext uri="{FF2B5EF4-FFF2-40B4-BE49-F238E27FC236}">
              <a16:creationId xmlns:a16="http://schemas.microsoft.com/office/drawing/2014/main" xmlns="" id="{00000000-0008-0000-0300-0000A9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2" name="Rectangle 156">
          <a:extLst>
            <a:ext uri="{FF2B5EF4-FFF2-40B4-BE49-F238E27FC236}">
              <a16:creationId xmlns:a16="http://schemas.microsoft.com/office/drawing/2014/main" xmlns="" id="{00000000-0008-0000-0300-0000AA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3" name="Rectangle 157">
          <a:extLst>
            <a:ext uri="{FF2B5EF4-FFF2-40B4-BE49-F238E27FC236}">
              <a16:creationId xmlns:a16="http://schemas.microsoft.com/office/drawing/2014/main" xmlns="" id="{00000000-0008-0000-0300-0000AB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4" name="Rectangle 158">
          <a:extLst>
            <a:ext uri="{FF2B5EF4-FFF2-40B4-BE49-F238E27FC236}">
              <a16:creationId xmlns:a16="http://schemas.microsoft.com/office/drawing/2014/main" xmlns="" id="{00000000-0008-0000-0300-0000AC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5" name="Rectangle 159">
          <a:extLst>
            <a:ext uri="{FF2B5EF4-FFF2-40B4-BE49-F238E27FC236}">
              <a16:creationId xmlns:a16="http://schemas.microsoft.com/office/drawing/2014/main" xmlns="" id="{00000000-0008-0000-0300-0000AD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6" name="Rectangle 160">
          <a:extLst>
            <a:ext uri="{FF2B5EF4-FFF2-40B4-BE49-F238E27FC236}">
              <a16:creationId xmlns:a16="http://schemas.microsoft.com/office/drawing/2014/main" xmlns="" id="{00000000-0008-0000-0300-0000AE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7" name="Rectangle 161">
          <a:extLst>
            <a:ext uri="{FF2B5EF4-FFF2-40B4-BE49-F238E27FC236}">
              <a16:creationId xmlns:a16="http://schemas.microsoft.com/office/drawing/2014/main" xmlns="" id="{00000000-0008-0000-0300-0000AF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8" name="Rectangle 162">
          <a:extLst>
            <a:ext uri="{FF2B5EF4-FFF2-40B4-BE49-F238E27FC236}">
              <a16:creationId xmlns:a16="http://schemas.microsoft.com/office/drawing/2014/main" xmlns="" id="{00000000-0008-0000-0300-0000B0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9" name="Rectangle 163">
          <a:extLst>
            <a:ext uri="{FF2B5EF4-FFF2-40B4-BE49-F238E27FC236}">
              <a16:creationId xmlns:a16="http://schemas.microsoft.com/office/drawing/2014/main" xmlns="" id="{00000000-0008-0000-0300-0000B1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0" name="Rectangle 164">
          <a:extLst>
            <a:ext uri="{FF2B5EF4-FFF2-40B4-BE49-F238E27FC236}">
              <a16:creationId xmlns:a16="http://schemas.microsoft.com/office/drawing/2014/main" xmlns="" id="{00000000-0008-0000-0300-0000B2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1" name="Rectangle 165">
          <a:extLst>
            <a:ext uri="{FF2B5EF4-FFF2-40B4-BE49-F238E27FC236}">
              <a16:creationId xmlns:a16="http://schemas.microsoft.com/office/drawing/2014/main" xmlns="" id="{00000000-0008-0000-0300-0000B3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2" name="Rectangle 166">
          <a:extLst>
            <a:ext uri="{FF2B5EF4-FFF2-40B4-BE49-F238E27FC236}">
              <a16:creationId xmlns:a16="http://schemas.microsoft.com/office/drawing/2014/main" xmlns="" id="{00000000-0008-0000-0300-0000B4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3" name="Rectangle 167">
          <a:extLst>
            <a:ext uri="{FF2B5EF4-FFF2-40B4-BE49-F238E27FC236}">
              <a16:creationId xmlns:a16="http://schemas.microsoft.com/office/drawing/2014/main" xmlns="" id="{00000000-0008-0000-0300-0000B5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4" name="Rectangle 168">
          <a:extLst>
            <a:ext uri="{FF2B5EF4-FFF2-40B4-BE49-F238E27FC236}">
              <a16:creationId xmlns:a16="http://schemas.microsoft.com/office/drawing/2014/main" xmlns="" id="{00000000-0008-0000-0300-0000B6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5" name="Rectangle 169">
          <a:extLst>
            <a:ext uri="{FF2B5EF4-FFF2-40B4-BE49-F238E27FC236}">
              <a16:creationId xmlns:a16="http://schemas.microsoft.com/office/drawing/2014/main" xmlns="" id="{00000000-0008-0000-0300-0000B7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6" name="Rectangle 170">
          <a:extLst>
            <a:ext uri="{FF2B5EF4-FFF2-40B4-BE49-F238E27FC236}">
              <a16:creationId xmlns:a16="http://schemas.microsoft.com/office/drawing/2014/main" xmlns="" id="{00000000-0008-0000-0300-0000B8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7" name="Rectangle 171">
          <a:extLst>
            <a:ext uri="{FF2B5EF4-FFF2-40B4-BE49-F238E27FC236}">
              <a16:creationId xmlns:a16="http://schemas.microsoft.com/office/drawing/2014/main" xmlns="" id="{00000000-0008-0000-0300-0000B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8" name="Rectangle 172">
          <a:extLst>
            <a:ext uri="{FF2B5EF4-FFF2-40B4-BE49-F238E27FC236}">
              <a16:creationId xmlns:a16="http://schemas.microsoft.com/office/drawing/2014/main" xmlns="" id="{00000000-0008-0000-0300-0000BA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9" name="Rectangle 173">
          <a:extLst>
            <a:ext uri="{FF2B5EF4-FFF2-40B4-BE49-F238E27FC236}">
              <a16:creationId xmlns:a16="http://schemas.microsoft.com/office/drawing/2014/main" xmlns="" id="{00000000-0008-0000-0300-0000BB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0" name="Rectangle 174">
          <a:extLst>
            <a:ext uri="{FF2B5EF4-FFF2-40B4-BE49-F238E27FC236}">
              <a16:creationId xmlns:a16="http://schemas.microsoft.com/office/drawing/2014/main" xmlns="" id="{00000000-0008-0000-0300-0000BC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1" name="Rectangle 175">
          <a:extLst>
            <a:ext uri="{FF2B5EF4-FFF2-40B4-BE49-F238E27FC236}">
              <a16:creationId xmlns:a16="http://schemas.microsoft.com/office/drawing/2014/main" xmlns="" id="{00000000-0008-0000-0300-0000BD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2" name="Rectangle 176">
          <a:extLst>
            <a:ext uri="{FF2B5EF4-FFF2-40B4-BE49-F238E27FC236}">
              <a16:creationId xmlns:a16="http://schemas.microsoft.com/office/drawing/2014/main" xmlns="" id="{00000000-0008-0000-0300-0000BE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3" name="Rectangle 177">
          <a:extLst>
            <a:ext uri="{FF2B5EF4-FFF2-40B4-BE49-F238E27FC236}">
              <a16:creationId xmlns:a16="http://schemas.microsoft.com/office/drawing/2014/main" xmlns="" id="{00000000-0008-0000-0300-0000BF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4" name="Rectangle 178">
          <a:extLst>
            <a:ext uri="{FF2B5EF4-FFF2-40B4-BE49-F238E27FC236}">
              <a16:creationId xmlns:a16="http://schemas.microsoft.com/office/drawing/2014/main" xmlns="" id="{00000000-0008-0000-0300-0000C0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5" name="Rectangle 179">
          <a:extLst>
            <a:ext uri="{FF2B5EF4-FFF2-40B4-BE49-F238E27FC236}">
              <a16:creationId xmlns:a16="http://schemas.microsoft.com/office/drawing/2014/main" xmlns="" id="{00000000-0008-0000-0300-0000C1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6" name="Rectangle 180">
          <a:extLst>
            <a:ext uri="{FF2B5EF4-FFF2-40B4-BE49-F238E27FC236}">
              <a16:creationId xmlns:a16="http://schemas.microsoft.com/office/drawing/2014/main" xmlns="" id="{00000000-0008-0000-0300-0000C2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7" name="Rectangle 181">
          <a:extLst>
            <a:ext uri="{FF2B5EF4-FFF2-40B4-BE49-F238E27FC236}">
              <a16:creationId xmlns:a16="http://schemas.microsoft.com/office/drawing/2014/main" xmlns="" id="{00000000-0008-0000-0300-0000C3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8" name="Rectangle 182">
          <a:extLst>
            <a:ext uri="{FF2B5EF4-FFF2-40B4-BE49-F238E27FC236}">
              <a16:creationId xmlns:a16="http://schemas.microsoft.com/office/drawing/2014/main" xmlns="" id="{00000000-0008-0000-0300-0000C4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9" name="Rectangle 183">
          <a:extLst>
            <a:ext uri="{FF2B5EF4-FFF2-40B4-BE49-F238E27FC236}">
              <a16:creationId xmlns:a16="http://schemas.microsoft.com/office/drawing/2014/main" xmlns="" id="{00000000-0008-0000-0300-0000C5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0" name="Rectangle 184">
          <a:extLst>
            <a:ext uri="{FF2B5EF4-FFF2-40B4-BE49-F238E27FC236}">
              <a16:creationId xmlns:a16="http://schemas.microsoft.com/office/drawing/2014/main" xmlns="" id="{00000000-0008-0000-0300-0000C6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1" name="Rectangle 185">
          <a:extLst>
            <a:ext uri="{FF2B5EF4-FFF2-40B4-BE49-F238E27FC236}">
              <a16:creationId xmlns:a16="http://schemas.microsoft.com/office/drawing/2014/main" xmlns="" id="{00000000-0008-0000-0300-0000C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2" name="Rectangle 186">
          <a:extLst>
            <a:ext uri="{FF2B5EF4-FFF2-40B4-BE49-F238E27FC236}">
              <a16:creationId xmlns:a16="http://schemas.microsoft.com/office/drawing/2014/main" xmlns="" id="{00000000-0008-0000-0300-0000C8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3" name="Rectangle 187">
          <a:extLst>
            <a:ext uri="{FF2B5EF4-FFF2-40B4-BE49-F238E27FC236}">
              <a16:creationId xmlns:a16="http://schemas.microsoft.com/office/drawing/2014/main" xmlns="" id="{00000000-0008-0000-0300-0000C9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4" name="Rectangle 188">
          <a:extLst>
            <a:ext uri="{FF2B5EF4-FFF2-40B4-BE49-F238E27FC236}">
              <a16:creationId xmlns:a16="http://schemas.microsoft.com/office/drawing/2014/main" xmlns="" id="{00000000-0008-0000-0300-0000CA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5" name="Rectangle 189">
          <a:extLst>
            <a:ext uri="{FF2B5EF4-FFF2-40B4-BE49-F238E27FC236}">
              <a16:creationId xmlns:a16="http://schemas.microsoft.com/office/drawing/2014/main" xmlns="" id="{00000000-0008-0000-0300-0000CB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6" name="Rectangle 190">
          <a:extLst>
            <a:ext uri="{FF2B5EF4-FFF2-40B4-BE49-F238E27FC236}">
              <a16:creationId xmlns:a16="http://schemas.microsoft.com/office/drawing/2014/main" xmlns="" id="{00000000-0008-0000-0300-0000CC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7" name="Rectangle 191">
          <a:extLst>
            <a:ext uri="{FF2B5EF4-FFF2-40B4-BE49-F238E27FC236}">
              <a16:creationId xmlns:a16="http://schemas.microsoft.com/office/drawing/2014/main" xmlns="" id="{00000000-0008-0000-0300-0000CD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8" name="Rectangle 192">
          <a:extLst>
            <a:ext uri="{FF2B5EF4-FFF2-40B4-BE49-F238E27FC236}">
              <a16:creationId xmlns:a16="http://schemas.microsoft.com/office/drawing/2014/main" xmlns="" id="{00000000-0008-0000-0300-0000CE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9" name="Rectangle 193">
          <a:extLst>
            <a:ext uri="{FF2B5EF4-FFF2-40B4-BE49-F238E27FC236}">
              <a16:creationId xmlns:a16="http://schemas.microsoft.com/office/drawing/2014/main" xmlns="" id="{00000000-0008-0000-0300-0000CF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0" name="Rectangle 194">
          <a:extLst>
            <a:ext uri="{FF2B5EF4-FFF2-40B4-BE49-F238E27FC236}">
              <a16:creationId xmlns:a16="http://schemas.microsoft.com/office/drawing/2014/main" xmlns="" id="{00000000-0008-0000-0300-0000D0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1" name="Rectangle 195">
          <a:extLst>
            <a:ext uri="{FF2B5EF4-FFF2-40B4-BE49-F238E27FC236}">
              <a16:creationId xmlns:a16="http://schemas.microsoft.com/office/drawing/2014/main" xmlns="" id="{00000000-0008-0000-0300-0000D1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2" name="Rectangle 196">
          <a:extLst>
            <a:ext uri="{FF2B5EF4-FFF2-40B4-BE49-F238E27FC236}">
              <a16:creationId xmlns:a16="http://schemas.microsoft.com/office/drawing/2014/main" xmlns="" id="{00000000-0008-0000-0300-0000D2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3" name="Rectangle 197">
          <a:extLst>
            <a:ext uri="{FF2B5EF4-FFF2-40B4-BE49-F238E27FC236}">
              <a16:creationId xmlns:a16="http://schemas.microsoft.com/office/drawing/2014/main" xmlns="" id="{00000000-0008-0000-0300-0000D3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4" name="Rectangle 198">
          <a:extLst>
            <a:ext uri="{FF2B5EF4-FFF2-40B4-BE49-F238E27FC236}">
              <a16:creationId xmlns:a16="http://schemas.microsoft.com/office/drawing/2014/main" xmlns="" id="{00000000-0008-0000-0300-0000D4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5" name="Rectangle 199">
          <a:extLst>
            <a:ext uri="{FF2B5EF4-FFF2-40B4-BE49-F238E27FC236}">
              <a16:creationId xmlns:a16="http://schemas.microsoft.com/office/drawing/2014/main" xmlns="" id="{00000000-0008-0000-0300-0000D5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6" name="Rectangle 200">
          <a:extLst>
            <a:ext uri="{FF2B5EF4-FFF2-40B4-BE49-F238E27FC236}">
              <a16:creationId xmlns:a16="http://schemas.microsoft.com/office/drawing/2014/main" xmlns="" id="{00000000-0008-0000-0300-0000D6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7" name="Rectangle 201">
          <a:extLst>
            <a:ext uri="{FF2B5EF4-FFF2-40B4-BE49-F238E27FC236}">
              <a16:creationId xmlns:a16="http://schemas.microsoft.com/office/drawing/2014/main" xmlns="" id="{00000000-0008-0000-0300-0000D7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8" name="Rectangle 202">
          <a:extLst>
            <a:ext uri="{FF2B5EF4-FFF2-40B4-BE49-F238E27FC236}">
              <a16:creationId xmlns:a16="http://schemas.microsoft.com/office/drawing/2014/main" xmlns="" id="{00000000-0008-0000-0300-0000D8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9" name="Rectangle 203">
          <a:extLst>
            <a:ext uri="{FF2B5EF4-FFF2-40B4-BE49-F238E27FC236}">
              <a16:creationId xmlns:a16="http://schemas.microsoft.com/office/drawing/2014/main" xmlns="" id="{00000000-0008-0000-0300-0000D9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0" name="Rectangle 204">
          <a:extLst>
            <a:ext uri="{FF2B5EF4-FFF2-40B4-BE49-F238E27FC236}">
              <a16:creationId xmlns:a16="http://schemas.microsoft.com/office/drawing/2014/main" xmlns="" id="{00000000-0008-0000-0300-0000DA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1" name="Rectangle 205">
          <a:extLst>
            <a:ext uri="{FF2B5EF4-FFF2-40B4-BE49-F238E27FC236}">
              <a16:creationId xmlns:a16="http://schemas.microsoft.com/office/drawing/2014/main" xmlns="" id="{00000000-0008-0000-0300-0000DB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2" name="Rectangle 206">
          <a:extLst>
            <a:ext uri="{FF2B5EF4-FFF2-40B4-BE49-F238E27FC236}">
              <a16:creationId xmlns:a16="http://schemas.microsoft.com/office/drawing/2014/main" xmlns="" id="{00000000-0008-0000-0300-0000DC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3" name="Rectangle 207">
          <a:extLst>
            <a:ext uri="{FF2B5EF4-FFF2-40B4-BE49-F238E27FC236}">
              <a16:creationId xmlns:a16="http://schemas.microsoft.com/office/drawing/2014/main" xmlns="" id="{00000000-0008-0000-0300-0000DD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4" name="Rectangle 208">
          <a:extLst>
            <a:ext uri="{FF2B5EF4-FFF2-40B4-BE49-F238E27FC236}">
              <a16:creationId xmlns:a16="http://schemas.microsoft.com/office/drawing/2014/main" xmlns="" id="{00000000-0008-0000-0300-0000DE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5" name="Rectangle 209">
          <a:extLst>
            <a:ext uri="{FF2B5EF4-FFF2-40B4-BE49-F238E27FC236}">
              <a16:creationId xmlns:a16="http://schemas.microsoft.com/office/drawing/2014/main" xmlns="" id="{00000000-0008-0000-0300-0000DF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6" name="Rectangle 210">
          <a:extLst>
            <a:ext uri="{FF2B5EF4-FFF2-40B4-BE49-F238E27FC236}">
              <a16:creationId xmlns:a16="http://schemas.microsoft.com/office/drawing/2014/main" xmlns="" id="{00000000-0008-0000-0300-0000E0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7" name="Rectangle 211">
          <a:extLst>
            <a:ext uri="{FF2B5EF4-FFF2-40B4-BE49-F238E27FC236}">
              <a16:creationId xmlns:a16="http://schemas.microsoft.com/office/drawing/2014/main" xmlns="" id="{00000000-0008-0000-0300-0000E1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8" name="Rectangle 212">
          <a:extLst>
            <a:ext uri="{FF2B5EF4-FFF2-40B4-BE49-F238E27FC236}">
              <a16:creationId xmlns:a16="http://schemas.microsoft.com/office/drawing/2014/main" xmlns="" id="{00000000-0008-0000-0300-0000E2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9" name="Rectangle 213">
          <a:extLst>
            <a:ext uri="{FF2B5EF4-FFF2-40B4-BE49-F238E27FC236}">
              <a16:creationId xmlns:a16="http://schemas.microsoft.com/office/drawing/2014/main" xmlns="" id="{00000000-0008-0000-0300-0000E3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500" name="Rectangle 214">
          <a:extLst>
            <a:ext uri="{FF2B5EF4-FFF2-40B4-BE49-F238E27FC236}">
              <a16:creationId xmlns:a16="http://schemas.microsoft.com/office/drawing/2014/main" xmlns="" id="{00000000-0008-0000-0300-0000E4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1" name="Rectangle 215">
          <a:extLst>
            <a:ext uri="{FF2B5EF4-FFF2-40B4-BE49-F238E27FC236}">
              <a16:creationId xmlns:a16="http://schemas.microsoft.com/office/drawing/2014/main" xmlns="" id="{00000000-0008-0000-0300-0000E5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502" name="Rectangle 216">
          <a:extLst>
            <a:ext uri="{FF2B5EF4-FFF2-40B4-BE49-F238E27FC236}">
              <a16:creationId xmlns:a16="http://schemas.microsoft.com/office/drawing/2014/main" xmlns="" id="{00000000-0008-0000-0300-0000E6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3" name="Rectangle 217">
          <a:extLst>
            <a:ext uri="{FF2B5EF4-FFF2-40B4-BE49-F238E27FC236}">
              <a16:creationId xmlns:a16="http://schemas.microsoft.com/office/drawing/2014/main" xmlns="" id="{00000000-0008-0000-0300-0000E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4" name="Rectangle 218">
          <a:extLst>
            <a:ext uri="{FF2B5EF4-FFF2-40B4-BE49-F238E27FC236}">
              <a16:creationId xmlns:a16="http://schemas.microsoft.com/office/drawing/2014/main" xmlns="" id="{00000000-0008-0000-0300-0000E8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5" name="Rectangle 219">
          <a:extLst>
            <a:ext uri="{FF2B5EF4-FFF2-40B4-BE49-F238E27FC236}">
              <a16:creationId xmlns:a16="http://schemas.microsoft.com/office/drawing/2014/main" xmlns="" id="{00000000-0008-0000-0300-0000E9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6" name="Rectangle 220">
          <a:extLst>
            <a:ext uri="{FF2B5EF4-FFF2-40B4-BE49-F238E27FC236}">
              <a16:creationId xmlns:a16="http://schemas.microsoft.com/office/drawing/2014/main" xmlns="" id="{00000000-0008-0000-0300-0000EA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7" name="Rectangle 221">
          <a:extLst>
            <a:ext uri="{FF2B5EF4-FFF2-40B4-BE49-F238E27FC236}">
              <a16:creationId xmlns:a16="http://schemas.microsoft.com/office/drawing/2014/main" xmlns="" id="{00000000-0008-0000-0300-0000EB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8" name="Rectangle 222">
          <a:extLst>
            <a:ext uri="{FF2B5EF4-FFF2-40B4-BE49-F238E27FC236}">
              <a16:creationId xmlns:a16="http://schemas.microsoft.com/office/drawing/2014/main" xmlns="" id="{00000000-0008-0000-0300-0000EC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9" name="Rectangle 223">
          <a:extLst>
            <a:ext uri="{FF2B5EF4-FFF2-40B4-BE49-F238E27FC236}">
              <a16:creationId xmlns:a16="http://schemas.microsoft.com/office/drawing/2014/main" xmlns="" id="{00000000-0008-0000-0300-0000ED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0" name="Rectangle 224">
          <a:extLst>
            <a:ext uri="{FF2B5EF4-FFF2-40B4-BE49-F238E27FC236}">
              <a16:creationId xmlns:a16="http://schemas.microsoft.com/office/drawing/2014/main" xmlns="" id="{00000000-0008-0000-0300-0000EE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1" name="Rectangle 225">
          <a:extLst>
            <a:ext uri="{FF2B5EF4-FFF2-40B4-BE49-F238E27FC236}">
              <a16:creationId xmlns:a16="http://schemas.microsoft.com/office/drawing/2014/main" xmlns="" id="{00000000-0008-0000-0300-0000EF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2" name="Rectangle 226">
          <a:extLst>
            <a:ext uri="{FF2B5EF4-FFF2-40B4-BE49-F238E27FC236}">
              <a16:creationId xmlns:a16="http://schemas.microsoft.com/office/drawing/2014/main" xmlns="" id="{00000000-0008-0000-0300-0000F0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3" name="Rectangle 227">
          <a:extLst>
            <a:ext uri="{FF2B5EF4-FFF2-40B4-BE49-F238E27FC236}">
              <a16:creationId xmlns:a16="http://schemas.microsoft.com/office/drawing/2014/main" xmlns="" id="{00000000-0008-0000-0300-0000F1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4" name="Rectangle 228">
          <a:extLst>
            <a:ext uri="{FF2B5EF4-FFF2-40B4-BE49-F238E27FC236}">
              <a16:creationId xmlns:a16="http://schemas.microsoft.com/office/drawing/2014/main" xmlns="" id="{00000000-0008-0000-0300-0000F2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5" name="Rectangle 229">
          <a:extLst>
            <a:ext uri="{FF2B5EF4-FFF2-40B4-BE49-F238E27FC236}">
              <a16:creationId xmlns:a16="http://schemas.microsoft.com/office/drawing/2014/main" xmlns="" id="{00000000-0008-0000-0300-0000F3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6" name="Rectangle 230">
          <a:extLst>
            <a:ext uri="{FF2B5EF4-FFF2-40B4-BE49-F238E27FC236}">
              <a16:creationId xmlns:a16="http://schemas.microsoft.com/office/drawing/2014/main" xmlns="" id="{00000000-0008-0000-0300-0000F4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17" name="Rectangle 231">
          <a:extLst>
            <a:ext uri="{FF2B5EF4-FFF2-40B4-BE49-F238E27FC236}">
              <a16:creationId xmlns:a16="http://schemas.microsoft.com/office/drawing/2014/main" xmlns="" id="{00000000-0008-0000-0300-0000F5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18" name="Rectangle 232">
          <a:extLst>
            <a:ext uri="{FF2B5EF4-FFF2-40B4-BE49-F238E27FC236}">
              <a16:creationId xmlns:a16="http://schemas.microsoft.com/office/drawing/2014/main" xmlns="" id="{00000000-0008-0000-0300-0000F6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9" name="Rectangle 233">
          <a:extLst>
            <a:ext uri="{FF2B5EF4-FFF2-40B4-BE49-F238E27FC236}">
              <a16:creationId xmlns:a16="http://schemas.microsoft.com/office/drawing/2014/main" xmlns="" id="{00000000-0008-0000-0300-0000F7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0" name="Rectangle 234">
          <a:extLst>
            <a:ext uri="{FF2B5EF4-FFF2-40B4-BE49-F238E27FC236}">
              <a16:creationId xmlns:a16="http://schemas.microsoft.com/office/drawing/2014/main" xmlns="" id="{00000000-0008-0000-0300-0000F8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1" name="Rectangle 235">
          <a:extLst>
            <a:ext uri="{FF2B5EF4-FFF2-40B4-BE49-F238E27FC236}">
              <a16:creationId xmlns:a16="http://schemas.microsoft.com/office/drawing/2014/main" xmlns="" id="{00000000-0008-0000-0300-0000F9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2" name="Rectangle 236">
          <a:extLst>
            <a:ext uri="{FF2B5EF4-FFF2-40B4-BE49-F238E27FC236}">
              <a16:creationId xmlns:a16="http://schemas.microsoft.com/office/drawing/2014/main" xmlns="" id="{00000000-0008-0000-0300-0000FA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3" name="Rectangle 237">
          <a:extLst>
            <a:ext uri="{FF2B5EF4-FFF2-40B4-BE49-F238E27FC236}">
              <a16:creationId xmlns:a16="http://schemas.microsoft.com/office/drawing/2014/main" xmlns="" id="{00000000-0008-0000-0300-0000FB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4" name="Rectangle 238">
          <a:extLst>
            <a:ext uri="{FF2B5EF4-FFF2-40B4-BE49-F238E27FC236}">
              <a16:creationId xmlns:a16="http://schemas.microsoft.com/office/drawing/2014/main" xmlns="" id="{00000000-0008-0000-0300-0000FC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5" name="Rectangle 239">
          <a:extLst>
            <a:ext uri="{FF2B5EF4-FFF2-40B4-BE49-F238E27FC236}">
              <a16:creationId xmlns:a16="http://schemas.microsoft.com/office/drawing/2014/main" xmlns="" id="{00000000-0008-0000-0300-0000FD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6" name="Rectangle 240">
          <a:extLst>
            <a:ext uri="{FF2B5EF4-FFF2-40B4-BE49-F238E27FC236}">
              <a16:creationId xmlns:a16="http://schemas.microsoft.com/office/drawing/2014/main" xmlns="" id="{00000000-0008-0000-0300-0000FE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7" name="Rectangle 241">
          <a:extLst>
            <a:ext uri="{FF2B5EF4-FFF2-40B4-BE49-F238E27FC236}">
              <a16:creationId xmlns:a16="http://schemas.microsoft.com/office/drawing/2014/main" xmlns="" id="{00000000-0008-0000-0300-0000FF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8" name="Rectangle 242">
          <a:extLst>
            <a:ext uri="{FF2B5EF4-FFF2-40B4-BE49-F238E27FC236}">
              <a16:creationId xmlns:a16="http://schemas.microsoft.com/office/drawing/2014/main" xmlns="" id="{00000000-0008-0000-0300-00000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9" name="Rectangle 243">
          <a:extLst>
            <a:ext uri="{FF2B5EF4-FFF2-40B4-BE49-F238E27FC236}">
              <a16:creationId xmlns:a16="http://schemas.microsoft.com/office/drawing/2014/main" xmlns="" id="{00000000-0008-0000-0300-00000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0" name="Rectangle 244">
          <a:extLst>
            <a:ext uri="{FF2B5EF4-FFF2-40B4-BE49-F238E27FC236}">
              <a16:creationId xmlns:a16="http://schemas.microsoft.com/office/drawing/2014/main" xmlns="" id="{00000000-0008-0000-0300-00000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1" name="Rectangle 245">
          <a:extLst>
            <a:ext uri="{FF2B5EF4-FFF2-40B4-BE49-F238E27FC236}">
              <a16:creationId xmlns:a16="http://schemas.microsoft.com/office/drawing/2014/main" xmlns="" id="{00000000-0008-0000-0300-00000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2" name="Rectangle 246">
          <a:extLst>
            <a:ext uri="{FF2B5EF4-FFF2-40B4-BE49-F238E27FC236}">
              <a16:creationId xmlns:a16="http://schemas.microsoft.com/office/drawing/2014/main" xmlns="" id="{00000000-0008-0000-0300-00000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3" name="Rectangle 247">
          <a:extLst>
            <a:ext uri="{FF2B5EF4-FFF2-40B4-BE49-F238E27FC236}">
              <a16:creationId xmlns:a16="http://schemas.microsoft.com/office/drawing/2014/main" xmlns="" id="{00000000-0008-0000-0300-00000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4" name="Rectangle 248">
          <a:extLst>
            <a:ext uri="{FF2B5EF4-FFF2-40B4-BE49-F238E27FC236}">
              <a16:creationId xmlns:a16="http://schemas.microsoft.com/office/drawing/2014/main" xmlns="" id="{00000000-0008-0000-0300-00000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5" name="Rectangle 249">
          <a:extLst>
            <a:ext uri="{FF2B5EF4-FFF2-40B4-BE49-F238E27FC236}">
              <a16:creationId xmlns:a16="http://schemas.microsoft.com/office/drawing/2014/main" xmlns="" id="{00000000-0008-0000-0300-00000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6" name="Rectangle 250">
          <a:extLst>
            <a:ext uri="{FF2B5EF4-FFF2-40B4-BE49-F238E27FC236}">
              <a16:creationId xmlns:a16="http://schemas.microsoft.com/office/drawing/2014/main" xmlns="" id="{00000000-0008-0000-0300-00000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7" name="Rectangle 251">
          <a:extLst>
            <a:ext uri="{FF2B5EF4-FFF2-40B4-BE49-F238E27FC236}">
              <a16:creationId xmlns:a16="http://schemas.microsoft.com/office/drawing/2014/main" xmlns="" id="{00000000-0008-0000-0300-00000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8" name="Rectangle 252">
          <a:extLst>
            <a:ext uri="{FF2B5EF4-FFF2-40B4-BE49-F238E27FC236}">
              <a16:creationId xmlns:a16="http://schemas.microsoft.com/office/drawing/2014/main" xmlns="" id="{00000000-0008-0000-0300-00000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9" name="Rectangle 253">
          <a:extLst>
            <a:ext uri="{FF2B5EF4-FFF2-40B4-BE49-F238E27FC236}">
              <a16:creationId xmlns:a16="http://schemas.microsoft.com/office/drawing/2014/main" xmlns="" id="{00000000-0008-0000-0300-00000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0" name="Rectangle 254">
          <a:extLst>
            <a:ext uri="{FF2B5EF4-FFF2-40B4-BE49-F238E27FC236}">
              <a16:creationId xmlns:a16="http://schemas.microsoft.com/office/drawing/2014/main" xmlns="" id="{00000000-0008-0000-0300-00000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1" name="Rectangle 255">
          <a:extLst>
            <a:ext uri="{FF2B5EF4-FFF2-40B4-BE49-F238E27FC236}">
              <a16:creationId xmlns:a16="http://schemas.microsoft.com/office/drawing/2014/main" xmlns="" id="{00000000-0008-0000-0300-00000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2" name="Rectangle 256">
          <a:extLst>
            <a:ext uri="{FF2B5EF4-FFF2-40B4-BE49-F238E27FC236}">
              <a16:creationId xmlns:a16="http://schemas.microsoft.com/office/drawing/2014/main" xmlns="" id="{00000000-0008-0000-0300-00000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3" name="Rectangle 257">
          <a:extLst>
            <a:ext uri="{FF2B5EF4-FFF2-40B4-BE49-F238E27FC236}">
              <a16:creationId xmlns:a16="http://schemas.microsoft.com/office/drawing/2014/main" xmlns="" id="{00000000-0008-0000-0300-00000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4" name="Rectangle 258">
          <a:extLst>
            <a:ext uri="{FF2B5EF4-FFF2-40B4-BE49-F238E27FC236}">
              <a16:creationId xmlns:a16="http://schemas.microsoft.com/office/drawing/2014/main" xmlns="" id="{00000000-0008-0000-0300-00001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5" name="Rectangle 259">
          <a:extLst>
            <a:ext uri="{FF2B5EF4-FFF2-40B4-BE49-F238E27FC236}">
              <a16:creationId xmlns:a16="http://schemas.microsoft.com/office/drawing/2014/main" xmlns="" id="{00000000-0008-0000-0300-00001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6" name="Rectangle 260">
          <a:extLst>
            <a:ext uri="{FF2B5EF4-FFF2-40B4-BE49-F238E27FC236}">
              <a16:creationId xmlns:a16="http://schemas.microsoft.com/office/drawing/2014/main" xmlns="" id="{00000000-0008-0000-0300-00001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7" name="Rectangle 261">
          <a:extLst>
            <a:ext uri="{FF2B5EF4-FFF2-40B4-BE49-F238E27FC236}">
              <a16:creationId xmlns:a16="http://schemas.microsoft.com/office/drawing/2014/main" xmlns="" id="{00000000-0008-0000-0300-00001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8" name="Rectangle 262">
          <a:extLst>
            <a:ext uri="{FF2B5EF4-FFF2-40B4-BE49-F238E27FC236}">
              <a16:creationId xmlns:a16="http://schemas.microsoft.com/office/drawing/2014/main" xmlns="" id="{00000000-0008-0000-0300-00001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9" name="Rectangle 263">
          <a:extLst>
            <a:ext uri="{FF2B5EF4-FFF2-40B4-BE49-F238E27FC236}">
              <a16:creationId xmlns:a16="http://schemas.microsoft.com/office/drawing/2014/main" xmlns="" id="{00000000-0008-0000-0300-00001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0" name="Rectangle 264">
          <a:extLst>
            <a:ext uri="{FF2B5EF4-FFF2-40B4-BE49-F238E27FC236}">
              <a16:creationId xmlns:a16="http://schemas.microsoft.com/office/drawing/2014/main" xmlns="" id="{00000000-0008-0000-0300-00001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1" name="Rectangle 265">
          <a:extLst>
            <a:ext uri="{FF2B5EF4-FFF2-40B4-BE49-F238E27FC236}">
              <a16:creationId xmlns:a16="http://schemas.microsoft.com/office/drawing/2014/main" xmlns="" id="{00000000-0008-0000-0300-00001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2" name="Rectangle 266">
          <a:extLst>
            <a:ext uri="{FF2B5EF4-FFF2-40B4-BE49-F238E27FC236}">
              <a16:creationId xmlns:a16="http://schemas.microsoft.com/office/drawing/2014/main" xmlns="" id="{00000000-0008-0000-0300-00001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3" name="Rectangle 267">
          <a:extLst>
            <a:ext uri="{FF2B5EF4-FFF2-40B4-BE49-F238E27FC236}">
              <a16:creationId xmlns:a16="http://schemas.microsoft.com/office/drawing/2014/main" xmlns="" id="{00000000-0008-0000-0300-00001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4" name="Rectangle 268">
          <a:extLst>
            <a:ext uri="{FF2B5EF4-FFF2-40B4-BE49-F238E27FC236}">
              <a16:creationId xmlns:a16="http://schemas.microsoft.com/office/drawing/2014/main" xmlns="" id="{00000000-0008-0000-0300-00001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5" name="Rectangle 269">
          <a:extLst>
            <a:ext uri="{FF2B5EF4-FFF2-40B4-BE49-F238E27FC236}">
              <a16:creationId xmlns:a16="http://schemas.microsoft.com/office/drawing/2014/main" xmlns="" id="{00000000-0008-0000-0300-00001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6" name="Rectangle 270">
          <a:extLst>
            <a:ext uri="{FF2B5EF4-FFF2-40B4-BE49-F238E27FC236}">
              <a16:creationId xmlns:a16="http://schemas.microsoft.com/office/drawing/2014/main" xmlns="" id="{00000000-0008-0000-0300-00001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7" name="Rectangle 271">
          <a:extLst>
            <a:ext uri="{FF2B5EF4-FFF2-40B4-BE49-F238E27FC236}">
              <a16:creationId xmlns:a16="http://schemas.microsoft.com/office/drawing/2014/main" xmlns="" id="{00000000-0008-0000-0300-00001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8" name="Rectangle 272">
          <a:extLst>
            <a:ext uri="{FF2B5EF4-FFF2-40B4-BE49-F238E27FC236}">
              <a16:creationId xmlns:a16="http://schemas.microsoft.com/office/drawing/2014/main" xmlns="" id="{00000000-0008-0000-0300-00001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9" name="Rectangle 273">
          <a:extLst>
            <a:ext uri="{FF2B5EF4-FFF2-40B4-BE49-F238E27FC236}">
              <a16:creationId xmlns:a16="http://schemas.microsoft.com/office/drawing/2014/main" xmlns="" id="{00000000-0008-0000-0300-00001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0" name="Rectangle 274">
          <a:extLst>
            <a:ext uri="{FF2B5EF4-FFF2-40B4-BE49-F238E27FC236}">
              <a16:creationId xmlns:a16="http://schemas.microsoft.com/office/drawing/2014/main" xmlns="" id="{00000000-0008-0000-0300-00002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1" name="Rectangle 275">
          <a:extLst>
            <a:ext uri="{FF2B5EF4-FFF2-40B4-BE49-F238E27FC236}">
              <a16:creationId xmlns:a16="http://schemas.microsoft.com/office/drawing/2014/main" xmlns="" id="{00000000-0008-0000-0300-00002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2" name="Rectangle 276">
          <a:extLst>
            <a:ext uri="{FF2B5EF4-FFF2-40B4-BE49-F238E27FC236}">
              <a16:creationId xmlns:a16="http://schemas.microsoft.com/office/drawing/2014/main" xmlns="" id="{00000000-0008-0000-0300-00002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3" name="Rectangle 277">
          <a:extLst>
            <a:ext uri="{FF2B5EF4-FFF2-40B4-BE49-F238E27FC236}">
              <a16:creationId xmlns:a16="http://schemas.microsoft.com/office/drawing/2014/main" xmlns="" id="{00000000-0008-0000-0300-00002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4" name="Rectangle 278">
          <a:extLst>
            <a:ext uri="{FF2B5EF4-FFF2-40B4-BE49-F238E27FC236}">
              <a16:creationId xmlns:a16="http://schemas.microsoft.com/office/drawing/2014/main" xmlns="" id="{00000000-0008-0000-0300-00002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5" name="Rectangle 279">
          <a:extLst>
            <a:ext uri="{FF2B5EF4-FFF2-40B4-BE49-F238E27FC236}">
              <a16:creationId xmlns:a16="http://schemas.microsoft.com/office/drawing/2014/main" xmlns="" id="{00000000-0008-0000-0300-00002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6" name="Rectangle 280">
          <a:extLst>
            <a:ext uri="{FF2B5EF4-FFF2-40B4-BE49-F238E27FC236}">
              <a16:creationId xmlns:a16="http://schemas.microsoft.com/office/drawing/2014/main" xmlns="" id="{00000000-0008-0000-0300-00002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7" name="Rectangle 281">
          <a:extLst>
            <a:ext uri="{FF2B5EF4-FFF2-40B4-BE49-F238E27FC236}">
              <a16:creationId xmlns:a16="http://schemas.microsoft.com/office/drawing/2014/main" xmlns="" id="{00000000-0008-0000-0300-00002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8" name="Rectangle 282">
          <a:extLst>
            <a:ext uri="{FF2B5EF4-FFF2-40B4-BE49-F238E27FC236}">
              <a16:creationId xmlns:a16="http://schemas.microsoft.com/office/drawing/2014/main" xmlns="" id="{00000000-0008-0000-0300-00002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9" name="Rectangle 283">
          <a:extLst>
            <a:ext uri="{FF2B5EF4-FFF2-40B4-BE49-F238E27FC236}">
              <a16:creationId xmlns:a16="http://schemas.microsoft.com/office/drawing/2014/main" xmlns="" id="{00000000-0008-0000-0300-00002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0" name="Rectangle 284">
          <a:extLst>
            <a:ext uri="{FF2B5EF4-FFF2-40B4-BE49-F238E27FC236}">
              <a16:creationId xmlns:a16="http://schemas.microsoft.com/office/drawing/2014/main" xmlns="" id="{00000000-0008-0000-0300-00002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1" name="Rectangle 285">
          <a:extLst>
            <a:ext uri="{FF2B5EF4-FFF2-40B4-BE49-F238E27FC236}">
              <a16:creationId xmlns:a16="http://schemas.microsoft.com/office/drawing/2014/main" xmlns="" id="{00000000-0008-0000-0300-00002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2" name="Rectangle 286">
          <a:extLst>
            <a:ext uri="{FF2B5EF4-FFF2-40B4-BE49-F238E27FC236}">
              <a16:creationId xmlns:a16="http://schemas.microsoft.com/office/drawing/2014/main" xmlns="" id="{00000000-0008-0000-0300-00002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3" name="Rectangle 287">
          <a:extLst>
            <a:ext uri="{FF2B5EF4-FFF2-40B4-BE49-F238E27FC236}">
              <a16:creationId xmlns:a16="http://schemas.microsoft.com/office/drawing/2014/main" xmlns="" id="{00000000-0008-0000-0300-00002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4" name="Rectangle 288">
          <a:extLst>
            <a:ext uri="{FF2B5EF4-FFF2-40B4-BE49-F238E27FC236}">
              <a16:creationId xmlns:a16="http://schemas.microsoft.com/office/drawing/2014/main" xmlns="" id="{00000000-0008-0000-0300-00002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5" name="Rectangle 289">
          <a:extLst>
            <a:ext uri="{FF2B5EF4-FFF2-40B4-BE49-F238E27FC236}">
              <a16:creationId xmlns:a16="http://schemas.microsoft.com/office/drawing/2014/main" xmlns="" id="{00000000-0008-0000-0300-00002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6" name="Rectangle 290">
          <a:extLst>
            <a:ext uri="{FF2B5EF4-FFF2-40B4-BE49-F238E27FC236}">
              <a16:creationId xmlns:a16="http://schemas.microsoft.com/office/drawing/2014/main" xmlns="" id="{00000000-0008-0000-0300-00003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7" name="Rectangle 291">
          <a:extLst>
            <a:ext uri="{FF2B5EF4-FFF2-40B4-BE49-F238E27FC236}">
              <a16:creationId xmlns:a16="http://schemas.microsoft.com/office/drawing/2014/main" xmlns="" id="{00000000-0008-0000-0300-00003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8" name="Rectangle 292">
          <a:extLst>
            <a:ext uri="{FF2B5EF4-FFF2-40B4-BE49-F238E27FC236}">
              <a16:creationId xmlns:a16="http://schemas.microsoft.com/office/drawing/2014/main" xmlns="" id="{00000000-0008-0000-0300-00003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9" name="Rectangle 293">
          <a:extLst>
            <a:ext uri="{FF2B5EF4-FFF2-40B4-BE49-F238E27FC236}">
              <a16:creationId xmlns:a16="http://schemas.microsoft.com/office/drawing/2014/main" xmlns="" id="{00000000-0008-0000-0300-00003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0" name="Rectangle 294">
          <a:extLst>
            <a:ext uri="{FF2B5EF4-FFF2-40B4-BE49-F238E27FC236}">
              <a16:creationId xmlns:a16="http://schemas.microsoft.com/office/drawing/2014/main" xmlns="" id="{00000000-0008-0000-0300-00003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1" name="Rectangle 295">
          <a:extLst>
            <a:ext uri="{FF2B5EF4-FFF2-40B4-BE49-F238E27FC236}">
              <a16:creationId xmlns:a16="http://schemas.microsoft.com/office/drawing/2014/main" xmlns="" id="{00000000-0008-0000-0300-00003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2" name="Rectangle 296">
          <a:extLst>
            <a:ext uri="{FF2B5EF4-FFF2-40B4-BE49-F238E27FC236}">
              <a16:creationId xmlns:a16="http://schemas.microsoft.com/office/drawing/2014/main" xmlns="" id="{00000000-0008-0000-0300-00003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3" name="Rectangle 297">
          <a:extLst>
            <a:ext uri="{FF2B5EF4-FFF2-40B4-BE49-F238E27FC236}">
              <a16:creationId xmlns:a16="http://schemas.microsoft.com/office/drawing/2014/main" xmlns="" id="{00000000-0008-0000-0300-00003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4" name="Rectangle 298">
          <a:extLst>
            <a:ext uri="{FF2B5EF4-FFF2-40B4-BE49-F238E27FC236}">
              <a16:creationId xmlns:a16="http://schemas.microsoft.com/office/drawing/2014/main" xmlns="" id="{00000000-0008-0000-0300-00003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5" name="Rectangle 299">
          <a:extLst>
            <a:ext uri="{FF2B5EF4-FFF2-40B4-BE49-F238E27FC236}">
              <a16:creationId xmlns:a16="http://schemas.microsoft.com/office/drawing/2014/main" xmlns="" id="{00000000-0008-0000-0300-00003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6" name="Rectangle 300">
          <a:extLst>
            <a:ext uri="{FF2B5EF4-FFF2-40B4-BE49-F238E27FC236}">
              <a16:creationId xmlns:a16="http://schemas.microsoft.com/office/drawing/2014/main" xmlns="" id="{00000000-0008-0000-0300-00003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7" name="Rectangle 301">
          <a:extLst>
            <a:ext uri="{FF2B5EF4-FFF2-40B4-BE49-F238E27FC236}">
              <a16:creationId xmlns:a16="http://schemas.microsoft.com/office/drawing/2014/main" xmlns="" id="{00000000-0008-0000-0300-00003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8" name="Rectangle 302">
          <a:extLst>
            <a:ext uri="{FF2B5EF4-FFF2-40B4-BE49-F238E27FC236}">
              <a16:creationId xmlns:a16="http://schemas.microsoft.com/office/drawing/2014/main" xmlns="" id="{00000000-0008-0000-0300-00003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9" name="Rectangle 303">
          <a:extLst>
            <a:ext uri="{FF2B5EF4-FFF2-40B4-BE49-F238E27FC236}">
              <a16:creationId xmlns:a16="http://schemas.microsoft.com/office/drawing/2014/main" xmlns="" id="{00000000-0008-0000-0300-00003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0" name="Rectangle 304">
          <a:extLst>
            <a:ext uri="{FF2B5EF4-FFF2-40B4-BE49-F238E27FC236}">
              <a16:creationId xmlns:a16="http://schemas.microsoft.com/office/drawing/2014/main" xmlns="" id="{00000000-0008-0000-0300-00003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1" name="Rectangle 305">
          <a:extLst>
            <a:ext uri="{FF2B5EF4-FFF2-40B4-BE49-F238E27FC236}">
              <a16:creationId xmlns:a16="http://schemas.microsoft.com/office/drawing/2014/main" xmlns="" id="{00000000-0008-0000-0300-00003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92" name="Rectangle 306">
          <a:extLst>
            <a:ext uri="{FF2B5EF4-FFF2-40B4-BE49-F238E27FC236}">
              <a16:creationId xmlns:a16="http://schemas.microsoft.com/office/drawing/2014/main" xmlns="" id="{00000000-0008-0000-0300-00004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3" name="Rectangle 307">
          <a:extLst>
            <a:ext uri="{FF2B5EF4-FFF2-40B4-BE49-F238E27FC236}">
              <a16:creationId xmlns:a16="http://schemas.microsoft.com/office/drawing/2014/main" xmlns="" id="{00000000-0008-0000-0300-00004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4" name="Rectangle 308">
          <a:extLst>
            <a:ext uri="{FF2B5EF4-FFF2-40B4-BE49-F238E27FC236}">
              <a16:creationId xmlns:a16="http://schemas.microsoft.com/office/drawing/2014/main" xmlns="" id="{00000000-0008-0000-0300-00004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5" name="Rectangle 309">
          <a:extLst>
            <a:ext uri="{FF2B5EF4-FFF2-40B4-BE49-F238E27FC236}">
              <a16:creationId xmlns:a16="http://schemas.microsoft.com/office/drawing/2014/main" xmlns="" id="{00000000-0008-0000-0300-00004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6" name="Rectangle 310">
          <a:extLst>
            <a:ext uri="{FF2B5EF4-FFF2-40B4-BE49-F238E27FC236}">
              <a16:creationId xmlns:a16="http://schemas.microsoft.com/office/drawing/2014/main" xmlns="" id="{00000000-0008-0000-0300-00004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7" name="Rectangle 311">
          <a:extLst>
            <a:ext uri="{FF2B5EF4-FFF2-40B4-BE49-F238E27FC236}">
              <a16:creationId xmlns:a16="http://schemas.microsoft.com/office/drawing/2014/main" xmlns="" id="{00000000-0008-0000-0300-00004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8" name="Rectangle 312">
          <a:extLst>
            <a:ext uri="{FF2B5EF4-FFF2-40B4-BE49-F238E27FC236}">
              <a16:creationId xmlns:a16="http://schemas.microsoft.com/office/drawing/2014/main" xmlns="" id="{00000000-0008-0000-0300-00004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9" name="Rectangle 313">
          <a:extLst>
            <a:ext uri="{FF2B5EF4-FFF2-40B4-BE49-F238E27FC236}">
              <a16:creationId xmlns:a16="http://schemas.microsoft.com/office/drawing/2014/main" xmlns="" id="{00000000-0008-0000-0300-00004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0" name="Rectangle 314">
          <a:extLst>
            <a:ext uri="{FF2B5EF4-FFF2-40B4-BE49-F238E27FC236}">
              <a16:creationId xmlns:a16="http://schemas.microsoft.com/office/drawing/2014/main" xmlns="" id="{00000000-0008-0000-0300-00004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1" name="Rectangle 315">
          <a:extLst>
            <a:ext uri="{FF2B5EF4-FFF2-40B4-BE49-F238E27FC236}">
              <a16:creationId xmlns:a16="http://schemas.microsoft.com/office/drawing/2014/main" xmlns="" id="{00000000-0008-0000-0300-00004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2" name="Rectangle 316">
          <a:extLst>
            <a:ext uri="{FF2B5EF4-FFF2-40B4-BE49-F238E27FC236}">
              <a16:creationId xmlns:a16="http://schemas.microsoft.com/office/drawing/2014/main" xmlns="" id="{00000000-0008-0000-0300-00004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3" name="Rectangle 317">
          <a:extLst>
            <a:ext uri="{FF2B5EF4-FFF2-40B4-BE49-F238E27FC236}">
              <a16:creationId xmlns:a16="http://schemas.microsoft.com/office/drawing/2014/main" xmlns="" id="{00000000-0008-0000-0300-00004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4" name="Rectangle 318">
          <a:extLst>
            <a:ext uri="{FF2B5EF4-FFF2-40B4-BE49-F238E27FC236}">
              <a16:creationId xmlns:a16="http://schemas.microsoft.com/office/drawing/2014/main" xmlns="" id="{00000000-0008-0000-0300-00004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5" name="Rectangle 319">
          <a:extLst>
            <a:ext uri="{FF2B5EF4-FFF2-40B4-BE49-F238E27FC236}">
              <a16:creationId xmlns:a16="http://schemas.microsoft.com/office/drawing/2014/main" xmlns="" id="{00000000-0008-0000-0300-00004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6" name="Rectangle 320">
          <a:extLst>
            <a:ext uri="{FF2B5EF4-FFF2-40B4-BE49-F238E27FC236}">
              <a16:creationId xmlns:a16="http://schemas.microsoft.com/office/drawing/2014/main" xmlns="" id="{00000000-0008-0000-0300-00004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7" name="Rectangle 321">
          <a:extLst>
            <a:ext uri="{FF2B5EF4-FFF2-40B4-BE49-F238E27FC236}">
              <a16:creationId xmlns:a16="http://schemas.microsoft.com/office/drawing/2014/main" xmlns="" id="{00000000-0008-0000-0300-00004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08" name="Rectangle 322">
          <a:extLst>
            <a:ext uri="{FF2B5EF4-FFF2-40B4-BE49-F238E27FC236}">
              <a16:creationId xmlns:a16="http://schemas.microsoft.com/office/drawing/2014/main" xmlns="" id="{00000000-0008-0000-0300-00005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09" name="Rectangle 323">
          <a:extLst>
            <a:ext uri="{FF2B5EF4-FFF2-40B4-BE49-F238E27FC236}">
              <a16:creationId xmlns:a16="http://schemas.microsoft.com/office/drawing/2014/main" xmlns="" id="{00000000-0008-0000-0300-00005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0" name="Rectangle 324">
          <a:extLst>
            <a:ext uri="{FF2B5EF4-FFF2-40B4-BE49-F238E27FC236}">
              <a16:creationId xmlns:a16="http://schemas.microsoft.com/office/drawing/2014/main" xmlns="" id="{00000000-0008-0000-0300-00005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1" name="Rectangle 325">
          <a:extLst>
            <a:ext uri="{FF2B5EF4-FFF2-40B4-BE49-F238E27FC236}">
              <a16:creationId xmlns:a16="http://schemas.microsoft.com/office/drawing/2014/main" xmlns="" id="{00000000-0008-0000-0300-00005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2" name="Rectangle 326">
          <a:extLst>
            <a:ext uri="{FF2B5EF4-FFF2-40B4-BE49-F238E27FC236}">
              <a16:creationId xmlns:a16="http://schemas.microsoft.com/office/drawing/2014/main" xmlns="" id="{00000000-0008-0000-0300-00005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3" name="Rectangle 327">
          <a:extLst>
            <a:ext uri="{FF2B5EF4-FFF2-40B4-BE49-F238E27FC236}">
              <a16:creationId xmlns:a16="http://schemas.microsoft.com/office/drawing/2014/main" xmlns="" id="{00000000-0008-0000-0300-00005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4" name="Rectangle 328">
          <a:extLst>
            <a:ext uri="{FF2B5EF4-FFF2-40B4-BE49-F238E27FC236}">
              <a16:creationId xmlns:a16="http://schemas.microsoft.com/office/drawing/2014/main" xmlns="" id="{00000000-0008-0000-0300-00005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5" name="Rectangle 329">
          <a:extLst>
            <a:ext uri="{FF2B5EF4-FFF2-40B4-BE49-F238E27FC236}">
              <a16:creationId xmlns:a16="http://schemas.microsoft.com/office/drawing/2014/main" xmlns="" id="{00000000-0008-0000-0300-00005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6" name="Rectangle 330">
          <a:extLst>
            <a:ext uri="{FF2B5EF4-FFF2-40B4-BE49-F238E27FC236}">
              <a16:creationId xmlns:a16="http://schemas.microsoft.com/office/drawing/2014/main" xmlns="" id="{00000000-0008-0000-0300-00005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7" name="Rectangle 331">
          <a:extLst>
            <a:ext uri="{FF2B5EF4-FFF2-40B4-BE49-F238E27FC236}">
              <a16:creationId xmlns:a16="http://schemas.microsoft.com/office/drawing/2014/main" xmlns="" id="{00000000-0008-0000-0300-00005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8" name="Rectangle 332">
          <a:extLst>
            <a:ext uri="{FF2B5EF4-FFF2-40B4-BE49-F238E27FC236}">
              <a16:creationId xmlns:a16="http://schemas.microsoft.com/office/drawing/2014/main" xmlns="" id="{00000000-0008-0000-0300-00005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9" name="Rectangle 333">
          <a:extLst>
            <a:ext uri="{FF2B5EF4-FFF2-40B4-BE49-F238E27FC236}">
              <a16:creationId xmlns:a16="http://schemas.microsoft.com/office/drawing/2014/main" xmlns="" id="{00000000-0008-0000-0300-00005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0" name="Rectangle 334">
          <a:extLst>
            <a:ext uri="{FF2B5EF4-FFF2-40B4-BE49-F238E27FC236}">
              <a16:creationId xmlns:a16="http://schemas.microsoft.com/office/drawing/2014/main" xmlns="" id="{00000000-0008-0000-0300-00005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1" name="Rectangle 335">
          <a:extLst>
            <a:ext uri="{FF2B5EF4-FFF2-40B4-BE49-F238E27FC236}">
              <a16:creationId xmlns:a16="http://schemas.microsoft.com/office/drawing/2014/main" xmlns="" id="{00000000-0008-0000-0300-00005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2" name="Rectangle 336">
          <a:extLst>
            <a:ext uri="{FF2B5EF4-FFF2-40B4-BE49-F238E27FC236}">
              <a16:creationId xmlns:a16="http://schemas.microsoft.com/office/drawing/2014/main" xmlns="" id="{00000000-0008-0000-0300-00005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3" name="Rectangle 337">
          <a:extLst>
            <a:ext uri="{FF2B5EF4-FFF2-40B4-BE49-F238E27FC236}">
              <a16:creationId xmlns:a16="http://schemas.microsoft.com/office/drawing/2014/main" xmlns="" id="{00000000-0008-0000-0300-00005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4" name="Rectangle 338">
          <a:extLst>
            <a:ext uri="{FF2B5EF4-FFF2-40B4-BE49-F238E27FC236}">
              <a16:creationId xmlns:a16="http://schemas.microsoft.com/office/drawing/2014/main" xmlns="" id="{00000000-0008-0000-0300-00006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5" name="Rectangle 339">
          <a:extLst>
            <a:ext uri="{FF2B5EF4-FFF2-40B4-BE49-F238E27FC236}">
              <a16:creationId xmlns:a16="http://schemas.microsoft.com/office/drawing/2014/main" xmlns="" id="{00000000-0008-0000-0300-00006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6" name="Rectangle 340">
          <a:extLst>
            <a:ext uri="{FF2B5EF4-FFF2-40B4-BE49-F238E27FC236}">
              <a16:creationId xmlns:a16="http://schemas.microsoft.com/office/drawing/2014/main" xmlns="" id="{00000000-0008-0000-0300-00006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7" name="Rectangle 341">
          <a:extLst>
            <a:ext uri="{FF2B5EF4-FFF2-40B4-BE49-F238E27FC236}">
              <a16:creationId xmlns:a16="http://schemas.microsoft.com/office/drawing/2014/main" xmlns="" id="{00000000-0008-0000-0300-00006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8" name="Rectangle 342">
          <a:extLst>
            <a:ext uri="{FF2B5EF4-FFF2-40B4-BE49-F238E27FC236}">
              <a16:creationId xmlns:a16="http://schemas.microsoft.com/office/drawing/2014/main" xmlns="" id="{00000000-0008-0000-0300-00006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9" name="Rectangle 343">
          <a:extLst>
            <a:ext uri="{FF2B5EF4-FFF2-40B4-BE49-F238E27FC236}">
              <a16:creationId xmlns:a16="http://schemas.microsoft.com/office/drawing/2014/main" xmlns="" id="{00000000-0008-0000-0300-00006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0" name="Rectangle 344">
          <a:extLst>
            <a:ext uri="{FF2B5EF4-FFF2-40B4-BE49-F238E27FC236}">
              <a16:creationId xmlns:a16="http://schemas.microsoft.com/office/drawing/2014/main" xmlns="" id="{00000000-0008-0000-0300-00006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1" name="Rectangle 345">
          <a:extLst>
            <a:ext uri="{FF2B5EF4-FFF2-40B4-BE49-F238E27FC236}">
              <a16:creationId xmlns:a16="http://schemas.microsoft.com/office/drawing/2014/main" xmlns="" id="{00000000-0008-0000-0300-00006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2" name="Rectangle 346">
          <a:extLst>
            <a:ext uri="{FF2B5EF4-FFF2-40B4-BE49-F238E27FC236}">
              <a16:creationId xmlns:a16="http://schemas.microsoft.com/office/drawing/2014/main" xmlns="" id="{00000000-0008-0000-0300-00006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3" name="Rectangle 347">
          <a:extLst>
            <a:ext uri="{FF2B5EF4-FFF2-40B4-BE49-F238E27FC236}">
              <a16:creationId xmlns:a16="http://schemas.microsoft.com/office/drawing/2014/main" xmlns="" id="{00000000-0008-0000-0300-00006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4" name="Rectangle 348">
          <a:extLst>
            <a:ext uri="{FF2B5EF4-FFF2-40B4-BE49-F238E27FC236}">
              <a16:creationId xmlns:a16="http://schemas.microsoft.com/office/drawing/2014/main" xmlns="" id="{00000000-0008-0000-0300-00006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5" name="Rectangle 349">
          <a:extLst>
            <a:ext uri="{FF2B5EF4-FFF2-40B4-BE49-F238E27FC236}">
              <a16:creationId xmlns:a16="http://schemas.microsoft.com/office/drawing/2014/main" xmlns="" id="{00000000-0008-0000-0300-00006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6" name="Rectangle 350">
          <a:extLst>
            <a:ext uri="{FF2B5EF4-FFF2-40B4-BE49-F238E27FC236}">
              <a16:creationId xmlns:a16="http://schemas.microsoft.com/office/drawing/2014/main" xmlns="" id="{00000000-0008-0000-0300-00006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7" name="Rectangle 351">
          <a:extLst>
            <a:ext uri="{FF2B5EF4-FFF2-40B4-BE49-F238E27FC236}">
              <a16:creationId xmlns:a16="http://schemas.microsoft.com/office/drawing/2014/main" xmlns="" id="{00000000-0008-0000-0300-00006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8" name="Rectangle 352">
          <a:extLst>
            <a:ext uri="{FF2B5EF4-FFF2-40B4-BE49-F238E27FC236}">
              <a16:creationId xmlns:a16="http://schemas.microsoft.com/office/drawing/2014/main" xmlns="" id="{00000000-0008-0000-0300-00006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9" name="Rectangle 353">
          <a:extLst>
            <a:ext uri="{FF2B5EF4-FFF2-40B4-BE49-F238E27FC236}">
              <a16:creationId xmlns:a16="http://schemas.microsoft.com/office/drawing/2014/main" xmlns="" id="{00000000-0008-0000-0300-00006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40" name="Rectangle 354">
          <a:extLst>
            <a:ext uri="{FF2B5EF4-FFF2-40B4-BE49-F238E27FC236}">
              <a16:creationId xmlns:a16="http://schemas.microsoft.com/office/drawing/2014/main" xmlns="" id="{00000000-0008-0000-0300-00007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41" name="Rectangle 355">
          <a:extLst>
            <a:ext uri="{FF2B5EF4-FFF2-40B4-BE49-F238E27FC236}">
              <a16:creationId xmlns:a16="http://schemas.microsoft.com/office/drawing/2014/main" xmlns="" id="{00000000-0008-0000-0300-00007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2" name="Rectangle 356">
          <a:extLst>
            <a:ext uri="{FF2B5EF4-FFF2-40B4-BE49-F238E27FC236}">
              <a16:creationId xmlns:a16="http://schemas.microsoft.com/office/drawing/2014/main" xmlns="" id="{00000000-0008-0000-0300-00007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3" name="Rectangle 357">
          <a:extLst>
            <a:ext uri="{FF2B5EF4-FFF2-40B4-BE49-F238E27FC236}">
              <a16:creationId xmlns:a16="http://schemas.microsoft.com/office/drawing/2014/main" xmlns="" id="{00000000-0008-0000-0300-00007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4" name="Rectangle 358">
          <a:extLst>
            <a:ext uri="{FF2B5EF4-FFF2-40B4-BE49-F238E27FC236}">
              <a16:creationId xmlns:a16="http://schemas.microsoft.com/office/drawing/2014/main" xmlns="" id="{00000000-0008-0000-0300-00007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5" name="Rectangle 359">
          <a:extLst>
            <a:ext uri="{FF2B5EF4-FFF2-40B4-BE49-F238E27FC236}">
              <a16:creationId xmlns:a16="http://schemas.microsoft.com/office/drawing/2014/main" xmlns="" id="{00000000-0008-0000-0300-00007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6" name="Rectangle 360">
          <a:extLst>
            <a:ext uri="{FF2B5EF4-FFF2-40B4-BE49-F238E27FC236}">
              <a16:creationId xmlns:a16="http://schemas.microsoft.com/office/drawing/2014/main" xmlns="" id="{00000000-0008-0000-0300-00007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7" name="Rectangle 361">
          <a:extLst>
            <a:ext uri="{FF2B5EF4-FFF2-40B4-BE49-F238E27FC236}">
              <a16:creationId xmlns:a16="http://schemas.microsoft.com/office/drawing/2014/main" xmlns="" id="{00000000-0008-0000-0300-00007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8" name="Rectangle 362">
          <a:extLst>
            <a:ext uri="{FF2B5EF4-FFF2-40B4-BE49-F238E27FC236}">
              <a16:creationId xmlns:a16="http://schemas.microsoft.com/office/drawing/2014/main" xmlns="" id="{00000000-0008-0000-0300-00007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9" name="Rectangle 363">
          <a:extLst>
            <a:ext uri="{FF2B5EF4-FFF2-40B4-BE49-F238E27FC236}">
              <a16:creationId xmlns:a16="http://schemas.microsoft.com/office/drawing/2014/main" xmlns="" id="{00000000-0008-0000-0300-00007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0" name="Rectangle 364">
          <a:extLst>
            <a:ext uri="{FF2B5EF4-FFF2-40B4-BE49-F238E27FC236}">
              <a16:creationId xmlns:a16="http://schemas.microsoft.com/office/drawing/2014/main" xmlns="" id="{00000000-0008-0000-0300-00007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1" name="Rectangle 365">
          <a:extLst>
            <a:ext uri="{FF2B5EF4-FFF2-40B4-BE49-F238E27FC236}">
              <a16:creationId xmlns:a16="http://schemas.microsoft.com/office/drawing/2014/main" xmlns="" id="{00000000-0008-0000-0300-00007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2" name="Rectangle 366">
          <a:extLst>
            <a:ext uri="{FF2B5EF4-FFF2-40B4-BE49-F238E27FC236}">
              <a16:creationId xmlns:a16="http://schemas.microsoft.com/office/drawing/2014/main" xmlns="" id="{00000000-0008-0000-0300-00007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3" name="Rectangle 367">
          <a:extLst>
            <a:ext uri="{FF2B5EF4-FFF2-40B4-BE49-F238E27FC236}">
              <a16:creationId xmlns:a16="http://schemas.microsoft.com/office/drawing/2014/main" xmlns="" id="{00000000-0008-0000-0300-00007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4" name="Rectangle 368">
          <a:extLst>
            <a:ext uri="{FF2B5EF4-FFF2-40B4-BE49-F238E27FC236}">
              <a16:creationId xmlns:a16="http://schemas.microsoft.com/office/drawing/2014/main" xmlns="" id="{00000000-0008-0000-0300-00007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5" name="Rectangle 369">
          <a:extLst>
            <a:ext uri="{FF2B5EF4-FFF2-40B4-BE49-F238E27FC236}">
              <a16:creationId xmlns:a16="http://schemas.microsoft.com/office/drawing/2014/main" xmlns="" id="{00000000-0008-0000-0300-00007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6" name="Rectangle 370">
          <a:extLst>
            <a:ext uri="{FF2B5EF4-FFF2-40B4-BE49-F238E27FC236}">
              <a16:creationId xmlns:a16="http://schemas.microsoft.com/office/drawing/2014/main" xmlns="" id="{00000000-0008-0000-0300-00008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7" name="Rectangle 371">
          <a:extLst>
            <a:ext uri="{FF2B5EF4-FFF2-40B4-BE49-F238E27FC236}">
              <a16:creationId xmlns:a16="http://schemas.microsoft.com/office/drawing/2014/main" xmlns="" id="{00000000-0008-0000-0300-00008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8" name="Rectangle 372">
          <a:extLst>
            <a:ext uri="{FF2B5EF4-FFF2-40B4-BE49-F238E27FC236}">
              <a16:creationId xmlns:a16="http://schemas.microsoft.com/office/drawing/2014/main" xmlns="" id="{00000000-0008-0000-0300-00008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9" name="Rectangle 373">
          <a:extLst>
            <a:ext uri="{FF2B5EF4-FFF2-40B4-BE49-F238E27FC236}">
              <a16:creationId xmlns:a16="http://schemas.microsoft.com/office/drawing/2014/main" xmlns="" id="{00000000-0008-0000-0300-00008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0" name="Rectangle 374">
          <a:extLst>
            <a:ext uri="{FF2B5EF4-FFF2-40B4-BE49-F238E27FC236}">
              <a16:creationId xmlns:a16="http://schemas.microsoft.com/office/drawing/2014/main" xmlns="" id="{00000000-0008-0000-0300-00008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1" name="Rectangle 375">
          <a:extLst>
            <a:ext uri="{FF2B5EF4-FFF2-40B4-BE49-F238E27FC236}">
              <a16:creationId xmlns:a16="http://schemas.microsoft.com/office/drawing/2014/main" xmlns="" id="{00000000-0008-0000-0300-00008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2" name="Rectangle 376">
          <a:extLst>
            <a:ext uri="{FF2B5EF4-FFF2-40B4-BE49-F238E27FC236}">
              <a16:creationId xmlns:a16="http://schemas.microsoft.com/office/drawing/2014/main" xmlns="" id="{00000000-0008-0000-0300-00008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3" name="Rectangle 377">
          <a:extLst>
            <a:ext uri="{FF2B5EF4-FFF2-40B4-BE49-F238E27FC236}">
              <a16:creationId xmlns:a16="http://schemas.microsoft.com/office/drawing/2014/main" xmlns="" id="{00000000-0008-0000-0300-00008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4" name="Rectangle 378">
          <a:extLst>
            <a:ext uri="{FF2B5EF4-FFF2-40B4-BE49-F238E27FC236}">
              <a16:creationId xmlns:a16="http://schemas.microsoft.com/office/drawing/2014/main" xmlns="" id="{00000000-0008-0000-0300-00008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5" name="Rectangle 379">
          <a:extLst>
            <a:ext uri="{FF2B5EF4-FFF2-40B4-BE49-F238E27FC236}">
              <a16:creationId xmlns:a16="http://schemas.microsoft.com/office/drawing/2014/main" xmlns="" id="{00000000-0008-0000-0300-00008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6" name="Rectangle 380">
          <a:extLst>
            <a:ext uri="{FF2B5EF4-FFF2-40B4-BE49-F238E27FC236}">
              <a16:creationId xmlns:a16="http://schemas.microsoft.com/office/drawing/2014/main" xmlns="" id="{00000000-0008-0000-0300-00008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7" name="Rectangle 381">
          <a:extLst>
            <a:ext uri="{FF2B5EF4-FFF2-40B4-BE49-F238E27FC236}">
              <a16:creationId xmlns:a16="http://schemas.microsoft.com/office/drawing/2014/main" xmlns="" id="{00000000-0008-0000-0300-00008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8" name="Rectangle 382">
          <a:extLst>
            <a:ext uri="{FF2B5EF4-FFF2-40B4-BE49-F238E27FC236}">
              <a16:creationId xmlns:a16="http://schemas.microsoft.com/office/drawing/2014/main" xmlns="" id="{00000000-0008-0000-0300-00008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9" name="Rectangle 383">
          <a:extLst>
            <a:ext uri="{FF2B5EF4-FFF2-40B4-BE49-F238E27FC236}">
              <a16:creationId xmlns:a16="http://schemas.microsoft.com/office/drawing/2014/main" xmlns="" id="{00000000-0008-0000-0300-00008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0" name="Rectangle 384">
          <a:extLst>
            <a:ext uri="{FF2B5EF4-FFF2-40B4-BE49-F238E27FC236}">
              <a16:creationId xmlns:a16="http://schemas.microsoft.com/office/drawing/2014/main" xmlns="" id="{00000000-0008-0000-0300-00008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1" name="Rectangle 385">
          <a:extLst>
            <a:ext uri="{FF2B5EF4-FFF2-40B4-BE49-F238E27FC236}">
              <a16:creationId xmlns:a16="http://schemas.microsoft.com/office/drawing/2014/main" xmlns="" id="{00000000-0008-0000-0300-00008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2" name="Rectangle 386">
          <a:extLst>
            <a:ext uri="{FF2B5EF4-FFF2-40B4-BE49-F238E27FC236}">
              <a16:creationId xmlns:a16="http://schemas.microsoft.com/office/drawing/2014/main" xmlns="" id="{00000000-0008-0000-0300-00009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3" name="Rectangle 387">
          <a:extLst>
            <a:ext uri="{FF2B5EF4-FFF2-40B4-BE49-F238E27FC236}">
              <a16:creationId xmlns:a16="http://schemas.microsoft.com/office/drawing/2014/main" xmlns="" id="{00000000-0008-0000-0300-00009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4" name="Rectangle 388">
          <a:extLst>
            <a:ext uri="{FF2B5EF4-FFF2-40B4-BE49-F238E27FC236}">
              <a16:creationId xmlns:a16="http://schemas.microsoft.com/office/drawing/2014/main" xmlns="" id="{00000000-0008-0000-0300-00009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5" name="Rectangle 389">
          <a:extLst>
            <a:ext uri="{FF2B5EF4-FFF2-40B4-BE49-F238E27FC236}">
              <a16:creationId xmlns:a16="http://schemas.microsoft.com/office/drawing/2014/main" xmlns="" id="{00000000-0008-0000-0300-00009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6" name="Rectangle 390">
          <a:extLst>
            <a:ext uri="{FF2B5EF4-FFF2-40B4-BE49-F238E27FC236}">
              <a16:creationId xmlns:a16="http://schemas.microsoft.com/office/drawing/2014/main" xmlns="" id="{00000000-0008-0000-0300-00009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7" name="Rectangle 391">
          <a:extLst>
            <a:ext uri="{FF2B5EF4-FFF2-40B4-BE49-F238E27FC236}">
              <a16:creationId xmlns:a16="http://schemas.microsoft.com/office/drawing/2014/main" xmlns="" id="{00000000-0008-0000-0300-00009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8" name="Rectangle 392">
          <a:extLst>
            <a:ext uri="{FF2B5EF4-FFF2-40B4-BE49-F238E27FC236}">
              <a16:creationId xmlns:a16="http://schemas.microsoft.com/office/drawing/2014/main" xmlns="" id="{00000000-0008-0000-0300-00009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9" name="Rectangle 393">
          <a:extLst>
            <a:ext uri="{FF2B5EF4-FFF2-40B4-BE49-F238E27FC236}">
              <a16:creationId xmlns:a16="http://schemas.microsoft.com/office/drawing/2014/main" xmlns="" id="{00000000-0008-0000-0300-00009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0" name="Rectangle 394">
          <a:extLst>
            <a:ext uri="{FF2B5EF4-FFF2-40B4-BE49-F238E27FC236}">
              <a16:creationId xmlns:a16="http://schemas.microsoft.com/office/drawing/2014/main" xmlns="" id="{00000000-0008-0000-0300-00009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1" name="Rectangle 395">
          <a:extLst>
            <a:ext uri="{FF2B5EF4-FFF2-40B4-BE49-F238E27FC236}">
              <a16:creationId xmlns:a16="http://schemas.microsoft.com/office/drawing/2014/main" xmlns="" id="{00000000-0008-0000-0300-00009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2" name="Rectangle 396">
          <a:extLst>
            <a:ext uri="{FF2B5EF4-FFF2-40B4-BE49-F238E27FC236}">
              <a16:creationId xmlns:a16="http://schemas.microsoft.com/office/drawing/2014/main" xmlns="" id="{00000000-0008-0000-0300-00009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3" name="Rectangle 397">
          <a:extLst>
            <a:ext uri="{FF2B5EF4-FFF2-40B4-BE49-F238E27FC236}">
              <a16:creationId xmlns:a16="http://schemas.microsoft.com/office/drawing/2014/main" xmlns="" id="{00000000-0008-0000-0300-00009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4" name="Rectangle 398">
          <a:extLst>
            <a:ext uri="{FF2B5EF4-FFF2-40B4-BE49-F238E27FC236}">
              <a16:creationId xmlns:a16="http://schemas.microsoft.com/office/drawing/2014/main" xmlns="" id="{00000000-0008-0000-0300-00009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5" name="Rectangle 399">
          <a:extLst>
            <a:ext uri="{FF2B5EF4-FFF2-40B4-BE49-F238E27FC236}">
              <a16:creationId xmlns:a16="http://schemas.microsoft.com/office/drawing/2014/main" xmlns="" id="{00000000-0008-0000-0300-00009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6" name="Rectangle 400">
          <a:extLst>
            <a:ext uri="{FF2B5EF4-FFF2-40B4-BE49-F238E27FC236}">
              <a16:creationId xmlns:a16="http://schemas.microsoft.com/office/drawing/2014/main" xmlns="" id="{00000000-0008-0000-0300-00009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7" name="Rectangle 401">
          <a:extLst>
            <a:ext uri="{FF2B5EF4-FFF2-40B4-BE49-F238E27FC236}">
              <a16:creationId xmlns:a16="http://schemas.microsoft.com/office/drawing/2014/main" xmlns="" id="{00000000-0008-0000-0300-00009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8" name="Rectangle 402">
          <a:extLst>
            <a:ext uri="{FF2B5EF4-FFF2-40B4-BE49-F238E27FC236}">
              <a16:creationId xmlns:a16="http://schemas.microsoft.com/office/drawing/2014/main" xmlns="" id="{00000000-0008-0000-0300-0000A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9" name="Rectangle 403">
          <a:extLst>
            <a:ext uri="{FF2B5EF4-FFF2-40B4-BE49-F238E27FC236}">
              <a16:creationId xmlns:a16="http://schemas.microsoft.com/office/drawing/2014/main" xmlns="" id="{00000000-0008-0000-0300-0000A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0" name="Rectangle 404">
          <a:extLst>
            <a:ext uri="{FF2B5EF4-FFF2-40B4-BE49-F238E27FC236}">
              <a16:creationId xmlns:a16="http://schemas.microsoft.com/office/drawing/2014/main" xmlns="" id="{00000000-0008-0000-0300-0000A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1" name="Rectangle 405">
          <a:extLst>
            <a:ext uri="{FF2B5EF4-FFF2-40B4-BE49-F238E27FC236}">
              <a16:creationId xmlns:a16="http://schemas.microsoft.com/office/drawing/2014/main" xmlns="" id="{00000000-0008-0000-0300-0000A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2" name="Rectangle 406">
          <a:extLst>
            <a:ext uri="{FF2B5EF4-FFF2-40B4-BE49-F238E27FC236}">
              <a16:creationId xmlns:a16="http://schemas.microsoft.com/office/drawing/2014/main" xmlns="" id="{00000000-0008-0000-0300-0000A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3" name="Rectangle 407">
          <a:extLst>
            <a:ext uri="{FF2B5EF4-FFF2-40B4-BE49-F238E27FC236}">
              <a16:creationId xmlns:a16="http://schemas.microsoft.com/office/drawing/2014/main" xmlns="" id="{00000000-0008-0000-0300-0000A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4" name="Rectangle 408">
          <a:extLst>
            <a:ext uri="{FF2B5EF4-FFF2-40B4-BE49-F238E27FC236}">
              <a16:creationId xmlns:a16="http://schemas.microsoft.com/office/drawing/2014/main" xmlns="" id="{00000000-0008-0000-0300-0000A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5" name="Rectangle 409">
          <a:extLst>
            <a:ext uri="{FF2B5EF4-FFF2-40B4-BE49-F238E27FC236}">
              <a16:creationId xmlns:a16="http://schemas.microsoft.com/office/drawing/2014/main" xmlns="" id="{00000000-0008-0000-0300-0000A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6" name="Rectangle 410">
          <a:extLst>
            <a:ext uri="{FF2B5EF4-FFF2-40B4-BE49-F238E27FC236}">
              <a16:creationId xmlns:a16="http://schemas.microsoft.com/office/drawing/2014/main" xmlns="" id="{00000000-0008-0000-0300-0000A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7" name="Rectangle 411">
          <a:extLst>
            <a:ext uri="{FF2B5EF4-FFF2-40B4-BE49-F238E27FC236}">
              <a16:creationId xmlns:a16="http://schemas.microsoft.com/office/drawing/2014/main" xmlns="" id="{00000000-0008-0000-0300-0000A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8" name="Rectangle 412">
          <a:extLst>
            <a:ext uri="{FF2B5EF4-FFF2-40B4-BE49-F238E27FC236}">
              <a16:creationId xmlns:a16="http://schemas.microsoft.com/office/drawing/2014/main" xmlns="" id="{00000000-0008-0000-0300-0000A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9" name="Rectangle 413">
          <a:extLst>
            <a:ext uri="{FF2B5EF4-FFF2-40B4-BE49-F238E27FC236}">
              <a16:creationId xmlns:a16="http://schemas.microsoft.com/office/drawing/2014/main" xmlns="" id="{00000000-0008-0000-0300-0000A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0" name="Rectangle 414">
          <a:extLst>
            <a:ext uri="{FF2B5EF4-FFF2-40B4-BE49-F238E27FC236}">
              <a16:creationId xmlns:a16="http://schemas.microsoft.com/office/drawing/2014/main" xmlns="" id="{00000000-0008-0000-0300-0000A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1" name="Rectangle 415">
          <a:extLst>
            <a:ext uri="{FF2B5EF4-FFF2-40B4-BE49-F238E27FC236}">
              <a16:creationId xmlns:a16="http://schemas.microsoft.com/office/drawing/2014/main" xmlns="" id="{00000000-0008-0000-0300-0000A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2" name="Rectangle 416">
          <a:extLst>
            <a:ext uri="{FF2B5EF4-FFF2-40B4-BE49-F238E27FC236}">
              <a16:creationId xmlns:a16="http://schemas.microsoft.com/office/drawing/2014/main" xmlns="" id="{00000000-0008-0000-0300-0000A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3" name="Rectangle 417">
          <a:extLst>
            <a:ext uri="{FF2B5EF4-FFF2-40B4-BE49-F238E27FC236}">
              <a16:creationId xmlns:a16="http://schemas.microsoft.com/office/drawing/2014/main" xmlns="" id="{00000000-0008-0000-0300-0000A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4" name="Rectangle 418">
          <a:extLst>
            <a:ext uri="{FF2B5EF4-FFF2-40B4-BE49-F238E27FC236}">
              <a16:creationId xmlns:a16="http://schemas.microsoft.com/office/drawing/2014/main" xmlns="" id="{00000000-0008-0000-0300-0000B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5" name="Rectangle 419">
          <a:extLst>
            <a:ext uri="{FF2B5EF4-FFF2-40B4-BE49-F238E27FC236}">
              <a16:creationId xmlns:a16="http://schemas.microsoft.com/office/drawing/2014/main" xmlns="" id="{00000000-0008-0000-0300-0000B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6" name="Rectangle 420">
          <a:extLst>
            <a:ext uri="{FF2B5EF4-FFF2-40B4-BE49-F238E27FC236}">
              <a16:creationId xmlns:a16="http://schemas.microsoft.com/office/drawing/2014/main" xmlns="" id="{00000000-0008-0000-0300-0000B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7" name="Rectangle 421">
          <a:extLst>
            <a:ext uri="{FF2B5EF4-FFF2-40B4-BE49-F238E27FC236}">
              <a16:creationId xmlns:a16="http://schemas.microsoft.com/office/drawing/2014/main" xmlns="" id="{00000000-0008-0000-0300-0000B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8" name="Rectangle 422">
          <a:extLst>
            <a:ext uri="{FF2B5EF4-FFF2-40B4-BE49-F238E27FC236}">
              <a16:creationId xmlns:a16="http://schemas.microsoft.com/office/drawing/2014/main" xmlns="" id="{00000000-0008-0000-0300-0000B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9" name="Rectangle 423">
          <a:extLst>
            <a:ext uri="{FF2B5EF4-FFF2-40B4-BE49-F238E27FC236}">
              <a16:creationId xmlns:a16="http://schemas.microsoft.com/office/drawing/2014/main" xmlns="" id="{00000000-0008-0000-0300-0000B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0" name="Rectangle 424">
          <a:extLst>
            <a:ext uri="{FF2B5EF4-FFF2-40B4-BE49-F238E27FC236}">
              <a16:creationId xmlns:a16="http://schemas.microsoft.com/office/drawing/2014/main" xmlns="" id="{00000000-0008-0000-0300-0000B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1" name="Rectangle 425">
          <a:extLst>
            <a:ext uri="{FF2B5EF4-FFF2-40B4-BE49-F238E27FC236}">
              <a16:creationId xmlns:a16="http://schemas.microsoft.com/office/drawing/2014/main" xmlns="" id="{00000000-0008-0000-0300-0000B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2" name="Rectangle 426">
          <a:extLst>
            <a:ext uri="{FF2B5EF4-FFF2-40B4-BE49-F238E27FC236}">
              <a16:creationId xmlns:a16="http://schemas.microsoft.com/office/drawing/2014/main" xmlns="" id="{00000000-0008-0000-0300-0000B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3" name="Rectangle 427">
          <a:extLst>
            <a:ext uri="{FF2B5EF4-FFF2-40B4-BE49-F238E27FC236}">
              <a16:creationId xmlns:a16="http://schemas.microsoft.com/office/drawing/2014/main" xmlns="" id="{00000000-0008-0000-0300-0000B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4" name="Rectangle 428">
          <a:extLst>
            <a:ext uri="{FF2B5EF4-FFF2-40B4-BE49-F238E27FC236}">
              <a16:creationId xmlns:a16="http://schemas.microsoft.com/office/drawing/2014/main" xmlns="" id="{00000000-0008-0000-0300-0000B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5" name="Rectangle 429">
          <a:extLst>
            <a:ext uri="{FF2B5EF4-FFF2-40B4-BE49-F238E27FC236}">
              <a16:creationId xmlns:a16="http://schemas.microsoft.com/office/drawing/2014/main" xmlns="" id="{00000000-0008-0000-0300-0000B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6" name="Rectangle 430">
          <a:extLst>
            <a:ext uri="{FF2B5EF4-FFF2-40B4-BE49-F238E27FC236}">
              <a16:creationId xmlns:a16="http://schemas.microsoft.com/office/drawing/2014/main" xmlns="" id="{00000000-0008-0000-0300-0000B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7" name="Rectangle 431">
          <a:extLst>
            <a:ext uri="{FF2B5EF4-FFF2-40B4-BE49-F238E27FC236}">
              <a16:creationId xmlns:a16="http://schemas.microsoft.com/office/drawing/2014/main" xmlns="" id="{00000000-0008-0000-0300-0000B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8" name="Rectangle 432">
          <a:extLst>
            <a:ext uri="{FF2B5EF4-FFF2-40B4-BE49-F238E27FC236}">
              <a16:creationId xmlns:a16="http://schemas.microsoft.com/office/drawing/2014/main" xmlns="" id="{00000000-0008-0000-0300-0000B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9" name="Rectangle 433">
          <a:extLst>
            <a:ext uri="{FF2B5EF4-FFF2-40B4-BE49-F238E27FC236}">
              <a16:creationId xmlns:a16="http://schemas.microsoft.com/office/drawing/2014/main" xmlns="" id="{00000000-0008-0000-0300-0000B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0" name="Rectangle 434">
          <a:extLst>
            <a:ext uri="{FF2B5EF4-FFF2-40B4-BE49-F238E27FC236}">
              <a16:creationId xmlns:a16="http://schemas.microsoft.com/office/drawing/2014/main" xmlns="" id="{00000000-0008-0000-0300-0000C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1" name="Rectangle 435">
          <a:extLst>
            <a:ext uri="{FF2B5EF4-FFF2-40B4-BE49-F238E27FC236}">
              <a16:creationId xmlns:a16="http://schemas.microsoft.com/office/drawing/2014/main" xmlns="" id="{00000000-0008-0000-0300-0000C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2" name="Rectangle 436">
          <a:extLst>
            <a:ext uri="{FF2B5EF4-FFF2-40B4-BE49-F238E27FC236}">
              <a16:creationId xmlns:a16="http://schemas.microsoft.com/office/drawing/2014/main" xmlns="" id="{00000000-0008-0000-0300-0000C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3" name="Rectangle 437">
          <a:extLst>
            <a:ext uri="{FF2B5EF4-FFF2-40B4-BE49-F238E27FC236}">
              <a16:creationId xmlns:a16="http://schemas.microsoft.com/office/drawing/2014/main" xmlns="" id="{00000000-0008-0000-0300-0000C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4" name="Rectangle 438">
          <a:extLst>
            <a:ext uri="{FF2B5EF4-FFF2-40B4-BE49-F238E27FC236}">
              <a16:creationId xmlns:a16="http://schemas.microsoft.com/office/drawing/2014/main" xmlns="" id="{00000000-0008-0000-0300-0000C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5" name="Rectangle 439">
          <a:extLst>
            <a:ext uri="{FF2B5EF4-FFF2-40B4-BE49-F238E27FC236}">
              <a16:creationId xmlns:a16="http://schemas.microsoft.com/office/drawing/2014/main" xmlns="" id="{00000000-0008-0000-0300-0000C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6" name="Rectangle 440">
          <a:extLst>
            <a:ext uri="{FF2B5EF4-FFF2-40B4-BE49-F238E27FC236}">
              <a16:creationId xmlns:a16="http://schemas.microsoft.com/office/drawing/2014/main" xmlns="" id="{00000000-0008-0000-0300-0000C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7" name="Rectangle 441">
          <a:extLst>
            <a:ext uri="{FF2B5EF4-FFF2-40B4-BE49-F238E27FC236}">
              <a16:creationId xmlns:a16="http://schemas.microsoft.com/office/drawing/2014/main" xmlns="" id="{00000000-0008-0000-0300-0000C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8" name="Rectangle 442">
          <a:extLst>
            <a:ext uri="{FF2B5EF4-FFF2-40B4-BE49-F238E27FC236}">
              <a16:creationId xmlns:a16="http://schemas.microsoft.com/office/drawing/2014/main" xmlns="" id="{00000000-0008-0000-0300-0000C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9" name="Rectangle 443">
          <a:extLst>
            <a:ext uri="{FF2B5EF4-FFF2-40B4-BE49-F238E27FC236}">
              <a16:creationId xmlns:a16="http://schemas.microsoft.com/office/drawing/2014/main" xmlns="" id="{00000000-0008-0000-0300-0000C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30" name="Rectangle 444">
          <a:extLst>
            <a:ext uri="{FF2B5EF4-FFF2-40B4-BE49-F238E27FC236}">
              <a16:creationId xmlns:a16="http://schemas.microsoft.com/office/drawing/2014/main" xmlns="" id="{00000000-0008-0000-0300-0000C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1" name="Rectangle 445">
          <a:extLst>
            <a:ext uri="{FF2B5EF4-FFF2-40B4-BE49-F238E27FC236}">
              <a16:creationId xmlns:a16="http://schemas.microsoft.com/office/drawing/2014/main" xmlns="" id="{00000000-0008-0000-0300-0000C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32" name="Rectangle 446">
          <a:extLst>
            <a:ext uri="{FF2B5EF4-FFF2-40B4-BE49-F238E27FC236}">
              <a16:creationId xmlns:a16="http://schemas.microsoft.com/office/drawing/2014/main" xmlns="" id="{00000000-0008-0000-0300-0000C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3" name="Rectangle 447">
          <a:extLst>
            <a:ext uri="{FF2B5EF4-FFF2-40B4-BE49-F238E27FC236}">
              <a16:creationId xmlns:a16="http://schemas.microsoft.com/office/drawing/2014/main" xmlns="" id="{00000000-0008-0000-0300-0000C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4" name="Rectangle 448">
          <a:extLst>
            <a:ext uri="{FF2B5EF4-FFF2-40B4-BE49-F238E27FC236}">
              <a16:creationId xmlns:a16="http://schemas.microsoft.com/office/drawing/2014/main" xmlns="" id="{00000000-0008-0000-0300-0000C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5" name="Rectangle 449">
          <a:extLst>
            <a:ext uri="{FF2B5EF4-FFF2-40B4-BE49-F238E27FC236}">
              <a16:creationId xmlns:a16="http://schemas.microsoft.com/office/drawing/2014/main" xmlns="" id="{00000000-0008-0000-0300-0000C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6" name="Rectangle 450">
          <a:extLst>
            <a:ext uri="{FF2B5EF4-FFF2-40B4-BE49-F238E27FC236}">
              <a16:creationId xmlns:a16="http://schemas.microsoft.com/office/drawing/2014/main" xmlns="" id="{00000000-0008-0000-0300-0000D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7" name="Rectangle 451">
          <a:extLst>
            <a:ext uri="{FF2B5EF4-FFF2-40B4-BE49-F238E27FC236}">
              <a16:creationId xmlns:a16="http://schemas.microsoft.com/office/drawing/2014/main" xmlns="" id="{00000000-0008-0000-0300-0000D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8" name="Rectangle 452">
          <a:extLst>
            <a:ext uri="{FF2B5EF4-FFF2-40B4-BE49-F238E27FC236}">
              <a16:creationId xmlns:a16="http://schemas.microsoft.com/office/drawing/2014/main" xmlns="" id="{00000000-0008-0000-0300-0000D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9" name="Rectangle 453">
          <a:extLst>
            <a:ext uri="{FF2B5EF4-FFF2-40B4-BE49-F238E27FC236}">
              <a16:creationId xmlns:a16="http://schemas.microsoft.com/office/drawing/2014/main" xmlns="" id="{00000000-0008-0000-0300-0000D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0" name="Rectangle 454">
          <a:extLst>
            <a:ext uri="{FF2B5EF4-FFF2-40B4-BE49-F238E27FC236}">
              <a16:creationId xmlns:a16="http://schemas.microsoft.com/office/drawing/2014/main" xmlns="" id="{00000000-0008-0000-0300-0000D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1" name="Rectangle 455">
          <a:extLst>
            <a:ext uri="{FF2B5EF4-FFF2-40B4-BE49-F238E27FC236}">
              <a16:creationId xmlns:a16="http://schemas.microsoft.com/office/drawing/2014/main" xmlns="" id="{00000000-0008-0000-0300-0000D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2" name="Rectangle 456">
          <a:extLst>
            <a:ext uri="{FF2B5EF4-FFF2-40B4-BE49-F238E27FC236}">
              <a16:creationId xmlns:a16="http://schemas.microsoft.com/office/drawing/2014/main" xmlns="" id="{00000000-0008-0000-0300-0000D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3" name="Rectangle 457">
          <a:extLst>
            <a:ext uri="{FF2B5EF4-FFF2-40B4-BE49-F238E27FC236}">
              <a16:creationId xmlns:a16="http://schemas.microsoft.com/office/drawing/2014/main" xmlns="" id="{00000000-0008-0000-0300-0000D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4" name="Rectangle 458">
          <a:extLst>
            <a:ext uri="{FF2B5EF4-FFF2-40B4-BE49-F238E27FC236}">
              <a16:creationId xmlns:a16="http://schemas.microsoft.com/office/drawing/2014/main" xmlns="" id="{00000000-0008-0000-0300-0000D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5" name="Rectangle 459">
          <a:extLst>
            <a:ext uri="{FF2B5EF4-FFF2-40B4-BE49-F238E27FC236}">
              <a16:creationId xmlns:a16="http://schemas.microsoft.com/office/drawing/2014/main" xmlns="" id="{00000000-0008-0000-0300-0000D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6" name="Rectangle 460">
          <a:extLst>
            <a:ext uri="{FF2B5EF4-FFF2-40B4-BE49-F238E27FC236}">
              <a16:creationId xmlns:a16="http://schemas.microsoft.com/office/drawing/2014/main" xmlns="" id="{00000000-0008-0000-0300-0000D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47" name="Rectangle 461">
          <a:extLst>
            <a:ext uri="{FF2B5EF4-FFF2-40B4-BE49-F238E27FC236}">
              <a16:creationId xmlns:a16="http://schemas.microsoft.com/office/drawing/2014/main" xmlns="" id="{00000000-0008-0000-0300-0000D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48" name="Rectangle 462">
          <a:extLst>
            <a:ext uri="{FF2B5EF4-FFF2-40B4-BE49-F238E27FC236}">
              <a16:creationId xmlns:a16="http://schemas.microsoft.com/office/drawing/2014/main" xmlns="" id="{00000000-0008-0000-0300-0000D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9" name="Rectangle 463">
          <a:extLst>
            <a:ext uri="{FF2B5EF4-FFF2-40B4-BE49-F238E27FC236}">
              <a16:creationId xmlns:a16="http://schemas.microsoft.com/office/drawing/2014/main" xmlns="" id="{00000000-0008-0000-0300-0000D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0" name="Rectangle 464">
          <a:extLst>
            <a:ext uri="{FF2B5EF4-FFF2-40B4-BE49-F238E27FC236}">
              <a16:creationId xmlns:a16="http://schemas.microsoft.com/office/drawing/2014/main" xmlns="" id="{00000000-0008-0000-0300-0000D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1" name="Rectangle 465">
          <a:extLst>
            <a:ext uri="{FF2B5EF4-FFF2-40B4-BE49-F238E27FC236}">
              <a16:creationId xmlns:a16="http://schemas.microsoft.com/office/drawing/2014/main" xmlns="" id="{00000000-0008-0000-0300-0000D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2" name="Rectangle 466">
          <a:extLst>
            <a:ext uri="{FF2B5EF4-FFF2-40B4-BE49-F238E27FC236}">
              <a16:creationId xmlns:a16="http://schemas.microsoft.com/office/drawing/2014/main" xmlns="" id="{00000000-0008-0000-0300-0000E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3" name="Rectangle 467">
          <a:extLst>
            <a:ext uri="{FF2B5EF4-FFF2-40B4-BE49-F238E27FC236}">
              <a16:creationId xmlns:a16="http://schemas.microsoft.com/office/drawing/2014/main" xmlns="" id="{00000000-0008-0000-0300-0000E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4" name="Rectangle 468">
          <a:extLst>
            <a:ext uri="{FF2B5EF4-FFF2-40B4-BE49-F238E27FC236}">
              <a16:creationId xmlns:a16="http://schemas.microsoft.com/office/drawing/2014/main" xmlns="" id="{00000000-0008-0000-0300-0000E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5" name="Rectangle 469">
          <a:extLst>
            <a:ext uri="{FF2B5EF4-FFF2-40B4-BE49-F238E27FC236}">
              <a16:creationId xmlns:a16="http://schemas.microsoft.com/office/drawing/2014/main" xmlns="" id="{00000000-0008-0000-0300-0000E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6" name="Rectangle 470">
          <a:extLst>
            <a:ext uri="{FF2B5EF4-FFF2-40B4-BE49-F238E27FC236}">
              <a16:creationId xmlns:a16="http://schemas.microsoft.com/office/drawing/2014/main" xmlns="" id="{00000000-0008-0000-0300-0000E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7" name="Rectangle 471">
          <a:extLst>
            <a:ext uri="{FF2B5EF4-FFF2-40B4-BE49-F238E27FC236}">
              <a16:creationId xmlns:a16="http://schemas.microsoft.com/office/drawing/2014/main" xmlns="" id="{00000000-0008-0000-0300-0000E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8" name="Rectangle 472">
          <a:extLst>
            <a:ext uri="{FF2B5EF4-FFF2-40B4-BE49-F238E27FC236}">
              <a16:creationId xmlns:a16="http://schemas.microsoft.com/office/drawing/2014/main" xmlns="" id="{00000000-0008-0000-0300-0000E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9" name="Rectangle 473">
          <a:extLst>
            <a:ext uri="{FF2B5EF4-FFF2-40B4-BE49-F238E27FC236}">
              <a16:creationId xmlns:a16="http://schemas.microsoft.com/office/drawing/2014/main" xmlns="" id="{00000000-0008-0000-0300-0000E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0" name="Rectangle 474">
          <a:extLst>
            <a:ext uri="{FF2B5EF4-FFF2-40B4-BE49-F238E27FC236}">
              <a16:creationId xmlns:a16="http://schemas.microsoft.com/office/drawing/2014/main" xmlns="" id="{00000000-0008-0000-0300-0000E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1" name="Rectangle 475">
          <a:extLst>
            <a:ext uri="{FF2B5EF4-FFF2-40B4-BE49-F238E27FC236}">
              <a16:creationId xmlns:a16="http://schemas.microsoft.com/office/drawing/2014/main" xmlns="" id="{00000000-0008-0000-0300-0000E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2" name="Rectangle 476">
          <a:extLst>
            <a:ext uri="{FF2B5EF4-FFF2-40B4-BE49-F238E27FC236}">
              <a16:creationId xmlns:a16="http://schemas.microsoft.com/office/drawing/2014/main" xmlns="" id="{00000000-0008-0000-0300-0000E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3" name="Rectangle 477">
          <a:extLst>
            <a:ext uri="{FF2B5EF4-FFF2-40B4-BE49-F238E27FC236}">
              <a16:creationId xmlns:a16="http://schemas.microsoft.com/office/drawing/2014/main" xmlns="" id="{00000000-0008-0000-0300-0000E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4" name="Rectangle 478">
          <a:extLst>
            <a:ext uri="{FF2B5EF4-FFF2-40B4-BE49-F238E27FC236}">
              <a16:creationId xmlns:a16="http://schemas.microsoft.com/office/drawing/2014/main" xmlns="" id="{00000000-0008-0000-0300-0000E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5" name="Rectangle 479">
          <a:extLst>
            <a:ext uri="{FF2B5EF4-FFF2-40B4-BE49-F238E27FC236}">
              <a16:creationId xmlns:a16="http://schemas.microsoft.com/office/drawing/2014/main" xmlns="" id="{00000000-0008-0000-0300-0000E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6" name="Rectangle 480">
          <a:extLst>
            <a:ext uri="{FF2B5EF4-FFF2-40B4-BE49-F238E27FC236}">
              <a16:creationId xmlns:a16="http://schemas.microsoft.com/office/drawing/2014/main" xmlns="" id="{00000000-0008-0000-0300-0000E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7" name="Rectangle 481">
          <a:extLst>
            <a:ext uri="{FF2B5EF4-FFF2-40B4-BE49-F238E27FC236}">
              <a16:creationId xmlns:a16="http://schemas.microsoft.com/office/drawing/2014/main" xmlns="" id="{00000000-0008-0000-0300-0000E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8" name="Rectangle 482">
          <a:extLst>
            <a:ext uri="{FF2B5EF4-FFF2-40B4-BE49-F238E27FC236}">
              <a16:creationId xmlns:a16="http://schemas.microsoft.com/office/drawing/2014/main" xmlns="" id="{00000000-0008-0000-0300-0000F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9" name="Rectangle 483">
          <a:extLst>
            <a:ext uri="{FF2B5EF4-FFF2-40B4-BE49-F238E27FC236}">
              <a16:creationId xmlns:a16="http://schemas.microsoft.com/office/drawing/2014/main" xmlns="" id="{00000000-0008-0000-0300-0000F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0" name="Rectangle 484">
          <a:extLst>
            <a:ext uri="{FF2B5EF4-FFF2-40B4-BE49-F238E27FC236}">
              <a16:creationId xmlns:a16="http://schemas.microsoft.com/office/drawing/2014/main" xmlns="" id="{00000000-0008-0000-0300-0000F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1" name="Rectangle 485">
          <a:extLst>
            <a:ext uri="{FF2B5EF4-FFF2-40B4-BE49-F238E27FC236}">
              <a16:creationId xmlns:a16="http://schemas.microsoft.com/office/drawing/2014/main" xmlns="" id="{00000000-0008-0000-0300-0000F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2" name="Rectangle 486">
          <a:extLst>
            <a:ext uri="{FF2B5EF4-FFF2-40B4-BE49-F238E27FC236}">
              <a16:creationId xmlns:a16="http://schemas.microsoft.com/office/drawing/2014/main" xmlns="" id="{00000000-0008-0000-0300-0000F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3" name="Rectangle 487">
          <a:extLst>
            <a:ext uri="{FF2B5EF4-FFF2-40B4-BE49-F238E27FC236}">
              <a16:creationId xmlns:a16="http://schemas.microsoft.com/office/drawing/2014/main" xmlns="" id="{00000000-0008-0000-0300-0000F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4" name="Rectangle 488">
          <a:extLst>
            <a:ext uri="{FF2B5EF4-FFF2-40B4-BE49-F238E27FC236}">
              <a16:creationId xmlns:a16="http://schemas.microsoft.com/office/drawing/2014/main" xmlns="" id="{00000000-0008-0000-0300-0000F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5" name="Rectangle 489">
          <a:extLst>
            <a:ext uri="{FF2B5EF4-FFF2-40B4-BE49-F238E27FC236}">
              <a16:creationId xmlns:a16="http://schemas.microsoft.com/office/drawing/2014/main" xmlns="" id="{00000000-0008-0000-0300-0000F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6" name="Rectangle 490">
          <a:extLst>
            <a:ext uri="{FF2B5EF4-FFF2-40B4-BE49-F238E27FC236}">
              <a16:creationId xmlns:a16="http://schemas.microsoft.com/office/drawing/2014/main" xmlns="" id="{00000000-0008-0000-0300-0000F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7" name="Rectangle 491">
          <a:extLst>
            <a:ext uri="{FF2B5EF4-FFF2-40B4-BE49-F238E27FC236}">
              <a16:creationId xmlns:a16="http://schemas.microsoft.com/office/drawing/2014/main" xmlns="" id="{00000000-0008-0000-0300-0000F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8" name="Rectangle 492">
          <a:extLst>
            <a:ext uri="{FF2B5EF4-FFF2-40B4-BE49-F238E27FC236}">
              <a16:creationId xmlns:a16="http://schemas.microsoft.com/office/drawing/2014/main" xmlns="" id="{00000000-0008-0000-0300-0000F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9" name="Rectangle 493">
          <a:extLst>
            <a:ext uri="{FF2B5EF4-FFF2-40B4-BE49-F238E27FC236}">
              <a16:creationId xmlns:a16="http://schemas.microsoft.com/office/drawing/2014/main" xmlns="" id="{00000000-0008-0000-0300-0000F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0" name="Rectangle 494">
          <a:extLst>
            <a:ext uri="{FF2B5EF4-FFF2-40B4-BE49-F238E27FC236}">
              <a16:creationId xmlns:a16="http://schemas.microsoft.com/office/drawing/2014/main" xmlns="" id="{00000000-0008-0000-0300-0000F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1" name="Rectangle 495">
          <a:extLst>
            <a:ext uri="{FF2B5EF4-FFF2-40B4-BE49-F238E27FC236}">
              <a16:creationId xmlns:a16="http://schemas.microsoft.com/office/drawing/2014/main" xmlns="" id="{00000000-0008-0000-0300-0000F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2" name="Rectangle 496">
          <a:extLst>
            <a:ext uri="{FF2B5EF4-FFF2-40B4-BE49-F238E27FC236}">
              <a16:creationId xmlns:a16="http://schemas.microsoft.com/office/drawing/2014/main" xmlns="" id="{00000000-0008-0000-0300-0000F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3" name="Rectangle 497">
          <a:extLst>
            <a:ext uri="{FF2B5EF4-FFF2-40B4-BE49-F238E27FC236}">
              <a16:creationId xmlns:a16="http://schemas.microsoft.com/office/drawing/2014/main" xmlns="" id="{00000000-0008-0000-0300-0000F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4" name="Rectangle 498">
          <a:extLst>
            <a:ext uri="{FF2B5EF4-FFF2-40B4-BE49-F238E27FC236}">
              <a16:creationId xmlns:a16="http://schemas.microsoft.com/office/drawing/2014/main" xmlns="" id="{00000000-0008-0000-0300-00000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5" name="Rectangle 499">
          <a:extLst>
            <a:ext uri="{FF2B5EF4-FFF2-40B4-BE49-F238E27FC236}">
              <a16:creationId xmlns:a16="http://schemas.microsoft.com/office/drawing/2014/main" xmlns="" id="{00000000-0008-0000-0300-00000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6" name="Rectangle 500">
          <a:extLst>
            <a:ext uri="{FF2B5EF4-FFF2-40B4-BE49-F238E27FC236}">
              <a16:creationId xmlns:a16="http://schemas.microsoft.com/office/drawing/2014/main" xmlns="" id="{00000000-0008-0000-0300-00000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7" name="Rectangle 501">
          <a:extLst>
            <a:ext uri="{FF2B5EF4-FFF2-40B4-BE49-F238E27FC236}">
              <a16:creationId xmlns:a16="http://schemas.microsoft.com/office/drawing/2014/main" xmlns="" id="{00000000-0008-0000-0300-00000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8" name="Rectangle 502">
          <a:extLst>
            <a:ext uri="{FF2B5EF4-FFF2-40B4-BE49-F238E27FC236}">
              <a16:creationId xmlns:a16="http://schemas.microsoft.com/office/drawing/2014/main" xmlns="" id="{00000000-0008-0000-0300-00000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9" name="Rectangle 503">
          <a:extLst>
            <a:ext uri="{FF2B5EF4-FFF2-40B4-BE49-F238E27FC236}">
              <a16:creationId xmlns:a16="http://schemas.microsoft.com/office/drawing/2014/main" xmlns="" id="{00000000-0008-0000-0300-00000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0" name="Rectangle 504">
          <a:extLst>
            <a:ext uri="{FF2B5EF4-FFF2-40B4-BE49-F238E27FC236}">
              <a16:creationId xmlns:a16="http://schemas.microsoft.com/office/drawing/2014/main" xmlns="" id="{00000000-0008-0000-0300-00000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1" name="Rectangle 505">
          <a:extLst>
            <a:ext uri="{FF2B5EF4-FFF2-40B4-BE49-F238E27FC236}">
              <a16:creationId xmlns:a16="http://schemas.microsoft.com/office/drawing/2014/main" xmlns="" id="{00000000-0008-0000-0300-00000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2" name="Rectangle 506">
          <a:extLst>
            <a:ext uri="{FF2B5EF4-FFF2-40B4-BE49-F238E27FC236}">
              <a16:creationId xmlns:a16="http://schemas.microsoft.com/office/drawing/2014/main" xmlns="" id="{00000000-0008-0000-0300-00000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3" name="Rectangle 507">
          <a:extLst>
            <a:ext uri="{FF2B5EF4-FFF2-40B4-BE49-F238E27FC236}">
              <a16:creationId xmlns:a16="http://schemas.microsoft.com/office/drawing/2014/main" xmlns="" id="{00000000-0008-0000-0300-00000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4" name="Rectangle 508">
          <a:extLst>
            <a:ext uri="{FF2B5EF4-FFF2-40B4-BE49-F238E27FC236}">
              <a16:creationId xmlns:a16="http://schemas.microsoft.com/office/drawing/2014/main" xmlns="" id="{00000000-0008-0000-0300-00000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5" name="Rectangle 509">
          <a:extLst>
            <a:ext uri="{FF2B5EF4-FFF2-40B4-BE49-F238E27FC236}">
              <a16:creationId xmlns:a16="http://schemas.microsoft.com/office/drawing/2014/main" xmlns="" id="{00000000-0008-0000-0300-00000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6" name="Rectangle 510">
          <a:extLst>
            <a:ext uri="{FF2B5EF4-FFF2-40B4-BE49-F238E27FC236}">
              <a16:creationId xmlns:a16="http://schemas.microsoft.com/office/drawing/2014/main" xmlns="" id="{00000000-0008-0000-0300-00000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7" name="Rectangle 511">
          <a:extLst>
            <a:ext uri="{FF2B5EF4-FFF2-40B4-BE49-F238E27FC236}">
              <a16:creationId xmlns:a16="http://schemas.microsoft.com/office/drawing/2014/main" xmlns="" id="{00000000-0008-0000-0300-00000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8" name="Rectangle 512">
          <a:extLst>
            <a:ext uri="{FF2B5EF4-FFF2-40B4-BE49-F238E27FC236}">
              <a16:creationId xmlns:a16="http://schemas.microsoft.com/office/drawing/2014/main" xmlns="" id="{00000000-0008-0000-0300-00000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9" name="Rectangle 513">
          <a:extLst>
            <a:ext uri="{FF2B5EF4-FFF2-40B4-BE49-F238E27FC236}">
              <a16:creationId xmlns:a16="http://schemas.microsoft.com/office/drawing/2014/main" xmlns="" id="{00000000-0008-0000-0300-00000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0" name="Rectangle 514">
          <a:extLst>
            <a:ext uri="{FF2B5EF4-FFF2-40B4-BE49-F238E27FC236}">
              <a16:creationId xmlns:a16="http://schemas.microsoft.com/office/drawing/2014/main" xmlns="" id="{00000000-0008-0000-0300-00001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1" name="Rectangle 515">
          <a:extLst>
            <a:ext uri="{FF2B5EF4-FFF2-40B4-BE49-F238E27FC236}">
              <a16:creationId xmlns:a16="http://schemas.microsoft.com/office/drawing/2014/main" xmlns="" id="{00000000-0008-0000-0300-00001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2" name="Rectangle 516">
          <a:extLst>
            <a:ext uri="{FF2B5EF4-FFF2-40B4-BE49-F238E27FC236}">
              <a16:creationId xmlns:a16="http://schemas.microsoft.com/office/drawing/2014/main" xmlns="" id="{00000000-0008-0000-0300-00001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3" name="Rectangle 517">
          <a:extLst>
            <a:ext uri="{FF2B5EF4-FFF2-40B4-BE49-F238E27FC236}">
              <a16:creationId xmlns:a16="http://schemas.microsoft.com/office/drawing/2014/main" xmlns="" id="{00000000-0008-0000-0300-00001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4" name="Rectangle 518">
          <a:extLst>
            <a:ext uri="{FF2B5EF4-FFF2-40B4-BE49-F238E27FC236}">
              <a16:creationId xmlns:a16="http://schemas.microsoft.com/office/drawing/2014/main" xmlns="" id="{00000000-0008-0000-0300-00001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5" name="Rectangle 519">
          <a:extLst>
            <a:ext uri="{FF2B5EF4-FFF2-40B4-BE49-F238E27FC236}">
              <a16:creationId xmlns:a16="http://schemas.microsoft.com/office/drawing/2014/main" xmlns="" id="{00000000-0008-0000-0300-00001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6" name="Rectangle 520">
          <a:extLst>
            <a:ext uri="{FF2B5EF4-FFF2-40B4-BE49-F238E27FC236}">
              <a16:creationId xmlns:a16="http://schemas.microsoft.com/office/drawing/2014/main" xmlns="" id="{00000000-0008-0000-0300-00001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7" name="Rectangle 521">
          <a:extLst>
            <a:ext uri="{FF2B5EF4-FFF2-40B4-BE49-F238E27FC236}">
              <a16:creationId xmlns:a16="http://schemas.microsoft.com/office/drawing/2014/main" xmlns="" id="{00000000-0008-0000-0300-00001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8" name="Rectangle 522">
          <a:extLst>
            <a:ext uri="{FF2B5EF4-FFF2-40B4-BE49-F238E27FC236}">
              <a16:creationId xmlns:a16="http://schemas.microsoft.com/office/drawing/2014/main" xmlns="" id="{00000000-0008-0000-0300-00001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9" name="Rectangle 523">
          <a:extLst>
            <a:ext uri="{FF2B5EF4-FFF2-40B4-BE49-F238E27FC236}">
              <a16:creationId xmlns:a16="http://schemas.microsoft.com/office/drawing/2014/main" xmlns="" id="{00000000-0008-0000-0300-00001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0" name="Rectangle 524">
          <a:extLst>
            <a:ext uri="{FF2B5EF4-FFF2-40B4-BE49-F238E27FC236}">
              <a16:creationId xmlns:a16="http://schemas.microsoft.com/office/drawing/2014/main" xmlns="" id="{00000000-0008-0000-0300-00001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1" name="Rectangle 525">
          <a:extLst>
            <a:ext uri="{FF2B5EF4-FFF2-40B4-BE49-F238E27FC236}">
              <a16:creationId xmlns:a16="http://schemas.microsoft.com/office/drawing/2014/main" xmlns="" id="{00000000-0008-0000-0300-00001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2" name="Rectangle 526">
          <a:extLst>
            <a:ext uri="{FF2B5EF4-FFF2-40B4-BE49-F238E27FC236}">
              <a16:creationId xmlns:a16="http://schemas.microsoft.com/office/drawing/2014/main" xmlns="" id="{00000000-0008-0000-0300-00001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3" name="Rectangle 527">
          <a:extLst>
            <a:ext uri="{FF2B5EF4-FFF2-40B4-BE49-F238E27FC236}">
              <a16:creationId xmlns:a16="http://schemas.microsoft.com/office/drawing/2014/main" xmlns="" id="{00000000-0008-0000-0300-00001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4" name="Rectangle 528">
          <a:extLst>
            <a:ext uri="{FF2B5EF4-FFF2-40B4-BE49-F238E27FC236}">
              <a16:creationId xmlns:a16="http://schemas.microsoft.com/office/drawing/2014/main" xmlns="" id="{00000000-0008-0000-0300-00001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5" name="Rectangle 529">
          <a:extLst>
            <a:ext uri="{FF2B5EF4-FFF2-40B4-BE49-F238E27FC236}">
              <a16:creationId xmlns:a16="http://schemas.microsoft.com/office/drawing/2014/main" xmlns="" id="{00000000-0008-0000-0300-00001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6" name="Rectangle 530">
          <a:extLst>
            <a:ext uri="{FF2B5EF4-FFF2-40B4-BE49-F238E27FC236}">
              <a16:creationId xmlns:a16="http://schemas.microsoft.com/office/drawing/2014/main" xmlns="" id="{00000000-0008-0000-0300-00002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7" name="Rectangle 531">
          <a:extLst>
            <a:ext uri="{FF2B5EF4-FFF2-40B4-BE49-F238E27FC236}">
              <a16:creationId xmlns:a16="http://schemas.microsoft.com/office/drawing/2014/main" xmlns="" id="{00000000-0008-0000-0300-00002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8" name="Rectangle 532">
          <a:extLst>
            <a:ext uri="{FF2B5EF4-FFF2-40B4-BE49-F238E27FC236}">
              <a16:creationId xmlns:a16="http://schemas.microsoft.com/office/drawing/2014/main" xmlns="" id="{00000000-0008-0000-0300-00002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9" name="Rectangle 533">
          <a:extLst>
            <a:ext uri="{FF2B5EF4-FFF2-40B4-BE49-F238E27FC236}">
              <a16:creationId xmlns:a16="http://schemas.microsoft.com/office/drawing/2014/main" xmlns="" id="{00000000-0008-0000-0300-00002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0" name="Rectangle 534">
          <a:extLst>
            <a:ext uri="{FF2B5EF4-FFF2-40B4-BE49-F238E27FC236}">
              <a16:creationId xmlns:a16="http://schemas.microsoft.com/office/drawing/2014/main" xmlns="" id="{00000000-0008-0000-0300-00002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1" name="Rectangle 535">
          <a:extLst>
            <a:ext uri="{FF2B5EF4-FFF2-40B4-BE49-F238E27FC236}">
              <a16:creationId xmlns:a16="http://schemas.microsoft.com/office/drawing/2014/main" xmlns="" id="{00000000-0008-0000-0300-00002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22" name="Rectangle 536">
          <a:extLst>
            <a:ext uri="{FF2B5EF4-FFF2-40B4-BE49-F238E27FC236}">
              <a16:creationId xmlns:a16="http://schemas.microsoft.com/office/drawing/2014/main" xmlns="" id="{00000000-0008-0000-0300-00002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3" name="Rectangle 537">
          <a:extLst>
            <a:ext uri="{FF2B5EF4-FFF2-40B4-BE49-F238E27FC236}">
              <a16:creationId xmlns:a16="http://schemas.microsoft.com/office/drawing/2014/main" xmlns="" id="{00000000-0008-0000-0300-00002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4" name="Rectangle 538">
          <a:extLst>
            <a:ext uri="{FF2B5EF4-FFF2-40B4-BE49-F238E27FC236}">
              <a16:creationId xmlns:a16="http://schemas.microsoft.com/office/drawing/2014/main" xmlns="" id="{00000000-0008-0000-0300-00002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5" name="Rectangle 539">
          <a:extLst>
            <a:ext uri="{FF2B5EF4-FFF2-40B4-BE49-F238E27FC236}">
              <a16:creationId xmlns:a16="http://schemas.microsoft.com/office/drawing/2014/main" xmlns="" id="{00000000-0008-0000-0300-00002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6" name="Rectangle 540">
          <a:extLst>
            <a:ext uri="{FF2B5EF4-FFF2-40B4-BE49-F238E27FC236}">
              <a16:creationId xmlns:a16="http://schemas.microsoft.com/office/drawing/2014/main" xmlns="" id="{00000000-0008-0000-0300-00002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7" name="Rectangle 541">
          <a:extLst>
            <a:ext uri="{FF2B5EF4-FFF2-40B4-BE49-F238E27FC236}">
              <a16:creationId xmlns:a16="http://schemas.microsoft.com/office/drawing/2014/main" xmlns="" id="{00000000-0008-0000-0300-00002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8" name="Rectangle 542">
          <a:extLst>
            <a:ext uri="{FF2B5EF4-FFF2-40B4-BE49-F238E27FC236}">
              <a16:creationId xmlns:a16="http://schemas.microsoft.com/office/drawing/2014/main" xmlns="" id="{00000000-0008-0000-0300-00002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9" name="Rectangle 543">
          <a:extLst>
            <a:ext uri="{FF2B5EF4-FFF2-40B4-BE49-F238E27FC236}">
              <a16:creationId xmlns:a16="http://schemas.microsoft.com/office/drawing/2014/main" xmlns="" id="{00000000-0008-0000-0300-00002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0" name="Rectangle 544">
          <a:extLst>
            <a:ext uri="{FF2B5EF4-FFF2-40B4-BE49-F238E27FC236}">
              <a16:creationId xmlns:a16="http://schemas.microsoft.com/office/drawing/2014/main" xmlns="" id="{00000000-0008-0000-0300-00002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1" name="Rectangle 545">
          <a:extLst>
            <a:ext uri="{FF2B5EF4-FFF2-40B4-BE49-F238E27FC236}">
              <a16:creationId xmlns:a16="http://schemas.microsoft.com/office/drawing/2014/main" xmlns="" id="{00000000-0008-0000-0300-00002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2" name="Rectangle 546">
          <a:extLst>
            <a:ext uri="{FF2B5EF4-FFF2-40B4-BE49-F238E27FC236}">
              <a16:creationId xmlns:a16="http://schemas.microsoft.com/office/drawing/2014/main" xmlns="" id="{00000000-0008-0000-0300-00003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3" name="Rectangle 547">
          <a:extLst>
            <a:ext uri="{FF2B5EF4-FFF2-40B4-BE49-F238E27FC236}">
              <a16:creationId xmlns:a16="http://schemas.microsoft.com/office/drawing/2014/main" xmlns="" id="{00000000-0008-0000-0300-00003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4" name="Rectangle 548">
          <a:extLst>
            <a:ext uri="{FF2B5EF4-FFF2-40B4-BE49-F238E27FC236}">
              <a16:creationId xmlns:a16="http://schemas.microsoft.com/office/drawing/2014/main" xmlns="" id="{00000000-0008-0000-0300-00003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5" name="Rectangle 549">
          <a:extLst>
            <a:ext uri="{FF2B5EF4-FFF2-40B4-BE49-F238E27FC236}">
              <a16:creationId xmlns:a16="http://schemas.microsoft.com/office/drawing/2014/main" xmlns="" id="{00000000-0008-0000-0300-00003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6" name="Rectangle 550">
          <a:extLst>
            <a:ext uri="{FF2B5EF4-FFF2-40B4-BE49-F238E27FC236}">
              <a16:creationId xmlns:a16="http://schemas.microsoft.com/office/drawing/2014/main" xmlns="" id="{00000000-0008-0000-0300-00003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7" name="Rectangle 551">
          <a:extLst>
            <a:ext uri="{FF2B5EF4-FFF2-40B4-BE49-F238E27FC236}">
              <a16:creationId xmlns:a16="http://schemas.microsoft.com/office/drawing/2014/main" xmlns="" id="{00000000-0008-0000-0300-00003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38" name="Rectangle 552">
          <a:extLst>
            <a:ext uri="{FF2B5EF4-FFF2-40B4-BE49-F238E27FC236}">
              <a16:creationId xmlns:a16="http://schemas.microsoft.com/office/drawing/2014/main" xmlns="" id="{00000000-0008-0000-0300-00003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39" name="Rectangle 553">
          <a:extLst>
            <a:ext uri="{FF2B5EF4-FFF2-40B4-BE49-F238E27FC236}">
              <a16:creationId xmlns:a16="http://schemas.microsoft.com/office/drawing/2014/main" xmlns="" id="{00000000-0008-0000-0300-00003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0" name="Rectangle 554">
          <a:extLst>
            <a:ext uri="{FF2B5EF4-FFF2-40B4-BE49-F238E27FC236}">
              <a16:creationId xmlns:a16="http://schemas.microsoft.com/office/drawing/2014/main" xmlns="" id="{00000000-0008-0000-0300-00003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1" name="Rectangle 555">
          <a:extLst>
            <a:ext uri="{FF2B5EF4-FFF2-40B4-BE49-F238E27FC236}">
              <a16:creationId xmlns:a16="http://schemas.microsoft.com/office/drawing/2014/main" xmlns="" id="{00000000-0008-0000-0300-00003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2" name="Rectangle 556">
          <a:extLst>
            <a:ext uri="{FF2B5EF4-FFF2-40B4-BE49-F238E27FC236}">
              <a16:creationId xmlns:a16="http://schemas.microsoft.com/office/drawing/2014/main" xmlns="" id="{00000000-0008-0000-0300-00003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3" name="Rectangle 557">
          <a:extLst>
            <a:ext uri="{FF2B5EF4-FFF2-40B4-BE49-F238E27FC236}">
              <a16:creationId xmlns:a16="http://schemas.microsoft.com/office/drawing/2014/main" xmlns="" id="{00000000-0008-0000-0300-00003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4" name="Rectangle 558">
          <a:extLst>
            <a:ext uri="{FF2B5EF4-FFF2-40B4-BE49-F238E27FC236}">
              <a16:creationId xmlns:a16="http://schemas.microsoft.com/office/drawing/2014/main" xmlns="" id="{00000000-0008-0000-0300-00003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5" name="Rectangle 559">
          <a:extLst>
            <a:ext uri="{FF2B5EF4-FFF2-40B4-BE49-F238E27FC236}">
              <a16:creationId xmlns:a16="http://schemas.microsoft.com/office/drawing/2014/main" xmlns="" id="{00000000-0008-0000-0300-00003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6" name="Rectangle 560">
          <a:extLst>
            <a:ext uri="{FF2B5EF4-FFF2-40B4-BE49-F238E27FC236}">
              <a16:creationId xmlns:a16="http://schemas.microsoft.com/office/drawing/2014/main" xmlns="" id="{00000000-0008-0000-0300-00003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7" name="Rectangle 561">
          <a:extLst>
            <a:ext uri="{FF2B5EF4-FFF2-40B4-BE49-F238E27FC236}">
              <a16:creationId xmlns:a16="http://schemas.microsoft.com/office/drawing/2014/main" xmlns="" id="{00000000-0008-0000-0300-00003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8" name="Rectangle 562">
          <a:extLst>
            <a:ext uri="{FF2B5EF4-FFF2-40B4-BE49-F238E27FC236}">
              <a16:creationId xmlns:a16="http://schemas.microsoft.com/office/drawing/2014/main" xmlns="" id="{00000000-0008-0000-0300-00004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9" name="Rectangle 563">
          <a:extLst>
            <a:ext uri="{FF2B5EF4-FFF2-40B4-BE49-F238E27FC236}">
              <a16:creationId xmlns:a16="http://schemas.microsoft.com/office/drawing/2014/main" xmlns="" id="{00000000-0008-0000-0300-00004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0" name="Rectangle 564">
          <a:extLst>
            <a:ext uri="{FF2B5EF4-FFF2-40B4-BE49-F238E27FC236}">
              <a16:creationId xmlns:a16="http://schemas.microsoft.com/office/drawing/2014/main" xmlns="" id="{00000000-0008-0000-0300-00004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1" name="Rectangle 565">
          <a:extLst>
            <a:ext uri="{FF2B5EF4-FFF2-40B4-BE49-F238E27FC236}">
              <a16:creationId xmlns:a16="http://schemas.microsoft.com/office/drawing/2014/main" xmlns="" id="{00000000-0008-0000-0300-00004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2" name="Rectangle 566">
          <a:extLst>
            <a:ext uri="{FF2B5EF4-FFF2-40B4-BE49-F238E27FC236}">
              <a16:creationId xmlns:a16="http://schemas.microsoft.com/office/drawing/2014/main" xmlns="" id="{00000000-0008-0000-0300-00004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3" name="Rectangle 567">
          <a:extLst>
            <a:ext uri="{FF2B5EF4-FFF2-40B4-BE49-F238E27FC236}">
              <a16:creationId xmlns:a16="http://schemas.microsoft.com/office/drawing/2014/main" xmlns="" id="{00000000-0008-0000-0300-00004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4" name="Rectangle 568">
          <a:extLst>
            <a:ext uri="{FF2B5EF4-FFF2-40B4-BE49-F238E27FC236}">
              <a16:creationId xmlns:a16="http://schemas.microsoft.com/office/drawing/2014/main" xmlns="" id="{00000000-0008-0000-0300-00004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5" name="Rectangle 569">
          <a:extLst>
            <a:ext uri="{FF2B5EF4-FFF2-40B4-BE49-F238E27FC236}">
              <a16:creationId xmlns:a16="http://schemas.microsoft.com/office/drawing/2014/main" xmlns="" id="{00000000-0008-0000-0300-00004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6" name="Rectangle 570">
          <a:extLst>
            <a:ext uri="{FF2B5EF4-FFF2-40B4-BE49-F238E27FC236}">
              <a16:creationId xmlns:a16="http://schemas.microsoft.com/office/drawing/2014/main" xmlns="" id="{00000000-0008-0000-0300-00004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7" name="Rectangle 571">
          <a:extLst>
            <a:ext uri="{FF2B5EF4-FFF2-40B4-BE49-F238E27FC236}">
              <a16:creationId xmlns:a16="http://schemas.microsoft.com/office/drawing/2014/main" xmlns="" id="{00000000-0008-0000-0300-00004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8" name="Rectangle 572">
          <a:extLst>
            <a:ext uri="{FF2B5EF4-FFF2-40B4-BE49-F238E27FC236}">
              <a16:creationId xmlns:a16="http://schemas.microsoft.com/office/drawing/2014/main" xmlns="" id="{00000000-0008-0000-0300-00004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9" name="Rectangle 573">
          <a:extLst>
            <a:ext uri="{FF2B5EF4-FFF2-40B4-BE49-F238E27FC236}">
              <a16:creationId xmlns:a16="http://schemas.microsoft.com/office/drawing/2014/main" xmlns="" id="{00000000-0008-0000-0300-00004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0" name="Rectangle 574">
          <a:extLst>
            <a:ext uri="{FF2B5EF4-FFF2-40B4-BE49-F238E27FC236}">
              <a16:creationId xmlns:a16="http://schemas.microsoft.com/office/drawing/2014/main" xmlns="" id="{00000000-0008-0000-0300-00004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1" name="Rectangle 575">
          <a:extLst>
            <a:ext uri="{FF2B5EF4-FFF2-40B4-BE49-F238E27FC236}">
              <a16:creationId xmlns:a16="http://schemas.microsoft.com/office/drawing/2014/main" xmlns="" id="{00000000-0008-0000-0300-00004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2" name="Rectangle 576">
          <a:extLst>
            <a:ext uri="{FF2B5EF4-FFF2-40B4-BE49-F238E27FC236}">
              <a16:creationId xmlns:a16="http://schemas.microsoft.com/office/drawing/2014/main" xmlns="" id="{00000000-0008-0000-0300-00004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3" name="Rectangle 577">
          <a:extLst>
            <a:ext uri="{FF2B5EF4-FFF2-40B4-BE49-F238E27FC236}">
              <a16:creationId xmlns:a16="http://schemas.microsoft.com/office/drawing/2014/main" xmlns="" id="{00000000-0008-0000-0300-00004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4" name="Rectangle 578">
          <a:extLst>
            <a:ext uri="{FF2B5EF4-FFF2-40B4-BE49-F238E27FC236}">
              <a16:creationId xmlns:a16="http://schemas.microsoft.com/office/drawing/2014/main" xmlns="" id="{00000000-0008-0000-0300-00005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5" name="Rectangle 579">
          <a:extLst>
            <a:ext uri="{FF2B5EF4-FFF2-40B4-BE49-F238E27FC236}">
              <a16:creationId xmlns:a16="http://schemas.microsoft.com/office/drawing/2014/main" xmlns="" id="{00000000-0008-0000-0300-00005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6" name="Rectangle 580">
          <a:extLst>
            <a:ext uri="{FF2B5EF4-FFF2-40B4-BE49-F238E27FC236}">
              <a16:creationId xmlns:a16="http://schemas.microsoft.com/office/drawing/2014/main" xmlns="" id="{00000000-0008-0000-0300-00005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7" name="Rectangle 581">
          <a:extLst>
            <a:ext uri="{FF2B5EF4-FFF2-40B4-BE49-F238E27FC236}">
              <a16:creationId xmlns:a16="http://schemas.microsoft.com/office/drawing/2014/main" xmlns="" id="{00000000-0008-0000-0300-00005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8" name="Rectangle 582">
          <a:extLst>
            <a:ext uri="{FF2B5EF4-FFF2-40B4-BE49-F238E27FC236}">
              <a16:creationId xmlns:a16="http://schemas.microsoft.com/office/drawing/2014/main" xmlns="" id="{00000000-0008-0000-0300-00005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9" name="Rectangle 583">
          <a:extLst>
            <a:ext uri="{FF2B5EF4-FFF2-40B4-BE49-F238E27FC236}">
              <a16:creationId xmlns:a16="http://schemas.microsoft.com/office/drawing/2014/main" xmlns="" id="{00000000-0008-0000-0300-00005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70" name="Rectangle 584">
          <a:extLst>
            <a:ext uri="{FF2B5EF4-FFF2-40B4-BE49-F238E27FC236}">
              <a16:creationId xmlns:a16="http://schemas.microsoft.com/office/drawing/2014/main" xmlns="" id="{00000000-0008-0000-0300-00005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71" name="Rectangle 585">
          <a:extLst>
            <a:ext uri="{FF2B5EF4-FFF2-40B4-BE49-F238E27FC236}">
              <a16:creationId xmlns:a16="http://schemas.microsoft.com/office/drawing/2014/main" xmlns="" id="{00000000-0008-0000-0300-00005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2" name="Rectangle 586">
          <a:extLst>
            <a:ext uri="{FF2B5EF4-FFF2-40B4-BE49-F238E27FC236}">
              <a16:creationId xmlns:a16="http://schemas.microsoft.com/office/drawing/2014/main" xmlns="" id="{00000000-0008-0000-0300-00005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3" name="Rectangle 587">
          <a:extLst>
            <a:ext uri="{FF2B5EF4-FFF2-40B4-BE49-F238E27FC236}">
              <a16:creationId xmlns:a16="http://schemas.microsoft.com/office/drawing/2014/main" xmlns="" id="{00000000-0008-0000-0300-00005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4" name="Rectangle 588">
          <a:extLst>
            <a:ext uri="{FF2B5EF4-FFF2-40B4-BE49-F238E27FC236}">
              <a16:creationId xmlns:a16="http://schemas.microsoft.com/office/drawing/2014/main" xmlns="" id="{00000000-0008-0000-0300-00005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5" name="Rectangle 589">
          <a:extLst>
            <a:ext uri="{FF2B5EF4-FFF2-40B4-BE49-F238E27FC236}">
              <a16:creationId xmlns:a16="http://schemas.microsoft.com/office/drawing/2014/main" xmlns="" id="{00000000-0008-0000-0300-00005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6" name="Rectangle 590">
          <a:extLst>
            <a:ext uri="{FF2B5EF4-FFF2-40B4-BE49-F238E27FC236}">
              <a16:creationId xmlns:a16="http://schemas.microsoft.com/office/drawing/2014/main" xmlns="" id="{00000000-0008-0000-0300-00005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7" name="Rectangle 591">
          <a:extLst>
            <a:ext uri="{FF2B5EF4-FFF2-40B4-BE49-F238E27FC236}">
              <a16:creationId xmlns:a16="http://schemas.microsoft.com/office/drawing/2014/main" xmlns="" id="{00000000-0008-0000-0300-00005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8" name="Rectangle 592">
          <a:extLst>
            <a:ext uri="{FF2B5EF4-FFF2-40B4-BE49-F238E27FC236}">
              <a16:creationId xmlns:a16="http://schemas.microsoft.com/office/drawing/2014/main" xmlns="" id="{00000000-0008-0000-0300-00005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9" name="Rectangle 593">
          <a:extLst>
            <a:ext uri="{FF2B5EF4-FFF2-40B4-BE49-F238E27FC236}">
              <a16:creationId xmlns:a16="http://schemas.microsoft.com/office/drawing/2014/main" xmlns="" id="{00000000-0008-0000-0300-00005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0" name="Rectangle 594">
          <a:extLst>
            <a:ext uri="{FF2B5EF4-FFF2-40B4-BE49-F238E27FC236}">
              <a16:creationId xmlns:a16="http://schemas.microsoft.com/office/drawing/2014/main" xmlns="" id="{00000000-0008-0000-0300-00006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1" name="Rectangle 595">
          <a:extLst>
            <a:ext uri="{FF2B5EF4-FFF2-40B4-BE49-F238E27FC236}">
              <a16:creationId xmlns:a16="http://schemas.microsoft.com/office/drawing/2014/main" xmlns="" id="{00000000-0008-0000-0300-00006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2" name="Rectangle 596">
          <a:extLst>
            <a:ext uri="{FF2B5EF4-FFF2-40B4-BE49-F238E27FC236}">
              <a16:creationId xmlns:a16="http://schemas.microsoft.com/office/drawing/2014/main" xmlns="" id="{00000000-0008-0000-0300-00006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3" name="Rectangle 597">
          <a:extLst>
            <a:ext uri="{FF2B5EF4-FFF2-40B4-BE49-F238E27FC236}">
              <a16:creationId xmlns:a16="http://schemas.microsoft.com/office/drawing/2014/main" xmlns="" id="{00000000-0008-0000-0300-00006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4" name="Rectangle 598">
          <a:extLst>
            <a:ext uri="{FF2B5EF4-FFF2-40B4-BE49-F238E27FC236}">
              <a16:creationId xmlns:a16="http://schemas.microsoft.com/office/drawing/2014/main" xmlns="" id="{00000000-0008-0000-0300-00006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5" name="Rectangle 599">
          <a:extLst>
            <a:ext uri="{FF2B5EF4-FFF2-40B4-BE49-F238E27FC236}">
              <a16:creationId xmlns:a16="http://schemas.microsoft.com/office/drawing/2014/main" xmlns="" id="{00000000-0008-0000-0300-00006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6" name="Rectangle 600">
          <a:extLst>
            <a:ext uri="{FF2B5EF4-FFF2-40B4-BE49-F238E27FC236}">
              <a16:creationId xmlns:a16="http://schemas.microsoft.com/office/drawing/2014/main" xmlns="" id="{00000000-0008-0000-0300-00006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7" name="Rectangle 601">
          <a:extLst>
            <a:ext uri="{FF2B5EF4-FFF2-40B4-BE49-F238E27FC236}">
              <a16:creationId xmlns:a16="http://schemas.microsoft.com/office/drawing/2014/main" xmlns="" id="{00000000-0008-0000-0300-00006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8" name="Rectangle 602">
          <a:extLst>
            <a:ext uri="{FF2B5EF4-FFF2-40B4-BE49-F238E27FC236}">
              <a16:creationId xmlns:a16="http://schemas.microsoft.com/office/drawing/2014/main" xmlns="" id="{00000000-0008-0000-0300-00006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9" name="Rectangle 603">
          <a:extLst>
            <a:ext uri="{FF2B5EF4-FFF2-40B4-BE49-F238E27FC236}">
              <a16:creationId xmlns:a16="http://schemas.microsoft.com/office/drawing/2014/main" xmlns="" id="{00000000-0008-0000-0300-00006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0" name="Rectangle 604">
          <a:extLst>
            <a:ext uri="{FF2B5EF4-FFF2-40B4-BE49-F238E27FC236}">
              <a16:creationId xmlns:a16="http://schemas.microsoft.com/office/drawing/2014/main" xmlns="" id="{00000000-0008-0000-0300-00006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1" name="Rectangle 605">
          <a:extLst>
            <a:ext uri="{FF2B5EF4-FFF2-40B4-BE49-F238E27FC236}">
              <a16:creationId xmlns:a16="http://schemas.microsoft.com/office/drawing/2014/main" xmlns="" id="{00000000-0008-0000-0300-00006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2" name="Rectangle 606">
          <a:extLst>
            <a:ext uri="{FF2B5EF4-FFF2-40B4-BE49-F238E27FC236}">
              <a16:creationId xmlns:a16="http://schemas.microsoft.com/office/drawing/2014/main" xmlns="" id="{00000000-0008-0000-0300-00006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3" name="Rectangle 607">
          <a:extLst>
            <a:ext uri="{FF2B5EF4-FFF2-40B4-BE49-F238E27FC236}">
              <a16:creationId xmlns:a16="http://schemas.microsoft.com/office/drawing/2014/main" xmlns="" id="{00000000-0008-0000-0300-00006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4" name="Rectangle 608">
          <a:extLst>
            <a:ext uri="{FF2B5EF4-FFF2-40B4-BE49-F238E27FC236}">
              <a16:creationId xmlns:a16="http://schemas.microsoft.com/office/drawing/2014/main" xmlns="" id="{00000000-0008-0000-0300-00006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5" name="Rectangle 609">
          <a:extLst>
            <a:ext uri="{FF2B5EF4-FFF2-40B4-BE49-F238E27FC236}">
              <a16:creationId xmlns:a16="http://schemas.microsoft.com/office/drawing/2014/main" xmlns="" id="{00000000-0008-0000-0300-00006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6" name="Rectangle 610">
          <a:extLst>
            <a:ext uri="{FF2B5EF4-FFF2-40B4-BE49-F238E27FC236}">
              <a16:creationId xmlns:a16="http://schemas.microsoft.com/office/drawing/2014/main" xmlns="" id="{00000000-0008-0000-0300-00007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7" name="Rectangle 611">
          <a:extLst>
            <a:ext uri="{FF2B5EF4-FFF2-40B4-BE49-F238E27FC236}">
              <a16:creationId xmlns:a16="http://schemas.microsoft.com/office/drawing/2014/main" xmlns="" id="{00000000-0008-0000-0300-00007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8" name="Rectangle 612">
          <a:extLst>
            <a:ext uri="{FF2B5EF4-FFF2-40B4-BE49-F238E27FC236}">
              <a16:creationId xmlns:a16="http://schemas.microsoft.com/office/drawing/2014/main" xmlns="" id="{00000000-0008-0000-0300-00007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9" name="Rectangle 613">
          <a:extLst>
            <a:ext uri="{FF2B5EF4-FFF2-40B4-BE49-F238E27FC236}">
              <a16:creationId xmlns:a16="http://schemas.microsoft.com/office/drawing/2014/main" xmlns="" id="{00000000-0008-0000-0300-00007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0" name="Rectangle 614">
          <a:extLst>
            <a:ext uri="{FF2B5EF4-FFF2-40B4-BE49-F238E27FC236}">
              <a16:creationId xmlns:a16="http://schemas.microsoft.com/office/drawing/2014/main" xmlns="" id="{00000000-0008-0000-0300-00007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1" name="Rectangle 615">
          <a:extLst>
            <a:ext uri="{FF2B5EF4-FFF2-40B4-BE49-F238E27FC236}">
              <a16:creationId xmlns:a16="http://schemas.microsoft.com/office/drawing/2014/main" xmlns="" id="{00000000-0008-0000-0300-00007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2" name="Rectangle 616">
          <a:extLst>
            <a:ext uri="{FF2B5EF4-FFF2-40B4-BE49-F238E27FC236}">
              <a16:creationId xmlns:a16="http://schemas.microsoft.com/office/drawing/2014/main" xmlns="" id="{00000000-0008-0000-0300-00007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3" name="Rectangle 617">
          <a:extLst>
            <a:ext uri="{FF2B5EF4-FFF2-40B4-BE49-F238E27FC236}">
              <a16:creationId xmlns:a16="http://schemas.microsoft.com/office/drawing/2014/main" xmlns="" id="{00000000-0008-0000-0300-00007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4" name="Rectangle 618">
          <a:extLst>
            <a:ext uri="{FF2B5EF4-FFF2-40B4-BE49-F238E27FC236}">
              <a16:creationId xmlns:a16="http://schemas.microsoft.com/office/drawing/2014/main" xmlns="" id="{00000000-0008-0000-0300-00007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5" name="Rectangle 619">
          <a:extLst>
            <a:ext uri="{FF2B5EF4-FFF2-40B4-BE49-F238E27FC236}">
              <a16:creationId xmlns:a16="http://schemas.microsoft.com/office/drawing/2014/main" xmlns="" id="{00000000-0008-0000-0300-00007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6" name="Rectangle 620">
          <a:extLst>
            <a:ext uri="{FF2B5EF4-FFF2-40B4-BE49-F238E27FC236}">
              <a16:creationId xmlns:a16="http://schemas.microsoft.com/office/drawing/2014/main" xmlns="" id="{00000000-0008-0000-0300-00007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7" name="Rectangle 621">
          <a:extLst>
            <a:ext uri="{FF2B5EF4-FFF2-40B4-BE49-F238E27FC236}">
              <a16:creationId xmlns:a16="http://schemas.microsoft.com/office/drawing/2014/main" xmlns="" id="{00000000-0008-0000-0300-00007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8" name="Rectangle 622">
          <a:extLst>
            <a:ext uri="{FF2B5EF4-FFF2-40B4-BE49-F238E27FC236}">
              <a16:creationId xmlns:a16="http://schemas.microsoft.com/office/drawing/2014/main" xmlns="" id="{00000000-0008-0000-0300-00007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9" name="Rectangle 623">
          <a:extLst>
            <a:ext uri="{FF2B5EF4-FFF2-40B4-BE49-F238E27FC236}">
              <a16:creationId xmlns:a16="http://schemas.microsoft.com/office/drawing/2014/main" xmlns="" id="{00000000-0008-0000-0300-00007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0" name="Rectangle 624">
          <a:extLst>
            <a:ext uri="{FF2B5EF4-FFF2-40B4-BE49-F238E27FC236}">
              <a16:creationId xmlns:a16="http://schemas.microsoft.com/office/drawing/2014/main" xmlns="" id="{00000000-0008-0000-0300-00007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1" name="Rectangle 625">
          <a:extLst>
            <a:ext uri="{FF2B5EF4-FFF2-40B4-BE49-F238E27FC236}">
              <a16:creationId xmlns:a16="http://schemas.microsoft.com/office/drawing/2014/main" xmlns="" id="{00000000-0008-0000-0300-00007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2" name="Rectangle 626">
          <a:extLst>
            <a:ext uri="{FF2B5EF4-FFF2-40B4-BE49-F238E27FC236}">
              <a16:creationId xmlns:a16="http://schemas.microsoft.com/office/drawing/2014/main" xmlns="" id="{00000000-0008-0000-0300-00008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3" name="Rectangle 627">
          <a:extLst>
            <a:ext uri="{FF2B5EF4-FFF2-40B4-BE49-F238E27FC236}">
              <a16:creationId xmlns:a16="http://schemas.microsoft.com/office/drawing/2014/main" xmlns="" id="{00000000-0008-0000-0300-00008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4" name="Rectangle 628">
          <a:extLst>
            <a:ext uri="{FF2B5EF4-FFF2-40B4-BE49-F238E27FC236}">
              <a16:creationId xmlns:a16="http://schemas.microsoft.com/office/drawing/2014/main" xmlns="" id="{00000000-0008-0000-0300-00008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5" name="Rectangle 629">
          <a:extLst>
            <a:ext uri="{FF2B5EF4-FFF2-40B4-BE49-F238E27FC236}">
              <a16:creationId xmlns:a16="http://schemas.microsoft.com/office/drawing/2014/main" xmlns="" id="{00000000-0008-0000-0300-00008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6" name="Rectangle 630">
          <a:extLst>
            <a:ext uri="{FF2B5EF4-FFF2-40B4-BE49-F238E27FC236}">
              <a16:creationId xmlns:a16="http://schemas.microsoft.com/office/drawing/2014/main" xmlns="" id="{00000000-0008-0000-0300-00008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7" name="Rectangle 631">
          <a:extLst>
            <a:ext uri="{FF2B5EF4-FFF2-40B4-BE49-F238E27FC236}">
              <a16:creationId xmlns:a16="http://schemas.microsoft.com/office/drawing/2014/main" xmlns="" id="{00000000-0008-0000-0300-00008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8" name="Rectangle 632">
          <a:extLst>
            <a:ext uri="{FF2B5EF4-FFF2-40B4-BE49-F238E27FC236}">
              <a16:creationId xmlns:a16="http://schemas.microsoft.com/office/drawing/2014/main" xmlns="" id="{00000000-0008-0000-0300-00008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9" name="Rectangle 633">
          <a:extLst>
            <a:ext uri="{FF2B5EF4-FFF2-40B4-BE49-F238E27FC236}">
              <a16:creationId xmlns:a16="http://schemas.microsoft.com/office/drawing/2014/main" xmlns="" id="{00000000-0008-0000-0300-00008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0" name="Rectangle 634">
          <a:extLst>
            <a:ext uri="{FF2B5EF4-FFF2-40B4-BE49-F238E27FC236}">
              <a16:creationId xmlns:a16="http://schemas.microsoft.com/office/drawing/2014/main" xmlns="" id="{00000000-0008-0000-0300-00008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1" name="Rectangle 635">
          <a:extLst>
            <a:ext uri="{FF2B5EF4-FFF2-40B4-BE49-F238E27FC236}">
              <a16:creationId xmlns:a16="http://schemas.microsoft.com/office/drawing/2014/main" xmlns="" id="{00000000-0008-0000-0300-00008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2" name="Rectangle 636">
          <a:extLst>
            <a:ext uri="{FF2B5EF4-FFF2-40B4-BE49-F238E27FC236}">
              <a16:creationId xmlns:a16="http://schemas.microsoft.com/office/drawing/2014/main" xmlns="" id="{00000000-0008-0000-0300-00008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3" name="Rectangle 637">
          <a:extLst>
            <a:ext uri="{FF2B5EF4-FFF2-40B4-BE49-F238E27FC236}">
              <a16:creationId xmlns:a16="http://schemas.microsoft.com/office/drawing/2014/main" xmlns="" id="{00000000-0008-0000-0300-00008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4" name="Rectangle 638">
          <a:extLst>
            <a:ext uri="{FF2B5EF4-FFF2-40B4-BE49-F238E27FC236}">
              <a16:creationId xmlns:a16="http://schemas.microsoft.com/office/drawing/2014/main" xmlns="" id="{00000000-0008-0000-0300-00008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5" name="Rectangle 639">
          <a:extLst>
            <a:ext uri="{FF2B5EF4-FFF2-40B4-BE49-F238E27FC236}">
              <a16:creationId xmlns:a16="http://schemas.microsoft.com/office/drawing/2014/main" xmlns="" id="{00000000-0008-0000-0300-00008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6" name="Rectangle 640">
          <a:extLst>
            <a:ext uri="{FF2B5EF4-FFF2-40B4-BE49-F238E27FC236}">
              <a16:creationId xmlns:a16="http://schemas.microsoft.com/office/drawing/2014/main" xmlns="" id="{00000000-0008-0000-0300-00008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7" name="Rectangle 641">
          <a:extLst>
            <a:ext uri="{FF2B5EF4-FFF2-40B4-BE49-F238E27FC236}">
              <a16:creationId xmlns:a16="http://schemas.microsoft.com/office/drawing/2014/main" xmlns="" id="{00000000-0008-0000-0300-00008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8" name="Rectangle 642">
          <a:extLst>
            <a:ext uri="{FF2B5EF4-FFF2-40B4-BE49-F238E27FC236}">
              <a16:creationId xmlns:a16="http://schemas.microsoft.com/office/drawing/2014/main" xmlns="" id="{00000000-0008-0000-0300-00009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9" name="Rectangle 643">
          <a:extLst>
            <a:ext uri="{FF2B5EF4-FFF2-40B4-BE49-F238E27FC236}">
              <a16:creationId xmlns:a16="http://schemas.microsoft.com/office/drawing/2014/main" xmlns="" id="{00000000-0008-0000-0300-00009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0" name="Rectangle 644">
          <a:extLst>
            <a:ext uri="{FF2B5EF4-FFF2-40B4-BE49-F238E27FC236}">
              <a16:creationId xmlns:a16="http://schemas.microsoft.com/office/drawing/2014/main" xmlns="" id="{00000000-0008-0000-0300-00009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1" name="Rectangle 645">
          <a:extLst>
            <a:ext uri="{FF2B5EF4-FFF2-40B4-BE49-F238E27FC236}">
              <a16:creationId xmlns:a16="http://schemas.microsoft.com/office/drawing/2014/main" xmlns="" id="{00000000-0008-0000-0300-00009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2" name="Rectangle 646">
          <a:extLst>
            <a:ext uri="{FF2B5EF4-FFF2-40B4-BE49-F238E27FC236}">
              <a16:creationId xmlns:a16="http://schemas.microsoft.com/office/drawing/2014/main" xmlns="" id="{00000000-0008-0000-0300-00009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3" name="Rectangle 647">
          <a:extLst>
            <a:ext uri="{FF2B5EF4-FFF2-40B4-BE49-F238E27FC236}">
              <a16:creationId xmlns:a16="http://schemas.microsoft.com/office/drawing/2014/main" xmlns="" id="{00000000-0008-0000-0300-00009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4" name="Rectangle 648">
          <a:extLst>
            <a:ext uri="{FF2B5EF4-FFF2-40B4-BE49-F238E27FC236}">
              <a16:creationId xmlns:a16="http://schemas.microsoft.com/office/drawing/2014/main" xmlns="" id="{00000000-0008-0000-0300-00009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5" name="Rectangle 649">
          <a:extLst>
            <a:ext uri="{FF2B5EF4-FFF2-40B4-BE49-F238E27FC236}">
              <a16:creationId xmlns:a16="http://schemas.microsoft.com/office/drawing/2014/main" xmlns="" id="{00000000-0008-0000-0300-00009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6" name="Rectangle 650">
          <a:extLst>
            <a:ext uri="{FF2B5EF4-FFF2-40B4-BE49-F238E27FC236}">
              <a16:creationId xmlns:a16="http://schemas.microsoft.com/office/drawing/2014/main" xmlns="" id="{00000000-0008-0000-0300-00009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7" name="Rectangle 651">
          <a:extLst>
            <a:ext uri="{FF2B5EF4-FFF2-40B4-BE49-F238E27FC236}">
              <a16:creationId xmlns:a16="http://schemas.microsoft.com/office/drawing/2014/main" xmlns="" id="{00000000-0008-0000-0300-00009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8" name="Rectangle 652">
          <a:extLst>
            <a:ext uri="{FF2B5EF4-FFF2-40B4-BE49-F238E27FC236}">
              <a16:creationId xmlns:a16="http://schemas.microsoft.com/office/drawing/2014/main" xmlns="" id="{00000000-0008-0000-0300-00009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9" name="Rectangle 653">
          <a:extLst>
            <a:ext uri="{FF2B5EF4-FFF2-40B4-BE49-F238E27FC236}">
              <a16:creationId xmlns:a16="http://schemas.microsoft.com/office/drawing/2014/main" xmlns="" id="{00000000-0008-0000-0300-00009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0" name="Rectangle 654">
          <a:extLst>
            <a:ext uri="{FF2B5EF4-FFF2-40B4-BE49-F238E27FC236}">
              <a16:creationId xmlns:a16="http://schemas.microsoft.com/office/drawing/2014/main" xmlns="" id="{00000000-0008-0000-0300-00009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1" name="Rectangle 655">
          <a:extLst>
            <a:ext uri="{FF2B5EF4-FFF2-40B4-BE49-F238E27FC236}">
              <a16:creationId xmlns:a16="http://schemas.microsoft.com/office/drawing/2014/main" xmlns="" id="{00000000-0008-0000-0300-00009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2" name="Rectangle 656">
          <a:extLst>
            <a:ext uri="{FF2B5EF4-FFF2-40B4-BE49-F238E27FC236}">
              <a16:creationId xmlns:a16="http://schemas.microsoft.com/office/drawing/2014/main" xmlns="" id="{00000000-0008-0000-0300-00009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3" name="Rectangle 657">
          <a:extLst>
            <a:ext uri="{FF2B5EF4-FFF2-40B4-BE49-F238E27FC236}">
              <a16:creationId xmlns:a16="http://schemas.microsoft.com/office/drawing/2014/main" xmlns="" id="{00000000-0008-0000-0300-00009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4" name="Rectangle 658">
          <a:extLst>
            <a:ext uri="{FF2B5EF4-FFF2-40B4-BE49-F238E27FC236}">
              <a16:creationId xmlns:a16="http://schemas.microsoft.com/office/drawing/2014/main" xmlns="" id="{00000000-0008-0000-0300-0000A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5" name="Rectangle 659">
          <a:extLst>
            <a:ext uri="{FF2B5EF4-FFF2-40B4-BE49-F238E27FC236}">
              <a16:creationId xmlns:a16="http://schemas.microsoft.com/office/drawing/2014/main" xmlns="" id="{00000000-0008-0000-0300-0000A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6" name="Rectangle 660">
          <a:extLst>
            <a:ext uri="{FF2B5EF4-FFF2-40B4-BE49-F238E27FC236}">
              <a16:creationId xmlns:a16="http://schemas.microsoft.com/office/drawing/2014/main" xmlns="" id="{00000000-0008-0000-0300-0000A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7" name="Rectangle 661">
          <a:extLst>
            <a:ext uri="{FF2B5EF4-FFF2-40B4-BE49-F238E27FC236}">
              <a16:creationId xmlns:a16="http://schemas.microsoft.com/office/drawing/2014/main" xmlns="" id="{00000000-0008-0000-0300-0000A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8" name="Rectangle 662">
          <a:extLst>
            <a:ext uri="{FF2B5EF4-FFF2-40B4-BE49-F238E27FC236}">
              <a16:creationId xmlns:a16="http://schemas.microsoft.com/office/drawing/2014/main" xmlns="" id="{00000000-0008-0000-0300-0000A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9" name="Rectangle 663">
          <a:extLst>
            <a:ext uri="{FF2B5EF4-FFF2-40B4-BE49-F238E27FC236}">
              <a16:creationId xmlns:a16="http://schemas.microsoft.com/office/drawing/2014/main" xmlns="" id="{00000000-0008-0000-0300-0000A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0" name="Rectangle 664">
          <a:extLst>
            <a:ext uri="{FF2B5EF4-FFF2-40B4-BE49-F238E27FC236}">
              <a16:creationId xmlns:a16="http://schemas.microsoft.com/office/drawing/2014/main" xmlns="" id="{00000000-0008-0000-0300-0000A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1" name="Rectangle 665">
          <a:extLst>
            <a:ext uri="{FF2B5EF4-FFF2-40B4-BE49-F238E27FC236}">
              <a16:creationId xmlns:a16="http://schemas.microsoft.com/office/drawing/2014/main" xmlns="" id="{00000000-0008-0000-0300-0000A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2" name="Rectangle 666">
          <a:extLst>
            <a:ext uri="{FF2B5EF4-FFF2-40B4-BE49-F238E27FC236}">
              <a16:creationId xmlns:a16="http://schemas.microsoft.com/office/drawing/2014/main" xmlns="" id="{00000000-0008-0000-0300-0000A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3" name="Rectangle 667">
          <a:extLst>
            <a:ext uri="{FF2B5EF4-FFF2-40B4-BE49-F238E27FC236}">
              <a16:creationId xmlns:a16="http://schemas.microsoft.com/office/drawing/2014/main" xmlns="" id="{00000000-0008-0000-0300-0000A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4" name="Rectangle 668">
          <a:extLst>
            <a:ext uri="{FF2B5EF4-FFF2-40B4-BE49-F238E27FC236}">
              <a16:creationId xmlns:a16="http://schemas.microsoft.com/office/drawing/2014/main" xmlns="" id="{00000000-0008-0000-0300-0000A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5" name="Rectangle 669">
          <a:extLst>
            <a:ext uri="{FF2B5EF4-FFF2-40B4-BE49-F238E27FC236}">
              <a16:creationId xmlns:a16="http://schemas.microsoft.com/office/drawing/2014/main" xmlns="" id="{00000000-0008-0000-0300-0000A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6" name="Rectangle 670">
          <a:extLst>
            <a:ext uri="{FF2B5EF4-FFF2-40B4-BE49-F238E27FC236}">
              <a16:creationId xmlns:a16="http://schemas.microsoft.com/office/drawing/2014/main" xmlns="" id="{00000000-0008-0000-0300-0000A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7" name="Rectangle 671">
          <a:extLst>
            <a:ext uri="{FF2B5EF4-FFF2-40B4-BE49-F238E27FC236}">
              <a16:creationId xmlns:a16="http://schemas.microsoft.com/office/drawing/2014/main" xmlns="" id="{00000000-0008-0000-0300-0000A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8" name="Rectangle 672">
          <a:extLst>
            <a:ext uri="{FF2B5EF4-FFF2-40B4-BE49-F238E27FC236}">
              <a16:creationId xmlns:a16="http://schemas.microsoft.com/office/drawing/2014/main" xmlns="" id="{00000000-0008-0000-0300-0000A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9" name="Rectangle 673">
          <a:extLst>
            <a:ext uri="{FF2B5EF4-FFF2-40B4-BE49-F238E27FC236}">
              <a16:creationId xmlns:a16="http://schemas.microsoft.com/office/drawing/2014/main" xmlns="" id="{00000000-0008-0000-0300-0000A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60" name="Rectangle 674">
          <a:extLst>
            <a:ext uri="{FF2B5EF4-FFF2-40B4-BE49-F238E27FC236}">
              <a16:creationId xmlns:a16="http://schemas.microsoft.com/office/drawing/2014/main" xmlns="" id="{00000000-0008-0000-0300-0000B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1" name="Rectangle 675">
          <a:extLst>
            <a:ext uri="{FF2B5EF4-FFF2-40B4-BE49-F238E27FC236}">
              <a16:creationId xmlns:a16="http://schemas.microsoft.com/office/drawing/2014/main" xmlns="" id="{00000000-0008-0000-0300-0000B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62" name="Rectangle 676">
          <a:extLst>
            <a:ext uri="{FF2B5EF4-FFF2-40B4-BE49-F238E27FC236}">
              <a16:creationId xmlns:a16="http://schemas.microsoft.com/office/drawing/2014/main" xmlns="" id="{00000000-0008-0000-0300-0000B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3" name="Rectangle 677">
          <a:extLst>
            <a:ext uri="{FF2B5EF4-FFF2-40B4-BE49-F238E27FC236}">
              <a16:creationId xmlns:a16="http://schemas.microsoft.com/office/drawing/2014/main" xmlns="" id="{00000000-0008-0000-0300-0000B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4" name="Rectangle 678">
          <a:extLst>
            <a:ext uri="{FF2B5EF4-FFF2-40B4-BE49-F238E27FC236}">
              <a16:creationId xmlns:a16="http://schemas.microsoft.com/office/drawing/2014/main" xmlns="" id="{00000000-0008-0000-0300-0000B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5" name="Rectangle 679">
          <a:extLst>
            <a:ext uri="{FF2B5EF4-FFF2-40B4-BE49-F238E27FC236}">
              <a16:creationId xmlns:a16="http://schemas.microsoft.com/office/drawing/2014/main" xmlns="" id="{00000000-0008-0000-0300-0000B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6" name="Rectangle 680">
          <a:extLst>
            <a:ext uri="{FF2B5EF4-FFF2-40B4-BE49-F238E27FC236}">
              <a16:creationId xmlns:a16="http://schemas.microsoft.com/office/drawing/2014/main" xmlns="" id="{00000000-0008-0000-0300-0000B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7" name="Rectangle 681">
          <a:extLst>
            <a:ext uri="{FF2B5EF4-FFF2-40B4-BE49-F238E27FC236}">
              <a16:creationId xmlns:a16="http://schemas.microsoft.com/office/drawing/2014/main" xmlns="" id="{00000000-0008-0000-0300-0000B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8" name="Rectangle 682">
          <a:extLst>
            <a:ext uri="{FF2B5EF4-FFF2-40B4-BE49-F238E27FC236}">
              <a16:creationId xmlns:a16="http://schemas.microsoft.com/office/drawing/2014/main" xmlns="" id="{00000000-0008-0000-0300-0000B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9" name="Rectangle 683">
          <a:extLst>
            <a:ext uri="{FF2B5EF4-FFF2-40B4-BE49-F238E27FC236}">
              <a16:creationId xmlns:a16="http://schemas.microsoft.com/office/drawing/2014/main" xmlns="" id="{00000000-0008-0000-0300-0000B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0" name="Rectangle 684">
          <a:extLst>
            <a:ext uri="{FF2B5EF4-FFF2-40B4-BE49-F238E27FC236}">
              <a16:creationId xmlns:a16="http://schemas.microsoft.com/office/drawing/2014/main" xmlns="" id="{00000000-0008-0000-0300-0000B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1" name="Rectangle 685">
          <a:extLst>
            <a:ext uri="{FF2B5EF4-FFF2-40B4-BE49-F238E27FC236}">
              <a16:creationId xmlns:a16="http://schemas.microsoft.com/office/drawing/2014/main" xmlns="" id="{00000000-0008-0000-0300-0000B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2" name="Rectangle 686">
          <a:extLst>
            <a:ext uri="{FF2B5EF4-FFF2-40B4-BE49-F238E27FC236}">
              <a16:creationId xmlns:a16="http://schemas.microsoft.com/office/drawing/2014/main" xmlns="" id="{00000000-0008-0000-0300-0000B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3" name="Rectangle 687">
          <a:extLst>
            <a:ext uri="{FF2B5EF4-FFF2-40B4-BE49-F238E27FC236}">
              <a16:creationId xmlns:a16="http://schemas.microsoft.com/office/drawing/2014/main" xmlns="" id="{00000000-0008-0000-0300-0000B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4" name="Rectangle 688">
          <a:extLst>
            <a:ext uri="{FF2B5EF4-FFF2-40B4-BE49-F238E27FC236}">
              <a16:creationId xmlns:a16="http://schemas.microsoft.com/office/drawing/2014/main" xmlns="" id="{00000000-0008-0000-0300-0000B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5" name="Rectangle 689">
          <a:extLst>
            <a:ext uri="{FF2B5EF4-FFF2-40B4-BE49-F238E27FC236}">
              <a16:creationId xmlns:a16="http://schemas.microsoft.com/office/drawing/2014/main" xmlns="" id="{00000000-0008-0000-0300-0000B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6" name="Rectangle 690">
          <a:extLst>
            <a:ext uri="{FF2B5EF4-FFF2-40B4-BE49-F238E27FC236}">
              <a16:creationId xmlns:a16="http://schemas.microsoft.com/office/drawing/2014/main" xmlns="" id="{00000000-0008-0000-0300-0000C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77" name="Rectangle 691">
          <a:extLst>
            <a:ext uri="{FF2B5EF4-FFF2-40B4-BE49-F238E27FC236}">
              <a16:creationId xmlns:a16="http://schemas.microsoft.com/office/drawing/2014/main" xmlns="" id="{00000000-0008-0000-0300-0000C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78" name="Rectangle 692">
          <a:extLst>
            <a:ext uri="{FF2B5EF4-FFF2-40B4-BE49-F238E27FC236}">
              <a16:creationId xmlns:a16="http://schemas.microsoft.com/office/drawing/2014/main" xmlns="" id="{00000000-0008-0000-0300-0000C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9" name="Rectangle 693">
          <a:extLst>
            <a:ext uri="{FF2B5EF4-FFF2-40B4-BE49-F238E27FC236}">
              <a16:creationId xmlns:a16="http://schemas.microsoft.com/office/drawing/2014/main" xmlns="" id="{00000000-0008-0000-0300-0000C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0" name="Rectangle 694">
          <a:extLst>
            <a:ext uri="{FF2B5EF4-FFF2-40B4-BE49-F238E27FC236}">
              <a16:creationId xmlns:a16="http://schemas.microsoft.com/office/drawing/2014/main" xmlns="" id="{00000000-0008-0000-0300-0000C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1" name="Rectangle 695">
          <a:extLst>
            <a:ext uri="{FF2B5EF4-FFF2-40B4-BE49-F238E27FC236}">
              <a16:creationId xmlns:a16="http://schemas.microsoft.com/office/drawing/2014/main" xmlns="" id="{00000000-0008-0000-0300-0000C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2" name="Rectangle 696">
          <a:extLst>
            <a:ext uri="{FF2B5EF4-FFF2-40B4-BE49-F238E27FC236}">
              <a16:creationId xmlns:a16="http://schemas.microsoft.com/office/drawing/2014/main" xmlns="" id="{00000000-0008-0000-0300-0000C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3" name="Rectangle 697">
          <a:extLst>
            <a:ext uri="{FF2B5EF4-FFF2-40B4-BE49-F238E27FC236}">
              <a16:creationId xmlns:a16="http://schemas.microsoft.com/office/drawing/2014/main" xmlns="" id="{00000000-0008-0000-0300-0000C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4" name="Rectangle 698">
          <a:extLst>
            <a:ext uri="{FF2B5EF4-FFF2-40B4-BE49-F238E27FC236}">
              <a16:creationId xmlns:a16="http://schemas.microsoft.com/office/drawing/2014/main" xmlns="" id="{00000000-0008-0000-0300-0000C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5" name="Rectangle 699">
          <a:extLst>
            <a:ext uri="{FF2B5EF4-FFF2-40B4-BE49-F238E27FC236}">
              <a16:creationId xmlns:a16="http://schemas.microsoft.com/office/drawing/2014/main" xmlns="" id="{00000000-0008-0000-0300-0000C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6" name="Rectangle 700">
          <a:extLst>
            <a:ext uri="{FF2B5EF4-FFF2-40B4-BE49-F238E27FC236}">
              <a16:creationId xmlns:a16="http://schemas.microsoft.com/office/drawing/2014/main" xmlns="" id="{00000000-0008-0000-0300-0000C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7" name="Rectangle 701">
          <a:extLst>
            <a:ext uri="{FF2B5EF4-FFF2-40B4-BE49-F238E27FC236}">
              <a16:creationId xmlns:a16="http://schemas.microsoft.com/office/drawing/2014/main" xmlns="" id="{00000000-0008-0000-0300-0000C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8" name="Rectangle 702">
          <a:extLst>
            <a:ext uri="{FF2B5EF4-FFF2-40B4-BE49-F238E27FC236}">
              <a16:creationId xmlns:a16="http://schemas.microsoft.com/office/drawing/2014/main" xmlns="" id="{00000000-0008-0000-0300-0000C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9" name="Rectangle 703">
          <a:extLst>
            <a:ext uri="{FF2B5EF4-FFF2-40B4-BE49-F238E27FC236}">
              <a16:creationId xmlns:a16="http://schemas.microsoft.com/office/drawing/2014/main" xmlns="" id="{00000000-0008-0000-0300-0000C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0" name="Rectangle 704">
          <a:extLst>
            <a:ext uri="{FF2B5EF4-FFF2-40B4-BE49-F238E27FC236}">
              <a16:creationId xmlns:a16="http://schemas.microsoft.com/office/drawing/2014/main" xmlns="" id="{00000000-0008-0000-0300-0000C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1" name="Rectangle 705">
          <a:extLst>
            <a:ext uri="{FF2B5EF4-FFF2-40B4-BE49-F238E27FC236}">
              <a16:creationId xmlns:a16="http://schemas.microsoft.com/office/drawing/2014/main" xmlns="" id="{00000000-0008-0000-0300-0000C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2" name="Rectangle 706">
          <a:extLst>
            <a:ext uri="{FF2B5EF4-FFF2-40B4-BE49-F238E27FC236}">
              <a16:creationId xmlns:a16="http://schemas.microsoft.com/office/drawing/2014/main" xmlns="" id="{00000000-0008-0000-0300-0000D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3" name="Rectangle 707">
          <a:extLst>
            <a:ext uri="{FF2B5EF4-FFF2-40B4-BE49-F238E27FC236}">
              <a16:creationId xmlns:a16="http://schemas.microsoft.com/office/drawing/2014/main" xmlns="" id="{00000000-0008-0000-0300-0000D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4" name="Rectangle 708">
          <a:extLst>
            <a:ext uri="{FF2B5EF4-FFF2-40B4-BE49-F238E27FC236}">
              <a16:creationId xmlns:a16="http://schemas.microsoft.com/office/drawing/2014/main" xmlns="" id="{00000000-0008-0000-0300-0000D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5" name="Rectangle 709">
          <a:extLst>
            <a:ext uri="{FF2B5EF4-FFF2-40B4-BE49-F238E27FC236}">
              <a16:creationId xmlns:a16="http://schemas.microsoft.com/office/drawing/2014/main" xmlns="" id="{00000000-0008-0000-0300-0000D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6" name="Rectangle 710">
          <a:extLst>
            <a:ext uri="{FF2B5EF4-FFF2-40B4-BE49-F238E27FC236}">
              <a16:creationId xmlns:a16="http://schemas.microsoft.com/office/drawing/2014/main" xmlns="" id="{00000000-0008-0000-0300-0000D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7" name="Rectangle 711">
          <a:extLst>
            <a:ext uri="{FF2B5EF4-FFF2-40B4-BE49-F238E27FC236}">
              <a16:creationId xmlns:a16="http://schemas.microsoft.com/office/drawing/2014/main" xmlns="" id="{00000000-0008-0000-0300-0000D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8" name="Rectangle 712">
          <a:extLst>
            <a:ext uri="{FF2B5EF4-FFF2-40B4-BE49-F238E27FC236}">
              <a16:creationId xmlns:a16="http://schemas.microsoft.com/office/drawing/2014/main" xmlns="" id="{00000000-0008-0000-0300-0000D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9" name="Rectangle 713">
          <a:extLst>
            <a:ext uri="{FF2B5EF4-FFF2-40B4-BE49-F238E27FC236}">
              <a16:creationId xmlns:a16="http://schemas.microsoft.com/office/drawing/2014/main" xmlns="" id="{00000000-0008-0000-0300-0000D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0" name="Rectangle 714">
          <a:extLst>
            <a:ext uri="{FF2B5EF4-FFF2-40B4-BE49-F238E27FC236}">
              <a16:creationId xmlns:a16="http://schemas.microsoft.com/office/drawing/2014/main" xmlns="" id="{00000000-0008-0000-0300-0000D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1" name="Rectangle 715">
          <a:extLst>
            <a:ext uri="{FF2B5EF4-FFF2-40B4-BE49-F238E27FC236}">
              <a16:creationId xmlns:a16="http://schemas.microsoft.com/office/drawing/2014/main" xmlns="" id="{00000000-0008-0000-0300-0000D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2" name="Rectangle 716">
          <a:extLst>
            <a:ext uri="{FF2B5EF4-FFF2-40B4-BE49-F238E27FC236}">
              <a16:creationId xmlns:a16="http://schemas.microsoft.com/office/drawing/2014/main" xmlns="" id="{00000000-0008-0000-0300-0000D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3" name="Rectangle 717">
          <a:extLst>
            <a:ext uri="{FF2B5EF4-FFF2-40B4-BE49-F238E27FC236}">
              <a16:creationId xmlns:a16="http://schemas.microsoft.com/office/drawing/2014/main" xmlns="" id="{00000000-0008-0000-0300-0000D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4" name="Rectangle 718">
          <a:extLst>
            <a:ext uri="{FF2B5EF4-FFF2-40B4-BE49-F238E27FC236}">
              <a16:creationId xmlns:a16="http://schemas.microsoft.com/office/drawing/2014/main" xmlns="" id="{00000000-0008-0000-0300-0000D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5" name="Rectangle 719">
          <a:extLst>
            <a:ext uri="{FF2B5EF4-FFF2-40B4-BE49-F238E27FC236}">
              <a16:creationId xmlns:a16="http://schemas.microsoft.com/office/drawing/2014/main" xmlns="" id="{00000000-0008-0000-0300-0000D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6" name="Rectangle 720">
          <a:extLst>
            <a:ext uri="{FF2B5EF4-FFF2-40B4-BE49-F238E27FC236}">
              <a16:creationId xmlns:a16="http://schemas.microsoft.com/office/drawing/2014/main" xmlns="" id="{00000000-0008-0000-0300-0000D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7" name="Rectangle 721">
          <a:extLst>
            <a:ext uri="{FF2B5EF4-FFF2-40B4-BE49-F238E27FC236}">
              <a16:creationId xmlns:a16="http://schemas.microsoft.com/office/drawing/2014/main" xmlns="" id="{00000000-0008-0000-0300-0000D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8" name="Rectangle 722">
          <a:extLst>
            <a:ext uri="{FF2B5EF4-FFF2-40B4-BE49-F238E27FC236}">
              <a16:creationId xmlns:a16="http://schemas.microsoft.com/office/drawing/2014/main" xmlns="" id="{00000000-0008-0000-0300-0000E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9" name="Rectangle 723">
          <a:extLst>
            <a:ext uri="{FF2B5EF4-FFF2-40B4-BE49-F238E27FC236}">
              <a16:creationId xmlns:a16="http://schemas.microsoft.com/office/drawing/2014/main" xmlns="" id="{00000000-0008-0000-0300-0000E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0" name="Rectangle 724">
          <a:extLst>
            <a:ext uri="{FF2B5EF4-FFF2-40B4-BE49-F238E27FC236}">
              <a16:creationId xmlns:a16="http://schemas.microsoft.com/office/drawing/2014/main" xmlns="" id="{00000000-0008-0000-0300-0000E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1" name="Rectangle 725">
          <a:extLst>
            <a:ext uri="{FF2B5EF4-FFF2-40B4-BE49-F238E27FC236}">
              <a16:creationId xmlns:a16="http://schemas.microsoft.com/office/drawing/2014/main" xmlns="" id="{00000000-0008-0000-0300-0000E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2" name="Rectangle 726">
          <a:extLst>
            <a:ext uri="{FF2B5EF4-FFF2-40B4-BE49-F238E27FC236}">
              <a16:creationId xmlns:a16="http://schemas.microsoft.com/office/drawing/2014/main" xmlns="" id="{00000000-0008-0000-0300-0000E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3" name="Rectangle 727">
          <a:extLst>
            <a:ext uri="{FF2B5EF4-FFF2-40B4-BE49-F238E27FC236}">
              <a16:creationId xmlns:a16="http://schemas.microsoft.com/office/drawing/2014/main" xmlns="" id="{00000000-0008-0000-0300-0000E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4" name="Rectangle 728">
          <a:extLst>
            <a:ext uri="{FF2B5EF4-FFF2-40B4-BE49-F238E27FC236}">
              <a16:creationId xmlns:a16="http://schemas.microsoft.com/office/drawing/2014/main" xmlns="" id="{00000000-0008-0000-0300-0000E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5" name="Rectangle 729">
          <a:extLst>
            <a:ext uri="{FF2B5EF4-FFF2-40B4-BE49-F238E27FC236}">
              <a16:creationId xmlns:a16="http://schemas.microsoft.com/office/drawing/2014/main" xmlns="" id="{00000000-0008-0000-0300-0000E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6" name="Rectangle 730">
          <a:extLst>
            <a:ext uri="{FF2B5EF4-FFF2-40B4-BE49-F238E27FC236}">
              <a16:creationId xmlns:a16="http://schemas.microsoft.com/office/drawing/2014/main" xmlns="" id="{00000000-0008-0000-0300-0000E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7" name="Rectangle 731">
          <a:extLst>
            <a:ext uri="{FF2B5EF4-FFF2-40B4-BE49-F238E27FC236}">
              <a16:creationId xmlns:a16="http://schemas.microsoft.com/office/drawing/2014/main" xmlns="" id="{00000000-0008-0000-0300-0000E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8" name="Rectangle 732">
          <a:extLst>
            <a:ext uri="{FF2B5EF4-FFF2-40B4-BE49-F238E27FC236}">
              <a16:creationId xmlns:a16="http://schemas.microsoft.com/office/drawing/2014/main" xmlns="" id="{00000000-0008-0000-0300-0000E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9" name="Rectangle 733">
          <a:extLst>
            <a:ext uri="{FF2B5EF4-FFF2-40B4-BE49-F238E27FC236}">
              <a16:creationId xmlns:a16="http://schemas.microsoft.com/office/drawing/2014/main" xmlns="" id="{00000000-0008-0000-0300-0000E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0" name="Rectangle 734">
          <a:extLst>
            <a:ext uri="{FF2B5EF4-FFF2-40B4-BE49-F238E27FC236}">
              <a16:creationId xmlns:a16="http://schemas.microsoft.com/office/drawing/2014/main" xmlns="" id="{00000000-0008-0000-0300-0000E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1" name="Rectangle 735">
          <a:extLst>
            <a:ext uri="{FF2B5EF4-FFF2-40B4-BE49-F238E27FC236}">
              <a16:creationId xmlns:a16="http://schemas.microsoft.com/office/drawing/2014/main" xmlns="" id="{00000000-0008-0000-0300-0000E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2" name="Rectangle 736">
          <a:extLst>
            <a:ext uri="{FF2B5EF4-FFF2-40B4-BE49-F238E27FC236}">
              <a16:creationId xmlns:a16="http://schemas.microsoft.com/office/drawing/2014/main" xmlns="" id="{00000000-0008-0000-0300-0000EE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4" name="Rectangle 738">
          <a:extLst>
            <a:ext uri="{FF2B5EF4-FFF2-40B4-BE49-F238E27FC236}">
              <a16:creationId xmlns:a16="http://schemas.microsoft.com/office/drawing/2014/main" xmlns="" id="{00000000-0008-0000-0300-0000F0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5" name="Rectangle 739">
          <a:extLst>
            <a:ext uri="{FF2B5EF4-FFF2-40B4-BE49-F238E27FC236}">
              <a16:creationId xmlns:a16="http://schemas.microsoft.com/office/drawing/2014/main" xmlns="" id="{00000000-0008-0000-0300-0000F1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7" name="Rectangle 741">
          <a:extLst>
            <a:ext uri="{FF2B5EF4-FFF2-40B4-BE49-F238E27FC236}">
              <a16:creationId xmlns:a16="http://schemas.microsoft.com/office/drawing/2014/main" xmlns="" id="{00000000-0008-0000-0300-0000F3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8" name="Rectangle 742">
          <a:extLst>
            <a:ext uri="{FF2B5EF4-FFF2-40B4-BE49-F238E27FC236}">
              <a16:creationId xmlns:a16="http://schemas.microsoft.com/office/drawing/2014/main" xmlns="" id="{00000000-0008-0000-0300-0000F4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9" name="Rectangle 743">
          <a:extLst>
            <a:ext uri="{FF2B5EF4-FFF2-40B4-BE49-F238E27FC236}">
              <a16:creationId xmlns:a16="http://schemas.microsoft.com/office/drawing/2014/main" xmlns="" id="{00000000-0008-0000-0300-0000F5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0" name="Rectangle 744">
          <a:extLst>
            <a:ext uri="{FF2B5EF4-FFF2-40B4-BE49-F238E27FC236}">
              <a16:creationId xmlns:a16="http://schemas.microsoft.com/office/drawing/2014/main" xmlns="" id="{00000000-0008-0000-0300-0000F6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1" name="Rectangle 745">
          <a:extLst>
            <a:ext uri="{FF2B5EF4-FFF2-40B4-BE49-F238E27FC236}">
              <a16:creationId xmlns:a16="http://schemas.microsoft.com/office/drawing/2014/main" xmlns="" id="{00000000-0008-0000-0300-0000F7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2" name="Rectangle 746">
          <a:extLst>
            <a:ext uri="{FF2B5EF4-FFF2-40B4-BE49-F238E27FC236}">
              <a16:creationId xmlns:a16="http://schemas.microsoft.com/office/drawing/2014/main" xmlns="" id="{00000000-0008-0000-0300-0000F8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3" name="Rectangle 747">
          <a:extLst>
            <a:ext uri="{FF2B5EF4-FFF2-40B4-BE49-F238E27FC236}">
              <a16:creationId xmlns:a16="http://schemas.microsoft.com/office/drawing/2014/main" xmlns="" id="{00000000-0008-0000-0300-0000F9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4" name="Rectangle 748">
          <a:extLst>
            <a:ext uri="{FF2B5EF4-FFF2-40B4-BE49-F238E27FC236}">
              <a16:creationId xmlns:a16="http://schemas.microsoft.com/office/drawing/2014/main" xmlns="" id="{00000000-0008-0000-0300-0000FA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5" name="Rectangle 749">
          <a:extLst>
            <a:ext uri="{FF2B5EF4-FFF2-40B4-BE49-F238E27FC236}">
              <a16:creationId xmlns:a16="http://schemas.microsoft.com/office/drawing/2014/main" xmlns="" id="{00000000-0008-0000-0300-0000FB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6" name="Rectangle 750">
          <a:extLst>
            <a:ext uri="{FF2B5EF4-FFF2-40B4-BE49-F238E27FC236}">
              <a16:creationId xmlns:a16="http://schemas.microsoft.com/office/drawing/2014/main" xmlns="" id="{00000000-0008-0000-0300-0000FC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7" name="Rectangle 751">
          <a:extLst>
            <a:ext uri="{FF2B5EF4-FFF2-40B4-BE49-F238E27FC236}">
              <a16:creationId xmlns:a16="http://schemas.microsoft.com/office/drawing/2014/main" xmlns="" id="{00000000-0008-0000-0300-0000FD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8" name="Rectangle 752">
          <a:extLst>
            <a:ext uri="{FF2B5EF4-FFF2-40B4-BE49-F238E27FC236}">
              <a16:creationId xmlns:a16="http://schemas.microsoft.com/office/drawing/2014/main" xmlns="" id="{00000000-0008-0000-0300-0000FE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9" name="Rectangle 753">
          <a:extLst>
            <a:ext uri="{FF2B5EF4-FFF2-40B4-BE49-F238E27FC236}">
              <a16:creationId xmlns:a16="http://schemas.microsoft.com/office/drawing/2014/main" xmlns="" id="{00000000-0008-0000-0300-0000FF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6" name="Rectangle 754">
          <a:extLst>
            <a:ext uri="{FF2B5EF4-FFF2-40B4-BE49-F238E27FC236}">
              <a16:creationId xmlns:a16="http://schemas.microsoft.com/office/drawing/2014/main" xmlns="" id="{00000000-0008-0000-0300-000000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37" name="Rectangle 755">
          <a:extLst>
            <a:ext uri="{FF2B5EF4-FFF2-40B4-BE49-F238E27FC236}">
              <a16:creationId xmlns:a16="http://schemas.microsoft.com/office/drawing/2014/main" xmlns="" id="{00000000-0008-0000-0300-000001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38" name="Rectangle 756">
          <a:extLst>
            <a:ext uri="{FF2B5EF4-FFF2-40B4-BE49-F238E27FC236}">
              <a16:creationId xmlns:a16="http://schemas.microsoft.com/office/drawing/2014/main" xmlns="" id="{00000000-0008-0000-0300-000002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9" name="Rectangle 757">
          <a:extLst>
            <a:ext uri="{FF2B5EF4-FFF2-40B4-BE49-F238E27FC236}">
              <a16:creationId xmlns:a16="http://schemas.microsoft.com/office/drawing/2014/main" xmlns="" id="{00000000-0008-0000-0300-000003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0" name="Rectangle 758">
          <a:extLst>
            <a:ext uri="{FF2B5EF4-FFF2-40B4-BE49-F238E27FC236}">
              <a16:creationId xmlns:a16="http://schemas.microsoft.com/office/drawing/2014/main" xmlns="" id="{00000000-0008-0000-0300-000004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1" name="Rectangle 759">
          <a:extLst>
            <a:ext uri="{FF2B5EF4-FFF2-40B4-BE49-F238E27FC236}">
              <a16:creationId xmlns:a16="http://schemas.microsoft.com/office/drawing/2014/main" xmlns="" id="{00000000-0008-0000-0300-000005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2" name="Rectangle 760">
          <a:extLst>
            <a:ext uri="{FF2B5EF4-FFF2-40B4-BE49-F238E27FC236}">
              <a16:creationId xmlns:a16="http://schemas.microsoft.com/office/drawing/2014/main" xmlns="" id="{00000000-0008-0000-0300-000006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3" name="Rectangle 761">
          <a:extLst>
            <a:ext uri="{FF2B5EF4-FFF2-40B4-BE49-F238E27FC236}">
              <a16:creationId xmlns:a16="http://schemas.microsoft.com/office/drawing/2014/main" xmlns="" id="{00000000-0008-0000-0300-000007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4" name="Rectangle 762">
          <a:extLst>
            <a:ext uri="{FF2B5EF4-FFF2-40B4-BE49-F238E27FC236}">
              <a16:creationId xmlns:a16="http://schemas.microsoft.com/office/drawing/2014/main" xmlns="" id="{00000000-0008-0000-0300-000008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5" name="Rectangle 763">
          <a:extLst>
            <a:ext uri="{FF2B5EF4-FFF2-40B4-BE49-F238E27FC236}">
              <a16:creationId xmlns:a16="http://schemas.microsoft.com/office/drawing/2014/main" xmlns="" id="{00000000-0008-0000-0300-000009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6" name="Rectangle 764">
          <a:extLst>
            <a:ext uri="{FF2B5EF4-FFF2-40B4-BE49-F238E27FC236}">
              <a16:creationId xmlns:a16="http://schemas.microsoft.com/office/drawing/2014/main" xmlns="" id="{00000000-0008-0000-0300-00000A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7" name="Rectangle 765">
          <a:extLst>
            <a:ext uri="{FF2B5EF4-FFF2-40B4-BE49-F238E27FC236}">
              <a16:creationId xmlns:a16="http://schemas.microsoft.com/office/drawing/2014/main" xmlns="" id="{00000000-0008-0000-0300-00000B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8" name="Rectangle 766">
          <a:extLst>
            <a:ext uri="{FF2B5EF4-FFF2-40B4-BE49-F238E27FC236}">
              <a16:creationId xmlns:a16="http://schemas.microsoft.com/office/drawing/2014/main" xmlns="" id="{00000000-0008-0000-0300-00000C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9" name="Rectangle 767">
          <a:extLst>
            <a:ext uri="{FF2B5EF4-FFF2-40B4-BE49-F238E27FC236}">
              <a16:creationId xmlns:a16="http://schemas.microsoft.com/office/drawing/2014/main" xmlns="" id="{00000000-0008-0000-0300-00000D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50" name="Rectangle 768">
          <a:extLst>
            <a:ext uri="{FF2B5EF4-FFF2-40B4-BE49-F238E27FC236}">
              <a16:creationId xmlns:a16="http://schemas.microsoft.com/office/drawing/2014/main" xmlns="" id="{00000000-0008-0000-0300-00000E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51" name="Rectangle 769">
          <a:extLst>
            <a:ext uri="{FF2B5EF4-FFF2-40B4-BE49-F238E27FC236}">
              <a16:creationId xmlns:a16="http://schemas.microsoft.com/office/drawing/2014/main" xmlns="" id="{00000000-0008-0000-0300-00000F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3" name="Rectangle 771">
          <a:extLst>
            <a:ext uri="{FF2B5EF4-FFF2-40B4-BE49-F238E27FC236}">
              <a16:creationId xmlns:a16="http://schemas.microsoft.com/office/drawing/2014/main" xmlns="" id="{00000000-0008-0000-0300-000011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4" name="Rectangle 772">
          <a:extLst>
            <a:ext uri="{FF2B5EF4-FFF2-40B4-BE49-F238E27FC236}">
              <a16:creationId xmlns:a16="http://schemas.microsoft.com/office/drawing/2014/main" xmlns="" id="{00000000-0008-0000-0300-000012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5" name="Rectangle 773">
          <a:extLst>
            <a:ext uri="{FF2B5EF4-FFF2-40B4-BE49-F238E27FC236}">
              <a16:creationId xmlns:a16="http://schemas.microsoft.com/office/drawing/2014/main" xmlns="" id="{00000000-0008-0000-0300-000013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6" name="Rectangle 774">
          <a:extLst>
            <a:ext uri="{FF2B5EF4-FFF2-40B4-BE49-F238E27FC236}">
              <a16:creationId xmlns:a16="http://schemas.microsoft.com/office/drawing/2014/main" xmlns="" id="{00000000-0008-0000-0300-000014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7" name="Rectangle 775">
          <a:extLst>
            <a:ext uri="{FF2B5EF4-FFF2-40B4-BE49-F238E27FC236}">
              <a16:creationId xmlns:a16="http://schemas.microsoft.com/office/drawing/2014/main" xmlns="" id="{00000000-0008-0000-0300-000015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8" name="Rectangle 776">
          <a:extLst>
            <a:ext uri="{FF2B5EF4-FFF2-40B4-BE49-F238E27FC236}">
              <a16:creationId xmlns:a16="http://schemas.microsoft.com/office/drawing/2014/main" xmlns="" id="{00000000-0008-0000-0300-000016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9" name="Rectangle 777">
          <a:extLst>
            <a:ext uri="{FF2B5EF4-FFF2-40B4-BE49-F238E27FC236}">
              <a16:creationId xmlns:a16="http://schemas.microsoft.com/office/drawing/2014/main" xmlns="" id="{00000000-0008-0000-0300-000017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0" name="Rectangle 778">
          <a:extLst>
            <a:ext uri="{FF2B5EF4-FFF2-40B4-BE49-F238E27FC236}">
              <a16:creationId xmlns:a16="http://schemas.microsoft.com/office/drawing/2014/main" xmlns="" id="{00000000-0008-0000-0300-000018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1" name="Rectangle 779">
          <a:extLst>
            <a:ext uri="{FF2B5EF4-FFF2-40B4-BE49-F238E27FC236}">
              <a16:creationId xmlns:a16="http://schemas.microsoft.com/office/drawing/2014/main" xmlns="" id="{00000000-0008-0000-0300-000019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2" name="Rectangle 780">
          <a:extLst>
            <a:ext uri="{FF2B5EF4-FFF2-40B4-BE49-F238E27FC236}">
              <a16:creationId xmlns:a16="http://schemas.microsoft.com/office/drawing/2014/main" xmlns="" id="{00000000-0008-0000-0300-00001A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3" name="Rectangle 781">
          <a:extLst>
            <a:ext uri="{FF2B5EF4-FFF2-40B4-BE49-F238E27FC236}">
              <a16:creationId xmlns:a16="http://schemas.microsoft.com/office/drawing/2014/main" xmlns="" id="{00000000-0008-0000-0300-00001B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4" name="Rectangle 782">
          <a:extLst>
            <a:ext uri="{FF2B5EF4-FFF2-40B4-BE49-F238E27FC236}">
              <a16:creationId xmlns:a16="http://schemas.microsoft.com/office/drawing/2014/main" xmlns="" id="{00000000-0008-0000-0300-00001C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5" name="Rectangle 783">
          <a:extLst>
            <a:ext uri="{FF2B5EF4-FFF2-40B4-BE49-F238E27FC236}">
              <a16:creationId xmlns:a16="http://schemas.microsoft.com/office/drawing/2014/main" xmlns="" id="{00000000-0008-0000-0300-00001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6" name="Rectangle 784">
          <a:extLst>
            <a:ext uri="{FF2B5EF4-FFF2-40B4-BE49-F238E27FC236}">
              <a16:creationId xmlns:a16="http://schemas.microsoft.com/office/drawing/2014/main" xmlns="" id="{00000000-0008-0000-0300-00001E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7" name="Rectangle 785">
          <a:extLst>
            <a:ext uri="{FF2B5EF4-FFF2-40B4-BE49-F238E27FC236}">
              <a16:creationId xmlns:a16="http://schemas.microsoft.com/office/drawing/2014/main" xmlns="" id="{00000000-0008-0000-0300-00001F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8" name="Rectangle 786">
          <a:extLst>
            <a:ext uri="{FF2B5EF4-FFF2-40B4-BE49-F238E27FC236}">
              <a16:creationId xmlns:a16="http://schemas.microsoft.com/office/drawing/2014/main" xmlns="" id="{00000000-0008-0000-0300-000020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9" name="Rectangle 787">
          <a:extLst>
            <a:ext uri="{FF2B5EF4-FFF2-40B4-BE49-F238E27FC236}">
              <a16:creationId xmlns:a16="http://schemas.microsoft.com/office/drawing/2014/main" xmlns="" id="{00000000-0008-0000-0300-000021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0" name="Rectangle 788">
          <a:extLst>
            <a:ext uri="{FF2B5EF4-FFF2-40B4-BE49-F238E27FC236}">
              <a16:creationId xmlns:a16="http://schemas.microsoft.com/office/drawing/2014/main" xmlns="" id="{00000000-0008-0000-0300-000022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1" name="Rectangle 789">
          <a:extLst>
            <a:ext uri="{FF2B5EF4-FFF2-40B4-BE49-F238E27FC236}">
              <a16:creationId xmlns:a16="http://schemas.microsoft.com/office/drawing/2014/main" xmlns="" id="{00000000-0008-0000-0300-000023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2" name="Rectangle 790">
          <a:extLst>
            <a:ext uri="{FF2B5EF4-FFF2-40B4-BE49-F238E27FC236}">
              <a16:creationId xmlns:a16="http://schemas.microsoft.com/office/drawing/2014/main" xmlns="" id="{00000000-0008-0000-0300-000024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3" name="Rectangle 791">
          <a:extLst>
            <a:ext uri="{FF2B5EF4-FFF2-40B4-BE49-F238E27FC236}">
              <a16:creationId xmlns:a16="http://schemas.microsoft.com/office/drawing/2014/main" xmlns="" id="{00000000-0008-0000-0300-000025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4" name="Rectangle 792">
          <a:extLst>
            <a:ext uri="{FF2B5EF4-FFF2-40B4-BE49-F238E27FC236}">
              <a16:creationId xmlns:a16="http://schemas.microsoft.com/office/drawing/2014/main" xmlns="" id="{00000000-0008-0000-0300-000026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5" name="Rectangle 793">
          <a:extLst>
            <a:ext uri="{FF2B5EF4-FFF2-40B4-BE49-F238E27FC236}">
              <a16:creationId xmlns:a16="http://schemas.microsoft.com/office/drawing/2014/main" xmlns="" id="{00000000-0008-0000-0300-000027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6" name="Rectangle 794">
          <a:extLst>
            <a:ext uri="{FF2B5EF4-FFF2-40B4-BE49-F238E27FC236}">
              <a16:creationId xmlns:a16="http://schemas.microsoft.com/office/drawing/2014/main" xmlns="" id="{00000000-0008-0000-0300-000028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7" name="Rectangle 795">
          <a:extLst>
            <a:ext uri="{FF2B5EF4-FFF2-40B4-BE49-F238E27FC236}">
              <a16:creationId xmlns:a16="http://schemas.microsoft.com/office/drawing/2014/main" xmlns="" id="{00000000-0008-0000-0300-000029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8" name="Rectangle 796">
          <a:extLst>
            <a:ext uri="{FF2B5EF4-FFF2-40B4-BE49-F238E27FC236}">
              <a16:creationId xmlns:a16="http://schemas.microsoft.com/office/drawing/2014/main" xmlns="" id="{00000000-0008-0000-0300-00002A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9" name="Rectangle 797">
          <a:extLst>
            <a:ext uri="{FF2B5EF4-FFF2-40B4-BE49-F238E27FC236}">
              <a16:creationId xmlns:a16="http://schemas.microsoft.com/office/drawing/2014/main" xmlns="" id="{00000000-0008-0000-0300-00002B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0" name="Rectangle 798">
          <a:extLst>
            <a:ext uri="{FF2B5EF4-FFF2-40B4-BE49-F238E27FC236}">
              <a16:creationId xmlns:a16="http://schemas.microsoft.com/office/drawing/2014/main" xmlns="" id="{00000000-0008-0000-0300-00002C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1" name="Rectangle 799">
          <a:extLst>
            <a:ext uri="{FF2B5EF4-FFF2-40B4-BE49-F238E27FC236}">
              <a16:creationId xmlns:a16="http://schemas.microsoft.com/office/drawing/2014/main" xmlns="" id="{00000000-0008-0000-0300-00002D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2" name="Rectangle 800">
          <a:extLst>
            <a:ext uri="{FF2B5EF4-FFF2-40B4-BE49-F238E27FC236}">
              <a16:creationId xmlns:a16="http://schemas.microsoft.com/office/drawing/2014/main" xmlns="" id="{00000000-0008-0000-0300-00002E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3" name="Rectangle 801">
          <a:extLst>
            <a:ext uri="{FF2B5EF4-FFF2-40B4-BE49-F238E27FC236}">
              <a16:creationId xmlns:a16="http://schemas.microsoft.com/office/drawing/2014/main" xmlns="" id="{00000000-0008-0000-0300-00002F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4" name="Rectangle 802">
          <a:extLst>
            <a:ext uri="{FF2B5EF4-FFF2-40B4-BE49-F238E27FC236}">
              <a16:creationId xmlns:a16="http://schemas.microsoft.com/office/drawing/2014/main" xmlns="" id="{00000000-0008-0000-0300-000030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5" name="Rectangle 803">
          <a:extLst>
            <a:ext uri="{FF2B5EF4-FFF2-40B4-BE49-F238E27FC236}">
              <a16:creationId xmlns:a16="http://schemas.microsoft.com/office/drawing/2014/main" xmlns="" id="{00000000-0008-0000-0300-000031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6" name="Rectangle 804">
          <a:extLst>
            <a:ext uri="{FF2B5EF4-FFF2-40B4-BE49-F238E27FC236}">
              <a16:creationId xmlns:a16="http://schemas.microsoft.com/office/drawing/2014/main" xmlns="" id="{00000000-0008-0000-0300-000032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7" name="Rectangle 805">
          <a:extLst>
            <a:ext uri="{FF2B5EF4-FFF2-40B4-BE49-F238E27FC236}">
              <a16:creationId xmlns:a16="http://schemas.microsoft.com/office/drawing/2014/main" xmlns="" id="{00000000-0008-0000-0300-000033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8" name="Rectangle 806">
          <a:extLst>
            <a:ext uri="{FF2B5EF4-FFF2-40B4-BE49-F238E27FC236}">
              <a16:creationId xmlns:a16="http://schemas.microsoft.com/office/drawing/2014/main" xmlns="" id="{00000000-0008-0000-0300-000034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9" name="Rectangle 807">
          <a:extLst>
            <a:ext uri="{FF2B5EF4-FFF2-40B4-BE49-F238E27FC236}">
              <a16:creationId xmlns:a16="http://schemas.microsoft.com/office/drawing/2014/main" xmlns="" id="{00000000-0008-0000-0300-000035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0" name="Rectangle 808">
          <a:extLst>
            <a:ext uri="{FF2B5EF4-FFF2-40B4-BE49-F238E27FC236}">
              <a16:creationId xmlns:a16="http://schemas.microsoft.com/office/drawing/2014/main" xmlns="" id="{00000000-0008-0000-0300-000036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1" name="Rectangle 809">
          <a:extLst>
            <a:ext uri="{FF2B5EF4-FFF2-40B4-BE49-F238E27FC236}">
              <a16:creationId xmlns:a16="http://schemas.microsoft.com/office/drawing/2014/main" xmlns="" id="{00000000-0008-0000-0300-000037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2" name="Rectangle 810">
          <a:extLst>
            <a:ext uri="{FF2B5EF4-FFF2-40B4-BE49-F238E27FC236}">
              <a16:creationId xmlns:a16="http://schemas.microsoft.com/office/drawing/2014/main" xmlns="" id="{00000000-0008-0000-0300-000038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3" name="Rectangle 811">
          <a:extLst>
            <a:ext uri="{FF2B5EF4-FFF2-40B4-BE49-F238E27FC236}">
              <a16:creationId xmlns:a16="http://schemas.microsoft.com/office/drawing/2014/main" xmlns="" id="{00000000-0008-0000-0300-000039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4" name="Rectangle 812">
          <a:extLst>
            <a:ext uri="{FF2B5EF4-FFF2-40B4-BE49-F238E27FC236}">
              <a16:creationId xmlns:a16="http://schemas.microsoft.com/office/drawing/2014/main" xmlns="" id="{00000000-0008-0000-0300-00003A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5" name="Rectangle 813">
          <a:extLst>
            <a:ext uri="{FF2B5EF4-FFF2-40B4-BE49-F238E27FC236}">
              <a16:creationId xmlns:a16="http://schemas.microsoft.com/office/drawing/2014/main" xmlns="" id="{00000000-0008-0000-0300-00003B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6" name="Rectangle 814">
          <a:extLst>
            <a:ext uri="{FF2B5EF4-FFF2-40B4-BE49-F238E27FC236}">
              <a16:creationId xmlns:a16="http://schemas.microsoft.com/office/drawing/2014/main" xmlns="" id="{00000000-0008-0000-0300-00003C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7" name="Rectangle 815">
          <a:extLst>
            <a:ext uri="{FF2B5EF4-FFF2-40B4-BE49-F238E27FC236}">
              <a16:creationId xmlns:a16="http://schemas.microsoft.com/office/drawing/2014/main" xmlns="" id="{00000000-0008-0000-0300-00003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8" name="Rectangle 816">
          <a:extLst>
            <a:ext uri="{FF2B5EF4-FFF2-40B4-BE49-F238E27FC236}">
              <a16:creationId xmlns:a16="http://schemas.microsoft.com/office/drawing/2014/main" xmlns="" id="{00000000-0008-0000-0300-00003E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9" name="Rectangle 817">
          <a:extLst>
            <a:ext uri="{FF2B5EF4-FFF2-40B4-BE49-F238E27FC236}">
              <a16:creationId xmlns:a16="http://schemas.microsoft.com/office/drawing/2014/main" xmlns="" id="{00000000-0008-0000-0300-00003F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0" name="Rectangle 818">
          <a:extLst>
            <a:ext uri="{FF2B5EF4-FFF2-40B4-BE49-F238E27FC236}">
              <a16:creationId xmlns:a16="http://schemas.microsoft.com/office/drawing/2014/main" xmlns="" id="{00000000-0008-0000-0300-000040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1" name="Rectangle 819">
          <a:extLst>
            <a:ext uri="{FF2B5EF4-FFF2-40B4-BE49-F238E27FC236}">
              <a16:creationId xmlns:a16="http://schemas.microsoft.com/office/drawing/2014/main" xmlns="" id="{00000000-0008-0000-0300-000041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2" name="Rectangle 820">
          <a:extLst>
            <a:ext uri="{FF2B5EF4-FFF2-40B4-BE49-F238E27FC236}">
              <a16:creationId xmlns:a16="http://schemas.microsoft.com/office/drawing/2014/main" xmlns="" id="{00000000-0008-0000-0300-000042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3" name="Rectangle 821">
          <a:extLst>
            <a:ext uri="{FF2B5EF4-FFF2-40B4-BE49-F238E27FC236}">
              <a16:creationId xmlns:a16="http://schemas.microsoft.com/office/drawing/2014/main" xmlns="" id="{00000000-0008-0000-0300-000043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4" name="Rectangle 822">
          <a:extLst>
            <a:ext uri="{FF2B5EF4-FFF2-40B4-BE49-F238E27FC236}">
              <a16:creationId xmlns:a16="http://schemas.microsoft.com/office/drawing/2014/main" xmlns="" id="{00000000-0008-0000-0300-000044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5" name="Rectangle 823">
          <a:extLst>
            <a:ext uri="{FF2B5EF4-FFF2-40B4-BE49-F238E27FC236}">
              <a16:creationId xmlns:a16="http://schemas.microsoft.com/office/drawing/2014/main" xmlns="" id="{00000000-0008-0000-0300-000045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6" name="Rectangle 824">
          <a:extLst>
            <a:ext uri="{FF2B5EF4-FFF2-40B4-BE49-F238E27FC236}">
              <a16:creationId xmlns:a16="http://schemas.microsoft.com/office/drawing/2014/main" xmlns="" id="{00000000-0008-0000-0300-000046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7" name="Rectangle 825">
          <a:extLst>
            <a:ext uri="{FF2B5EF4-FFF2-40B4-BE49-F238E27FC236}">
              <a16:creationId xmlns:a16="http://schemas.microsoft.com/office/drawing/2014/main" xmlns="" id="{00000000-0008-0000-0300-000047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8" name="Rectangle 826">
          <a:extLst>
            <a:ext uri="{FF2B5EF4-FFF2-40B4-BE49-F238E27FC236}">
              <a16:creationId xmlns:a16="http://schemas.microsoft.com/office/drawing/2014/main" xmlns="" id="{00000000-0008-0000-0300-000048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9" name="Rectangle 827">
          <a:extLst>
            <a:ext uri="{FF2B5EF4-FFF2-40B4-BE49-F238E27FC236}">
              <a16:creationId xmlns:a16="http://schemas.microsoft.com/office/drawing/2014/main" xmlns="" id="{00000000-0008-0000-0300-000049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0" name="Rectangle 828">
          <a:extLst>
            <a:ext uri="{FF2B5EF4-FFF2-40B4-BE49-F238E27FC236}">
              <a16:creationId xmlns:a16="http://schemas.microsoft.com/office/drawing/2014/main" xmlns="" id="{00000000-0008-0000-0300-00004A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1" name="Rectangle 829">
          <a:extLst>
            <a:ext uri="{FF2B5EF4-FFF2-40B4-BE49-F238E27FC236}">
              <a16:creationId xmlns:a16="http://schemas.microsoft.com/office/drawing/2014/main" xmlns="" id="{00000000-0008-0000-0300-00004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2" name="Rectangle 830">
          <a:extLst>
            <a:ext uri="{FF2B5EF4-FFF2-40B4-BE49-F238E27FC236}">
              <a16:creationId xmlns:a16="http://schemas.microsoft.com/office/drawing/2014/main" xmlns="" id="{00000000-0008-0000-0300-00004C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3" name="Rectangle 831">
          <a:extLst>
            <a:ext uri="{FF2B5EF4-FFF2-40B4-BE49-F238E27FC236}">
              <a16:creationId xmlns:a16="http://schemas.microsoft.com/office/drawing/2014/main" xmlns="" id="{00000000-0008-0000-0300-00004D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4" name="Rectangle 832">
          <a:extLst>
            <a:ext uri="{FF2B5EF4-FFF2-40B4-BE49-F238E27FC236}">
              <a16:creationId xmlns:a16="http://schemas.microsoft.com/office/drawing/2014/main" xmlns="" id="{00000000-0008-0000-0300-00004E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5" name="Rectangle 833">
          <a:extLst>
            <a:ext uri="{FF2B5EF4-FFF2-40B4-BE49-F238E27FC236}">
              <a16:creationId xmlns:a16="http://schemas.microsoft.com/office/drawing/2014/main" xmlns="" id="{00000000-0008-0000-0300-00004F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6" name="Rectangle 834">
          <a:extLst>
            <a:ext uri="{FF2B5EF4-FFF2-40B4-BE49-F238E27FC236}">
              <a16:creationId xmlns:a16="http://schemas.microsoft.com/office/drawing/2014/main" xmlns="" id="{00000000-0008-0000-0300-000050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7" name="Rectangle 835">
          <a:extLst>
            <a:ext uri="{FF2B5EF4-FFF2-40B4-BE49-F238E27FC236}">
              <a16:creationId xmlns:a16="http://schemas.microsoft.com/office/drawing/2014/main" xmlns="" id="{00000000-0008-0000-0300-000051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8" name="Rectangle 836">
          <a:extLst>
            <a:ext uri="{FF2B5EF4-FFF2-40B4-BE49-F238E27FC236}">
              <a16:creationId xmlns:a16="http://schemas.microsoft.com/office/drawing/2014/main" xmlns="" id="{00000000-0008-0000-0300-000052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9" name="Rectangle 837">
          <a:extLst>
            <a:ext uri="{FF2B5EF4-FFF2-40B4-BE49-F238E27FC236}">
              <a16:creationId xmlns:a16="http://schemas.microsoft.com/office/drawing/2014/main" xmlns="" id="{00000000-0008-0000-0300-000053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0" name="Rectangle 838">
          <a:extLst>
            <a:ext uri="{FF2B5EF4-FFF2-40B4-BE49-F238E27FC236}">
              <a16:creationId xmlns:a16="http://schemas.microsoft.com/office/drawing/2014/main" xmlns="" id="{00000000-0008-0000-0300-000054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1" name="Rectangle 839">
          <a:extLst>
            <a:ext uri="{FF2B5EF4-FFF2-40B4-BE49-F238E27FC236}">
              <a16:creationId xmlns:a16="http://schemas.microsoft.com/office/drawing/2014/main" xmlns="" id="{00000000-0008-0000-0300-000055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2" name="Rectangle 840">
          <a:extLst>
            <a:ext uri="{FF2B5EF4-FFF2-40B4-BE49-F238E27FC236}">
              <a16:creationId xmlns:a16="http://schemas.microsoft.com/office/drawing/2014/main" xmlns="" id="{00000000-0008-0000-0300-000056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3" name="Rectangle 841">
          <a:extLst>
            <a:ext uri="{FF2B5EF4-FFF2-40B4-BE49-F238E27FC236}">
              <a16:creationId xmlns:a16="http://schemas.microsoft.com/office/drawing/2014/main" xmlns="" id="{00000000-0008-0000-0300-000057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4" name="Rectangle 842">
          <a:extLst>
            <a:ext uri="{FF2B5EF4-FFF2-40B4-BE49-F238E27FC236}">
              <a16:creationId xmlns:a16="http://schemas.microsoft.com/office/drawing/2014/main" xmlns="" id="{00000000-0008-0000-0300-000058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5" name="Rectangle 843">
          <a:extLst>
            <a:ext uri="{FF2B5EF4-FFF2-40B4-BE49-F238E27FC236}">
              <a16:creationId xmlns:a16="http://schemas.microsoft.com/office/drawing/2014/main" xmlns="" id="{00000000-0008-0000-0300-000059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6" name="Rectangle 844">
          <a:extLst>
            <a:ext uri="{FF2B5EF4-FFF2-40B4-BE49-F238E27FC236}">
              <a16:creationId xmlns:a16="http://schemas.microsoft.com/office/drawing/2014/main" xmlns="" id="{00000000-0008-0000-0300-00005A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7" name="Rectangle 845">
          <a:extLst>
            <a:ext uri="{FF2B5EF4-FFF2-40B4-BE49-F238E27FC236}">
              <a16:creationId xmlns:a16="http://schemas.microsoft.com/office/drawing/2014/main" xmlns="" id="{00000000-0008-0000-0300-00005B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8" name="Rectangle 846">
          <a:extLst>
            <a:ext uri="{FF2B5EF4-FFF2-40B4-BE49-F238E27FC236}">
              <a16:creationId xmlns:a16="http://schemas.microsoft.com/office/drawing/2014/main" xmlns="" id="{00000000-0008-0000-0300-00005C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9" name="Rectangle 847">
          <a:extLst>
            <a:ext uri="{FF2B5EF4-FFF2-40B4-BE49-F238E27FC236}">
              <a16:creationId xmlns:a16="http://schemas.microsoft.com/office/drawing/2014/main" xmlns="" id="{00000000-0008-0000-0300-00005D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0" name="Rectangle 848">
          <a:extLst>
            <a:ext uri="{FF2B5EF4-FFF2-40B4-BE49-F238E27FC236}">
              <a16:creationId xmlns:a16="http://schemas.microsoft.com/office/drawing/2014/main" xmlns="" id="{00000000-0008-0000-0300-00005E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1" name="Rectangle 849">
          <a:extLst>
            <a:ext uri="{FF2B5EF4-FFF2-40B4-BE49-F238E27FC236}">
              <a16:creationId xmlns:a16="http://schemas.microsoft.com/office/drawing/2014/main" xmlns="" id="{00000000-0008-0000-0300-00005F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2" name="Rectangle 850">
          <a:extLst>
            <a:ext uri="{FF2B5EF4-FFF2-40B4-BE49-F238E27FC236}">
              <a16:creationId xmlns:a16="http://schemas.microsoft.com/office/drawing/2014/main" xmlns="" id="{00000000-0008-0000-0300-000060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3" name="Rectangle 851">
          <a:extLst>
            <a:ext uri="{FF2B5EF4-FFF2-40B4-BE49-F238E27FC236}">
              <a16:creationId xmlns:a16="http://schemas.microsoft.com/office/drawing/2014/main" xmlns="" id="{00000000-0008-0000-0300-000061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4" name="Rectangle 852">
          <a:extLst>
            <a:ext uri="{FF2B5EF4-FFF2-40B4-BE49-F238E27FC236}">
              <a16:creationId xmlns:a16="http://schemas.microsoft.com/office/drawing/2014/main" xmlns="" id="{00000000-0008-0000-0300-000062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5" name="Rectangle 853">
          <a:extLst>
            <a:ext uri="{FF2B5EF4-FFF2-40B4-BE49-F238E27FC236}">
              <a16:creationId xmlns:a16="http://schemas.microsoft.com/office/drawing/2014/main" xmlns="" id="{00000000-0008-0000-0300-000063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6" name="Rectangle 854">
          <a:extLst>
            <a:ext uri="{FF2B5EF4-FFF2-40B4-BE49-F238E27FC236}">
              <a16:creationId xmlns:a16="http://schemas.microsoft.com/office/drawing/2014/main" xmlns="" id="{00000000-0008-0000-0300-000064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7" name="Rectangle 855">
          <a:extLst>
            <a:ext uri="{FF2B5EF4-FFF2-40B4-BE49-F238E27FC236}">
              <a16:creationId xmlns:a16="http://schemas.microsoft.com/office/drawing/2014/main" xmlns="" id="{00000000-0008-0000-0300-000065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8" name="Rectangle 856">
          <a:extLst>
            <a:ext uri="{FF2B5EF4-FFF2-40B4-BE49-F238E27FC236}">
              <a16:creationId xmlns:a16="http://schemas.microsoft.com/office/drawing/2014/main" xmlns="" id="{00000000-0008-0000-0300-000066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9" name="Rectangle 857">
          <a:extLst>
            <a:ext uri="{FF2B5EF4-FFF2-40B4-BE49-F238E27FC236}">
              <a16:creationId xmlns:a16="http://schemas.microsoft.com/office/drawing/2014/main" xmlns="" id="{00000000-0008-0000-0300-000067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40" name="Rectangle 858">
          <a:extLst>
            <a:ext uri="{FF2B5EF4-FFF2-40B4-BE49-F238E27FC236}">
              <a16:creationId xmlns:a16="http://schemas.microsoft.com/office/drawing/2014/main" xmlns="" id="{00000000-0008-0000-0300-000068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1" name="Rectangle 859">
          <a:extLst>
            <a:ext uri="{FF2B5EF4-FFF2-40B4-BE49-F238E27FC236}">
              <a16:creationId xmlns:a16="http://schemas.microsoft.com/office/drawing/2014/main" xmlns="" id="{00000000-0008-0000-0300-000069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42" name="Rectangle 860">
          <a:extLst>
            <a:ext uri="{FF2B5EF4-FFF2-40B4-BE49-F238E27FC236}">
              <a16:creationId xmlns:a16="http://schemas.microsoft.com/office/drawing/2014/main" xmlns="" id="{00000000-0008-0000-0300-00006A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3" name="Rectangle 861">
          <a:extLst>
            <a:ext uri="{FF2B5EF4-FFF2-40B4-BE49-F238E27FC236}">
              <a16:creationId xmlns:a16="http://schemas.microsoft.com/office/drawing/2014/main" xmlns="" id="{00000000-0008-0000-0300-00006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4" name="Rectangle 862">
          <a:extLst>
            <a:ext uri="{FF2B5EF4-FFF2-40B4-BE49-F238E27FC236}">
              <a16:creationId xmlns:a16="http://schemas.microsoft.com/office/drawing/2014/main" xmlns="" id="{00000000-0008-0000-0300-00006C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5" name="Rectangle 863">
          <a:extLst>
            <a:ext uri="{FF2B5EF4-FFF2-40B4-BE49-F238E27FC236}">
              <a16:creationId xmlns:a16="http://schemas.microsoft.com/office/drawing/2014/main" xmlns="" id="{00000000-0008-0000-0300-00006D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6" name="Rectangle 864">
          <a:extLst>
            <a:ext uri="{FF2B5EF4-FFF2-40B4-BE49-F238E27FC236}">
              <a16:creationId xmlns:a16="http://schemas.microsoft.com/office/drawing/2014/main" xmlns="" id="{00000000-0008-0000-0300-00006E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7" name="Rectangle 865">
          <a:extLst>
            <a:ext uri="{FF2B5EF4-FFF2-40B4-BE49-F238E27FC236}">
              <a16:creationId xmlns:a16="http://schemas.microsoft.com/office/drawing/2014/main" xmlns="" id="{00000000-0008-0000-0300-00006F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8" name="Rectangle 866">
          <a:extLst>
            <a:ext uri="{FF2B5EF4-FFF2-40B4-BE49-F238E27FC236}">
              <a16:creationId xmlns:a16="http://schemas.microsoft.com/office/drawing/2014/main" xmlns="" id="{00000000-0008-0000-0300-000070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9" name="Rectangle 867">
          <a:extLst>
            <a:ext uri="{FF2B5EF4-FFF2-40B4-BE49-F238E27FC236}">
              <a16:creationId xmlns:a16="http://schemas.microsoft.com/office/drawing/2014/main" xmlns="" id="{00000000-0008-0000-0300-000071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0" name="Rectangle 868">
          <a:extLst>
            <a:ext uri="{FF2B5EF4-FFF2-40B4-BE49-F238E27FC236}">
              <a16:creationId xmlns:a16="http://schemas.microsoft.com/office/drawing/2014/main" xmlns="" id="{00000000-0008-0000-0300-000072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1" name="Rectangle 869">
          <a:extLst>
            <a:ext uri="{FF2B5EF4-FFF2-40B4-BE49-F238E27FC236}">
              <a16:creationId xmlns:a16="http://schemas.microsoft.com/office/drawing/2014/main" xmlns="" id="{00000000-0008-0000-0300-000073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2" name="Rectangle 870">
          <a:extLst>
            <a:ext uri="{FF2B5EF4-FFF2-40B4-BE49-F238E27FC236}">
              <a16:creationId xmlns:a16="http://schemas.microsoft.com/office/drawing/2014/main" xmlns="" id="{00000000-0008-0000-0300-000074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3" name="Rectangle 871">
          <a:extLst>
            <a:ext uri="{FF2B5EF4-FFF2-40B4-BE49-F238E27FC236}">
              <a16:creationId xmlns:a16="http://schemas.microsoft.com/office/drawing/2014/main" xmlns="" id="{00000000-0008-0000-0300-000075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4" name="Rectangle 872">
          <a:extLst>
            <a:ext uri="{FF2B5EF4-FFF2-40B4-BE49-F238E27FC236}">
              <a16:creationId xmlns:a16="http://schemas.microsoft.com/office/drawing/2014/main" xmlns="" id="{00000000-0008-0000-0300-000076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5" name="Rectangle 873">
          <a:extLst>
            <a:ext uri="{FF2B5EF4-FFF2-40B4-BE49-F238E27FC236}">
              <a16:creationId xmlns:a16="http://schemas.microsoft.com/office/drawing/2014/main" xmlns="" id="{00000000-0008-0000-0300-000077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6" name="Rectangle 874">
          <a:extLst>
            <a:ext uri="{FF2B5EF4-FFF2-40B4-BE49-F238E27FC236}">
              <a16:creationId xmlns:a16="http://schemas.microsoft.com/office/drawing/2014/main" xmlns="" id="{00000000-0008-0000-0300-000078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57" name="Rectangle 875">
          <a:extLst>
            <a:ext uri="{FF2B5EF4-FFF2-40B4-BE49-F238E27FC236}">
              <a16:creationId xmlns:a16="http://schemas.microsoft.com/office/drawing/2014/main" xmlns="" id="{00000000-0008-0000-0300-00007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58" name="Rectangle 876">
          <a:extLst>
            <a:ext uri="{FF2B5EF4-FFF2-40B4-BE49-F238E27FC236}">
              <a16:creationId xmlns:a16="http://schemas.microsoft.com/office/drawing/2014/main" xmlns="" id="{00000000-0008-0000-0300-00007A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9" name="Rectangle 877">
          <a:extLst>
            <a:ext uri="{FF2B5EF4-FFF2-40B4-BE49-F238E27FC236}">
              <a16:creationId xmlns:a16="http://schemas.microsoft.com/office/drawing/2014/main" xmlns="" id="{00000000-0008-0000-0300-00007B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0" name="Rectangle 878">
          <a:extLst>
            <a:ext uri="{FF2B5EF4-FFF2-40B4-BE49-F238E27FC236}">
              <a16:creationId xmlns:a16="http://schemas.microsoft.com/office/drawing/2014/main" xmlns="" id="{00000000-0008-0000-0300-00007C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1" name="Rectangle 879">
          <a:extLst>
            <a:ext uri="{FF2B5EF4-FFF2-40B4-BE49-F238E27FC236}">
              <a16:creationId xmlns:a16="http://schemas.microsoft.com/office/drawing/2014/main" xmlns="" id="{00000000-0008-0000-0300-00007D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2" name="Rectangle 880">
          <a:extLst>
            <a:ext uri="{FF2B5EF4-FFF2-40B4-BE49-F238E27FC236}">
              <a16:creationId xmlns:a16="http://schemas.microsoft.com/office/drawing/2014/main" xmlns="" id="{00000000-0008-0000-0300-00007E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3" name="Rectangle 881">
          <a:extLst>
            <a:ext uri="{FF2B5EF4-FFF2-40B4-BE49-F238E27FC236}">
              <a16:creationId xmlns:a16="http://schemas.microsoft.com/office/drawing/2014/main" xmlns="" id="{00000000-0008-0000-0300-00007F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4" name="Rectangle 882">
          <a:extLst>
            <a:ext uri="{FF2B5EF4-FFF2-40B4-BE49-F238E27FC236}">
              <a16:creationId xmlns:a16="http://schemas.microsoft.com/office/drawing/2014/main" xmlns="" id="{00000000-0008-0000-0300-000080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5" name="Rectangle 883">
          <a:extLst>
            <a:ext uri="{FF2B5EF4-FFF2-40B4-BE49-F238E27FC236}">
              <a16:creationId xmlns:a16="http://schemas.microsoft.com/office/drawing/2014/main" xmlns="" id="{00000000-0008-0000-0300-000081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6" name="Rectangle 884">
          <a:extLst>
            <a:ext uri="{FF2B5EF4-FFF2-40B4-BE49-F238E27FC236}">
              <a16:creationId xmlns:a16="http://schemas.microsoft.com/office/drawing/2014/main" xmlns="" id="{00000000-0008-0000-0300-000082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7" name="Rectangle 885">
          <a:extLst>
            <a:ext uri="{FF2B5EF4-FFF2-40B4-BE49-F238E27FC236}">
              <a16:creationId xmlns:a16="http://schemas.microsoft.com/office/drawing/2014/main" xmlns="" id="{00000000-0008-0000-0300-000083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8" name="Rectangle 886">
          <a:extLst>
            <a:ext uri="{FF2B5EF4-FFF2-40B4-BE49-F238E27FC236}">
              <a16:creationId xmlns:a16="http://schemas.microsoft.com/office/drawing/2014/main" xmlns="" id="{00000000-0008-0000-0300-000084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9" name="Rectangle 887">
          <a:extLst>
            <a:ext uri="{FF2B5EF4-FFF2-40B4-BE49-F238E27FC236}">
              <a16:creationId xmlns:a16="http://schemas.microsoft.com/office/drawing/2014/main" xmlns="" id="{00000000-0008-0000-0300-000085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0" name="Rectangle 888">
          <a:extLst>
            <a:ext uri="{FF2B5EF4-FFF2-40B4-BE49-F238E27FC236}">
              <a16:creationId xmlns:a16="http://schemas.microsoft.com/office/drawing/2014/main" xmlns="" id="{00000000-0008-0000-0300-000086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1" name="Rectangle 889">
          <a:extLst>
            <a:ext uri="{FF2B5EF4-FFF2-40B4-BE49-F238E27FC236}">
              <a16:creationId xmlns:a16="http://schemas.microsoft.com/office/drawing/2014/main" xmlns="" id="{00000000-0008-0000-0300-000087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2" name="Rectangle 890">
          <a:extLst>
            <a:ext uri="{FF2B5EF4-FFF2-40B4-BE49-F238E27FC236}">
              <a16:creationId xmlns:a16="http://schemas.microsoft.com/office/drawing/2014/main" xmlns="" id="{00000000-0008-0000-0300-000088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3" name="Rectangle 891">
          <a:extLst>
            <a:ext uri="{FF2B5EF4-FFF2-40B4-BE49-F238E27FC236}">
              <a16:creationId xmlns:a16="http://schemas.microsoft.com/office/drawing/2014/main" xmlns="" id="{00000000-0008-0000-0300-000089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4" name="Rectangle 892">
          <a:extLst>
            <a:ext uri="{FF2B5EF4-FFF2-40B4-BE49-F238E27FC236}">
              <a16:creationId xmlns:a16="http://schemas.microsoft.com/office/drawing/2014/main" xmlns="" id="{00000000-0008-0000-0300-00008A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5" name="Rectangle 893">
          <a:extLst>
            <a:ext uri="{FF2B5EF4-FFF2-40B4-BE49-F238E27FC236}">
              <a16:creationId xmlns:a16="http://schemas.microsoft.com/office/drawing/2014/main" xmlns="" id="{00000000-0008-0000-0300-00008B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6" name="Rectangle 894">
          <a:extLst>
            <a:ext uri="{FF2B5EF4-FFF2-40B4-BE49-F238E27FC236}">
              <a16:creationId xmlns:a16="http://schemas.microsoft.com/office/drawing/2014/main" xmlns="" id="{00000000-0008-0000-0300-00008C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7" name="Rectangle 895">
          <a:extLst>
            <a:ext uri="{FF2B5EF4-FFF2-40B4-BE49-F238E27FC236}">
              <a16:creationId xmlns:a16="http://schemas.microsoft.com/office/drawing/2014/main" xmlns="" id="{00000000-0008-0000-0300-00008D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8" name="Rectangle 896">
          <a:extLst>
            <a:ext uri="{FF2B5EF4-FFF2-40B4-BE49-F238E27FC236}">
              <a16:creationId xmlns:a16="http://schemas.microsoft.com/office/drawing/2014/main" xmlns="" id="{00000000-0008-0000-0300-00008E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9" name="Rectangle 897">
          <a:extLst>
            <a:ext uri="{FF2B5EF4-FFF2-40B4-BE49-F238E27FC236}">
              <a16:creationId xmlns:a16="http://schemas.microsoft.com/office/drawing/2014/main" xmlns="" id="{00000000-0008-0000-0300-00008F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0" name="Rectangle 898">
          <a:extLst>
            <a:ext uri="{FF2B5EF4-FFF2-40B4-BE49-F238E27FC236}">
              <a16:creationId xmlns:a16="http://schemas.microsoft.com/office/drawing/2014/main" xmlns="" id="{00000000-0008-0000-0300-000090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1" name="Rectangle 899">
          <a:extLst>
            <a:ext uri="{FF2B5EF4-FFF2-40B4-BE49-F238E27FC236}">
              <a16:creationId xmlns:a16="http://schemas.microsoft.com/office/drawing/2014/main" xmlns="" id="{00000000-0008-0000-0300-000091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2" name="Rectangle 900">
          <a:extLst>
            <a:ext uri="{FF2B5EF4-FFF2-40B4-BE49-F238E27FC236}">
              <a16:creationId xmlns:a16="http://schemas.microsoft.com/office/drawing/2014/main" xmlns="" id="{00000000-0008-0000-0300-000092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3" name="Rectangle 901">
          <a:extLst>
            <a:ext uri="{FF2B5EF4-FFF2-40B4-BE49-F238E27FC236}">
              <a16:creationId xmlns:a16="http://schemas.microsoft.com/office/drawing/2014/main" xmlns="" id="{00000000-0008-0000-0300-000093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4" name="Rectangle 902">
          <a:extLst>
            <a:ext uri="{FF2B5EF4-FFF2-40B4-BE49-F238E27FC236}">
              <a16:creationId xmlns:a16="http://schemas.microsoft.com/office/drawing/2014/main" xmlns="" id="{00000000-0008-0000-0300-000094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5" name="Rectangle 903">
          <a:extLst>
            <a:ext uri="{FF2B5EF4-FFF2-40B4-BE49-F238E27FC236}">
              <a16:creationId xmlns:a16="http://schemas.microsoft.com/office/drawing/2014/main" xmlns="" id="{00000000-0008-0000-0300-000095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6" name="Rectangle 904">
          <a:extLst>
            <a:ext uri="{FF2B5EF4-FFF2-40B4-BE49-F238E27FC236}">
              <a16:creationId xmlns:a16="http://schemas.microsoft.com/office/drawing/2014/main" xmlns="" id="{00000000-0008-0000-0300-000096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7" name="Rectangle 905">
          <a:extLst>
            <a:ext uri="{FF2B5EF4-FFF2-40B4-BE49-F238E27FC236}">
              <a16:creationId xmlns:a16="http://schemas.microsoft.com/office/drawing/2014/main" xmlns="" id="{00000000-0008-0000-0300-000097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8" name="Rectangle 906">
          <a:extLst>
            <a:ext uri="{FF2B5EF4-FFF2-40B4-BE49-F238E27FC236}">
              <a16:creationId xmlns:a16="http://schemas.microsoft.com/office/drawing/2014/main" xmlns="" id="{00000000-0008-0000-0300-000098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9" name="Rectangle 907">
          <a:extLst>
            <a:ext uri="{FF2B5EF4-FFF2-40B4-BE49-F238E27FC236}">
              <a16:creationId xmlns:a16="http://schemas.microsoft.com/office/drawing/2014/main" xmlns="" id="{00000000-0008-0000-0300-00009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0" name="Rectangle 908">
          <a:extLst>
            <a:ext uri="{FF2B5EF4-FFF2-40B4-BE49-F238E27FC236}">
              <a16:creationId xmlns:a16="http://schemas.microsoft.com/office/drawing/2014/main" xmlns="" id="{00000000-0008-0000-0300-00009A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1" name="Rectangle 909">
          <a:extLst>
            <a:ext uri="{FF2B5EF4-FFF2-40B4-BE49-F238E27FC236}">
              <a16:creationId xmlns:a16="http://schemas.microsoft.com/office/drawing/2014/main" xmlns="" id="{00000000-0008-0000-0300-00009B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2" name="Rectangle 910">
          <a:extLst>
            <a:ext uri="{FF2B5EF4-FFF2-40B4-BE49-F238E27FC236}">
              <a16:creationId xmlns:a16="http://schemas.microsoft.com/office/drawing/2014/main" xmlns="" id="{00000000-0008-0000-0300-00009C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3" name="Rectangle 911">
          <a:extLst>
            <a:ext uri="{FF2B5EF4-FFF2-40B4-BE49-F238E27FC236}">
              <a16:creationId xmlns:a16="http://schemas.microsoft.com/office/drawing/2014/main" xmlns="" id="{00000000-0008-0000-0300-00009D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4" name="Rectangle 912">
          <a:extLst>
            <a:ext uri="{FF2B5EF4-FFF2-40B4-BE49-F238E27FC236}">
              <a16:creationId xmlns:a16="http://schemas.microsoft.com/office/drawing/2014/main" xmlns="" id="{00000000-0008-0000-0300-00009E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5" name="Rectangle 913">
          <a:extLst>
            <a:ext uri="{FF2B5EF4-FFF2-40B4-BE49-F238E27FC236}">
              <a16:creationId xmlns:a16="http://schemas.microsoft.com/office/drawing/2014/main" xmlns="" id="{00000000-0008-0000-0300-00009F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6" name="Rectangle 914">
          <a:extLst>
            <a:ext uri="{FF2B5EF4-FFF2-40B4-BE49-F238E27FC236}">
              <a16:creationId xmlns:a16="http://schemas.microsoft.com/office/drawing/2014/main" xmlns="" id="{00000000-0008-0000-0300-0000A0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7" name="Rectangle 915">
          <a:extLst>
            <a:ext uri="{FF2B5EF4-FFF2-40B4-BE49-F238E27FC236}">
              <a16:creationId xmlns:a16="http://schemas.microsoft.com/office/drawing/2014/main" xmlns="" id="{00000000-0008-0000-0300-0000A1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8" name="Rectangle 916">
          <a:extLst>
            <a:ext uri="{FF2B5EF4-FFF2-40B4-BE49-F238E27FC236}">
              <a16:creationId xmlns:a16="http://schemas.microsoft.com/office/drawing/2014/main" xmlns="" id="{00000000-0008-0000-0300-0000A2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9" name="Rectangle 917">
          <a:extLst>
            <a:ext uri="{FF2B5EF4-FFF2-40B4-BE49-F238E27FC236}">
              <a16:creationId xmlns:a16="http://schemas.microsoft.com/office/drawing/2014/main" xmlns="" id="{00000000-0008-0000-0300-0000A3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0" name="Rectangle 918">
          <a:extLst>
            <a:ext uri="{FF2B5EF4-FFF2-40B4-BE49-F238E27FC236}">
              <a16:creationId xmlns:a16="http://schemas.microsoft.com/office/drawing/2014/main" xmlns="" id="{00000000-0008-0000-0300-0000A4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1" name="Rectangle 919">
          <a:extLst>
            <a:ext uri="{FF2B5EF4-FFF2-40B4-BE49-F238E27FC236}">
              <a16:creationId xmlns:a16="http://schemas.microsoft.com/office/drawing/2014/main" xmlns="" id="{00000000-0008-0000-0300-0000A5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2" name="Rectangle 920">
          <a:extLst>
            <a:ext uri="{FF2B5EF4-FFF2-40B4-BE49-F238E27FC236}">
              <a16:creationId xmlns:a16="http://schemas.microsoft.com/office/drawing/2014/main" xmlns="" id="{00000000-0008-0000-0300-0000A6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3" name="Rectangle 921">
          <a:extLst>
            <a:ext uri="{FF2B5EF4-FFF2-40B4-BE49-F238E27FC236}">
              <a16:creationId xmlns:a16="http://schemas.microsoft.com/office/drawing/2014/main" xmlns="" id="{00000000-0008-0000-0300-0000A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4" name="Rectangle 922">
          <a:extLst>
            <a:ext uri="{FF2B5EF4-FFF2-40B4-BE49-F238E27FC236}">
              <a16:creationId xmlns:a16="http://schemas.microsoft.com/office/drawing/2014/main" xmlns="" id="{00000000-0008-0000-0300-0000A8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5" name="Rectangle 923">
          <a:extLst>
            <a:ext uri="{FF2B5EF4-FFF2-40B4-BE49-F238E27FC236}">
              <a16:creationId xmlns:a16="http://schemas.microsoft.com/office/drawing/2014/main" xmlns="" id="{00000000-0008-0000-0300-0000A9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6" name="Rectangle 924">
          <a:extLst>
            <a:ext uri="{FF2B5EF4-FFF2-40B4-BE49-F238E27FC236}">
              <a16:creationId xmlns:a16="http://schemas.microsoft.com/office/drawing/2014/main" xmlns="" id="{00000000-0008-0000-0300-0000AA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7" name="Rectangle 925">
          <a:extLst>
            <a:ext uri="{FF2B5EF4-FFF2-40B4-BE49-F238E27FC236}">
              <a16:creationId xmlns:a16="http://schemas.microsoft.com/office/drawing/2014/main" xmlns="" id="{00000000-0008-0000-0300-0000AB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8" name="Rectangle 926">
          <a:extLst>
            <a:ext uri="{FF2B5EF4-FFF2-40B4-BE49-F238E27FC236}">
              <a16:creationId xmlns:a16="http://schemas.microsoft.com/office/drawing/2014/main" xmlns="" id="{00000000-0008-0000-0300-0000AC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9" name="Rectangle 927">
          <a:extLst>
            <a:ext uri="{FF2B5EF4-FFF2-40B4-BE49-F238E27FC236}">
              <a16:creationId xmlns:a16="http://schemas.microsoft.com/office/drawing/2014/main" xmlns="" id="{00000000-0008-0000-0300-0000AD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0" name="Rectangle 928">
          <a:extLst>
            <a:ext uri="{FF2B5EF4-FFF2-40B4-BE49-F238E27FC236}">
              <a16:creationId xmlns:a16="http://schemas.microsoft.com/office/drawing/2014/main" xmlns="" id="{00000000-0008-0000-0300-0000AE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1" name="Rectangle 929">
          <a:extLst>
            <a:ext uri="{FF2B5EF4-FFF2-40B4-BE49-F238E27FC236}">
              <a16:creationId xmlns:a16="http://schemas.microsoft.com/office/drawing/2014/main" xmlns="" id="{00000000-0008-0000-0300-0000AF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2" name="Rectangle 930">
          <a:extLst>
            <a:ext uri="{FF2B5EF4-FFF2-40B4-BE49-F238E27FC236}">
              <a16:creationId xmlns:a16="http://schemas.microsoft.com/office/drawing/2014/main" xmlns="" id="{00000000-0008-0000-0300-0000B0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3" name="Rectangle 931">
          <a:extLst>
            <a:ext uri="{FF2B5EF4-FFF2-40B4-BE49-F238E27FC236}">
              <a16:creationId xmlns:a16="http://schemas.microsoft.com/office/drawing/2014/main" xmlns="" id="{00000000-0008-0000-0300-0000B1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4" name="Rectangle 932">
          <a:extLst>
            <a:ext uri="{FF2B5EF4-FFF2-40B4-BE49-F238E27FC236}">
              <a16:creationId xmlns:a16="http://schemas.microsoft.com/office/drawing/2014/main" xmlns="" id="{00000000-0008-0000-0300-0000B2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5" name="Rectangle 933">
          <a:extLst>
            <a:ext uri="{FF2B5EF4-FFF2-40B4-BE49-F238E27FC236}">
              <a16:creationId xmlns:a16="http://schemas.microsoft.com/office/drawing/2014/main" xmlns="" id="{00000000-0008-0000-0300-0000B3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6" name="Rectangle 934">
          <a:extLst>
            <a:ext uri="{FF2B5EF4-FFF2-40B4-BE49-F238E27FC236}">
              <a16:creationId xmlns:a16="http://schemas.microsoft.com/office/drawing/2014/main" xmlns="" id="{00000000-0008-0000-0300-0000B4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7" name="Rectangle 935">
          <a:extLst>
            <a:ext uri="{FF2B5EF4-FFF2-40B4-BE49-F238E27FC236}">
              <a16:creationId xmlns:a16="http://schemas.microsoft.com/office/drawing/2014/main" xmlns="" id="{00000000-0008-0000-0300-0000B5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8" name="Rectangle 936">
          <a:extLst>
            <a:ext uri="{FF2B5EF4-FFF2-40B4-BE49-F238E27FC236}">
              <a16:creationId xmlns:a16="http://schemas.microsoft.com/office/drawing/2014/main" xmlns="" id="{00000000-0008-0000-0300-0000B6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9" name="Rectangle 937">
          <a:extLst>
            <a:ext uri="{FF2B5EF4-FFF2-40B4-BE49-F238E27FC236}">
              <a16:creationId xmlns:a16="http://schemas.microsoft.com/office/drawing/2014/main" xmlns="" id="{00000000-0008-0000-0300-0000B7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0" name="Rectangle 938">
          <a:extLst>
            <a:ext uri="{FF2B5EF4-FFF2-40B4-BE49-F238E27FC236}">
              <a16:creationId xmlns:a16="http://schemas.microsoft.com/office/drawing/2014/main" xmlns="" id="{00000000-0008-0000-0300-0000B8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1" name="Rectangle 939">
          <a:extLst>
            <a:ext uri="{FF2B5EF4-FFF2-40B4-BE49-F238E27FC236}">
              <a16:creationId xmlns:a16="http://schemas.microsoft.com/office/drawing/2014/main" xmlns="" id="{00000000-0008-0000-0300-0000B9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2" name="Rectangle 940">
          <a:extLst>
            <a:ext uri="{FF2B5EF4-FFF2-40B4-BE49-F238E27FC236}">
              <a16:creationId xmlns:a16="http://schemas.microsoft.com/office/drawing/2014/main" xmlns="" id="{00000000-0008-0000-0300-0000BA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3" name="Rectangle 941">
          <a:extLst>
            <a:ext uri="{FF2B5EF4-FFF2-40B4-BE49-F238E27FC236}">
              <a16:creationId xmlns:a16="http://schemas.microsoft.com/office/drawing/2014/main" xmlns="" id="{00000000-0008-0000-0300-0000BB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4" name="Rectangle 942">
          <a:extLst>
            <a:ext uri="{FF2B5EF4-FFF2-40B4-BE49-F238E27FC236}">
              <a16:creationId xmlns:a16="http://schemas.microsoft.com/office/drawing/2014/main" xmlns="" id="{00000000-0008-0000-0300-0000BC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5" name="Rectangle 943">
          <a:extLst>
            <a:ext uri="{FF2B5EF4-FFF2-40B4-BE49-F238E27FC236}">
              <a16:creationId xmlns:a16="http://schemas.microsoft.com/office/drawing/2014/main" xmlns="" id="{00000000-0008-0000-0300-0000BD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6" name="Rectangle 944">
          <a:extLst>
            <a:ext uri="{FF2B5EF4-FFF2-40B4-BE49-F238E27FC236}">
              <a16:creationId xmlns:a16="http://schemas.microsoft.com/office/drawing/2014/main" xmlns="" id="{00000000-0008-0000-0300-0000BE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7" name="Rectangle 945">
          <a:extLst>
            <a:ext uri="{FF2B5EF4-FFF2-40B4-BE49-F238E27FC236}">
              <a16:creationId xmlns:a16="http://schemas.microsoft.com/office/drawing/2014/main" xmlns="" id="{00000000-0008-0000-0300-0000BF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8" name="Rectangle 946">
          <a:extLst>
            <a:ext uri="{FF2B5EF4-FFF2-40B4-BE49-F238E27FC236}">
              <a16:creationId xmlns:a16="http://schemas.microsoft.com/office/drawing/2014/main" xmlns="" id="{00000000-0008-0000-0300-0000C0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9" name="Rectangle 947">
          <a:extLst>
            <a:ext uri="{FF2B5EF4-FFF2-40B4-BE49-F238E27FC236}">
              <a16:creationId xmlns:a16="http://schemas.microsoft.com/office/drawing/2014/main" xmlns="" id="{00000000-0008-0000-0300-0000C1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0" name="Rectangle 948">
          <a:extLst>
            <a:ext uri="{FF2B5EF4-FFF2-40B4-BE49-F238E27FC236}">
              <a16:creationId xmlns:a16="http://schemas.microsoft.com/office/drawing/2014/main" xmlns="" id="{00000000-0008-0000-0300-0000C2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1" name="Rectangle 949">
          <a:extLst>
            <a:ext uri="{FF2B5EF4-FFF2-40B4-BE49-F238E27FC236}">
              <a16:creationId xmlns:a16="http://schemas.microsoft.com/office/drawing/2014/main" xmlns="" id="{00000000-0008-0000-0300-0000C3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32" name="Rectangle 950">
          <a:extLst>
            <a:ext uri="{FF2B5EF4-FFF2-40B4-BE49-F238E27FC236}">
              <a16:creationId xmlns:a16="http://schemas.microsoft.com/office/drawing/2014/main" xmlns="" id="{00000000-0008-0000-0300-0000C4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3" name="Rectangle 951">
          <a:extLst>
            <a:ext uri="{FF2B5EF4-FFF2-40B4-BE49-F238E27FC236}">
              <a16:creationId xmlns:a16="http://schemas.microsoft.com/office/drawing/2014/main" xmlns="" id="{00000000-0008-0000-0300-0000C5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4" name="Rectangle 952">
          <a:extLst>
            <a:ext uri="{FF2B5EF4-FFF2-40B4-BE49-F238E27FC236}">
              <a16:creationId xmlns:a16="http://schemas.microsoft.com/office/drawing/2014/main" xmlns="" id="{00000000-0008-0000-0300-0000C6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5" name="Rectangle 953">
          <a:extLst>
            <a:ext uri="{FF2B5EF4-FFF2-40B4-BE49-F238E27FC236}">
              <a16:creationId xmlns:a16="http://schemas.microsoft.com/office/drawing/2014/main" xmlns="" id="{00000000-0008-0000-0300-0000C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6" name="Rectangle 954">
          <a:extLst>
            <a:ext uri="{FF2B5EF4-FFF2-40B4-BE49-F238E27FC236}">
              <a16:creationId xmlns:a16="http://schemas.microsoft.com/office/drawing/2014/main" xmlns="" id="{00000000-0008-0000-0300-0000C8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7" name="Rectangle 955">
          <a:extLst>
            <a:ext uri="{FF2B5EF4-FFF2-40B4-BE49-F238E27FC236}">
              <a16:creationId xmlns:a16="http://schemas.microsoft.com/office/drawing/2014/main" xmlns="" id="{00000000-0008-0000-0300-0000C9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8" name="Rectangle 956">
          <a:extLst>
            <a:ext uri="{FF2B5EF4-FFF2-40B4-BE49-F238E27FC236}">
              <a16:creationId xmlns:a16="http://schemas.microsoft.com/office/drawing/2014/main" xmlns="" id="{00000000-0008-0000-0300-0000CA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9" name="Rectangle 957">
          <a:extLst>
            <a:ext uri="{FF2B5EF4-FFF2-40B4-BE49-F238E27FC236}">
              <a16:creationId xmlns:a16="http://schemas.microsoft.com/office/drawing/2014/main" xmlns="" id="{00000000-0008-0000-0300-0000CB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0" name="Rectangle 958">
          <a:extLst>
            <a:ext uri="{FF2B5EF4-FFF2-40B4-BE49-F238E27FC236}">
              <a16:creationId xmlns:a16="http://schemas.microsoft.com/office/drawing/2014/main" xmlns="" id="{00000000-0008-0000-0300-0000CC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1" name="Rectangle 959">
          <a:extLst>
            <a:ext uri="{FF2B5EF4-FFF2-40B4-BE49-F238E27FC236}">
              <a16:creationId xmlns:a16="http://schemas.microsoft.com/office/drawing/2014/main" xmlns="" id="{00000000-0008-0000-0300-0000CD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2" name="Rectangle 960">
          <a:extLst>
            <a:ext uri="{FF2B5EF4-FFF2-40B4-BE49-F238E27FC236}">
              <a16:creationId xmlns:a16="http://schemas.microsoft.com/office/drawing/2014/main" xmlns="" id="{00000000-0008-0000-0300-0000CE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3" name="Rectangle 961">
          <a:extLst>
            <a:ext uri="{FF2B5EF4-FFF2-40B4-BE49-F238E27FC236}">
              <a16:creationId xmlns:a16="http://schemas.microsoft.com/office/drawing/2014/main" xmlns="" id="{00000000-0008-0000-0300-0000CF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4" name="Rectangle 962">
          <a:extLst>
            <a:ext uri="{FF2B5EF4-FFF2-40B4-BE49-F238E27FC236}">
              <a16:creationId xmlns:a16="http://schemas.microsoft.com/office/drawing/2014/main" xmlns="" id="{00000000-0008-0000-0300-0000D0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5" name="Rectangle 963">
          <a:extLst>
            <a:ext uri="{FF2B5EF4-FFF2-40B4-BE49-F238E27FC236}">
              <a16:creationId xmlns:a16="http://schemas.microsoft.com/office/drawing/2014/main" xmlns="" id="{00000000-0008-0000-0300-0000D1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6" name="Rectangle 964">
          <a:extLst>
            <a:ext uri="{FF2B5EF4-FFF2-40B4-BE49-F238E27FC236}">
              <a16:creationId xmlns:a16="http://schemas.microsoft.com/office/drawing/2014/main" xmlns="" id="{00000000-0008-0000-0300-0000D2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7" name="Rectangle 965">
          <a:extLst>
            <a:ext uri="{FF2B5EF4-FFF2-40B4-BE49-F238E27FC236}">
              <a16:creationId xmlns:a16="http://schemas.microsoft.com/office/drawing/2014/main" xmlns="" id="{00000000-0008-0000-0300-0000D3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48" name="Rectangle 966">
          <a:extLst>
            <a:ext uri="{FF2B5EF4-FFF2-40B4-BE49-F238E27FC236}">
              <a16:creationId xmlns:a16="http://schemas.microsoft.com/office/drawing/2014/main" xmlns="" id="{00000000-0008-0000-0300-0000D4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49" name="Rectangle 967">
          <a:extLst>
            <a:ext uri="{FF2B5EF4-FFF2-40B4-BE49-F238E27FC236}">
              <a16:creationId xmlns:a16="http://schemas.microsoft.com/office/drawing/2014/main" xmlns="" id="{00000000-0008-0000-0300-0000D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0" name="Rectangle 968">
          <a:extLst>
            <a:ext uri="{FF2B5EF4-FFF2-40B4-BE49-F238E27FC236}">
              <a16:creationId xmlns:a16="http://schemas.microsoft.com/office/drawing/2014/main" xmlns="" id="{00000000-0008-0000-0300-0000D6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1" name="Rectangle 969">
          <a:extLst>
            <a:ext uri="{FF2B5EF4-FFF2-40B4-BE49-F238E27FC236}">
              <a16:creationId xmlns:a16="http://schemas.microsoft.com/office/drawing/2014/main" xmlns="" id="{00000000-0008-0000-0300-0000D7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2" name="Rectangle 970">
          <a:extLst>
            <a:ext uri="{FF2B5EF4-FFF2-40B4-BE49-F238E27FC236}">
              <a16:creationId xmlns:a16="http://schemas.microsoft.com/office/drawing/2014/main" xmlns="" id="{00000000-0008-0000-0300-0000D8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3" name="Rectangle 971">
          <a:extLst>
            <a:ext uri="{FF2B5EF4-FFF2-40B4-BE49-F238E27FC236}">
              <a16:creationId xmlns:a16="http://schemas.microsoft.com/office/drawing/2014/main" xmlns="" id="{00000000-0008-0000-0300-0000D9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4" name="Rectangle 972">
          <a:extLst>
            <a:ext uri="{FF2B5EF4-FFF2-40B4-BE49-F238E27FC236}">
              <a16:creationId xmlns:a16="http://schemas.microsoft.com/office/drawing/2014/main" xmlns="" id="{00000000-0008-0000-0300-0000DA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5" name="Rectangle 973">
          <a:extLst>
            <a:ext uri="{FF2B5EF4-FFF2-40B4-BE49-F238E27FC236}">
              <a16:creationId xmlns:a16="http://schemas.microsoft.com/office/drawing/2014/main" xmlns="" id="{00000000-0008-0000-0300-0000DB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6" name="Rectangle 974">
          <a:extLst>
            <a:ext uri="{FF2B5EF4-FFF2-40B4-BE49-F238E27FC236}">
              <a16:creationId xmlns:a16="http://schemas.microsoft.com/office/drawing/2014/main" xmlns="" id="{00000000-0008-0000-0300-0000DC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7" name="Rectangle 975">
          <a:extLst>
            <a:ext uri="{FF2B5EF4-FFF2-40B4-BE49-F238E27FC236}">
              <a16:creationId xmlns:a16="http://schemas.microsoft.com/office/drawing/2014/main" xmlns="" id="{00000000-0008-0000-0300-0000DD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8" name="Rectangle 976">
          <a:extLst>
            <a:ext uri="{FF2B5EF4-FFF2-40B4-BE49-F238E27FC236}">
              <a16:creationId xmlns:a16="http://schemas.microsoft.com/office/drawing/2014/main" xmlns="" id="{00000000-0008-0000-0300-0000DE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9" name="Rectangle 977">
          <a:extLst>
            <a:ext uri="{FF2B5EF4-FFF2-40B4-BE49-F238E27FC236}">
              <a16:creationId xmlns:a16="http://schemas.microsoft.com/office/drawing/2014/main" xmlns="" id="{00000000-0008-0000-0300-0000DF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0" name="Rectangle 978">
          <a:extLst>
            <a:ext uri="{FF2B5EF4-FFF2-40B4-BE49-F238E27FC236}">
              <a16:creationId xmlns:a16="http://schemas.microsoft.com/office/drawing/2014/main" xmlns="" id="{00000000-0008-0000-0300-0000E0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1" name="Rectangle 979">
          <a:extLst>
            <a:ext uri="{FF2B5EF4-FFF2-40B4-BE49-F238E27FC236}">
              <a16:creationId xmlns:a16="http://schemas.microsoft.com/office/drawing/2014/main" xmlns="" id="{00000000-0008-0000-0300-0000E1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2" name="Rectangle 980">
          <a:extLst>
            <a:ext uri="{FF2B5EF4-FFF2-40B4-BE49-F238E27FC236}">
              <a16:creationId xmlns:a16="http://schemas.microsoft.com/office/drawing/2014/main" xmlns="" id="{00000000-0008-0000-0300-0000E2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3" name="Rectangle 981">
          <a:extLst>
            <a:ext uri="{FF2B5EF4-FFF2-40B4-BE49-F238E27FC236}">
              <a16:creationId xmlns:a16="http://schemas.microsoft.com/office/drawing/2014/main" xmlns="" id="{00000000-0008-0000-0300-0000E3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4" name="Rectangle 982">
          <a:extLst>
            <a:ext uri="{FF2B5EF4-FFF2-40B4-BE49-F238E27FC236}">
              <a16:creationId xmlns:a16="http://schemas.microsoft.com/office/drawing/2014/main" xmlns="" id="{00000000-0008-0000-0300-0000E4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5" name="Rectangle 983">
          <a:extLst>
            <a:ext uri="{FF2B5EF4-FFF2-40B4-BE49-F238E27FC236}">
              <a16:creationId xmlns:a16="http://schemas.microsoft.com/office/drawing/2014/main" xmlns="" id="{00000000-0008-0000-0300-0000E5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6" name="Rectangle 984">
          <a:extLst>
            <a:ext uri="{FF2B5EF4-FFF2-40B4-BE49-F238E27FC236}">
              <a16:creationId xmlns:a16="http://schemas.microsoft.com/office/drawing/2014/main" xmlns="" id="{00000000-0008-0000-0300-0000E6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7" name="Rectangle 985">
          <a:extLst>
            <a:ext uri="{FF2B5EF4-FFF2-40B4-BE49-F238E27FC236}">
              <a16:creationId xmlns:a16="http://schemas.microsoft.com/office/drawing/2014/main" xmlns="" id="{00000000-0008-0000-0300-0000E7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8" name="Rectangle 986">
          <a:extLst>
            <a:ext uri="{FF2B5EF4-FFF2-40B4-BE49-F238E27FC236}">
              <a16:creationId xmlns:a16="http://schemas.microsoft.com/office/drawing/2014/main" xmlns="" id="{00000000-0008-0000-0300-0000E8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9" name="Rectangle 987">
          <a:extLst>
            <a:ext uri="{FF2B5EF4-FFF2-40B4-BE49-F238E27FC236}">
              <a16:creationId xmlns:a16="http://schemas.microsoft.com/office/drawing/2014/main" xmlns="" id="{00000000-0008-0000-0300-0000E9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0" name="Rectangle 988">
          <a:extLst>
            <a:ext uri="{FF2B5EF4-FFF2-40B4-BE49-F238E27FC236}">
              <a16:creationId xmlns:a16="http://schemas.microsoft.com/office/drawing/2014/main" xmlns="" id="{00000000-0008-0000-0300-0000EA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1" name="Rectangle 989">
          <a:extLst>
            <a:ext uri="{FF2B5EF4-FFF2-40B4-BE49-F238E27FC236}">
              <a16:creationId xmlns:a16="http://schemas.microsoft.com/office/drawing/2014/main" xmlns="" id="{00000000-0008-0000-0300-0000EB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2" name="Rectangle 990">
          <a:extLst>
            <a:ext uri="{FF2B5EF4-FFF2-40B4-BE49-F238E27FC236}">
              <a16:creationId xmlns:a16="http://schemas.microsoft.com/office/drawing/2014/main" xmlns="" id="{00000000-0008-0000-0300-0000EC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3" name="Rectangle 991">
          <a:extLst>
            <a:ext uri="{FF2B5EF4-FFF2-40B4-BE49-F238E27FC236}">
              <a16:creationId xmlns:a16="http://schemas.microsoft.com/office/drawing/2014/main" xmlns="" id="{00000000-0008-0000-0300-0000ED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4" name="Rectangle 992">
          <a:extLst>
            <a:ext uri="{FF2B5EF4-FFF2-40B4-BE49-F238E27FC236}">
              <a16:creationId xmlns:a16="http://schemas.microsoft.com/office/drawing/2014/main" xmlns="" id="{00000000-0008-0000-0300-0000EE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5" name="Rectangle 993">
          <a:extLst>
            <a:ext uri="{FF2B5EF4-FFF2-40B4-BE49-F238E27FC236}">
              <a16:creationId xmlns:a16="http://schemas.microsoft.com/office/drawing/2014/main" xmlns="" id="{00000000-0008-0000-0300-0000EF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6" name="Rectangle 994">
          <a:extLst>
            <a:ext uri="{FF2B5EF4-FFF2-40B4-BE49-F238E27FC236}">
              <a16:creationId xmlns:a16="http://schemas.microsoft.com/office/drawing/2014/main" xmlns="" id="{00000000-0008-0000-0300-0000F0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7" name="Rectangle 995">
          <a:extLst>
            <a:ext uri="{FF2B5EF4-FFF2-40B4-BE49-F238E27FC236}">
              <a16:creationId xmlns:a16="http://schemas.microsoft.com/office/drawing/2014/main" xmlns="" id="{00000000-0008-0000-0300-0000F1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8" name="Rectangle 996">
          <a:extLst>
            <a:ext uri="{FF2B5EF4-FFF2-40B4-BE49-F238E27FC236}">
              <a16:creationId xmlns:a16="http://schemas.microsoft.com/office/drawing/2014/main" xmlns="" id="{00000000-0008-0000-0300-0000F2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9" name="Rectangle 997">
          <a:extLst>
            <a:ext uri="{FF2B5EF4-FFF2-40B4-BE49-F238E27FC236}">
              <a16:creationId xmlns:a16="http://schemas.microsoft.com/office/drawing/2014/main" xmlns="" id="{00000000-0008-0000-0300-0000F3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80" name="Rectangle 998">
          <a:extLst>
            <a:ext uri="{FF2B5EF4-FFF2-40B4-BE49-F238E27FC236}">
              <a16:creationId xmlns:a16="http://schemas.microsoft.com/office/drawing/2014/main" xmlns="" id="{00000000-0008-0000-0300-0000F4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81" name="Rectangle 999">
          <a:extLst>
            <a:ext uri="{FF2B5EF4-FFF2-40B4-BE49-F238E27FC236}">
              <a16:creationId xmlns:a16="http://schemas.microsoft.com/office/drawing/2014/main" xmlns="" id="{00000000-0008-0000-0300-0000F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2" name="Rectangle 1000">
          <a:extLst>
            <a:ext uri="{FF2B5EF4-FFF2-40B4-BE49-F238E27FC236}">
              <a16:creationId xmlns:a16="http://schemas.microsoft.com/office/drawing/2014/main" xmlns="" id="{00000000-0008-0000-0300-0000F6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3" name="Rectangle 1001">
          <a:extLst>
            <a:ext uri="{FF2B5EF4-FFF2-40B4-BE49-F238E27FC236}">
              <a16:creationId xmlns:a16="http://schemas.microsoft.com/office/drawing/2014/main" xmlns="" id="{00000000-0008-0000-0300-0000F7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4" name="Rectangle 1002">
          <a:extLst>
            <a:ext uri="{FF2B5EF4-FFF2-40B4-BE49-F238E27FC236}">
              <a16:creationId xmlns:a16="http://schemas.microsoft.com/office/drawing/2014/main" xmlns="" id="{00000000-0008-0000-0300-0000F8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5" name="Rectangle 1003">
          <a:extLst>
            <a:ext uri="{FF2B5EF4-FFF2-40B4-BE49-F238E27FC236}">
              <a16:creationId xmlns:a16="http://schemas.microsoft.com/office/drawing/2014/main" xmlns="" id="{00000000-0008-0000-0300-0000F9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6" name="Rectangle 1004">
          <a:extLst>
            <a:ext uri="{FF2B5EF4-FFF2-40B4-BE49-F238E27FC236}">
              <a16:creationId xmlns:a16="http://schemas.microsoft.com/office/drawing/2014/main" xmlns="" id="{00000000-0008-0000-0300-0000FA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7" name="Rectangle 1005">
          <a:extLst>
            <a:ext uri="{FF2B5EF4-FFF2-40B4-BE49-F238E27FC236}">
              <a16:creationId xmlns:a16="http://schemas.microsoft.com/office/drawing/2014/main" xmlns="" id="{00000000-0008-0000-0300-0000FB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8" name="Rectangle 1006">
          <a:extLst>
            <a:ext uri="{FF2B5EF4-FFF2-40B4-BE49-F238E27FC236}">
              <a16:creationId xmlns:a16="http://schemas.microsoft.com/office/drawing/2014/main" xmlns="" id="{00000000-0008-0000-0300-0000FC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9" name="Rectangle 1007">
          <a:extLst>
            <a:ext uri="{FF2B5EF4-FFF2-40B4-BE49-F238E27FC236}">
              <a16:creationId xmlns:a16="http://schemas.microsoft.com/office/drawing/2014/main" xmlns="" id="{00000000-0008-0000-0300-0000FD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0" name="Rectangle 1008">
          <a:extLst>
            <a:ext uri="{FF2B5EF4-FFF2-40B4-BE49-F238E27FC236}">
              <a16:creationId xmlns:a16="http://schemas.microsoft.com/office/drawing/2014/main" xmlns="" id="{00000000-0008-0000-0300-0000FE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1" name="Rectangle 1009">
          <a:extLst>
            <a:ext uri="{FF2B5EF4-FFF2-40B4-BE49-F238E27FC236}">
              <a16:creationId xmlns:a16="http://schemas.microsoft.com/office/drawing/2014/main" xmlns="" id="{00000000-0008-0000-0300-0000FF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2" name="Rectangle 1010">
          <a:extLst>
            <a:ext uri="{FF2B5EF4-FFF2-40B4-BE49-F238E27FC236}">
              <a16:creationId xmlns:a16="http://schemas.microsoft.com/office/drawing/2014/main" xmlns="" id="{00000000-0008-0000-0300-000000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3" name="Rectangle 1011">
          <a:extLst>
            <a:ext uri="{FF2B5EF4-FFF2-40B4-BE49-F238E27FC236}">
              <a16:creationId xmlns:a16="http://schemas.microsoft.com/office/drawing/2014/main" xmlns="" id="{00000000-0008-0000-0300-000001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4" name="Rectangle 1012">
          <a:extLst>
            <a:ext uri="{FF2B5EF4-FFF2-40B4-BE49-F238E27FC236}">
              <a16:creationId xmlns:a16="http://schemas.microsoft.com/office/drawing/2014/main" xmlns="" id="{00000000-0008-0000-0300-00000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5" name="Rectangle 1013">
          <a:extLst>
            <a:ext uri="{FF2B5EF4-FFF2-40B4-BE49-F238E27FC236}">
              <a16:creationId xmlns:a16="http://schemas.microsoft.com/office/drawing/2014/main" xmlns="" id="{00000000-0008-0000-0300-00000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6" name="Rectangle 1014">
          <a:extLst>
            <a:ext uri="{FF2B5EF4-FFF2-40B4-BE49-F238E27FC236}">
              <a16:creationId xmlns:a16="http://schemas.microsoft.com/office/drawing/2014/main" xmlns="" id="{00000000-0008-0000-0300-00000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7" name="Rectangle 1015">
          <a:extLst>
            <a:ext uri="{FF2B5EF4-FFF2-40B4-BE49-F238E27FC236}">
              <a16:creationId xmlns:a16="http://schemas.microsoft.com/office/drawing/2014/main" xmlns="" id="{00000000-0008-0000-0300-00000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8" name="Rectangle 1016">
          <a:extLst>
            <a:ext uri="{FF2B5EF4-FFF2-40B4-BE49-F238E27FC236}">
              <a16:creationId xmlns:a16="http://schemas.microsoft.com/office/drawing/2014/main" xmlns="" id="{00000000-0008-0000-0300-00000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9" name="Rectangle 1017">
          <a:extLst>
            <a:ext uri="{FF2B5EF4-FFF2-40B4-BE49-F238E27FC236}">
              <a16:creationId xmlns:a16="http://schemas.microsoft.com/office/drawing/2014/main" xmlns="" id="{00000000-0008-0000-0300-00000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0" name="Rectangle 1018">
          <a:extLst>
            <a:ext uri="{FF2B5EF4-FFF2-40B4-BE49-F238E27FC236}">
              <a16:creationId xmlns:a16="http://schemas.microsoft.com/office/drawing/2014/main" xmlns="" id="{00000000-0008-0000-0300-00000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1" name="Rectangle 1019">
          <a:extLst>
            <a:ext uri="{FF2B5EF4-FFF2-40B4-BE49-F238E27FC236}">
              <a16:creationId xmlns:a16="http://schemas.microsoft.com/office/drawing/2014/main" xmlns="" id="{00000000-0008-0000-0300-00000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2" name="Rectangle 1020">
          <a:extLst>
            <a:ext uri="{FF2B5EF4-FFF2-40B4-BE49-F238E27FC236}">
              <a16:creationId xmlns:a16="http://schemas.microsoft.com/office/drawing/2014/main" xmlns="" id="{00000000-0008-0000-0300-00000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3" name="Rectangle 1021">
          <a:extLst>
            <a:ext uri="{FF2B5EF4-FFF2-40B4-BE49-F238E27FC236}">
              <a16:creationId xmlns:a16="http://schemas.microsoft.com/office/drawing/2014/main" xmlns="" id="{00000000-0008-0000-0300-00000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4" name="Rectangle 1022">
          <a:extLst>
            <a:ext uri="{FF2B5EF4-FFF2-40B4-BE49-F238E27FC236}">
              <a16:creationId xmlns:a16="http://schemas.microsoft.com/office/drawing/2014/main" xmlns="" id="{00000000-0008-0000-0300-00000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5" name="Rectangle 1023">
          <a:extLst>
            <a:ext uri="{FF2B5EF4-FFF2-40B4-BE49-F238E27FC236}">
              <a16:creationId xmlns:a16="http://schemas.microsoft.com/office/drawing/2014/main" xmlns="" id="{00000000-0008-0000-0300-00000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6" name="Rectangle 1024">
          <a:extLst>
            <a:ext uri="{FF2B5EF4-FFF2-40B4-BE49-F238E27FC236}">
              <a16:creationId xmlns:a16="http://schemas.microsoft.com/office/drawing/2014/main" xmlns="" id="{00000000-0008-0000-0300-00000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7" name="Rectangle 1025">
          <a:extLst>
            <a:ext uri="{FF2B5EF4-FFF2-40B4-BE49-F238E27FC236}">
              <a16:creationId xmlns:a16="http://schemas.microsoft.com/office/drawing/2014/main" xmlns="" id="{00000000-0008-0000-0300-00000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8" name="Rectangle 1026">
          <a:extLst>
            <a:ext uri="{FF2B5EF4-FFF2-40B4-BE49-F238E27FC236}">
              <a16:creationId xmlns:a16="http://schemas.microsoft.com/office/drawing/2014/main" xmlns="" id="{00000000-0008-0000-0300-00001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9" name="Rectangle 1027">
          <a:extLst>
            <a:ext uri="{FF2B5EF4-FFF2-40B4-BE49-F238E27FC236}">
              <a16:creationId xmlns:a16="http://schemas.microsoft.com/office/drawing/2014/main" xmlns="" id="{00000000-0008-0000-0300-00001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0" name="Rectangle 1028">
          <a:extLst>
            <a:ext uri="{FF2B5EF4-FFF2-40B4-BE49-F238E27FC236}">
              <a16:creationId xmlns:a16="http://schemas.microsoft.com/office/drawing/2014/main" xmlns="" id="{00000000-0008-0000-0300-00001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1" name="Rectangle 1029">
          <a:extLst>
            <a:ext uri="{FF2B5EF4-FFF2-40B4-BE49-F238E27FC236}">
              <a16:creationId xmlns:a16="http://schemas.microsoft.com/office/drawing/2014/main" xmlns="" id="{00000000-0008-0000-0300-00001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2" name="Rectangle 1030">
          <a:extLst>
            <a:ext uri="{FF2B5EF4-FFF2-40B4-BE49-F238E27FC236}">
              <a16:creationId xmlns:a16="http://schemas.microsoft.com/office/drawing/2014/main" xmlns="" id="{00000000-0008-0000-0300-00001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3" name="Rectangle 1031">
          <a:extLst>
            <a:ext uri="{FF2B5EF4-FFF2-40B4-BE49-F238E27FC236}">
              <a16:creationId xmlns:a16="http://schemas.microsoft.com/office/drawing/2014/main" xmlns="" id="{00000000-0008-0000-0300-00001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4" name="Rectangle 1032">
          <a:extLst>
            <a:ext uri="{FF2B5EF4-FFF2-40B4-BE49-F238E27FC236}">
              <a16:creationId xmlns:a16="http://schemas.microsoft.com/office/drawing/2014/main" xmlns="" id="{00000000-0008-0000-0300-00001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5" name="Rectangle 1033">
          <a:extLst>
            <a:ext uri="{FF2B5EF4-FFF2-40B4-BE49-F238E27FC236}">
              <a16:creationId xmlns:a16="http://schemas.microsoft.com/office/drawing/2014/main" xmlns="" id="{00000000-0008-0000-0300-00001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6" name="Rectangle 1034">
          <a:extLst>
            <a:ext uri="{FF2B5EF4-FFF2-40B4-BE49-F238E27FC236}">
              <a16:creationId xmlns:a16="http://schemas.microsoft.com/office/drawing/2014/main" xmlns="" id="{00000000-0008-0000-0300-00001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7" name="Rectangle 1035">
          <a:extLst>
            <a:ext uri="{FF2B5EF4-FFF2-40B4-BE49-F238E27FC236}">
              <a16:creationId xmlns:a16="http://schemas.microsoft.com/office/drawing/2014/main" xmlns="" id="{00000000-0008-0000-0300-00001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8" name="Rectangle 1036">
          <a:extLst>
            <a:ext uri="{FF2B5EF4-FFF2-40B4-BE49-F238E27FC236}">
              <a16:creationId xmlns:a16="http://schemas.microsoft.com/office/drawing/2014/main" xmlns="" id="{00000000-0008-0000-0300-00001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9" name="Rectangle 1037">
          <a:extLst>
            <a:ext uri="{FF2B5EF4-FFF2-40B4-BE49-F238E27FC236}">
              <a16:creationId xmlns:a16="http://schemas.microsoft.com/office/drawing/2014/main" xmlns="" id="{00000000-0008-0000-0300-00001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0" name="Rectangle 1038">
          <a:extLst>
            <a:ext uri="{FF2B5EF4-FFF2-40B4-BE49-F238E27FC236}">
              <a16:creationId xmlns:a16="http://schemas.microsoft.com/office/drawing/2014/main" xmlns="" id="{00000000-0008-0000-0300-00001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1" name="Rectangle 1039">
          <a:extLst>
            <a:ext uri="{FF2B5EF4-FFF2-40B4-BE49-F238E27FC236}">
              <a16:creationId xmlns:a16="http://schemas.microsoft.com/office/drawing/2014/main" xmlns="" id="{00000000-0008-0000-0300-00001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2" name="Rectangle 1040">
          <a:extLst>
            <a:ext uri="{FF2B5EF4-FFF2-40B4-BE49-F238E27FC236}">
              <a16:creationId xmlns:a16="http://schemas.microsoft.com/office/drawing/2014/main" xmlns="" id="{00000000-0008-0000-0300-00001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3" name="Rectangle 1041">
          <a:extLst>
            <a:ext uri="{FF2B5EF4-FFF2-40B4-BE49-F238E27FC236}">
              <a16:creationId xmlns:a16="http://schemas.microsoft.com/office/drawing/2014/main" xmlns="" id="{00000000-0008-0000-0300-00001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4" name="Rectangle 1042">
          <a:extLst>
            <a:ext uri="{FF2B5EF4-FFF2-40B4-BE49-F238E27FC236}">
              <a16:creationId xmlns:a16="http://schemas.microsoft.com/office/drawing/2014/main" xmlns="" id="{00000000-0008-0000-0300-00002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5" name="Rectangle 1043">
          <a:extLst>
            <a:ext uri="{FF2B5EF4-FFF2-40B4-BE49-F238E27FC236}">
              <a16:creationId xmlns:a16="http://schemas.microsoft.com/office/drawing/2014/main" xmlns="" id="{00000000-0008-0000-0300-00002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6" name="Rectangle 1044">
          <a:extLst>
            <a:ext uri="{FF2B5EF4-FFF2-40B4-BE49-F238E27FC236}">
              <a16:creationId xmlns:a16="http://schemas.microsoft.com/office/drawing/2014/main" xmlns="" id="{00000000-0008-0000-0300-00002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7" name="Rectangle 1045">
          <a:extLst>
            <a:ext uri="{FF2B5EF4-FFF2-40B4-BE49-F238E27FC236}">
              <a16:creationId xmlns:a16="http://schemas.microsoft.com/office/drawing/2014/main" xmlns="" id="{00000000-0008-0000-0300-00002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8" name="Rectangle 1046">
          <a:extLst>
            <a:ext uri="{FF2B5EF4-FFF2-40B4-BE49-F238E27FC236}">
              <a16:creationId xmlns:a16="http://schemas.microsoft.com/office/drawing/2014/main" xmlns="" id="{00000000-0008-0000-0300-000024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9" name="Rectangle 1047">
          <a:extLst>
            <a:ext uri="{FF2B5EF4-FFF2-40B4-BE49-F238E27FC236}">
              <a16:creationId xmlns:a16="http://schemas.microsoft.com/office/drawing/2014/main" xmlns="" id="{00000000-0008-0000-0300-000025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0" name="Rectangle 1048">
          <a:extLst>
            <a:ext uri="{FF2B5EF4-FFF2-40B4-BE49-F238E27FC236}">
              <a16:creationId xmlns:a16="http://schemas.microsoft.com/office/drawing/2014/main" xmlns="" id="{00000000-0008-0000-0300-000026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1" name="Rectangle 1049">
          <a:extLst>
            <a:ext uri="{FF2B5EF4-FFF2-40B4-BE49-F238E27FC236}">
              <a16:creationId xmlns:a16="http://schemas.microsoft.com/office/drawing/2014/main" xmlns="" id="{00000000-0008-0000-0300-000027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2" name="Rectangle 1050">
          <a:extLst>
            <a:ext uri="{FF2B5EF4-FFF2-40B4-BE49-F238E27FC236}">
              <a16:creationId xmlns:a16="http://schemas.microsoft.com/office/drawing/2014/main" xmlns="" id="{00000000-0008-0000-0300-000028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3" name="Rectangle 1051">
          <a:extLst>
            <a:ext uri="{FF2B5EF4-FFF2-40B4-BE49-F238E27FC236}">
              <a16:creationId xmlns:a16="http://schemas.microsoft.com/office/drawing/2014/main" xmlns="" id="{00000000-0008-0000-0300-000029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4" name="Rectangle 1052">
          <a:extLst>
            <a:ext uri="{FF2B5EF4-FFF2-40B4-BE49-F238E27FC236}">
              <a16:creationId xmlns:a16="http://schemas.microsoft.com/office/drawing/2014/main" xmlns="" id="{00000000-0008-0000-0300-00002A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5" name="Rectangle 1053">
          <a:extLst>
            <a:ext uri="{FF2B5EF4-FFF2-40B4-BE49-F238E27FC236}">
              <a16:creationId xmlns:a16="http://schemas.microsoft.com/office/drawing/2014/main" xmlns="" id="{00000000-0008-0000-0300-00002B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6" name="Rectangle 1054">
          <a:extLst>
            <a:ext uri="{FF2B5EF4-FFF2-40B4-BE49-F238E27FC236}">
              <a16:creationId xmlns:a16="http://schemas.microsoft.com/office/drawing/2014/main" xmlns="" id="{00000000-0008-0000-0300-00002C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7" name="Rectangle 1055">
          <a:extLst>
            <a:ext uri="{FF2B5EF4-FFF2-40B4-BE49-F238E27FC236}">
              <a16:creationId xmlns:a16="http://schemas.microsoft.com/office/drawing/2014/main" xmlns="" id="{00000000-0008-0000-0300-00002D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8" name="Rectangle 1056">
          <a:extLst>
            <a:ext uri="{FF2B5EF4-FFF2-40B4-BE49-F238E27FC236}">
              <a16:creationId xmlns:a16="http://schemas.microsoft.com/office/drawing/2014/main" xmlns="" id="{00000000-0008-0000-0300-00002E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9" name="Rectangle 1057">
          <a:extLst>
            <a:ext uri="{FF2B5EF4-FFF2-40B4-BE49-F238E27FC236}">
              <a16:creationId xmlns:a16="http://schemas.microsoft.com/office/drawing/2014/main" xmlns="" id="{00000000-0008-0000-0300-00002F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0" name="Rectangle 1058">
          <a:extLst>
            <a:ext uri="{FF2B5EF4-FFF2-40B4-BE49-F238E27FC236}">
              <a16:creationId xmlns:a16="http://schemas.microsoft.com/office/drawing/2014/main" xmlns="" id="{00000000-0008-0000-0300-000030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1" name="Rectangle 1059">
          <a:extLst>
            <a:ext uri="{FF2B5EF4-FFF2-40B4-BE49-F238E27FC236}">
              <a16:creationId xmlns:a16="http://schemas.microsoft.com/office/drawing/2014/main" xmlns="" id="{00000000-0008-0000-0300-000031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2" name="Rectangle 1060">
          <a:extLst>
            <a:ext uri="{FF2B5EF4-FFF2-40B4-BE49-F238E27FC236}">
              <a16:creationId xmlns:a16="http://schemas.microsoft.com/office/drawing/2014/main" xmlns="" id="{00000000-0008-0000-0300-000032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3" name="Rectangle 1061">
          <a:extLst>
            <a:ext uri="{FF2B5EF4-FFF2-40B4-BE49-F238E27FC236}">
              <a16:creationId xmlns:a16="http://schemas.microsoft.com/office/drawing/2014/main" xmlns="" id="{00000000-0008-0000-0300-000033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4" name="Rectangle 1062">
          <a:extLst>
            <a:ext uri="{FF2B5EF4-FFF2-40B4-BE49-F238E27FC236}">
              <a16:creationId xmlns:a16="http://schemas.microsoft.com/office/drawing/2014/main" xmlns="" id="{00000000-0008-0000-0300-00003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5" name="Rectangle 1063">
          <a:extLst>
            <a:ext uri="{FF2B5EF4-FFF2-40B4-BE49-F238E27FC236}">
              <a16:creationId xmlns:a16="http://schemas.microsoft.com/office/drawing/2014/main" xmlns="" id="{00000000-0008-0000-0300-00003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6" name="Rectangle 1064">
          <a:extLst>
            <a:ext uri="{FF2B5EF4-FFF2-40B4-BE49-F238E27FC236}">
              <a16:creationId xmlns:a16="http://schemas.microsoft.com/office/drawing/2014/main" xmlns="" id="{00000000-0008-0000-0300-000036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7" name="Rectangle 1065">
          <a:extLst>
            <a:ext uri="{FF2B5EF4-FFF2-40B4-BE49-F238E27FC236}">
              <a16:creationId xmlns:a16="http://schemas.microsoft.com/office/drawing/2014/main" xmlns="" id="{00000000-0008-0000-0300-000037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8" name="Rectangle 1066">
          <a:extLst>
            <a:ext uri="{FF2B5EF4-FFF2-40B4-BE49-F238E27FC236}">
              <a16:creationId xmlns:a16="http://schemas.microsoft.com/office/drawing/2014/main" xmlns="" id="{00000000-0008-0000-0300-000038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9" name="Rectangle 1067">
          <a:extLst>
            <a:ext uri="{FF2B5EF4-FFF2-40B4-BE49-F238E27FC236}">
              <a16:creationId xmlns:a16="http://schemas.microsoft.com/office/drawing/2014/main" xmlns="" id="{00000000-0008-0000-0300-000039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0" name="Rectangle 1068">
          <a:extLst>
            <a:ext uri="{FF2B5EF4-FFF2-40B4-BE49-F238E27FC236}">
              <a16:creationId xmlns:a16="http://schemas.microsoft.com/office/drawing/2014/main" xmlns="" id="{00000000-0008-0000-0300-00003A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51" name="Rectangle 1069">
          <a:extLst>
            <a:ext uri="{FF2B5EF4-FFF2-40B4-BE49-F238E27FC236}">
              <a16:creationId xmlns:a16="http://schemas.microsoft.com/office/drawing/2014/main" xmlns="" id="{00000000-0008-0000-0300-00003B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2" name="Rectangle 1070">
          <a:extLst>
            <a:ext uri="{FF2B5EF4-FFF2-40B4-BE49-F238E27FC236}">
              <a16:creationId xmlns:a16="http://schemas.microsoft.com/office/drawing/2014/main" xmlns="" id="{00000000-0008-0000-0300-00003C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3" name="Rectangle 1071">
          <a:extLst>
            <a:ext uri="{FF2B5EF4-FFF2-40B4-BE49-F238E27FC236}">
              <a16:creationId xmlns:a16="http://schemas.microsoft.com/office/drawing/2014/main" xmlns="" id="{00000000-0008-0000-0300-00003D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4" name="Rectangle 1072">
          <a:extLst>
            <a:ext uri="{FF2B5EF4-FFF2-40B4-BE49-F238E27FC236}">
              <a16:creationId xmlns:a16="http://schemas.microsoft.com/office/drawing/2014/main" xmlns="" id="{00000000-0008-0000-0300-00003E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5" name="Rectangle 1073">
          <a:extLst>
            <a:ext uri="{FF2B5EF4-FFF2-40B4-BE49-F238E27FC236}">
              <a16:creationId xmlns:a16="http://schemas.microsoft.com/office/drawing/2014/main" xmlns="" id="{00000000-0008-0000-0300-00003F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6" name="Rectangle 1074">
          <a:extLst>
            <a:ext uri="{FF2B5EF4-FFF2-40B4-BE49-F238E27FC236}">
              <a16:creationId xmlns:a16="http://schemas.microsoft.com/office/drawing/2014/main" xmlns="" id="{00000000-0008-0000-0300-000040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7" name="Rectangle 1075">
          <a:extLst>
            <a:ext uri="{FF2B5EF4-FFF2-40B4-BE49-F238E27FC236}">
              <a16:creationId xmlns:a16="http://schemas.microsoft.com/office/drawing/2014/main" xmlns="" id="{00000000-0008-0000-0300-000041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8" name="Rectangle 1076">
          <a:extLst>
            <a:ext uri="{FF2B5EF4-FFF2-40B4-BE49-F238E27FC236}">
              <a16:creationId xmlns:a16="http://schemas.microsoft.com/office/drawing/2014/main" xmlns="" id="{00000000-0008-0000-0300-000042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9" name="Rectangle 1077">
          <a:extLst>
            <a:ext uri="{FF2B5EF4-FFF2-40B4-BE49-F238E27FC236}">
              <a16:creationId xmlns:a16="http://schemas.microsoft.com/office/drawing/2014/main" xmlns="" id="{00000000-0008-0000-0300-000043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0" name="Rectangle 1078">
          <a:extLst>
            <a:ext uri="{FF2B5EF4-FFF2-40B4-BE49-F238E27FC236}">
              <a16:creationId xmlns:a16="http://schemas.microsoft.com/office/drawing/2014/main" xmlns="" id="{00000000-0008-0000-0300-00004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1" name="Rectangle 1079">
          <a:extLst>
            <a:ext uri="{FF2B5EF4-FFF2-40B4-BE49-F238E27FC236}">
              <a16:creationId xmlns:a16="http://schemas.microsoft.com/office/drawing/2014/main" xmlns="" id="{00000000-0008-0000-0300-00004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2" name="Rectangle 1080">
          <a:extLst>
            <a:ext uri="{FF2B5EF4-FFF2-40B4-BE49-F238E27FC236}">
              <a16:creationId xmlns:a16="http://schemas.microsoft.com/office/drawing/2014/main" xmlns="" id="{00000000-0008-0000-0300-000046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3" name="Rectangle 1081">
          <a:extLst>
            <a:ext uri="{FF2B5EF4-FFF2-40B4-BE49-F238E27FC236}">
              <a16:creationId xmlns:a16="http://schemas.microsoft.com/office/drawing/2014/main" xmlns="" id="{00000000-0008-0000-0300-000047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4" name="Rectangle 1082">
          <a:extLst>
            <a:ext uri="{FF2B5EF4-FFF2-40B4-BE49-F238E27FC236}">
              <a16:creationId xmlns:a16="http://schemas.microsoft.com/office/drawing/2014/main" xmlns="" id="{00000000-0008-0000-0300-000048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5" name="Rectangle 1083">
          <a:extLst>
            <a:ext uri="{FF2B5EF4-FFF2-40B4-BE49-F238E27FC236}">
              <a16:creationId xmlns:a16="http://schemas.microsoft.com/office/drawing/2014/main" xmlns="" id="{00000000-0008-0000-0300-000049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6" name="Rectangle 1084">
          <a:extLst>
            <a:ext uri="{FF2B5EF4-FFF2-40B4-BE49-F238E27FC236}">
              <a16:creationId xmlns:a16="http://schemas.microsoft.com/office/drawing/2014/main" xmlns="" id="{00000000-0008-0000-0300-00004A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7" name="Rectangle 1085">
          <a:extLst>
            <a:ext uri="{FF2B5EF4-FFF2-40B4-BE49-F238E27FC236}">
              <a16:creationId xmlns:a16="http://schemas.microsoft.com/office/drawing/2014/main" xmlns="" id="{00000000-0008-0000-0300-00004B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8" name="Rectangle 1086">
          <a:extLst>
            <a:ext uri="{FF2B5EF4-FFF2-40B4-BE49-F238E27FC236}">
              <a16:creationId xmlns:a16="http://schemas.microsoft.com/office/drawing/2014/main" xmlns="" id="{00000000-0008-0000-0300-00004C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9" name="Rectangle 1087">
          <a:extLst>
            <a:ext uri="{FF2B5EF4-FFF2-40B4-BE49-F238E27FC236}">
              <a16:creationId xmlns:a16="http://schemas.microsoft.com/office/drawing/2014/main" xmlns="" id="{00000000-0008-0000-0300-00004D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0" name="Rectangle 1088">
          <a:extLst>
            <a:ext uri="{FF2B5EF4-FFF2-40B4-BE49-F238E27FC236}">
              <a16:creationId xmlns:a16="http://schemas.microsoft.com/office/drawing/2014/main" xmlns="" id="{00000000-0008-0000-0300-00004E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1" name="Rectangle 1089">
          <a:extLst>
            <a:ext uri="{FF2B5EF4-FFF2-40B4-BE49-F238E27FC236}">
              <a16:creationId xmlns:a16="http://schemas.microsoft.com/office/drawing/2014/main" xmlns="" id="{00000000-0008-0000-0300-00004F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2" name="Rectangle 1090">
          <a:extLst>
            <a:ext uri="{FF2B5EF4-FFF2-40B4-BE49-F238E27FC236}">
              <a16:creationId xmlns:a16="http://schemas.microsoft.com/office/drawing/2014/main" xmlns="" id="{00000000-0008-0000-0300-000050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3" name="Rectangle 1091">
          <a:extLst>
            <a:ext uri="{FF2B5EF4-FFF2-40B4-BE49-F238E27FC236}">
              <a16:creationId xmlns:a16="http://schemas.microsoft.com/office/drawing/2014/main" xmlns="" id="{00000000-0008-0000-0300-000051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4" name="Rectangle 1092">
          <a:extLst>
            <a:ext uri="{FF2B5EF4-FFF2-40B4-BE49-F238E27FC236}">
              <a16:creationId xmlns:a16="http://schemas.microsoft.com/office/drawing/2014/main" xmlns="" id="{00000000-0008-0000-0300-000052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5" name="Rectangle 1093">
          <a:extLst>
            <a:ext uri="{FF2B5EF4-FFF2-40B4-BE49-F238E27FC236}">
              <a16:creationId xmlns:a16="http://schemas.microsoft.com/office/drawing/2014/main" xmlns="" id="{00000000-0008-0000-0300-000053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6" name="Rectangle 1094">
          <a:extLst>
            <a:ext uri="{FF2B5EF4-FFF2-40B4-BE49-F238E27FC236}">
              <a16:creationId xmlns:a16="http://schemas.microsoft.com/office/drawing/2014/main" xmlns="" id="{00000000-0008-0000-0300-000054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7" name="Rectangle 1095">
          <a:extLst>
            <a:ext uri="{FF2B5EF4-FFF2-40B4-BE49-F238E27FC236}">
              <a16:creationId xmlns:a16="http://schemas.microsoft.com/office/drawing/2014/main" xmlns="" id="{00000000-0008-0000-0300-000055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78" name="Rectangle 1121">
          <a:extLst>
            <a:ext uri="{FF2B5EF4-FFF2-40B4-BE49-F238E27FC236}">
              <a16:creationId xmlns:a16="http://schemas.microsoft.com/office/drawing/2014/main" xmlns="" id="{00000000-0008-0000-0300-00005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79" name="Rectangle 1122">
          <a:extLst>
            <a:ext uri="{FF2B5EF4-FFF2-40B4-BE49-F238E27FC236}">
              <a16:creationId xmlns:a16="http://schemas.microsoft.com/office/drawing/2014/main" xmlns="" id="{00000000-0008-0000-0300-00005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0" name="Rectangle 1123">
          <a:extLst>
            <a:ext uri="{FF2B5EF4-FFF2-40B4-BE49-F238E27FC236}">
              <a16:creationId xmlns:a16="http://schemas.microsoft.com/office/drawing/2014/main" xmlns="" id="{00000000-0008-0000-0300-00005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1" name="Rectangle 1124">
          <a:extLst>
            <a:ext uri="{FF2B5EF4-FFF2-40B4-BE49-F238E27FC236}">
              <a16:creationId xmlns:a16="http://schemas.microsoft.com/office/drawing/2014/main" xmlns="" id="{00000000-0008-0000-0300-000059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2" name="Rectangle 1125">
          <a:extLst>
            <a:ext uri="{FF2B5EF4-FFF2-40B4-BE49-F238E27FC236}">
              <a16:creationId xmlns:a16="http://schemas.microsoft.com/office/drawing/2014/main" xmlns="" id="{00000000-0008-0000-0300-00005A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3" name="Rectangle 1126">
          <a:extLst>
            <a:ext uri="{FF2B5EF4-FFF2-40B4-BE49-F238E27FC236}">
              <a16:creationId xmlns:a16="http://schemas.microsoft.com/office/drawing/2014/main" xmlns="" id="{00000000-0008-0000-0300-00005B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4" name="Rectangle 1127">
          <a:extLst>
            <a:ext uri="{FF2B5EF4-FFF2-40B4-BE49-F238E27FC236}">
              <a16:creationId xmlns:a16="http://schemas.microsoft.com/office/drawing/2014/main" xmlns="" id="{00000000-0008-0000-0300-00005C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5" name="Rectangle 1128">
          <a:extLst>
            <a:ext uri="{FF2B5EF4-FFF2-40B4-BE49-F238E27FC236}">
              <a16:creationId xmlns:a16="http://schemas.microsoft.com/office/drawing/2014/main" xmlns="" id="{00000000-0008-0000-0300-00005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6" name="Rectangle 1129">
          <a:extLst>
            <a:ext uri="{FF2B5EF4-FFF2-40B4-BE49-F238E27FC236}">
              <a16:creationId xmlns:a16="http://schemas.microsoft.com/office/drawing/2014/main" xmlns="" id="{00000000-0008-0000-0300-00005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7" name="Rectangle 1130">
          <a:extLst>
            <a:ext uri="{FF2B5EF4-FFF2-40B4-BE49-F238E27FC236}">
              <a16:creationId xmlns:a16="http://schemas.microsoft.com/office/drawing/2014/main" xmlns="" id="{00000000-0008-0000-0300-00005F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8" name="Rectangle 1131">
          <a:extLst>
            <a:ext uri="{FF2B5EF4-FFF2-40B4-BE49-F238E27FC236}">
              <a16:creationId xmlns:a16="http://schemas.microsoft.com/office/drawing/2014/main" xmlns="" id="{00000000-0008-0000-0300-000060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9" name="Rectangle 1132">
          <a:extLst>
            <a:ext uri="{FF2B5EF4-FFF2-40B4-BE49-F238E27FC236}">
              <a16:creationId xmlns:a16="http://schemas.microsoft.com/office/drawing/2014/main" xmlns="" id="{00000000-0008-0000-0300-000061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0" name="Rectangle 1133">
          <a:extLst>
            <a:ext uri="{FF2B5EF4-FFF2-40B4-BE49-F238E27FC236}">
              <a16:creationId xmlns:a16="http://schemas.microsoft.com/office/drawing/2014/main" xmlns="" id="{00000000-0008-0000-0300-000062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1" name="Rectangle 1134">
          <a:extLst>
            <a:ext uri="{FF2B5EF4-FFF2-40B4-BE49-F238E27FC236}">
              <a16:creationId xmlns:a16="http://schemas.microsoft.com/office/drawing/2014/main" xmlns="" id="{00000000-0008-0000-0300-00006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2" name="Rectangle 1135">
          <a:extLst>
            <a:ext uri="{FF2B5EF4-FFF2-40B4-BE49-F238E27FC236}">
              <a16:creationId xmlns:a16="http://schemas.microsoft.com/office/drawing/2014/main" xmlns="" id="{00000000-0008-0000-0300-00006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3" name="Rectangle 1136">
          <a:extLst>
            <a:ext uri="{FF2B5EF4-FFF2-40B4-BE49-F238E27FC236}">
              <a16:creationId xmlns:a16="http://schemas.microsoft.com/office/drawing/2014/main" xmlns="" id="{00000000-0008-0000-0300-000065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4" name="Rectangle 1137">
          <a:extLst>
            <a:ext uri="{FF2B5EF4-FFF2-40B4-BE49-F238E27FC236}">
              <a16:creationId xmlns:a16="http://schemas.microsoft.com/office/drawing/2014/main" xmlns="" id="{00000000-0008-0000-0300-000066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5" name="Rectangle 1138">
          <a:extLst>
            <a:ext uri="{FF2B5EF4-FFF2-40B4-BE49-F238E27FC236}">
              <a16:creationId xmlns:a16="http://schemas.microsoft.com/office/drawing/2014/main" xmlns="" id="{00000000-0008-0000-0300-000067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6" name="Rectangle 1139">
          <a:extLst>
            <a:ext uri="{FF2B5EF4-FFF2-40B4-BE49-F238E27FC236}">
              <a16:creationId xmlns:a16="http://schemas.microsoft.com/office/drawing/2014/main" xmlns="" id="{00000000-0008-0000-0300-000068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7" name="Rectangle 1140">
          <a:extLst>
            <a:ext uri="{FF2B5EF4-FFF2-40B4-BE49-F238E27FC236}">
              <a16:creationId xmlns:a16="http://schemas.microsoft.com/office/drawing/2014/main" xmlns="" id="{00000000-0008-0000-0300-00006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8" name="Rectangle 1141">
          <a:extLst>
            <a:ext uri="{FF2B5EF4-FFF2-40B4-BE49-F238E27FC236}">
              <a16:creationId xmlns:a16="http://schemas.microsoft.com/office/drawing/2014/main" xmlns="" id="{00000000-0008-0000-0300-00006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9" name="Rectangle 1142">
          <a:extLst>
            <a:ext uri="{FF2B5EF4-FFF2-40B4-BE49-F238E27FC236}">
              <a16:creationId xmlns:a16="http://schemas.microsoft.com/office/drawing/2014/main" xmlns="" id="{00000000-0008-0000-0300-00006B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0" name="Rectangle 1143">
          <a:extLst>
            <a:ext uri="{FF2B5EF4-FFF2-40B4-BE49-F238E27FC236}">
              <a16:creationId xmlns:a16="http://schemas.microsoft.com/office/drawing/2014/main" xmlns="" id="{00000000-0008-0000-0300-00006C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1" name="Rectangle 1144">
          <a:extLst>
            <a:ext uri="{FF2B5EF4-FFF2-40B4-BE49-F238E27FC236}">
              <a16:creationId xmlns:a16="http://schemas.microsoft.com/office/drawing/2014/main" xmlns="" id="{00000000-0008-0000-0300-00006D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502" name="Rectangle 1145">
          <a:extLst>
            <a:ext uri="{FF2B5EF4-FFF2-40B4-BE49-F238E27FC236}">
              <a16:creationId xmlns:a16="http://schemas.microsoft.com/office/drawing/2014/main" xmlns="" id="{00000000-0008-0000-0300-00006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3" name="Rectangle 1146">
          <a:extLst>
            <a:ext uri="{FF2B5EF4-FFF2-40B4-BE49-F238E27FC236}">
              <a16:creationId xmlns:a16="http://schemas.microsoft.com/office/drawing/2014/main" xmlns="" id="{00000000-0008-0000-0300-00006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4" name="Rectangle 1147">
          <a:extLst>
            <a:ext uri="{FF2B5EF4-FFF2-40B4-BE49-F238E27FC236}">
              <a16:creationId xmlns:a16="http://schemas.microsoft.com/office/drawing/2014/main" xmlns="" id="{00000000-0008-0000-0300-00007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5" name="Rectangle 1148">
          <a:extLst>
            <a:ext uri="{FF2B5EF4-FFF2-40B4-BE49-F238E27FC236}">
              <a16:creationId xmlns:a16="http://schemas.microsoft.com/office/drawing/2014/main" xmlns="" id="{00000000-0008-0000-0300-00007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6" name="Rectangle 1149">
          <a:extLst>
            <a:ext uri="{FF2B5EF4-FFF2-40B4-BE49-F238E27FC236}">
              <a16:creationId xmlns:a16="http://schemas.microsoft.com/office/drawing/2014/main" xmlns="" id="{00000000-0008-0000-0300-00007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7" name="Rectangle 1150">
          <a:extLst>
            <a:ext uri="{FF2B5EF4-FFF2-40B4-BE49-F238E27FC236}">
              <a16:creationId xmlns:a16="http://schemas.microsoft.com/office/drawing/2014/main" xmlns="" id="{00000000-0008-0000-0300-00007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8" name="Rectangle 1151">
          <a:extLst>
            <a:ext uri="{FF2B5EF4-FFF2-40B4-BE49-F238E27FC236}">
              <a16:creationId xmlns:a16="http://schemas.microsoft.com/office/drawing/2014/main" xmlns="" id="{00000000-0008-0000-0300-00007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9" name="Rectangle 1152">
          <a:extLst>
            <a:ext uri="{FF2B5EF4-FFF2-40B4-BE49-F238E27FC236}">
              <a16:creationId xmlns:a16="http://schemas.microsoft.com/office/drawing/2014/main" xmlns="" id="{00000000-0008-0000-0300-00007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0" name="Rectangle 1153">
          <a:extLst>
            <a:ext uri="{FF2B5EF4-FFF2-40B4-BE49-F238E27FC236}">
              <a16:creationId xmlns:a16="http://schemas.microsoft.com/office/drawing/2014/main" xmlns="" id="{00000000-0008-0000-0300-000076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1" name="Rectangle 1154">
          <a:extLst>
            <a:ext uri="{FF2B5EF4-FFF2-40B4-BE49-F238E27FC236}">
              <a16:creationId xmlns:a16="http://schemas.microsoft.com/office/drawing/2014/main" xmlns="" id="{00000000-0008-0000-0300-000077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2" name="Rectangle 1155">
          <a:extLst>
            <a:ext uri="{FF2B5EF4-FFF2-40B4-BE49-F238E27FC236}">
              <a16:creationId xmlns:a16="http://schemas.microsoft.com/office/drawing/2014/main" xmlns="" id="{00000000-0008-0000-0300-000078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3" name="Rectangle 1156">
          <a:extLst>
            <a:ext uri="{FF2B5EF4-FFF2-40B4-BE49-F238E27FC236}">
              <a16:creationId xmlns:a16="http://schemas.microsoft.com/office/drawing/2014/main" xmlns="" id="{00000000-0008-0000-0300-000079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4" name="Rectangle 1157">
          <a:extLst>
            <a:ext uri="{FF2B5EF4-FFF2-40B4-BE49-F238E27FC236}">
              <a16:creationId xmlns:a16="http://schemas.microsoft.com/office/drawing/2014/main" xmlns="" id="{00000000-0008-0000-0300-00007A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5" name="Rectangle 1158">
          <a:extLst>
            <a:ext uri="{FF2B5EF4-FFF2-40B4-BE49-F238E27FC236}">
              <a16:creationId xmlns:a16="http://schemas.microsoft.com/office/drawing/2014/main" xmlns="" id="{00000000-0008-0000-0300-00007B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6" name="Rectangle 1159">
          <a:extLst>
            <a:ext uri="{FF2B5EF4-FFF2-40B4-BE49-F238E27FC236}">
              <a16:creationId xmlns:a16="http://schemas.microsoft.com/office/drawing/2014/main" xmlns="" id="{00000000-0008-0000-0300-00007C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7" name="Rectangle 1160">
          <a:extLst>
            <a:ext uri="{FF2B5EF4-FFF2-40B4-BE49-F238E27FC236}">
              <a16:creationId xmlns:a16="http://schemas.microsoft.com/office/drawing/2014/main" xmlns="" id="{00000000-0008-0000-0300-00007D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8" name="Rectangle 1161">
          <a:extLst>
            <a:ext uri="{FF2B5EF4-FFF2-40B4-BE49-F238E27FC236}">
              <a16:creationId xmlns:a16="http://schemas.microsoft.com/office/drawing/2014/main" xmlns="" id="{00000000-0008-0000-0300-00007E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9" name="Rectangle 1162">
          <a:extLst>
            <a:ext uri="{FF2B5EF4-FFF2-40B4-BE49-F238E27FC236}">
              <a16:creationId xmlns:a16="http://schemas.microsoft.com/office/drawing/2014/main" xmlns="" id="{00000000-0008-0000-0300-00007F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0" name="Rectangle 1163">
          <a:extLst>
            <a:ext uri="{FF2B5EF4-FFF2-40B4-BE49-F238E27FC236}">
              <a16:creationId xmlns:a16="http://schemas.microsoft.com/office/drawing/2014/main" xmlns="" id="{00000000-0008-0000-0300-000080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1" name="Rectangle 1164">
          <a:extLst>
            <a:ext uri="{FF2B5EF4-FFF2-40B4-BE49-F238E27FC236}">
              <a16:creationId xmlns:a16="http://schemas.microsoft.com/office/drawing/2014/main" xmlns="" id="{00000000-0008-0000-0300-000081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2" name="Rectangle 93">
          <a:extLst>
            <a:ext uri="{FF2B5EF4-FFF2-40B4-BE49-F238E27FC236}">
              <a16:creationId xmlns:a16="http://schemas.microsoft.com/office/drawing/2014/main" xmlns="" id="{00000000-0008-0000-0300-00008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3" name="Rectangle 94">
          <a:extLst>
            <a:ext uri="{FF2B5EF4-FFF2-40B4-BE49-F238E27FC236}">
              <a16:creationId xmlns:a16="http://schemas.microsoft.com/office/drawing/2014/main" xmlns="" id="{00000000-0008-0000-0300-00008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4" name="Rectangle 95">
          <a:extLst>
            <a:ext uri="{FF2B5EF4-FFF2-40B4-BE49-F238E27FC236}">
              <a16:creationId xmlns:a16="http://schemas.microsoft.com/office/drawing/2014/main" xmlns="" id="{00000000-0008-0000-0300-00008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5" name="Rectangle 96">
          <a:extLst>
            <a:ext uri="{FF2B5EF4-FFF2-40B4-BE49-F238E27FC236}">
              <a16:creationId xmlns:a16="http://schemas.microsoft.com/office/drawing/2014/main" xmlns="" id="{00000000-0008-0000-0300-00008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6" name="Rectangle 97">
          <a:extLst>
            <a:ext uri="{FF2B5EF4-FFF2-40B4-BE49-F238E27FC236}">
              <a16:creationId xmlns:a16="http://schemas.microsoft.com/office/drawing/2014/main" xmlns="" id="{00000000-0008-0000-0300-00008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7" name="Rectangle 98">
          <a:extLst>
            <a:ext uri="{FF2B5EF4-FFF2-40B4-BE49-F238E27FC236}">
              <a16:creationId xmlns:a16="http://schemas.microsoft.com/office/drawing/2014/main" xmlns="" id="{00000000-0008-0000-0300-00008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8" name="Rectangle 99">
          <a:extLst>
            <a:ext uri="{FF2B5EF4-FFF2-40B4-BE49-F238E27FC236}">
              <a16:creationId xmlns:a16="http://schemas.microsoft.com/office/drawing/2014/main" xmlns="" id="{00000000-0008-0000-0300-00008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9" name="Rectangle 100">
          <a:extLst>
            <a:ext uri="{FF2B5EF4-FFF2-40B4-BE49-F238E27FC236}">
              <a16:creationId xmlns:a16="http://schemas.microsoft.com/office/drawing/2014/main" xmlns="" id="{00000000-0008-0000-0300-00008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0" name="Rectangle 101">
          <a:extLst>
            <a:ext uri="{FF2B5EF4-FFF2-40B4-BE49-F238E27FC236}">
              <a16:creationId xmlns:a16="http://schemas.microsoft.com/office/drawing/2014/main" xmlns="" id="{00000000-0008-0000-0300-00008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1" name="Rectangle 102">
          <a:extLst>
            <a:ext uri="{FF2B5EF4-FFF2-40B4-BE49-F238E27FC236}">
              <a16:creationId xmlns:a16="http://schemas.microsoft.com/office/drawing/2014/main" xmlns="" id="{00000000-0008-0000-0300-00008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2" name="Rectangle 103">
          <a:extLst>
            <a:ext uri="{FF2B5EF4-FFF2-40B4-BE49-F238E27FC236}">
              <a16:creationId xmlns:a16="http://schemas.microsoft.com/office/drawing/2014/main" xmlns="" id="{00000000-0008-0000-0300-00008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3" name="Rectangle 104">
          <a:extLst>
            <a:ext uri="{FF2B5EF4-FFF2-40B4-BE49-F238E27FC236}">
              <a16:creationId xmlns:a16="http://schemas.microsoft.com/office/drawing/2014/main" xmlns="" id="{00000000-0008-0000-0300-00008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4" name="Rectangle 105">
          <a:extLst>
            <a:ext uri="{FF2B5EF4-FFF2-40B4-BE49-F238E27FC236}">
              <a16:creationId xmlns:a16="http://schemas.microsoft.com/office/drawing/2014/main" xmlns="" id="{00000000-0008-0000-0300-00008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5" name="Rectangle 106">
          <a:extLst>
            <a:ext uri="{FF2B5EF4-FFF2-40B4-BE49-F238E27FC236}">
              <a16:creationId xmlns:a16="http://schemas.microsoft.com/office/drawing/2014/main" xmlns="" id="{00000000-0008-0000-0300-00008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6" name="Rectangle 107">
          <a:extLst>
            <a:ext uri="{FF2B5EF4-FFF2-40B4-BE49-F238E27FC236}">
              <a16:creationId xmlns:a16="http://schemas.microsoft.com/office/drawing/2014/main" xmlns="" id="{00000000-0008-0000-0300-00009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7" name="Rectangle 108">
          <a:extLst>
            <a:ext uri="{FF2B5EF4-FFF2-40B4-BE49-F238E27FC236}">
              <a16:creationId xmlns:a16="http://schemas.microsoft.com/office/drawing/2014/main" xmlns="" id="{00000000-0008-0000-0300-00009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8" name="Rectangle 109">
          <a:extLst>
            <a:ext uri="{FF2B5EF4-FFF2-40B4-BE49-F238E27FC236}">
              <a16:creationId xmlns:a16="http://schemas.microsoft.com/office/drawing/2014/main" xmlns="" id="{00000000-0008-0000-0300-00009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9" name="Rectangle 110">
          <a:extLst>
            <a:ext uri="{FF2B5EF4-FFF2-40B4-BE49-F238E27FC236}">
              <a16:creationId xmlns:a16="http://schemas.microsoft.com/office/drawing/2014/main" xmlns="" id="{00000000-0008-0000-0300-00009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0" name="Rectangle 111">
          <a:extLst>
            <a:ext uri="{FF2B5EF4-FFF2-40B4-BE49-F238E27FC236}">
              <a16:creationId xmlns:a16="http://schemas.microsoft.com/office/drawing/2014/main" xmlns="" id="{00000000-0008-0000-0300-00009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1" name="Rectangle 112">
          <a:extLst>
            <a:ext uri="{FF2B5EF4-FFF2-40B4-BE49-F238E27FC236}">
              <a16:creationId xmlns:a16="http://schemas.microsoft.com/office/drawing/2014/main" xmlns="" id="{00000000-0008-0000-0300-00009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2" name="Rectangle 113">
          <a:extLst>
            <a:ext uri="{FF2B5EF4-FFF2-40B4-BE49-F238E27FC236}">
              <a16:creationId xmlns:a16="http://schemas.microsoft.com/office/drawing/2014/main" xmlns="" id="{00000000-0008-0000-0300-00009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3" name="Rectangle 114">
          <a:extLst>
            <a:ext uri="{FF2B5EF4-FFF2-40B4-BE49-F238E27FC236}">
              <a16:creationId xmlns:a16="http://schemas.microsoft.com/office/drawing/2014/main" xmlns="" id="{00000000-0008-0000-0300-00009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4" name="Rectangle 115">
          <a:extLst>
            <a:ext uri="{FF2B5EF4-FFF2-40B4-BE49-F238E27FC236}">
              <a16:creationId xmlns:a16="http://schemas.microsoft.com/office/drawing/2014/main" xmlns="" id="{00000000-0008-0000-0300-00009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5" name="Rectangle 116">
          <a:extLst>
            <a:ext uri="{FF2B5EF4-FFF2-40B4-BE49-F238E27FC236}">
              <a16:creationId xmlns:a16="http://schemas.microsoft.com/office/drawing/2014/main" xmlns="" id="{00000000-0008-0000-0300-00009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6" name="Rectangle 117">
          <a:extLst>
            <a:ext uri="{FF2B5EF4-FFF2-40B4-BE49-F238E27FC236}">
              <a16:creationId xmlns:a16="http://schemas.microsoft.com/office/drawing/2014/main" xmlns="" id="{00000000-0008-0000-0300-00009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7" name="Rectangle 118">
          <a:extLst>
            <a:ext uri="{FF2B5EF4-FFF2-40B4-BE49-F238E27FC236}">
              <a16:creationId xmlns:a16="http://schemas.microsoft.com/office/drawing/2014/main" xmlns="" id="{00000000-0008-0000-0300-00009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8" name="Rectangle 119">
          <a:extLst>
            <a:ext uri="{FF2B5EF4-FFF2-40B4-BE49-F238E27FC236}">
              <a16:creationId xmlns:a16="http://schemas.microsoft.com/office/drawing/2014/main" xmlns="" id="{00000000-0008-0000-0300-00009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9" name="Rectangle 120">
          <a:extLst>
            <a:ext uri="{FF2B5EF4-FFF2-40B4-BE49-F238E27FC236}">
              <a16:creationId xmlns:a16="http://schemas.microsoft.com/office/drawing/2014/main" xmlns="" id="{00000000-0008-0000-0300-00009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0" name="Rectangle 121">
          <a:extLst>
            <a:ext uri="{FF2B5EF4-FFF2-40B4-BE49-F238E27FC236}">
              <a16:creationId xmlns:a16="http://schemas.microsoft.com/office/drawing/2014/main" xmlns="" id="{00000000-0008-0000-0300-00009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1" name="Rectangle 122">
          <a:extLst>
            <a:ext uri="{FF2B5EF4-FFF2-40B4-BE49-F238E27FC236}">
              <a16:creationId xmlns:a16="http://schemas.microsoft.com/office/drawing/2014/main" xmlns="" id="{00000000-0008-0000-0300-00009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52" name="Rectangle 123">
          <a:extLst>
            <a:ext uri="{FF2B5EF4-FFF2-40B4-BE49-F238E27FC236}">
              <a16:creationId xmlns:a16="http://schemas.microsoft.com/office/drawing/2014/main" xmlns="" id="{00000000-0008-0000-0300-0000A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3" name="Rectangle 124">
          <a:extLst>
            <a:ext uri="{FF2B5EF4-FFF2-40B4-BE49-F238E27FC236}">
              <a16:creationId xmlns:a16="http://schemas.microsoft.com/office/drawing/2014/main" xmlns="" id="{00000000-0008-0000-0300-0000A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4" name="Rectangle 125">
          <a:extLst>
            <a:ext uri="{FF2B5EF4-FFF2-40B4-BE49-F238E27FC236}">
              <a16:creationId xmlns:a16="http://schemas.microsoft.com/office/drawing/2014/main" xmlns="" id="{00000000-0008-0000-0300-0000A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5" name="Rectangle 126">
          <a:extLst>
            <a:ext uri="{FF2B5EF4-FFF2-40B4-BE49-F238E27FC236}">
              <a16:creationId xmlns:a16="http://schemas.microsoft.com/office/drawing/2014/main" xmlns="" id="{00000000-0008-0000-0300-0000A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6" name="Rectangle 127">
          <a:extLst>
            <a:ext uri="{FF2B5EF4-FFF2-40B4-BE49-F238E27FC236}">
              <a16:creationId xmlns:a16="http://schemas.microsoft.com/office/drawing/2014/main" xmlns="" id="{00000000-0008-0000-0300-0000A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7" name="Rectangle 128">
          <a:extLst>
            <a:ext uri="{FF2B5EF4-FFF2-40B4-BE49-F238E27FC236}">
              <a16:creationId xmlns:a16="http://schemas.microsoft.com/office/drawing/2014/main" xmlns="" id="{00000000-0008-0000-0300-0000A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8" name="Rectangle 129">
          <a:extLst>
            <a:ext uri="{FF2B5EF4-FFF2-40B4-BE49-F238E27FC236}">
              <a16:creationId xmlns:a16="http://schemas.microsoft.com/office/drawing/2014/main" xmlns="" id="{00000000-0008-0000-0300-0000A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9" name="Rectangle 130">
          <a:extLst>
            <a:ext uri="{FF2B5EF4-FFF2-40B4-BE49-F238E27FC236}">
              <a16:creationId xmlns:a16="http://schemas.microsoft.com/office/drawing/2014/main" xmlns="" id="{00000000-0008-0000-0300-0000A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0" name="Rectangle 131">
          <a:extLst>
            <a:ext uri="{FF2B5EF4-FFF2-40B4-BE49-F238E27FC236}">
              <a16:creationId xmlns:a16="http://schemas.microsoft.com/office/drawing/2014/main" xmlns="" id="{00000000-0008-0000-0300-0000A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1" name="Rectangle 132">
          <a:extLst>
            <a:ext uri="{FF2B5EF4-FFF2-40B4-BE49-F238E27FC236}">
              <a16:creationId xmlns:a16="http://schemas.microsoft.com/office/drawing/2014/main" xmlns="" id="{00000000-0008-0000-0300-0000A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2" name="Rectangle 133">
          <a:extLst>
            <a:ext uri="{FF2B5EF4-FFF2-40B4-BE49-F238E27FC236}">
              <a16:creationId xmlns:a16="http://schemas.microsoft.com/office/drawing/2014/main" xmlns="" id="{00000000-0008-0000-0300-0000A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3" name="Rectangle 134">
          <a:extLst>
            <a:ext uri="{FF2B5EF4-FFF2-40B4-BE49-F238E27FC236}">
              <a16:creationId xmlns:a16="http://schemas.microsoft.com/office/drawing/2014/main" xmlns="" id="{00000000-0008-0000-0300-0000A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4" name="Rectangle 135">
          <a:extLst>
            <a:ext uri="{FF2B5EF4-FFF2-40B4-BE49-F238E27FC236}">
              <a16:creationId xmlns:a16="http://schemas.microsoft.com/office/drawing/2014/main" xmlns="" id="{00000000-0008-0000-0300-0000A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5" name="Rectangle 136">
          <a:extLst>
            <a:ext uri="{FF2B5EF4-FFF2-40B4-BE49-F238E27FC236}">
              <a16:creationId xmlns:a16="http://schemas.microsoft.com/office/drawing/2014/main" xmlns="" id="{00000000-0008-0000-0300-0000A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6" name="Rectangle 137">
          <a:extLst>
            <a:ext uri="{FF2B5EF4-FFF2-40B4-BE49-F238E27FC236}">
              <a16:creationId xmlns:a16="http://schemas.microsoft.com/office/drawing/2014/main" xmlns="" id="{00000000-0008-0000-0300-0000A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7" name="Rectangle 138">
          <a:extLst>
            <a:ext uri="{FF2B5EF4-FFF2-40B4-BE49-F238E27FC236}">
              <a16:creationId xmlns:a16="http://schemas.microsoft.com/office/drawing/2014/main" xmlns="" id="{00000000-0008-0000-0300-0000A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68" name="Rectangle 139">
          <a:extLst>
            <a:ext uri="{FF2B5EF4-FFF2-40B4-BE49-F238E27FC236}">
              <a16:creationId xmlns:a16="http://schemas.microsoft.com/office/drawing/2014/main" xmlns="" id="{00000000-0008-0000-0300-0000B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69" name="Rectangle 140">
          <a:extLst>
            <a:ext uri="{FF2B5EF4-FFF2-40B4-BE49-F238E27FC236}">
              <a16:creationId xmlns:a16="http://schemas.microsoft.com/office/drawing/2014/main" xmlns="" id="{00000000-0008-0000-0300-0000B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0" name="Rectangle 141">
          <a:extLst>
            <a:ext uri="{FF2B5EF4-FFF2-40B4-BE49-F238E27FC236}">
              <a16:creationId xmlns:a16="http://schemas.microsoft.com/office/drawing/2014/main" xmlns="" id="{00000000-0008-0000-0300-0000B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1" name="Rectangle 142">
          <a:extLst>
            <a:ext uri="{FF2B5EF4-FFF2-40B4-BE49-F238E27FC236}">
              <a16:creationId xmlns:a16="http://schemas.microsoft.com/office/drawing/2014/main" xmlns="" id="{00000000-0008-0000-0300-0000B3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2" name="Rectangle 143">
          <a:extLst>
            <a:ext uri="{FF2B5EF4-FFF2-40B4-BE49-F238E27FC236}">
              <a16:creationId xmlns:a16="http://schemas.microsoft.com/office/drawing/2014/main" xmlns="" id="{00000000-0008-0000-0300-0000B4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3" name="Rectangle 144">
          <a:extLst>
            <a:ext uri="{FF2B5EF4-FFF2-40B4-BE49-F238E27FC236}">
              <a16:creationId xmlns:a16="http://schemas.microsoft.com/office/drawing/2014/main" xmlns="" id="{00000000-0008-0000-0300-0000B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4" name="Rectangle 145">
          <a:extLst>
            <a:ext uri="{FF2B5EF4-FFF2-40B4-BE49-F238E27FC236}">
              <a16:creationId xmlns:a16="http://schemas.microsoft.com/office/drawing/2014/main" xmlns="" id="{00000000-0008-0000-0300-0000B6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5" name="Rectangle 146">
          <a:extLst>
            <a:ext uri="{FF2B5EF4-FFF2-40B4-BE49-F238E27FC236}">
              <a16:creationId xmlns:a16="http://schemas.microsoft.com/office/drawing/2014/main" xmlns="" id="{00000000-0008-0000-0300-0000B7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6" name="Rectangle 147">
          <a:extLst>
            <a:ext uri="{FF2B5EF4-FFF2-40B4-BE49-F238E27FC236}">
              <a16:creationId xmlns:a16="http://schemas.microsoft.com/office/drawing/2014/main" xmlns="" id="{00000000-0008-0000-0300-0000B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7" name="Rectangle 148">
          <a:extLst>
            <a:ext uri="{FF2B5EF4-FFF2-40B4-BE49-F238E27FC236}">
              <a16:creationId xmlns:a16="http://schemas.microsoft.com/office/drawing/2014/main" xmlns="" id="{00000000-0008-0000-0300-0000B9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8" name="Rectangle 149">
          <a:extLst>
            <a:ext uri="{FF2B5EF4-FFF2-40B4-BE49-F238E27FC236}">
              <a16:creationId xmlns:a16="http://schemas.microsoft.com/office/drawing/2014/main" xmlns="" id="{00000000-0008-0000-0300-0000BA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9" name="Rectangle 150">
          <a:extLst>
            <a:ext uri="{FF2B5EF4-FFF2-40B4-BE49-F238E27FC236}">
              <a16:creationId xmlns:a16="http://schemas.microsoft.com/office/drawing/2014/main" xmlns="" id="{00000000-0008-0000-0300-0000B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0" name="Rectangle 151">
          <a:extLst>
            <a:ext uri="{FF2B5EF4-FFF2-40B4-BE49-F238E27FC236}">
              <a16:creationId xmlns:a16="http://schemas.microsoft.com/office/drawing/2014/main" xmlns="" id="{00000000-0008-0000-0300-0000BC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1" name="Rectangle 152">
          <a:extLst>
            <a:ext uri="{FF2B5EF4-FFF2-40B4-BE49-F238E27FC236}">
              <a16:creationId xmlns:a16="http://schemas.microsoft.com/office/drawing/2014/main" xmlns="" id="{00000000-0008-0000-0300-0000BD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2" name="Rectangle 153">
          <a:extLst>
            <a:ext uri="{FF2B5EF4-FFF2-40B4-BE49-F238E27FC236}">
              <a16:creationId xmlns:a16="http://schemas.microsoft.com/office/drawing/2014/main" xmlns="" id="{00000000-0008-0000-0300-0000B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3" name="Rectangle 154">
          <a:extLst>
            <a:ext uri="{FF2B5EF4-FFF2-40B4-BE49-F238E27FC236}">
              <a16:creationId xmlns:a16="http://schemas.microsoft.com/office/drawing/2014/main" xmlns="" id="{00000000-0008-0000-0300-0000BF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4" name="Rectangle 155">
          <a:extLst>
            <a:ext uri="{FF2B5EF4-FFF2-40B4-BE49-F238E27FC236}">
              <a16:creationId xmlns:a16="http://schemas.microsoft.com/office/drawing/2014/main" xmlns="" id="{00000000-0008-0000-0300-0000C0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5" name="Rectangle 156">
          <a:extLst>
            <a:ext uri="{FF2B5EF4-FFF2-40B4-BE49-F238E27FC236}">
              <a16:creationId xmlns:a16="http://schemas.microsoft.com/office/drawing/2014/main" xmlns="" id="{00000000-0008-0000-0300-0000C1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6" name="Rectangle 157">
          <a:extLst>
            <a:ext uri="{FF2B5EF4-FFF2-40B4-BE49-F238E27FC236}">
              <a16:creationId xmlns:a16="http://schemas.microsoft.com/office/drawing/2014/main" xmlns="" id="{00000000-0008-0000-0300-0000C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7" name="Rectangle 158">
          <a:extLst>
            <a:ext uri="{FF2B5EF4-FFF2-40B4-BE49-F238E27FC236}">
              <a16:creationId xmlns:a16="http://schemas.microsoft.com/office/drawing/2014/main" xmlns="" id="{00000000-0008-0000-0300-0000C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8" name="Rectangle 159">
          <a:extLst>
            <a:ext uri="{FF2B5EF4-FFF2-40B4-BE49-F238E27FC236}">
              <a16:creationId xmlns:a16="http://schemas.microsoft.com/office/drawing/2014/main" xmlns="" id="{00000000-0008-0000-0300-0000C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9" name="Rectangle 160">
          <a:extLst>
            <a:ext uri="{FF2B5EF4-FFF2-40B4-BE49-F238E27FC236}">
              <a16:creationId xmlns:a16="http://schemas.microsoft.com/office/drawing/2014/main" xmlns="" id="{00000000-0008-0000-0300-0000C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0" name="Rectangle 161">
          <a:extLst>
            <a:ext uri="{FF2B5EF4-FFF2-40B4-BE49-F238E27FC236}">
              <a16:creationId xmlns:a16="http://schemas.microsoft.com/office/drawing/2014/main" xmlns="" id="{00000000-0008-0000-0300-0000C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1" name="Rectangle 162">
          <a:extLst>
            <a:ext uri="{FF2B5EF4-FFF2-40B4-BE49-F238E27FC236}">
              <a16:creationId xmlns:a16="http://schemas.microsoft.com/office/drawing/2014/main" xmlns="" id="{00000000-0008-0000-0300-0000C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2" name="Rectangle 163">
          <a:extLst>
            <a:ext uri="{FF2B5EF4-FFF2-40B4-BE49-F238E27FC236}">
              <a16:creationId xmlns:a16="http://schemas.microsoft.com/office/drawing/2014/main" xmlns="" id="{00000000-0008-0000-0300-0000C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3" name="Rectangle 164">
          <a:extLst>
            <a:ext uri="{FF2B5EF4-FFF2-40B4-BE49-F238E27FC236}">
              <a16:creationId xmlns:a16="http://schemas.microsoft.com/office/drawing/2014/main" xmlns="" id="{00000000-0008-0000-0300-0000C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4" name="Rectangle 165">
          <a:extLst>
            <a:ext uri="{FF2B5EF4-FFF2-40B4-BE49-F238E27FC236}">
              <a16:creationId xmlns:a16="http://schemas.microsoft.com/office/drawing/2014/main" xmlns="" id="{00000000-0008-0000-0300-0000C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5" name="Rectangle 166">
          <a:extLst>
            <a:ext uri="{FF2B5EF4-FFF2-40B4-BE49-F238E27FC236}">
              <a16:creationId xmlns:a16="http://schemas.microsoft.com/office/drawing/2014/main" xmlns="" id="{00000000-0008-0000-0300-0000C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6" name="Rectangle 167">
          <a:extLst>
            <a:ext uri="{FF2B5EF4-FFF2-40B4-BE49-F238E27FC236}">
              <a16:creationId xmlns:a16="http://schemas.microsoft.com/office/drawing/2014/main" xmlns="" id="{00000000-0008-0000-0300-0000C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7" name="Rectangle 168">
          <a:extLst>
            <a:ext uri="{FF2B5EF4-FFF2-40B4-BE49-F238E27FC236}">
              <a16:creationId xmlns:a16="http://schemas.microsoft.com/office/drawing/2014/main" xmlns="" id="{00000000-0008-0000-0300-0000C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8" name="Rectangle 169">
          <a:extLst>
            <a:ext uri="{FF2B5EF4-FFF2-40B4-BE49-F238E27FC236}">
              <a16:creationId xmlns:a16="http://schemas.microsoft.com/office/drawing/2014/main" xmlns="" id="{00000000-0008-0000-0300-0000C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9" name="Rectangle 170">
          <a:extLst>
            <a:ext uri="{FF2B5EF4-FFF2-40B4-BE49-F238E27FC236}">
              <a16:creationId xmlns:a16="http://schemas.microsoft.com/office/drawing/2014/main" xmlns="" id="{00000000-0008-0000-0300-0000C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0" name="Rectangle 171">
          <a:extLst>
            <a:ext uri="{FF2B5EF4-FFF2-40B4-BE49-F238E27FC236}">
              <a16:creationId xmlns:a16="http://schemas.microsoft.com/office/drawing/2014/main" xmlns="" id="{00000000-0008-0000-0300-0000D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01" name="Rectangle 172">
          <a:extLst>
            <a:ext uri="{FF2B5EF4-FFF2-40B4-BE49-F238E27FC236}">
              <a16:creationId xmlns:a16="http://schemas.microsoft.com/office/drawing/2014/main" xmlns="" id="{00000000-0008-0000-0300-0000D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2" name="Rectangle 173">
          <a:extLst>
            <a:ext uri="{FF2B5EF4-FFF2-40B4-BE49-F238E27FC236}">
              <a16:creationId xmlns:a16="http://schemas.microsoft.com/office/drawing/2014/main" xmlns="" id="{00000000-0008-0000-0300-0000D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3" name="Rectangle 174">
          <a:extLst>
            <a:ext uri="{FF2B5EF4-FFF2-40B4-BE49-F238E27FC236}">
              <a16:creationId xmlns:a16="http://schemas.microsoft.com/office/drawing/2014/main" xmlns="" id="{00000000-0008-0000-0300-0000D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4" name="Rectangle 175">
          <a:extLst>
            <a:ext uri="{FF2B5EF4-FFF2-40B4-BE49-F238E27FC236}">
              <a16:creationId xmlns:a16="http://schemas.microsoft.com/office/drawing/2014/main" xmlns="" id="{00000000-0008-0000-0300-0000D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5" name="Rectangle 176">
          <a:extLst>
            <a:ext uri="{FF2B5EF4-FFF2-40B4-BE49-F238E27FC236}">
              <a16:creationId xmlns:a16="http://schemas.microsoft.com/office/drawing/2014/main" xmlns="" id="{00000000-0008-0000-0300-0000D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6" name="Rectangle 177">
          <a:extLst>
            <a:ext uri="{FF2B5EF4-FFF2-40B4-BE49-F238E27FC236}">
              <a16:creationId xmlns:a16="http://schemas.microsoft.com/office/drawing/2014/main" xmlns="" id="{00000000-0008-0000-0300-0000D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7" name="Rectangle 178">
          <a:extLst>
            <a:ext uri="{FF2B5EF4-FFF2-40B4-BE49-F238E27FC236}">
              <a16:creationId xmlns:a16="http://schemas.microsoft.com/office/drawing/2014/main" xmlns="" id="{00000000-0008-0000-0300-0000D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8" name="Rectangle 179">
          <a:extLst>
            <a:ext uri="{FF2B5EF4-FFF2-40B4-BE49-F238E27FC236}">
              <a16:creationId xmlns:a16="http://schemas.microsoft.com/office/drawing/2014/main" xmlns="" id="{00000000-0008-0000-0300-0000D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9" name="Rectangle 180">
          <a:extLst>
            <a:ext uri="{FF2B5EF4-FFF2-40B4-BE49-F238E27FC236}">
              <a16:creationId xmlns:a16="http://schemas.microsoft.com/office/drawing/2014/main" xmlns="" id="{00000000-0008-0000-0300-0000D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0" name="Rectangle 181">
          <a:extLst>
            <a:ext uri="{FF2B5EF4-FFF2-40B4-BE49-F238E27FC236}">
              <a16:creationId xmlns:a16="http://schemas.microsoft.com/office/drawing/2014/main" xmlns="" id="{00000000-0008-0000-0300-0000D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1" name="Rectangle 182">
          <a:extLst>
            <a:ext uri="{FF2B5EF4-FFF2-40B4-BE49-F238E27FC236}">
              <a16:creationId xmlns:a16="http://schemas.microsoft.com/office/drawing/2014/main" xmlns="" id="{00000000-0008-0000-0300-0000D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2" name="Rectangle 183">
          <a:extLst>
            <a:ext uri="{FF2B5EF4-FFF2-40B4-BE49-F238E27FC236}">
              <a16:creationId xmlns:a16="http://schemas.microsoft.com/office/drawing/2014/main" xmlns="" id="{00000000-0008-0000-0300-0000D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3" name="Rectangle 184">
          <a:extLst>
            <a:ext uri="{FF2B5EF4-FFF2-40B4-BE49-F238E27FC236}">
              <a16:creationId xmlns:a16="http://schemas.microsoft.com/office/drawing/2014/main" xmlns="" id="{00000000-0008-0000-0300-0000D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4" name="Rectangle 185">
          <a:extLst>
            <a:ext uri="{FF2B5EF4-FFF2-40B4-BE49-F238E27FC236}">
              <a16:creationId xmlns:a16="http://schemas.microsoft.com/office/drawing/2014/main" xmlns="" id="{00000000-0008-0000-0300-0000D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5" name="Rectangle 186">
          <a:extLst>
            <a:ext uri="{FF2B5EF4-FFF2-40B4-BE49-F238E27FC236}">
              <a16:creationId xmlns:a16="http://schemas.microsoft.com/office/drawing/2014/main" xmlns="" id="{00000000-0008-0000-0300-0000D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6" name="Rectangle 187">
          <a:extLst>
            <a:ext uri="{FF2B5EF4-FFF2-40B4-BE49-F238E27FC236}">
              <a16:creationId xmlns:a16="http://schemas.microsoft.com/office/drawing/2014/main" xmlns="" id="{00000000-0008-0000-0300-0000E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7" name="Rectangle 188">
          <a:extLst>
            <a:ext uri="{FF2B5EF4-FFF2-40B4-BE49-F238E27FC236}">
              <a16:creationId xmlns:a16="http://schemas.microsoft.com/office/drawing/2014/main" xmlns="" id="{00000000-0008-0000-0300-0000E1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8" name="Rectangle 189">
          <a:extLst>
            <a:ext uri="{FF2B5EF4-FFF2-40B4-BE49-F238E27FC236}">
              <a16:creationId xmlns:a16="http://schemas.microsoft.com/office/drawing/2014/main" xmlns="" id="{00000000-0008-0000-0300-0000E2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9" name="Rectangle 190">
          <a:extLst>
            <a:ext uri="{FF2B5EF4-FFF2-40B4-BE49-F238E27FC236}">
              <a16:creationId xmlns:a16="http://schemas.microsoft.com/office/drawing/2014/main" xmlns="" id="{00000000-0008-0000-0300-0000E3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0" name="Rectangle 191">
          <a:extLst>
            <a:ext uri="{FF2B5EF4-FFF2-40B4-BE49-F238E27FC236}">
              <a16:creationId xmlns:a16="http://schemas.microsoft.com/office/drawing/2014/main" xmlns="" id="{00000000-0008-0000-0300-0000E4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1" name="Rectangle 192">
          <a:extLst>
            <a:ext uri="{FF2B5EF4-FFF2-40B4-BE49-F238E27FC236}">
              <a16:creationId xmlns:a16="http://schemas.microsoft.com/office/drawing/2014/main" xmlns="" id="{00000000-0008-0000-0300-0000E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2" name="Rectangle 193">
          <a:extLst>
            <a:ext uri="{FF2B5EF4-FFF2-40B4-BE49-F238E27FC236}">
              <a16:creationId xmlns:a16="http://schemas.microsoft.com/office/drawing/2014/main" xmlns="" id="{00000000-0008-0000-0300-0000E6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3" name="Rectangle 194">
          <a:extLst>
            <a:ext uri="{FF2B5EF4-FFF2-40B4-BE49-F238E27FC236}">
              <a16:creationId xmlns:a16="http://schemas.microsoft.com/office/drawing/2014/main" xmlns="" id="{00000000-0008-0000-0300-0000E7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4" name="Rectangle 195">
          <a:extLst>
            <a:ext uri="{FF2B5EF4-FFF2-40B4-BE49-F238E27FC236}">
              <a16:creationId xmlns:a16="http://schemas.microsoft.com/office/drawing/2014/main" xmlns="" id="{00000000-0008-0000-0300-0000E8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5" name="Rectangle 196">
          <a:extLst>
            <a:ext uri="{FF2B5EF4-FFF2-40B4-BE49-F238E27FC236}">
              <a16:creationId xmlns:a16="http://schemas.microsoft.com/office/drawing/2014/main" xmlns="" id="{00000000-0008-0000-0300-0000E9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6" name="Rectangle 197">
          <a:extLst>
            <a:ext uri="{FF2B5EF4-FFF2-40B4-BE49-F238E27FC236}">
              <a16:creationId xmlns:a16="http://schemas.microsoft.com/office/drawing/2014/main" xmlns="" id="{00000000-0008-0000-0300-0000EA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7" name="Rectangle 198">
          <a:extLst>
            <a:ext uri="{FF2B5EF4-FFF2-40B4-BE49-F238E27FC236}">
              <a16:creationId xmlns:a16="http://schemas.microsoft.com/office/drawing/2014/main" xmlns="" id="{00000000-0008-0000-0300-0000E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8" name="Rectangle 199">
          <a:extLst>
            <a:ext uri="{FF2B5EF4-FFF2-40B4-BE49-F238E27FC236}">
              <a16:creationId xmlns:a16="http://schemas.microsoft.com/office/drawing/2014/main" xmlns="" id="{00000000-0008-0000-0300-0000E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9" name="Rectangle 200">
          <a:extLst>
            <a:ext uri="{FF2B5EF4-FFF2-40B4-BE49-F238E27FC236}">
              <a16:creationId xmlns:a16="http://schemas.microsoft.com/office/drawing/2014/main" xmlns="" id="{00000000-0008-0000-0300-0000ED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0" name="Rectangle 201">
          <a:extLst>
            <a:ext uri="{FF2B5EF4-FFF2-40B4-BE49-F238E27FC236}">
              <a16:creationId xmlns:a16="http://schemas.microsoft.com/office/drawing/2014/main" xmlns="" id="{00000000-0008-0000-0300-0000EE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1" name="Rectangle 202">
          <a:extLst>
            <a:ext uri="{FF2B5EF4-FFF2-40B4-BE49-F238E27FC236}">
              <a16:creationId xmlns:a16="http://schemas.microsoft.com/office/drawing/2014/main" xmlns="" id="{00000000-0008-0000-0300-0000E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2" name="Rectangle 203">
          <a:extLst>
            <a:ext uri="{FF2B5EF4-FFF2-40B4-BE49-F238E27FC236}">
              <a16:creationId xmlns:a16="http://schemas.microsoft.com/office/drawing/2014/main" xmlns="" id="{00000000-0008-0000-0300-0000F0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3" name="Rectangle 204">
          <a:extLst>
            <a:ext uri="{FF2B5EF4-FFF2-40B4-BE49-F238E27FC236}">
              <a16:creationId xmlns:a16="http://schemas.microsoft.com/office/drawing/2014/main" xmlns="" id="{00000000-0008-0000-0300-0000F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4" name="Rectangle 205">
          <a:extLst>
            <a:ext uri="{FF2B5EF4-FFF2-40B4-BE49-F238E27FC236}">
              <a16:creationId xmlns:a16="http://schemas.microsoft.com/office/drawing/2014/main" xmlns="" id="{00000000-0008-0000-0300-0000F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5" name="Rectangle 206">
          <a:extLst>
            <a:ext uri="{FF2B5EF4-FFF2-40B4-BE49-F238E27FC236}">
              <a16:creationId xmlns:a16="http://schemas.microsoft.com/office/drawing/2014/main" xmlns="" id="{00000000-0008-0000-0300-0000F3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6" name="Rectangle 207">
          <a:extLst>
            <a:ext uri="{FF2B5EF4-FFF2-40B4-BE49-F238E27FC236}">
              <a16:creationId xmlns:a16="http://schemas.microsoft.com/office/drawing/2014/main" xmlns="" id="{00000000-0008-0000-0300-0000F4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7" name="Rectangle 208">
          <a:extLst>
            <a:ext uri="{FF2B5EF4-FFF2-40B4-BE49-F238E27FC236}">
              <a16:creationId xmlns:a16="http://schemas.microsoft.com/office/drawing/2014/main" xmlns="" id="{00000000-0008-0000-0300-0000F5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8" name="Rectangle 209">
          <a:extLst>
            <a:ext uri="{FF2B5EF4-FFF2-40B4-BE49-F238E27FC236}">
              <a16:creationId xmlns:a16="http://schemas.microsoft.com/office/drawing/2014/main" xmlns="" id="{00000000-0008-0000-0300-0000F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9" name="Rectangle 210">
          <a:extLst>
            <a:ext uri="{FF2B5EF4-FFF2-40B4-BE49-F238E27FC236}">
              <a16:creationId xmlns:a16="http://schemas.microsoft.com/office/drawing/2014/main" xmlns="" id="{00000000-0008-0000-0300-0000F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0" name="Rectangle 211">
          <a:extLst>
            <a:ext uri="{FF2B5EF4-FFF2-40B4-BE49-F238E27FC236}">
              <a16:creationId xmlns:a16="http://schemas.microsoft.com/office/drawing/2014/main" xmlns="" id="{00000000-0008-0000-0300-0000F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1" name="Rectangle 212">
          <a:extLst>
            <a:ext uri="{FF2B5EF4-FFF2-40B4-BE49-F238E27FC236}">
              <a16:creationId xmlns:a16="http://schemas.microsoft.com/office/drawing/2014/main" xmlns="" id="{00000000-0008-0000-0300-0000F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2" name="Rectangle 213">
          <a:extLst>
            <a:ext uri="{FF2B5EF4-FFF2-40B4-BE49-F238E27FC236}">
              <a16:creationId xmlns:a16="http://schemas.microsoft.com/office/drawing/2014/main" xmlns="" id="{00000000-0008-0000-0300-0000F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3" name="Rectangle 214">
          <a:extLst>
            <a:ext uri="{FF2B5EF4-FFF2-40B4-BE49-F238E27FC236}">
              <a16:creationId xmlns:a16="http://schemas.microsoft.com/office/drawing/2014/main" xmlns="" id="{00000000-0008-0000-0300-0000F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4" name="Rectangle 215">
          <a:extLst>
            <a:ext uri="{FF2B5EF4-FFF2-40B4-BE49-F238E27FC236}">
              <a16:creationId xmlns:a16="http://schemas.microsoft.com/office/drawing/2014/main" xmlns="" id="{00000000-0008-0000-0300-0000F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5" name="Rectangle 216">
          <a:extLst>
            <a:ext uri="{FF2B5EF4-FFF2-40B4-BE49-F238E27FC236}">
              <a16:creationId xmlns:a16="http://schemas.microsoft.com/office/drawing/2014/main" xmlns="" id="{00000000-0008-0000-0300-0000F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6" name="Rectangle 217">
          <a:extLst>
            <a:ext uri="{FF2B5EF4-FFF2-40B4-BE49-F238E27FC236}">
              <a16:creationId xmlns:a16="http://schemas.microsoft.com/office/drawing/2014/main" xmlns="" id="{00000000-0008-0000-0300-0000F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7" name="Rectangle 218">
          <a:extLst>
            <a:ext uri="{FF2B5EF4-FFF2-40B4-BE49-F238E27FC236}">
              <a16:creationId xmlns:a16="http://schemas.microsoft.com/office/drawing/2014/main" xmlns="" id="{00000000-0008-0000-0300-0000F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8" name="Rectangle 219">
          <a:extLst>
            <a:ext uri="{FF2B5EF4-FFF2-40B4-BE49-F238E27FC236}">
              <a16:creationId xmlns:a16="http://schemas.microsoft.com/office/drawing/2014/main" xmlns="" id="{00000000-0008-0000-0300-00000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9" name="Rectangle 220">
          <a:extLst>
            <a:ext uri="{FF2B5EF4-FFF2-40B4-BE49-F238E27FC236}">
              <a16:creationId xmlns:a16="http://schemas.microsoft.com/office/drawing/2014/main" xmlns="" id="{00000000-0008-0000-0300-000001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0" name="Rectangle 221">
          <a:extLst>
            <a:ext uri="{FF2B5EF4-FFF2-40B4-BE49-F238E27FC236}">
              <a16:creationId xmlns:a16="http://schemas.microsoft.com/office/drawing/2014/main" xmlns="" id="{00000000-0008-0000-0300-00000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1" name="Rectangle 222">
          <a:extLst>
            <a:ext uri="{FF2B5EF4-FFF2-40B4-BE49-F238E27FC236}">
              <a16:creationId xmlns:a16="http://schemas.microsoft.com/office/drawing/2014/main" xmlns="" id="{00000000-0008-0000-0300-00000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2" name="Rectangle 223">
          <a:extLst>
            <a:ext uri="{FF2B5EF4-FFF2-40B4-BE49-F238E27FC236}">
              <a16:creationId xmlns:a16="http://schemas.microsoft.com/office/drawing/2014/main" xmlns="" id="{00000000-0008-0000-0300-00000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3" name="Rectangle 224">
          <a:extLst>
            <a:ext uri="{FF2B5EF4-FFF2-40B4-BE49-F238E27FC236}">
              <a16:creationId xmlns:a16="http://schemas.microsoft.com/office/drawing/2014/main" xmlns="" id="{00000000-0008-0000-0300-000005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4" name="Rectangle 225">
          <a:extLst>
            <a:ext uri="{FF2B5EF4-FFF2-40B4-BE49-F238E27FC236}">
              <a16:creationId xmlns:a16="http://schemas.microsoft.com/office/drawing/2014/main" xmlns="" id="{00000000-0008-0000-0300-00000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5" name="Rectangle 226">
          <a:extLst>
            <a:ext uri="{FF2B5EF4-FFF2-40B4-BE49-F238E27FC236}">
              <a16:creationId xmlns:a16="http://schemas.microsoft.com/office/drawing/2014/main" xmlns="" id="{00000000-0008-0000-0300-000007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6" name="Rectangle 227">
          <a:extLst>
            <a:ext uri="{FF2B5EF4-FFF2-40B4-BE49-F238E27FC236}">
              <a16:creationId xmlns:a16="http://schemas.microsoft.com/office/drawing/2014/main" xmlns="" id="{00000000-0008-0000-0300-000008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7" name="Rectangle 228">
          <a:extLst>
            <a:ext uri="{FF2B5EF4-FFF2-40B4-BE49-F238E27FC236}">
              <a16:creationId xmlns:a16="http://schemas.microsoft.com/office/drawing/2014/main" xmlns="" id="{00000000-0008-0000-0300-00000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58" name="Rectangle 229">
          <a:extLst>
            <a:ext uri="{FF2B5EF4-FFF2-40B4-BE49-F238E27FC236}">
              <a16:creationId xmlns:a16="http://schemas.microsoft.com/office/drawing/2014/main" xmlns="" id="{00000000-0008-0000-0300-00000A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59" name="Rectangle 230">
          <a:extLst>
            <a:ext uri="{FF2B5EF4-FFF2-40B4-BE49-F238E27FC236}">
              <a16:creationId xmlns:a16="http://schemas.microsoft.com/office/drawing/2014/main" xmlns="" id="{00000000-0008-0000-0300-00000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0" name="Rectangle 231">
          <a:extLst>
            <a:ext uri="{FF2B5EF4-FFF2-40B4-BE49-F238E27FC236}">
              <a16:creationId xmlns:a16="http://schemas.microsoft.com/office/drawing/2014/main" xmlns="" id="{00000000-0008-0000-0300-00000C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1" name="Rectangle 232">
          <a:extLst>
            <a:ext uri="{FF2B5EF4-FFF2-40B4-BE49-F238E27FC236}">
              <a16:creationId xmlns:a16="http://schemas.microsoft.com/office/drawing/2014/main" xmlns="" id="{00000000-0008-0000-0300-00000D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2" name="Rectangle 233">
          <a:extLst>
            <a:ext uri="{FF2B5EF4-FFF2-40B4-BE49-F238E27FC236}">
              <a16:creationId xmlns:a16="http://schemas.microsoft.com/office/drawing/2014/main" xmlns="" id="{00000000-0008-0000-0300-00000E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3" name="Rectangle 234">
          <a:extLst>
            <a:ext uri="{FF2B5EF4-FFF2-40B4-BE49-F238E27FC236}">
              <a16:creationId xmlns:a16="http://schemas.microsoft.com/office/drawing/2014/main" xmlns="" id="{00000000-0008-0000-0300-00000F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4" name="Rectangle 235">
          <a:extLst>
            <a:ext uri="{FF2B5EF4-FFF2-40B4-BE49-F238E27FC236}">
              <a16:creationId xmlns:a16="http://schemas.microsoft.com/office/drawing/2014/main" xmlns="" id="{00000000-0008-0000-0300-000010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5" name="Rectangle 236">
          <a:extLst>
            <a:ext uri="{FF2B5EF4-FFF2-40B4-BE49-F238E27FC236}">
              <a16:creationId xmlns:a16="http://schemas.microsoft.com/office/drawing/2014/main" xmlns="" id="{00000000-0008-0000-0300-000011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6" name="Rectangle 237">
          <a:extLst>
            <a:ext uri="{FF2B5EF4-FFF2-40B4-BE49-F238E27FC236}">
              <a16:creationId xmlns:a16="http://schemas.microsoft.com/office/drawing/2014/main" xmlns="" id="{00000000-0008-0000-0300-000012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7" name="Rectangle 238">
          <a:extLst>
            <a:ext uri="{FF2B5EF4-FFF2-40B4-BE49-F238E27FC236}">
              <a16:creationId xmlns:a16="http://schemas.microsoft.com/office/drawing/2014/main" xmlns="" id="{00000000-0008-0000-0300-000013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8" name="Rectangle 239">
          <a:extLst>
            <a:ext uri="{FF2B5EF4-FFF2-40B4-BE49-F238E27FC236}">
              <a16:creationId xmlns:a16="http://schemas.microsoft.com/office/drawing/2014/main" xmlns="" id="{00000000-0008-0000-0300-000014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9" name="Rectangle 240">
          <a:extLst>
            <a:ext uri="{FF2B5EF4-FFF2-40B4-BE49-F238E27FC236}">
              <a16:creationId xmlns:a16="http://schemas.microsoft.com/office/drawing/2014/main" xmlns="" id="{00000000-0008-0000-0300-000015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0" name="Rectangle 241">
          <a:extLst>
            <a:ext uri="{FF2B5EF4-FFF2-40B4-BE49-F238E27FC236}">
              <a16:creationId xmlns:a16="http://schemas.microsoft.com/office/drawing/2014/main" xmlns="" id="{00000000-0008-0000-0300-000016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1" name="Rectangle 242">
          <a:extLst>
            <a:ext uri="{FF2B5EF4-FFF2-40B4-BE49-F238E27FC236}">
              <a16:creationId xmlns:a16="http://schemas.microsoft.com/office/drawing/2014/main" xmlns="" id="{00000000-0008-0000-0300-000017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2" name="Rectangle 243">
          <a:extLst>
            <a:ext uri="{FF2B5EF4-FFF2-40B4-BE49-F238E27FC236}">
              <a16:creationId xmlns:a16="http://schemas.microsoft.com/office/drawing/2014/main" xmlns="" id="{00000000-0008-0000-0300-000018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3" name="Rectangle 244">
          <a:extLst>
            <a:ext uri="{FF2B5EF4-FFF2-40B4-BE49-F238E27FC236}">
              <a16:creationId xmlns:a16="http://schemas.microsoft.com/office/drawing/2014/main" xmlns="" id="{00000000-0008-0000-0300-000019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4" name="Rectangle 245">
          <a:extLst>
            <a:ext uri="{FF2B5EF4-FFF2-40B4-BE49-F238E27FC236}">
              <a16:creationId xmlns:a16="http://schemas.microsoft.com/office/drawing/2014/main" xmlns="" id="{00000000-0008-0000-0300-00001A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5" name="Rectangle 246">
          <a:extLst>
            <a:ext uri="{FF2B5EF4-FFF2-40B4-BE49-F238E27FC236}">
              <a16:creationId xmlns:a16="http://schemas.microsoft.com/office/drawing/2014/main" xmlns="" id="{00000000-0008-0000-0300-00001B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6" name="Rectangle 247">
          <a:extLst>
            <a:ext uri="{FF2B5EF4-FFF2-40B4-BE49-F238E27FC236}">
              <a16:creationId xmlns:a16="http://schemas.microsoft.com/office/drawing/2014/main" xmlns="" id="{00000000-0008-0000-0300-00001C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7" name="Rectangle 248">
          <a:extLst>
            <a:ext uri="{FF2B5EF4-FFF2-40B4-BE49-F238E27FC236}">
              <a16:creationId xmlns:a16="http://schemas.microsoft.com/office/drawing/2014/main" xmlns="" id="{00000000-0008-0000-0300-00001D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8" name="Rectangle 249">
          <a:extLst>
            <a:ext uri="{FF2B5EF4-FFF2-40B4-BE49-F238E27FC236}">
              <a16:creationId xmlns:a16="http://schemas.microsoft.com/office/drawing/2014/main" xmlns="" id="{00000000-0008-0000-0300-00001E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9" name="Rectangle 250">
          <a:extLst>
            <a:ext uri="{FF2B5EF4-FFF2-40B4-BE49-F238E27FC236}">
              <a16:creationId xmlns:a16="http://schemas.microsoft.com/office/drawing/2014/main" xmlns="" id="{00000000-0008-0000-0300-00001F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0" name="Rectangle 251">
          <a:extLst>
            <a:ext uri="{FF2B5EF4-FFF2-40B4-BE49-F238E27FC236}">
              <a16:creationId xmlns:a16="http://schemas.microsoft.com/office/drawing/2014/main" xmlns="" id="{00000000-0008-0000-0300-000020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1" name="Rectangle 252">
          <a:extLst>
            <a:ext uri="{FF2B5EF4-FFF2-40B4-BE49-F238E27FC236}">
              <a16:creationId xmlns:a16="http://schemas.microsoft.com/office/drawing/2014/main" xmlns="" id="{00000000-0008-0000-0300-000021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2" name="Rectangle 253">
          <a:extLst>
            <a:ext uri="{FF2B5EF4-FFF2-40B4-BE49-F238E27FC236}">
              <a16:creationId xmlns:a16="http://schemas.microsoft.com/office/drawing/2014/main" xmlns="" id="{00000000-0008-0000-0300-000022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3" name="Rectangle 254">
          <a:extLst>
            <a:ext uri="{FF2B5EF4-FFF2-40B4-BE49-F238E27FC236}">
              <a16:creationId xmlns:a16="http://schemas.microsoft.com/office/drawing/2014/main" xmlns="" id="{00000000-0008-0000-0300-000023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4" name="Rectangle 255">
          <a:extLst>
            <a:ext uri="{FF2B5EF4-FFF2-40B4-BE49-F238E27FC236}">
              <a16:creationId xmlns:a16="http://schemas.microsoft.com/office/drawing/2014/main" xmlns="" id="{00000000-0008-0000-0300-000024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5" name="Rectangle 256">
          <a:extLst>
            <a:ext uri="{FF2B5EF4-FFF2-40B4-BE49-F238E27FC236}">
              <a16:creationId xmlns:a16="http://schemas.microsoft.com/office/drawing/2014/main" xmlns="" id="{00000000-0008-0000-0300-000025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6" name="Rectangle 257">
          <a:extLst>
            <a:ext uri="{FF2B5EF4-FFF2-40B4-BE49-F238E27FC236}">
              <a16:creationId xmlns:a16="http://schemas.microsoft.com/office/drawing/2014/main" xmlns="" id="{00000000-0008-0000-0300-000026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7" name="Rectangle 258">
          <a:extLst>
            <a:ext uri="{FF2B5EF4-FFF2-40B4-BE49-F238E27FC236}">
              <a16:creationId xmlns:a16="http://schemas.microsoft.com/office/drawing/2014/main" xmlns="" id="{00000000-0008-0000-0300-000027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8" name="Rectangle 259">
          <a:extLst>
            <a:ext uri="{FF2B5EF4-FFF2-40B4-BE49-F238E27FC236}">
              <a16:creationId xmlns:a16="http://schemas.microsoft.com/office/drawing/2014/main" xmlns="" id="{00000000-0008-0000-0300-000028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9" name="Rectangle 260">
          <a:extLst>
            <a:ext uri="{FF2B5EF4-FFF2-40B4-BE49-F238E27FC236}">
              <a16:creationId xmlns:a16="http://schemas.microsoft.com/office/drawing/2014/main" xmlns="" id="{00000000-0008-0000-0300-000029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90" name="Rectangle 261">
          <a:extLst>
            <a:ext uri="{FF2B5EF4-FFF2-40B4-BE49-F238E27FC236}">
              <a16:creationId xmlns:a16="http://schemas.microsoft.com/office/drawing/2014/main" xmlns="" id="{00000000-0008-0000-0300-00002A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91" name="Rectangle 262">
          <a:extLst>
            <a:ext uri="{FF2B5EF4-FFF2-40B4-BE49-F238E27FC236}">
              <a16:creationId xmlns:a16="http://schemas.microsoft.com/office/drawing/2014/main" xmlns="" id="{00000000-0008-0000-0300-00002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2" name="Rectangle 263">
          <a:extLst>
            <a:ext uri="{FF2B5EF4-FFF2-40B4-BE49-F238E27FC236}">
              <a16:creationId xmlns:a16="http://schemas.microsoft.com/office/drawing/2014/main" xmlns="" id="{00000000-0008-0000-0300-00002C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3" name="Rectangle 264">
          <a:extLst>
            <a:ext uri="{FF2B5EF4-FFF2-40B4-BE49-F238E27FC236}">
              <a16:creationId xmlns:a16="http://schemas.microsoft.com/office/drawing/2014/main" xmlns="" id="{00000000-0008-0000-0300-00002D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4" name="Rectangle 265">
          <a:extLst>
            <a:ext uri="{FF2B5EF4-FFF2-40B4-BE49-F238E27FC236}">
              <a16:creationId xmlns:a16="http://schemas.microsoft.com/office/drawing/2014/main" xmlns="" id="{00000000-0008-0000-0300-00002E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5" name="Rectangle 266">
          <a:extLst>
            <a:ext uri="{FF2B5EF4-FFF2-40B4-BE49-F238E27FC236}">
              <a16:creationId xmlns:a16="http://schemas.microsoft.com/office/drawing/2014/main" xmlns="" id="{00000000-0008-0000-0300-00002F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6" name="Rectangle 267">
          <a:extLst>
            <a:ext uri="{FF2B5EF4-FFF2-40B4-BE49-F238E27FC236}">
              <a16:creationId xmlns:a16="http://schemas.microsoft.com/office/drawing/2014/main" xmlns="" id="{00000000-0008-0000-0300-000030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7" name="Rectangle 268">
          <a:extLst>
            <a:ext uri="{FF2B5EF4-FFF2-40B4-BE49-F238E27FC236}">
              <a16:creationId xmlns:a16="http://schemas.microsoft.com/office/drawing/2014/main" xmlns="" id="{00000000-0008-0000-0300-000031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8" name="Rectangle 269">
          <a:extLst>
            <a:ext uri="{FF2B5EF4-FFF2-40B4-BE49-F238E27FC236}">
              <a16:creationId xmlns:a16="http://schemas.microsoft.com/office/drawing/2014/main" xmlns="" id="{00000000-0008-0000-0300-000032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9" name="Rectangle 270">
          <a:extLst>
            <a:ext uri="{FF2B5EF4-FFF2-40B4-BE49-F238E27FC236}">
              <a16:creationId xmlns:a16="http://schemas.microsoft.com/office/drawing/2014/main" xmlns="" id="{00000000-0008-0000-0300-000033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0" name="Rectangle 271">
          <a:extLst>
            <a:ext uri="{FF2B5EF4-FFF2-40B4-BE49-F238E27FC236}">
              <a16:creationId xmlns:a16="http://schemas.microsoft.com/office/drawing/2014/main" xmlns="" id="{00000000-0008-0000-0300-000034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1" name="Rectangle 272">
          <a:extLst>
            <a:ext uri="{FF2B5EF4-FFF2-40B4-BE49-F238E27FC236}">
              <a16:creationId xmlns:a16="http://schemas.microsoft.com/office/drawing/2014/main" xmlns="" id="{00000000-0008-0000-0300-000035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2" name="Rectangle 273">
          <a:extLst>
            <a:ext uri="{FF2B5EF4-FFF2-40B4-BE49-F238E27FC236}">
              <a16:creationId xmlns:a16="http://schemas.microsoft.com/office/drawing/2014/main" xmlns="" id="{00000000-0008-0000-0300-000036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3" name="Rectangle 274">
          <a:extLst>
            <a:ext uri="{FF2B5EF4-FFF2-40B4-BE49-F238E27FC236}">
              <a16:creationId xmlns:a16="http://schemas.microsoft.com/office/drawing/2014/main" xmlns="" id="{00000000-0008-0000-0300-000037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4" name="Rectangle 275">
          <a:extLst>
            <a:ext uri="{FF2B5EF4-FFF2-40B4-BE49-F238E27FC236}">
              <a16:creationId xmlns:a16="http://schemas.microsoft.com/office/drawing/2014/main" xmlns="" id="{00000000-0008-0000-0300-000038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5" name="Rectangle 276">
          <a:extLst>
            <a:ext uri="{FF2B5EF4-FFF2-40B4-BE49-F238E27FC236}">
              <a16:creationId xmlns:a16="http://schemas.microsoft.com/office/drawing/2014/main" xmlns="" id="{00000000-0008-0000-0300-000039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6" name="Rectangle 277">
          <a:extLst>
            <a:ext uri="{FF2B5EF4-FFF2-40B4-BE49-F238E27FC236}">
              <a16:creationId xmlns:a16="http://schemas.microsoft.com/office/drawing/2014/main" xmlns="" id="{00000000-0008-0000-0300-00003A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7" name="Rectangle 278">
          <a:extLst>
            <a:ext uri="{FF2B5EF4-FFF2-40B4-BE49-F238E27FC236}">
              <a16:creationId xmlns:a16="http://schemas.microsoft.com/office/drawing/2014/main" xmlns="" id="{00000000-0008-0000-0300-00003B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8" name="Rectangle 279">
          <a:extLst>
            <a:ext uri="{FF2B5EF4-FFF2-40B4-BE49-F238E27FC236}">
              <a16:creationId xmlns:a16="http://schemas.microsoft.com/office/drawing/2014/main" xmlns="" id="{00000000-0008-0000-0300-00003C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9" name="Rectangle 280">
          <a:extLst>
            <a:ext uri="{FF2B5EF4-FFF2-40B4-BE49-F238E27FC236}">
              <a16:creationId xmlns:a16="http://schemas.microsoft.com/office/drawing/2014/main" xmlns="" id="{00000000-0008-0000-0300-00003D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0" name="Rectangle 281">
          <a:extLst>
            <a:ext uri="{FF2B5EF4-FFF2-40B4-BE49-F238E27FC236}">
              <a16:creationId xmlns:a16="http://schemas.microsoft.com/office/drawing/2014/main" xmlns="" id="{00000000-0008-0000-0300-00003E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1" name="Rectangle 282">
          <a:extLst>
            <a:ext uri="{FF2B5EF4-FFF2-40B4-BE49-F238E27FC236}">
              <a16:creationId xmlns:a16="http://schemas.microsoft.com/office/drawing/2014/main" xmlns="" id="{00000000-0008-0000-0300-00003F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2" name="Rectangle 283">
          <a:extLst>
            <a:ext uri="{FF2B5EF4-FFF2-40B4-BE49-F238E27FC236}">
              <a16:creationId xmlns:a16="http://schemas.microsoft.com/office/drawing/2014/main" xmlns="" id="{00000000-0008-0000-0300-00004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3" name="Rectangle 284">
          <a:extLst>
            <a:ext uri="{FF2B5EF4-FFF2-40B4-BE49-F238E27FC236}">
              <a16:creationId xmlns:a16="http://schemas.microsoft.com/office/drawing/2014/main" xmlns="" id="{00000000-0008-0000-0300-000041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4" name="Rectangle 285">
          <a:extLst>
            <a:ext uri="{FF2B5EF4-FFF2-40B4-BE49-F238E27FC236}">
              <a16:creationId xmlns:a16="http://schemas.microsoft.com/office/drawing/2014/main" xmlns="" id="{00000000-0008-0000-0300-000042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5" name="Rectangle 286">
          <a:extLst>
            <a:ext uri="{FF2B5EF4-FFF2-40B4-BE49-F238E27FC236}">
              <a16:creationId xmlns:a16="http://schemas.microsoft.com/office/drawing/2014/main" xmlns="" id="{00000000-0008-0000-0300-00004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6" name="Rectangle 287">
          <a:extLst>
            <a:ext uri="{FF2B5EF4-FFF2-40B4-BE49-F238E27FC236}">
              <a16:creationId xmlns:a16="http://schemas.microsoft.com/office/drawing/2014/main" xmlns="" id="{00000000-0008-0000-0300-000044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7" name="Rectangle 288">
          <a:extLst>
            <a:ext uri="{FF2B5EF4-FFF2-40B4-BE49-F238E27FC236}">
              <a16:creationId xmlns:a16="http://schemas.microsoft.com/office/drawing/2014/main" xmlns="" id="{00000000-0008-0000-0300-00004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8" name="Rectangle 289">
          <a:extLst>
            <a:ext uri="{FF2B5EF4-FFF2-40B4-BE49-F238E27FC236}">
              <a16:creationId xmlns:a16="http://schemas.microsoft.com/office/drawing/2014/main" xmlns="" id="{00000000-0008-0000-0300-00004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9" name="Rectangle 290">
          <a:extLst>
            <a:ext uri="{FF2B5EF4-FFF2-40B4-BE49-F238E27FC236}">
              <a16:creationId xmlns:a16="http://schemas.microsoft.com/office/drawing/2014/main" xmlns="" id="{00000000-0008-0000-0300-000047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0" name="Rectangle 291">
          <a:extLst>
            <a:ext uri="{FF2B5EF4-FFF2-40B4-BE49-F238E27FC236}">
              <a16:creationId xmlns:a16="http://schemas.microsoft.com/office/drawing/2014/main" xmlns="" id="{00000000-0008-0000-0300-000048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1" name="Rectangle 292">
          <a:extLst>
            <a:ext uri="{FF2B5EF4-FFF2-40B4-BE49-F238E27FC236}">
              <a16:creationId xmlns:a16="http://schemas.microsoft.com/office/drawing/2014/main" xmlns="" id="{00000000-0008-0000-0300-00004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2" name="Rectangle 293">
          <a:extLst>
            <a:ext uri="{FF2B5EF4-FFF2-40B4-BE49-F238E27FC236}">
              <a16:creationId xmlns:a16="http://schemas.microsoft.com/office/drawing/2014/main" xmlns="" id="{00000000-0008-0000-0300-00004A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3" name="Rectangle 294">
          <a:extLst>
            <a:ext uri="{FF2B5EF4-FFF2-40B4-BE49-F238E27FC236}">
              <a16:creationId xmlns:a16="http://schemas.microsoft.com/office/drawing/2014/main" xmlns="" id="{00000000-0008-0000-0300-00004B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4" name="Rectangle 295">
          <a:extLst>
            <a:ext uri="{FF2B5EF4-FFF2-40B4-BE49-F238E27FC236}">
              <a16:creationId xmlns:a16="http://schemas.microsoft.com/office/drawing/2014/main" xmlns="" id="{00000000-0008-0000-0300-00004C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5" name="Rectangle 296">
          <a:extLst>
            <a:ext uri="{FF2B5EF4-FFF2-40B4-BE49-F238E27FC236}">
              <a16:creationId xmlns:a16="http://schemas.microsoft.com/office/drawing/2014/main" xmlns="" id="{00000000-0008-0000-0300-00004D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6" name="Rectangle 297">
          <a:extLst>
            <a:ext uri="{FF2B5EF4-FFF2-40B4-BE49-F238E27FC236}">
              <a16:creationId xmlns:a16="http://schemas.microsoft.com/office/drawing/2014/main" xmlns="" id="{00000000-0008-0000-0300-00004E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7" name="Rectangle 298">
          <a:extLst>
            <a:ext uri="{FF2B5EF4-FFF2-40B4-BE49-F238E27FC236}">
              <a16:creationId xmlns:a16="http://schemas.microsoft.com/office/drawing/2014/main" xmlns="" id="{00000000-0008-0000-0300-00004F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8" name="Rectangle 299">
          <a:extLst>
            <a:ext uri="{FF2B5EF4-FFF2-40B4-BE49-F238E27FC236}">
              <a16:creationId xmlns:a16="http://schemas.microsoft.com/office/drawing/2014/main" xmlns="" id="{00000000-0008-0000-0300-000050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9" name="Rectangle 300">
          <a:extLst>
            <a:ext uri="{FF2B5EF4-FFF2-40B4-BE49-F238E27FC236}">
              <a16:creationId xmlns:a16="http://schemas.microsoft.com/office/drawing/2014/main" xmlns="" id="{00000000-0008-0000-0300-000051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0" name="Rectangle 301">
          <a:extLst>
            <a:ext uri="{FF2B5EF4-FFF2-40B4-BE49-F238E27FC236}">
              <a16:creationId xmlns:a16="http://schemas.microsoft.com/office/drawing/2014/main" xmlns="" id="{00000000-0008-0000-0300-00005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1" name="Rectangle 302">
          <a:extLst>
            <a:ext uri="{FF2B5EF4-FFF2-40B4-BE49-F238E27FC236}">
              <a16:creationId xmlns:a16="http://schemas.microsoft.com/office/drawing/2014/main" xmlns="" id="{00000000-0008-0000-0300-000053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2" name="Rectangle 303">
          <a:extLst>
            <a:ext uri="{FF2B5EF4-FFF2-40B4-BE49-F238E27FC236}">
              <a16:creationId xmlns:a16="http://schemas.microsoft.com/office/drawing/2014/main" xmlns="" id="{00000000-0008-0000-0300-00005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3" name="Rectangle 304">
          <a:extLst>
            <a:ext uri="{FF2B5EF4-FFF2-40B4-BE49-F238E27FC236}">
              <a16:creationId xmlns:a16="http://schemas.microsoft.com/office/drawing/2014/main" xmlns="" id="{00000000-0008-0000-0300-00005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4" name="Rectangle 305">
          <a:extLst>
            <a:ext uri="{FF2B5EF4-FFF2-40B4-BE49-F238E27FC236}">
              <a16:creationId xmlns:a16="http://schemas.microsoft.com/office/drawing/2014/main" xmlns="" id="{00000000-0008-0000-0300-00005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5" name="Rectangle 306">
          <a:extLst>
            <a:ext uri="{FF2B5EF4-FFF2-40B4-BE49-F238E27FC236}">
              <a16:creationId xmlns:a16="http://schemas.microsoft.com/office/drawing/2014/main" xmlns="" id="{00000000-0008-0000-0300-000057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6" name="Rectangle 307">
          <a:extLst>
            <a:ext uri="{FF2B5EF4-FFF2-40B4-BE49-F238E27FC236}">
              <a16:creationId xmlns:a16="http://schemas.microsoft.com/office/drawing/2014/main" xmlns="" id="{00000000-0008-0000-0300-000058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7" name="Rectangle 308">
          <a:extLst>
            <a:ext uri="{FF2B5EF4-FFF2-40B4-BE49-F238E27FC236}">
              <a16:creationId xmlns:a16="http://schemas.microsoft.com/office/drawing/2014/main" xmlns="" id="{00000000-0008-0000-0300-000059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8" name="Rectangle 309">
          <a:extLst>
            <a:ext uri="{FF2B5EF4-FFF2-40B4-BE49-F238E27FC236}">
              <a16:creationId xmlns:a16="http://schemas.microsoft.com/office/drawing/2014/main" xmlns="" id="{00000000-0008-0000-0300-00005A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9" name="Rectangle 310">
          <a:extLst>
            <a:ext uri="{FF2B5EF4-FFF2-40B4-BE49-F238E27FC236}">
              <a16:creationId xmlns:a16="http://schemas.microsoft.com/office/drawing/2014/main" xmlns="" id="{00000000-0008-0000-0300-00005B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0" name="Rectangle 311">
          <a:extLst>
            <a:ext uri="{FF2B5EF4-FFF2-40B4-BE49-F238E27FC236}">
              <a16:creationId xmlns:a16="http://schemas.microsoft.com/office/drawing/2014/main" xmlns="" id="{00000000-0008-0000-0300-00005C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1" name="Rectangle 312">
          <a:extLst>
            <a:ext uri="{FF2B5EF4-FFF2-40B4-BE49-F238E27FC236}">
              <a16:creationId xmlns:a16="http://schemas.microsoft.com/office/drawing/2014/main" xmlns="" id="{00000000-0008-0000-0300-00005D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2" name="Rectangle 313">
          <a:extLst>
            <a:ext uri="{FF2B5EF4-FFF2-40B4-BE49-F238E27FC236}">
              <a16:creationId xmlns:a16="http://schemas.microsoft.com/office/drawing/2014/main" xmlns="" id="{00000000-0008-0000-0300-00005E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3" name="Rectangle 314">
          <a:extLst>
            <a:ext uri="{FF2B5EF4-FFF2-40B4-BE49-F238E27FC236}">
              <a16:creationId xmlns:a16="http://schemas.microsoft.com/office/drawing/2014/main" xmlns="" id="{00000000-0008-0000-0300-00005F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4" name="Rectangle 315">
          <a:extLst>
            <a:ext uri="{FF2B5EF4-FFF2-40B4-BE49-F238E27FC236}">
              <a16:creationId xmlns:a16="http://schemas.microsoft.com/office/drawing/2014/main" xmlns="" id="{00000000-0008-0000-0300-000060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5" name="Rectangle 316">
          <a:extLst>
            <a:ext uri="{FF2B5EF4-FFF2-40B4-BE49-F238E27FC236}">
              <a16:creationId xmlns:a16="http://schemas.microsoft.com/office/drawing/2014/main" xmlns="" id="{00000000-0008-0000-0300-000061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6" name="Rectangle 317">
          <a:extLst>
            <a:ext uri="{FF2B5EF4-FFF2-40B4-BE49-F238E27FC236}">
              <a16:creationId xmlns:a16="http://schemas.microsoft.com/office/drawing/2014/main" xmlns="" id="{00000000-0008-0000-0300-000062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7" name="Rectangle 318">
          <a:extLst>
            <a:ext uri="{FF2B5EF4-FFF2-40B4-BE49-F238E27FC236}">
              <a16:creationId xmlns:a16="http://schemas.microsoft.com/office/drawing/2014/main" xmlns="" id="{00000000-0008-0000-0300-000063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48" name="Rectangle 1">
          <a:extLst>
            <a:ext uri="{FF2B5EF4-FFF2-40B4-BE49-F238E27FC236}">
              <a16:creationId xmlns:a16="http://schemas.microsoft.com/office/drawing/2014/main" xmlns="" id="{00000000-0008-0000-0300-000064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49" name="Rectangle 2">
          <a:extLst>
            <a:ext uri="{FF2B5EF4-FFF2-40B4-BE49-F238E27FC236}">
              <a16:creationId xmlns:a16="http://schemas.microsoft.com/office/drawing/2014/main" xmlns="" id="{00000000-0008-0000-0300-000065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0" name="Rectangle 3">
          <a:extLst>
            <a:ext uri="{FF2B5EF4-FFF2-40B4-BE49-F238E27FC236}">
              <a16:creationId xmlns:a16="http://schemas.microsoft.com/office/drawing/2014/main" xmlns="" id="{00000000-0008-0000-0300-000066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1" name="Rectangle 4">
          <a:extLst>
            <a:ext uri="{FF2B5EF4-FFF2-40B4-BE49-F238E27FC236}">
              <a16:creationId xmlns:a16="http://schemas.microsoft.com/office/drawing/2014/main" xmlns="" id="{00000000-0008-0000-0300-000067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2" name="Rectangle 5">
          <a:extLst>
            <a:ext uri="{FF2B5EF4-FFF2-40B4-BE49-F238E27FC236}">
              <a16:creationId xmlns:a16="http://schemas.microsoft.com/office/drawing/2014/main" xmlns="" id="{00000000-0008-0000-0300-000068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3" name="Rectangle 6">
          <a:extLst>
            <a:ext uri="{FF2B5EF4-FFF2-40B4-BE49-F238E27FC236}">
              <a16:creationId xmlns:a16="http://schemas.microsoft.com/office/drawing/2014/main" xmlns="" id="{00000000-0008-0000-0300-000069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4" name="Rectangle 7">
          <a:extLst>
            <a:ext uri="{FF2B5EF4-FFF2-40B4-BE49-F238E27FC236}">
              <a16:creationId xmlns:a16="http://schemas.microsoft.com/office/drawing/2014/main" xmlns="" id="{00000000-0008-0000-0300-00006A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5" name="Rectangle 8">
          <a:extLst>
            <a:ext uri="{FF2B5EF4-FFF2-40B4-BE49-F238E27FC236}">
              <a16:creationId xmlns:a16="http://schemas.microsoft.com/office/drawing/2014/main" xmlns="" id="{00000000-0008-0000-0300-00006B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6" name="Rectangle 9">
          <a:extLst>
            <a:ext uri="{FF2B5EF4-FFF2-40B4-BE49-F238E27FC236}">
              <a16:creationId xmlns:a16="http://schemas.microsoft.com/office/drawing/2014/main" xmlns="" id="{00000000-0008-0000-0300-00006C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7" name="Rectangle 10">
          <a:extLst>
            <a:ext uri="{FF2B5EF4-FFF2-40B4-BE49-F238E27FC236}">
              <a16:creationId xmlns:a16="http://schemas.microsoft.com/office/drawing/2014/main" xmlns="" id="{00000000-0008-0000-0300-00006D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8" name="Rectangle 11">
          <a:extLst>
            <a:ext uri="{FF2B5EF4-FFF2-40B4-BE49-F238E27FC236}">
              <a16:creationId xmlns:a16="http://schemas.microsoft.com/office/drawing/2014/main" xmlns="" id="{00000000-0008-0000-0300-00006E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9" name="Rectangle 12">
          <a:extLst>
            <a:ext uri="{FF2B5EF4-FFF2-40B4-BE49-F238E27FC236}">
              <a16:creationId xmlns:a16="http://schemas.microsoft.com/office/drawing/2014/main" xmlns="" id="{00000000-0008-0000-0300-00006F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0" name="Rectangle 13">
          <a:extLst>
            <a:ext uri="{FF2B5EF4-FFF2-40B4-BE49-F238E27FC236}">
              <a16:creationId xmlns:a16="http://schemas.microsoft.com/office/drawing/2014/main" xmlns="" id="{00000000-0008-0000-0300-000070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1" name="Rectangle 14">
          <a:extLst>
            <a:ext uri="{FF2B5EF4-FFF2-40B4-BE49-F238E27FC236}">
              <a16:creationId xmlns:a16="http://schemas.microsoft.com/office/drawing/2014/main" xmlns="" id="{00000000-0008-0000-0300-000071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2" name="Rectangle 15">
          <a:extLst>
            <a:ext uri="{FF2B5EF4-FFF2-40B4-BE49-F238E27FC236}">
              <a16:creationId xmlns:a16="http://schemas.microsoft.com/office/drawing/2014/main" xmlns="" id="{00000000-0008-0000-0300-000072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3" name="Rectangle 16">
          <a:extLst>
            <a:ext uri="{FF2B5EF4-FFF2-40B4-BE49-F238E27FC236}">
              <a16:creationId xmlns:a16="http://schemas.microsoft.com/office/drawing/2014/main" xmlns="" id="{00000000-0008-0000-0300-000073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4" name="Rectangle 17">
          <a:extLst>
            <a:ext uri="{FF2B5EF4-FFF2-40B4-BE49-F238E27FC236}">
              <a16:creationId xmlns:a16="http://schemas.microsoft.com/office/drawing/2014/main" xmlns="" id="{00000000-0008-0000-0300-000074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5" name="Rectangle 18">
          <a:extLst>
            <a:ext uri="{FF2B5EF4-FFF2-40B4-BE49-F238E27FC236}">
              <a16:creationId xmlns:a16="http://schemas.microsoft.com/office/drawing/2014/main" xmlns="" id="{00000000-0008-0000-0300-000075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6" name="Rectangle 19">
          <a:extLst>
            <a:ext uri="{FF2B5EF4-FFF2-40B4-BE49-F238E27FC236}">
              <a16:creationId xmlns:a16="http://schemas.microsoft.com/office/drawing/2014/main" xmlns="" id="{00000000-0008-0000-0300-000076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7" name="Rectangle 20">
          <a:extLst>
            <a:ext uri="{FF2B5EF4-FFF2-40B4-BE49-F238E27FC236}">
              <a16:creationId xmlns:a16="http://schemas.microsoft.com/office/drawing/2014/main" xmlns="" id="{00000000-0008-0000-0300-000077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8" name="Rectangle 21">
          <a:extLst>
            <a:ext uri="{FF2B5EF4-FFF2-40B4-BE49-F238E27FC236}">
              <a16:creationId xmlns:a16="http://schemas.microsoft.com/office/drawing/2014/main" xmlns="" id="{00000000-0008-0000-0300-000078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9" name="Rectangle 22">
          <a:extLst>
            <a:ext uri="{FF2B5EF4-FFF2-40B4-BE49-F238E27FC236}">
              <a16:creationId xmlns:a16="http://schemas.microsoft.com/office/drawing/2014/main" xmlns="" id="{00000000-0008-0000-0300-000079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0" name="Rectangle 23">
          <a:extLst>
            <a:ext uri="{FF2B5EF4-FFF2-40B4-BE49-F238E27FC236}">
              <a16:creationId xmlns:a16="http://schemas.microsoft.com/office/drawing/2014/main" xmlns="" id="{00000000-0008-0000-0300-00007A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1" name="Rectangle 24">
          <a:extLst>
            <a:ext uri="{FF2B5EF4-FFF2-40B4-BE49-F238E27FC236}">
              <a16:creationId xmlns:a16="http://schemas.microsoft.com/office/drawing/2014/main" xmlns="" id="{00000000-0008-0000-0300-00007B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2" name="Rectangle 25">
          <a:extLst>
            <a:ext uri="{FF2B5EF4-FFF2-40B4-BE49-F238E27FC236}">
              <a16:creationId xmlns:a16="http://schemas.microsoft.com/office/drawing/2014/main" xmlns="" id="{00000000-0008-0000-0300-00007C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3" name="Rectangle 26">
          <a:extLst>
            <a:ext uri="{FF2B5EF4-FFF2-40B4-BE49-F238E27FC236}">
              <a16:creationId xmlns:a16="http://schemas.microsoft.com/office/drawing/2014/main" xmlns="" id="{00000000-0008-0000-0300-00007D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4" name="Rectangle 27">
          <a:extLst>
            <a:ext uri="{FF2B5EF4-FFF2-40B4-BE49-F238E27FC236}">
              <a16:creationId xmlns:a16="http://schemas.microsoft.com/office/drawing/2014/main" xmlns="" id="{00000000-0008-0000-0300-00007E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5" name="Rectangle 28">
          <a:extLst>
            <a:ext uri="{FF2B5EF4-FFF2-40B4-BE49-F238E27FC236}">
              <a16:creationId xmlns:a16="http://schemas.microsoft.com/office/drawing/2014/main" xmlns="" id="{00000000-0008-0000-0300-00007F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6" name="Rectangle 29">
          <a:extLst>
            <a:ext uri="{FF2B5EF4-FFF2-40B4-BE49-F238E27FC236}">
              <a16:creationId xmlns:a16="http://schemas.microsoft.com/office/drawing/2014/main" xmlns="" id="{00000000-0008-0000-0300-000080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7" name="Rectangle 30">
          <a:extLst>
            <a:ext uri="{FF2B5EF4-FFF2-40B4-BE49-F238E27FC236}">
              <a16:creationId xmlns:a16="http://schemas.microsoft.com/office/drawing/2014/main" xmlns="" id="{00000000-0008-0000-0300-000081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8" name="Rectangle 31">
          <a:extLst>
            <a:ext uri="{FF2B5EF4-FFF2-40B4-BE49-F238E27FC236}">
              <a16:creationId xmlns:a16="http://schemas.microsoft.com/office/drawing/2014/main" xmlns="" id="{00000000-0008-0000-0300-000082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9" name="Rectangle 32">
          <a:extLst>
            <a:ext uri="{FF2B5EF4-FFF2-40B4-BE49-F238E27FC236}">
              <a16:creationId xmlns:a16="http://schemas.microsoft.com/office/drawing/2014/main" xmlns="" id="{00000000-0008-0000-0300-000083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80" name="Rectangle 33">
          <a:extLst>
            <a:ext uri="{FF2B5EF4-FFF2-40B4-BE49-F238E27FC236}">
              <a16:creationId xmlns:a16="http://schemas.microsoft.com/office/drawing/2014/main" xmlns="" id="{00000000-0008-0000-0300-000084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1" name="Rectangle 34">
          <a:extLst>
            <a:ext uri="{FF2B5EF4-FFF2-40B4-BE49-F238E27FC236}">
              <a16:creationId xmlns:a16="http://schemas.microsoft.com/office/drawing/2014/main" xmlns="" id="{00000000-0008-0000-0300-000085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2" name="Rectangle 35">
          <a:extLst>
            <a:ext uri="{FF2B5EF4-FFF2-40B4-BE49-F238E27FC236}">
              <a16:creationId xmlns:a16="http://schemas.microsoft.com/office/drawing/2014/main" xmlns="" id="{00000000-0008-0000-0300-000086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3" name="Rectangle 36">
          <a:extLst>
            <a:ext uri="{FF2B5EF4-FFF2-40B4-BE49-F238E27FC236}">
              <a16:creationId xmlns:a16="http://schemas.microsoft.com/office/drawing/2014/main" xmlns="" id="{00000000-0008-0000-0300-000087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4" name="Rectangle 37">
          <a:extLst>
            <a:ext uri="{FF2B5EF4-FFF2-40B4-BE49-F238E27FC236}">
              <a16:creationId xmlns:a16="http://schemas.microsoft.com/office/drawing/2014/main" xmlns="" id="{00000000-0008-0000-0300-000088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5" name="Rectangle 38">
          <a:extLst>
            <a:ext uri="{FF2B5EF4-FFF2-40B4-BE49-F238E27FC236}">
              <a16:creationId xmlns:a16="http://schemas.microsoft.com/office/drawing/2014/main" xmlns="" id="{00000000-0008-0000-0300-000089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6" name="Rectangle 39">
          <a:extLst>
            <a:ext uri="{FF2B5EF4-FFF2-40B4-BE49-F238E27FC236}">
              <a16:creationId xmlns:a16="http://schemas.microsoft.com/office/drawing/2014/main" xmlns="" id="{00000000-0008-0000-0300-00008A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7" name="Rectangle 40">
          <a:extLst>
            <a:ext uri="{FF2B5EF4-FFF2-40B4-BE49-F238E27FC236}">
              <a16:creationId xmlns:a16="http://schemas.microsoft.com/office/drawing/2014/main" xmlns="" id="{00000000-0008-0000-0300-00008B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8" name="Rectangle 41">
          <a:extLst>
            <a:ext uri="{FF2B5EF4-FFF2-40B4-BE49-F238E27FC236}">
              <a16:creationId xmlns:a16="http://schemas.microsoft.com/office/drawing/2014/main" xmlns="" id="{00000000-0008-0000-0300-00008C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9" name="Rectangle 42">
          <a:extLst>
            <a:ext uri="{FF2B5EF4-FFF2-40B4-BE49-F238E27FC236}">
              <a16:creationId xmlns:a16="http://schemas.microsoft.com/office/drawing/2014/main" xmlns="" id="{00000000-0008-0000-0300-00008D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0" name="Rectangle 43">
          <a:extLst>
            <a:ext uri="{FF2B5EF4-FFF2-40B4-BE49-F238E27FC236}">
              <a16:creationId xmlns:a16="http://schemas.microsoft.com/office/drawing/2014/main" xmlns="" id="{00000000-0008-0000-0300-00008E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1" name="Rectangle 44">
          <a:extLst>
            <a:ext uri="{FF2B5EF4-FFF2-40B4-BE49-F238E27FC236}">
              <a16:creationId xmlns:a16="http://schemas.microsoft.com/office/drawing/2014/main" xmlns="" id="{00000000-0008-0000-0300-00008F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2" name="Rectangle 45">
          <a:extLst>
            <a:ext uri="{FF2B5EF4-FFF2-40B4-BE49-F238E27FC236}">
              <a16:creationId xmlns:a16="http://schemas.microsoft.com/office/drawing/2014/main" xmlns="" id="{00000000-0008-0000-0300-000090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3" name="Rectangle 46">
          <a:extLst>
            <a:ext uri="{FF2B5EF4-FFF2-40B4-BE49-F238E27FC236}">
              <a16:creationId xmlns:a16="http://schemas.microsoft.com/office/drawing/2014/main" xmlns="" id="{00000000-0008-0000-0300-000091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4" name="Rectangle 47">
          <a:extLst>
            <a:ext uri="{FF2B5EF4-FFF2-40B4-BE49-F238E27FC236}">
              <a16:creationId xmlns:a16="http://schemas.microsoft.com/office/drawing/2014/main" xmlns="" id="{00000000-0008-0000-0300-00009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5" name="Rectangle 48">
          <a:extLst>
            <a:ext uri="{FF2B5EF4-FFF2-40B4-BE49-F238E27FC236}">
              <a16:creationId xmlns:a16="http://schemas.microsoft.com/office/drawing/2014/main" xmlns="" id="{00000000-0008-0000-0300-000093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6" name="Rectangle 49">
          <a:extLst>
            <a:ext uri="{FF2B5EF4-FFF2-40B4-BE49-F238E27FC236}">
              <a16:creationId xmlns:a16="http://schemas.microsoft.com/office/drawing/2014/main" xmlns="" id="{00000000-0008-0000-0300-000094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7" name="Rectangle 50">
          <a:extLst>
            <a:ext uri="{FF2B5EF4-FFF2-40B4-BE49-F238E27FC236}">
              <a16:creationId xmlns:a16="http://schemas.microsoft.com/office/drawing/2014/main" xmlns="" id="{00000000-0008-0000-0300-000095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8" name="Rectangle 51">
          <a:extLst>
            <a:ext uri="{FF2B5EF4-FFF2-40B4-BE49-F238E27FC236}">
              <a16:creationId xmlns:a16="http://schemas.microsoft.com/office/drawing/2014/main" xmlns="" id="{00000000-0008-0000-0300-000096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9" name="Rectangle 52">
          <a:extLst>
            <a:ext uri="{FF2B5EF4-FFF2-40B4-BE49-F238E27FC236}">
              <a16:creationId xmlns:a16="http://schemas.microsoft.com/office/drawing/2014/main" xmlns="" id="{00000000-0008-0000-0300-000097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0" name="Rectangle 53">
          <a:extLst>
            <a:ext uri="{FF2B5EF4-FFF2-40B4-BE49-F238E27FC236}">
              <a16:creationId xmlns:a16="http://schemas.microsoft.com/office/drawing/2014/main" xmlns="" id="{00000000-0008-0000-0300-000098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1" name="Rectangle 54">
          <a:extLst>
            <a:ext uri="{FF2B5EF4-FFF2-40B4-BE49-F238E27FC236}">
              <a16:creationId xmlns:a16="http://schemas.microsoft.com/office/drawing/2014/main" xmlns="" id="{00000000-0008-0000-0300-000099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2" name="Rectangle 55">
          <a:extLst>
            <a:ext uri="{FF2B5EF4-FFF2-40B4-BE49-F238E27FC236}">
              <a16:creationId xmlns:a16="http://schemas.microsoft.com/office/drawing/2014/main" xmlns="" id="{00000000-0008-0000-0300-00009A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3" name="Rectangle 56">
          <a:extLst>
            <a:ext uri="{FF2B5EF4-FFF2-40B4-BE49-F238E27FC236}">
              <a16:creationId xmlns:a16="http://schemas.microsoft.com/office/drawing/2014/main" xmlns="" id="{00000000-0008-0000-0300-00009B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4" name="Rectangle 57">
          <a:extLst>
            <a:ext uri="{FF2B5EF4-FFF2-40B4-BE49-F238E27FC236}">
              <a16:creationId xmlns:a16="http://schemas.microsoft.com/office/drawing/2014/main" xmlns="" id="{00000000-0008-0000-0300-00009C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5" name="Rectangle 58">
          <a:extLst>
            <a:ext uri="{FF2B5EF4-FFF2-40B4-BE49-F238E27FC236}">
              <a16:creationId xmlns:a16="http://schemas.microsoft.com/office/drawing/2014/main" xmlns="" id="{00000000-0008-0000-0300-00009D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6" name="Rectangle 59">
          <a:extLst>
            <a:ext uri="{FF2B5EF4-FFF2-40B4-BE49-F238E27FC236}">
              <a16:creationId xmlns:a16="http://schemas.microsoft.com/office/drawing/2014/main" xmlns="" id="{00000000-0008-0000-0300-00009E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7" name="Rectangle 60">
          <a:extLst>
            <a:ext uri="{FF2B5EF4-FFF2-40B4-BE49-F238E27FC236}">
              <a16:creationId xmlns:a16="http://schemas.microsoft.com/office/drawing/2014/main" xmlns="" id="{00000000-0008-0000-0300-00009F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8" name="Rectangle 61">
          <a:extLst>
            <a:ext uri="{FF2B5EF4-FFF2-40B4-BE49-F238E27FC236}">
              <a16:creationId xmlns:a16="http://schemas.microsoft.com/office/drawing/2014/main" xmlns="" id="{00000000-0008-0000-0300-0000A0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9" name="Rectangle 62">
          <a:extLst>
            <a:ext uri="{FF2B5EF4-FFF2-40B4-BE49-F238E27FC236}">
              <a16:creationId xmlns:a16="http://schemas.microsoft.com/office/drawing/2014/main" xmlns="" id="{00000000-0008-0000-0300-0000A1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0" name="Rectangle 63">
          <a:extLst>
            <a:ext uri="{FF2B5EF4-FFF2-40B4-BE49-F238E27FC236}">
              <a16:creationId xmlns:a16="http://schemas.microsoft.com/office/drawing/2014/main" xmlns="" id="{00000000-0008-0000-0300-0000A2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1" name="Rectangle 64">
          <a:extLst>
            <a:ext uri="{FF2B5EF4-FFF2-40B4-BE49-F238E27FC236}">
              <a16:creationId xmlns:a16="http://schemas.microsoft.com/office/drawing/2014/main" xmlns="" id="{00000000-0008-0000-0300-0000A3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2" name="Rectangle 65">
          <a:extLst>
            <a:ext uri="{FF2B5EF4-FFF2-40B4-BE49-F238E27FC236}">
              <a16:creationId xmlns:a16="http://schemas.microsoft.com/office/drawing/2014/main" xmlns="" id="{00000000-0008-0000-0300-0000A4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3" name="Rectangle 66">
          <a:extLst>
            <a:ext uri="{FF2B5EF4-FFF2-40B4-BE49-F238E27FC236}">
              <a16:creationId xmlns:a16="http://schemas.microsoft.com/office/drawing/2014/main" xmlns="" id="{00000000-0008-0000-0300-0000A5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4" name="Rectangle 67">
          <a:extLst>
            <a:ext uri="{FF2B5EF4-FFF2-40B4-BE49-F238E27FC236}">
              <a16:creationId xmlns:a16="http://schemas.microsoft.com/office/drawing/2014/main" xmlns="" id="{00000000-0008-0000-0300-0000A6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5" name="Rectangle 68">
          <a:extLst>
            <a:ext uri="{FF2B5EF4-FFF2-40B4-BE49-F238E27FC236}">
              <a16:creationId xmlns:a16="http://schemas.microsoft.com/office/drawing/2014/main" xmlns="" id="{00000000-0008-0000-0300-0000A7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6" name="Rectangle 69">
          <a:extLst>
            <a:ext uri="{FF2B5EF4-FFF2-40B4-BE49-F238E27FC236}">
              <a16:creationId xmlns:a16="http://schemas.microsoft.com/office/drawing/2014/main" xmlns="" id="{00000000-0008-0000-0300-0000A8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7" name="Rectangle 70">
          <a:extLst>
            <a:ext uri="{FF2B5EF4-FFF2-40B4-BE49-F238E27FC236}">
              <a16:creationId xmlns:a16="http://schemas.microsoft.com/office/drawing/2014/main" xmlns="" id="{00000000-0008-0000-0300-0000A9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8" name="Rectangle 71">
          <a:extLst>
            <a:ext uri="{FF2B5EF4-FFF2-40B4-BE49-F238E27FC236}">
              <a16:creationId xmlns:a16="http://schemas.microsoft.com/office/drawing/2014/main" xmlns="" id="{00000000-0008-0000-0300-0000AA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9" name="Rectangle 72">
          <a:extLst>
            <a:ext uri="{FF2B5EF4-FFF2-40B4-BE49-F238E27FC236}">
              <a16:creationId xmlns:a16="http://schemas.microsoft.com/office/drawing/2014/main" xmlns="" id="{00000000-0008-0000-0300-0000AB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0" name="Rectangle 73">
          <a:extLst>
            <a:ext uri="{FF2B5EF4-FFF2-40B4-BE49-F238E27FC236}">
              <a16:creationId xmlns:a16="http://schemas.microsoft.com/office/drawing/2014/main" xmlns="" id="{00000000-0008-0000-0300-0000AC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1" name="Rectangle 74">
          <a:extLst>
            <a:ext uri="{FF2B5EF4-FFF2-40B4-BE49-F238E27FC236}">
              <a16:creationId xmlns:a16="http://schemas.microsoft.com/office/drawing/2014/main" xmlns="" id="{00000000-0008-0000-0300-0000AD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2" name="Rectangle 75">
          <a:extLst>
            <a:ext uri="{FF2B5EF4-FFF2-40B4-BE49-F238E27FC236}">
              <a16:creationId xmlns:a16="http://schemas.microsoft.com/office/drawing/2014/main" xmlns="" id="{00000000-0008-0000-0300-0000AE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3" name="Rectangle 76">
          <a:extLst>
            <a:ext uri="{FF2B5EF4-FFF2-40B4-BE49-F238E27FC236}">
              <a16:creationId xmlns:a16="http://schemas.microsoft.com/office/drawing/2014/main" xmlns="" id="{00000000-0008-0000-0300-0000AF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4" name="Rectangle 77">
          <a:extLst>
            <a:ext uri="{FF2B5EF4-FFF2-40B4-BE49-F238E27FC236}">
              <a16:creationId xmlns:a16="http://schemas.microsoft.com/office/drawing/2014/main" xmlns="" id="{00000000-0008-0000-0300-0000B0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5" name="Rectangle 78">
          <a:extLst>
            <a:ext uri="{FF2B5EF4-FFF2-40B4-BE49-F238E27FC236}">
              <a16:creationId xmlns:a16="http://schemas.microsoft.com/office/drawing/2014/main" xmlns="" id="{00000000-0008-0000-0300-0000B1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6" name="Rectangle 79">
          <a:extLst>
            <a:ext uri="{FF2B5EF4-FFF2-40B4-BE49-F238E27FC236}">
              <a16:creationId xmlns:a16="http://schemas.microsoft.com/office/drawing/2014/main" xmlns="" id="{00000000-0008-0000-0300-0000B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7" name="Rectangle 80">
          <a:extLst>
            <a:ext uri="{FF2B5EF4-FFF2-40B4-BE49-F238E27FC236}">
              <a16:creationId xmlns:a16="http://schemas.microsoft.com/office/drawing/2014/main" xmlns="" id="{00000000-0008-0000-0300-0000B3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8" name="Rectangle 81">
          <a:extLst>
            <a:ext uri="{FF2B5EF4-FFF2-40B4-BE49-F238E27FC236}">
              <a16:creationId xmlns:a16="http://schemas.microsoft.com/office/drawing/2014/main" xmlns="" id="{00000000-0008-0000-0300-0000B4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9" name="Rectangle 82">
          <a:extLst>
            <a:ext uri="{FF2B5EF4-FFF2-40B4-BE49-F238E27FC236}">
              <a16:creationId xmlns:a16="http://schemas.microsoft.com/office/drawing/2014/main" xmlns="" id="{00000000-0008-0000-0300-0000B5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0" name="Rectangle 83">
          <a:extLst>
            <a:ext uri="{FF2B5EF4-FFF2-40B4-BE49-F238E27FC236}">
              <a16:creationId xmlns:a16="http://schemas.microsoft.com/office/drawing/2014/main" xmlns="" id="{00000000-0008-0000-0300-0000B6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1" name="Rectangle 84">
          <a:extLst>
            <a:ext uri="{FF2B5EF4-FFF2-40B4-BE49-F238E27FC236}">
              <a16:creationId xmlns:a16="http://schemas.microsoft.com/office/drawing/2014/main" xmlns="" id="{00000000-0008-0000-0300-0000B7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2" name="Rectangle 85">
          <a:extLst>
            <a:ext uri="{FF2B5EF4-FFF2-40B4-BE49-F238E27FC236}">
              <a16:creationId xmlns:a16="http://schemas.microsoft.com/office/drawing/2014/main" xmlns="" id="{00000000-0008-0000-0300-0000B8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3" name="Rectangle 86">
          <a:extLst>
            <a:ext uri="{FF2B5EF4-FFF2-40B4-BE49-F238E27FC236}">
              <a16:creationId xmlns:a16="http://schemas.microsoft.com/office/drawing/2014/main" xmlns="" id="{00000000-0008-0000-0300-0000B9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4" name="Rectangle 87">
          <a:extLst>
            <a:ext uri="{FF2B5EF4-FFF2-40B4-BE49-F238E27FC236}">
              <a16:creationId xmlns:a16="http://schemas.microsoft.com/office/drawing/2014/main" xmlns="" id="{00000000-0008-0000-0300-0000BA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5" name="Rectangle 88">
          <a:extLst>
            <a:ext uri="{FF2B5EF4-FFF2-40B4-BE49-F238E27FC236}">
              <a16:creationId xmlns:a16="http://schemas.microsoft.com/office/drawing/2014/main" xmlns="" id="{00000000-0008-0000-0300-0000BB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6" name="Rectangle 89">
          <a:extLst>
            <a:ext uri="{FF2B5EF4-FFF2-40B4-BE49-F238E27FC236}">
              <a16:creationId xmlns:a16="http://schemas.microsoft.com/office/drawing/2014/main" xmlns="" id="{00000000-0008-0000-0300-0000BC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7" name="Rectangle 90">
          <a:extLst>
            <a:ext uri="{FF2B5EF4-FFF2-40B4-BE49-F238E27FC236}">
              <a16:creationId xmlns:a16="http://schemas.microsoft.com/office/drawing/2014/main" xmlns="" id="{00000000-0008-0000-0300-0000BD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8" name="Rectangle 91">
          <a:extLst>
            <a:ext uri="{FF2B5EF4-FFF2-40B4-BE49-F238E27FC236}">
              <a16:creationId xmlns:a16="http://schemas.microsoft.com/office/drawing/2014/main" xmlns="" id="{00000000-0008-0000-0300-0000BE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39" name="Rectangle 92">
          <a:extLst>
            <a:ext uri="{FF2B5EF4-FFF2-40B4-BE49-F238E27FC236}">
              <a16:creationId xmlns:a16="http://schemas.microsoft.com/office/drawing/2014/main" xmlns="" id="{00000000-0008-0000-0300-0000BF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0" name="Rectangle 93">
          <a:extLst>
            <a:ext uri="{FF2B5EF4-FFF2-40B4-BE49-F238E27FC236}">
              <a16:creationId xmlns:a16="http://schemas.microsoft.com/office/drawing/2014/main" xmlns="" id="{00000000-0008-0000-0300-0000C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1" name="Rectangle 94">
          <a:extLst>
            <a:ext uri="{FF2B5EF4-FFF2-40B4-BE49-F238E27FC236}">
              <a16:creationId xmlns:a16="http://schemas.microsoft.com/office/drawing/2014/main" xmlns="" id="{00000000-0008-0000-0300-0000C1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2" name="Rectangle 95">
          <a:extLst>
            <a:ext uri="{FF2B5EF4-FFF2-40B4-BE49-F238E27FC236}">
              <a16:creationId xmlns:a16="http://schemas.microsoft.com/office/drawing/2014/main" xmlns="" id="{00000000-0008-0000-0300-0000C2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3" name="Rectangle 96">
          <a:extLst>
            <a:ext uri="{FF2B5EF4-FFF2-40B4-BE49-F238E27FC236}">
              <a16:creationId xmlns:a16="http://schemas.microsoft.com/office/drawing/2014/main" xmlns="" id="{00000000-0008-0000-0300-0000C3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4" name="Rectangle 97">
          <a:extLst>
            <a:ext uri="{FF2B5EF4-FFF2-40B4-BE49-F238E27FC236}">
              <a16:creationId xmlns:a16="http://schemas.microsoft.com/office/drawing/2014/main" xmlns="" id="{00000000-0008-0000-0300-0000C4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5" name="Rectangle 98">
          <a:extLst>
            <a:ext uri="{FF2B5EF4-FFF2-40B4-BE49-F238E27FC236}">
              <a16:creationId xmlns:a16="http://schemas.microsoft.com/office/drawing/2014/main" xmlns="" id="{00000000-0008-0000-0300-0000C5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6" name="Rectangle 99">
          <a:extLst>
            <a:ext uri="{FF2B5EF4-FFF2-40B4-BE49-F238E27FC236}">
              <a16:creationId xmlns:a16="http://schemas.microsoft.com/office/drawing/2014/main" xmlns="" id="{00000000-0008-0000-0300-0000C6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7" name="Rectangle 100">
          <a:extLst>
            <a:ext uri="{FF2B5EF4-FFF2-40B4-BE49-F238E27FC236}">
              <a16:creationId xmlns:a16="http://schemas.microsoft.com/office/drawing/2014/main" xmlns="" id="{00000000-0008-0000-0300-0000C7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8" name="Rectangle 101">
          <a:extLst>
            <a:ext uri="{FF2B5EF4-FFF2-40B4-BE49-F238E27FC236}">
              <a16:creationId xmlns:a16="http://schemas.microsoft.com/office/drawing/2014/main" xmlns="" id="{00000000-0008-0000-0300-0000C8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9" name="Rectangle 102">
          <a:extLst>
            <a:ext uri="{FF2B5EF4-FFF2-40B4-BE49-F238E27FC236}">
              <a16:creationId xmlns:a16="http://schemas.microsoft.com/office/drawing/2014/main" xmlns="" id="{00000000-0008-0000-0300-0000C9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0" name="Rectangle 103">
          <a:extLst>
            <a:ext uri="{FF2B5EF4-FFF2-40B4-BE49-F238E27FC236}">
              <a16:creationId xmlns:a16="http://schemas.microsoft.com/office/drawing/2014/main" xmlns="" id="{00000000-0008-0000-0300-0000CA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1" name="Rectangle 104">
          <a:extLst>
            <a:ext uri="{FF2B5EF4-FFF2-40B4-BE49-F238E27FC236}">
              <a16:creationId xmlns:a16="http://schemas.microsoft.com/office/drawing/2014/main" xmlns="" id="{00000000-0008-0000-0300-0000CB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2" name="Rectangle 105">
          <a:extLst>
            <a:ext uri="{FF2B5EF4-FFF2-40B4-BE49-F238E27FC236}">
              <a16:creationId xmlns:a16="http://schemas.microsoft.com/office/drawing/2014/main" xmlns="" id="{00000000-0008-0000-0300-0000CC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3" name="Rectangle 106">
          <a:extLst>
            <a:ext uri="{FF2B5EF4-FFF2-40B4-BE49-F238E27FC236}">
              <a16:creationId xmlns:a16="http://schemas.microsoft.com/office/drawing/2014/main" xmlns="" id="{00000000-0008-0000-0300-0000CD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4" name="Rectangle 107">
          <a:extLst>
            <a:ext uri="{FF2B5EF4-FFF2-40B4-BE49-F238E27FC236}">
              <a16:creationId xmlns:a16="http://schemas.microsoft.com/office/drawing/2014/main" xmlns="" id="{00000000-0008-0000-0300-0000CE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5" name="Rectangle 108">
          <a:extLst>
            <a:ext uri="{FF2B5EF4-FFF2-40B4-BE49-F238E27FC236}">
              <a16:creationId xmlns:a16="http://schemas.microsoft.com/office/drawing/2014/main" xmlns="" id="{00000000-0008-0000-0300-0000CF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6" name="Rectangle 109">
          <a:extLst>
            <a:ext uri="{FF2B5EF4-FFF2-40B4-BE49-F238E27FC236}">
              <a16:creationId xmlns:a16="http://schemas.microsoft.com/office/drawing/2014/main" xmlns="" id="{00000000-0008-0000-0300-0000D0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7" name="Rectangle 110">
          <a:extLst>
            <a:ext uri="{FF2B5EF4-FFF2-40B4-BE49-F238E27FC236}">
              <a16:creationId xmlns:a16="http://schemas.microsoft.com/office/drawing/2014/main" xmlns="" id="{00000000-0008-0000-0300-0000D1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8" name="Rectangle 111">
          <a:extLst>
            <a:ext uri="{FF2B5EF4-FFF2-40B4-BE49-F238E27FC236}">
              <a16:creationId xmlns:a16="http://schemas.microsoft.com/office/drawing/2014/main" xmlns="" id="{00000000-0008-0000-0300-0000D2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9" name="Rectangle 112">
          <a:extLst>
            <a:ext uri="{FF2B5EF4-FFF2-40B4-BE49-F238E27FC236}">
              <a16:creationId xmlns:a16="http://schemas.microsoft.com/office/drawing/2014/main" xmlns="" id="{00000000-0008-0000-0300-0000D3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0" name="Rectangle 113">
          <a:extLst>
            <a:ext uri="{FF2B5EF4-FFF2-40B4-BE49-F238E27FC236}">
              <a16:creationId xmlns:a16="http://schemas.microsoft.com/office/drawing/2014/main" xmlns="" id="{00000000-0008-0000-0300-0000D4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1" name="Rectangle 114">
          <a:extLst>
            <a:ext uri="{FF2B5EF4-FFF2-40B4-BE49-F238E27FC236}">
              <a16:creationId xmlns:a16="http://schemas.microsoft.com/office/drawing/2014/main" xmlns="" id="{00000000-0008-0000-0300-0000D5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2" name="Rectangle 115">
          <a:extLst>
            <a:ext uri="{FF2B5EF4-FFF2-40B4-BE49-F238E27FC236}">
              <a16:creationId xmlns:a16="http://schemas.microsoft.com/office/drawing/2014/main" xmlns="" id="{00000000-0008-0000-0300-0000D6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3" name="Rectangle 116">
          <a:extLst>
            <a:ext uri="{FF2B5EF4-FFF2-40B4-BE49-F238E27FC236}">
              <a16:creationId xmlns:a16="http://schemas.microsoft.com/office/drawing/2014/main" xmlns="" id="{00000000-0008-0000-0300-0000D7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4" name="Rectangle 117">
          <a:extLst>
            <a:ext uri="{FF2B5EF4-FFF2-40B4-BE49-F238E27FC236}">
              <a16:creationId xmlns:a16="http://schemas.microsoft.com/office/drawing/2014/main" xmlns="" id="{00000000-0008-0000-0300-0000D8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5" name="Rectangle 118">
          <a:extLst>
            <a:ext uri="{FF2B5EF4-FFF2-40B4-BE49-F238E27FC236}">
              <a16:creationId xmlns:a16="http://schemas.microsoft.com/office/drawing/2014/main" xmlns="" id="{00000000-0008-0000-0300-0000D9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6" name="Rectangle 119">
          <a:extLst>
            <a:ext uri="{FF2B5EF4-FFF2-40B4-BE49-F238E27FC236}">
              <a16:creationId xmlns:a16="http://schemas.microsoft.com/office/drawing/2014/main" xmlns="" id="{00000000-0008-0000-0300-0000DA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7" name="Rectangle 120">
          <a:extLst>
            <a:ext uri="{FF2B5EF4-FFF2-40B4-BE49-F238E27FC236}">
              <a16:creationId xmlns:a16="http://schemas.microsoft.com/office/drawing/2014/main" xmlns="" id="{00000000-0008-0000-0300-0000DB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8" name="Rectangle 121">
          <a:extLst>
            <a:ext uri="{FF2B5EF4-FFF2-40B4-BE49-F238E27FC236}">
              <a16:creationId xmlns:a16="http://schemas.microsoft.com/office/drawing/2014/main" xmlns="" id="{00000000-0008-0000-0300-0000DC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9" name="Rectangle 122">
          <a:extLst>
            <a:ext uri="{FF2B5EF4-FFF2-40B4-BE49-F238E27FC236}">
              <a16:creationId xmlns:a16="http://schemas.microsoft.com/office/drawing/2014/main" xmlns="" id="{00000000-0008-0000-0300-0000DD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0" name="Rectangle 123">
          <a:extLst>
            <a:ext uri="{FF2B5EF4-FFF2-40B4-BE49-F238E27FC236}">
              <a16:creationId xmlns:a16="http://schemas.microsoft.com/office/drawing/2014/main" xmlns="" id="{00000000-0008-0000-0300-0000DE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71" name="Rectangle 124">
          <a:extLst>
            <a:ext uri="{FF2B5EF4-FFF2-40B4-BE49-F238E27FC236}">
              <a16:creationId xmlns:a16="http://schemas.microsoft.com/office/drawing/2014/main" xmlns="" id="{00000000-0008-0000-0300-0000DF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2" name="Rectangle 125">
          <a:extLst>
            <a:ext uri="{FF2B5EF4-FFF2-40B4-BE49-F238E27FC236}">
              <a16:creationId xmlns:a16="http://schemas.microsoft.com/office/drawing/2014/main" xmlns="" id="{00000000-0008-0000-0300-0000E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3" name="Rectangle 126">
          <a:extLst>
            <a:ext uri="{FF2B5EF4-FFF2-40B4-BE49-F238E27FC236}">
              <a16:creationId xmlns:a16="http://schemas.microsoft.com/office/drawing/2014/main" xmlns="" id="{00000000-0008-0000-0300-0000E1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4" name="Rectangle 127">
          <a:extLst>
            <a:ext uri="{FF2B5EF4-FFF2-40B4-BE49-F238E27FC236}">
              <a16:creationId xmlns:a16="http://schemas.microsoft.com/office/drawing/2014/main" xmlns="" id="{00000000-0008-0000-0300-0000E2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5" name="Rectangle 128">
          <a:extLst>
            <a:ext uri="{FF2B5EF4-FFF2-40B4-BE49-F238E27FC236}">
              <a16:creationId xmlns:a16="http://schemas.microsoft.com/office/drawing/2014/main" xmlns="" id="{00000000-0008-0000-0300-0000E3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6" name="Rectangle 129">
          <a:extLst>
            <a:ext uri="{FF2B5EF4-FFF2-40B4-BE49-F238E27FC236}">
              <a16:creationId xmlns:a16="http://schemas.microsoft.com/office/drawing/2014/main" xmlns="" id="{00000000-0008-0000-0300-0000E4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7" name="Rectangle 130">
          <a:extLst>
            <a:ext uri="{FF2B5EF4-FFF2-40B4-BE49-F238E27FC236}">
              <a16:creationId xmlns:a16="http://schemas.microsoft.com/office/drawing/2014/main" xmlns="" id="{00000000-0008-0000-0300-0000E5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8" name="Rectangle 131">
          <a:extLst>
            <a:ext uri="{FF2B5EF4-FFF2-40B4-BE49-F238E27FC236}">
              <a16:creationId xmlns:a16="http://schemas.microsoft.com/office/drawing/2014/main" xmlns="" id="{00000000-0008-0000-0300-0000E6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9" name="Rectangle 132">
          <a:extLst>
            <a:ext uri="{FF2B5EF4-FFF2-40B4-BE49-F238E27FC236}">
              <a16:creationId xmlns:a16="http://schemas.microsoft.com/office/drawing/2014/main" xmlns="" id="{00000000-0008-0000-0300-0000E7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0" name="Rectangle 133">
          <a:extLst>
            <a:ext uri="{FF2B5EF4-FFF2-40B4-BE49-F238E27FC236}">
              <a16:creationId xmlns:a16="http://schemas.microsoft.com/office/drawing/2014/main" xmlns="" id="{00000000-0008-0000-0300-0000E8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1" name="Rectangle 134">
          <a:extLst>
            <a:ext uri="{FF2B5EF4-FFF2-40B4-BE49-F238E27FC236}">
              <a16:creationId xmlns:a16="http://schemas.microsoft.com/office/drawing/2014/main" xmlns="" id="{00000000-0008-0000-0300-0000E9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2" name="Rectangle 135">
          <a:extLst>
            <a:ext uri="{FF2B5EF4-FFF2-40B4-BE49-F238E27FC236}">
              <a16:creationId xmlns:a16="http://schemas.microsoft.com/office/drawing/2014/main" xmlns="" id="{00000000-0008-0000-0300-0000EA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3" name="Rectangle 136">
          <a:extLst>
            <a:ext uri="{FF2B5EF4-FFF2-40B4-BE49-F238E27FC236}">
              <a16:creationId xmlns:a16="http://schemas.microsoft.com/office/drawing/2014/main" xmlns="" id="{00000000-0008-0000-0300-0000EB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4" name="Rectangle 137">
          <a:extLst>
            <a:ext uri="{FF2B5EF4-FFF2-40B4-BE49-F238E27FC236}">
              <a16:creationId xmlns:a16="http://schemas.microsoft.com/office/drawing/2014/main" xmlns="" id="{00000000-0008-0000-0300-0000EC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5" name="Rectangle 138">
          <a:extLst>
            <a:ext uri="{FF2B5EF4-FFF2-40B4-BE49-F238E27FC236}">
              <a16:creationId xmlns:a16="http://schemas.microsoft.com/office/drawing/2014/main" xmlns="" id="{00000000-0008-0000-0300-0000ED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6" name="Rectangle 139">
          <a:extLst>
            <a:ext uri="{FF2B5EF4-FFF2-40B4-BE49-F238E27FC236}">
              <a16:creationId xmlns:a16="http://schemas.microsoft.com/office/drawing/2014/main" xmlns="" id="{00000000-0008-0000-0300-0000EE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87" name="Rectangle 140">
          <a:extLst>
            <a:ext uri="{FF2B5EF4-FFF2-40B4-BE49-F238E27FC236}">
              <a16:creationId xmlns:a16="http://schemas.microsoft.com/office/drawing/2014/main" xmlns="" id="{00000000-0008-0000-0300-0000EF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8" name="Rectangle 141">
          <a:extLst>
            <a:ext uri="{FF2B5EF4-FFF2-40B4-BE49-F238E27FC236}">
              <a16:creationId xmlns:a16="http://schemas.microsoft.com/office/drawing/2014/main" xmlns="" id="{00000000-0008-0000-0300-0000F0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9" name="Rectangle 142">
          <a:extLst>
            <a:ext uri="{FF2B5EF4-FFF2-40B4-BE49-F238E27FC236}">
              <a16:creationId xmlns:a16="http://schemas.microsoft.com/office/drawing/2014/main" xmlns="" id="{00000000-0008-0000-0300-0000F1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0" name="Rectangle 143">
          <a:extLst>
            <a:ext uri="{FF2B5EF4-FFF2-40B4-BE49-F238E27FC236}">
              <a16:creationId xmlns:a16="http://schemas.microsoft.com/office/drawing/2014/main" xmlns="" id="{00000000-0008-0000-0300-0000F2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1" name="Rectangle 144">
          <a:extLst>
            <a:ext uri="{FF2B5EF4-FFF2-40B4-BE49-F238E27FC236}">
              <a16:creationId xmlns:a16="http://schemas.microsoft.com/office/drawing/2014/main" xmlns="" id="{00000000-0008-0000-0300-0000F3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2" name="Rectangle 145">
          <a:extLst>
            <a:ext uri="{FF2B5EF4-FFF2-40B4-BE49-F238E27FC236}">
              <a16:creationId xmlns:a16="http://schemas.microsoft.com/office/drawing/2014/main" xmlns="" id="{00000000-0008-0000-0300-0000F4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3" name="Rectangle 146">
          <a:extLst>
            <a:ext uri="{FF2B5EF4-FFF2-40B4-BE49-F238E27FC236}">
              <a16:creationId xmlns:a16="http://schemas.microsoft.com/office/drawing/2014/main" xmlns="" id="{00000000-0008-0000-0300-0000F5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4" name="Rectangle 147">
          <a:extLst>
            <a:ext uri="{FF2B5EF4-FFF2-40B4-BE49-F238E27FC236}">
              <a16:creationId xmlns:a16="http://schemas.microsoft.com/office/drawing/2014/main" xmlns="" id="{00000000-0008-0000-0300-0000F6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5" name="Rectangle 148">
          <a:extLst>
            <a:ext uri="{FF2B5EF4-FFF2-40B4-BE49-F238E27FC236}">
              <a16:creationId xmlns:a16="http://schemas.microsoft.com/office/drawing/2014/main" xmlns="" id="{00000000-0008-0000-0300-0000F7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6" name="Rectangle 149">
          <a:extLst>
            <a:ext uri="{FF2B5EF4-FFF2-40B4-BE49-F238E27FC236}">
              <a16:creationId xmlns:a16="http://schemas.microsoft.com/office/drawing/2014/main" xmlns="" id="{00000000-0008-0000-0300-0000F8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7" name="Rectangle 150">
          <a:extLst>
            <a:ext uri="{FF2B5EF4-FFF2-40B4-BE49-F238E27FC236}">
              <a16:creationId xmlns:a16="http://schemas.microsoft.com/office/drawing/2014/main" xmlns="" id="{00000000-0008-0000-0300-0000F9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8" name="Rectangle 151">
          <a:extLst>
            <a:ext uri="{FF2B5EF4-FFF2-40B4-BE49-F238E27FC236}">
              <a16:creationId xmlns:a16="http://schemas.microsoft.com/office/drawing/2014/main" xmlns="" id="{00000000-0008-0000-0300-0000FA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9" name="Rectangle 152">
          <a:extLst>
            <a:ext uri="{FF2B5EF4-FFF2-40B4-BE49-F238E27FC236}">
              <a16:creationId xmlns:a16="http://schemas.microsoft.com/office/drawing/2014/main" xmlns="" id="{00000000-0008-0000-0300-0000FB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0" name="Rectangle 153">
          <a:extLst>
            <a:ext uri="{FF2B5EF4-FFF2-40B4-BE49-F238E27FC236}">
              <a16:creationId xmlns:a16="http://schemas.microsoft.com/office/drawing/2014/main" xmlns="" id="{00000000-0008-0000-0300-0000FC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1" name="Rectangle 154">
          <a:extLst>
            <a:ext uri="{FF2B5EF4-FFF2-40B4-BE49-F238E27FC236}">
              <a16:creationId xmlns:a16="http://schemas.microsoft.com/office/drawing/2014/main" xmlns="" id="{00000000-0008-0000-0300-0000FD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2" name="Rectangle 155">
          <a:extLst>
            <a:ext uri="{FF2B5EF4-FFF2-40B4-BE49-F238E27FC236}">
              <a16:creationId xmlns:a16="http://schemas.microsoft.com/office/drawing/2014/main" xmlns="" id="{00000000-0008-0000-0300-0000FE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3" name="Rectangle 156">
          <a:extLst>
            <a:ext uri="{FF2B5EF4-FFF2-40B4-BE49-F238E27FC236}">
              <a16:creationId xmlns:a16="http://schemas.microsoft.com/office/drawing/2014/main" xmlns="" id="{00000000-0008-0000-0300-0000FF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4" name="Rectangle 157">
          <a:extLst>
            <a:ext uri="{FF2B5EF4-FFF2-40B4-BE49-F238E27FC236}">
              <a16:creationId xmlns:a16="http://schemas.microsoft.com/office/drawing/2014/main" xmlns="" id="{00000000-0008-0000-0300-000000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5" name="Rectangle 158">
          <a:extLst>
            <a:ext uri="{FF2B5EF4-FFF2-40B4-BE49-F238E27FC236}">
              <a16:creationId xmlns:a16="http://schemas.microsoft.com/office/drawing/2014/main" xmlns="" id="{00000000-0008-0000-0300-000001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6" name="Rectangle 159">
          <a:extLst>
            <a:ext uri="{FF2B5EF4-FFF2-40B4-BE49-F238E27FC236}">
              <a16:creationId xmlns:a16="http://schemas.microsoft.com/office/drawing/2014/main" xmlns="" id="{00000000-0008-0000-0300-000002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7" name="Rectangle 160">
          <a:extLst>
            <a:ext uri="{FF2B5EF4-FFF2-40B4-BE49-F238E27FC236}">
              <a16:creationId xmlns:a16="http://schemas.microsoft.com/office/drawing/2014/main" xmlns="" id="{00000000-0008-0000-0300-000003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8" name="Rectangle 161">
          <a:extLst>
            <a:ext uri="{FF2B5EF4-FFF2-40B4-BE49-F238E27FC236}">
              <a16:creationId xmlns:a16="http://schemas.microsoft.com/office/drawing/2014/main" xmlns="" id="{00000000-0008-0000-0300-000004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9" name="Rectangle 162">
          <a:extLst>
            <a:ext uri="{FF2B5EF4-FFF2-40B4-BE49-F238E27FC236}">
              <a16:creationId xmlns:a16="http://schemas.microsoft.com/office/drawing/2014/main" xmlns="" id="{00000000-0008-0000-0300-000005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0" name="Rectangle 163">
          <a:extLst>
            <a:ext uri="{FF2B5EF4-FFF2-40B4-BE49-F238E27FC236}">
              <a16:creationId xmlns:a16="http://schemas.microsoft.com/office/drawing/2014/main" xmlns="" id="{00000000-0008-0000-0300-000006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1" name="Rectangle 164">
          <a:extLst>
            <a:ext uri="{FF2B5EF4-FFF2-40B4-BE49-F238E27FC236}">
              <a16:creationId xmlns:a16="http://schemas.microsoft.com/office/drawing/2014/main" xmlns="" id="{00000000-0008-0000-0300-000007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2" name="Rectangle 165">
          <a:extLst>
            <a:ext uri="{FF2B5EF4-FFF2-40B4-BE49-F238E27FC236}">
              <a16:creationId xmlns:a16="http://schemas.microsoft.com/office/drawing/2014/main" xmlns="" id="{00000000-0008-0000-0300-000008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3" name="Rectangle 166">
          <a:extLst>
            <a:ext uri="{FF2B5EF4-FFF2-40B4-BE49-F238E27FC236}">
              <a16:creationId xmlns:a16="http://schemas.microsoft.com/office/drawing/2014/main" xmlns="" id="{00000000-0008-0000-0300-000009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4" name="Rectangle 167">
          <a:extLst>
            <a:ext uri="{FF2B5EF4-FFF2-40B4-BE49-F238E27FC236}">
              <a16:creationId xmlns:a16="http://schemas.microsoft.com/office/drawing/2014/main" xmlns="" id="{00000000-0008-0000-0300-00000A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5" name="Rectangle 168">
          <a:extLst>
            <a:ext uri="{FF2B5EF4-FFF2-40B4-BE49-F238E27FC236}">
              <a16:creationId xmlns:a16="http://schemas.microsoft.com/office/drawing/2014/main" xmlns="" id="{00000000-0008-0000-0300-00000B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6" name="Rectangle 169">
          <a:extLst>
            <a:ext uri="{FF2B5EF4-FFF2-40B4-BE49-F238E27FC236}">
              <a16:creationId xmlns:a16="http://schemas.microsoft.com/office/drawing/2014/main" xmlns="" id="{00000000-0008-0000-0300-00000C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7" name="Rectangle 170">
          <a:extLst>
            <a:ext uri="{FF2B5EF4-FFF2-40B4-BE49-F238E27FC236}">
              <a16:creationId xmlns:a16="http://schemas.microsoft.com/office/drawing/2014/main" xmlns="" id="{00000000-0008-0000-0300-00000D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8" name="Rectangle 171">
          <a:extLst>
            <a:ext uri="{FF2B5EF4-FFF2-40B4-BE49-F238E27FC236}">
              <a16:creationId xmlns:a16="http://schemas.microsoft.com/office/drawing/2014/main" xmlns="" id="{00000000-0008-0000-0300-00000E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19" name="Rectangle 172">
          <a:extLst>
            <a:ext uri="{FF2B5EF4-FFF2-40B4-BE49-F238E27FC236}">
              <a16:creationId xmlns:a16="http://schemas.microsoft.com/office/drawing/2014/main" xmlns="" id="{00000000-0008-0000-0300-00000F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0" name="Rectangle 173">
          <a:extLst>
            <a:ext uri="{FF2B5EF4-FFF2-40B4-BE49-F238E27FC236}">
              <a16:creationId xmlns:a16="http://schemas.microsoft.com/office/drawing/2014/main" xmlns="" id="{00000000-0008-0000-0300-000010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1" name="Rectangle 174">
          <a:extLst>
            <a:ext uri="{FF2B5EF4-FFF2-40B4-BE49-F238E27FC236}">
              <a16:creationId xmlns:a16="http://schemas.microsoft.com/office/drawing/2014/main" xmlns="" id="{00000000-0008-0000-0300-000011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2" name="Rectangle 175">
          <a:extLst>
            <a:ext uri="{FF2B5EF4-FFF2-40B4-BE49-F238E27FC236}">
              <a16:creationId xmlns:a16="http://schemas.microsoft.com/office/drawing/2014/main" xmlns="" id="{00000000-0008-0000-0300-000012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3" name="Rectangle 176">
          <a:extLst>
            <a:ext uri="{FF2B5EF4-FFF2-40B4-BE49-F238E27FC236}">
              <a16:creationId xmlns:a16="http://schemas.microsoft.com/office/drawing/2014/main" xmlns="" id="{00000000-0008-0000-0300-000013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4" name="Rectangle 177">
          <a:extLst>
            <a:ext uri="{FF2B5EF4-FFF2-40B4-BE49-F238E27FC236}">
              <a16:creationId xmlns:a16="http://schemas.microsoft.com/office/drawing/2014/main" xmlns="" id="{00000000-0008-0000-0300-000014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5" name="Rectangle 178">
          <a:extLst>
            <a:ext uri="{FF2B5EF4-FFF2-40B4-BE49-F238E27FC236}">
              <a16:creationId xmlns:a16="http://schemas.microsoft.com/office/drawing/2014/main" xmlns="" id="{00000000-0008-0000-0300-000015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6" name="Rectangle 179">
          <a:extLst>
            <a:ext uri="{FF2B5EF4-FFF2-40B4-BE49-F238E27FC236}">
              <a16:creationId xmlns:a16="http://schemas.microsoft.com/office/drawing/2014/main" xmlns="" id="{00000000-0008-0000-0300-000016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7" name="Rectangle 180">
          <a:extLst>
            <a:ext uri="{FF2B5EF4-FFF2-40B4-BE49-F238E27FC236}">
              <a16:creationId xmlns:a16="http://schemas.microsoft.com/office/drawing/2014/main" xmlns="" id="{00000000-0008-0000-0300-000017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8" name="Rectangle 181">
          <a:extLst>
            <a:ext uri="{FF2B5EF4-FFF2-40B4-BE49-F238E27FC236}">
              <a16:creationId xmlns:a16="http://schemas.microsoft.com/office/drawing/2014/main" xmlns="" id="{00000000-0008-0000-0300-000018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9" name="Rectangle 182">
          <a:extLst>
            <a:ext uri="{FF2B5EF4-FFF2-40B4-BE49-F238E27FC236}">
              <a16:creationId xmlns:a16="http://schemas.microsoft.com/office/drawing/2014/main" xmlns="" id="{00000000-0008-0000-0300-000019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30" name="Rectangle 183">
          <a:extLst>
            <a:ext uri="{FF2B5EF4-FFF2-40B4-BE49-F238E27FC236}">
              <a16:creationId xmlns:a16="http://schemas.microsoft.com/office/drawing/2014/main" xmlns="" id="{00000000-0008-0000-0300-00001A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1" name="Rectangle 184">
          <a:extLst>
            <a:ext uri="{FF2B5EF4-FFF2-40B4-BE49-F238E27FC236}">
              <a16:creationId xmlns:a16="http://schemas.microsoft.com/office/drawing/2014/main" xmlns="" id="{00000000-0008-0000-0300-00001B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2" name="Rectangle 185">
          <a:extLst>
            <a:ext uri="{FF2B5EF4-FFF2-40B4-BE49-F238E27FC236}">
              <a16:creationId xmlns:a16="http://schemas.microsoft.com/office/drawing/2014/main" xmlns="" id="{00000000-0008-0000-0300-00001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3" name="Rectangle 186">
          <a:extLst>
            <a:ext uri="{FF2B5EF4-FFF2-40B4-BE49-F238E27FC236}">
              <a16:creationId xmlns:a16="http://schemas.microsoft.com/office/drawing/2014/main" xmlns="" id="{00000000-0008-0000-0300-00001D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4" name="Rectangle 187">
          <a:extLst>
            <a:ext uri="{FF2B5EF4-FFF2-40B4-BE49-F238E27FC236}">
              <a16:creationId xmlns:a16="http://schemas.microsoft.com/office/drawing/2014/main" xmlns="" id="{00000000-0008-0000-0300-00001E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5" name="Rectangle 188">
          <a:extLst>
            <a:ext uri="{FF2B5EF4-FFF2-40B4-BE49-F238E27FC236}">
              <a16:creationId xmlns:a16="http://schemas.microsoft.com/office/drawing/2014/main" xmlns="" id="{00000000-0008-0000-0300-00001F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6" name="Rectangle 189">
          <a:extLst>
            <a:ext uri="{FF2B5EF4-FFF2-40B4-BE49-F238E27FC236}">
              <a16:creationId xmlns:a16="http://schemas.microsoft.com/office/drawing/2014/main" xmlns="" id="{00000000-0008-0000-0300-000020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7" name="Rectangle 190">
          <a:extLst>
            <a:ext uri="{FF2B5EF4-FFF2-40B4-BE49-F238E27FC236}">
              <a16:creationId xmlns:a16="http://schemas.microsoft.com/office/drawing/2014/main" xmlns="" id="{00000000-0008-0000-0300-000021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8" name="Rectangle 191">
          <a:extLst>
            <a:ext uri="{FF2B5EF4-FFF2-40B4-BE49-F238E27FC236}">
              <a16:creationId xmlns:a16="http://schemas.microsoft.com/office/drawing/2014/main" xmlns="" id="{00000000-0008-0000-0300-000022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9" name="Rectangle 192">
          <a:extLst>
            <a:ext uri="{FF2B5EF4-FFF2-40B4-BE49-F238E27FC236}">
              <a16:creationId xmlns:a16="http://schemas.microsoft.com/office/drawing/2014/main" xmlns="" id="{00000000-0008-0000-0300-000023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0" name="Rectangle 193">
          <a:extLst>
            <a:ext uri="{FF2B5EF4-FFF2-40B4-BE49-F238E27FC236}">
              <a16:creationId xmlns:a16="http://schemas.microsoft.com/office/drawing/2014/main" xmlns="" id="{00000000-0008-0000-0300-000024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1" name="Rectangle 194">
          <a:extLst>
            <a:ext uri="{FF2B5EF4-FFF2-40B4-BE49-F238E27FC236}">
              <a16:creationId xmlns:a16="http://schemas.microsoft.com/office/drawing/2014/main" xmlns="" id="{00000000-0008-0000-0300-000025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2" name="Rectangle 195">
          <a:extLst>
            <a:ext uri="{FF2B5EF4-FFF2-40B4-BE49-F238E27FC236}">
              <a16:creationId xmlns:a16="http://schemas.microsoft.com/office/drawing/2014/main" xmlns="" id="{00000000-0008-0000-0300-000026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3" name="Rectangle 196">
          <a:extLst>
            <a:ext uri="{FF2B5EF4-FFF2-40B4-BE49-F238E27FC236}">
              <a16:creationId xmlns:a16="http://schemas.microsoft.com/office/drawing/2014/main" xmlns="" id="{00000000-0008-0000-0300-000027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4" name="Rectangle 197">
          <a:extLst>
            <a:ext uri="{FF2B5EF4-FFF2-40B4-BE49-F238E27FC236}">
              <a16:creationId xmlns:a16="http://schemas.microsoft.com/office/drawing/2014/main" xmlns="" id="{00000000-0008-0000-0300-000028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5" name="Rectangle 198">
          <a:extLst>
            <a:ext uri="{FF2B5EF4-FFF2-40B4-BE49-F238E27FC236}">
              <a16:creationId xmlns:a16="http://schemas.microsoft.com/office/drawing/2014/main" xmlns="" id="{00000000-0008-0000-0300-000029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6" name="Rectangle 199">
          <a:extLst>
            <a:ext uri="{FF2B5EF4-FFF2-40B4-BE49-F238E27FC236}">
              <a16:creationId xmlns:a16="http://schemas.microsoft.com/office/drawing/2014/main" xmlns="" id="{00000000-0008-0000-0300-00002A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7" name="Rectangle 200">
          <a:extLst>
            <a:ext uri="{FF2B5EF4-FFF2-40B4-BE49-F238E27FC236}">
              <a16:creationId xmlns:a16="http://schemas.microsoft.com/office/drawing/2014/main" xmlns="" id="{00000000-0008-0000-0300-00002B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8" name="Rectangle 201">
          <a:extLst>
            <a:ext uri="{FF2B5EF4-FFF2-40B4-BE49-F238E27FC236}">
              <a16:creationId xmlns:a16="http://schemas.microsoft.com/office/drawing/2014/main" xmlns="" id="{00000000-0008-0000-0300-00002C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9" name="Rectangle 202">
          <a:extLst>
            <a:ext uri="{FF2B5EF4-FFF2-40B4-BE49-F238E27FC236}">
              <a16:creationId xmlns:a16="http://schemas.microsoft.com/office/drawing/2014/main" xmlns="" id="{00000000-0008-0000-0300-00002D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0" name="Rectangle 203">
          <a:extLst>
            <a:ext uri="{FF2B5EF4-FFF2-40B4-BE49-F238E27FC236}">
              <a16:creationId xmlns:a16="http://schemas.microsoft.com/office/drawing/2014/main" xmlns="" id="{00000000-0008-0000-0300-00002E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1" name="Rectangle 204">
          <a:extLst>
            <a:ext uri="{FF2B5EF4-FFF2-40B4-BE49-F238E27FC236}">
              <a16:creationId xmlns:a16="http://schemas.microsoft.com/office/drawing/2014/main" xmlns="" id="{00000000-0008-0000-0300-00002F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2" name="Rectangle 205">
          <a:extLst>
            <a:ext uri="{FF2B5EF4-FFF2-40B4-BE49-F238E27FC236}">
              <a16:creationId xmlns:a16="http://schemas.microsoft.com/office/drawing/2014/main" xmlns="" id="{00000000-0008-0000-0300-000030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3" name="Rectangle 206">
          <a:extLst>
            <a:ext uri="{FF2B5EF4-FFF2-40B4-BE49-F238E27FC236}">
              <a16:creationId xmlns:a16="http://schemas.microsoft.com/office/drawing/2014/main" xmlns="" id="{00000000-0008-0000-0300-000031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4" name="Rectangle 207">
          <a:extLst>
            <a:ext uri="{FF2B5EF4-FFF2-40B4-BE49-F238E27FC236}">
              <a16:creationId xmlns:a16="http://schemas.microsoft.com/office/drawing/2014/main" xmlns="" id="{00000000-0008-0000-0300-000032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5" name="Rectangle 208">
          <a:extLst>
            <a:ext uri="{FF2B5EF4-FFF2-40B4-BE49-F238E27FC236}">
              <a16:creationId xmlns:a16="http://schemas.microsoft.com/office/drawing/2014/main" xmlns="" id="{00000000-0008-0000-0300-000033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6" name="Rectangle 209">
          <a:extLst>
            <a:ext uri="{FF2B5EF4-FFF2-40B4-BE49-F238E27FC236}">
              <a16:creationId xmlns:a16="http://schemas.microsoft.com/office/drawing/2014/main" xmlns="" id="{00000000-0008-0000-0300-000034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7" name="Rectangle 210">
          <a:extLst>
            <a:ext uri="{FF2B5EF4-FFF2-40B4-BE49-F238E27FC236}">
              <a16:creationId xmlns:a16="http://schemas.microsoft.com/office/drawing/2014/main" xmlns="" id="{00000000-0008-0000-0300-000035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8" name="Rectangle 211">
          <a:extLst>
            <a:ext uri="{FF2B5EF4-FFF2-40B4-BE49-F238E27FC236}">
              <a16:creationId xmlns:a16="http://schemas.microsoft.com/office/drawing/2014/main" xmlns="" id="{00000000-0008-0000-0300-000036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9" name="Rectangle 212">
          <a:extLst>
            <a:ext uri="{FF2B5EF4-FFF2-40B4-BE49-F238E27FC236}">
              <a16:creationId xmlns:a16="http://schemas.microsoft.com/office/drawing/2014/main" xmlns="" id="{00000000-0008-0000-0300-000037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0" name="Rectangle 213">
          <a:extLst>
            <a:ext uri="{FF2B5EF4-FFF2-40B4-BE49-F238E27FC236}">
              <a16:creationId xmlns:a16="http://schemas.microsoft.com/office/drawing/2014/main" xmlns="" id="{00000000-0008-0000-0300-000038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61" name="Rectangle 214">
          <a:extLst>
            <a:ext uri="{FF2B5EF4-FFF2-40B4-BE49-F238E27FC236}">
              <a16:creationId xmlns:a16="http://schemas.microsoft.com/office/drawing/2014/main" xmlns="" id="{00000000-0008-0000-0300-000039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2" name="Rectangle 215">
          <a:extLst>
            <a:ext uri="{FF2B5EF4-FFF2-40B4-BE49-F238E27FC236}">
              <a16:creationId xmlns:a16="http://schemas.microsoft.com/office/drawing/2014/main" xmlns="" id="{00000000-0008-0000-0300-00003A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3" name="Rectangle 216">
          <a:extLst>
            <a:ext uri="{FF2B5EF4-FFF2-40B4-BE49-F238E27FC236}">
              <a16:creationId xmlns:a16="http://schemas.microsoft.com/office/drawing/2014/main" xmlns="" id="{00000000-0008-0000-0300-00003B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4" name="Rectangle 217">
          <a:extLst>
            <a:ext uri="{FF2B5EF4-FFF2-40B4-BE49-F238E27FC236}">
              <a16:creationId xmlns:a16="http://schemas.microsoft.com/office/drawing/2014/main" xmlns="" id="{00000000-0008-0000-0300-00003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5" name="Rectangle 218">
          <a:extLst>
            <a:ext uri="{FF2B5EF4-FFF2-40B4-BE49-F238E27FC236}">
              <a16:creationId xmlns:a16="http://schemas.microsoft.com/office/drawing/2014/main" xmlns="" id="{00000000-0008-0000-0300-00003D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6" name="Rectangle 219">
          <a:extLst>
            <a:ext uri="{FF2B5EF4-FFF2-40B4-BE49-F238E27FC236}">
              <a16:creationId xmlns:a16="http://schemas.microsoft.com/office/drawing/2014/main" xmlns="" id="{00000000-0008-0000-0300-00003E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7" name="Rectangle 220">
          <a:extLst>
            <a:ext uri="{FF2B5EF4-FFF2-40B4-BE49-F238E27FC236}">
              <a16:creationId xmlns:a16="http://schemas.microsoft.com/office/drawing/2014/main" xmlns="" id="{00000000-0008-0000-0300-00003F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8" name="Rectangle 221">
          <a:extLst>
            <a:ext uri="{FF2B5EF4-FFF2-40B4-BE49-F238E27FC236}">
              <a16:creationId xmlns:a16="http://schemas.microsoft.com/office/drawing/2014/main" xmlns="" id="{00000000-0008-0000-0300-000040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9" name="Rectangle 222">
          <a:extLst>
            <a:ext uri="{FF2B5EF4-FFF2-40B4-BE49-F238E27FC236}">
              <a16:creationId xmlns:a16="http://schemas.microsoft.com/office/drawing/2014/main" xmlns="" id="{00000000-0008-0000-0300-000041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0" name="Rectangle 223">
          <a:extLst>
            <a:ext uri="{FF2B5EF4-FFF2-40B4-BE49-F238E27FC236}">
              <a16:creationId xmlns:a16="http://schemas.microsoft.com/office/drawing/2014/main" xmlns="" id="{00000000-0008-0000-0300-000042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1" name="Rectangle 224">
          <a:extLst>
            <a:ext uri="{FF2B5EF4-FFF2-40B4-BE49-F238E27FC236}">
              <a16:creationId xmlns:a16="http://schemas.microsoft.com/office/drawing/2014/main" xmlns="" id="{00000000-0008-0000-0300-000043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2" name="Rectangle 225">
          <a:extLst>
            <a:ext uri="{FF2B5EF4-FFF2-40B4-BE49-F238E27FC236}">
              <a16:creationId xmlns:a16="http://schemas.microsoft.com/office/drawing/2014/main" xmlns="" id="{00000000-0008-0000-0300-000044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3" name="Rectangle 226">
          <a:extLst>
            <a:ext uri="{FF2B5EF4-FFF2-40B4-BE49-F238E27FC236}">
              <a16:creationId xmlns:a16="http://schemas.microsoft.com/office/drawing/2014/main" xmlns="" id="{00000000-0008-0000-0300-000045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4" name="Rectangle 227">
          <a:extLst>
            <a:ext uri="{FF2B5EF4-FFF2-40B4-BE49-F238E27FC236}">
              <a16:creationId xmlns:a16="http://schemas.microsoft.com/office/drawing/2014/main" xmlns="" id="{00000000-0008-0000-0300-000046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5" name="Rectangle 228">
          <a:extLst>
            <a:ext uri="{FF2B5EF4-FFF2-40B4-BE49-F238E27FC236}">
              <a16:creationId xmlns:a16="http://schemas.microsoft.com/office/drawing/2014/main" xmlns="" id="{00000000-0008-0000-0300-000047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6" name="Rectangle 229">
          <a:extLst>
            <a:ext uri="{FF2B5EF4-FFF2-40B4-BE49-F238E27FC236}">
              <a16:creationId xmlns:a16="http://schemas.microsoft.com/office/drawing/2014/main" xmlns="" id="{00000000-0008-0000-0300-000048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77" name="Rectangle 736">
          <a:extLst>
            <a:ext uri="{FF2B5EF4-FFF2-40B4-BE49-F238E27FC236}">
              <a16:creationId xmlns:a16="http://schemas.microsoft.com/office/drawing/2014/main" xmlns="" id="{00000000-0008-0000-0300-00004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78" name="Rectangle 737">
          <a:extLst>
            <a:ext uri="{FF2B5EF4-FFF2-40B4-BE49-F238E27FC236}">
              <a16:creationId xmlns:a16="http://schemas.microsoft.com/office/drawing/2014/main" xmlns="" id="{00000000-0008-0000-0300-00004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79" name="Rectangle 738">
          <a:extLst>
            <a:ext uri="{FF2B5EF4-FFF2-40B4-BE49-F238E27FC236}">
              <a16:creationId xmlns:a16="http://schemas.microsoft.com/office/drawing/2014/main" xmlns="" id="{00000000-0008-0000-0300-00004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0" name="Rectangle 739">
          <a:extLst>
            <a:ext uri="{FF2B5EF4-FFF2-40B4-BE49-F238E27FC236}">
              <a16:creationId xmlns:a16="http://schemas.microsoft.com/office/drawing/2014/main" xmlns="" id="{00000000-0008-0000-0300-00004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1" name="Rectangle 740">
          <a:extLst>
            <a:ext uri="{FF2B5EF4-FFF2-40B4-BE49-F238E27FC236}">
              <a16:creationId xmlns:a16="http://schemas.microsoft.com/office/drawing/2014/main" xmlns="" id="{00000000-0008-0000-0300-00004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2" name="Rectangle 741">
          <a:extLst>
            <a:ext uri="{FF2B5EF4-FFF2-40B4-BE49-F238E27FC236}">
              <a16:creationId xmlns:a16="http://schemas.microsoft.com/office/drawing/2014/main" xmlns="" id="{00000000-0008-0000-0300-00004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3" name="Rectangle 742">
          <a:extLst>
            <a:ext uri="{FF2B5EF4-FFF2-40B4-BE49-F238E27FC236}">
              <a16:creationId xmlns:a16="http://schemas.microsoft.com/office/drawing/2014/main" xmlns="" id="{00000000-0008-0000-0300-00004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4" name="Rectangle 743">
          <a:extLst>
            <a:ext uri="{FF2B5EF4-FFF2-40B4-BE49-F238E27FC236}">
              <a16:creationId xmlns:a16="http://schemas.microsoft.com/office/drawing/2014/main" xmlns="" id="{00000000-0008-0000-0300-00005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5" name="Rectangle 744">
          <a:extLst>
            <a:ext uri="{FF2B5EF4-FFF2-40B4-BE49-F238E27FC236}">
              <a16:creationId xmlns:a16="http://schemas.microsoft.com/office/drawing/2014/main" xmlns="" id="{00000000-0008-0000-0300-00005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6" name="Rectangle 745">
          <a:extLst>
            <a:ext uri="{FF2B5EF4-FFF2-40B4-BE49-F238E27FC236}">
              <a16:creationId xmlns:a16="http://schemas.microsoft.com/office/drawing/2014/main" xmlns="" id="{00000000-0008-0000-0300-00005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7" name="Rectangle 746">
          <a:extLst>
            <a:ext uri="{FF2B5EF4-FFF2-40B4-BE49-F238E27FC236}">
              <a16:creationId xmlns:a16="http://schemas.microsoft.com/office/drawing/2014/main" xmlns="" id="{00000000-0008-0000-0300-00005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8" name="Rectangle 747">
          <a:extLst>
            <a:ext uri="{FF2B5EF4-FFF2-40B4-BE49-F238E27FC236}">
              <a16:creationId xmlns:a16="http://schemas.microsoft.com/office/drawing/2014/main" xmlns="" id="{00000000-0008-0000-0300-00005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9" name="Rectangle 748">
          <a:extLst>
            <a:ext uri="{FF2B5EF4-FFF2-40B4-BE49-F238E27FC236}">
              <a16:creationId xmlns:a16="http://schemas.microsoft.com/office/drawing/2014/main" xmlns="" id="{00000000-0008-0000-0300-00005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0" name="Rectangle 749">
          <a:extLst>
            <a:ext uri="{FF2B5EF4-FFF2-40B4-BE49-F238E27FC236}">
              <a16:creationId xmlns:a16="http://schemas.microsoft.com/office/drawing/2014/main" xmlns="" id="{00000000-0008-0000-0300-00005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1" name="Rectangle 750">
          <a:extLst>
            <a:ext uri="{FF2B5EF4-FFF2-40B4-BE49-F238E27FC236}">
              <a16:creationId xmlns:a16="http://schemas.microsoft.com/office/drawing/2014/main" xmlns="" id="{00000000-0008-0000-0300-00005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2" name="Rectangle 751">
          <a:extLst>
            <a:ext uri="{FF2B5EF4-FFF2-40B4-BE49-F238E27FC236}">
              <a16:creationId xmlns:a16="http://schemas.microsoft.com/office/drawing/2014/main" xmlns="" id="{00000000-0008-0000-0300-000058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3" name="Rectangle 752">
          <a:extLst>
            <a:ext uri="{FF2B5EF4-FFF2-40B4-BE49-F238E27FC236}">
              <a16:creationId xmlns:a16="http://schemas.microsoft.com/office/drawing/2014/main" xmlns="" id="{00000000-0008-0000-0300-000059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4" name="Rectangle 753">
          <a:extLst>
            <a:ext uri="{FF2B5EF4-FFF2-40B4-BE49-F238E27FC236}">
              <a16:creationId xmlns:a16="http://schemas.microsoft.com/office/drawing/2014/main" xmlns="" id="{00000000-0008-0000-0300-00005A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5" name="Rectangle 754">
          <a:extLst>
            <a:ext uri="{FF2B5EF4-FFF2-40B4-BE49-F238E27FC236}">
              <a16:creationId xmlns:a16="http://schemas.microsoft.com/office/drawing/2014/main" xmlns="" id="{00000000-0008-0000-0300-00005B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6" name="Rectangle 755">
          <a:extLst>
            <a:ext uri="{FF2B5EF4-FFF2-40B4-BE49-F238E27FC236}">
              <a16:creationId xmlns:a16="http://schemas.microsoft.com/office/drawing/2014/main" xmlns="" id="{00000000-0008-0000-0300-00005C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7" name="Rectangle 756">
          <a:extLst>
            <a:ext uri="{FF2B5EF4-FFF2-40B4-BE49-F238E27FC236}">
              <a16:creationId xmlns:a16="http://schemas.microsoft.com/office/drawing/2014/main" xmlns="" id="{00000000-0008-0000-0300-00005D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8" name="Rectangle 757">
          <a:extLst>
            <a:ext uri="{FF2B5EF4-FFF2-40B4-BE49-F238E27FC236}">
              <a16:creationId xmlns:a16="http://schemas.microsoft.com/office/drawing/2014/main" xmlns="" id="{00000000-0008-0000-0300-00005E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9" name="Rectangle 758">
          <a:extLst>
            <a:ext uri="{FF2B5EF4-FFF2-40B4-BE49-F238E27FC236}">
              <a16:creationId xmlns:a16="http://schemas.microsoft.com/office/drawing/2014/main" xmlns="" id="{00000000-0008-0000-0300-00005F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0" name="Rectangle 759">
          <a:extLst>
            <a:ext uri="{FF2B5EF4-FFF2-40B4-BE49-F238E27FC236}">
              <a16:creationId xmlns:a16="http://schemas.microsoft.com/office/drawing/2014/main" xmlns="" id="{00000000-0008-0000-0300-000060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1" name="Rectangle 760">
          <a:extLst>
            <a:ext uri="{FF2B5EF4-FFF2-40B4-BE49-F238E27FC236}">
              <a16:creationId xmlns:a16="http://schemas.microsoft.com/office/drawing/2014/main" xmlns="" id="{00000000-0008-0000-0300-000061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2" name="Rectangle 761">
          <a:extLst>
            <a:ext uri="{FF2B5EF4-FFF2-40B4-BE49-F238E27FC236}">
              <a16:creationId xmlns:a16="http://schemas.microsoft.com/office/drawing/2014/main" xmlns="" id="{00000000-0008-0000-0300-000062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3" name="Rectangle 762">
          <a:extLst>
            <a:ext uri="{FF2B5EF4-FFF2-40B4-BE49-F238E27FC236}">
              <a16:creationId xmlns:a16="http://schemas.microsoft.com/office/drawing/2014/main" xmlns="" id="{00000000-0008-0000-0300-000063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4" name="Rectangle 763">
          <a:extLst>
            <a:ext uri="{FF2B5EF4-FFF2-40B4-BE49-F238E27FC236}">
              <a16:creationId xmlns:a16="http://schemas.microsoft.com/office/drawing/2014/main" xmlns="" id="{00000000-0008-0000-0300-000064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5" name="Rectangle 764">
          <a:extLst>
            <a:ext uri="{FF2B5EF4-FFF2-40B4-BE49-F238E27FC236}">
              <a16:creationId xmlns:a16="http://schemas.microsoft.com/office/drawing/2014/main" xmlns="" id="{00000000-0008-0000-0300-000065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6" name="Rectangle 765">
          <a:extLst>
            <a:ext uri="{FF2B5EF4-FFF2-40B4-BE49-F238E27FC236}">
              <a16:creationId xmlns:a16="http://schemas.microsoft.com/office/drawing/2014/main" xmlns="" id="{00000000-0008-0000-0300-000066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7" name="Rectangle 766">
          <a:extLst>
            <a:ext uri="{FF2B5EF4-FFF2-40B4-BE49-F238E27FC236}">
              <a16:creationId xmlns:a16="http://schemas.microsoft.com/office/drawing/2014/main" xmlns="" id="{00000000-0008-0000-0300-00006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8" name="Rectangle 767">
          <a:extLst>
            <a:ext uri="{FF2B5EF4-FFF2-40B4-BE49-F238E27FC236}">
              <a16:creationId xmlns:a16="http://schemas.microsoft.com/office/drawing/2014/main" xmlns="" id="{00000000-0008-0000-0300-00006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9" name="Rectangle 768">
          <a:extLst>
            <a:ext uri="{FF2B5EF4-FFF2-40B4-BE49-F238E27FC236}">
              <a16:creationId xmlns:a16="http://schemas.microsoft.com/office/drawing/2014/main" xmlns="" id="{00000000-0008-0000-0300-00006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10" name="Rectangle 769">
          <a:extLst>
            <a:ext uri="{FF2B5EF4-FFF2-40B4-BE49-F238E27FC236}">
              <a16:creationId xmlns:a16="http://schemas.microsoft.com/office/drawing/2014/main" xmlns="" id="{00000000-0008-0000-0300-00006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1" name="Rectangle 770">
          <a:extLst>
            <a:ext uri="{FF2B5EF4-FFF2-40B4-BE49-F238E27FC236}">
              <a16:creationId xmlns:a16="http://schemas.microsoft.com/office/drawing/2014/main" xmlns="" id="{00000000-0008-0000-0300-00006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2" name="Rectangle 771">
          <a:extLst>
            <a:ext uri="{FF2B5EF4-FFF2-40B4-BE49-F238E27FC236}">
              <a16:creationId xmlns:a16="http://schemas.microsoft.com/office/drawing/2014/main" xmlns="" id="{00000000-0008-0000-0300-00006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3" name="Rectangle 772">
          <a:extLst>
            <a:ext uri="{FF2B5EF4-FFF2-40B4-BE49-F238E27FC236}">
              <a16:creationId xmlns:a16="http://schemas.microsoft.com/office/drawing/2014/main" xmlns="" id="{00000000-0008-0000-0300-00006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4" name="Rectangle 773">
          <a:extLst>
            <a:ext uri="{FF2B5EF4-FFF2-40B4-BE49-F238E27FC236}">
              <a16:creationId xmlns:a16="http://schemas.microsoft.com/office/drawing/2014/main" xmlns="" id="{00000000-0008-0000-0300-00006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5" name="Rectangle 774">
          <a:extLst>
            <a:ext uri="{FF2B5EF4-FFF2-40B4-BE49-F238E27FC236}">
              <a16:creationId xmlns:a16="http://schemas.microsoft.com/office/drawing/2014/main" xmlns="" id="{00000000-0008-0000-0300-00006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6" name="Rectangle 775">
          <a:extLst>
            <a:ext uri="{FF2B5EF4-FFF2-40B4-BE49-F238E27FC236}">
              <a16:creationId xmlns:a16="http://schemas.microsoft.com/office/drawing/2014/main" xmlns="" id="{00000000-0008-0000-0300-00007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7" name="Rectangle 776">
          <a:extLst>
            <a:ext uri="{FF2B5EF4-FFF2-40B4-BE49-F238E27FC236}">
              <a16:creationId xmlns:a16="http://schemas.microsoft.com/office/drawing/2014/main" xmlns="" id="{00000000-0008-0000-0300-00007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8" name="Rectangle 777">
          <a:extLst>
            <a:ext uri="{FF2B5EF4-FFF2-40B4-BE49-F238E27FC236}">
              <a16:creationId xmlns:a16="http://schemas.microsoft.com/office/drawing/2014/main" xmlns="" id="{00000000-0008-0000-0300-00007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9" name="Rectangle 778">
          <a:extLst>
            <a:ext uri="{FF2B5EF4-FFF2-40B4-BE49-F238E27FC236}">
              <a16:creationId xmlns:a16="http://schemas.microsoft.com/office/drawing/2014/main" xmlns="" id="{00000000-0008-0000-0300-00007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0" name="Rectangle 779">
          <a:extLst>
            <a:ext uri="{FF2B5EF4-FFF2-40B4-BE49-F238E27FC236}">
              <a16:creationId xmlns:a16="http://schemas.microsoft.com/office/drawing/2014/main" xmlns="" id="{00000000-0008-0000-0300-00007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1" name="Rectangle 780">
          <a:extLst>
            <a:ext uri="{FF2B5EF4-FFF2-40B4-BE49-F238E27FC236}">
              <a16:creationId xmlns:a16="http://schemas.microsoft.com/office/drawing/2014/main" xmlns="" id="{00000000-0008-0000-0300-000075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2" name="Rectangle 781">
          <a:extLst>
            <a:ext uri="{FF2B5EF4-FFF2-40B4-BE49-F238E27FC236}">
              <a16:creationId xmlns:a16="http://schemas.microsoft.com/office/drawing/2014/main" xmlns="" id="{00000000-0008-0000-0300-000076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3" name="Rectangle 1617">
          <a:extLst>
            <a:ext uri="{FF2B5EF4-FFF2-40B4-BE49-F238E27FC236}">
              <a16:creationId xmlns:a16="http://schemas.microsoft.com/office/drawing/2014/main" xmlns="" id="{00000000-0008-0000-0300-00007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4" name="Rectangle 1618">
          <a:extLst>
            <a:ext uri="{FF2B5EF4-FFF2-40B4-BE49-F238E27FC236}">
              <a16:creationId xmlns:a16="http://schemas.microsoft.com/office/drawing/2014/main" xmlns="" id="{00000000-0008-0000-0300-00007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5" name="Rectangle 1619">
          <a:extLst>
            <a:ext uri="{FF2B5EF4-FFF2-40B4-BE49-F238E27FC236}">
              <a16:creationId xmlns:a16="http://schemas.microsoft.com/office/drawing/2014/main" xmlns="" id="{00000000-0008-0000-0300-00007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6" name="Rectangle 1620">
          <a:extLst>
            <a:ext uri="{FF2B5EF4-FFF2-40B4-BE49-F238E27FC236}">
              <a16:creationId xmlns:a16="http://schemas.microsoft.com/office/drawing/2014/main" xmlns="" id="{00000000-0008-0000-0300-00007A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7" name="Rectangle 1621">
          <a:extLst>
            <a:ext uri="{FF2B5EF4-FFF2-40B4-BE49-F238E27FC236}">
              <a16:creationId xmlns:a16="http://schemas.microsoft.com/office/drawing/2014/main" xmlns="" id="{00000000-0008-0000-0300-00007B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8" name="Rectangle 1622">
          <a:extLst>
            <a:ext uri="{FF2B5EF4-FFF2-40B4-BE49-F238E27FC236}">
              <a16:creationId xmlns:a16="http://schemas.microsoft.com/office/drawing/2014/main" xmlns="" id="{00000000-0008-0000-0300-00007C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9" name="Rectangle 1623">
          <a:extLst>
            <a:ext uri="{FF2B5EF4-FFF2-40B4-BE49-F238E27FC236}">
              <a16:creationId xmlns:a16="http://schemas.microsoft.com/office/drawing/2014/main" xmlns="" id="{00000000-0008-0000-0300-00007D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0" name="Rectangle 1624">
          <a:extLst>
            <a:ext uri="{FF2B5EF4-FFF2-40B4-BE49-F238E27FC236}">
              <a16:creationId xmlns:a16="http://schemas.microsoft.com/office/drawing/2014/main" xmlns="" id="{00000000-0008-0000-0300-00007E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1" name="Rectangle 1625">
          <a:extLst>
            <a:ext uri="{FF2B5EF4-FFF2-40B4-BE49-F238E27FC236}">
              <a16:creationId xmlns:a16="http://schemas.microsoft.com/office/drawing/2014/main" xmlns="" id="{00000000-0008-0000-0300-00007F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2" name="Rectangle 1626">
          <a:extLst>
            <a:ext uri="{FF2B5EF4-FFF2-40B4-BE49-F238E27FC236}">
              <a16:creationId xmlns:a16="http://schemas.microsoft.com/office/drawing/2014/main" xmlns="" id="{00000000-0008-0000-0300-000080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3" name="Rectangle 1627">
          <a:extLst>
            <a:ext uri="{FF2B5EF4-FFF2-40B4-BE49-F238E27FC236}">
              <a16:creationId xmlns:a16="http://schemas.microsoft.com/office/drawing/2014/main" xmlns="" id="{00000000-0008-0000-0300-000081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4" name="Rectangle 1628">
          <a:extLst>
            <a:ext uri="{FF2B5EF4-FFF2-40B4-BE49-F238E27FC236}">
              <a16:creationId xmlns:a16="http://schemas.microsoft.com/office/drawing/2014/main" xmlns="" id="{00000000-0008-0000-0300-000082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5" name="Rectangle 1629">
          <a:extLst>
            <a:ext uri="{FF2B5EF4-FFF2-40B4-BE49-F238E27FC236}">
              <a16:creationId xmlns:a16="http://schemas.microsoft.com/office/drawing/2014/main" xmlns="" id="{00000000-0008-0000-0300-000083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6" name="Rectangle 1630">
          <a:extLst>
            <a:ext uri="{FF2B5EF4-FFF2-40B4-BE49-F238E27FC236}">
              <a16:creationId xmlns:a16="http://schemas.microsoft.com/office/drawing/2014/main" xmlns="" id="{00000000-0008-0000-0300-000084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7" name="Rectangle 1631">
          <a:extLst>
            <a:ext uri="{FF2B5EF4-FFF2-40B4-BE49-F238E27FC236}">
              <a16:creationId xmlns:a16="http://schemas.microsoft.com/office/drawing/2014/main" xmlns="" id="{00000000-0008-0000-0300-000085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8" name="Rectangle 1632">
          <a:extLst>
            <a:ext uri="{FF2B5EF4-FFF2-40B4-BE49-F238E27FC236}">
              <a16:creationId xmlns:a16="http://schemas.microsoft.com/office/drawing/2014/main" xmlns="" id="{00000000-0008-0000-0300-000086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9" name="Rectangle 1633">
          <a:extLst>
            <a:ext uri="{FF2B5EF4-FFF2-40B4-BE49-F238E27FC236}">
              <a16:creationId xmlns:a16="http://schemas.microsoft.com/office/drawing/2014/main" xmlns="" id="{00000000-0008-0000-0300-000087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0" name="Rectangle 1634">
          <a:extLst>
            <a:ext uri="{FF2B5EF4-FFF2-40B4-BE49-F238E27FC236}">
              <a16:creationId xmlns:a16="http://schemas.microsoft.com/office/drawing/2014/main" xmlns="" id="{00000000-0008-0000-0300-000088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1" name="Rectangle 1635">
          <a:extLst>
            <a:ext uri="{FF2B5EF4-FFF2-40B4-BE49-F238E27FC236}">
              <a16:creationId xmlns:a16="http://schemas.microsoft.com/office/drawing/2014/main" xmlns="" id="{00000000-0008-0000-0300-00008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2" name="Rectangle 1636">
          <a:extLst>
            <a:ext uri="{FF2B5EF4-FFF2-40B4-BE49-F238E27FC236}">
              <a16:creationId xmlns:a16="http://schemas.microsoft.com/office/drawing/2014/main" xmlns="" id="{00000000-0008-0000-0300-00008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3" name="Rectangle 1637">
          <a:extLst>
            <a:ext uri="{FF2B5EF4-FFF2-40B4-BE49-F238E27FC236}">
              <a16:creationId xmlns:a16="http://schemas.microsoft.com/office/drawing/2014/main" xmlns="" id="{00000000-0008-0000-0300-00008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4" name="Rectangle 1638">
          <a:extLst>
            <a:ext uri="{FF2B5EF4-FFF2-40B4-BE49-F238E27FC236}">
              <a16:creationId xmlns:a16="http://schemas.microsoft.com/office/drawing/2014/main" xmlns="" id="{00000000-0008-0000-0300-00008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5" name="Rectangle 1639">
          <a:extLst>
            <a:ext uri="{FF2B5EF4-FFF2-40B4-BE49-F238E27FC236}">
              <a16:creationId xmlns:a16="http://schemas.microsoft.com/office/drawing/2014/main" xmlns="" id="{00000000-0008-0000-0300-00008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6" name="Rectangle 1640">
          <a:extLst>
            <a:ext uri="{FF2B5EF4-FFF2-40B4-BE49-F238E27FC236}">
              <a16:creationId xmlns:a16="http://schemas.microsoft.com/office/drawing/2014/main" xmlns="" id="{00000000-0008-0000-0300-00008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7" name="Rectangle 1641">
          <a:extLst>
            <a:ext uri="{FF2B5EF4-FFF2-40B4-BE49-F238E27FC236}">
              <a16:creationId xmlns:a16="http://schemas.microsoft.com/office/drawing/2014/main" xmlns="" id="{00000000-0008-0000-0300-00008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8" name="Rectangle 1642">
          <a:extLst>
            <a:ext uri="{FF2B5EF4-FFF2-40B4-BE49-F238E27FC236}">
              <a16:creationId xmlns:a16="http://schemas.microsoft.com/office/drawing/2014/main" xmlns="" id="{00000000-0008-0000-0300-00009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9" name="Rectangle 1643">
          <a:extLst>
            <a:ext uri="{FF2B5EF4-FFF2-40B4-BE49-F238E27FC236}">
              <a16:creationId xmlns:a16="http://schemas.microsoft.com/office/drawing/2014/main" xmlns="" id="{00000000-0008-0000-0300-00009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0" name="Rectangle 1644">
          <a:extLst>
            <a:ext uri="{FF2B5EF4-FFF2-40B4-BE49-F238E27FC236}">
              <a16:creationId xmlns:a16="http://schemas.microsoft.com/office/drawing/2014/main" xmlns="" id="{00000000-0008-0000-0300-00009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1" name="Rectangle 1645">
          <a:extLst>
            <a:ext uri="{FF2B5EF4-FFF2-40B4-BE49-F238E27FC236}">
              <a16:creationId xmlns:a16="http://schemas.microsoft.com/office/drawing/2014/main" xmlns="" id="{00000000-0008-0000-0300-00009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2" name="Rectangle 1646">
          <a:extLst>
            <a:ext uri="{FF2B5EF4-FFF2-40B4-BE49-F238E27FC236}">
              <a16:creationId xmlns:a16="http://schemas.microsoft.com/office/drawing/2014/main" xmlns="" id="{00000000-0008-0000-0300-00009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3" name="Rectangle 1647">
          <a:extLst>
            <a:ext uri="{FF2B5EF4-FFF2-40B4-BE49-F238E27FC236}">
              <a16:creationId xmlns:a16="http://schemas.microsoft.com/office/drawing/2014/main" xmlns="" id="{00000000-0008-0000-0300-00009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4" name="Rectangle 1648">
          <a:extLst>
            <a:ext uri="{FF2B5EF4-FFF2-40B4-BE49-F238E27FC236}">
              <a16:creationId xmlns:a16="http://schemas.microsoft.com/office/drawing/2014/main" xmlns="" id="{00000000-0008-0000-0300-00009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5" name="Rectangle 1649">
          <a:extLst>
            <a:ext uri="{FF2B5EF4-FFF2-40B4-BE49-F238E27FC236}">
              <a16:creationId xmlns:a16="http://schemas.microsoft.com/office/drawing/2014/main" xmlns="" id="{00000000-0008-0000-0300-00009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6" name="Rectangle 1650">
          <a:extLst>
            <a:ext uri="{FF2B5EF4-FFF2-40B4-BE49-F238E27FC236}">
              <a16:creationId xmlns:a16="http://schemas.microsoft.com/office/drawing/2014/main" xmlns="" id="{00000000-0008-0000-0300-00009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7" name="Rectangle 1651">
          <a:extLst>
            <a:ext uri="{FF2B5EF4-FFF2-40B4-BE49-F238E27FC236}">
              <a16:creationId xmlns:a16="http://schemas.microsoft.com/office/drawing/2014/main" xmlns="" id="{00000000-0008-0000-0300-000099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8" name="Rectangle 1652">
          <a:extLst>
            <a:ext uri="{FF2B5EF4-FFF2-40B4-BE49-F238E27FC236}">
              <a16:creationId xmlns:a16="http://schemas.microsoft.com/office/drawing/2014/main" xmlns="" id="{00000000-0008-0000-0300-00009A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9" name="Rectangle 1653">
          <a:extLst>
            <a:ext uri="{FF2B5EF4-FFF2-40B4-BE49-F238E27FC236}">
              <a16:creationId xmlns:a16="http://schemas.microsoft.com/office/drawing/2014/main" xmlns="" id="{00000000-0008-0000-0300-00009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0" name="Rectangle 1654">
          <a:extLst>
            <a:ext uri="{FF2B5EF4-FFF2-40B4-BE49-F238E27FC236}">
              <a16:creationId xmlns:a16="http://schemas.microsoft.com/office/drawing/2014/main" xmlns="" id="{00000000-0008-0000-0300-00009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1" name="Rectangle 1655">
          <a:extLst>
            <a:ext uri="{FF2B5EF4-FFF2-40B4-BE49-F238E27FC236}">
              <a16:creationId xmlns:a16="http://schemas.microsoft.com/office/drawing/2014/main" xmlns="" id="{00000000-0008-0000-0300-00009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2" name="Rectangle 1656">
          <a:extLst>
            <a:ext uri="{FF2B5EF4-FFF2-40B4-BE49-F238E27FC236}">
              <a16:creationId xmlns:a16="http://schemas.microsoft.com/office/drawing/2014/main" xmlns="" id="{00000000-0008-0000-0300-00009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3" name="Rectangle 1657">
          <a:extLst>
            <a:ext uri="{FF2B5EF4-FFF2-40B4-BE49-F238E27FC236}">
              <a16:creationId xmlns:a16="http://schemas.microsoft.com/office/drawing/2014/main" xmlns="" id="{00000000-0008-0000-0300-00009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4" name="Rectangle 1658">
          <a:extLst>
            <a:ext uri="{FF2B5EF4-FFF2-40B4-BE49-F238E27FC236}">
              <a16:creationId xmlns:a16="http://schemas.microsoft.com/office/drawing/2014/main" xmlns="" id="{00000000-0008-0000-0300-0000A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5" name="Rectangle 1659">
          <a:extLst>
            <a:ext uri="{FF2B5EF4-FFF2-40B4-BE49-F238E27FC236}">
              <a16:creationId xmlns:a16="http://schemas.microsoft.com/office/drawing/2014/main" xmlns="" id="{00000000-0008-0000-0300-0000A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6" name="Rectangle 1660">
          <a:extLst>
            <a:ext uri="{FF2B5EF4-FFF2-40B4-BE49-F238E27FC236}">
              <a16:creationId xmlns:a16="http://schemas.microsoft.com/office/drawing/2014/main" xmlns="" id="{00000000-0008-0000-0300-0000A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7" name="Rectangle 1661">
          <a:extLst>
            <a:ext uri="{FF2B5EF4-FFF2-40B4-BE49-F238E27FC236}">
              <a16:creationId xmlns:a16="http://schemas.microsoft.com/office/drawing/2014/main" xmlns="" id="{00000000-0008-0000-0300-0000A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8" name="Rectangle 1662">
          <a:extLst>
            <a:ext uri="{FF2B5EF4-FFF2-40B4-BE49-F238E27FC236}">
              <a16:creationId xmlns:a16="http://schemas.microsoft.com/office/drawing/2014/main" xmlns="" id="{00000000-0008-0000-0300-0000A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69" name="Rectangle 782">
          <a:extLst>
            <a:ext uri="{FF2B5EF4-FFF2-40B4-BE49-F238E27FC236}">
              <a16:creationId xmlns:a16="http://schemas.microsoft.com/office/drawing/2014/main" xmlns="" id="{00000000-0008-0000-0300-0000A5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0" name="Rectangle 783">
          <a:extLst>
            <a:ext uri="{FF2B5EF4-FFF2-40B4-BE49-F238E27FC236}">
              <a16:creationId xmlns:a16="http://schemas.microsoft.com/office/drawing/2014/main" xmlns="" id="{00000000-0008-0000-0300-0000A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1" name="Rectangle 784">
          <a:extLst>
            <a:ext uri="{FF2B5EF4-FFF2-40B4-BE49-F238E27FC236}">
              <a16:creationId xmlns:a16="http://schemas.microsoft.com/office/drawing/2014/main" xmlns="" id="{00000000-0008-0000-0300-0000A7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2" name="Rectangle 785">
          <a:extLst>
            <a:ext uri="{FF2B5EF4-FFF2-40B4-BE49-F238E27FC236}">
              <a16:creationId xmlns:a16="http://schemas.microsoft.com/office/drawing/2014/main" xmlns="" id="{00000000-0008-0000-0300-0000A8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3" name="Rectangle 786">
          <a:extLst>
            <a:ext uri="{FF2B5EF4-FFF2-40B4-BE49-F238E27FC236}">
              <a16:creationId xmlns:a16="http://schemas.microsoft.com/office/drawing/2014/main" xmlns="" id="{00000000-0008-0000-0300-0000A9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4" name="Rectangle 787">
          <a:extLst>
            <a:ext uri="{FF2B5EF4-FFF2-40B4-BE49-F238E27FC236}">
              <a16:creationId xmlns:a16="http://schemas.microsoft.com/office/drawing/2014/main" xmlns="" id="{00000000-0008-0000-0300-0000AA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5" name="Rectangle 788">
          <a:extLst>
            <a:ext uri="{FF2B5EF4-FFF2-40B4-BE49-F238E27FC236}">
              <a16:creationId xmlns:a16="http://schemas.microsoft.com/office/drawing/2014/main" xmlns="" id="{00000000-0008-0000-0300-0000AB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6" name="Rectangle 789">
          <a:extLst>
            <a:ext uri="{FF2B5EF4-FFF2-40B4-BE49-F238E27FC236}">
              <a16:creationId xmlns:a16="http://schemas.microsoft.com/office/drawing/2014/main" xmlns="" id="{00000000-0008-0000-0300-0000AC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7" name="Rectangle 790">
          <a:extLst>
            <a:ext uri="{FF2B5EF4-FFF2-40B4-BE49-F238E27FC236}">
              <a16:creationId xmlns:a16="http://schemas.microsoft.com/office/drawing/2014/main" xmlns="" id="{00000000-0008-0000-0300-0000AD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8" name="Rectangle 791">
          <a:extLst>
            <a:ext uri="{FF2B5EF4-FFF2-40B4-BE49-F238E27FC236}">
              <a16:creationId xmlns:a16="http://schemas.microsoft.com/office/drawing/2014/main" xmlns="" id="{00000000-0008-0000-0300-0000AE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9" name="Rectangle 792">
          <a:extLst>
            <a:ext uri="{FF2B5EF4-FFF2-40B4-BE49-F238E27FC236}">
              <a16:creationId xmlns:a16="http://schemas.microsoft.com/office/drawing/2014/main" xmlns="" id="{00000000-0008-0000-0300-0000AF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0" name="Rectangle 793">
          <a:extLst>
            <a:ext uri="{FF2B5EF4-FFF2-40B4-BE49-F238E27FC236}">
              <a16:creationId xmlns:a16="http://schemas.microsoft.com/office/drawing/2014/main" xmlns="" id="{00000000-0008-0000-0300-0000B0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1" name="Rectangle 794">
          <a:extLst>
            <a:ext uri="{FF2B5EF4-FFF2-40B4-BE49-F238E27FC236}">
              <a16:creationId xmlns:a16="http://schemas.microsoft.com/office/drawing/2014/main" xmlns="" id="{00000000-0008-0000-0300-0000B1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2" name="Rectangle 795">
          <a:extLst>
            <a:ext uri="{FF2B5EF4-FFF2-40B4-BE49-F238E27FC236}">
              <a16:creationId xmlns:a16="http://schemas.microsoft.com/office/drawing/2014/main" xmlns="" id="{00000000-0008-0000-0300-0000B2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3" name="Rectangle 796">
          <a:extLst>
            <a:ext uri="{FF2B5EF4-FFF2-40B4-BE49-F238E27FC236}">
              <a16:creationId xmlns:a16="http://schemas.microsoft.com/office/drawing/2014/main" xmlns="" id="{00000000-0008-0000-0300-0000B3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4" name="Rectangle 797">
          <a:extLst>
            <a:ext uri="{FF2B5EF4-FFF2-40B4-BE49-F238E27FC236}">
              <a16:creationId xmlns:a16="http://schemas.microsoft.com/office/drawing/2014/main" xmlns="" id="{00000000-0008-0000-0300-0000B4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5" name="Rectangle 798">
          <a:extLst>
            <a:ext uri="{FF2B5EF4-FFF2-40B4-BE49-F238E27FC236}">
              <a16:creationId xmlns:a16="http://schemas.microsoft.com/office/drawing/2014/main" xmlns="" id="{00000000-0008-0000-0300-0000B5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6" name="Rectangle 799">
          <a:extLst>
            <a:ext uri="{FF2B5EF4-FFF2-40B4-BE49-F238E27FC236}">
              <a16:creationId xmlns:a16="http://schemas.microsoft.com/office/drawing/2014/main" xmlns="" id="{00000000-0008-0000-0300-0000B6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7" name="Rectangle 800">
          <a:extLst>
            <a:ext uri="{FF2B5EF4-FFF2-40B4-BE49-F238E27FC236}">
              <a16:creationId xmlns:a16="http://schemas.microsoft.com/office/drawing/2014/main" xmlns="" id="{00000000-0008-0000-0300-0000B7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8" name="Rectangle 801">
          <a:extLst>
            <a:ext uri="{FF2B5EF4-FFF2-40B4-BE49-F238E27FC236}">
              <a16:creationId xmlns:a16="http://schemas.microsoft.com/office/drawing/2014/main" xmlns="" id="{00000000-0008-0000-0300-0000B8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9" name="Rectangle 802">
          <a:extLst>
            <a:ext uri="{FF2B5EF4-FFF2-40B4-BE49-F238E27FC236}">
              <a16:creationId xmlns:a16="http://schemas.microsoft.com/office/drawing/2014/main" xmlns="" id="{00000000-0008-0000-0300-0000B9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0" name="Rectangle 803">
          <a:extLst>
            <a:ext uri="{FF2B5EF4-FFF2-40B4-BE49-F238E27FC236}">
              <a16:creationId xmlns:a16="http://schemas.microsoft.com/office/drawing/2014/main" xmlns="" id="{00000000-0008-0000-0300-0000BA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1" name="Rectangle 804">
          <a:extLst>
            <a:ext uri="{FF2B5EF4-FFF2-40B4-BE49-F238E27FC236}">
              <a16:creationId xmlns:a16="http://schemas.microsoft.com/office/drawing/2014/main" xmlns="" id="{00000000-0008-0000-0300-0000BB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2" name="Rectangle 805">
          <a:extLst>
            <a:ext uri="{FF2B5EF4-FFF2-40B4-BE49-F238E27FC236}">
              <a16:creationId xmlns:a16="http://schemas.microsoft.com/office/drawing/2014/main" xmlns="" id="{00000000-0008-0000-0300-0000BC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3" name="Rectangle 806">
          <a:extLst>
            <a:ext uri="{FF2B5EF4-FFF2-40B4-BE49-F238E27FC236}">
              <a16:creationId xmlns:a16="http://schemas.microsoft.com/office/drawing/2014/main" xmlns="" id="{00000000-0008-0000-0300-0000BD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4" name="Rectangle 807">
          <a:extLst>
            <a:ext uri="{FF2B5EF4-FFF2-40B4-BE49-F238E27FC236}">
              <a16:creationId xmlns:a16="http://schemas.microsoft.com/office/drawing/2014/main" xmlns="" id="{00000000-0008-0000-0300-0000BE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5" name="Rectangle 808">
          <a:extLst>
            <a:ext uri="{FF2B5EF4-FFF2-40B4-BE49-F238E27FC236}">
              <a16:creationId xmlns:a16="http://schemas.microsoft.com/office/drawing/2014/main" xmlns="" id="{00000000-0008-0000-0300-0000BF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6" name="Rectangle 809">
          <a:extLst>
            <a:ext uri="{FF2B5EF4-FFF2-40B4-BE49-F238E27FC236}">
              <a16:creationId xmlns:a16="http://schemas.microsoft.com/office/drawing/2014/main" xmlns="" id="{00000000-0008-0000-0300-0000C0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7" name="Rectangle 810">
          <a:extLst>
            <a:ext uri="{FF2B5EF4-FFF2-40B4-BE49-F238E27FC236}">
              <a16:creationId xmlns:a16="http://schemas.microsoft.com/office/drawing/2014/main" xmlns="" id="{00000000-0008-0000-0300-0000C1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8" name="Rectangle 811">
          <a:extLst>
            <a:ext uri="{FF2B5EF4-FFF2-40B4-BE49-F238E27FC236}">
              <a16:creationId xmlns:a16="http://schemas.microsoft.com/office/drawing/2014/main" xmlns="" id="{00000000-0008-0000-0300-0000C2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9" name="Rectangle 812">
          <a:extLst>
            <a:ext uri="{FF2B5EF4-FFF2-40B4-BE49-F238E27FC236}">
              <a16:creationId xmlns:a16="http://schemas.microsoft.com/office/drawing/2014/main" xmlns="" id="{00000000-0008-0000-0300-0000C3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0" name="Rectangle 813">
          <a:extLst>
            <a:ext uri="{FF2B5EF4-FFF2-40B4-BE49-F238E27FC236}">
              <a16:creationId xmlns:a16="http://schemas.microsoft.com/office/drawing/2014/main" xmlns="" id="{00000000-0008-0000-0300-0000C4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101" name="Rectangle 814">
          <a:extLst>
            <a:ext uri="{FF2B5EF4-FFF2-40B4-BE49-F238E27FC236}">
              <a16:creationId xmlns:a16="http://schemas.microsoft.com/office/drawing/2014/main" xmlns="" id="{00000000-0008-0000-0300-0000C5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2" name="Rectangle 815">
          <a:extLst>
            <a:ext uri="{FF2B5EF4-FFF2-40B4-BE49-F238E27FC236}">
              <a16:creationId xmlns:a16="http://schemas.microsoft.com/office/drawing/2014/main" xmlns="" id="{00000000-0008-0000-0300-0000C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3" name="Rectangle 816">
          <a:extLst>
            <a:ext uri="{FF2B5EF4-FFF2-40B4-BE49-F238E27FC236}">
              <a16:creationId xmlns:a16="http://schemas.microsoft.com/office/drawing/2014/main" xmlns="" id="{00000000-0008-0000-0300-0000C7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4" name="Rectangle 817">
          <a:extLst>
            <a:ext uri="{FF2B5EF4-FFF2-40B4-BE49-F238E27FC236}">
              <a16:creationId xmlns:a16="http://schemas.microsoft.com/office/drawing/2014/main" xmlns="" id="{00000000-0008-0000-0300-0000C8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5" name="Rectangle 818">
          <a:extLst>
            <a:ext uri="{FF2B5EF4-FFF2-40B4-BE49-F238E27FC236}">
              <a16:creationId xmlns:a16="http://schemas.microsoft.com/office/drawing/2014/main" xmlns="" id="{00000000-0008-0000-0300-0000C9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6" name="Rectangle 819">
          <a:extLst>
            <a:ext uri="{FF2B5EF4-FFF2-40B4-BE49-F238E27FC236}">
              <a16:creationId xmlns:a16="http://schemas.microsoft.com/office/drawing/2014/main" xmlns="" id="{00000000-0008-0000-0300-0000CA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7" name="Rectangle 820">
          <a:extLst>
            <a:ext uri="{FF2B5EF4-FFF2-40B4-BE49-F238E27FC236}">
              <a16:creationId xmlns:a16="http://schemas.microsoft.com/office/drawing/2014/main" xmlns="" id="{00000000-0008-0000-0300-0000CB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8" name="Rectangle 821">
          <a:extLst>
            <a:ext uri="{FF2B5EF4-FFF2-40B4-BE49-F238E27FC236}">
              <a16:creationId xmlns:a16="http://schemas.microsoft.com/office/drawing/2014/main" xmlns="" id="{00000000-0008-0000-0300-0000CC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9" name="Rectangle 822">
          <a:extLst>
            <a:ext uri="{FF2B5EF4-FFF2-40B4-BE49-F238E27FC236}">
              <a16:creationId xmlns:a16="http://schemas.microsoft.com/office/drawing/2014/main" xmlns="" id="{00000000-0008-0000-0300-0000CD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0" name="Rectangle 823">
          <a:extLst>
            <a:ext uri="{FF2B5EF4-FFF2-40B4-BE49-F238E27FC236}">
              <a16:creationId xmlns:a16="http://schemas.microsoft.com/office/drawing/2014/main" xmlns="" id="{00000000-0008-0000-0300-0000CE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1" name="Rectangle 824">
          <a:extLst>
            <a:ext uri="{FF2B5EF4-FFF2-40B4-BE49-F238E27FC236}">
              <a16:creationId xmlns:a16="http://schemas.microsoft.com/office/drawing/2014/main" xmlns="" id="{00000000-0008-0000-0300-0000CF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2" name="Rectangle 825">
          <a:extLst>
            <a:ext uri="{FF2B5EF4-FFF2-40B4-BE49-F238E27FC236}">
              <a16:creationId xmlns:a16="http://schemas.microsoft.com/office/drawing/2014/main" xmlns="" id="{00000000-0008-0000-0300-0000D0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3" name="Rectangle 826">
          <a:extLst>
            <a:ext uri="{FF2B5EF4-FFF2-40B4-BE49-F238E27FC236}">
              <a16:creationId xmlns:a16="http://schemas.microsoft.com/office/drawing/2014/main" xmlns="" id="{00000000-0008-0000-0300-0000D1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4" name="Rectangle 827">
          <a:extLst>
            <a:ext uri="{FF2B5EF4-FFF2-40B4-BE49-F238E27FC236}">
              <a16:creationId xmlns:a16="http://schemas.microsoft.com/office/drawing/2014/main" xmlns="" id="{00000000-0008-0000-0300-0000D2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5" name="Rectangle 828">
          <a:extLst>
            <a:ext uri="{FF2B5EF4-FFF2-40B4-BE49-F238E27FC236}">
              <a16:creationId xmlns:a16="http://schemas.microsoft.com/office/drawing/2014/main" xmlns="" id="{00000000-0008-0000-0300-0000D3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6" name="Rectangle 829">
          <a:extLst>
            <a:ext uri="{FF2B5EF4-FFF2-40B4-BE49-F238E27FC236}">
              <a16:creationId xmlns:a16="http://schemas.microsoft.com/office/drawing/2014/main" xmlns="" id="{00000000-0008-0000-0300-0000D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17" name="Rectangle 830">
          <a:extLst>
            <a:ext uri="{FF2B5EF4-FFF2-40B4-BE49-F238E27FC236}">
              <a16:creationId xmlns:a16="http://schemas.microsoft.com/office/drawing/2014/main" xmlns="" id="{00000000-0008-0000-0300-0000D5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8" name="Rectangle 831">
          <a:extLst>
            <a:ext uri="{FF2B5EF4-FFF2-40B4-BE49-F238E27FC236}">
              <a16:creationId xmlns:a16="http://schemas.microsoft.com/office/drawing/2014/main" xmlns="" id="{00000000-0008-0000-0300-0000D6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9" name="Rectangle 832">
          <a:extLst>
            <a:ext uri="{FF2B5EF4-FFF2-40B4-BE49-F238E27FC236}">
              <a16:creationId xmlns:a16="http://schemas.microsoft.com/office/drawing/2014/main" xmlns="" id="{00000000-0008-0000-0300-0000D7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0" name="Rectangle 833">
          <a:extLst>
            <a:ext uri="{FF2B5EF4-FFF2-40B4-BE49-F238E27FC236}">
              <a16:creationId xmlns:a16="http://schemas.microsoft.com/office/drawing/2014/main" xmlns="" id="{00000000-0008-0000-0300-0000D8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1" name="Rectangle 834">
          <a:extLst>
            <a:ext uri="{FF2B5EF4-FFF2-40B4-BE49-F238E27FC236}">
              <a16:creationId xmlns:a16="http://schemas.microsoft.com/office/drawing/2014/main" xmlns="" id="{00000000-0008-0000-0300-0000D9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2" name="Rectangle 835">
          <a:extLst>
            <a:ext uri="{FF2B5EF4-FFF2-40B4-BE49-F238E27FC236}">
              <a16:creationId xmlns:a16="http://schemas.microsoft.com/office/drawing/2014/main" xmlns="" id="{00000000-0008-0000-0300-0000DA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3" name="Rectangle 836">
          <a:extLst>
            <a:ext uri="{FF2B5EF4-FFF2-40B4-BE49-F238E27FC236}">
              <a16:creationId xmlns:a16="http://schemas.microsoft.com/office/drawing/2014/main" xmlns="" id="{00000000-0008-0000-0300-0000DB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4" name="Rectangle 837">
          <a:extLst>
            <a:ext uri="{FF2B5EF4-FFF2-40B4-BE49-F238E27FC236}">
              <a16:creationId xmlns:a16="http://schemas.microsoft.com/office/drawing/2014/main" xmlns="" id="{00000000-0008-0000-0300-0000DC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5" name="Rectangle 838">
          <a:extLst>
            <a:ext uri="{FF2B5EF4-FFF2-40B4-BE49-F238E27FC236}">
              <a16:creationId xmlns:a16="http://schemas.microsoft.com/office/drawing/2014/main" xmlns="" id="{00000000-0008-0000-0300-0000DD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6" name="Rectangle 839">
          <a:extLst>
            <a:ext uri="{FF2B5EF4-FFF2-40B4-BE49-F238E27FC236}">
              <a16:creationId xmlns:a16="http://schemas.microsoft.com/office/drawing/2014/main" xmlns="" id="{00000000-0008-0000-0300-0000DE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7" name="Rectangle 840">
          <a:extLst>
            <a:ext uri="{FF2B5EF4-FFF2-40B4-BE49-F238E27FC236}">
              <a16:creationId xmlns:a16="http://schemas.microsoft.com/office/drawing/2014/main" xmlns="" id="{00000000-0008-0000-0300-0000DF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8" name="Rectangle 841">
          <a:extLst>
            <a:ext uri="{FF2B5EF4-FFF2-40B4-BE49-F238E27FC236}">
              <a16:creationId xmlns:a16="http://schemas.microsoft.com/office/drawing/2014/main" xmlns="" id="{00000000-0008-0000-0300-0000E0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9" name="Rectangle 842">
          <a:extLst>
            <a:ext uri="{FF2B5EF4-FFF2-40B4-BE49-F238E27FC236}">
              <a16:creationId xmlns:a16="http://schemas.microsoft.com/office/drawing/2014/main" xmlns="" id="{00000000-0008-0000-0300-0000E1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0" name="Rectangle 843">
          <a:extLst>
            <a:ext uri="{FF2B5EF4-FFF2-40B4-BE49-F238E27FC236}">
              <a16:creationId xmlns:a16="http://schemas.microsoft.com/office/drawing/2014/main" xmlns="" id="{00000000-0008-0000-0300-0000E2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1" name="Rectangle 844">
          <a:extLst>
            <a:ext uri="{FF2B5EF4-FFF2-40B4-BE49-F238E27FC236}">
              <a16:creationId xmlns:a16="http://schemas.microsoft.com/office/drawing/2014/main" xmlns="" id="{00000000-0008-0000-0300-0000E3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2" name="Rectangle 845">
          <a:extLst>
            <a:ext uri="{FF2B5EF4-FFF2-40B4-BE49-F238E27FC236}">
              <a16:creationId xmlns:a16="http://schemas.microsoft.com/office/drawing/2014/main" xmlns="" id="{00000000-0008-0000-0300-0000E4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3" name="Rectangle 846">
          <a:extLst>
            <a:ext uri="{FF2B5EF4-FFF2-40B4-BE49-F238E27FC236}">
              <a16:creationId xmlns:a16="http://schemas.microsoft.com/office/drawing/2014/main" xmlns="" id="{00000000-0008-0000-0300-0000E5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4" name="Rectangle 847">
          <a:extLst>
            <a:ext uri="{FF2B5EF4-FFF2-40B4-BE49-F238E27FC236}">
              <a16:creationId xmlns:a16="http://schemas.microsoft.com/office/drawing/2014/main" xmlns="" id="{00000000-0008-0000-0300-0000E6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5" name="Rectangle 848">
          <a:extLst>
            <a:ext uri="{FF2B5EF4-FFF2-40B4-BE49-F238E27FC236}">
              <a16:creationId xmlns:a16="http://schemas.microsoft.com/office/drawing/2014/main" xmlns="" id="{00000000-0008-0000-0300-0000E7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6" name="Rectangle 849">
          <a:extLst>
            <a:ext uri="{FF2B5EF4-FFF2-40B4-BE49-F238E27FC236}">
              <a16:creationId xmlns:a16="http://schemas.microsoft.com/office/drawing/2014/main" xmlns="" id="{00000000-0008-0000-0300-0000E8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7" name="Rectangle 850">
          <a:extLst>
            <a:ext uri="{FF2B5EF4-FFF2-40B4-BE49-F238E27FC236}">
              <a16:creationId xmlns:a16="http://schemas.microsoft.com/office/drawing/2014/main" xmlns="" id="{00000000-0008-0000-0300-0000E9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8" name="Rectangle 851">
          <a:extLst>
            <a:ext uri="{FF2B5EF4-FFF2-40B4-BE49-F238E27FC236}">
              <a16:creationId xmlns:a16="http://schemas.microsoft.com/office/drawing/2014/main" xmlns="" id="{00000000-0008-0000-0300-0000EA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9" name="Rectangle 852">
          <a:extLst>
            <a:ext uri="{FF2B5EF4-FFF2-40B4-BE49-F238E27FC236}">
              <a16:creationId xmlns:a16="http://schemas.microsoft.com/office/drawing/2014/main" xmlns="" id="{00000000-0008-0000-0300-0000EB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0" name="Rectangle 853">
          <a:extLst>
            <a:ext uri="{FF2B5EF4-FFF2-40B4-BE49-F238E27FC236}">
              <a16:creationId xmlns:a16="http://schemas.microsoft.com/office/drawing/2014/main" xmlns="" id="{00000000-0008-0000-0300-0000EC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1" name="Rectangle 854">
          <a:extLst>
            <a:ext uri="{FF2B5EF4-FFF2-40B4-BE49-F238E27FC236}">
              <a16:creationId xmlns:a16="http://schemas.microsoft.com/office/drawing/2014/main" xmlns="" id="{00000000-0008-0000-0300-0000ED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2" name="Rectangle 855">
          <a:extLst>
            <a:ext uri="{FF2B5EF4-FFF2-40B4-BE49-F238E27FC236}">
              <a16:creationId xmlns:a16="http://schemas.microsoft.com/office/drawing/2014/main" xmlns="" id="{00000000-0008-0000-0300-0000EE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3" name="Rectangle 856">
          <a:extLst>
            <a:ext uri="{FF2B5EF4-FFF2-40B4-BE49-F238E27FC236}">
              <a16:creationId xmlns:a16="http://schemas.microsoft.com/office/drawing/2014/main" xmlns="" id="{00000000-0008-0000-0300-0000EF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4" name="Rectangle 857">
          <a:extLst>
            <a:ext uri="{FF2B5EF4-FFF2-40B4-BE49-F238E27FC236}">
              <a16:creationId xmlns:a16="http://schemas.microsoft.com/office/drawing/2014/main" xmlns="" id="{00000000-0008-0000-0300-0000F0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5" name="Rectangle 858">
          <a:extLst>
            <a:ext uri="{FF2B5EF4-FFF2-40B4-BE49-F238E27FC236}">
              <a16:creationId xmlns:a16="http://schemas.microsoft.com/office/drawing/2014/main" xmlns="" id="{00000000-0008-0000-0300-0000F1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6" name="Rectangle 859">
          <a:extLst>
            <a:ext uri="{FF2B5EF4-FFF2-40B4-BE49-F238E27FC236}">
              <a16:creationId xmlns:a16="http://schemas.microsoft.com/office/drawing/2014/main" xmlns="" id="{00000000-0008-0000-0300-0000F2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7" name="Rectangle 860">
          <a:extLst>
            <a:ext uri="{FF2B5EF4-FFF2-40B4-BE49-F238E27FC236}">
              <a16:creationId xmlns:a16="http://schemas.microsoft.com/office/drawing/2014/main" xmlns="" id="{00000000-0008-0000-0300-0000F3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8" name="Rectangle 861">
          <a:extLst>
            <a:ext uri="{FF2B5EF4-FFF2-40B4-BE49-F238E27FC236}">
              <a16:creationId xmlns:a16="http://schemas.microsoft.com/office/drawing/2014/main" xmlns="" id="{00000000-0008-0000-0300-0000F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49" name="Rectangle 862">
          <a:extLst>
            <a:ext uri="{FF2B5EF4-FFF2-40B4-BE49-F238E27FC236}">
              <a16:creationId xmlns:a16="http://schemas.microsoft.com/office/drawing/2014/main" xmlns="" id="{00000000-0008-0000-0300-0000F5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0" name="Rectangle 863">
          <a:extLst>
            <a:ext uri="{FF2B5EF4-FFF2-40B4-BE49-F238E27FC236}">
              <a16:creationId xmlns:a16="http://schemas.microsoft.com/office/drawing/2014/main" xmlns="" id="{00000000-0008-0000-0300-0000F6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1" name="Rectangle 864">
          <a:extLst>
            <a:ext uri="{FF2B5EF4-FFF2-40B4-BE49-F238E27FC236}">
              <a16:creationId xmlns:a16="http://schemas.microsoft.com/office/drawing/2014/main" xmlns="" id="{00000000-0008-0000-0300-0000F7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2" name="Rectangle 865">
          <a:extLst>
            <a:ext uri="{FF2B5EF4-FFF2-40B4-BE49-F238E27FC236}">
              <a16:creationId xmlns:a16="http://schemas.microsoft.com/office/drawing/2014/main" xmlns="" id="{00000000-0008-0000-0300-0000F8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3" name="Rectangle 866">
          <a:extLst>
            <a:ext uri="{FF2B5EF4-FFF2-40B4-BE49-F238E27FC236}">
              <a16:creationId xmlns:a16="http://schemas.microsoft.com/office/drawing/2014/main" xmlns="" id="{00000000-0008-0000-0300-0000F9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4" name="Rectangle 867">
          <a:extLst>
            <a:ext uri="{FF2B5EF4-FFF2-40B4-BE49-F238E27FC236}">
              <a16:creationId xmlns:a16="http://schemas.microsoft.com/office/drawing/2014/main" xmlns="" id="{00000000-0008-0000-0300-0000FA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5" name="Rectangle 868">
          <a:extLst>
            <a:ext uri="{FF2B5EF4-FFF2-40B4-BE49-F238E27FC236}">
              <a16:creationId xmlns:a16="http://schemas.microsoft.com/office/drawing/2014/main" xmlns="" id="{00000000-0008-0000-0300-0000FB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6" name="Rectangle 869">
          <a:extLst>
            <a:ext uri="{FF2B5EF4-FFF2-40B4-BE49-F238E27FC236}">
              <a16:creationId xmlns:a16="http://schemas.microsoft.com/office/drawing/2014/main" xmlns="" id="{00000000-0008-0000-0300-0000FC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7" name="Rectangle 870">
          <a:extLst>
            <a:ext uri="{FF2B5EF4-FFF2-40B4-BE49-F238E27FC236}">
              <a16:creationId xmlns:a16="http://schemas.microsoft.com/office/drawing/2014/main" xmlns="" id="{00000000-0008-0000-0300-0000FD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8" name="Rectangle 871">
          <a:extLst>
            <a:ext uri="{FF2B5EF4-FFF2-40B4-BE49-F238E27FC236}">
              <a16:creationId xmlns:a16="http://schemas.microsoft.com/office/drawing/2014/main" xmlns="" id="{00000000-0008-0000-0300-0000FE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9" name="Rectangle 872">
          <a:extLst>
            <a:ext uri="{FF2B5EF4-FFF2-40B4-BE49-F238E27FC236}">
              <a16:creationId xmlns:a16="http://schemas.microsoft.com/office/drawing/2014/main" xmlns="" id="{00000000-0008-0000-0300-0000FF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60" name="Rectangle 873">
          <a:extLst>
            <a:ext uri="{FF2B5EF4-FFF2-40B4-BE49-F238E27FC236}">
              <a16:creationId xmlns:a16="http://schemas.microsoft.com/office/drawing/2014/main" xmlns="" id="{00000000-0008-0000-0300-000000AC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1" name="Rectangle 874">
          <a:extLst>
            <a:ext uri="{FF2B5EF4-FFF2-40B4-BE49-F238E27FC236}">
              <a16:creationId xmlns:a16="http://schemas.microsoft.com/office/drawing/2014/main" xmlns="" id="{00000000-0008-0000-0300-000001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2" name="Rectangle 875">
          <a:extLst>
            <a:ext uri="{FF2B5EF4-FFF2-40B4-BE49-F238E27FC236}">
              <a16:creationId xmlns:a16="http://schemas.microsoft.com/office/drawing/2014/main" xmlns="" id="{00000000-0008-0000-0300-00000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3" name="Rectangle 876">
          <a:extLst>
            <a:ext uri="{FF2B5EF4-FFF2-40B4-BE49-F238E27FC236}">
              <a16:creationId xmlns:a16="http://schemas.microsoft.com/office/drawing/2014/main" xmlns="" id="{00000000-0008-0000-0300-000003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4" name="Rectangle 877">
          <a:extLst>
            <a:ext uri="{FF2B5EF4-FFF2-40B4-BE49-F238E27FC236}">
              <a16:creationId xmlns:a16="http://schemas.microsoft.com/office/drawing/2014/main" xmlns="" id="{00000000-0008-0000-0300-000004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5" name="Rectangle 878">
          <a:extLst>
            <a:ext uri="{FF2B5EF4-FFF2-40B4-BE49-F238E27FC236}">
              <a16:creationId xmlns:a16="http://schemas.microsoft.com/office/drawing/2014/main" xmlns="" id="{00000000-0008-0000-0300-000005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6" name="Rectangle 879">
          <a:extLst>
            <a:ext uri="{FF2B5EF4-FFF2-40B4-BE49-F238E27FC236}">
              <a16:creationId xmlns:a16="http://schemas.microsoft.com/office/drawing/2014/main" xmlns="" id="{00000000-0008-0000-0300-000006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7" name="Rectangle 880">
          <a:extLst>
            <a:ext uri="{FF2B5EF4-FFF2-40B4-BE49-F238E27FC236}">
              <a16:creationId xmlns:a16="http://schemas.microsoft.com/office/drawing/2014/main" xmlns="" id="{00000000-0008-0000-0300-000007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8" name="Rectangle 881">
          <a:extLst>
            <a:ext uri="{FF2B5EF4-FFF2-40B4-BE49-F238E27FC236}">
              <a16:creationId xmlns:a16="http://schemas.microsoft.com/office/drawing/2014/main" xmlns="" id="{00000000-0008-0000-0300-000008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9" name="Rectangle 882">
          <a:extLst>
            <a:ext uri="{FF2B5EF4-FFF2-40B4-BE49-F238E27FC236}">
              <a16:creationId xmlns:a16="http://schemas.microsoft.com/office/drawing/2014/main" xmlns="" id="{00000000-0008-0000-0300-000009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0" name="Rectangle 883">
          <a:extLst>
            <a:ext uri="{FF2B5EF4-FFF2-40B4-BE49-F238E27FC236}">
              <a16:creationId xmlns:a16="http://schemas.microsoft.com/office/drawing/2014/main" xmlns="" id="{00000000-0008-0000-0300-00000A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1" name="Rectangle 884">
          <a:extLst>
            <a:ext uri="{FF2B5EF4-FFF2-40B4-BE49-F238E27FC236}">
              <a16:creationId xmlns:a16="http://schemas.microsoft.com/office/drawing/2014/main" xmlns="" id="{00000000-0008-0000-0300-00000B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2" name="Rectangle 885">
          <a:extLst>
            <a:ext uri="{FF2B5EF4-FFF2-40B4-BE49-F238E27FC236}">
              <a16:creationId xmlns:a16="http://schemas.microsoft.com/office/drawing/2014/main" xmlns="" id="{00000000-0008-0000-0300-00000C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3" name="Rectangle 886">
          <a:extLst>
            <a:ext uri="{FF2B5EF4-FFF2-40B4-BE49-F238E27FC236}">
              <a16:creationId xmlns:a16="http://schemas.microsoft.com/office/drawing/2014/main" xmlns="" id="{00000000-0008-0000-0300-00000D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4" name="Rectangle 887">
          <a:extLst>
            <a:ext uri="{FF2B5EF4-FFF2-40B4-BE49-F238E27FC236}">
              <a16:creationId xmlns:a16="http://schemas.microsoft.com/office/drawing/2014/main" xmlns="" id="{00000000-0008-0000-0300-00000E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5" name="Rectangle 888">
          <a:extLst>
            <a:ext uri="{FF2B5EF4-FFF2-40B4-BE49-F238E27FC236}">
              <a16:creationId xmlns:a16="http://schemas.microsoft.com/office/drawing/2014/main" xmlns="" id="{00000000-0008-0000-0300-00000F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6" name="Rectangle 889">
          <a:extLst>
            <a:ext uri="{FF2B5EF4-FFF2-40B4-BE49-F238E27FC236}">
              <a16:creationId xmlns:a16="http://schemas.microsoft.com/office/drawing/2014/main" xmlns="" id="{00000000-0008-0000-0300-000010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7" name="Rectangle 890">
          <a:extLst>
            <a:ext uri="{FF2B5EF4-FFF2-40B4-BE49-F238E27FC236}">
              <a16:creationId xmlns:a16="http://schemas.microsoft.com/office/drawing/2014/main" xmlns="" id="{00000000-0008-0000-0300-000011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8" name="Rectangle 891">
          <a:extLst>
            <a:ext uri="{FF2B5EF4-FFF2-40B4-BE49-F238E27FC236}">
              <a16:creationId xmlns:a16="http://schemas.microsoft.com/office/drawing/2014/main" xmlns="" id="{00000000-0008-0000-0300-000012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9" name="Rectangle 892">
          <a:extLst>
            <a:ext uri="{FF2B5EF4-FFF2-40B4-BE49-F238E27FC236}">
              <a16:creationId xmlns:a16="http://schemas.microsoft.com/office/drawing/2014/main" xmlns="" id="{00000000-0008-0000-0300-000013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0" name="Rectangle 893">
          <a:extLst>
            <a:ext uri="{FF2B5EF4-FFF2-40B4-BE49-F238E27FC236}">
              <a16:creationId xmlns:a16="http://schemas.microsoft.com/office/drawing/2014/main" xmlns="" id="{00000000-0008-0000-0300-000014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1" name="Rectangle 894">
          <a:extLst>
            <a:ext uri="{FF2B5EF4-FFF2-40B4-BE49-F238E27FC236}">
              <a16:creationId xmlns:a16="http://schemas.microsoft.com/office/drawing/2014/main" xmlns="" id="{00000000-0008-0000-0300-000015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2" name="Rectangle 895">
          <a:extLst>
            <a:ext uri="{FF2B5EF4-FFF2-40B4-BE49-F238E27FC236}">
              <a16:creationId xmlns:a16="http://schemas.microsoft.com/office/drawing/2014/main" xmlns="" id="{00000000-0008-0000-0300-000016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3" name="Rectangle 896">
          <a:extLst>
            <a:ext uri="{FF2B5EF4-FFF2-40B4-BE49-F238E27FC236}">
              <a16:creationId xmlns:a16="http://schemas.microsoft.com/office/drawing/2014/main" xmlns="" id="{00000000-0008-0000-0300-000017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4" name="Rectangle 897">
          <a:extLst>
            <a:ext uri="{FF2B5EF4-FFF2-40B4-BE49-F238E27FC236}">
              <a16:creationId xmlns:a16="http://schemas.microsoft.com/office/drawing/2014/main" xmlns="" id="{00000000-0008-0000-0300-000018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5" name="Rectangle 898">
          <a:extLst>
            <a:ext uri="{FF2B5EF4-FFF2-40B4-BE49-F238E27FC236}">
              <a16:creationId xmlns:a16="http://schemas.microsoft.com/office/drawing/2014/main" xmlns="" id="{00000000-0008-0000-0300-000019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6" name="Rectangle 899">
          <a:extLst>
            <a:ext uri="{FF2B5EF4-FFF2-40B4-BE49-F238E27FC236}">
              <a16:creationId xmlns:a16="http://schemas.microsoft.com/office/drawing/2014/main" xmlns="" id="{00000000-0008-0000-0300-00001A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7" name="Rectangle 900">
          <a:extLst>
            <a:ext uri="{FF2B5EF4-FFF2-40B4-BE49-F238E27FC236}">
              <a16:creationId xmlns:a16="http://schemas.microsoft.com/office/drawing/2014/main" xmlns="" id="{00000000-0008-0000-0300-00001B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8" name="Rectangle 901">
          <a:extLst>
            <a:ext uri="{FF2B5EF4-FFF2-40B4-BE49-F238E27FC236}">
              <a16:creationId xmlns:a16="http://schemas.microsoft.com/office/drawing/2014/main" xmlns="" id="{00000000-0008-0000-0300-00001C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9" name="Rectangle 902">
          <a:extLst>
            <a:ext uri="{FF2B5EF4-FFF2-40B4-BE49-F238E27FC236}">
              <a16:creationId xmlns:a16="http://schemas.microsoft.com/office/drawing/2014/main" xmlns="" id="{00000000-0008-0000-0300-00001D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0" name="Rectangle 903">
          <a:extLst>
            <a:ext uri="{FF2B5EF4-FFF2-40B4-BE49-F238E27FC236}">
              <a16:creationId xmlns:a16="http://schemas.microsoft.com/office/drawing/2014/main" xmlns="" id="{00000000-0008-0000-0300-00001E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91" name="Rectangle 904">
          <a:extLst>
            <a:ext uri="{FF2B5EF4-FFF2-40B4-BE49-F238E27FC236}">
              <a16:creationId xmlns:a16="http://schemas.microsoft.com/office/drawing/2014/main" xmlns="" id="{00000000-0008-0000-0300-00001F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2" name="Rectangle 905">
          <a:extLst>
            <a:ext uri="{FF2B5EF4-FFF2-40B4-BE49-F238E27FC236}">
              <a16:creationId xmlns:a16="http://schemas.microsoft.com/office/drawing/2014/main" xmlns="" id="{00000000-0008-0000-0300-000020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3" name="Rectangle 906">
          <a:extLst>
            <a:ext uri="{FF2B5EF4-FFF2-40B4-BE49-F238E27FC236}">
              <a16:creationId xmlns:a16="http://schemas.microsoft.com/office/drawing/2014/main" xmlns="" id="{00000000-0008-0000-0300-000021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4" name="Rectangle 907">
          <a:extLst>
            <a:ext uri="{FF2B5EF4-FFF2-40B4-BE49-F238E27FC236}">
              <a16:creationId xmlns:a16="http://schemas.microsoft.com/office/drawing/2014/main" xmlns="" id="{00000000-0008-0000-0300-00002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5" name="Rectangle 908">
          <a:extLst>
            <a:ext uri="{FF2B5EF4-FFF2-40B4-BE49-F238E27FC236}">
              <a16:creationId xmlns:a16="http://schemas.microsoft.com/office/drawing/2014/main" xmlns="" id="{00000000-0008-0000-0300-000023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6" name="Rectangle 909">
          <a:extLst>
            <a:ext uri="{FF2B5EF4-FFF2-40B4-BE49-F238E27FC236}">
              <a16:creationId xmlns:a16="http://schemas.microsoft.com/office/drawing/2014/main" xmlns="" id="{00000000-0008-0000-0300-000024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7" name="Rectangle 910">
          <a:extLst>
            <a:ext uri="{FF2B5EF4-FFF2-40B4-BE49-F238E27FC236}">
              <a16:creationId xmlns:a16="http://schemas.microsoft.com/office/drawing/2014/main" xmlns="" id="{00000000-0008-0000-0300-000025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8" name="Rectangle 911">
          <a:extLst>
            <a:ext uri="{FF2B5EF4-FFF2-40B4-BE49-F238E27FC236}">
              <a16:creationId xmlns:a16="http://schemas.microsoft.com/office/drawing/2014/main" xmlns="" id="{00000000-0008-0000-0300-000026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9" name="Rectangle 912">
          <a:extLst>
            <a:ext uri="{FF2B5EF4-FFF2-40B4-BE49-F238E27FC236}">
              <a16:creationId xmlns:a16="http://schemas.microsoft.com/office/drawing/2014/main" xmlns="" id="{00000000-0008-0000-0300-000027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0" name="Rectangle 913">
          <a:extLst>
            <a:ext uri="{FF2B5EF4-FFF2-40B4-BE49-F238E27FC236}">
              <a16:creationId xmlns:a16="http://schemas.microsoft.com/office/drawing/2014/main" xmlns="" id="{00000000-0008-0000-0300-000028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1" name="Rectangle 914">
          <a:extLst>
            <a:ext uri="{FF2B5EF4-FFF2-40B4-BE49-F238E27FC236}">
              <a16:creationId xmlns:a16="http://schemas.microsoft.com/office/drawing/2014/main" xmlns="" id="{00000000-0008-0000-0300-000029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2" name="Rectangle 915">
          <a:extLst>
            <a:ext uri="{FF2B5EF4-FFF2-40B4-BE49-F238E27FC236}">
              <a16:creationId xmlns:a16="http://schemas.microsoft.com/office/drawing/2014/main" xmlns="" id="{00000000-0008-0000-0300-00002A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3" name="Rectangle 916">
          <a:extLst>
            <a:ext uri="{FF2B5EF4-FFF2-40B4-BE49-F238E27FC236}">
              <a16:creationId xmlns:a16="http://schemas.microsoft.com/office/drawing/2014/main" xmlns="" id="{00000000-0008-0000-0300-00002B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4" name="Rectangle 917">
          <a:extLst>
            <a:ext uri="{FF2B5EF4-FFF2-40B4-BE49-F238E27FC236}">
              <a16:creationId xmlns:a16="http://schemas.microsoft.com/office/drawing/2014/main" xmlns="" id="{00000000-0008-0000-0300-00002C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5" name="Rectangle 918">
          <a:extLst>
            <a:ext uri="{FF2B5EF4-FFF2-40B4-BE49-F238E27FC236}">
              <a16:creationId xmlns:a16="http://schemas.microsoft.com/office/drawing/2014/main" xmlns="" id="{00000000-0008-0000-0300-00002D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6" name="Rectangle 919">
          <a:extLst>
            <a:ext uri="{FF2B5EF4-FFF2-40B4-BE49-F238E27FC236}">
              <a16:creationId xmlns:a16="http://schemas.microsoft.com/office/drawing/2014/main" xmlns="" id="{00000000-0008-0000-0300-00002E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07" name="Rectangle 920">
          <a:extLst>
            <a:ext uri="{FF2B5EF4-FFF2-40B4-BE49-F238E27FC236}">
              <a16:creationId xmlns:a16="http://schemas.microsoft.com/office/drawing/2014/main" xmlns="" id="{00000000-0008-0000-0300-00002F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08" name="Rectangle 921">
          <a:extLst>
            <a:ext uri="{FF2B5EF4-FFF2-40B4-BE49-F238E27FC236}">
              <a16:creationId xmlns:a16="http://schemas.microsoft.com/office/drawing/2014/main" xmlns="" id="{00000000-0008-0000-0300-00003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09" name="Rectangle 922">
          <a:extLst>
            <a:ext uri="{FF2B5EF4-FFF2-40B4-BE49-F238E27FC236}">
              <a16:creationId xmlns:a16="http://schemas.microsoft.com/office/drawing/2014/main" xmlns="" id="{00000000-0008-0000-0300-000031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0" name="Rectangle 923">
          <a:extLst>
            <a:ext uri="{FF2B5EF4-FFF2-40B4-BE49-F238E27FC236}">
              <a16:creationId xmlns:a16="http://schemas.microsoft.com/office/drawing/2014/main" xmlns="" id="{00000000-0008-0000-0300-000032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1" name="Rectangle 924">
          <a:extLst>
            <a:ext uri="{FF2B5EF4-FFF2-40B4-BE49-F238E27FC236}">
              <a16:creationId xmlns:a16="http://schemas.microsoft.com/office/drawing/2014/main" xmlns="" id="{00000000-0008-0000-0300-000033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2" name="Rectangle 925">
          <a:extLst>
            <a:ext uri="{FF2B5EF4-FFF2-40B4-BE49-F238E27FC236}">
              <a16:creationId xmlns:a16="http://schemas.microsoft.com/office/drawing/2014/main" xmlns="" id="{00000000-0008-0000-0300-000034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3" name="Rectangle 926">
          <a:extLst>
            <a:ext uri="{FF2B5EF4-FFF2-40B4-BE49-F238E27FC236}">
              <a16:creationId xmlns:a16="http://schemas.microsoft.com/office/drawing/2014/main" xmlns="" id="{00000000-0008-0000-0300-000035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4" name="Rectangle 927">
          <a:extLst>
            <a:ext uri="{FF2B5EF4-FFF2-40B4-BE49-F238E27FC236}">
              <a16:creationId xmlns:a16="http://schemas.microsoft.com/office/drawing/2014/main" xmlns="" id="{00000000-0008-0000-0300-000036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5" name="Rectangle 928">
          <a:extLst>
            <a:ext uri="{FF2B5EF4-FFF2-40B4-BE49-F238E27FC236}">
              <a16:creationId xmlns:a16="http://schemas.microsoft.com/office/drawing/2014/main" xmlns="" id="{00000000-0008-0000-0300-000037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6" name="Rectangle 929">
          <a:extLst>
            <a:ext uri="{FF2B5EF4-FFF2-40B4-BE49-F238E27FC236}">
              <a16:creationId xmlns:a16="http://schemas.microsoft.com/office/drawing/2014/main" xmlns="" id="{00000000-0008-0000-0300-000038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7" name="Rectangle 930">
          <a:extLst>
            <a:ext uri="{FF2B5EF4-FFF2-40B4-BE49-F238E27FC236}">
              <a16:creationId xmlns:a16="http://schemas.microsoft.com/office/drawing/2014/main" xmlns="" id="{00000000-0008-0000-0300-000039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8" name="Rectangle 931">
          <a:extLst>
            <a:ext uri="{FF2B5EF4-FFF2-40B4-BE49-F238E27FC236}">
              <a16:creationId xmlns:a16="http://schemas.microsoft.com/office/drawing/2014/main" xmlns="" id="{00000000-0008-0000-0300-00003A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9" name="Rectangle 932">
          <a:extLst>
            <a:ext uri="{FF2B5EF4-FFF2-40B4-BE49-F238E27FC236}">
              <a16:creationId xmlns:a16="http://schemas.microsoft.com/office/drawing/2014/main" xmlns="" id="{00000000-0008-0000-0300-00003B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0" name="Rectangle 933">
          <a:extLst>
            <a:ext uri="{FF2B5EF4-FFF2-40B4-BE49-F238E27FC236}">
              <a16:creationId xmlns:a16="http://schemas.microsoft.com/office/drawing/2014/main" xmlns="" id="{00000000-0008-0000-0300-00003C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1" name="Rectangle 934">
          <a:extLst>
            <a:ext uri="{FF2B5EF4-FFF2-40B4-BE49-F238E27FC236}">
              <a16:creationId xmlns:a16="http://schemas.microsoft.com/office/drawing/2014/main" xmlns="" id="{00000000-0008-0000-0300-00003D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2" name="Rectangle 935">
          <a:extLst>
            <a:ext uri="{FF2B5EF4-FFF2-40B4-BE49-F238E27FC236}">
              <a16:creationId xmlns:a16="http://schemas.microsoft.com/office/drawing/2014/main" xmlns="" id="{00000000-0008-0000-0300-00003E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3" name="Rectangle 936">
          <a:extLst>
            <a:ext uri="{FF2B5EF4-FFF2-40B4-BE49-F238E27FC236}">
              <a16:creationId xmlns:a16="http://schemas.microsoft.com/office/drawing/2014/main" xmlns="" id="{00000000-0008-0000-0300-00003F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4" name="Rectangle 937">
          <a:extLst>
            <a:ext uri="{FF2B5EF4-FFF2-40B4-BE49-F238E27FC236}">
              <a16:creationId xmlns:a16="http://schemas.microsoft.com/office/drawing/2014/main" xmlns="" id="{00000000-0008-0000-0300-000040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5" name="Rectangle 938">
          <a:extLst>
            <a:ext uri="{FF2B5EF4-FFF2-40B4-BE49-F238E27FC236}">
              <a16:creationId xmlns:a16="http://schemas.microsoft.com/office/drawing/2014/main" xmlns="" id="{00000000-0008-0000-0300-000041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6" name="Rectangle 939">
          <a:extLst>
            <a:ext uri="{FF2B5EF4-FFF2-40B4-BE49-F238E27FC236}">
              <a16:creationId xmlns:a16="http://schemas.microsoft.com/office/drawing/2014/main" xmlns="" id="{00000000-0008-0000-0300-000042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7" name="Rectangle 940">
          <a:extLst>
            <a:ext uri="{FF2B5EF4-FFF2-40B4-BE49-F238E27FC236}">
              <a16:creationId xmlns:a16="http://schemas.microsoft.com/office/drawing/2014/main" xmlns="" id="{00000000-0008-0000-0300-000043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8" name="Rectangle 941">
          <a:extLst>
            <a:ext uri="{FF2B5EF4-FFF2-40B4-BE49-F238E27FC236}">
              <a16:creationId xmlns:a16="http://schemas.microsoft.com/office/drawing/2014/main" xmlns="" id="{00000000-0008-0000-0300-000044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9" name="Rectangle 942">
          <a:extLst>
            <a:ext uri="{FF2B5EF4-FFF2-40B4-BE49-F238E27FC236}">
              <a16:creationId xmlns:a16="http://schemas.microsoft.com/office/drawing/2014/main" xmlns="" id="{00000000-0008-0000-0300-000045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0" name="Rectangle 943">
          <a:extLst>
            <a:ext uri="{FF2B5EF4-FFF2-40B4-BE49-F238E27FC236}">
              <a16:creationId xmlns:a16="http://schemas.microsoft.com/office/drawing/2014/main" xmlns="" id="{00000000-0008-0000-0300-000046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1" name="Rectangle 944">
          <a:extLst>
            <a:ext uri="{FF2B5EF4-FFF2-40B4-BE49-F238E27FC236}">
              <a16:creationId xmlns:a16="http://schemas.microsoft.com/office/drawing/2014/main" xmlns="" id="{00000000-0008-0000-0300-000047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2" name="Rectangle 945">
          <a:extLst>
            <a:ext uri="{FF2B5EF4-FFF2-40B4-BE49-F238E27FC236}">
              <a16:creationId xmlns:a16="http://schemas.microsoft.com/office/drawing/2014/main" xmlns="" id="{00000000-0008-0000-0300-000048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3" name="Rectangle 946">
          <a:extLst>
            <a:ext uri="{FF2B5EF4-FFF2-40B4-BE49-F238E27FC236}">
              <a16:creationId xmlns:a16="http://schemas.microsoft.com/office/drawing/2014/main" xmlns="" id="{00000000-0008-0000-0300-000049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4" name="Rectangle 947">
          <a:extLst>
            <a:ext uri="{FF2B5EF4-FFF2-40B4-BE49-F238E27FC236}">
              <a16:creationId xmlns:a16="http://schemas.microsoft.com/office/drawing/2014/main" xmlns="" id="{00000000-0008-0000-0300-00004A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5" name="Rectangle 948">
          <a:extLst>
            <a:ext uri="{FF2B5EF4-FFF2-40B4-BE49-F238E27FC236}">
              <a16:creationId xmlns:a16="http://schemas.microsoft.com/office/drawing/2014/main" xmlns="" id="{00000000-0008-0000-0300-00004B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6" name="Rectangle 949">
          <a:extLst>
            <a:ext uri="{FF2B5EF4-FFF2-40B4-BE49-F238E27FC236}">
              <a16:creationId xmlns:a16="http://schemas.microsoft.com/office/drawing/2014/main" xmlns="" id="{00000000-0008-0000-0300-00004C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7" name="Rectangle 950">
          <a:extLst>
            <a:ext uri="{FF2B5EF4-FFF2-40B4-BE49-F238E27FC236}">
              <a16:creationId xmlns:a16="http://schemas.microsoft.com/office/drawing/2014/main" xmlns="" id="{00000000-0008-0000-0300-00004D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8" name="Rectangle 951">
          <a:extLst>
            <a:ext uri="{FF2B5EF4-FFF2-40B4-BE49-F238E27FC236}">
              <a16:creationId xmlns:a16="http://schemas.microsoft.com/office/drawing/2014/main" xmlns="" id="{00000000-0008-0000-0300-00004E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9" name="Rectangle 952">
          <a:extLst>
            <a:ext uri="{FF2B5EF4-FFF2-40B4-BE49-F238E27FC236}">
              <a16:creationId xmlns:a16="http://schemas.microsoft.com/office/drawing/2014/main" xmlns="" id="{00000000-0008-0000-0300-00004F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40" name="Rectangle 953">
          <a:extLst>
            <a:ext uri="{FF2B5EF4-FFF2-40B4-BE49-F238E27FC236}">
              <a16:creationId xmlns:a16="http://schemas.microsoft.com/office/drawing/2014/main" xmlns="" id="{00000000-0008-0000-0300-00005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1" name="Rectangle 954">
          <a:extLst>
            <a:ext uri="{FF2B5EF4-FFF2-40B4-BE49-F238E27FC236}">
              <a16:creationId xmlns:a16="http://schemas.microsoft.com/office/drawing/2014/main" xmlns="" id="{00000000-0008-0000-0300-000051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2" name="Rectangle 955">
          <a:extLst>
            <a:ext uri="{FF2B5EF4-FFF2-40B4-BE49-F238E27FC236}">
              <a16:creationId xmlns:a16="http://schemas.microsoft.com/office/drawing/2014/main" xmlns="" id="{00000000-0008-0000-0300-000052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3" name="Rectangle 956">
          <a:extLst>
            <a:ext uri="{FF2B5EF4-FFF2-40B4-BE49-F238E27FC236}">
              <a16:creationId xmlns:a16="http://schemas.microsoft.com/office/drawing/2014/main" xmlns="" id="{00000000-0008-0000-0300-000053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4" name="Rectangle 957">
          <a:extLst>
            <a:ext uri="{FF2B5EF4-FFF2-40B4-BE49-F238E27FC236}">
              <a16:creationId xmlns:a16="http://schemas.microsoft.com/office/drawing/2014/main" xmlns="" id="{00000000-0008-0000-0300-000054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5" name="Rectangle 958">
          <a:extLst>
            <a:ext uri="{FF2B5EF4-FFF2-40B4-BE49-F238E27FC236}">
              <a16:creationId xmlns:a16="http://schemas.microsoft.com/office/drawing/2014/main" xmlns="" id="{00000000-0008-0000-0300-000055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6" name="Rectangle 959">
          <a:extLst>
            <a:ext uri="{FF2B5EF4-FFF2-40B4-BE49-F238E27FC236}">
              <a16:creationId xmlns:a16="http://schemas.microsoft.com/office/drawing/2014/main" xmlns="" id="{00000000-0008-0000-0300-000056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7" name="Rectangle 960">
          <a:extLst>
            <a:ext uri="{FF2B5EF4-FFF2-40B4-BE49-F238E27FC236}">
              <a16:creationId xmlns:a16="http://schemas.microsoft.com/office/drawing/2014/main" xmlns="" id="{00000000-0008-0000-0300-000057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8" name="Rectangle 961">
          <a:extLst>
            <a:ext uri="{FF2B5EF4-FFF2-40B4-BE49-F238E27FC236}">
              <a16:creationId xmlns:a16="http://schemas.microsoft.com/office/drawing/2014/main" xmlns="" id="{00000000-0008-0000-0300-000058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9" name="Rectangle 962">
          <a:extLst>
            <a:ext uri="{FF2B5EF4-FFF2-40B4-BE49-F238E27FC236}">
              <a16:creationId xmlns:a16="http://schemas.microsoft.com/office/drawing/2014/main" xmlns="" id="{00000000-0008-0000-0300-000059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0" name="Rectangle 963">
          <a:extLst>
            <a:ext uri="{FF2B5EF4-FFF2-40B4-BE49-F238E27FC236}">
              <a16:creationId xmlns:a16="http://schemas.microsoft.com/office/drawing/2014/main" xmlns="" id="{00000000-0008-0000-0300-00005A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1" name="Rectangle 964">
          <a:extLst>
            <a:ext uri="{FF2B5EF4-FFF2-40B4-BE49-F238E27FC236}">
              <a16:creationId xmlns:a16="http://schemas.microsoft.com/office/drawing/2014/main" xmlns="" id="{00000000-0008-0000-0300-00005B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2" name="Rectangle 965">
          <a:extLst>
            <a:ext uri="{FF2B5EF4-FFF2-40B4-BE49-F238E27FC236}">
              <a16:creationId xmlns:a16="http://schemas.microsoft.com/office/drawing/2014/main" xmlns="" id="{00000000-0008-0000-0300-00005C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3" name="Rectangle 966">
          <a:extLst>
            <a:ext uri="{FF2B5EF4-FFF2-40B4-BE49-F238E27FC236}">
              <a16:creationId xmlns:a16="http://schemas.microsoft.com/office/drawing/2014/main" xmlns="" id="{00000000-0008-0000-0300-00005D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4" name="Rectangle 967">
          <a:extLst>
            <a:ext uri="{FF2B5EF4-FFF2-40B4-BE49-F238E27FC236}">
              <a16:creationId xmlns:a16="http://schemas.microsoft.com/office/drawing/2014/main" xmlns="" id="{00000000-0008-0000-0300-00005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5" name="Rectangle 968">
          <a:extLst>
            <a:ext uri="{FF2B5EF4-FFF2-40B4-BE49-F238E27FC236}">
              <a16:creationId xmlns:a16="http://schemas.microsoft.com/office/drawing/2014/main" xmlns="" id="{00000000-0008-0000-0300-00005F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6" name="Rectangle 969">
          <a:extLst>
            <a:ext uri="{FF2B5EF4-FFF2-40B4-BE49-F238E27FC236}">
              <a16:creationId xmlns:a16="http://schemas.microsoft.com/office/drawing/2014/main" xmlns="" id="{00000000-0008-0000-0300-000060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7" name="Rectangle 970">
          <a:extLst>
            <a:ext uri="{FF2B5EF4-FFF2-40B4-BE49-F238E27FC236}">
              <a16:creationId xmlns:a16="http://schemas.microsoft.com/office/drawing/2014/main" xmlns="" id="{00000000-0008-0000-0300-000061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8" name="Rectangle 971">
          <a:extLst>
            <a:ext uri="{FF2B5EF4-FFF2-40B4-BE49-F238E27FC236}">
              <a16:creationId xmlns:a16="http://schemas.microsoft.com/office/drawing/2014/main" xmlns="" id="{00000000-0008-0000-0300-000062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9" name="Rectangle 972">
          <a:extLst>
            <a:ext uri="{FF2B5EF4-FFF2-40B4-BE49-F238E27FC236}">
              <a16:creationId xmlns:a16="http://schemas.microsoft.com/office/drawing/2014/main" xmlns="" id="{00000000-0008-0000-0300-000063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0" name="Rectangle 973">
          <a:extLst>
            <a:ext uri="{FF2B5EF4-FFF2-40B4-BE49-F238E27FC236}">
              <a16:creationId xmlns:a16="http://schemas.microsoft.com/office/drawing/2014/main" xmlns="" id="{00000000-0008-0000-0300-000064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1" name="Rectangle 974">
          <a:extLst>
            <a:ext uri="{FF2B5EF4-FFF2-40B4-BE49-F238E27FC236}">
              <a16:creationId xmlns:a16="http://schemas.microsoft.com/office/drawing/2014/main" xmlns="" id="{00000000-0008-0000-0300-000065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2" name="Rectangle 975">
          <a:extLst>
            <a:ext uri="{FF2B5EF4-FFF2-40B4-BE49-F238E27FC236}">
              <a16:creationId xmlns:a16="http://schemas.microsoft.com/office/drawing/2014/main" xmlns="" id="{00000000-0008-0000-0300-000066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3" name="Rectangle 976">
          <a:extLst>
            <a:ext uri="{FF2B5EF4-FFF2-40B4-BE49-F238E27FC236}">
              <a16:creationId xmlns:a16="http://schemas.microsoft.com/office/drawing/2014/main" xmlns="" id="{00000000-0008-0000-0300-000067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4" name="Rectangle 977">
          <a:extLst>
            <a:ext uri="{FF2B5EF4-FFF2-40B4-BE49-F238E27FC236}">
              <a16:creationId xmlns:a16="http://schemas.microsoft.com/office/drawing/2014/main" xmlns="" id="{00000000-0008-0000-0300-000068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5" name="Rectangle 978">
          <a:extLst>
            <a:ext uri="{FF2B5EF4-FFF2-40B4-BE49-F238E27FC236}">
              <a16:creationId xmlns:a16="http://schemas.microsoft.com/office/drawing/2014/main" xmlns="" id="{00000000-0008-0000-0300-000069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6" name="Rectangle 979">
          <a:extLst>
            <a:ext uri="{FF2B5EF4-FFF2-40B4-BE49-F238E27FC236}">
              <a16:creationId xmlns:a16="http://schemas.microsoft.com/office/drawing/2014/main" xmlns="" id="{00000000-0008-0000-0300-00006A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7" name="Rectangle 980">
          <a:extLst>
            <a:ext uri="{FF2B5EF4-FFF2-40B4-BE49-F238E27FC236}">
              <a16:creationId xmlns:a16="http://schemas.microsoft.com/office/drawing/2014/main" xmlns="" id="{00000000-0008-0000-0300-00006B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8" name="Rectangle 981">
          <a:extLst>
            <a:ext uri="{FF2B5EF4-FFF2-40B4-BE49-F238E27FC236}">
              <a16:creationId xmlns:a16="http://schemas.microsoft.com/office/drawing/2014/main" xmlns="" id="{00000000-0008-0000-0300-00006C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9" name="Rectangle 982">
          <a:extLst>
            <a:ext uri="{FF2B5EF4-FFF2-40B4-BE49-F238E27FC236}">
              <a16:creationId xmlns:a16="http://schemas.microsoft.com/office/drawing/2014/main" xmlns="" id="{00000000-0008-0000-0300-00006D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0" name="Rectangle 983">
          <a:extLst>
            <a:ext uri="{FF2B5EF4-FFF2-40B4-BE49-F238E27FC236}">
              <a16:creationId xmlns:a16="http://schemas.microsoft.com/office/drawing/2014/main" xmlns="" id="{00000000-0008-0000-0300-00006E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1" name="Rectangle 984">
          <a:extLst>
            <a:ext uri="{FF2B5EF4-FFF2-40B4-BE49-F238E27FC236}">
              <a16:creationId xmlns:a16="http://schemas.microsoft.com/office/drawing/2014/main" xmlns="" id="{00000000-0008-0000-0300-00006F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2" name="Rectangle 985">
          <a:extLst>
            <a:ext uri="{FF2B5EF4-FFF2-40B4-BE49-F238E27FC236}">
              <a16:creationId xmlns:a16="http://schemas.microsoft.com/office/drawing/2014/main" xmlns="" id="{00000000-0008-0000-0300-000070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3" name="Rectangle 986">
          <a:extLst>
            <a:ext uri="{FF2B5EF4-FFF2-40B4-BE49-F238E27FC236}">
              <a16:creationId xmlns:a16="http://schemas.microsoft.com/office/drawing/2014/main" xmlns="" id="{00000000-0008-0000-0300-000071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4" name="Rectangle 987">
          <a:extLst>
            <a:ext uri="{FF2B5EF4-FFF2-40B4-BE49-F238E27FC236}">
              <a16:creationId xmlns:a16="http://schemas.microsoft.com/office/drawing/2014/main" xmlns="" id="{00000000-0008-0000-0300-000072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5" name="Rectangle 988">
          <a:extLst>
            <a:ext uri="{FF2B5EF4-FFF2-40B4-BE49-F238E27FC236}">
              <a16:creationId xmlns:a16="http://schemas.microsoft.com/office/drawing/2014/main" xmlns="" id="{00000000-0008-0000-0300-000073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6" name="Rectangle 989">
          <a:extLst>
            <a:ext uri="{FF2B5EF4-FFF2-40B4-BE49-F238E27FC236}">
              <a16:creationId xmlns:a16="http://schemas.microsoft.com/office/drawing/2014/main" xmlns="" id="{00000000-0008-0000-0300-000074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7" name="Rectangle 990">
          <a:extLst>
            <a:ext uri="{FF2B5EF4-FFF2-40B4-BE49-F238E27FC236}">
              <a16:creationId xmlns:a16="http://schemas.microsoft.com/office/drawing/2014/main" xmlns="" id="{00000000-0008-0000-0300-000075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8" name="Rectangle 991">
          <a:extLst>
            <a:ext uri="{FF2B5EF4-FFF2-40B4-BE49-F238E27FC236}">
              <a16:creationId xmlns:a16="http://schemas.microsoft.com/office/drawing/2014/main" xmlns="" id="{00000000-0008-0000-0300-000076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9" name="Rectangle 992">
          <a:extLst>
            <a:ext uri="{FF2B5EF4-FFF2-40B4-BE49-F238E27FC236}">
              <a16:creationId xmlns:a16="http://schemas.microsoft.com/office/drawing/2014/main" xmlns="" id="{00000000-0008-0000-0300-000077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0" name="Rectangle 993">
          <a:extLst>
            <a:ext uri="{FF2B5EF4-FFF2-40B4-BE49-F238E27FC236}">
              <a16:creationId xmlns:a16="http://schemas.microsoft.com/office/drawing/2014/main" xmlns="" id="{00000000-0008-0000-0300-000078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1" name="Rectangle 994">
          <a:extLst>
            <a:ext uri="{FF2B5EF4-FFF2-40B4-BE49-F238E27FC236}">
              <a16:creationId xmlns:a16="http://schemas.microsoft.com/office/drawing/2014/main" xmlns="" id="{00000000-0008-0000-0300-000079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2" name="Rectangle 995">
          <a:extLst>
            <a:ext uri="{FF2B5EF4-FFF2-40B4-BE49-F238E27FC236}">
              <a16:creationId xmlns:a16="http://schemas.microsoft.com/office/drawing/2014/main" xmlns="" id="{00000000-0008-0000-0300-00007A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3" name="Rectangle 996">
          <a:extLst>
            <a:ext uri="{FF2B5EF4-FFF2-40B4-BE49-F238E27FC236}">
              <a16:creationId xmlns:a16="http://schemas.microsoft.com/office/drawing/2014/main" xmlns="" id="{00000000-0008-0000-0300-00007B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4" name="Rectangle 997">
          <a:extLst>
            <a:ext uri="{FF2B5EF4-FFF2-40B4-BE49-F238E27FC236}">
              <a16:creationId xmlns:a16="http://schemas.microsoft.com/office/drawing/2014/main" xmlns="" id="{00000000-0008-0000-0300-00007C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5" name="Rectangle 998">
          <a:extLst>
            <a:ext uri="{FF2B5EF4-FFF2-40B4-BE49-F238E27FC236}">
              <a16:creationId xmlns:a16="http://schemas.microsoft.com/office/drawing/2014/main" xmlns="" id="{00000000-0008-0000-0300-00007D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6" name="Rectangle 999">
          <a:extLst>
            <a:ext uri="{FF2B5EF4-FFF2-40B4-BE49-F238E27FC236}">
              <a16:creationId xmlns:a16="http://schemas.microsoft.com/office/drawing/2014/main" xmlns="" id="{00000000-0008-0000-0300-00007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7" name="Rectangle 1000">
          <a:extLst>
            <a:ext uri="{FF2B5EF4-FFF2-40B4-BE49-F238E27FC236}">
              <a16:creationId xmlns:a16="http://schemas.microsoft.com/office/drawing/2014/main" xmlns="" id="{00000000-0008-0000-0300-00007F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8" name="Rectangle 1001">
          <a:extLst>
            <a:ext uri="{FF2B5EF4-FFF2-40B4-BE49-F238E27FC236}">
              <a16:creationId xmlns:a16="http://schemas.microsoft.com/office/drawing/2014/main" xmlns="" id="{00000000-0008-0000-0300-000080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9" name="Rectangle 1002">
          <a:extLst>
            <a:ext uri="{FF2B5EF4-FFF2-40B4-BE49-F238E27FC236}">
              <a16:creationId xmlns:a16="http://schemas.microsoft.com/office/drawing/2014/main" xmlns="" id="{00000000-0008-0000-0300-000081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0" name="Rectangle 1003">
          <a:extLst>
            <a:ext uri="{FF2B5EF4-FFF2-40B4-BE49-F238E27FC236}">
              <a16:creationId xmlns:a16="http://schemas.microsoft.com/office/drawing/2014/main" xmlns="" id="{00000000-0008-0000-0300-000082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1" name="Rectangle 1004">
          <a:extLst>
            <a:ext uri="{FF2B5EF4-FFF2-40B4-BE49-F238E27FC236}">
              <a16:creationId xmlns:a16="http://schemas.microsoft.com/office/drawing/2014/main" xmlns="" id="{00000000-0008-0000-0300-000083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2" name="Rectangle 1005">
          <a:extLst>
            <a:ext uri="{FF2B5EF4-FFF2-40B4-BE49-F238E27FC236}">
              <a16:creationId xmlns:a16="http://schemas.microsoft.com/office/drawing/2014/main" xmlns="" id="{00000000-0008-0000-0300-000084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3" name="Rectangle 1006">
          <a:extLst>
            <a:ext uri="{FF2B5EF4-FFF2-40B4-BE49-F238E27FC236}">
              <a16:creationId xmlns:a16="http://schemas.microsoft.com/office/drawing/2014/main" xmlns="" id="{00000000-0008-0000-0300-000085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4" name="Rectangle 1007">
          <a:extLst>
            <a:ext uri="{FF2B5EF4-FFF2-40B4-BE49-F238E27FC236}">
              <a16:creationId xmlns:a16="http://schemas.microsoft.com/office/drawing/2014/main" xmlns="" id="{00000000-0008-0000-0300-000086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5" name="Rectangle 1008">
          <a:extLst>
            <a:ext uri="{FF2B5EF4-FFF2-40B4-BE49-F238E27FC236}">
              <a16:creationId xmlns:a16="http://schemas.microsoft.com/office/drawing/2014/main" xmlns="" id="{00000000-0008-0000-0300-000087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6" name="Rectangle 1009">
          <a:extLst>
            <a:ext uri="{FF2B5EF4-FFF2-40B4-BE49-F238E27FC236}">
              <a16:creationId xmlns:a16="http://schemas.microsoft.com/office/drawing/2014/main" xmlns="" id="{00000000-0008-0000-0300-000088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7" name="Rectangle 1010">
          <a:extLst>
            <a:ext uri="{FF2B5EF4-FFF2-40B4-BE49-F238E27FC236}">
              <a16:creationId xmlns:a16="http://schemas.microsoft.com/office/drawing/2014/main" xmlns="" id="{00000000-0008-0000-0300-000089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8" name="Rectangle 1011">
          <a:extLst>
            <a:ext uri="{FF2B5EF4-FFF2-40B4-BE49-F238E27FC236}">
              <a16:creationId xmlns:a16="http://schemas.microsoft.com/office/drawing/2014/main" xmlns="" id="{00000000-0008-0000-0300-00008A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299" name="Rectangle 1012">
          <a:extLst>
            <a:ext uri="{FF2B5EF4-FFF2-40B4-BE49-F238E27FC236}">
              <a16:creationId xmlns:a16="http://schemas.microsoft.com/office/drawing/2014/main" xmlns="" id="{00000000-0008-0000-0300-00008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0" name="Rectangle 1013">
          <a:extLst>
            <a:ext uri="{FF2B5EF4-FFF2-40B4-BE49-F238E27FC236}">
              <a16:creationId xmlns:a16="http://schemas.microsoft.com/office/drawing/2014/main" xmlns="" id="{00000000-0008-0000-0300-00008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1" name="Rectangle 1014">
          <a:extLst>
            <a:ext uri="{FF2B5EF4-FFF2-40B4-BE49-F238E27FC236}">
              <a16:creationId xmlns:a16="http://schemas.microsoft.com/office/drawing/2014/main" xmlns="" id="{00000000-0008-0000-0300-00008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2" name="Rectangle 1015">
          <a:extLst>
            <a:ext uri="{FF2B5EF4-FFF2-40B4-BE49-F238E27FC236}">
              <a16:creationId xmlns:a16="http://schemas.microsoft.com/office/drawing/2014/main" xmlns="" id="{00000000-0008-0000-0300-00008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3" name="Rectangle 1016">
          <a:extLst>
            <a:ext uri="{FF2B5EF4-FFF2-40B4-BE49-F238E27FC236}">
              <a16:creationId xmlns:a16="http://schemas.microsoft.com/office/drawing/2014/main" xmlns="" id="{00000000-0008-0000-0300-00008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4" name="Rectangle 1017">
          <a:extLst>
            <a:ext uri="{FF2B5EF4-FFF2-40B4-BE49-F238E27FC236}">
              <a16:creationId xmlns:a16="http://schemas.microsoft.com/office/drawing/2014/main" xmlns="" id="{00000000-0008-0000-0300-00009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5" name="Rectangle 1018">
          <a:extLst>
            <a:ext uri="{FF2B5EF4-FFF2-40B4-BE49-F238E27FC236}">
              <a16:creationId xmlns:a16="http://schemas.microsoft.com/office/drawing/2014/main" xmlns="" id="{00000000-0008-0000-0300-00009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6" name="Rectangle 1019">
          <a:extLst>
            <a:ext uri="{FF2B5EF4-FFF2-40B4-BE49-F238E27FC236}">
              <a16:creationId xmlns:a16="http://schemas.microsoft.com/office/drawing/2014/main" xmlns="" id="{00000000-0008-0000-0300-00009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7" name="Rectangle 1020">
          <a:extLst>
            <a:ext uri="{FF2B5EF4-FFF2-40B4-BE49-F238E27FC236}">
              <a16:creationId xmlns:a16="http://schemas.microsoft.com/office/drawing/2014/main" xmlns="" id="{00000000-0008-0000-0300-00009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8" name="Rectangle 1021">
          <a:extLst>
            <a:ext uri="{FF2B5EF4-FFF2-40B4-BE49-F238E27FC236}">
              <a16:creationId xmlns:a16="http://schemas.microsoft.com/office/drawing/2014/main" xmlns="" id="{00000000-0008-0000-0300-00009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9" name="Rectangle 1022">
          <a:extLst>
            <a:ext uri="{FF2B5EF4-FFF2-40B4-BE49-F238E27FC236}">
              <a16:creationId xmlns:a16="http://schemas.microsoft.com/office/drawing/2014/main" xmlns="" id="{00000000-0008-0000-0300-00009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0" name="Rectangle 1023">
          <a:extLst>
            <a:ext uri="{FF2B5EF4-FFF2-40B4-BE49-F238E27FC236}">
              <a16:creationId xmlns:a16="http://schemas.microsoft.com/office/drawing/2014/main" xmlns="" id="{00000000-0008-0000-0300-00009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1" name="Rectangle 1024">
          <a:extLst>
            <a:ext uri="{FF2B5EF4-FFF2-40B4-BE49-F238E27FC236}">
              <a16:creationId xmlns:a16="http://schemas.microsoft.com/office/drawing/2014/main" xmlns="" id="{00000000-0008-0000-0300-00009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2" name="Rectangle 1025">
          <a:extLst>
            <a:ext uri="{FF2B5EF4-FFF2-40B4-BE49-F238E27FC236}">
              <a16:creationId xmlns:a16="http://schemas.microsoft.com/office/drawing/2014/main" xmlns="" id="{00000000-0008-0000-0300-00009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3" name="Rectangle 1026">
          <a:extLst>
            <a:ext uri="{FF2B5EF4-FFF2-40B4-BE49-F238E27FC236}">
              <a16:creationId xmlns:a16="http://schemas.microsoft.com/office/drawing/2014/main" xmlns="" id="{00000000-0008-0000-0300-00009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4" name="Rectangle 1027">
          <a:extLst>
            <a:ext uri="{FF2B5EF4-FFF2-40B4-BE49-F238E27FC236}">
              <a16:creationId xmlns:a16="http://schemas.microsoft.com/office/drawing/2014/main" xmlns="" id="{00000000-0008-0000-0300-00009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5" name="Rectangle 1028">
          <a:extLst>
            <a:ext uri="{FF2B5EF4-FFF2-40B4-BE49-F238E27FC236}">
              <a16:creationId xmlns:a16="http://schemas.microsoft.com/office/drawing/2014/main" xmlns="" id="{00000000-0008-0000-0300-00009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6" name="Rectangle 1029">
          <a:extLst>
            <a:ext uri="{FF2B5EF4-FFF2-40B4-BE49-F238E27FC236}">
              <a16:creationId xmlns:a16="http://schemas.microsoft.com/office/drawing/2014/main" xmlns="" id="{00000000-0008-0000-0300-00009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7" name="Rectangle 1030">
          <a:extLst>
            <a:ext uri="{FF2B5EF4-FFF2-40B4-BE49-F238E27FC236}">
              <a16:creationId xmlns:a16="http://schemas.microsoft.com/office/drawing/2014/main" xmlns="" id="{00000000-0008-0000-0300-00009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8" name="Rectangle 1031">
          <a:extLst>
            <a:ext uri="{FF2B5EF4-FFF2-40B4-BE49-F238E27FC236}">
              <a16:creationId xmlns:a16="http://schemas.microsoft.com/office/drawing/2014/main" xmlns="" id="{00000000-0008-0000-0300-00009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9" name="Rectangle 1032">
          <a:extLst>
            <a:ext uri="{FF2B5EF4-FFF2-40B4-BE49-F238E27FC236}">
              <a16:creationId xmlns:a16="http://schemas.microsoft.com/office/drawing/2014/main" xmlns="" id="{00000000-0008-0000-0300-00009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0" name="Rectangle 1033">
          <a:extLst>
            <a:ext uri="{FF2B5EF4-FFF2-40B4-BE49-F238E27FC236}">
              <a16:creationId xmlns:a16="http://schemas.microsoft.com/office/drawing/2014/main" xmlns="" id="{00000000-0008-0000-0300-0000A0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1" name="Rectangle 1034">
          <a:extLst>
            <a:ext uri="{FF2B5EF4-FFF2-40B4-BE49-F238E27FC236}">
              <a16:creationId xmlns:a16="http://schemas.microsoft.com/office/drawing/2014/main" xmlns="" id="{00000000-0008-0000-0300-0000A1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2" name="Rectangle 1035">
          <a:extLst>
            <a:ext uri="{FF2B5EF4-FFF2-40B4-BE49-F238E27FC236}">
              <a16:creationId xmlns:a16="http://schemas.microsoft.com/office/drawing/2014/main" xmlns="" id="{00000000-0008-0000-0300-0000A2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3" name="Rectangle 1036">
          <a:extLst>
            <a:ext uri="{FF2B5EF4-FFF2-40B4-BE49-F238E27FC236}">
              <a16:creationId xmlns:a16="http://schemas.microsoft.com/office/drawing/2014/main" xmlns="" id="{00000000-0008-0000-0300-0000A3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4" name="Rectangle 1037">
          <a:extLst>
            <a:ext uri="{FF2B5EF4-FFF2-40B4-BE49-F238E27FC236}">
              <a16:creationId xmlns:a16="http://schemas.microsoft.com/office/drawing/2014/main" xmlns="" id="{00000000-0008-0000-0300-0000A4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5" name="Rectangle 1038">
          <a:extLst>
            <a:ext uri="{FF2B5EF4-FFF2-40B4-BE49-F238E27FC236}">
              <a16:creationId xmlns:a16="http://schemas.microsoft.com/office/drawing/2014/main" xmlns="" id="{00000000-0008-0000-0300-0000A5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6" name="Rectangle 1039">
          <a:extLst>
            <a:ext uri="{FF2B5EF4-FFF2-40B4-BE49-F238E27FC236}">
              <a16:creationId xmlns:a16="http://schemas.microsoft.com/office/drawing/2014/main" xmlns="" id="{00000000-0008-0000-0300-0000A6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7" name="Rectangle 1040">
          <a:extLst>
            <a:ext uri="{FF2B5EF4-FFF2-40B4-BE49-F238E27FC236}">
              <a16:creationId xmlns:a16="http://schemas.microsoft.com/office/drawing/2014/main" xmlns="" id="{00000000-0008-0000-0300-0000A7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8" name="Rectangle 1041">
          <a:extLst>
            <a:ext uri="{FF2B5EF4-FFF2-40B4-BE49-F238E27FC236}">
              <a16:creationId xmlns:a16="http://schemas.microsoft.com/office/drawing/2014/main" xmlns="" id="{00000000-0008-0000-0300-0000A8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9" name="Rectangle 1042">
          <a:extLst>
            <a:ext uri="{FF2B5EF4-FFF2-40B4-BE49-F238E27FC236}">
              <a16:creationId xmlns:a16="http://schemas.microsoft.com/office/drawing/2014/main" xmlns="" id="{00000000-0008-0000-0300-0000A9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0" name="Rectangle 1043">
          <a:extLst>
            <a:ext uri="{FF2B5EF4-FFF2-40B4-BE49-F238E27FC236}">
              <a16:creationId xmlns:a16="http://schemas.microsoft.com/office/drawing/2014/main" xmlns="" id="{00000000-0008-0000-0300-0000AA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31" name="Rectangle 1044">
          <a:extLst>
            <a:ext uri="{FF2B5EF4-FFF2-40B4-BE49-F238E27FC236}">
              <a16:creationId xmlns:a16="http://schemas.microsoft.com/office/drawing/2014/main" xmlns="" id="{00000000-0008-0000-0300-0000AB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2" name="Rectangle 1045">
          <a:extLst>
            <a:ext uri="{FF2B5EF4-FFF2-40B4-BE49-F238E27FC236}">
              <a16:creationId xmlns:a16="http://schemas.microsoft.com/office/drawing/2014/main" xmlns="" id="{00000000-0008-0000-0300-0000A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3" name="Rectangle 1046">
          <a:extLst>
            <a:ext uri="{FF2B5EF4-FFF2-40B4-BE49-F238E27FC236}">
              <a16:creationId xmlns:a16="http://schemas.microsoft.com/office/drawing/2014/main" xmlns="" id="{00000000-0008-0000-0300-0000AD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4" name="Rectangle 1047">
          <a:extLst>
            <a:ext uri="{FF2B5EF4-FFF2-40B4-BE49-F238E27FC236}">
              <a16:creationId xmlns:a16="http://schemas.microsoft.com/office/drawing/2014/main" xmlns="" id="{00000000-0008-0000-0300-0000AE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5" name="Rectangle 1048">
          <a:extLst>
            <a:ext uri="{FF2B5EF4-FFF2-40B4-BE49-F238E27FC236}">
              <a16:creationId xmlns:a16="http://schemas.microsoft.com/office/drawing/2014/main" xmlns="" id="{00000000-0008-0000-0300-0000AF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6" name="Rectangle 1049">
          <a:extLst>
            <a:ext uri="{FF2B5EF4-FFF2-40B4-BE49-F238E27FC236}">
              <a16:creationId xmlns:a16="http://schemas.microsoft.com/office/drawing/2014/main" xmlns="" id="{00000000-0008-0000-0300-0000B0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7" name="Rectangle 1050">
          <a:extLst>
            <a:ext uri="{FF2B5EF4-FFF2-40B4-BE49-F238E27FC236}">
              <a16:creationId xmlns:a16="http://schemas.microsoft.com/office/drawing/2014/main" xmlns="" id="{00000000-0008-0000-0300-0000B1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8" name="Rectangle 1051">
          <a:extLst>
            <a:ext uri="{FF2B5EF4-FFF2-40B4-BE49-F238E27FC236}">
              <a16:creationId xmlns:a16="http://schemas.microsoft.com/office/drawing/2014/main" xmlns="" id="{00000000-0008-0000-0300-0000B2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9" name="Rectangle 1052">
          <a:extLst>
            <a:ext uri="{FF2B5EF4-FFF2-40B4-BE49-F238E27FC236}">
              <a16:creationId xmlns:a16="http://schemas.microsoft.com/office/drawing/2014/main" xmlns="" id="{00000000-0008-0000-0300-0000B3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0" name="Rectangle 1053">
          <a:extLst>
            <a:ext uri="{FF2B5EF4-FFF2-40B4-BE49-F238E27FC236}">
              <a16:creationId xmlns:a16="http://schemas.microsoft.com/office/drawing/2014/main" xmlns="" id="{00000000-0008-0000-0300-0000B4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1" name="Rectangle 1054">
          <a:extLst>
            <a:ext uri="{FF2B5EF4-FFF2-40B4-BE49-F238E27FC236}">
              <a16:creationId xmlns:a16="http://schemas.microsoft.com/office/drawing/2014/main" xmlns="" id="{00000000-0008-0000-0300-0000B5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2" name="Rectangle 1055">
          <a:extLst>
            <a:ext uri="{FF2B5EF4-FFF2-40B4-BE49-F238E27FC236}">
              <a16:creationId xmlns:a16="http://schemas.microsoft.com/office/drawing/2014/main" xmlns="" id="{00000000-0008-0000-0300-0000B6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3" name="Rectangle 1056">
          <a:extLst>
            <a:ext uri="{FF2B5EF4-FFF2-40B4-BE49-F238E27FC236}">
              <a16:creationId xmlns:a16="http://schemas.microsoft.com/office/drawing/2014/main" xmlns="" id="{00000000-0008-0000-0300-0000B7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4" name="Rectangle 1057">
          <a:extLst>
            <a:ext uri="{FF2B5EF4-FFF2-40B4-BE49-F238E27FC236}">
              <a16:creationId xmlns:a16="http://schemas.microsoft.com/office/drawing/2014/main" xmlns="" id="{00000000-0008-0000-0300-0000B8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5" name="Rectangle 1121">
          <a:extLst>
            <a:ext uri="{FF2B5EF4-FFF2-40B4-BE49-F238E27FC236}">
              <a16:creationId xmlns:a16="http://schemas.microsoft.com/office/drawing/2014/main" xmlns="" id="{00000000-0008-0000-0300-0000B9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6" name="Rectangle 1122">
          <a:extLst>
            <a:ext uri="{FF2B5EF4-FFF2-40B4-BE49-F238E27FC236}">
              <a16:creationId xmlns:a16="http://schemas.microsoft.com/office/drawing/2014/main" xmlns="" id="{00000000-0008-0000-0300-0000BA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47" name="Rectangle 1123">
          <a:extLst>
            <a:ext uri="{FF2B5EF4-FFF2-40B4-BE49-F238E27FC236}">
              <a16:creationId xmlns:a16="http://schemas.microsoft.com/office/drawing/2014/main" xmlns="" id="{00000000-0008-0000-0300-0000BB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8" name="Rectangle 1124">
          <a:extLst>
            <a:ext uri="{FF2B5EF4-FFF2-40B4-BE49-F238E27FC236}">
              <a16:creationId xmlns:a16="http://schemas.microsoft.com/office/drawing/2014/main" xmlns="" id="{00000000-0008-0000-0300-0000BC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9" name="Rectangle 1125">
          <a:extLst>
            <a:ext uri="{FF2B5EF4-FFF2-40B4-BE49-F238E27FC236}">
              <a16:creationId xmlns:a16="http://schemas.microsoft.com/office/drawing/2014/main" xmlns="" id="{00000000-0008-0000-0300-0000BD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0" name="Rectangle 1126">
          <a:extLst>
            <a:ext uri="{FF2B5EF4-FFF2-40B4-BE49-F238E27FC236}">
              <a16:creationId xmlns:a16="http://schemas.microsoft.com/office/drawing/2014/main" xmlns="" id="{00000000-0008-0000-0300-0000BE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1" name="Rectangle 1127">
          <a:extLst>
            <a:ext uri="{FF2B5EF4-FFF2-40B4-BE49-F238E27FC236}">
              <a16:creationId xmlns:a16="http://schemas.microsoft.com/office/drawing/2014/main" xmlns="" id="{00000000-0008-0000-0300-0000BF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2" name="Rectangle 1128">
          <a:extLst>
            <a:ext uri="{FF2B5EF4-FFF2-40B4-BE49-F238E27FC236}">
              <a16:creationId xmlns:a16="http://schemas.microsoft.com/office/drawing/2014/main" xmlns="" id="{00000000-0008-0000-0300-0000C0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3" name="Rectangle 1129">
          <a:extLst>
            <a:ext uri="{FF2B5EF4-FFF2-40B4-BE49-F238E27FC236}">
              <a16:creationId xmlns:a16="http://schemas.microsoft.com/office/drawing/2014/main" xmlns="" id="{00000000-0008-0000-0300-0000C1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4" name="Rectangle 1130">
          <a:extLst>
            <a:ext uri="{FF2B5EF4-FFF2-40B4-BE49-F238E27FC236}">
              <a16:creationId xmlns:a16="http://schemas.microsoft.com/office/drawing/2014/main" xmlns="" id="{00000000-0008-0000-0300-0000C2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5" name="Rectangle 1131">
          <a:extLst>
            <a:ext uri="{FF2B5EF4-FFF2-40B4-BE49-F238E27FC236}">
              <a16:creationId xmlns:a16="http://schemas.microsoft.com/office/drawing/2014/main" xmlns="" id="{00000000-0008-0000-0300-0000C3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6" name="Rectangle 1132">
          <a:extLst>
            <a:ext uri="{FF2B5EF4-FFF2-40B4-BE49-F238E27FC236}">
              <a16:creationId xmlns:a16="http://schemas.microsoft.com/office/drawing/2014/main" xmlns="" id="{00000000-0008-0000-0300-0000C4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7" name="Rectangle 1133">
          <a:extLst>
            <a:ext uri="{FF2B5EF4-FFF2-40B4-BE49-F238E27FC236}">
              <a16:creationId xmlns:a16="http://schemas.microsoft.com/office/drawing/2014/main" xmlns="" id="{00000000-0008-0000-0300-0000C5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8" name="Rectangle 1134">
          <a:extLst>
            <a:ext uri="{FF2B5EF4-FFF2-40B4-BE49-F238E27FC236}">
              <a16:creationId xmlns:a16="http://schemas.microsoft.com/office/drawing/2014/main" xmlns="" id="{00000000-0008-0000-0300-0000C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9" name="Rectangle 1135">
          <a:extLst>
            <a:ext uri="{FF2B5EF4-FFF2-40B4-BE49-F238E27FC236}">
              <a16:creationId xmlns:a16="http://schemas.microsoft.com/office/drawing/2014/main" xmlns="" id="{00000000-0008-0000-0300-0000C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0" name="Rectangle 1136">
          <a:extLst>
            <a:ext uri="{FF2B5EF4-FFF2-40B4-BE49-F238E27FC236}">
              <a16:creationId xmlns:a16="http://schemas.microsoft.com/office/drawing/2014/main" xmlns="" id="{00000000-0008-0000-0300-0000C8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1" name="Rectangle 1137">
          <a:extLst>
            <a:ext uri="{FF2B5EF4-FFF2-40B4-BE49-F238E27FC236}">
              <a16:creationId xmlns:a16="http://schemas.microsoft.com/office/drawing/2014/main" xmlns="" id="{00000000-0008-0000-0300-0000C9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2" name="Rectangle 1138">
          <a:extLst>
            <a:ext uri="{FF2B5EF4-FFF2-40B4-BE49-F238E27FC236}">
              <a16:creationId xmlns:a16="http://schemas.microsoft.com/office/drawing/2014/main" xmlns="" id="{00000000-0008-0000-0300-0000CA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3" name="Rectangle 1139">
          <a:extLst>
            <a:ext uri="{FF2B5EF4-FFF2-40B4-BE49-F238E27FC236}">
              <a16:creationId xmlns:a16="http://schemas.microsoft.com/office/drawing/2014/main" xmlns="" id="{00000000-0008-0000-0300-0000CB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4" name="Rectangle 1140">
          <a:extLst>
            <a:ext uri="{FF2B5EF4-FFF2-40B4-BE49-F238E27FC236}">
              <a16:creationId xmlns:a16="http://schemas.microsoft.com/office/drawing/2014/main" xmlns="" id="{00000000-0008-0000-0300-0000CC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5" name="Rectangle 1141">
          <a:extLst>
            <a:ext uri="{FF2B5EF4-FFF2-40B4-BE49-F238E27FC236}">
              <a16:creationId xmlns:a16="http://schemas.microsoft.com/office/drawing/2014/main" xmlns="" id="{00000000-0008-0000-0300-0000CD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6" name="Rectangle 1142">
          <a:extLst>
            <a:ext uri="{FF2B5EF4-FFF2-40B4-BE49-F238E27FC236}">
              <a16:creationId xmlns:a16="http://schemas.microsoft.com/office/drawing/2014/main" xmlns="" id="{00000000-0008-0000-0300-0000CE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7" name="Rectangle 1143">
          <a:extLst>
            <a:ext uri="{FF2B5EF4-FFF2-40B4-BE49-F238E27FC236}">
              <a16:creationId xmlns:a16="http://schemas.microsoft.com/office/drawing/2014/main" xmlns="" id="{00000000-0008-0000-0300-0000CF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8" name="Rectangle 1144">
          <a:extLst>
            <a:ext uri="{FF2B5EF4-FFF2-40B4-BE49-F238E27FC236}">
              <a16:creationId xmlns:a16="http://schemas.microsoft.com/office/drawing/2014/main" xmlns="" id="{00000000-0008-0000-0300-0000D0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9" name="Rectangle 1145">
          <a:extLst>
            <a:ext uri="{FF2B5EF4-FFF2-40B4-BE49-F238E27FC236}">
              <a16:creationId xmlns:a16="http://schemas.microsoft.com/office/drawing/2014/main" xmlns="" id="{00000000-0008-0000-0300-0000D1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0" name="Rectangle 1146">
          <a:extLst>
            <a:ext uri="{FF2B5EF4-FFF2-40B4-BE49-F238E27FC236}">
              <a16:creationId xmlns:a16="http://schemas.microsoft.com/office/drawing/2014/main" xmlns="" id="{00000000-0008-0000-0300-0000D2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1" name="Rectangle 1147">
          <a:extLst>
            <a:ext uri="{FF2B5EF4-FFF2-40B4-BE49-F238E27FC236}">
              <a16:creationId xmlns:a16="http://schemas.microsoft.com/office/drawing/2014/main" xmlns="" id="{00000000-0008-0000-0300-0000D3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2" name="Rectangle 1148">
          <a:extLst>
            <a:ext uri="{FF2B5EF4-FFF2-40B4-BE49-F238E27FC236}">
              <a16:creationId xmlns:a16="http://schemas.microsoft.com/office/drawing/2014/main" xmlns="" id="{00000000-0008-0000-0300-0000D4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3" name="Rectangle 1149">
          <a:extLst>
            <a:ext uri="{FF2B5EF4-FFF2-40B4-BE49-F238E27FC236}">
              <a16:creationId xmlns:a16="http://schemas.microsoft.com/office/drawing/2014/main" xmlns="" id="{00000000-0008-0000-0300-0000D5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4" name="Rectangle 1150">
          <a:extLst>
            <a:ext uri="{FF2B5EF4-FFF2-40B4-BE49-F238E27FC236}">
              <a16:creationId xmlns:a16="http://schemas.microsoft.com/office/drawing/2014/main" xmlns="" id="{00000000-0008-0000-0300-0000D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5" name="Rectangle 1151">
          <a:extLst>
            <a:ext uri="{FF2B5EF4-FFF2-40B4-BE49-F238E27FC236}">
              <a16:creationId xmlns:a16="http://schemas.microsoft.com/office/drawing/2014/main" xmlns="" id="{00000000-0008-0000-0300-0000D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6" name="Rectangle 1152">
          <a:extLst>
            <a:ext uri="{FF2B5EF4-FFF2-40B4-BE49-F238E27FC236}">
              <a16:creationId xmlns:a16="http://schemas.microsoft.com/office/drawing/2014/main" xmlns="" id="{00000000-0008-0000-0300-0000D8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7" name="Rectangle 1153">
          <a:extLst>
            <a:ext uri="{FF2B5EF4-FFF2-40B4-BE49-F238E27FC236}">
              <a16:creationId xmlns:a16="http://schemas.microsoft.com/office/drawing/2014/main" xmlns="" id="{00000000-0008-0000-0300-0000D9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8" name="Rectangle 1154">
          <a:extLst>
            <a:ext uri="{FF2B5EF4-FFF2-40B4-BE49-F238E27FC236}">
              <a16:creationId xmlns:a16="http://schemas.microsoft.com/office/drawing/2014/main" xmlns="" id="{00000000-0008-0000-0300-0000DA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9" name="Rectangle 1155">
          <a:extLst>
            <a:ext uri="{FF2B5EF4-FFF2-40B4-BE49-F238E27FC236}">
              <a16:creationId xmlns:a16="http://schemas.microsoft.com/office/drawing/2014/main" xmlns="" id="{00000000-0008-0000-0300-0000DB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0" name="Rectangle 1156">
          <a:extLst>
            <a:ext uri="{FF2B5EF4-FFF2-40B4-BE49-F238E27FC236}">
              <a16:creationId xmlns:a16="http://schemas.microsoft.com/office/drawing/2014/main" xmlns="" id="{00000000-0008-0000-0300-0000DC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1" name="Rectangle 1157">
          <a:extLst>
            <a:ext uri="{FF2B5EF4-FFF2-40B4-BE49-F238E27FC236}">
              <a16:creationId xmlns:a16="http://schemas.microsoft.com/office/drawing/2014/main" xmlns="" id="{00000000-0008-0000-0300-0000DD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2" name="Rectangle 1158">
          <a:extLst>
            <a:ext uri="{FF2B5EF4-FFF2-40B4-BE49-F238E27FC236}">
              <a16:creationId xmlns:a16="http://schemas.microsoft.com/office/drawing/2014/main" xmlns="" id="{00000000-0008-0000-0300-0000DE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3" name="Rectangle 1159">
          <a:extLst>
            <a:ext uri="{FF2B5EF4-FFF2-40B4-BE49-F238E27FC236}">
              <a16:creationId xmlns:a16="http://schemas.microsoft.com/office/drawing/2014/main" xmlns="" id="{00000000-0008-0000-0300-0000DF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4" name="Rectangle 1160">
          <a:extLst>
            <a:ext uri="{FF2B5EF4-FFF2-40B4-BE49-F238E27FC236}">
              <a16:creationId xmlns:a16="http://schemas.microsoft.com/office/drawing/2014/main" xmlns="" id="{00000000-0008-0000-0300-0000E0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5" name="Rectangle 1161">
          <a:extLst>
            <a:ext uri="{FF2B5EF4-FFF2-40B4-BE49-F238E27FC236}">
              <a16:creationId xmlns:a16="http://schemas.microsoft.com/office/drawing/2014/main" xmlns="" id="{00000000-0008-0000-0300-0000E1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6" name="Rectangle 1162">
          <a:extLst>
            <a:ext uri="{FF2B5EF4-FFF2-40B4-BE49-F238E27FC236}">
              <a16:creationId xmlns:a16="http://schemas.microsoft.com/office/drawing/2014/main" xmlns="" id="{00000000-0008-0000-0300-0000E2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7" name="Rectangle 1163">
          <a:extLst>
            <a:ext uri="{FF2B5EF4-FFF2-40B4-BE49-F238E27FC236}">
              <a16:creationId xmlns:a16="http://schemas.microsoft.com/office/drawing/2014/main" xmlns="" id="{00000000-0008-0000-0300-0000E3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8" name="Rectangle 1164">
          <a:extLst>
            <a:ext uri="{FF2B5EF4-FFF2-40B4-BE49-F238E27FC236}">
              <a16:creationId xmlns:a16="http://schemas.microsoft.com/office/drawing/2014/main" xmlns="" id="{00000000-0008-0000-0300-0000E4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89" name="Rectangle 93">
          <a:extLst>
            <a:ext uri="{FF2B5EF4-FFF2-40B4-BE49-F238E27FC236}">
              <a16:creationId xmlns:a16="http://schemas.microsoft.com/office/drawing/2014/main" xmlns="" id="{00000000-0008-0000-0300-0000E5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0" name="Rectangle 94">
          <a:extLst>
            <a:ext uri="{FF2B5EF4-FFF2-40B4-BE49-F238E27FC236}">
              <a16:creationId xmlns:a16="http://schemas.microsoft.com/office/drawing/2014/main" xmlns="" id="{00000000-0008-0000-0300-0000E6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1" name="Rectangle 95">
          <a:extLst>
            <a:ext uri="{FF2B5EF4-FFF2-40B4-BE49-F238E27FC236}">
              <a16:creationId xmlns:a16="http://schemas.microsoft.com/office/drawing/2014/main" xmlns="" id="{00000000-0008-0000-0300-0000E7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2" name="Rectangle 96">
          <a:extLst>
            <a:ext uri="{FF2B5EF4-FFF2-40B4-BE49-F238E27FC236}">
              <a16:creationId xmlns:a16="http://schemas.microsoft.com/office/drawing/2014/main" xmlns="" id="{00000000-0008-0000-0300-0000E8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3" name="Rectangle 97">
          <a:extLst>
            <a:ext uri="{FF2B5EF4-FFF2-40B4-BE49-F238E27FC236}">
              <a16:creationId xmlns:a16="http://schemas.microsoft.com/office/drawing/2014/main" xmlns="" id="{00000000-0008-0000-0300-0000E9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4" name="Rectangle 98">
          <a:extLst>
            <a:ext uri="{FF2B5EF4-FFF2-40B4-BE49-F238E27FC236}">
              <a16:creationId xmlns:a16="http://schemas.microsoft.com/office/drawing/2014/main" xmlns="" id="{00000000-0008-0000-0300-0000EA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5" name="Rectangle 99">
          <a:extLst>
            <a:ext uri="{FF2B5EF4-FFF2-40B4-BE49-F238E27FC236}">
              <a16:creationId xmlns:a16="http://schemas.microsoft.com/office/drawing/2014/main" xmlns="" id="{00000000-0008-0000-0300-0000E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6" name="Rectangle 100">
          <a:extLst>
            <a:ext uri="{FF2B5EF4-FFF2-40B4-BE49-F238E27FC236}">
              <a16:creationId xmlns:a16="http://schemas.microsoft.com/office/drawing/2014/main" xmlns="" id="{00000000-0008-0000-0300-0000E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7" name="Rectangle 101">
          <a:extLst>
            <a:ext uri="{FF2B5EF4-FFF2-40B4-BE49-F238E27FC236}">
              <a16:creationId xmlns:a16="http://schemas.microsoft.com/office/drawing/2014/main" xmlns="" id="{00000000-0008-0000-0300-0000E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8" name="Rectangle 102">
          <a:extLst>
            <a:ext uri="{FF2B5EF4-FFF2-40B4-BE49-F238E27FC236}">
              <a16:creationId xmlns:a16="http://schemas.microsoft.com/office/drawing/2014/main" xmlns="" id="{00000000-0008-0000-0300-0000E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9" name="Rectangle 103">
          <a:extLst>
            <a:ext uri="{FF2B5EF4-FFF2-40B4-BE49-F238E27FC236}">
              <a16:creationId xmlns:a16="http://schemas.microsoft.com/office/drawing/2014/main" xmlns="" id="{00000000-0008-0000-0300-0000E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0" name="Rectangle 104">
          <a:extLst>
            <a:ext uri="{FF2B5EF4-FFF2-40B4-BE49-F238E27FC236}">
              <a16:creationId xmlns:a16="http://schemas.microsoft.com/office/drawing/2014/main" xmlns="" id="{00000000-0008-0000-0300-0000F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1" name="Rectangle 105">
          <a:extLst>
            <a:ext uri="{FF2B5EF4-FFF2-40B4-BE49-F238E27FC236}">
              <a16:creationId xmlns:a16="http://schemas.microsoft.com/office/drawing/2014/main" xmlns="" id="{00000000-0008-0000-0300-0000F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2" name="Rectangle 106">
          <a:extLst>
            <a:ext uri="{FF2B5EF4-FFF2-40B4-BE49-F238E27FC236}">
              <a16:creationId xmlns:a16="http://schemas.microsoft.com/office/drawing/2014/main" xmlns="" id="{00000000-0008-0000-0300-0000F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3" name="Rectangle 107">
          <a:extLst>
            <a:ext uri="{FF2B5EF4-FFF2-40B4-BE49-F238E27FC236}">
              <a16:creationId xmlns:a16="http://schemas.microsoft.com/office/drawing/2014/main" xmlns="" id="{00000000-0008-0000-0300-0000F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4" name="Rectangle 108">
          <a:extLst>
            <a:ext uri="{FF2B5EF4-FFF2-40B4-BE49-F238E27FC236}">
              <a16:creationId xmlns:a16="http://schemas.microsoft.com/office/drawing/2014/main" xmlns="" id="{00000000-0008-0000-0300-0000F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5" name="Rectangle 109">
          <a:extLst>
            <a:ext uri="{FF2B5EF4-FFF2-40B4-BE49-F238E27FC236}">
              <a16:creationId xmlns:a16="http://schemas.microsoft.com/office/drawing/2014/main" xmlns="" id="{00000000-0008-0000-0300-0000F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6" name="Rectangle 110">
          <a:extLst>
            <a:ext uri="{FF2B5EF4-FFF2-40B4-BE49-F238E27FC236}">
              <a16:creationId xmlns:a16="http://schemas.microsoft.com/office/drawing/2014/main" xmlns="" id="{00000000-0008-0000-0300-0000F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7" name="Rectangle 111">
          <a:extLst>
            <a:ext uri="{FF2B5EF4-FFF2-40B4-BE49-F238E27FC236}">
              <a16:creationId xmlns:a16="http://schemas.microsoft.com/office/drawing/2014/main" xmlns="" id="{00000000-0008-0000-0300-0000F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8" name="Rectangle 112">
          <a:extLst>
            <a:ext uri="{FF2B5EF4-FFF2-40B4-BE49-F238E27FC236}">
              <a16:creationId xmlns:a16="http://schemas.microsoft.com/office/drawing/2014/main" xmlns="" id="{00000000-0008-0000-0300-0000F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9" name="Rectangle 113">
          <a:extLst>
            <a:ext uri="{FF2B5EF4-FFF2-40B4-BE49-F238E27FC236}">
              <a16:creationId xmlns:a16="http://schemas.microsoft.com/office/drawing/2014/main" xmlns="" id="{00000000-0008-0000-0300-0000F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0" name="Rectangle 114">
          <a:extLst>
            <a:ext uri="{FF2B5EF4-FFF2-40B4-BE49-F238E27FC236}">
              <a16:creationId xmlns:a16="http://schemas.microsoft.com/office/drawing/2014/main" xmlns="" id="{00000000-0008-0000-0300-0000F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1" name="Rectangle 115">
          <a:extLst>
            <a:ext uri="{FF2B5EF4-FFF2-40B4-BE49-F238E27FC236}">
              <a16:creationId xmlns:a16="http://schemas.microsoft.com/office/drawing/2014/main" xmlns="" id="{00000000-0008-0000-0300-0000F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2" name="Rectangle 116">
          <a:extLst>
            <a:ext uri="{FF2B5EF4-FFF2-40B4-BE49-F238E27FC236}">
              <a16:creationId xmlns:a16="http://schemas.microsoft.com/office/drawing/2014/main" xmlns="" id="{00000000-0008-0000-0300-0000F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3" name="Rectangle 117">
          <a:extLst>
            <a:ext uri="{FF2B5EF4-FFF2-40B4-BE49-F238E27FC236}">
              <a16:creationId xmlns:a16="http://schemas.microsoft.com/office/drawing/2014/main" xmlns="" id="{00000000-0008-0000-0300-0000F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4" name="Rectangle 118">
          <a:extLst>
            <a:ext uri="{FF2B5EF4-FFF2-40B4-BE49-F238E27FC236}">
              <a16:creationId xmlns:a16="http://schemas.microsoft.com/office/drawing/2014/main" xmlns="" id="{00000000-0008-0000-0300-0000F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5" name="Rectangle 119">
          <a:extLst>
            <a:ext uri="{FF2B5EF4-FFF2-40B4-BE49-F238E27FC236}">
              <a16:creationId xmlns:a16="http://schemas.microsoft.com/office/drawing/2014/main" xmlns="" id="{00000000-0008-0000-0300-0000F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6" name="Rectangle 120">
          <a:extLst>
            <a:ext uri="{FF2B5EF4-FFF2-40B4-BE49-F238E27FC236}">
              <a16:creationId xmlns:a16="http://schemas.microsoft.com/office/drawing/2014/main" xmlns="" id="{00000000-0008-0000-0300-00000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7" name="Rectangle 121">
          <a:extLst>
            <a:ext uri="{FF2B5EF4-FFF2-40B4-BE49-F238E27FC236}">
              <a16:creationId xmlns:a16="http://schemas.microsoft.com/office/drawing/2014/main" xmlns="" id="{00000000-0008-0000-0300-00000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8" name="Rectangle 122">
          <a:extLst>
            <a:ext uri="{FF2B5EF4-FFF2-40B4-BE49-F238E27FC236}">
              <a16:creationId xmlns:a16="http://schemas.microsoft.com/office/drawing/2014/main" xmlns="" id="{00000000-0008-0000-0300-00000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9" name="Rectangle 123">
          <a:extLst>
            <a:ext uri="{FF2B5EF4-FFF2-40B4-BE49-F238E27FC236}">
              <a16:creationId xmlns:a16="http://schemas.microsoft.com/office/drawing/2014/main" xmlns="" id="{00000000-0008-0000-0300-00000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0" name="Rectangle 124">
          <a:extLst>
            <a:ext uri="{FF2B5EF4-FFF2-40B4-BE49-F238E27FC236}">
              <a16:creationId xmlns:a16="http://schemas.microsoft.com/office/drawing/2014/main" xmlns="" id="{00000000-0008-0000-0300-00000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1" name="Rectangle 125">
          <a:extLst>
            <a:ext uri="{FF2B5EF4-FFF2-40B4-BE49-F238E27FC236}">
              <a16:creationId xmlns:a16="http://schemas.microsoft.com/office/drawing/2014/main" xmlns="" id="{00000000-0008-0000-0300-00000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2" name="Rectangle 126">
          <a:extLst>
            <a:ext uri="{FF2B5EF4-FFF2-40B4-BE49-F238E27FC236}">
              <a16:creationId xmlns:a16="http://schemas.microsoft.com/office/drawing/2014/main" xmlns="" id="{00000000-0008-0000-0300-00000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3" name="Rectangle 127">
          <a:extLst>
            <a:ext uri="{FF2B5EF4-FFF2-40B4-BE49-F238E27FC236}">
              <a16:creationId xmlns:a16="http://schemas.microsoft.com/office/drawing/2014/main" xmlns="" id="{00000000-0008-0000-0300-00000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4" name="Rectangle 128">
          <a:extLst>
            <a:ext uri="{FF2B5EF4-FFF2-40B4-BE49-F238E27FC236}">
              <a16:creationId xmlns:a16="http://schemas.microsoft.com/office/drawing/2014/main" xmlns="" id="{00000000-0008-0000-0300-00000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5" name="Rectangle 129">
          <a:extLst>
            <a:ext uri="{FF2B5EF4-FFF2-40B4-BE49-F238E27FC236}">
              <a16:creationId xmlns:a16="http://schemas.microsoft.com/office/drawing/2014/main" xmlns="" id="{00000000-0008-0000-0300-00000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6" name="Rectangle 130">
          <a:extLst>
            <a:ext uri="{FF2B5EF4-FFF2-40B4-BE49-F238E27FC236}">
              <a16:creationId xmlns:a16="http://schemas.microsoft.com/office/drawing/2014/main" xmlns="" id="{00000000-0008-0000-0300-00000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7" name="Rectangle 131">
          <a:extLst>
            <a:ext uri="{FF2B5EF4-FFF2-40B4-BE49-F238E27FC236}">
              <a16:creationId xmlns:a16="http://schemas.microsoft.com/office/drawing/2014/main" xmlns="" id="{00000000-0008-0000-0300-00000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8" name="Rectangle 132">
          <a:extLst>
            <a:ext uri="{FF2B5EF4-FFF2-40B4-BE49-F238E27FC236}">
              <a16:creationId xmlns:a16="http://schemas.microsoft.com/office/drawing/2014/main" xmlns="" id="{00000000-0008-0000-0300-00000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9" name="Rectangle 133">
          <a:extLst>
            <a:ext uri="{FF2B5EF4-FFF2-40B4-BE49-F238E27FC236}">
              <a16:creationId xmlns:a16="http://schemas.microsoft.com/office/drawing/2014/main" xmlns="" id="{00000000-0008-0000-0300-00000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0" name="Rectangle 134">
          <a:extLst>
            <a:ext uri="{FF2B5EF4-FFF2-40B4-BE49-F238E27FC236}">
              <a16:creationId xmlns:a16="http://schemas.microsoft.com/office/drawing/2014/main" xmlns="" id="{00000000-0008-0000-0300-00000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1" name="Rectangle 135">
          <a:extLst>
            <a:ext uri="{FF2B5EF4-FFF2-40B4-BE49-F238E27FC236}">
              <a16:creationId xmlns:a16="http://schemas.microsoft.com/office/drawing/2014/main" xmlns="" id="{00000000-0008-0000-0300-00000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2" name="Rectangle 136">
          <a:extLst>
            <a:ext uri="{FF2B5EF4-FFF2-40B4-BE49-F238E27FC236}">
              <a16:creationId xmlns:a16="http://schemas.microsoft.com/office/drawing/2014/main" xmlns="" id="{00000000-0008-0000-0300-00001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3" name="Rectangle 137">
          <a:extLst>
            <a:ext uri="{FF2B5EF4-FFF2-40B4-BE49-F238E27FC236}">
              <a16:creationId xmlns:a16="http://schemas.microsoft.com/office/drawing/2014/main" xmlns="" id="{00000000-0008-0000-0300-00001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4" name="Rectangle 138">
          <a:extLst>
            <a:ext uri="{FF2B5EF4-FFF2-40B4-BE49-F238E27FC236}">
              <a16:creationId xmlns:a16="http://schemas.microsoft.com/office/drawing/2014/main" xmlns="" id="{00000000-0008-0000-0300-00001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5" name="Rectangle 139">
          <a:extLst>
            <a:ext uri="{FF2B5EF4-FFF2-40B4-BE49-F238E27FC236}">
              <a16:creationId xmlns:a16="http://schemas.microsoft.com/office/drawing/2014/main" xmlns="" id="{00000000-0008-0000-0300-00001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6" name="Rectangle 140">
          <a:extLst>
            <a:ext uri="{FF2B5EF4-FFF2-40B4-BE49-F238E27FC236}">
              <a16:creationId xmlns:a16="http://schemas.microsoft.com/office/drawing/2014/main" xmlns="" id="{00000000-0008-0000-0300-00001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7" name="Rectangle 141">
          <a:extLst>
            <a:ext uri="{FF2B5EF4-FFF2-40B4-BE49-F238E27FC236}">
              <a16:creationId xmlns:a16="http://schemas.microsoft.com/office/drawing/2014/main" xmlns="" id="{00000000-0008-0000-0300-00001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8" name="Rectangle 142">
          <a:extLst>
            <a:ext uri="{FF2B5EF4-FFF2-40B4-BE49-F238E27FC236}">
              <a16:creationId xmlns:a16="http://schemas.microsoft.com/office/drawing/2014/main" xmlns="" id="{00000000-0008-0000-0300-00001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9" name="Rectangle 143">
          <a:extLst>
            <a:ext uri="{FF2B5EF4-FFF2-40B4-BE49-F238E27FC236}">
              <a16:creationId xmlns:a16="http://schemas.microsoft.com/office/drawing/2014/main" xmlns="" id="{00000000-0008-0000-0300-00001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0" name="Rectangle 144">
          <a:extLst>
            <a:ext uri="{FF2B5EF4-FFF2-40B4-BE49-F238E27FC236}">
              <a16:creationId xmlns:a16="http://schemas.microsoft.com/office/drawing/2014/main" xmlns="" id="{00000000-0008-0000-0300-00001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1" name="Rectangle 145">
          <a:extLst>
            <a:ext uri="{FF2B5EF4-FFF2-40B4-BE49-F238E27FC236}">
              <a16:creationId xmlns:a16="http://schemas.microsoft.com/office/drawing/2014/main" xmlns="" id="{00000000-0008-0000-0300-00001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2" name="Rectangle 146">
          <a:extLst>
            <a:ext uri="{FF2B5EF4-FFF2-40B4-BE49-F238E27FC236}">
              <a16:creationId xmlns:a16="http://schemas.microsoft.com/office/drawing/2014/main" xmlns="" id="{00000000-0008-0000-0300-00001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3" name="Rectangle 147">
          <a:extLst>
            <a:ext uri="{FF2B5EF4-FFF2-40B4-BE49-F238E27FC236}">
              <a16:creationId xmlns:a16="http://schemas.microsoft.com/office/drawing/2014/main" xmlns="" id="{00000000-0008-0000-0300-00001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4" name="Rectangle 148">
          <a:extLst>
            <a:ext uri="{FF2B5EF4-FFF2-40B4-BE49-F238E27FC236}">
              <a16:creationId xmlns:a16="http://schemas.microsoft.com/office/drawing/2014/main" xmlns="" id="{00000000-0008-0000-0300-00001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5" name="Rectangle 149">
          <a:extLst>
            <a:ext uri="{FF2B5EF4-FFF2-40B4-BE49-F238E27FC236}">
              <a16:creationId xmlns:a16="http://schemas.microsoft.com/office/drawing/2014/main" xmlns="" id="{00000000-0008-0000-0300-00001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6" name="Rectangle 150">
          <a:extLst>
            <a:ext uri="{FF2B5EF4-FFF2-40B4-BE49-F238E27FC236}">
              <a16:creationId xmlns:a16="http://schemas.microsoft.com/office/drawing/2014/main" xmlns="" id="{00000000-0008-0000-0300-00001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7" name="Rectangle 151">
          <a:extLst>
            <a:ext uri="{FF2B5EF4-FFF2-40B4-BE49-F238E27FC236}">
              <a16:creationId xmlns:a16="http://schemas.microsoft.com/office/drawing/2014/main" xmlns="" id="{00000000-0008-0000-0300-00001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8" name="Rectangle 152">
          <a:extLst>
            <a:ext uri="{FF2B5EF4-FFF2-40B4-BE49-F238E27FC236}">
              <a16:creationId xmlns:a16="http://schemas.microsoft.com/office/drawing/2014/main" xmlns="" id="{00000000-0008-0000-0300-00002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9" name="Rectangle 153">
          <a:extLst>
            <a:ext uri="{FF2B5EF4-FFF2-40B4-BE49-F238E27FC236}">
              <a16:creationId xmlns:a16="http://schemas.microsoft.com/office/drawing/2014/main" xmlns="" id="{00000000-0008-0000-0300-00002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0" name="Rectangle 154">
          <a:extLst>
            <a:ext uri="{FF2B5EF4-FFF2-40B4-BE49-F238E27FC236}">
              <a16:creationId xmlns:a16="http://schemas.microsoft.com/office/drawing/2014/main" xmlns="" id="{00000000-0008-0000-0300-00002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1" name="Rectangle 155">
          <a:extLst>
            <a:ext uri="{FF2B5EF4-FFF2-40B4-BE49-F238E27FC236}">
              <a16:creationId xmlns:a16="http://schemas.microsoft.com/office/drawing/2014/main" xmlns="" id="{00000000-0008-0000-0300-00002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2" name="Rectangle 156">
          <a:extLst>
            <a:ext uri="{FF2B5EF4-FFF2-40B4-BE49-F238E27FC236}">
              <a16:creationId xmlns:a16="http://schemas.microsoft.com/office/drawing/2014/main" xmlns="" id="{00000000-0008-0000-0300-00002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3" name="Rectangle 157">
          <a:extLst>
            <a:ext uri="{FF2B5EF4-FFF2-40B4-BE49-F238E27FC236}">
              <a16:creationId xmlns:a16="http://schemas.microsoft.com/office/drawing/2014/main" xmlns="" id="{00000000-0008-0000-0300-00002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4" name="Rectangle 158">
          <a:extLst>
            <a:ext uri="{FF2B5EF4-FFF2-40B4-BE49-F238E27FC236}">
              <a16:creationId xmlns:a16="http://schemas.microsoft.com/office/drawing/2014/main" xmlns="" id="{00000000-0008-0000-0300-00002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5" name="Rectangle 159">
          <a:extLst>
            <a:ext uri="{FF2B5EF4-FFF2-40B4-BE49-F238E27FC236}">
              <a16:creationId xmlns:a16="http://schemas.microsoft.com/office/drawing/2014/main" xmlns="" id="{00000000-0008-0000-0300-00002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6" name="Rectangle 160">
          <a:extLst>
            <a:ext uri="{FF2B5EF4-FFF2-40B4-BE49-F238E27FC236}">
              <a16:creationId xmlns:a16="http://schemas.microsoft.com/office/drawing/2014/main" xmlns="" id="{00000000-0008-0000-0300-00002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7" name="Rectangle 161">
          <a:extLst>
            <a:ext uri="{FF2B5EF4-FFF2-40B4-BE49-F238E27FC236}">
              <a16:creationId xmlns:a16="http://schemas.microsoft.com/office/drawing/2014/main" xmlns="" id="{00000000-0008-0000-0300-00002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8" name="Rectangle 162">
          <a:extLst>
            <a:ext uri="{FF2B5EF4-FFF2-40B4-BE49-F238E27FC236}">
              <a16:creationId xmlns:a16="http://schemas.microsoft.com/office/drawing/2014/main" xmlns="" id="{00000000-0008-0000-0300-00002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9" name="Rectangle 163">
          <a:extLst>
            <a:ext uri="{FF2B5EF4-FFF2-40B4-BE49-F238E27FC236}">
              <a16:creationId xmlns:a16="http://schemas.microsoft.com/office/drawing/2014/main" xmlns="" id="{00000000-0008-0000-0300-00002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0" name="Rectangle 164">
          <a:extLst>
            <a:ext uri="{FF2B5EF4-FFF2-40B4-BE49-F238E27FC236}">
              <a16:creationId xmlns:a16="http://schemas.microsoft.com/office/drawing/2014/main" xmlns="" id="{00000000-0008-0000-0300-00002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1" name="Rectangle 165">
          <a:extLst>
            <a:ext uri="{FF2B5EF4-FFF2-40B4-BE49-F238E27FC236}">
              <a16:creationId xmlns:a16="http://schemas.microsoft.com/office/drawing/2014/main" xmlns="" id="{00000000-0008-0000-0300-00002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2" name="Rectangle 166">
          <a:extLst>
            <a:ext uri="{FF2B5EF4-FFF2-40B4-BE49-F238E27FC236}">
              <a16:creationId xmlns:a16="http://schemas.microsoft.com/office/drawing/2014/main" xmlns="" id="{00000000-0008-0000-0300-00002E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3" name="Rectangle 167">
          <a:extLst>
            <a:ext uri="{FF2B5EF4-FFF2-40B4-BE49-F238E27FC236}">
              <a16:creationId xmlns:a16="http://schemas.microsoft.com/office/drawing/2014/main" xmlns="" id="{00000000-0008-0000-0300-00002F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4" name="Rectangle 168">
          <a:extLst>
            <a:ext uri="{FF2B5EF4-FFF2-40B4-BE49-F238E27FC236}">
              <a16:creationId xmlns:a16="http://schemas.microsoft.com/office/drawing/2014/main" xmlns="" id="{00000000-0008-0000-0300-00003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5" name="Rectangle 169">
          <a:extLst>
            <a:ext uri="{FF2B5EF4-FFF2-40B4-BE49-F238E27FC236}">
              <a16:creationId xmlns:a16="http://schemas.microsoft.com/office/drawing/2014/main" xmlns="" id="{00000000-0008-0000-0300-000031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6" name="Rectangle 170">
          <a:extLst>
            <a:ext uri="{FF2B5EF4-FFF2-40B4-BE49-F238E27FC236}">
              <a16:creationId xmlns:a16="http://schemas.microsoft.com/office/drawing/2014/main" xmlns="" id="{00000000-0008-0000-0300-000032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7" name="Rectangle 171">
          <a:extLst>
            <a:ext uri="{FF2B5EF4-FFF2-40B4-BE49-F238E27FC236}">
              <a16:creationId xmlns:a16="http://schemas.microsoft.com/office/drawing/2014/main" xmlns="" id="{00000000-0008-0000-0300-000033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8" name="Rectangle 172">
          <a:extLst>
            <a:ext uri="{FF2B5EF4-FFF2-40B4-BE49-F238E27FC236}">
              <a16:creationId xmlns:a16="http://schemas.microsoft.com/office/drawing/2014/main" xmlns="" id="{00000000-0008-0000-0300-00003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9" name="Rectangle 173">
          <a:extLst>
            <a:ext uri="{FF2B5EF4-FFF2-40B4-BE49-F238E27FC236}">
              <a16:creationId xmlns:a16="http://schemas.microsoft.com/office/drawing/2014/main" xmlns="" id="{00000000-0008-0000-0300-00003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0" name="Rectangle 174">
          <a:extLst>
            <a:ext uri="{FF2B5EF4-FFF2-40B4-BE49-F238E27FC236}">
              <a16:creationId xmlns:a16="http://schemas.microsoft.com/office/drawing/2014/main" xmlns="" id="{00000000-0008-0000-0300-000036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1" name="Rectangle 175">
          <a:extLst>
            <a:ext uri="{FF2B5EF4-FFF2-40B4-BE49-F238E27FC236}">
              <a16:creationId xmlns:a16="http://schemas.microsoft.com/office/drawing/2014/main" xmlns="" id="{00000000-0008-0000-0300-00003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2" name="Rectangle 176">
          <a:extLst>
            <a:ext uri="{FF2B5EF4-FFF2-40B4-BE49-F238E27FC236}">
              <a16:creationId xmlns:a16="http://schemas.microsoft.com/office/drawing/2014/main" xmlns="" id="{00000000-0008-0000-0300-00003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3" name="Rectangle 177">
          <a:extLst>
            <a:ext uri="{FF2B5EF4-FFF2-40B4-BE49-F238E27FC236}">
              <a16:creationId xmlns:a16="http://schemas.microsoft.com/office/drawing/2014/main" xmlns="" id="{00000000-0008-0000-0300-00003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4" name="Rectangle 178">
          <a:extLst>
            <a:ext uri="{FF2B5EF4-FFF2-40B4-BE49-F238E27FC236}">
              <a16:creationId xmlns:a16="http://schemas.microsoft.com/office/drawing/2014/main" xmlns="" id="{00000000-0008-0000-0300-00003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5" name="Rectangle 179">
          <a:extLst>
            <a:ext uri="{FF2B5EF4-FFF2-40B4-BE49-F238E27FC236}">
              <a16:creationId xmlns:a16="http://schemas.microsoft.com/office/drawing/2014/main" xmlns="" id="{00000000-0008-0000-0300-00003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6" name="Rectangle 180">
          <a:extLst>
            <a:ext uri="{FF2B5EF4-FFF2-40B4-BE49-F238E27FC236}">
              <a16:creationId xmlns:a16="http://schemas.microsoft.com/office/drawing/2014/main" xmlns="" id="{00000000-0008-0000-0300-00003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7" name="Rectangle 181">
          <a:extLst>
            <a:ext uri="{FF2B5EF4-FFF2-40B4-BE49-F238E27FC236}">
              <a16:creationId xmlns:a16="http://schemas.microsoft.com/office/drawing/2014/main" xmlns="" id="{00000000-0008-0000-0300-00003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8" name="Rectangle 182">
          <a:extLst>
            <a:ext uri="{FF2B5EF4-FFF2-40B4-BE49-F238E27FC236}">
              <a16:creationId xmlns:a16="http://schemas.microsoft.com/office/drawing/2014/main" xmlns="" id="{00000000-0008-0000-0300-00003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9" name="Rectangle 183">
          <a:extLst>
            <a:ext uri="{FF2B5EF4-FFF2-40B4-BE49-F238E27FC236}">
              <a16:creationId xmlns:a16="http://schemas.microsoft.com/office/drawing/2014/main" xmlns="" id="{00000000-0008-0000-0300-00003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80" name="Rectangle 184">
          <a:extLst>
            <a:ext uri="{FF2B5EF4-FFF2-40B4-BE49-F238E27FC236}">
              <a16:creationId xmlns:a16="http://schemas.microsoft.com/office/drawing/2014/main" xmlns="" id="{00000000-0008-0000-0300-00004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1" name="Rectangle 185">
          <a:extLst>
            <a:ext uri="{FF2B5EF4-FFF2-40B4-BE49-F238E27FC236}">
              <a16:creationId xmlns:a16="http://schemas.microsoft.com/office/drawing/2014/main" xmlns="" id="{00000000-0008-0000-0300-00004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2" name="Rectangle 186">
          <a:extLst>
            <a:ext uri="{FF2B5EF4-FFF2-40B4-BE49-F238E27FC236}">
              <a16:creationId xmlns:a16="http://schemas.microsoft.com/office/drawing/2014/main" xmlns="" id="{00000000-0008-0000-0300-00004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3" name="Rectangle 187">
          <a:extLst>
            <a:ext uri="{FF2B5EF4-FFF2-40B4-BE49-F238E27FC236}">
              <a16:creationId xmlns:a16="http://schemas.microsoft.com/office/drawing/2014/main" xmlns="" id="{00000000-0008-0000-0300-00004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4" name="Rectangle 188">
          <a:extLst>
            <a:ext uri="{FF2B5EF4-FFF2-40B4-BE49-F238E27FC236}">
              <a16:creationId xmlns:a16="http://schemas.microsoft.com/office/drawing/2014/main" xmlns="" id="{00000000-0008-0000-0300-00004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5" name="Rectangle 189">
          <a:extLst>
            <a:ext uri="{FF2B5EF4-FFF2-40B4-BE49-F238E27FC236}">
              <a16:creationId xmlns:a16="http://schemas.microsoft.com/office/drawing/2014/main" xmlns="" id="{00000000-0008-0000-0300-00004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6" name="Rectangle 190">
          <a:extLst>
            <a:ext uri="{FF2B5EF4-FFF2-40B4-BE49-F238E27FC236}">
              <a16:creationId xmlns:a16="http://schemas.microsoft.com/office/drawing/2014/main" xmlns="" id="{00000000-0008-0000-0300-00004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7" name="Rectangle 191">
          <a:extLst>
            <a:ext uri="{FF2B5EF4-FFF2-40B4-BE49-F238E27FC236}">
              <a16:creationId xmlns:a16="http://schemas.microsoft.com/office/drawing/2014/main" xmlns="" id="{00000000-0008-0000-0300-00004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8" name="Rectangle 192">
          <a:extLst>
            <a:ext uri="{FF2B5EF4-FFF2-40B4-BE49-F238E27FC236}">
              <a16:creationId xmlns:a16="http://schemas.microsoft.com/office/drawing/2014/main" xmlns="" id="{00000000-0008-0000-0300-00004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9" name="Rectangle 193">
          <a:extLst>
            <a:ext uri="{FF2B5EF4-FFF2-40B4-BE49-F238E27FC236}">
              <a16:creationId xmlns:a16="http://schemas.microsoft.com/office/drawing/2014/main" xmlns="" id="{00000000-0008-0000-0300-00004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0" name="Rectangle 194">
          <a:extLst>
            <a:ext uri="{FF2B5EF4-FFF2-40B4-BE49-F238E27FC236}">
              <a16:creationId xmlns:a16="http://schemas.microsoft.com/office/drawing/2014/main" xmlns="" id="{00000000-0008-0000-0300-00004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1" name="Rectangle 195">
          <a:extLst>
            <a:ext uri="{FF2B5EF4-FFF2-40B4-BE49-F238E27FC236}">
              <a16:creationId xmlns:a16="http://schemas.microsoft.com/office/drawing/2014/main" xmlns="" id="{00000000-0008-0000-0300-00004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2" name="Rectangle 196">
          <a:extLst>
            <a:ext uri="{FF2B5EF4-FFF2-40B4-BE49-F238E27FC236}">
              <a16:creationId xmlns:a16="http://schemas.microsoft.com/office/drawing/2014/main" xmlns="" id="{00000000-0008-0000-0300-00004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3" name="Rectangle 197">
          <a:extLst>
            <a:ext uri="{FF2B5EF4-FFF2-40B4-BE49-F238E27FC236}">
              <a16:creationId xmlns:a16="http://schemas.microsoft.com/office/drawing/2014/main" xmlns="" id="{00000000-0008-0000-0300-00004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4" name="Rectangle 198">
          <a:extLst>
            <a:ext uri="{FF2B5EF4-FFF2-40B4-BE49-F238E27FC236}">
              <a16:creationId xmlns:a16="http://schemas.microsoft.com/office/drawing/2014/main" xmlns="" id="{00000000-0008-0000-0300-00004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5" name="Rectangle 199">
          <a:extLst>
            <a:ext uri="{FF2B5EF4-FFF2-40B4-BE49-F238E27FC236}">
              <a16:creationId xmlns:a16="http://schemas.microsoft.com/office/drawing/2014/main" xmlns="" id="{00000000-0008-0000-0300-00004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6" name="Rectangle 200">
          <a:extLst>
            <a:ext uri="{FF2B5EF4-FFF2-40B4-BE49-F238E27FC236}">
              <a16:creationId xmlns:a16="http://schemas.microsoft.com/office/drawing/2014/main" xmlns="" id="{00000000-0008-0000-0300-00005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7" name="Rectangle 201">
          <a:extLst>
            <a:ext uri="{FF2B5EF4-FFF2-40B4-BE49-F238E27FC236}">
              <a16:creationId xmlns:a16="http://schemas.microsoft.com/office/drawing/2014/main" xmlns="" id="{00000000-0008-0000-0300-00005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8" name="Rectangle 202">
          <a:extLst>
            <a:ext uri="{FF2B5EF4-FFF2-40B4-BE49-F238E27FC236}">
              <a16:creationId xmlns:a16="http://schemas.microsoft.com/office/drawing/2014/main" xmlns="" id="{00000000-0008-0000-0300-00005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9" name="Rectangle 203">
          <a:extLst>
            <a:ext uri="{FF2B5EF4-FFF2-40B4-BE49-F238E27FC236}">
              <a16:creationId xmlns:a16="http://schemas.microsoft.com/office/drawing/2014/main" xmlns="" id="{00000000-0008-0000-0300-00005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0" name="Rectangle 204">
          <a:extLst>
            <a:ext uri="{FF2B5EF4-FFF2-40B4-BE49-F238E27FC236}">
              <a16:creationId xmlns:a16="http://schemas.microsoft.com/office/drawing/2014/main" xmlns="" id="{00000000-0008-0000-0300-00005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1" name="Rectangle 205">
          <a:extLst>
            <a:ext uri="{FF2B5EF4-FFF2-40B4-BE49-F238E27FC236}">
              <a16:creationId xmlns:a16="http://schemas.microsoft.com/office/drawing/2014/main" xmlns="" id="{00000000-0008-0000-0300-00005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2" name="Rectangle 206">
          <a:extLst>
            <a:ext uri="{FF2B5EF4-FFF2-40B4-BE49-F238E27FC236}">
              <a16:creationId xmlns:a16="http://schemas.microsoft.com/office/drawing/2014/main" xmlns="" id="{00000000-0008-0000-0300-000056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3" name="Rectangle 207">
          <a:extLst>
            <a:ext uri="{FF2B5EF4-FFF2-40B4-BE49-F238E27FC236}">
              <a16:creationId xmlns:a16="http://schemas.microsoft.com/office/drawing/2014/main" xmlns="" id="{00000000-0008-0000-0300-000057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4" name="Rectangle 208">
          <a:extLst>
            <a:ext uri="{FF2B5EF4-FFF2-40B4-BE49-F238E27FC236}">
              <a16:creationId xmlns:a16="http://schemas.microsoft.com/office/drawing/2014/main" xmlns="" id="{00000000-0008-0000-0300-00005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5" name="Rectangle 209">
          <a:extLst>
            <a:ext uri="{FF2B5EF4-FFF2-40B4-BE49-F238E27FC236}">
              <a16:creationId xmlns:a16="http://schemas.microsoft.com/office/drawing/2014/main" xmlns="" id="{00000000-0008-0000-0300-000059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6" name="Rectangle 210">
          <a:extLst>
            <a:ext uri="{FF2B5EF4-FFF2-40B4-BE49-F238E27FC236}">
              <a16:creationId xmlns:a16="http://schemas.microsoft.com/office/drawing/2014/main" xmlns="" id="{00000000-0008-0000-0300-00005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7" name="Rectangle 211">
          <a:extLst>
            <a:ext uri="{FF2B5EF4-FFF2-40B4-BE49-F238E27FC236}">
              <a16:creationId xmlns:a16="http://schemas.microsoft.com/office/drawing/2014/main" xmlns="" id="{00000000-0008-0000-0300-00005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8" name="Rectangle 212">
          <a:extLst>
            <a:ext uri="{FF2B5EF4-FFF2-40B4-BE49-F238E27FC236}">
              <a16:creationId xmlns:a16="http://schemas.microsoft.com/office/drawing/2014/main" xmlns="" id="{00000000-0008-0000-0300-00005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9" name="Rectangle 213">
          <a:extLst>
            <a:ext uri="{FF2B5EF4-FFF2-40B4-BE49-F238E27FC236}">
              <a16:creationId xmlns:a16="http://schemas.microsoft.com/office/drawing/2014/main" xmlns="" id="{00000000-0008-0000-0300-00005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0" name="Rectangle 214">
          <a:extLst>
            <a:ext uri="{FF2B5EF4-FFF2-40B4-BE49-F238E27FC236}">
              <a16:creationId xmlns:a16="http://schemas.microsoft.com/office/drawing/2014/main" xmlns="" id="{00000000-0008-0000-0300-00005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1" name="Rectangle 215">
          <a:extLst>
            <a:ext uri="{FF2B5EF4-FFF2-40B4-BE49-F238E27FC236}">
              <a16:creationId xmlns:a16="http://schemas.microsoft.com/office/drawing/2014/main" xmlns="" id="{00000000-0008-0000-0300-00005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2" name="Rectangle 216">
          <a:extLst>
            <a:ext uri="{FF2B5EF4-FFF2-40B4-BE49-F238E27FC236}">
              <a16:creationId xmlns:a16="http://schemas.microsoft.com/office/drawing/2014/main" xmlns="" id="{00000000-0008-0000-0300-000060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3" name="Rectangle 217">
          <a:extLst>
            <a:ext uri="{FF2B5EF4-FFF2-40B4-BE49-F238E27FC236}">
              <a16:creationId xmlns:a16="http://schemas.microsoft.com/office/drawing/2014/main" xmlns="" id="{00000000-0008-0000-0300-000061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4" name="Rectangle 218">
          <a:extLst>
            <a:ext uri="{FF2B5EF4-FFF2-40B4-BE49-F238E27FC236}">
              <a16:creationId xmlns:a16="http://schemas.microsoft.com/office/drawing/2014/main" xmlns="" id="{00000000-0008-0000-0300-00006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5" name="Rectangle 219">
          <a:extLst>
            <a:ext uri="{FF2B5EF4-FFF2-40B4-BE49-F238E27FC236}">
              <a16:creationId xmlns:a16="http://schemas.microsoft.com/office/drawing/2014/main" xmlns="" id="{00000000-0008-0000-0300-00006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6" name="Rectangle 220">
          <a:extLst>
            <a:ext uri="{FF2B5EF4-FFF2-40B4-BE49-F238E27FC236}">
              <a16:creationId xmlns:a16="http://schemas.microsoft.com/office/drawing/2014/main" xmlns="" id="{00000000-0008-0000-0300-000064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7" name="Rectangle 221">
          <a:extLst>
            <a:ext uri="{FF2B5EF4-FFF2-40B4-BE49-F238E27FC236}">
              <a16:creationId xmlns:a16="http://schemas.microsoft.com/office/drawing/2014/main" xmlns="" id="{00000000-0008-0000-0300-00006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8" name="Rectangle 222">
          <a:extLst>
            <a:ext uri="{FF2B5EF4-FFF2-40B4-BE49-F238E27FC236}">
              <a16:creationId xmlns:a16="http://schemas.microsoft.com/office/drawing/2014/main" xmlns="" id="{00000000-0008-0000-0300-00006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9" name="Rectangle 223">
          <a:extLst>
            <a:ext uri="{FF2B5EF4-FFF2-40B4-BE49-F238E27FC236}">
              <a16:creationId xmlns:a16="http://schemas.microsoft.com/office/drawing/2014/main" xmlns="" id="{00000000-0008-0000-0300-00006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0" name="Rectangle 224">
          <a:extLst>
            <a:ext uri="{FF2B5EF4-FFF2-40B4-BE49-F238E27FC236}">
              <a16:creationId xmlns:a16="http://schemas.microsoft.com/office/drawing/2014/main" xmlns="" id="{00000000-0008-0000-0300-00006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1" name="Rectangle 225">
          <a:extLst>
            <a:ext uri="{FF2B5EF4-FFF2-40B4-BE49-F238E27FC236}">
              <a16:creationId xmlns:a16="http://schemas.microsoft.com/office/drawing/2014/main" xmlns="" id="{00000000-0008-0000-0300-00006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2" name="Rectangle 226">
          <a:extLst>
            <a:ext uri="{FF2B5EF4-FFF2-40B4-BE49-F238E27FC236}">
              <a16:creationId xmlns:a16="http://schemas.microsoft.com/office/drawing/2014/main" xmlns="" id="{00000000-0008-0000-0300-00006A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3" name="Rectangle 227">
          <a:extLst>
            <a:ext uri="{FF2B5EF4-FFF2-40B4-BE49-F238E27FC236}">
              <a16:creationId xmlns:a16="http://schemas.microsoft.com/office/drawing/2014/main" xmlns="" id="{00000000-0008-0000-0300-00006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4" name="Rectangle 228">
          <a:extLst>
            <a:ext uri="{FF2B5EF4-FFF2-40B4-BE49-F238E27FC236}">
              <a16:creationId xmlns:a16="http://schemas.microsoft.com/office/drawing/2014/main" xmlns="" id="{00000000-0008-0000-0300-00006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5" name="Rectangle 229">
          <a:extLst>
            <a:ext uri="{FF2B5EF4-FFF2-40B4-BE49-F238E27FC236}">
              <a16:creationId xmlns:a16="http://schemas.microsoft.com/office/drawing/2014/main" xmlns="" id="{00000000-0008-0000-0300-00006D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6" name="Rectangle 230">
          <a:extLst>
            <a:ext uri="{FF2B5EF4-FFF2-40B4-BE49-F238E27FC236}">
              <a16:creationId xmlns:a16="http://schemas.microsoft.com/office/drawing/2014/main" xmlns="" id="{00000000-0008-0000-0300-00006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27" name="Rectangle 231">
          <a:extLst>
            <a:ext uri="{FF2B5EF4-FFF2-40B4-BE49-F238E27FC236}">
              <a16:creationId xmlns:a16="http://schemas.microsoft.com/office/drawing/2014/main" xmlns="" id="{00000000-0008-0000-0300-00006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8" name="Rectangle 232">
          <a:extLst>
            <a:ext uri="{FF2B5EF4-FFF2-40B4-BE49-F238E27FC236}">
              <a16:creationId xmlns:a16="http://schemas.microsoft.com/office/drawing/2014/main" xmlns="" id="{00000000-0008-0000-0300-00007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9" name="Rectangle 233">
          <a:extLst>
            <a:ext uri="{FF2B5EF4-FFF2-40B4-BE49-F238E27FC236}">
              <a16:creationId xmlns:a16="http://schemas.microsoft.com/office/drawing/2014/main" xmlns="" id="{00000000-0008-0000-0300-00007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0" name="Rectangle 234">
          <a:extLst>
            <a:ext uri="{FF2B5EF4-FFF2-40B4-BE49-F238E27FC236}">
              <a16:creationId xmlns:a16="http://schemas.microsoft.com/office/drawing/2014/main" xmlns="" id="{00000000-0008-0000-0300-00007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1" name="Rectangle 235">
          <a:extLst>
            <a:ext uri="{FF2B5EF4-FFF2-40B4-BE49-F238E27FC236}">
              <a16:creationId xmlns:a16="http://schemas.microsoft.com/office/drawing/2014/main" xmlns="" id="{00000000-0008-0000-0300-00007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2" name="Rectangle 236">
          <a:extLst>
            <a:ext uri="{FF2B5EF4-FFF2-40B4-BE49-F238E27FC236}">
              <a16:creationId xmlns:a16="http://schemas.microsoft.com/office/drawing/2014/main" xmlns="" id="{00000000-0008-0000-0300-00007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3" name="Rectangle 237">
          <a:extLst>
            <a:ext uri="{FF2B5EF4-FFF2-40B4-BE49-F238E27FC236}">
              <a16:creationId xmlns:a16="http://schemas.microsoft.com/office/drawing/2014/main" xmlns="" id="{00000000-0008-0000-0300-00007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4" name="Rectangle 238">
          <a:extLst>
            <a:ext uri="{FF2B5EF4-FFF2-40B4-BE49-F238E27FC236}">
              <a16:creationId xmlns:a16="http://schemas.microsoft.com/office/drawing/2014/main" xmlns="" id="{00000000-0008-0000-0300-00007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5" name="Rectangle 239">
          <a:extLst>
            <a:ext uri="{FF2B5EF4-FFF2-40B4-BE49-F238E27FC236}">
              <a16:creationId xmlns:a16="http://schemas.microsoft.com/office/drawing/2014/main" xmlns="" id="{00000000-0008-0000-0300-00007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6" name="Rectangle 240">
          <a:extLst>
            <a:ext uri="{FF2B5EF4-FFF2-40B4-BE49-F238E27FC236}">
              <a16:creationId xmlns:a16="http://schemas.microsoft.com/office/drawing/2014/main" xmlns="" id="{00000000-0008-0000-0300-00007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7" name="Rectangle 241">
          <a:extLst>
            <a:ext uri="{FF2B5EF4-FFF2-40B4-BE49-F238E27FC236}">
              <a16:creationId xmlns:a16="http://schemas.microsoft.com/office/drawing/2014/main" xmlns="" id="{00000000-0008-0000-0300-00007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8" name="Rectangle 242">
          <a:extLst>
            <a:ext uri="{FF2B5EF4-FFF2-40B4-BE49-F238E27FC236}">
              <a16:creationId xmlns:a16="http://schemas.microsoft.com/office/drawing/2014/main" xmlns="" id="{00000000-0008-0000-0300-00007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9" name="Rectangle 243">
          <a:extLst>
            <a:ext uri="{FF2B5EF4-FFF2-40B4-BE49-F238E27FC236}">
              <a16:creationId xmlns:a16="http://schemas.microsoft.com/office/drawing/2014/main" xmlns="" id="{00000000-0008-0000-0300-00007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0" name="Rectangle 244">
          <a:extLst>
            <a:ext uri="{FF2B5EF4-FFF2-40B4-BE49-F238E27FC236}">
              <a16:creationId xmlns:a16="http://schemas.microsoft.com/office/drawing/2014/main" xmlns="" id="{00000000-0008-0000-0300-00007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1" name="Rectangle 245">
          <a:extLst>
            <a:ext uri="{FF2B5EF4-FFF2-40B4-BE49-F238E27FC236}">
              <a16:creationId xmlns:a16="http://schemas.microsoft.com/office/drawing/2014/main" xmlns="" id="{00000000-0008-0000-0300-00007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2" name="Rectangle 246">
          <a:extLst>
            <a:ext uri="{FF2B5EF4-FFF2-40B4-BE49-F238E27FC236}">
              <a16:creationId xmlns:a16="http://schemas.microsoft.com/office/drawing/2014/main" xmlns="" id="{00000000-0008-0000-0300-00007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3" name="Rectangle 247">
          <a:extLst>
            <a:ext uri="{FF2B5EF4-FFF2-40B4-BE49-F238E27FC236}">
              <a16:creationId xmlns:a16="http://schemas.microsoft.com/office/drawing/2014/main" xmlns="" id="{00000000-0008-0000-0300-00007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4" name="Rectangle 248">
          <a:extLst>
            <a:ext uri="{FF2B5EF4-FFF2-40B4-BE49-F238E27FC236}">
              <a16:creationId xmlns:a16="http://schemas.microsoft.com/office/drawing/2014/main" xmlns="" id="{00000000-0008-0000-0300-00008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5" name="Rectangle 249">
          <a:extLst>
            <a:ext uri="{FF2B5EF4-FFF2-40B4-BE49-F238E27FC236}">
              <a16:creationId xmlns:a16="http://schemas.microsoft.com/office/drawing/2014/main" xmlns="" id="{00000000-0008-0000-0300-00008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6" name="Rectangle 250">
          <a:extLst>
            <a:ext uri="{FF2B5EF4-FFF2-40B4-BE49-F238E27FC236}">
              <a16:creationId xmlns:a16="http://schemas.microsoft.com/office/drawing/2014/main" xmlns="" id="{00000000-0008-0000-0300-00008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7" name="Rectangle 251">
          <a:extLst>
            <a:ext uri="{FF2B5EF4-FFF2-40B4-BE49-F238E27FC236}">
              <a16:creationId xmlns:a16="http://schemas.microsoft.com/office/drawing/2014/main" xmlns="" id="{00000000-0008-0000-0300-00008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8" name="Rectangle 252">
          <a:extLst>
            <a:ext uri="{FF2B5EF4-FFF2-40B4-BE49-F238E27FC236}">
              <a16:creationId xmlns:a16="http://schemas.microsoft.com/office/drawing/2014/main" xmlns="" id="{00000000-0008-0000-0300-00008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9" name="Rectangle 253">
          <a:extLst>
            <a:ext uri="{FF2B5EF4-FFF2-40B4-BE49-F238E27FC236}">
              <a16:creationId xmlns:a16="http://schemas.microsoft.com/office/drawing/2014/main" xmlns="" id="{00000000-0008-0000-0300-00008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0" name="Rectangle 254">
          <a:extLst>
            <a:ext uri="{FF2B5EF4-FFF2-40B4-BE49-F238E27FC236}">
              <a16:creationId xmlns:a16="http://schemas.microsoft.com/office/drawing/2014/main" xmlns="" id="{00000000-0008-0000-0300-00008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1" name="Rectangle 255">
          <a:extLst>
            <a:ext uri="{FF2B5EF4-FFF2-40B4-BE49-F238E27FC236}">
              <a16:creationId xmlns:a16="http://schemas.microsoft.com/office/drawing/2014/main" xmlns="" id="{00000000-0008-0000-0300-00008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2" name="Rectangle 256">
          <a:extLst>
            <a:ext uri="{FF2B5EF4-FFF2-40B4-BE49-F238E27FC236}">
              <a16:creationId xmlns:a16="http://schemas.microsoft.com/office/drawing/2014/main" xmlns="" id="{00000000-0008-0000-0300-00008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3" name="Rectangle 257">
          <a:extLst>
            <a:ext uri="{FF2B5EF4-FFF2-40B4-BE49-F238E27FC236}">
              <a16:creationId xmlns:a16="http://schemas.microsoft.com/office/drawing/2014/main" xmlns="" id="{00000000-0008-0000-0300-00008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4" name="Rectangle 258">
          <a:extLst>
            <a:ext uri="{FF2B5EF4-FFF2-40B4-BE49-F238E27FC236}">
              <a16:creationId xmlns:a16="http://schemas.microsoft.com/office/drawing/2014/main" xmlns="" id="{00000000-0008-0000-0300-00008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5" name="Rectangle 259">
          <a:extLst>
            <a:ext uri="{FF2B5EF4-FFF2-40B4-BE49-F238E27FC236}">
              <a16:creationId xmlns:a16="http://schemas.microsoft.com/office/drawing/2014/main" xmlns="" id="{00000000-0008-0000-0300-00008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6" name="Rectangle 260">
          <a:extLst>
            <a:ext uri="{FF2B5EF4-FFF2-40B4-BE49-F238E27FC236}">
              <a16:creationId xmlns:a16="http://schemas.microsoft.com/office/drawing/2014/main" xmlns="" id="{00000000-0008-0000-0300-00008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7" name="Rectangle 261">
          <a:extLst>
            <a:ext uri="{FF2B5EF4-FFF2-40B4-BE49-F238E27FC236}">
              <a16:creationId xmlns:a16="http://schemas.microsoft.com/office/drawing/2014/main" xmlns="" id="{00000000-0008-0000-0300-00008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8" name="Rectangle 262">
          <a:extLst>
            <a:ext uri="{FF2B5EF4-FFF2-40B4-BE49-F238E27FC236}">
              <a16:creationId xmlns:a16="http://schemas.microsoft.com/office/drawing/2014/main" xmlns="" id="{00000000-0008-0000-0300-00008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59" name="Rectangle 263">
          <a:extLst>
            <a:ext uri="{FF2B5EF4-FFF2-40B4-BE49-F238E27FC236}">
              <a16:creationId xmlns:a16="http://schemas.microsoft.com/office/drawing/2014/main" xmlns="" id="{00000000-0008-0000-0300-00008F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0" name="Rectangle 264">
          <a:extLst>
            <a:ext uri="{FF2B5EF4-FFF2-40B4-BE49-F238E27FC236}">
              <a16:creationId xmlns:a16="http://schemas.microsoft.com/office/drawing/2014/main" xmlns="" id="{00000000-0008-0000-0300-000090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1" name="Rectangle 265">
          <a:extLst>
            <a:ext uri="{FF2B5EF4-FFF2-40B4-BE49-F238E27FC236}">
              <a16:creationId xmlns:a16="http://schemas.microsoft.com/office/drawing/2014/main" xmlns="" id="{00000000-0008-0000-0300-000091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2" name="Rectangle 266">
          <a:extLst>
            <a:ext uri="{FF2B5EF4-FFF2-40B4-BE49-F238E27FC236}">
              <a16:creationId xmlns:a16="http://schemas.microsoft.com/office/drawing/2014/main" xmlns="" id="{00000000-0008-0000-0300-000092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3" name="Rectangle 267">
          <a:extLst>
            <a:ext uri="{FF2B5EF4-FFF2-40B4-BE49-F238E27FC236}">
              <a16:creationId xmlns:a16="http://schemas.microsoft.com/office/drawing/2014/main" xmlns="" id="{00000000-0008-0000-0300-000093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4" name="Rectangle 268">
          <a:extLst>
            <a:ext uri="{FF2B5EF4-FFF2-40B4-BE49-F238E27FC236}">
              <a16:creationId xmlns:a16="http://schemas.microsoft.com/office/drawing/2014/main" xmlns="" id="{00000000-0008-0000-0300-000094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5" name="Rectangle 269">
          <a:extLst>
            <a:ext uri="{FF2B5EF4-FFF2-40B4-BE49-F238E27FC236}">
              <a16:creationId xmlns:a16="http://schemas.microsoft.com/office/drawing/2014/main" xmlns="" id="{00000000-0008-0000-0300-000095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6" name="Rectangle 270">
          <a:extLst>
            <a:ext uri="{FF2B5EF4-FFF2-40B4-BE49-F238E27FC236}">
              <a16:creationId xmlns:a16="http://schemas.microsoft.com/office/drawing/2014/main" xmlns="" id="{00000000-0008-0000-0300-000096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7" name="Rectangle 271">
          <a:extLst>
            <a:ext uri="{FF2B5EF4-FFF2-40B4-BE49-F238E27FC236}">
              <a16:creationId xmlns:a16="http://schemas.microsoft.com/office/drawing/2014/main" xmlns="" id="{00000000-0008-0000-0300-000097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8" name="Rectangle 272">
          <a:extLst>
            <a:ext uri="{FF2B5EF4-FFF2-40B4-BE49-F238E27FC236}">
              <a16:creationId xmlns:a16="http://schemas.microsoft.com/office/drawing/2014/main" xmlns="" id="{00000000-0008-0000-0300-000098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9" name="Rectangle 273">
          <a:extLst>
            <a:ext uri="{FF2B5EF4-FFF2-40B4-BE49-F238E27FC236}">
              <a16:creationId xmlns:a16="http://schemas.microsoft.com/office/drawing/2014/main" xmlns="" id="{00000000-0008-0000-0300-000099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70" name="Rectangle 274">
          <a:extLst>
            <a:ext uri="{FF2B5EF4-FFF2-40B4-BE49-F238E27FC236}">
              <a16:creationId xmlns:a16="http://schemas.microsoft.com/office/drawing/2014/main" xmlns="" id="{00000000-0008-0000-0300-00009A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1" name="Rectangle 275">
          <a:extLst>
            <a:ext uri="{FF2B5EF4-FFF2-40B4-BE49-F238E27FC236}">
              <a16:creationId xmlns:a16="http://schemas.microsoft.com/office/drawing/2014/main" xmlns="" id="{00000000-0008-0000-0300-00009B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2" name="Rectangle 276">
          <a:extLst>
            <a:ext uri="{FF2B5EF4-FFF2-40B4-BE49-F238E27FC236}">
              <a16:creationId xmlns:a16="http://schemas.microsoft.com/office/drawing/2014/main" xmlns="" id="{00000000-0008-0000-0300-00009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3" name="Rectangle 277">
          <a:extLst>
            <a:ext uri="{FF2B5EF4-FFF2-40B4-BE49-F238E27FC236}">
              <a16:creationId xmlns:a16="http://schemas.microsoft.com/office/drawing/2014/main" xmlns="" id="{00000000-0008-0000-0300-00009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4" name="Rectangle 278">
          <a:extLst>
            <a:ext uri="{FF2B5EF4-FFF2-40B4-BE49-F238E27FC236}">
              <a16:creationId xmlns:a16="http://schemas.microsoft.com/office/drawing/2014/main" xmlns="" id="{00000000-0008-0000-0300-00009E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5" name="Rectangle 279">
          <a:extLst>
            <a:ext uri="{FF2B5EF4-FFF2-40B4-BE49-F238E27FC236}">
              <a16:creationId xmlns:a16="http://schemas.microsoft.com/office/drawing/2014/main" xmlns="" id="{00000000-0008-0000-0300-00009F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6" name="Rectangle 280">
          <a:extLst>
            <a:ext uri="{FF2B5EF4-FFF2-40B4-BE49-F238E27FC236}">
              <a16:creationId xmlns:a16="http://schemas.microsoft.com/office/drawing/2014/main" xmlns="" id="{00000000-0008-0000-0300-0000A0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7" name="Rectangle 281">
          <a:extLst>
            <a:ext uri="{FF2B5EF4-FFF2-40B4-BE49-F238E27FC236}">
              <a16:creationId xmlns:a16="http://schemas.microsoft.com/office/drawing/2014/main" xmlns="" id="{00000000-0008-0000-0300-0000A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8" name="Rectangle 282">
          <a:extLst>
            <a:ext uri="{FF2B5EF4-FFF2-40B4-BE49-F238E27FC236}">
              <a16:creationId xmlns:a16="http://schemas.microsoft.com/office/drawing/2014/main" xmlns="" id="{00000000-0008-0000-0300-0000A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9" name="Rectangle 283">
          <a:extLst>
            <a:ext uri="{FF2B5EF4-FFF2-40B4-BE49-F238E27FC236}">
              <a16:creationId xmlns:a16="http://schemas.microsoft.com/office/drawing/2014/main" xmlns="" id="{00000000-0008-0000-0300-0000A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0" name="Rectangle 284">
          <a:extLst>
            <a:ext uri="{FF2B5EF4-FFF2-40B4-BE49-F238E27FC236}">
              <a16:creationId xmlns:a16="http://schemas.microsoft.com/office/drawing/2014/main" xmlns="" id="{00000000-0008-0000-0300-0000A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1" name="Rectangle 285">
          <a:extLst>
            <a:ext uri="{FF2B5EF4-FFF2-40B4-BE49-F238E27FC236}">
              <a16:creationId xmlns:a16="http://schemas.microsoft.com/office/drawing/2014/main" xmlns="" id="{00000000-0008-0000-0300-0000A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2" name="Rectangle 286">
          <a:extLst>
            <a:ext uri="{FF2B5EF4-FFF2-40B4-BE49-F238E27FC236}">
              <a16:creationId xmlns:a16="http://schemas.microsoft.com/office/drawing/2014/main" xmlns="" id="{00000000-0008-0000-0300-0000A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3" name="Rectangle 287">
          <a:extLst>
            <a:ext uri="{FF2B5EF4-FFF2-40B4-BE49-F238E27FC236}">
              <a16:creationId xmlns:a16="http://schemas.microsoft.com/office/drawing/2014/main" xmlns="" id="{00000000-0008-0000-0300-0000A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4" name="Rectangle 288">
          <a:extLst>
            <a:ext uri="{FF2B5EF4-FFF2-40B4-BE49-F238E27FC236}">
              <a16:creationId xmlns:a16="http://schemas.microsoft.com/office/drawing/2014/main" xmlns="" id="{00000000-0008-0000-0300-0000A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5" name="Rectangle 289">
          <a:extLst>
            <a:ext uri="{FF2B5EF4-FFF2-40B4-BE49-F238E27FC236}">
              <a16:creationId xmlns:a16="http://schemas.microsoft.com/office/drawing/2014/main" xmlns="" id="{00000000-0008-0000-0300-0000A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6" name="Rectangle 290">
          <a:extLst>
            <a:ext uri="{FF2B5EF4-FFF2-40B4-BE49-F238E27FC236}">
              <a16:creationId xmlns:a16="http://schemas.microsoft.com/office/drawing/2014/main" xmlns="" id="{00000000-0008-0000-0300-0000A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7" name="Rectangle 291">
          <a:extLst>
            <a:ext uri="{FF2B5EF4-FFF2-40B4-BE49-F238E27FC236}">
              <a16:creationId xmlns:a16="http://schemas.microsoft.com/office/drawing/2014/main" xmlns="" id="{00000000-0008-0000-0300-0000A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8" name="Rectangle 292">
          <a:extLst>
            <a:ext uri="{FF2B5EF4-FFF2-40B4-BE49-F238E27FC236}">
              <a16:creationId xmlns:a16="http://schemas.microsoft.com/office/drawing/2014/main" xmlns="" id="{00000000-0008-0000-0300-0000A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9" name="Rectangle 293">
          <a:extLst>
            <a:ext uri="{FF2B5EF4-FFF2-40B4-BE49-F238E27FC236}">
              <a16:creationId xmlns:a16="http://schemas.microsoft.com/office/drawing/2014/main" xmlns="" id="{00000000-0008-0000-0300-0000A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0" name="Rectangle 294">
          <a:extLst>
            <a:ext uri="{FF2B5EF4-FFF2-40B4-BE49-F238E27FC236}">
              <a16:creationId xmlns:a16="http://schemas.microsoft.com/office/drawing/2014/main" xmlns="" id="{00000000-0008-0000-0300-0000A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1" name="Rectangle 295">
          <a:extLst>
            <a:ext uri="{FF2B5EF4-FFF2-40B4-BE49-F238E27FC236}">
              <a16:creationId xmlns:a16="http://schemas.microsoft.com/office/drawing/2014/main" xmlns="" id="{00000000-0008-0000-0300-0000A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2" name="Rectangle 296">
          <a:extLst>
            <a:ext uri="{FF2B5EF4-FFF2-40B4-BE49-F238E27FC236}">
              <a16:creationId xmlns:a16="http://schemas.microsoft.com/office/drawing/2014/main" xmlns="" id="{00000000-0008-0000-0300-0000B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3" name="Rectangle 297">
          <a:extLst>
            <a:ext uri="{FF2B5EF4-FFF2-40B4-BE49-F238E27FC236}">
              <a16:creationId xmlns:a16="http://schemas.microsoft.com/office/drawing/2014/main" xmlns="" id="{00000000-0008-0000-0300-0000B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4" name="Rectangle 298">
          <a:extLst>
            <a:ext uri="{FF2B5EF4-FFF2-40B4-BE49-F238E27FC236}">
              <a16:creationId xmlns:a16="http://schemas.microsoft.com/office/drawing/2014/main" xmlns="" id="{00000000-0008-0000-0300-0000B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5" name="Rectangle 299">
          <a:extLst>
            <a:ext uri="{FF2B5EF4-FFF2-40B4-BE49-F238E27FC236}">
              <a16:creationId xmlns:a16="http://schemas.microsoft.com/office/drawing/2014/main" xmlns="" id="{00000000-0008-0000-0300-0000B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6" name="Rectangle 300">
          <a:extLst>
            <a:ext uri="{FF2B5EF4-FFF2-40B4-BE49-F238E27FC236}">
              <a16:creationId xmlns:a16="http://schemas.microsoft.com/office/drawing/2014/main" xmlns="" id="{00000000-0008-0000-0300-0000B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7" name="Rectangle 301">
          <a:extLst>
            <a:ext uri="{FF2B5EF4-FFF2-40B4-BE49-F238E27FC236}">
              <a16:creationId xmlns:a16="http://schemas.microsoft.com/office/drawing/2014/main" xmlns="" id="{00000000-0008-0000-0300-0000B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8" name="Rectangle 302">
          <a:extLst>
            <a:ext uri="{FF2B5EF4-FFF2-40B4-BE49-F238E27FC236}">
              <a16:creationId xmlns:a16="http://schemas.microsoft.com/office/drawing/2014/main" xmlns="" id="{00000000-0008-0000-0300-0000B6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9" name="Rectangle 303">
          <a:extLst>
            <a:ext uri="{FF2B5EF4-FFF2-40B4-BE49-F238E27FC236}">
              <a16:creationId xmlns:a16="http://schemas.microsoft.com/office/drawing/2014/main" xmlns="" id="{00000000-0008-0000-0300-0000B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0" name="Rectangle 304">
          <a:extLst>
            <a:ext uri="{FF2B5EF4-FFF2-40B4-BE49-F238E27FC236}">
              <a16:creationId xmlns:a16="http://schemas.microsoft.com/office/drawing/2014/main" xmlns="" id="{00000000-0008-0000-0300-0000B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601" name="Rectangle 305">
          <a:extLst>
            <a:ext uri="{FF2B5EF4-FFF2-40B4-BE49-F238E27FC236}">
              <a16:creationId xmlns:a16="http://schemas.microsoft.com/office/drawing/2014/main" xmlns="" id="{00000000-0008-0000-0300-0000B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2" name="Rectangle 306">
          <a:extLst>
            <a:ext uri="{FF2B5EF4-FFF2-40B4-BE49-F238E27FC236}">
              <a16:creationId xmlns:a16="http://schemas.microsoft.com/office/drawing/2014/main" xmlns="" id="{00000000-0008-0000-0300-0000B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3" name="Rectangle 307">
          <a:extLst>
            <a:ext uri="{FF2B5EF4-FFF2-40B4-BE49-F238E27FC236}">
              <a16:creationId xmlns:a16="http://schemas.microsoft.com/office/drawing/2014/main" xmlns="" id="{00000000-0008-0000-0300-0000BB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4" name="Rectangle 308">
          <a:extLst>
            <a:ext uri="{FF2B5EF4-FFF2-40B4-BE49-F238E27FC236}">
              <a16:creationId xmlns:a16="http://schemas.microsoft.com/office/drawing/2014/main" xmlns="" id="{00000000-0008-0000-0300-0000BC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5" name="Rectangle 309">
          <a:extLst>
            <a:ext uri="{FF2B5EF4-FFF2-40B4-BE49-F238E27FC236}">
              <a16:creationId xmlns:a16="http://schemas.microsoft.com/office/drawing/2014/main" xmlns="" id="{00000000-0008-0000-0300-0000BD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6" name="Rectangle 310">
          <a:extLst>
            <a:ext uri="{FF2B5EF4-FFF2-40B4-BE49-F238E27FC236}">
              <a16:creationId xmlns:a16="http://schemas.microsoft.com/office/drawing/2014/main" xmlns="" id="{00000000-0008-0000-0300-0000BE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7" name="Rectangle 311">
          <a:extLst>
            <a:ext uri="{FF2B5EF4-FFF2-40B4-BE49-F238E27FC236}">
              <a16:creationId xmlns:a16="http://schemas.microsoft.com/office/drawing/2014/main" xmlns="" id="{00000000-0008-0000-0300-0000BF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8" name="Rectangle 312">
          <a:extLst>
            <a:ext uri="{FF2B5EF4-FFF2-40B4-BE49-F238E27FC236}">
              <a16:creationId xmlns:a16="http://schemas.microsoft.com/office/drawing/2014/main" xmlns="" id="{00000000-0008-0000-0300-0000C0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9" name="Rectangle 313">
          <a:extLst>
            <a:ext uri="{FF2B5EF4-FFF2-40B4-BE49-F238E27FC236}">
              <a16:creationId xmlns:a16="http://schemas.microsoft.com/office/drawing/2014/main" xmlns="" id="{00000000-0008-0000-0300-0000C1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0" name="Rectangle 314">
          <a:extLst>
            <a:ext uri="{FF2B5EF4-FFF2-40B4-BE49-F238E27FC236}">
              <a16:creationId xmlns:a16="http://schemas.microsoft.com/office/drawing/2014/main" xmlns="" id="{00000000-0008-0000-0300-0000C2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1" name="Rectangle 315">
          <a:extLst>
            <a:ext uri="{FF2B5EF4-FFF2-40B4-BE49-F238E27FC236}">
              <a16:creationId xmlns:a16="http://schemas.microsoft.com/office/drawing/2014/main" xmlns="" id="{00000000-0008-0000-0300-0000C3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2" name="Rectangle 316">
          <a:extLst>
            <a:ext uri="{FF2B5EF4-FFF2-40B4-BE49-F238E27FC236}">
              <a16:creationId xmlns:a16="http://schemas.microsoft.com/office/drawing/2014/main" xmlns="" id="{00000000-0008-0000-0300-0000C4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3" name="Rectangle 317">
          <a:extLst>
            <a:ext uri="{FF2B5EF4-FFF2-40B4-BE49-F238E27FC236}">
              <a16:creationId xmlns:a16="http://schemas.microsoft.com/office/drawing/2014/main" xmlns="" id="{00000000-0008-0000-0300-0000C5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4" name="Rectangle 318">
          <a:extLst>
            <a:ext uri="{FF2B5EF4-FFF2-40B4-BE49-F238E27FC236}">
              <a16:creationId xmlns:a16="http://schemas.microsoft.com/office/drawing/2014/main" xmlns="" id="{00000000-0008-0000-0300-0000C6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5" name="Rectangle 1058">
          <a:extLst>
            <a:ext uri="{FF2B5EF4-FFF2-40B4-BE49-F238E27FC236}">
              <a16:creationId xmlns:a16="http://schemas.microsoft.com/office/drawing/2014/main" xmlns="" id="{00000000-0008-0000-0300-0000C7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6" name="Rectangle 1059">
          <a:extLst>
            <a:ext uri="{FF2B5EF4-FFF2-40B4-BE49-F238E27FC236}">
              <a16:creationId xmlns:a16="http://schemas.microsoft.com/office/drawing/2014/main" xmlns="" id="{00000000-0008-0000-0300-0000C8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17" name="Rectangle 1060">
          <a:extLst>
            <a:ext uri="{FF2B5EF4-FFF2-40B4-BE49-F238E27FC236}">
              <a16:creationId xmlns:a16="http://schemas.microsoft.com/office/drawing/2014/main" xmlns="" id="{00000000-0008-0000-0300-0000C9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8" name="Rectangle 1061">
          <a:extLst>
            <a:ext uri="{FF2B5EF4-FFF2-40B4-BE49-F238E27FC236}">
              <a16:creationId xmlns:a16="http://schemas.microsoft.com/office/drawing/2014/main" xmlns="" id="{00000000-0008-0000-0300-0000CA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9" name="Rectangle 1062">
          <a:extLst>
            <a:ext uri="{FF2B5EF4-FFF2-40B4-BE49-F238E27FC236}">
              <a16:creationId xmlns:a16="http://schemas.microsoft.com/office/drawing/2014/main" xmlns="" id="{00000000-0008-0000-0300-0000C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0" name="Rectangle 1063">
          <a:extLst>
            <a:ext uri="{FF2B5EF4-FFF2-40B4-BE49-F238E27FC236}">
              <a16:creationId xmlns:a16="http://schemas.microsoft.com/office/drawing/2014/main" xmlns="" id="{00000000-0008-0000-0300-0000C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1" name="Rectangle 1064">
          <a:extLst>
            <a:ext uri="{FF2B5EF4-FFF2-40B4-BE49-F238E27FC236}">
              <a16:creationId xmlns:a16="http://schemas.microsoft.com/office/drawing/2014/main" xmlns="" id="{00000000-0008-0000-0300-0000CD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2" name="Rectangle 1065">
          <a:extLst>
            <a:ext uri="{FF2B5EF4-FFF2-40B4-BE49-F238E27FC236}">
              <a16:creationId xmlns:a16="http://schemas.microsoft.com/office/drawing/2014/main" xmlns="" id="{00000000-0008-0000-0300-0000CE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3" name="Rectangle 1066">
          <a:extLst>
            <a:ext uri="{FF2B5EF4-FFF2-40B4-BE49-F238E27FC236}">
              <a16:creationId xmlns:a16="http://schemas.microsoft.com/office/drawing/2014/main" xmlns="" id="{00000000-0008-0000-0300-0000CF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4" name="Rectangle 1067">
          <a:extLst>
            <a:ext uri="{FF2B5EF4-FFF2-40B4-BE49-F238E27FC236}">
              <a16:creationId xmlns:a16="http://schemas.microsoft.com/office/drawing/2014/main" xmlns="" id="{00000000-0008-0000-0300-0000D0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5" name="Rectangle 1068">
          <a:extLst>
            <a:ext uri="{FF2B5EF4-FFF2-40B4-BE49-F238E27FC236}">
              <a16:creationId xmlns:a16="http://schemas.microsoft.com/office/drawing/2014/main" xmlns="" id="{00000000-0008-0000-0300-0000D1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6" name="Rectangle 1069">
          <a:extLst>
            <a:ext uri="{FF2B5EF4-FFF2-40B4-BE49-F238E27FC236}">
              <a16:creationId xmlns:a16="http://schemas.microsoft.com/office/drawing/2014/main" xmlns="" id="{00000000-0008-0000-0300-0000D2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7" name="Rectangle 1070">
          <a:extLst>
            <a:ext uri="{FF2B5EF4-FFF2-40B4-BE49-F238E27FC236}">
              <a16:creationId xmlns:a16="http://schemas.microsoft.com/office/drawing/2014/main" xmlns="" id="{00000000-0008-0000-0300-0000D3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8" name="Rectangle 1071">
          <a:extLst>
            <a:ext uri="{FF2B5EF4-FFF2-40B4-BE49-F238E27FC236}">
              <a16:creationId xmlns:a16="http://schemas.microsoft.com/office/drawing/2014/main" xmlns="" id="{00000000-0008-0000-0300-0000D4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9" name="Rectangle 1072">
          <a:extLst>
            <a:ext uri="{FF2B5EF4-FFF2-40B4-BE49-F238E27FC236}">
              <a16:creationId xmlns:a16="http://schemas.microsoft.com/office/drawing/2014/main" xmlns="" id="{00000000-0008-0000-0300-0000D5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0" name="Rectangle 1073">
          <a:extLst>
            <a:ext uri="{FF2B5EF4-FFF2-40B4-BE49-F238E27FC236}">
              <a16:creationId xmlns:a16="http://schemas.microsoft.com/office/drawing/2014/main" xmlns="" id="{00000000-0008-0000-0300-0000D6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1" name="Rectangle 1074">
          <a:extLst>
            <a:ext uri="{FF2B5EF4-FFF2-40B4-BE49-F238E27FC236}">
              <a16:creationId xmlns:a16="http://schemas.microsoft.com/office/drawing/2014/main" xmlns="" id="{00000000-0008-0000-0300-0000D7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2" name="Rectangle 1075">
          <a:extLst>
            <a:ext uri="{FF2B5EF4-FFF2-40B4-BE49-F238E27FC236}">
              <a16:creationId xmlns:a16="http://schemas.microsoft.com/office/drawing/2014/main" xmlns="" id="{00000000-0008-0000-0300-0000D8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3" name="Rectangle 1076">
          <a:extLst>
            <a:ext uri="{FF2B5EF4-FFF2-40B4-BE49-F238E27FC236}">
              <a16:creationId xmlns:a16="http://schemas.microsoft.com/office/drawing/2014/main" xmlns="" id="{00000000-0008-0000-0300-0000D9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4" name="Rectangle 1077">
          <a:extLst>
            <a:ext uri="{FF2B5EF4-FFF2-40B4-BE49-F238E27FC236}">
              <a16:creationId xmlns:a16="http://schemas.microsoft.com/office/drawing/2014/main" xmlns="" id="{00000000-0008-0000-0300-0000DA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5" name="Rectangle 1078">
          <a:extLst>
            <a:ext uri="{FF2B5EF4-FFF2-40B4-BE49-F238E27FC236}">
              <a16:creationId xmlns:a16="http://schemas.microsoft.com/office/drawing/2014/main" xmlns="" id="{00000000-0008-0000-0300-0000D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6" name="Rectangle 1079">
          <a:extLst>
            <a:ext uri="{FF2B5EF4-FFF2-40B4-BE49-F238E27FC236}">
              <a16:creationId xmlns:a16="http://schemas.microsoft.com/office/drawing/2014/main" xmlns="" id="{00000000-0008-0000-0300-0000D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7" name="Rectangle 1080">
          <a:extLst>
            <a:ext uri="{FF2B5EF4-FFF2-40B4-BE49-F238E27FC236}">
              <a16:creationId xmlns:a16="http://schemas.microsoft.com/office/drawing/2014/main" xmlns="" id="{00000000-0008-0000-0300-0000DD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8" name="Rectangle 1081">
          <a:extLst>
            <a:ext uri="{FF2B5EF4-FFF2-40B4-BE49-F238E27FC236}">
              <a16:creationId xmlns:a16="http://schemas.microsoft.com/office/drawing/2014/main" xmlns="" id="{00000000-0008-0000-0300-0000DE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9" name="Rectangle 1082">
          <a:extLst>
            <a:ext uri="{FF2B5EF4-FFF2-40B4-BE49-F238E27FC236}">
              <a16:creationId xmlns:a16="http://schemas.microsoft.com/office/drawing/2014/main" xmlns="" id="{00000000-0008-0000-0300-0000DF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40" name="Rectangle 1083">
          <a:extLst>
            <a:ext uri="{FF2B5EF4-FFF2-40B4-BE49-F238E27FC236}">
              <a16:creationId xmlns:a16="http://schemas.microsoft.com/office/drawing/2014/main" xmlns="" id="{00000000-0008-0000-0300-0000E0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1" name="Rectangle 1084">
          <a:extLst>
            <a:ext uri="{FF2B5EF4-FFF2-40B4-BE49-F238E27FC236}">
              <a16:creationId xmlns:a16="http://schemas.microsoft.com/office/drawing/2014/main" xmlns="" id="{00000000-0008-0000-0300-0000E1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2" name="Rectangle 1085">
          <a:extLst>
            <a:ext uri="{FF2B5EF4-FFF2-40B4-BE49-F238E27FC236}">
              <a16:creationId xmlns:a16="http://schemas.microsoft.com/office/drawing/2014/main" xmlns="" id="{00000000-0008-0000-0300-0000E2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3" name="Rectangle 1086">
          <a:extLst>
            <a:ext uri="{FF2B5EF4-FFF2-40B4-BE49-F238E27FC236}">
              <a16:creationId xmlns:a16="http://schemas.microsoft.com/office/drawing/2014/main" xmlns="" id="{00000000-0008-0000-0300-0000E3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4" name="Rectangle 1087">
          <a:extLst>
            <a:ext uri="{FF2B5EF4-FFF2-40B4-BE49-F238E27FC236}">
              <a16:creationId xmlns:a16="http://schemas.microsoft.com/office/drawing/2014/main" xmlns="" id="{00000000-0008-0000-0300-0000E4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5" name="Rectangle 1088">
          <a:extLst>
            <a:ext uri="{FF2B5EF4-FFF2-40B4-BE49-F238E27FC236}">
              <a16:creationId xmlns:a16="http://schemas.microsoft.com/office/drawing/2014/main" xmlns="" id="{00000000-0008-0000-0300-0000E5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6" name="Rectangle 1089">
          <a:extLst>
            <a:ext uri="{FF2B5EF4-FFF2-40B4-BE49-F238E27FC236}">
              <a16:creationId xmlns:a16="http://schemas.microsoft.com/office/drawing/2014/main" xmlns="" id="{00000000-0008-0000-0300-0000E6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7" name="Rectangle 1090">
          <a:extLst>
            <a:ext uri="{FF2B5EF4-FFF2-40B4-BE49-F238E27FC236}">
              <a16:creationId xmlns:a16="http://schemas.microsoft.com/office/drawing/2014/main" xmlns="" id="{00000000-0008-0000-0300-0000E7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8" name="Rectangle 1091">
          <a:extLst>
            <a:ext uri="{FF2B5EF4-FFF2-40B4-BE49-F238E27FC236}">
              <a16:creationId xmlns:a16="http://schemas.microsoft.com/office/drawing/2014/main" xmlns="" id="{00000000-0008-0000-0300-0000E8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9" name="Rectangle 1092">
          <a:extLst>
            <a:ext uri="{FF2B5EF4-FFF2-40B4-BE49-F238E27FC236}">
              <a16:creationId xmlns:a16="http://schemas.microsoft.com/office/drawing/2014/main" xmlns="" id="{00000000-0008-0000-0300-0000E9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0" name="Rectangle 1093">
          <a:extLst>
            <a:ext uri="{FF2B5EF4-FFF2-40B4-BE49-F238E27FC236}">
              <a16:creationId xmlns:a16="http://schemas.microsoft.com/office/drawing/2014/main" xmlns="" id="{00000000-0008-0000-0300-0000EA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1" name="Rectangle 1094">
          <a:extLst>
            <a:ext uri="{FF2B5EF4-FFF2-40B4-BE49-F238E27FC236}">
              <a16:creationId xmlns:a16="http://schemas.microsoft.com/office/drawing/2014/main" xmlns="" id="{00000000-0008-0000-0300-0000EB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2" name="Rectangle 1095">
          <a:extLst>
            <a:ext uri="{FF2B5EF4-FFF2-40B4-BE49-F238E27FC236}">
              <a16:creationId xmlns:a16="http://schemas.microsoft.com/office/drawing/2014/main" xmlns="" id="{00000000-0008-0000-0300-0000EC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3" name="Rectangle 1">
          <a:extLst>
            <a:ext uri="{FF2B5EF4-FFF2-40B4-BE49-F238E27FC236}">
              <a16:creationId xmlns:a16="http://schemas.microsoft.com/office/drawing/2014/main" xmlns="" id="{00000000-0008-0000-0300-0000ED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4" name="Rectangle 2">
          <a:extLst>
            <a:ext uri="{FF2B5EF4-FFF2-40B4-BE49-F238E27FC236}">
              <a16:creationId xmlns:a16="http://schemas.microsoft.com/office/drawing/2014/main" xmlns="" id="{00000000-0008-0000-0300-0000EE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5" name="Rectangle 3">
          <a:extLst>
            <a:ext uri="{FF2B5EF4-FFF2-40B4-BE49-F238E27FC236}">
              <a16:creationId xmlns:a16="http://schemas.microsoft.com/office/drawing/2014/main" xmlns="" id="{00000000-0008-0000-0300-0000EF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6" name="Rectangle 4">
          <a:extLst>
            <a:ext uri="{FF2B5EF4-FFF2-40B4-BE49-F238E27FC236}">
              <a16:creationId xmlns:a16="http://schemas.microsoft.com/office/drawing/2014/main" xmlns="" id="{00000000-0008-0000-0300-0000F0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7" name="Rectangle 5">
          <a:extLst>
            <a:ext uri="{FF2B5EF4-FFF2-40B4-BE49-F238E27FC236}">
              <a16:creationId xmlns:a16="http://schemas.microsoft.com/office/drawing/2014/main" xmlns="" id="{00000000-0008-0000-0300-0000F1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8" name="Rectangle 6">
          <a:extLst>
            <a:ext uri="{FF2B5EF4-FFF2-40B4-BE49-F238E27FC236}">
              <a16:creationId xmlns:a16="http://schemas.microsoft.com/office/drawing/2014/main" xmlns="" id="{00000000-0008-0000-0300-0000F2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9" name="Rectangle 7">
          <a:extLst>
            <a:ext uri="{FF2B5EF4-FFF2-40B4-BE49-F238E27FC236}">
              <a16:creationId xmlns:a16="http://schemas.microsoft.com/office/drawing/2014/main" xmlns="" id="{00000000-0008-0000-0300-0000F3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0" name="Rectangle 8">
          <a:extLst>
            <a:ext uri="{FF2B5EF4-FFF2-40B4-BE49-F238E27FC236}">
              <a16:creationId xmlns:a16="http://schemas.microsoft.com/office/drawing/2014/main" xmlns="" id="{00000000-0008-0000-0300-0000F4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1" name="Rectangle 9">
          <a:extLst>
            <a:ext uri="{FF2B5EF4-FFF2-40B4-BE49-F238E27FC236}">
              <a16:creationId xmlns:a16="http://schemas.microsoft.com/office/drawing/2014/main" xmlns="" id="{00000000-0008-0000-0300-0000F5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2" name="Rectangle 10">
          <a:extLst>
            <a:ext uri="{FF2B5EF4-FFF2-40B4-BE49-F238E27FC236}">
              <a16:creationId xmlns:a16="http://schemas.microsoft.com/office/drawing/2014/main" xmlns="" id="{00000000-0008-0000-0300-0000F6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3" name="Rectangle 11">
          <a:extLst>
            <a:ext uri="{FF2B5EF4-FFF2-40B4-BE49-F238E27FC236}">
              <a16:creationId xmlns:a16="http://schemas.microsoft.com/office/drawing/2014/main" xmlns="" id="{00000000-0008-0000-0300-0000F7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4" name="Rectangle 12">
          <a:extLst>
            <a:ext uri="{FF2B5EF4-FFF2-40B4-BE49-F238E27FC236}">
              <a16:creationId xmlns:a16="http://schemas.microsoft.com/office/drawing/2014/main" xmlns="" id="{00000000-0008-0000-0300-0000F8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5" name="Rectangle 13">
          <a:extLst>
            <a:ext uri="{FF2B5EF4-FFF2-40B4-BE49-F238E27FC236}">
              <a16:creationId xmlns:a16="http://schemas.microsoft.com/office/drawing/2014/main" xmlns="" id="{00000000-0008-0000-0300-0000F9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6" name="Rectangle 14">
          <a:extLst>
            <a:ext uri="{FF2B5EF4-FFF2-40B4-BE49-F238E27FC236}">
              <a16:creationId xmlns:a16="http://schemas.microsoft.com/office/drawing/2014/main" xmlns="" id="{00000000-0008-0000-0300-0000FA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7" name="Rectangle 15">
          <a:extLst>
            <a:ext uri="{FF2B5EF4-FFF2-40B4-BE49-F238E27FC236}">
              <a16:creationId xmlns:a16="http://schemas.microsoft.com/office/drawing/2014/main" xmlns="" id="{00000000-0008-0000-0300-0000FB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8" name="Rectangle 16">
          <a:extLst>
            <a:ext uri="{FF2B5EF4-FFF2-40B4-BE49-F238E27FC236}">
              <a16:creationId xmlns:a16="http://schemas.microsoft.com/office/drawing/2014/main" xmlns="" id="{00000000-0008-0000-0300-0000FC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9" name="Rectangle 17">
          <a:extLst>
            <a:ext uri="{FF2B5EF4-FFF2-40B4-BE49-F238E27FC236}">
              <a16:creationId xmlns:a16="http://schemas.microsoft.com/office/drawing/2014/main" xmlns="" id="{00000000-0008-0000-0300-0000FD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0" name="Rectangle 18">
          <a:extLst>
            <a:ext uri="{FF2B5EF4-FFF2-40B4-BE49-F238E27FC236}">
              <a16:creationId xmlns:a16="http://schemas.microsoft.com/office/drawing/2014/main" xmlns="" id="{00000000-0008-0000-0300-0000FE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1" name="Rectangle 19">
          <a:extLst>
            <a:ext uri="{FF2B5EF4-FFF2-40B4-BE49-F238E27FC236}">
              <a16:creationId xmlns:a16="http://schemas.microsoft.com/office/drawing/2014/main" xmlns="" id="{00000000-0008-0000-0300-0000FF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2" name="Rectangle 20">
          <a:extLst>
            <a:ext uri="{FF2B5EF4-FFF2-40B4-BE49-F238E27FC236}">
              <a16:creationId xmlns:a16="http://schemas.microsoft.com/office/drawing/2014/main" xmlns="" id="{00000000-0008-0000-0300-00000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3" name="Rectangle 21">
          <a:extLst>
            <a:ext uri="{FF2B5EF4-FFF2-40B4-BE49-F238E27FC236}">
              <a16:creationId xmlns:a16="http://schemas.microsoft.com/office/drawing/2014/main" xmlns="" id="{00000000-0008-0000-0300-00000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4" name="Rectangle 22">
          <a:extLst>
            <a:ext uri="{FF2B5EF4-FFF2-40B4-BE49-F238E27FC236}">
              <a16:creationId xmlns:a16="http://schemas.microsoft.com/office/drawing/2014/main" xmlns="" id="{00000000-0008-0000-0300-00000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5" name="Rectangle 23">
          <a:extLst>
            <a:ext uri="{FF2B5EF4-FFF2-40B4-BE49-F238E27FC236}">
              <a16:creationId xmlns:a16="http://schemas.microsoft.com/office/drawing/2014/main" xmlns="" id="{00000000-0008-0000-0300-00000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6" name="Rectangle 24">
          <a:extLst>
            <a:ext uri="{FF2B5EF4-FFF2-40B4-BE49-F238E27FC236}">
              <a16:creationId xmlns:a16="http://schemas.microsoft.com/office/drawing/2014/main" xmlns="" id="{00000000-0008-0000-0300-00000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7" name="Rectangle 25">
          <a:extLst>
            <a:ext uri="{FF2B5EF4-FFF2-40B4-BE49-F238E27FC236}">
              <a16:creationId xmlns:a16="http://schemas.microsoft.com/office/drawing/2014/main" xmlns="" id="{00000000-0008-0000-0300-00000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8" name="Rectangle 26">
          <a:extLst>
            <a:ext uri="{FF2B5EF4-FFF2-40B4-BE49-F238E27FC236}">
              <a16:creationId xmlns:a16="http://schemas.microsoft.com/office/drawing/2014/main" xmlns="" id="{00000000-0008-0000-0300-00000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9" name="Rectangle 27">
          <a:extLst>
            <a:ext uri="{FF2B5EF4-FFF2-40B4-BE49-F238E27FC236}">
              <a16:creationId xmlns:a16="http://schemas.microsoft.com/office/drawing/2014/main" xmlns="" id="{00000000-0008-0000-0300-00000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0" name="Rectangle 28">
          <a:extLst>
            <a:ext uri="{FF2B5EF4-FFF2-40B4-BE49-F238E27FC236}">
              <a16:creationId xmlns:a16="http://schemas.microsoft.com/office/drawing/2014/main" xmlns="" id="{00000000-0008-0000-0300-00000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1" name="Rectangle 29">
          <a:extLst>
            <a:ext uri="{FF2B5EF4-FFF2-40B4-BE49-F238E27FC236}">
              <a16:creationId xmlns:a16="http://schemas.microsoft.com/office/drawing/2014/main" xmlns="" id="{00000000-0008-0000-0300-00000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2" name="Rectangle 30">
          <a:extLst>
            <a:ext uri="{FF2B5EF4-FFF2-40B4-BE49-F238E27FC236}">
              <a16:creationId xmlns:a16="http://schemas.microsoft.com/office/drawing/2014/main" xmlns="" id="{00000000-0008-0000-0300-00000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3" name="Rectangle 31">
          <a:extLst>
            <a:ext uri="{FF2B5EF4-FFF2-40B4-BE49-F238E27FC236}">
              <a16:creationId xmlns:a16="http://schemas.microsoft.com/office/drawing/2014/main" xmlns="" id="{00000000-0008-0000-0300-00000B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4" name="Rectangle 32">
          <a:extLst>
            <a:ext uri="{FF2B5EF4-FFF2-40B4-BE49-F238E27FC236}">
              <a16:creationId xmlns:a16="http://schemas.microsoft.com/office/drawing/2014/main" xmlns="" id="{00000000-0008-0000-0300-00000C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5" name="Rectangle 33">
          <a:extLst>
            <a:ext uri="{FF2B5EF4-FFF2-40B4-BE49-F238E27FC236}">
              <a16:creationId xmlns:a16="http://schemas.microsoft.com/office/drawing/2014/main" xmlns="" id="{00000000-0008-0000-0300-00000D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6" name="Rectangle 34">
          <a:extLst>
            <a:ext uri="{FF2B5EF4-FFF2-40B4-BE49-F238E27FC236}">
              <a16:creationId xmlns:a16="http://schemas.microsoft.com/office/drawing/2014/main" xmlns="" id="{00000000-0008-0000-0300-00000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7" name="Rectangle 35">
          <a:extLst>
            <a:ext uri="{FF2B5EF4-FFF2-40B4-BE49-F238E27FC236}">
              <a16:creationId xmlns:a16="http://schemas.microsoft.com/office/drawing/2014/main" xmlns="" id="{00000000-0008-0000-0300-00000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8" name="Rectangle 36">
          <a:extLst>
            <a:ext uri="{FF2B5EF4-FFF2-40B4-BE49-F238E27FC236}">
              <a16:creationId xmlns:a16="http://schemas.microsoft.com/office/drawing/2014/main" xmlns="" id="{00000000-0008-0000-0300-00001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9" name="Rectangle 37">
          <a:extLst>
            <a:ext uri="{FF2B5EF4-FFF2-40B4-BE49-F238E27FC236}">
              <a16:creationId xmlns:a16="http://schemas.microsoft.com/office/drawing/2014/main" xmlns="" id="{00000000-0008-0000-0300-00001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0" name="Rectangle 38">
          <a:extLst>
            <a:ext uri="{FF2B5EF4-FFF2-40B4-BE49-F238E27FC236}">
              <a16:creationId xmlns:a16="http://schemas.microsoft.com/office/drawing/2014/main" xmlns="" id="{00000000-0008-0000-0300-00001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1" name="Rectangle 39">
          <a:extLst>
            <a:ext uri="{FF2B5EF4-FFF2-40B4-BE49-F238E27FC236}">
              <a16:creationId xmlns:a16="http://schemas.microsoft.com/office/drawing/2014/main" xmlns="" id="{00000000-0008-0000-0300-00001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2" name="Rectangle 40">
          <a:extLst>
            <a:ext uri="{FF2B5EF4-FFF2-40B4-BE49-F238E27FC236}">
              <a16:creationId xmlns:a16="http://schemas.microsoft.com/office/drawing/2014/main" xmlns="" id="{00000000-0008-0000-0300-00001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3" name="Rectangle 41">
          <a:extLst>
            <a:ext uri="{FF2B5EF4-FFF2-40B4-BE49-F238E27FC236}">
              <a16:creationId xmlns:a16="http://schemas.microsoft.com/office/drawing/2014/main" xmlns="" id="{00000000-0008-0000-0300-00001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4" name="Rectangle 42">
          <a:extLst>
            <a:ext uri="{FF2B5EF4-FFF2-40B4-BE49-F238E27FC236}">
              <a16:creationId xmlns:a16="http://schemas.microsoft.com/office/drawing/2014/main" xmlns="" id="{00000000-0008-0000-0300-00001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5" name="Rectangle 43">
          <a:extLst>
            <a:ext uri="{FF2B5EF4-FFF2-40B4-BE49-F238E27FC236}">
              <a16:creationId xmlns:a16="http://schemas.microsoft.com/office/drawing/2014/main" xmlns="" id="{00000000-0008-0000-0300-000017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6" name="Rectangle 44">
          <a:extLst>
            <a:ext uri="{FF2B5EF4-FFF2-40B4-BE49-F238E27FC236}">
              <a16:creationId xmlns:a16="http://schemas.microsoft.com/office/drawing/2014/main" xmlns="" id="{00000000-0008-0000-0300-000018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7" name="Rectangle 45">
          <a:extLst>
            <a:ext uri="{FF2B5EF4-FFF2-40B4-BE49-F238E27FC236}">
              <a16:creationId xmlns:a16="http://schemas.microsoft.com/office/drawing/2014/main" xmlns="" id="{00000000-0008-0000-0300-000019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98" name="Rectangle 1">
          <a:extLst>
            <a:ext uri="{FF2B5EF4-FFF2-40B4-BE49-F238E27FC236}">
              <a16:creationId xmlns:a16="http://schemas.microsoft.com/office/drawing/2014/main" xmlns="" id="{00000000-0008-0000-0300-00001A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99" name="Rectangle 2">
          <a:extLst>
            <a:ext uri="{FF2B5EF4-FFF2-40B4-BE49-F238E27FC236}">
              <a16:creationId xmlns:a16="http://schemas.microsoft.com/office/drawing/2014/main" xmlns="" id="{00000000-0008-0000-0300-00001B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0" name="Rectangle 3">
          <a:extLst>
            <a:ext uri="{FF2B5EF4-FFF2-40B4-BE49-F238E27FC236}">
              <a16:creationId xmlns:a16="http://schemas.microsoft.com/office/drawing/2014/main" xmlns="" id="{00000000-0008-0000-0300-00001C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1" name="Rectangle 4">
          <a:extLst>
            <a:ext uri="{FF2B5EF4-FFF2-40B4-BE49-F238E27FC236}">
              <a16:creationId xmlns:a16="http://schemas.microsoft.com/office/drawing/2014/main" xmlns="" id="{00000000-0008-0000-0300-00001D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2" name="Rectangle 5">
          <a:extLst>
            <a:ext uri="{FF2B5EF4-FFF2-40B4-BE49-F238E27FC236}">
              <a16:creationId xmlns:a16="http://schemas.microsoft.com/office/drawing/2014/main" xmlns="" id="{00000000-0008-0000-0300-00001E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3" name="Rectangle 6">
          <a:extLst>
            <a:ext uri="{FF2B5EF4-FFF2-40B4-BE49-F238E27FC236}">
              <a16:creationId xmlns:a16="http://schemas.microsoft.com/office/drawing/2014/main" xmlns="" id="{00000000-0008-0000-0300-00001F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4" name="Rectangle 7">
          <a:extLst>
            <a:ext uri="{FF2B5EF4-FFF2-40B4-BE49-F238E27FC236}">
              <a16:creationId xmlns:a16="http://schemas.microsoft.com/office/drawing/2014/main" xmlns="" id="{00000000-0008-0000-0300-000020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5" name="Rectangle 8">
          <a:extLst>
            <a:ext uri="{FF2B5EF4-FFF2-40B4-BE49-F238E27FC236}">
              <a16:creationId xmlns:a16="http://schemas.microsoft.com/office/drawing/2014/main" xmlns="" id="{00000000-0008-0000-0300-000021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6" name="Rectangle 9">
          <a:extLst>
            <a:ext uri="{FF2B5EF4-FFF2-40B4-BE49-F238E27FC236}">
              <a16:creationId xmlns:a16="http://schemas.microsoft.com/office/drawing/2014/main" xmlns="" id="{00000000-0008-0000-0300-000022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7" name="Rectangle 10">
          <a:extLst>
            <a:ext uri="{FF2B5EF4-FFF2-40B4-BE49-F238E27FC236}">
              <a16:creationId xmlns:a16="http://schemas.microsoft.com/office/drawing/2014/main" xmlns="" id="{00000000-0008-0000-0300-000023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8" name="Rectangle 11">
          <a:extLst>
            <a:ext uri="{FF2B5EF4-FFF2-40B4-BE49-F238E27FC236}">
              <a16:creationId xmlns:a16="http://schemas.microsoft.com/office/drawing/2014/main" xmlns="" id="{00000000-0008-0000-0300-000024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9" name="Rectangle 12">
          <a:extLst>
            <a:ext uri="{FF2B5EF4-FFF2-40B4-BE49-F238E27FC236}">
              <a16:creationId xmlns:a16="http://schemas.microsoft.com/office/drawing/2014/main" xmlns="" id="{00000000-0008-0000-0300-000025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0" name="Rectangle 13">
          <a:extLst>
            <a:ext uri="{FF2B5EF4-FFF2-40B4-BE49-F238E27FC236}">
              <a16:creationId xmlns:a16="http://schemas.microsoft.com/office/drawing/2014/main" xmlns="" id="{00000000-0008-0000-0300-000026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1" name="Rectangle 14">
          <a:extLst>
            <a:ext uri="{FF2B5EF4-FFF2-40B4-BE49-F238E27FC236}">
              <a16:creationId xmlns:a16="http://schemas.microsoft.com/office/drawing/2014/main" xmlns="" id="{00000000-0008-0000-0300-000027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2" name="Rectangle 15">
          <a:extLst>
            <a:ext uri="{FF2B5EF4-FFF2-40B4-BE49-F238E27FC236}">
              <a16:creationId xmlns:a16="http://schemas.microsoft.com/office/drawing/2014/main" xmlns="" id="{00000000-0008-0000-0300-000028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3" name="Rectangle 16">
          <a:extLst>
            <a:ext uri="{FF2B5EF4-FFF2-40B4-BE49-F238E27FC236}">
              <a16:creationId xmlns:a16="http://schemas.microsoft.com/office/drawing/2014/main" xmlns="" id="{00000000-0008-0000-0300-000029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4" name="Rectangle 17">
          <a:extLst>
            <a:ext uri="{FF2B5EF4-FFF2-40B4-BE49-F238E27FC236}">
              <a16:creationId xmlns:a16="http://schemas.microsoft.com/office/drawing/2014/main" xmlns="" id="{00000000-0008-0000-0300-00002A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5" name="Rectangle 18">
          <a:extLst>
            <a:ext uri="{FF2B5EF4-FFF2-40B4-BE49-F238E27FC236}">
              <a16:creationId xmlns:a16="http://schemas.microsoft.com/office/drawing/2014/main" xmlns="" id="{00000000-0008-0000-0300-00002B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6" name="Rectangle 19">
          <a:extLst>
            <a:ext uri="{FF2B5EF4-FFF2-40B4-BE49-F238E27FC236}">
              <a16:creationId xmlns:a16="http://schemas.microsoft.com/office/drawing/2014/main" xmlns="" id="{00000000-0008-0000-0300-00002C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7" name="Rectangle 20">
          <a:extLst>
            <a:ext uri="{FF2B5EF4-FFF2-40B4-BE49-F238E27FC236}">
              <a16:creationId xmlns:a16="http://schemas.microsoft.com/office/drawing/2014/main" xmlns="" id="{00000000-0008-0000-0300-00002D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8" name="Rectangle 21">
          <a:extLst>
            <a:ext uri="{FF2B5EF4-FFF2-40B4-BE49-F238E27FC236}">
              <a16:creationId xmlns:a16="http://schemas.microsoft.com/office/drawing/2014/main" xmlns="" id="{00000000-0008-0000-0300-00002E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9" name="Rectangle 22">
          <a:extLst>
            <a:ext uri="{FF2B5EF4-FFF2-40B4-BE49-F238E27FC236}">
              <a16:creationId xmlns:a16="http://schemas.microsoft.com/office/drawing/2014/main" xmlns="" id="{00000000-0008-0000-0300-00002F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0" name="Rectangle 23">
          <a:extLst>
            <a:ext uri="{FF2B5EF4-FFF2-40B4-BE49-F238E27FC236}">
              <a16:creationId xmlns:a16="http://schemas.microsoft.com/office/drawing/2014/main" xmlns="" id="{00000000-0008-0000-0300-00003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1" name="Rectangle 24">
          <a:extLst>
            <a:ext uri="{FF2B5EF4-FFF2-40B4-BE49-F238E27FC236}">
              <a16:creationId xmlns:a16="http://schemas.microsoft.com/office/drawing/2014/main" xmlns="" id="{00000000-0008-0000-0300-00003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2" name="Rectangle 25">
          <a:extLst>
            <a:ext uri="{FF2B5EF4-FFF2-40B4-BE49-F238E27FC236}">
              <a16:creationId xmlns:a16="http://schemas.microsoft.com/office/drawing/2014/main" xmlns="" id="{00000000-0008-0000-0300-00003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3" name="Rectangle 26">
          <a:extLst>
            <a:ext uri="{FF2B5EF4-FFF2-40B4-BE49-F238E27FC236}">
              <a16:creationId xmlns:a16="http://schemas.microsoft.com/office/drawing/2014/main" xmlns="" id="{00000000-0008-0000-0300-00003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4" name="Rectangle 27">
          <a:extLst>
            <a:ext uri="{FF2B5EF4-FFF2-40B4-BE49-F238E27FC236}">
              <a16:creationId xmlns:a16="http://schemas.microsoft.com/office/drawing/2014/main" xmlns="" id="{00000000-0008-0000-0300-00003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5" name="Rectangle 28">
          <a:extLst>
            <a:ext uri="{FF2B5EF4-FFF2-40B4-BE49-F238E27FC236}">
              <a16:creationId xmlns:a16="http://schemas.microsoft.com/office/drawing/2014/main" xmlns="" id="{00000000-0008-0000-0300-00003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6" name="Rectangle 29">
          <a:extLst>
            <a:ext uri="{FF2B5EF4-FFF2-40B4-BE49-F238E27FC236}">
              <a16:creationId xmlns:a16="http://schemas.microsoft.com/office/drawing/2014/main" xmlns="" id="{00000000-0008-0000-0300-00003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7" name="Rectangle 30">
          <a:extLst>
            <a:ext uri="{FF2B5EF4-FFF2-40B4-BE49-F238E27FC236}">
              <a16:creationId xmlns:a16="http://schemas.microsoft.com/office/drawing/2014/main" xmlns="" id="{00000000-0008-0000-0300-00003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8" name="Rectangle 31">
          <a:extLst>
            <a:ext uri="{FF2B5EF4-FFF2-40B4-BE49-F238E27FC236}">
              <a16:creationId xmlns:a16="http://schemas.microsoft.com/office/drawing/2014/main" xmlns="" id="{00000000-0008-0000-0300-00003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9" name="Rectangle 32">
          <a:extLst>
            <a:ext uri="{FF2B5EF4-FFF2-40B4-BE49-F238E27FC236}">
              <a16:creationId xmlns:a16="http://schemas.microsoft.com/office/drawing/2014/main" xmlns="" id="{00000000-0008-0000-0300-00003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30" name="Rectangle 33">
          <a:extLst>
            <a:ext uri="{FF2B5EF4-FFF2-40B4-BE49-F238E27FC236}">
              <a16:creationId xmlns:a16="http://schemas.microsoft.com/office/drawing/2014/main" xmlns="" id="{00000000-0008-0000-0300-00003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1" name="Rectangle 34">
          <a:extLst>
            <a:ext uri="{FF2B5EF4-FFF2-40B4-BE49-F238E27FC236}">
              <a16:creationId xmlns:a16="http://schemas.microsoft.com/office/drawing/2014/main" xmlns="" id="{00000000-0008-0000-0300-00003B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2" name="Rectangle 35">
          <a:extLst>
            <a:ext uri="{FF2B5EF4-FFF2-40B4-BE49-F238E27FC236}">
              <a16:creationId xmlns:a16="http://schemas.microsoft.com/office/drawing/2014/main" xmlns="" id="{00000000-0008-0000-0300-00003C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3" name="Rectangle 36">
          <a:extLst>
            <a:ext uri="{FF2B5EF4-FFF2-40B4-BE49-F238E27FC236}">
              <a16:creationId xmlns:a16="http://schemas.microsoft.com/office/drawing/2014/main" xmlns="" id="{00000000-0008-0000-0300-00003D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4" name="Rectangle 37">
          <a:extLst>
            <a:ext uri="{FF2B5EF4-FFF2-40B4-BE49-F238E27FC236}">
              <a16:creationId xmlns:a16="http://schemas.microsoft.com/office/drawing/2014/main" xmlns="" id="{00000000-0008-0000-0300-00003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5" name="Rectangle 38">
          <a:extLst>
            <a:ext uri="{FF2B5EF4-FFF2-40B4-BE49-F238E27FC236}">
              <a16:creationId xmlns:a16="http://schemas.microsoft.com/office/drawing/2014/main" xmlns="" id="{00000000-0008-0000-0300-00003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6" name="Rectangle 39">
          <a:extLst>
            <a:ext uri="{FF2B5EF4-FFF2-40B4-BE49-F238E27FC236}">
              <a16:creationId xmlns:a16="http://schemas.microsoft.com/office/drawing/2014/main" xmlns="" id="{00000000-0008-0000-0300-00004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7" name="Rectangle 40">
          <a:extLst>
            <a:ext uri="{FF2B5EF4-FFF2-40B4-BE49-F238E27FC236}">
              <a16:creationId xmlns:a16="http://schemas.microsoft.com/office/drawing/2014/main" xmlns="" id="{00000000-0008-0000-0300-00004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8" name="Rectangle 41">
          <a:extLst>
            <a:ext uri="{FF2B5EF4-FFF2-40B4-BE49-F238E27FC236}">
              <a16:creationId xmlns:a16="http://schemas.microsoft.com/office/drawing/2014/main" xmlns="" id="{00000000-0008-0000-0300-00004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9" name="Rectangle 42">
          <a:extLst>
            <a:ext uri="{FF2B5EF4-FFF2-40B4-BE49-F238E27FC236}">
              <a16:creationId xmlns:a16="http://schemas.microsoft.com/office/drawing/2014/main" xmlns="" id="{00000000-0008-0000-0300-00004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0" name="Rectangle 43">
          <a:extLst>
            <a:ext uri="{FF2B5EF4-FFF2-40B4-BE49-F238E27FC236}">
              <a16:creationId xmlns:a16="http://schemas.microsoft.com/office/drawing/2014/main" xmlns="" id="{00000000-0008-0000-0300-00004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1" name="Rectangle 44">
          <a:extLst>
            <a:ext uri="{FF2B5EF4-FFF2-40B4-BE49-F238E27FC236}">
              <a16:creationId xmlns:a16="http://schemas.microsoft.com/office/drawing/2014/main" xmlns="" id="{00000000-0008-0000-0300-00004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2" name="Rectangle 45">
          <a:extLst>
            <a:ext uri="{FF2B5EF4-FFF2-40B4-BE49-F238E27FC236}">
              <a16:creationId xmlns:a16="http://schemas.microsoft.com/office/drawing/2014/main" xmlns="" id="{00000000-0008-0000-0300-00004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3" name="Rectangle 46">
          <a:extLst>
            <a:ext uri="{FF2B5EF4-FFF2-40B4-BE49-F238E27FC236}">
              <a16:creationId xmlns:a16="http://schemas.microsoft.com/office/drawing/2014/main" xmlns="" id="{00000000-0008-0000-0300-000047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4" name="Rectangle 47">
          <a:extLst>
            <a:ext uri="{FF2B5EF4-FFF2-40B4-BE49-F238E27FC236}">
              <a16:creationId xmlns:a16="http://schemas.microsoft.com/office/drawing/2014/main" xmlns="" id="{00000000-0008-0000-0300-00004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5" name="Rectangle 48">
          <a:extLst>
            <a:ext uri="{FF2B5EF4-FFF2-40B4-BE49-F238E27FC236}">
              <a16:creationId xmlns:a16="http://schemas.microsoft.com/office/drawing/2014/main" xmlns="" id="{00000000-0008-0000-0300-000049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6" name="Rectangle 49">
          <a:extLst>
            <a:ext uri="{FF2B5EF4-FFF2-40B4-BE49-F238E27FC236}">
              <a16:creationId xmlns:a16="http://schemas.microsoft.com/office/drawing/2014/main" xmlns="" id="{00000000-0008-0000-0300-00004A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7" name="Rectangle 50">
          <a:extLst>
            <a:ext uri="{FF2B5EF4-FFF2-40B4-BE49-F238E27FC236}">
              <a16:creationId xmlns:a16="http://schemas.microsoft.com/office/drawing/2014/main" xmlns="" id="{00000000-0008-0000-0300-00004B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8" name="Rectangle 51">
          <a:extLst>
            <a:ext uri="{FF2B5EF4-FFF2-40B4-BE49-F238E27FC236}">
              <a16:creationId xmlns:a16="http://schemas.microsoft.com/office/drawing/2014/main" xmlns="" id="{00000000-0008-0000-0300-00004C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9" name="Rectangle 52">
          <a:extLst>
            <a:ext uri="{FF2B5EF4-FFF2-40B4-BE49-F238E27FC236}">
              <a16:creationId xmlns:a16="http://schemas.microsoft.com/office/drawing/2014/main" xmlns="" id="{00000000-0008-0000-0300-00004D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0" name="Rectangle 53">
          <a:extLst>
            <a:ext uri="{FF2B5EF4-FFF2-40B4-BE49-F238E27FC236}">
              <a16:creationId xmlns:a16="http://schemas.microsoft.com/office/drawing/2014/main" xmlns="" id="{00000000-0008-0000-0300-00004E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1" name="Rectangle 54">
          <a:extLst>
            <a:ext uri="{FF2B5EF4-FFF2-40B4-BE49-F238E27FC236}">
              <a16:creationId xmlns:a16="http://schemas.microsoft.com/office/drawing/2014/main" xmlns="" id="{00000000-0008-0000-0300-00004F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2" name="Rectangle 55">
          <a:extLst>
            <a:ext uri="{FF2B5EF4-FFF2-40B4-BE49-F238E27FC236}">
              <a16:creationId xmlns:a16="http://schemas.microsoft.com/office/drawing/2014/main" xmlns="" id="{00000000-0008-0000-0300-000050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3" name="Rectangle 56">
          <a:extLst>
            <a:ext uri="{FF2B5EF4-FFF2-40B4-BE49-F238E27FC236}">
              <a16:creationId xmlns:a16="http://schemas.microsoft.com/office/drawing/2014/main" xmlns="" id="{00000000-0008-0000-0300-000051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4" name="Rectangle 57">
          <a:extLst>
            <a:ext uri="{FF2B5EF4-FFF2-40B4-BE49-F238E27FC236}">
              <a16:creationId xmlns:a16="http://schemas.microsoft.com/office/drawing/2014/main" xmlns="" id="{00000000-0008-0000-0300-000052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5" name="Rectangle 58">
          <a:extLst>
            <a:ext uri="{FF2B5EF4-FFF2-40B4-BE49-F238E27FC236}">
              <a16:creationId xmlns:a16="http://schemas.microsoft.com/office/drawing/2014/main" xmlns="" id="{00000000-0008-0000-0300-000053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6" name="Rectangle 59">
          <a:extLst>
            <a:ext uri="{FF2B5EF4-FFF2-40B4-BE49-F238E27FC236}">
              <a16:creationId xmlns:a16="http://schemas.microsoft.com/office/drawing/2014/main" xmlns="" id="{00000000-0008-0000-0300-000054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7" name="Rectangle 60">
          <a:extLst>
            <a:ext uri="{FF2B5EF4-FFF2-40B4-BE49-F238E27FC236}">
              <a16:creationId xmlns:a16="http://schemas.microsoft.com/office/drawing/2014/main" xmlns="" id="{00000000-0008-0000-0300-000055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8" name="Rectangle 61">
          <a:extLst>
            <a:ext uri="{FF2B5EF4-FFF2-40B4-BE49-F238E27FC236}">
              <a16:creationId xmlns:a16="http://schemas.microsoft.com/office/drawing/2014/main" xmlns="" id="{00000000-0008-0000-0300-000056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9" name="Rectangle 62">
          <a:extLst>
            <a:ext uri="{FF2B5EF4-FFF2-40B4-BE49-F238E27FC236}">
              <a16:creationId xmlns:a16="http://schemas.microsoft.com/office/drawing/2014/main" xmlns="" id="{00000000-0008-0000-0300-000057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0" name="Rectangle 63">
          <a:extLst>
            <a:ext uri="{FF2B5EF4-FFF2-40B4-BE49-F238E27FC236}">
              <a16:creationId xmlns:a16="http://schemas.microsoft.com/office/drawing/2014/main" xmlns="" id="{00000000-0008-0000-0300-000058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1" name="Rectangle 64">
          <a:extLst>
            <a:ext uri="{FF2B5EF4-FFF2-40B4-BE49-F238E27FC236}">
              <a16:creationId xmlns:a16="http://schemas.microsoft.com/office/drawing/2014/main" xmlns="" id="{00000000-0008-0000-0300-000059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2" name="Rectangle 65">
          <a:extLst>
            <a:ext uri="{FF2B5EF4-FFF2-40B4-BE49-F238E27FC236}">
              <a16:creationId xmlns:a16="http://schemas.microsoft.com/office/drawing/2014/main" xmlns="" id="{00000000-0008-0000-0300-00005A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3" name="Rectangle 66">
          <a:extLst>
            <a:ext uri="{FF2B5EF4-FFF2-40B4-BE49-F238E27FC236}">
              <a16:creationId xmlns:a16="http://schemas.microsoft.com/office/drawing/2014/main" xmlns="" id="{00000000-0008-0000-0300-00005B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4" name="Rectangle 67">
          <a:extLst>
            <a:ext uri="{FF2B5EF4-FFF2-40B4-BE49-F238E27FC236}">
              <a16:creationId xmlns:a16="http://schemas.microsoft.com/office/drawing/2014/main" xmlns="" id="{00000000-0008-0000-0300-00005C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5" name="Rectangle 68">
          <a:extLst>
            <a:ext uri="{FF2B5EF4-FFF2-40B4-BE49-F238E27FC236}">
              <a16:creationId xmlns:a16="http://schemas.microsoft.com/office/drawing/2014/main" xmlns="" id="{00000000-0008-0000-0300-00005D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6" name="Rectangle 69">
          <a:extLst>
            <a:ext uri="{FF2B5EF4-FFF2-40B4-BE49-F238E27FC236}">
              <a16:creationId xmlns:a16="http://schemas.microsoft.com/office/drawing/2014/main" xmlns="" id="{00000000-0008-0000-0300-00005E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7" name="Rectangle 70">
          <a:extLst>
            <a:ext uri="{FF2B5EF4-FFF2-40B4-BE49-F238E27FC236}">
              <a16:creationId xmlns:a16="http://schemas.microsoft.com/office/drawing/2014/main" xmlns="" id="{00000000-0008-0000-0300-00005F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8" name="Rectangle 71">
          <a:extLst>
            <a:ext uri="{FF2B5EF4-FFF2-40B4-BE49-F238E27FC236}">
              <a16:creationId xmlns:a16="http://schemas.microsoft.com/office/drawing/2014/main" xmlns="" id="{00000000-0008-0000-0300-000060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9" name="Rectangle 72">
          <a:extLst>
            <a:ext uri="{FF2B5EF4-FFF2-40B4-BE49-F238E27FC236}">
              <a16:creationId xmlns:a16="http://schemas.microsoft.com/office/drawing/2014/main" xmlns="" id="{00000000-0008-0000-0300-000061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0" name="Rectangle 73">
          <a:extLst>
            <a:ext uri="{FF2B5EF4-FFF2-40B4-BE49-F238E27FC236}">
              <a16:creationId xmlns:a16="http://schemas.microsoft.com/office/drawing/2014/main" xmlns="" id="{00000000-0008-0000-0300-000062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1" name="Rectangle 74">
          <a:extLst>
            <a:ext uri="{FF2B5EF4-FFF2-40B4-BE49-F238E27FC236}">
              <a16:creationId xmlns:a16="http://schemas.microsoft.com/office/drawing/2014/main" xmlns="" id="{00000000-0008-0000-0300-000063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2" name="Rectangle 75">
          <a:extLst>
            <a:ext uri="{FF2B5EF4-FFF2-40B4-BE49-F238E27FC236}">
              <a16:creationId xmlns:a16="http://schemas.microsoft.com/office/drawing/2014/main" xmlns="" id="{00000000-0008-0000-0300-000064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3" name="Rectangle 76">
          <a:extLst>
            <a:ext uri="{FF2B5EF4-FFF2-40B4-BE49-F238E27FC236}">
              <a16:creationId xmlns:a16="http://schemas.microsoft.com/office/drawing/2014/main" xmlns="" id="{00000000-0008-0000-0300-000065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4" name="Rectangle 77">
          <a:extLst>
            <a:ext uri="{FF2B5EF4-FFF2-40B4-BE49-F238E27FC236}">
              <a16:creationId xmlns:a16="http://schemas.microsoft.com/office/drawing/2014/main" xmlns="" id="{00000000-0008-0000-0300-000066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5" name="Rectangle 78">
          <a:extLst>
            <a:ext uri="{FF2B5EF4-FFF2-40B4-BE49-F238E27FC236}">
              <a16:creationId xmlns:a16="http://schemas.microsoft.com/office/drawing/2014/main" xmlns="" id="{00000000-0008-0000-0300-000067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6" name="Rectangle 79">
          <a:extLst>
            <a:ext uri="{FF2B5EF4-FFF2-40B4-BE49-F238E27FC236}">
              <a16:creationId xmlns:a16="http://schemas.microsoft.com/office/drawing/2014/main" xmlns="" id="{00000000-0008-0000-0300-00006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7" name="Rectangle 80">
          <a:extLst>
            <a:ext uri="{FF2B5EF4-FFF2-40B4-BE49-F238E27FC236}">
              <a16:creationId xmlns:a16="http://schemas.microsoft.com/office/drawing/2014/main" xmlns="" id="{00000000-0008-0000-0300-000069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8" name="Rectangle 81">
          <a:extLst>
            <a:ext uri="{FF2B5EF4-FFF2-40B4-BE49-F238E27FC236}">
              <a16:creationId xmlns:a16="http://schemas.microsoft.com/office/drawing/2014/main" xmlns="" id="{00000000-0008-0000-0300-00006A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9" name="Rectangle 82">
          <a:extLst>
            <a:ext uri="{FF2B5EF4-FFF2-40B4-BE49-F238E27FC236}">
              <a16:creationId xmlns:a16="http://schemas.microsoft.com/office/drawing/2014/main" xmlns="" id="{00000000-0008-0000-0300-00006B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0" name="Rectangle 83">
          <a:extLst>
            <a:ext uri="{FF2B5EF4-FFF2-40B4-BE49-F238E27FC236}">
              <a16:creationId xmlns:a16="http://schemas.microsoft.com/office/drawing/2014/main" xmlns="" id="{00000000-0008-0000-0300-00006C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1" name="Rectangle 84">
          <a:extLst>
            <a:ext uri="{FF2B5EF4-FFF2-40B4-BE49-F238E27FC236}">
              <a16:creationId xmlns:a16="http://schemas.microsoft.com/office/drawing/2014/main" xmlns="" id="{00000000-0008-0000-0300-00006D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2" name="Rectangle 85">
          <a:extLst>
            <a:ext uri="{FF2B5EF4-FFF2-40B4-BE49-F238E27FC236}">
              <a16:creationId xmlns:a16="http://schemas.microsoft.com/office/drawing/2014/main" xmlns="" id="{00000000-0008-0000-0300-00006E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3" name="Rectangle 86">
          <a:extLst>
            <a:ext uri="{FF2B5EF4-FFF2-40B4-BE49-F238E27FC236}">
              <a16:creationId xmlns:a16="http://schemas.microsoft.com/office/drawing/2014/main" xmlns="" id="{00000000-0008-0000-0300-00006F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4" name="Rectangle 87">
          <a:extLst>
            <a:ext uri="{FF2B5EF4-FFF2-40B4-BE49-F238E27FC236}">
              <a16:creationId xmlns:a16="http://schemas.microsoft.com/office/drawing/2014/main" xmlns="" id="{00000000-0008-0000-0300-000070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5" name="Rectangle 88">
          <a:extLst>
            <a:ext uri="{FF2B5EF4-FFF2-40B4-BE49-F238E27FC236}">
              <a16:creationId xmlns:a16="http://schemas.microsoft.com/office/drawing/2014/main" xmlns="" id="{00000000-0008-0000-0300-000071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6" name="Rectangle 89">
          <a:extLst>
            <a:ext uri="{FF2B5EF4-FFF2-40B4-BE49-F238E27FC236}">
              <a16:creationId xmlns:a16="http://schemas.microsoft.com/office/drawing/2014/main" xmlns="" id="{00000000-0008-0000-0300-000072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7" name="Rectangle 90">
          <a:extLst>
            <a:ext uri="{FF2B5EF4-FFF2-40B4-BE49-F238E27FC236}">
              <a16:creationId xmlns:a16="http://schemas.microsoft.com/office/drawing/2014/main" xmlns="" id="{00000000-0008-0000-0300-000073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8" name="Rectangle 91">
          <a:extLst>
            <a:ext uri="{FF2B5EF4-FFF2-40B4-BE49-F238E27FC236}">
              <a16:creationId xmlns:a16="http://schemas.microsoft.com/office/drawing/2014/main" xmlns="" id="{00000000-0008-0000-0300-000074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89" name="Rectangle 92">
          <a:extLst>
            <a:ext uri="{FF2B5EF4-FFF2-40B4-BE49-F238E27FC236}">
              <a16:creationId xmlns:a16="http://schemas.microsoft.com/office/drawing/2014/main" xmlns="" id="{00000000-0008-0000-0300-000075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0" name="Rectangle 93">
          <a:extLst>
            <a:ext uri="{FF2B5EF4-FFF2-40B4-BE49-F238E27FC236}">
              <a16:creationId xmlns:a16="http://schemas.microsoft.com/office/drawing/2014/main" xmlns="" id="{00000000-0008-0000-0300-00007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1" name="Rectangle 94">
          <a:extLst>
            <a:ext uri="{FF2B5EF4-FFF2-40B4-BE49-F238E27FC236}">
              <a16:creationId xmlns:a16="http://schemas.microsoft.com/office/drawing/2014/main" xmlns="" id="{00000000-0008-0000-0300-000077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2" name="Rectangle 95">
          <a:extLst>
            <a:ext uri="{FF2B5EF4-FFF2-40B4-BE49-F238E27FC236}">
              <a16:creationId xmlns:a16="http://schemas.microsoft.com/office/drawing/2014/main" xmlns="" id="{00000000-0008-0000-0300-000078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3" name="Rectangle 96">
          <a:extLst>
            <a:ext uri="{FF2B5EF4-FFF2-40B4-BE49-F238E27FC236}">
              <a16:creationId xmlns:a16="http://schemas.microsoft.com/office/drawing/2014/main" xmlns="" id="{00000000-0008-0000-0300-000079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4" name="Rectangle 97">
          <a:extLst>
            <a:ext uri="{FF2B5EF4-FFF2-40B4-BE49-F238E27FC236}">
              <a16:creationId xmlns:a16="http://schemas.microsoft.com/office/drawing/2014/main" xmlns="" id="{00000000-0008-0000-0300-00007A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5" name="Rectangle 98">
          <a:extLst>
            <a:ext uri="{FF2B5EF4-FFF2-40B4-BE49-F238E27FC236}">
              <a16:creationId xmlns:a16="http://schemas.microsoft.com/office/drawing/2014/main" xmlns="" id="{00000000-0008-0000-0300-00007B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6" name="Rectangle 99">
          <a:extLst>
            <a:ext uri="{FF2B5EF4-FFF2-40B4-BE49-F238E27FC236}">
              <a16:creationId xmlns:a16="http://schemas.microsoft.com/office/drawing/2014/main" xmlns="" id="{00000000-0008-0000-0300-00007C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7" name="Rectangle 100">
          <a:extLst>
            <a:ext uri="{FF2B5EF4-FFF2-40B4-BE49-F238E27FC236}">
              <a16:creationId xmlns:a16="http://schemas.microsoft.com/office/drawing/2014/main" xmlns="" id="{00000000-0008-0000-0300-00007D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8" name="Rectangle 101">
          <a:extLst>
            <a:ext uri="{FF2B5EF4-FFF2-40B4-BE49-F238E27FC236}">
              <a16:creationId xmlns:a16="http://schemas.microsoft.com/office/drawing/2014/main" xmlns="" id="{00000000-0008-0000-0300-00007E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9" name="Rectangle 102">
          <a:extLst>
            <a:ext uri="{FF2B5EF4-FFF2-40B4-BE49-F238E27FC236}">
              <a16:creationId xmlns:a16="http://schemas.microsoft.com/office/drawing/2014/main" xmlns="" id="{00000000-0008-0000-0300-00007F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0" name="Rectangle 103">
          <a:extLst>
            <a:ext uri="{FF2B5EF4-FFF2-40B4-BE49-F238E27FC236}">
              <a16:creationId xmlns:a16="http://schemas.microsoft.com/office/drawing/2014/main" xmlns="" id="{00000000-0008-0000-0300-000080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1" name="Rectangle 104">
          <a:extLst>
            <a:ext uri="{FF2B5EF4-FFF2-40B4-BE49-F238E27FC236}">
              <a16:creationId xmlns:a16="http://schemas.microsoft.com/office/drawing/2014/main" xmlns="" id="{00000000-0008-0000-0300-000081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2" name="Rectangle 105">
          <a:extLst>
            <a:ext uri="{FF2B5EF4-FFF2-40B4-BE49-F238E27FC236}">
              <a16:creationId xmlns:a16="http://schemas.microsoft.com/office/drawing/2014/main" xmlns="" id="{00000000-0008-0000-0300-000082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3" name="Rectangle 106">
          <a:extLst>
            <a:ext uri="{FF2B5EF4-FFF2-40B4-BE49-F238E27FC236}">
              <a16:creationId xmlns:a16="http://schemas.microsoft.com/office/drawing/2014/main" xmlns="" id="{00000000-0008-0000-0300-000083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4" name="Rectangle 107">
          <a:extLst>
            <a:ext uri="{FF2B5EF4-FFF2-40B4-BE49-F238E27FC236}">
              <a16:creationId xmlns:a16="http://schemas.microsoft.com/office/drawing/2014/main" xmlns="" id="{00000000-0008-0000-0300-000084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5" name="Rectangle 108">
          <a:extLst>
            <a:ext uri="{FF2B5EF4-FFF2-40B4-BE49-F238E27FC236}">
              <a16:creationId xmlns:a16="http://schemas.microsoft.com/office/drawing/2014/main" xmlns="" id="{00000000-0008-0000-0300-000085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6" name="Rectangle 109">
          <a:extLst>
            <a:ext uri="{FF2B5EF4-FFF2-40B4-BE49-F238E27FC236}">
              <a16:creationId xmlns:a16="http://schemas.microsoft.com/office/drawing/2014/main" xmlns="" id="{00000000-0008-0000-0300-000086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7" name="Rectangle 110">
          <a:extLst>
            <a:ext uri="{FF2B5EF4-FFF2-40B4-BE49-F238E27FC236}">
              <a16:creationId xmlns:a16="http://schemas.microsoft.com/office/drawing/2014/main" xmlns="" id="{00000000-0008-0000-0300-000087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8" name="Rectangle 111">
          <a:extLst>
            <a:ext uri="{FF2B5EF4-FFF2-40B4-BE49-F238E27FC236}">
              <a16:creationId xmlns:a16="http://schemas.microsoft.com/office/drawing/2014/main" xmlns="" id="{00000000-0008-0000-0300-000088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9" name="Rectangle 112">
          <a:extLst>
            <a:ext uri="{FF2B5EF4-FFF2-40B4-BE49-F238E27FC236}">
              <a16:creationId xmlns:a16="http://schemas.microsoft.com/office/drawing/2014/main" xmlns="" id="{00000000-0008-0000-0300-000089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0" name="Rectangle 113">
          <a:extLst>
            <a:ext uri="{FF2B5EF4-FFF2-40B4-BE49-F238E27FC236}">
              <a16:creationId xmlns:a16="http://schemas.microsoft.com/office/drawing/2014/main" xmlns="" id="{00000000-0008-0000-0300-00008A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1" name="Rectangle 114">
          <a:extLst>
            <a:ext uri="{FF2B5EF4-FFF2-40B4-BE49-F238E27FC236}">
              <a16:creationId xmlns:a16="http://schemas.microsoft.com/office/drawing/2014/main" xmlns="" id="{00000000-0008-0000-0300-00008B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2" name="Rectangle 115">
          <a:extLst>
            <a:ext uri="{FF2B5EF4-FFF2-40B4-BE49-F238E27FC236}">
              <a16:creationId xmlns:a16="http://schemas.microsoft.com/office/drawing/2014/main" xmlns="" id="{00000000-0008-0000-0300-00008C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3" name="Rectangle 116">
          <a:extLst>
            <a:ext uri="{FF2B5EF4-FFF2-40B4-BE49-F238E27FC236}">
              <a16:creationId xmlns:a16="http://schemas.microsoft.com/office/drawing/2014/main" xmlns="" id="{00000000-0008-0000-0300-00008D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4" name="Rectangle 117">
          <a:extLst>
            <a:ext uri="{FF2B5EF4-FFF2-40B4-BE49-F238E27FC236}">
              <a16:creationId xmlns:a16="http://schemas.microsoft.com/office/drawing/2014/main" xmlns="" id="{00000000-0008-0000-0300-00008E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5" name="Rectangle 118">
          <a:extLst>
            <a:ext uri="{FF2B5EF4-FFF2-40B4-BE49-F238E27FC236}">
              <a16:creationId xmlns:a16="http://schemas.microsoft.com/office/drawing/2014/main" xmlns="" id="{00000000-0008-0000-0300-00008F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6" name="Rectangle 119">
          <a:extLst>
            <a:ext uri="{FF2B5EF4-FFF2-40B4-BE49-F238E27FC236}">
              <a16:creationId xmlns:a16="http://schemas.microsoft.com/office/drawing/2014/main" xmlns="" id="{00000000-0008-0000-0300-000090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7" name="Rectangle 120">
          <a:extLst>
            <a:ext uri="{FF2B5EF4-FFF2-40B4-BE49-F238E27FC236}">
              <a16:creationId xmlns:a16="http://schemas.microsoft.com/office/drawing/2014/main" xmlns="" id="{00000000-0008-0000-0300-000091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8" name="Rectangle 121">
          <a:extLst>
            <a:ext uri="{FF2B5EF4-FFF2-40B4-BE49-F238E27FC236}">
              <a16:creationId xmlns:a16="http://schemas.microsoft.com/office/drawing/2014/main" xmlns="" id="{00000000-0008-0000-0300-000092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9" name="Rectangle 122">
          <a:extLst>
            <a:ext uri="{FF2B5EF4-FFF2-40B4-BE49-F238E27FC236}">
              <a16:creationId xmlns:a16="http://schemas.microsoft.com/office/drawing/2014/main" xmlns="" id="{00000000-0008-0000-0300-000093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0" name="Rectangle 123">
          <a:extLst>
            <a:ext uri="{FF2B5EF4-FFF2-40B4-BE49-F238E27FC236}">
              <a16:creationId xmlns:a16="http://schemas.microsoft.com/office/drawing/2014/main" xmlns="" id="{00000000-0008-0000-0300-000094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21" name="Rectangle 124">
          <a:extLst>
            <a:ext uri="{FF2B5EF4-FFF2-40B4-BE49-F238E27FC236}">
              <a16:creationId xmlns:a16="http://schemas.microsoft.com/office/drawing/2014/main" xmlns="" id="{00000000-0008-0000-0300-000095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2" name="Rectangle 125">
          <a:extLst>
            <a:ext uri="{FF2B5EF4-FFF2-40B4-BE49-F238E27FC236}">
              <a16:creationId xmlns:a16="http://schemas.microsoft.com/office/drawing/2014/main" xmlns="" id="{00000000-0008-0000-0300-00009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3" name="Rectangle 126">
          <a:extLst>
            <a:ext uri="{FF2B5EF4-FFF2-40B4-BE49-F238E27FC236}">
              <a16:creationId xmlns:a16="http://schemas.microsoft.com/office/drawing/2014/main" xmlns="" id="{00000000-0008-0000-0300-000097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4" name="Rectangle 127">
          <a:extLst>
            <a:ext uri="{FF2B5EF4-FFF2-40B4-BE49-F238E27FC236}">
              <a16:creationId xmlns:a16="http://schemas.microsoft.com/office/drawing/2014/main" xmlns="" id="{00000000-0008-0000-0300-000098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5" name="Rectangle 128">
          <a:extLst>
            <a:ext uri="{FF2B5EF4-FFF2-40B4-BE49-F238E27FC236}">
              <a16:creationId xmlns:a16="http://schemas.microsoft.com/office/drawing/2014/main" xmlns="" id="{00000000-0008-0000-0300-000099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6" name="Rectangle 129">
          <a:extLst>
            <a:ext uri="{FF2B5EF4-FFF2-40B4-BE49-F238E27FC236}">
              <a16:creationId xmlns:a16="http://schemas.microsoft.com/office/drawing/2014/main" xmlns="" id="{00000000-0008-0000-0300-00009A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7" name="Rectangle 130">
          <a:extLst>
            <a:ext uri="{FF2B5EF4-FFF2-40B4-BE49-F238E27FC236}">
              <a16:creationId xmlns:a16="http://schemas.microsoft.com/office/drawing/2014/main" xmlns="" id="{00000000-0008-0000-0300-00009B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8" name="Rectangle 131">
          <a:extLst>
            <a:ext uri="{FF2B5EF4-FFF2-40B4-BE49-F238E27FC236}">
              <a16:creationId xmlns:a16="http://schemas.microsoft.com/office/drawing/2014/main" xmlns="" id="{00000000-0008-0000-0300-00009C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9" name="Rectangle 132">
          <a:extLst>
            <a:ext uri="{FF2B5EF4-FFF2-40B4-BE49-F238E27FC236}">
              <a16:creationId xmlns:a16="http://schemas.microsoft.com/office/drawing/2014/main" xmlns="" id="{00000000-0008-0000-0300-00009D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0" name="Rectangle 133">
          <a:extLst>
            <a:ext uri="{FF2B5EF4-FFF2-40B4-BE49-F238E27FC236}">
              <a16:creationId xmlns:a16="http://schemas.microsoft.com/office/drawing/2014/main" xmlns="" id="{00000000-0008-0000-0300-00009E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1" name="Rectangle 134">
          <a:extLst>
            <a:ext uri="{FF2B5EF4-FFF2-40B4-BE49-F238E27FC236}">
              <a16:creationId xmlns:a16="http://schemas.microsoft.com/office/drawing/2014/main" xmlns="" id="{00000000-0008-0000-0300-00009F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2" name="Rectangle 135">
          <a:extLst>
            <a:ext uri="{FF2B5EF4-FFF2-40B4-BE49-F238E27FC236}">
              <a16:creationId xmlns:a16="http://schemas.microsoft.com/office/drawing/2014/main" xmlns="" id="{00000000-0008-0000-0300-0000A0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3" name="Rectangle 136">
          <a:extLst>
            <a:ext uri="{FF2B5EF4-FFF2-40B4-BE49-F238E27FC236}">
              <a16:creationId xmlns:a16="http://schemas.microsoft.com/office/drawing/2014/main" xmlns="" id="{00000000-0008-0000-0300-0000A1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4" name="Rectangle 137">
          <a:extLst>
            <a:ext uri="{FF2B5EF4-FFF2-40B4-BE49-F238E27FC236}">
              <a16:creationId xmlns:a16="http://schemas.microsoft.com/office/drawing/2014/main" xmlns="" id="{00000000-0008-0000-0300-0000A2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5" name="Rectangle 138">
          <a:extLst>
            <a:ext uri="{FF2B5EF4-FFF2-40B4-BE49-F238E27FC236}">
              <a16:creationId xmlns:a16="http://schemas.microsoft.com/office/drawing/2014/main" xmlns="" id="{00000000-0008-0000-0300-0000A3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6" name="Rectangle 139">
          <a:extLst>
            <a:ext uri="{FF2B5EF4-FFF2-40B4-BE49-F238E27FC236}">
              <a16:creationId xmlns:a16="http://schemas.microsoft.com/office/drawing/2014/main" xmlns="" id="{00000000-0008-0000-0300-0000A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37" name="Rectangle 140">
          <a:extLst>
            <a:ext uri="{FF2B5EF4-FFF2-40B4-BE49-F238E27FC236}">
              <a16:creationId xmlns:a16="http://schemas.microsoft.com/office/drawing/2014/main" xmlns="" id="{00000000-0008-0000-0300-0000A5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8" name="Rectangle 141">
          <a:extLst>
            <a:ext uri="{FF2B5EF4-FFF2-40B4-BE49-F238E27FC236}">
              <a16:creationId xmlns:a16="http://schemas.microsoft.com/office/drawing/2014/main" xmlns="" id="{00000000-0008-0000-0300-0000A6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9" name="Rectangle 142">
          <a:extLst>
            <a:ext uri="{FF2B5EF4-FFF2-40B4-BE49-F238E27FC236}">
              <a16:creationId xmlns:a16="http://schemas.microsoft.com/office/drawing/2014/main" xmlns="" id="{00000000-0008-0000-0300-0000A7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0" name="Rectangle 143">
          <a:extLst>
            <a:ext uri="{FF2B5EF4-FFF2-40B4-BE49-F238E27FC236}">
              <a16:creationId xmlns:a16="http://schemas.microsoft.com/office/drawing/2014/main" xmlns="" id="{00000000-0008-0000-0300-0000A8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1" name="Rectangle 144">
          <a:extLst>
            <a:ext uri="{FF2B5EF4-FFF2-40B4-BE49-F238E27FC236}">
              <a16:creationId xmlns:a16="http://schemas.microsoft.com/office/drawing/2014/main" xmlns="" id="{00000000-0008-0000-0300-0000A9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2" name="Rectangle 145">
          <a:extLst>
            <a:ext uri="{FF2B5EF4-FFF2-40B4-BE49-F238E27FC236}">
              <a16:creationId xmlns:a16="http://schemas.microsoft.com/office/drawing/2014/main" xmlns="" id="{00000000-0008-0000-0300-0000AA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3" name="Rectangle 146">
          <a:extLst>
            <a:ext uri="{FF2B5EF4-FFF2-40B4-BE49-F238E27FC236}">
              <a16:creationId xmlns:a16="http://schemas.microsoft.com/office/drawing/2014/main" xmlns="" id="{00000000-0008-0000-0300-0000AB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4" name="Rectangle 147">
          <a:extLst>
            <a:ext uri="{FF2B5EF4-FFF2-40B4-BE49-F238E27FC236}">
              <a16:creationId xmlns:a16="http://schemas.microsoft.com/office/drawing/2014/main" xmlns="" id="{00000000-0008-0000-0300-0000AC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5" name="Rectangle 148">
          <a:extLst>
            <a:ext uri="{FF2B5EF4-FFF2-40B4-BE49-F238E27FC236}">
              <a16:creationId xmlns:a16="http://schemas.microsoft.com/office/drawing/2014/main" xmlns="" id="{00000000-0008-0000-0300-0000AD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6" name="Rectangle 149">
          <a:extLst>
            <a:ext uri="{FF2B5EF4-FFF2-40B4-BE49-F238E27FC236}">
              <a16:creationId xmlns:a16="http://schemas.microsoft.com/office/drawing/2014/main" xmlns="" id="{00000000-0008-0000-0300-0000AE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7" name="Rectangle 150">
          <a:extLst>
            <a:ext uri="{FF2B5EF4-FFF2-40B4-BE49-F238E27FC236}">
              <a16:creationId xmlns:a16="http://schemas.microsoft.com/office/drawing/2014/main" xmlns="" id="{00000000-0008-0000-0300-0000AF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8" name="Rectangle 151">
          <a:extLst>
            <a:ext uri="{FF2B5EF4-FFF2-40B4-BE49-F238E27FC236}">
              <a16:creationId xmlns:a16="http://schemas.microsoft.com/office/drawing/2014/main" xmlns="" id="{00000000-0008-0000-0300-0000B0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9" name="Rectangle 152">
          <a:extLst>
            <a:ext uri="{FF2B5EF4-FFF2-40B4-BE49-F238E27FC236}">
              <a16:creationId xmlns:a16="http://schemas.microsoft.com/office/drawing/2014/main" xmlns="" id="{00000000-0008-0000-0300-0000B1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0" name="Rectangle 153">
          <a:extLst>
            <a:ext uri="{FF2B5EF4-FFF2-40B4-BE49-F238E27FC236}">
              <a16:creationId xmlns:a16="http://schemas.microsoft.com/office/drawing/2014/main" xmlns="" id="{00000000-0008-0000-0300-0000B2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1" name="Rectangle 154">
          <a:extLst>
            <a:ext uri="{FF2B5EF4-FFF2-40B4-BE49-F238E27FC236}">
              <a16:creationId xmlns:a16="http://schemas.microsoft.com/office/drawing/2014/main" xmlns="" id="{00000000-0008-0000-0300-0000B3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2" name="Rectangle 155">
          <a:extLst>
            <a:ext uri="{FF2B5EF4-FFF2-40B4-BE49-F238E27FC236}">
              <a16:creationId xmlns:a16="http://schemas.microsoft.com/office/drawing/2014/main" xmlns="" id="{00000000-0008-0000-0300-0000B4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3" name="Rectangle 156">
          <a:extLst>
            <a:ext uri="{FF2B5EF4-FFF2-40B4-BE49-F238E27FC236}">
              <a16:creationId xmlns:a16="http://schemas.microsoft.com/office/drawing/2014/main" xmlns="" id="{00000000-0008-0000-0300-0000B5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4" name="Rectangle 157">
          <a:extLst>
            <a:ext uri="{FF2B5EF4-FFF2-40B4-BE49-F238E27FC236}">
              <a16:creationId xmlns:a16="http://schemas.microsoft.com/office/drawing/2014/main" xmlns="" id="{00000000-0008-0000-0300-0000B6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5" name="Rectangle 158">
          <a:extLst>
            <a:ext uri="{FF2B5EF4-FFF2-40B4-BE49-F238E27FC236}">
              <a16:creationId xmlns:a16="http://schemas.microsoft.com/office/drawing/2014/main" xmlns="" id="{00000000-0008-0000-0300-0000B7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6" name="Rectangle 159">
          <a:extLst>
            <a:ext uri="{FF2B5EF4-FFF2-40B4-BE49-F238E27FC236}">
              <a16:creationId xmlns:a16="http://schemas.microsoft.com/office/drawing/2014/main" xmlns="" id="{00000000-0008-0000-0300-0000B8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7" name="Rectangle 160">
          <a:extLst>
            <a:ext uri="{FF2B5EF4-FFF2-40B4-BE49-F238E27FC236}">
              <a16:creationId xmlns:a16="http://schemas.microsoft.com/office/drawing/2014/main" xmlns="" id="{00000000-0008-0000-0300-0000B9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8" name="Rectangle 161">
          <a:extLst>
            <a:ext uri="{FF2B5EF4-FFF2-40B4-BE49-F238E27FC236}">
              <a16:creationId xmlns:a16="http://schemas.microsoft.com/office/drawing/2014/main" xmlns="" id="{00000000-0008-0000-0300-0000BA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9" name="Rectangle 162">
          <a:extLst>
            <a:ext uri="{FF2B5EF4-FFF2-40B4-BE49-F238E27FC236}">
              <a16:creationId xmlns:a16="http://schemas.microsoft.com/office/drawing/2014/main" xmlns="" id="{00000000-0008-0000-0300-0000BB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0" name="Rectangle 163">
          <a:extLst>
            <a:ext uri="{FF2B5EF4-FFF2-40B4-BE49-F238E27FC236}">
              <a16:creationId xmlns:a16="http://schemas.microsoft.com/office/drawing/2014/main" xmlns="" id="{00000000-0008-0000-0300-0000BC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1" name="Rectangle 164">
          <a:extLst>
            <a:ext uri="{FF2B5EF4-FFF2-40B4-BE49-F238E27FC236}">
              <a16:creationId xmlns:a16="http://schemas.microsoft.com/office/drawing/2014/main" xmlns="" id="{00000000-0008-0000-0300-0000BD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2" name="Rectangle 165">
          <a:extLst>
            <a:ext uri="{FF2B5EF4-FFF2-40B4-BE49-F238E27FC236}">
              <a16:creationId xmlns:a16="http://schemas.microsoft.com/office/drawing/2014/main" xmlns="" id="{00000000-0008-0000-0300-0000BE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3" name="Rectangle 166">
          <a:extLst>
            <a:ext uri="{FF2B5EF4-FFF2-40B4-BE49-F238E27FC236}">
              <a16:creationId xmlns:a16="http://schemas.microsoft.com/office/drawing/2014/main" xmlns="" id="{00000000-0008-0000-0300-0000BF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4" name="Rectangle 167">
          <a:extLst>
            <a:ext uri="{FF2B5EF4-FFF2-40B4-BE49-F238E27FC236}">
              <a16:creationId xmlns:a16="http://schemas.microsoft.com/office/drawing/2014/main" xmlns="" id="{00000000-0008-0000-0300-0000C0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5" name="Rectangle 168">
          <a:extLst>
            <a:ext uri="{FF2B5EF4-FFF2-40B4-BE49-F238E27FC236}">
              <a16:creationId xmlns:a16="http://schemas.microsoft.com/office/drawing/2014/main" xmlns="" id="{00000000-0008-0000-0300-0000C1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6" name="Rectangle 169">
          <a:extLst>
            <a:ext uri="{FF2B5EF4-FFF2-40B4-BE49-F238E27FC236}">
              <a16:creationId xmlns:a16="http://schemas.microsoft.com/office/drawing/2014/main" xmlns="" id="{00000000-0008-0000-0300-0000C2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7" name="Rectangle 170">
          <a:extLst>
            <a:ext uri="{FF2B5EF4-FFF2-40B4-BE49-F238E27FC236}">
              <a16:creationId xmlns:a16="http://schemas.microsoft.com/office/drawing/2014/main" xmlns="" id="{00000000-0008-0000-0300-0000C3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8" name="Rectangle 171">
          <a:extLst>
            <a:ext uri="{FF2B5EF4-FFF2-40B4-BE49-F238E27FC236}">
              <a16:creationId xmlns:a16="http://schemas.microsoft.com/office/drawing/2014/main" xmlns="" id="{00000000-0008-0000-0300-0000C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69" name="Rectangle 172">
          <a:extLst>
            <a:ext uri="{FF2B5EF4-FFF2-40B4-BE49-F238E27FC236}">
              <a16:creationId xmlns:a16="http://schemas.microsoft.com/office/drawing/2014/main" xmlns="" id="{00000000-0008-0000-0300-0000C5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0" name="Rectangle 173">
          <a:extLst>
            <a:ext uri="{FF2B5EF4-FFF2-40B4-BE49-F238E27FC236}">
              <a16:creationId xmlns:a16="http://schemas.microsoft.com/office/drawing/2014/main" xmlns="" id="{00000000-0008-0000-0300-0000C6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1" name="Rectangle 174">
          <a:extLst>
            <a:ext uri="{FF2B5EF4-FFF2-40B4-BE49-F238E27FC236}">
              <a16:creationId xmlns:a16="http://schemas.microsoft.com/office/drawing/2014/main" xmlns="" id="{00000000-0008-0000-0300-0000C7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2" name="Rectangle 175">
          <a:extLst>
            <a:ext uri="{FF2B5EF4-FFF2-40B4-BE49-F238E27FC236}">
              <a16:creationId xmlns:a16="http://schemas.microsoft.com/office/drawing/2014/main" xmlns="" id="{00000000-0008-0000-0300-0000C8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3" name="Rectangle 176">
          <a:extLst>
            <a:ext uri="{FF2B5EF4-FFF2-40B4-BE49-F238E27FC236}">
              <a16:creationId xmlns:a16="http://schemas.microsoft.com/office/drawing/2014/main" xmlns="" id="{00000000-0008-0000-0300-0000C9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4" name="Rectangle 177">
          <a:extLst>
            <a:ext uri="{FF2B5EF4-FFF2-40B4-BE49-F238E27FC236}">
              <a16:creationId xmlns:a16="http://schemas.microsoft.com/office/drawing/2014/main" xmlns="" id="{00000000-0008-0000-0300-0000CA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5" name="Rectangle 178">
          <a:extLst>
            <a:ext uri="{FF2B5EF4-FFF2-40B4-BE49-F238E27FC236}">
              <a16:creationId xmlns:a16="http://schemas.microsoft.com/office/drawing/2014/main" xmlns="" id="{00000000-0008-0000-0300-0000CB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6" name="Rectangle 179">
          <a:extLst>
            <a:ext uri="{FF2B5EF4-FFF2-40B4-BE49-F238E27FC236}">
              <a16:creationId xmlns:a16="http://schemas.microsoft.com/office/drawing/2014/main" xmlns="" id="{00000000-0008-0000-0300-0000CC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7" name="Rectangle 180">
          <a:extLst>
            <a:ext uri="{FF2B5EF4-FFF2-40B4-BE49-F238E27FC236}">
              <a16:creationId xmlns:a16="http://schemas.microsoft.com/office/drawing/2014/main" xmlns="" id="{00000000-0008-0000-0300-0000CD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8" name="Rectangle 181">
          <a:extLst>
            <a:ext uri="{FF2B5EF4-FFF2-40B4-BE49-F238E27FC236}">
              <a16:creationId xmlns:a16="http://schemas.microsoft.com/office/drawing/2014/main" xmlns="" id="{00000000-0008-0000-0300-0000CE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9" name="Rectangle 182">
          <a:extLst>
            <a:ext uri="{FF2B5EF4-FFF2-40B4-BE49-F238E27FC236}">
              <a16:creationId xmlns:a16="http://schemas.microsoft.com/office/drawing/2014/main" xmlns="" id="{00000000-0008-0000-0300-0000CF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80" name="Rectangle 183">
          <a:extLst>
            <a:ext uri="{FF2B5EF4-FFF2-40B4-BE49-F238E27FC236}">
              <a16:creationId xmlns:a16="http://schemas.microsoft.com/office/drawing/2014/main" xmlns="" id="{00000000-0008-0000-0300-0000D0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1" name="Rectangle 184">
          <a:extLst>
            <a:ext uri="{FF2B5EF4-FFF2-40B4-BE49-F238E27FC236}">
              <a16:creationId xmlns:a16="http://schemas.microsoft.com/office/drawing/2014/main" xmlns="" id="{00000000-0008-0000-0300-0000D1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2" name="Rectangle 185">
          <a:extLst>
            <a:ext uri="{FF2B5EF4-FFF2-40B4-BE49-F238E27FC236}">
              <a16:creationId xmlns:a16="http://schemas.microsoft.com/office/drawing/2014/main" xmlns="" id="{00000000-0008-0000-0300-0000D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3" name="Rectangle 186">
          <a:extLst>
            <a:ext uri="{FF2B5EF4-FFF2-40B4-BE49-F238E27FC236}">
              <a16:creationId xmlns:a16="http://schemas.microsoft.com/office/drawing/2014/main" xmlns="" id="{00000000-0008-0000-0300-0000D3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4" name="Rectangle 187">
          <a:extLst>
            <a:ext uri="{FF2B5EF4-FFF2-40B4-BE49-F238E27FC236}">
              <a16:creationId xmlns:a16="http://schemas.microsoft.com/office/drawing/2014/main" xmlns="" id="{00000000-0008-0000-0300-0000D4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5" name="Rectangle 188">
          <a:extLst>
            <a:ext uri="{FF2B5EF4-FFF2-40B4-BE49-F238E27FC236}">
              <a16:creationId xmlns:a16="http://schemas.microsoft.com/office/drawing/2014/main" xmlns="" id="{00000000-0008-0000-0300-0000D5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6" name="Rectangle 189">
          <a:extLst>
            <a:ext uri="{FF2B5EF4-FFF2-40B4-BE49-F238E27FC236}">
              <a16:creationId xmlns:a16="http://schemas.microsoft.com/office/drawing/2014/main" xmlns="" id="{00000000-0008-0000-0300-0000D6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7" name="Rectangle 190">
          <a:extLst>
            <a:ext uri="{FF2B5EF4-FFF2-40B4-BE49-F238E27FC236}">
              <a16:creationId xmlns:a16="http://schemas.microsoft.com/office/drawing/2014/main" xmlns="" id="{00000000-0008-0000-0300-0000D7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8" name="Rectangle 191">
          <a:extLst>
            <a:ext uri="{FF2B5EF4-FFF2-40B4-BE49-F238E27FC236}">
              <a16:creationId xmlns:a16="http://schemas.microsoft.com/office/drawing/2014/main" xmlns="" id="{00000000-0008-0000-0300-0000D8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9" name="Rectangle 192">
          <a:extLst>
            <a:ext uri="{FF2B5EF4-FFF2-40B4-BE49-F238E27FC236}">
              <a16:creationId xmlns:a16="http://schemas.microsoft.com/office/drawing/2014/main" xmlns="" id="{00000000-0008-0000-0300-0000D9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0" name="Rectangle 193">
          <a:extLst>
            <a:ext uri="{FF2B5EF4-FFF2-40B4-BE49-F238E27FC236}">
              <a16:creationId xmlns:a16="http://schemas.microsoft.com/office/drawing/2014/main" xmlns="" id="{00000000-0008-0000-0300-0000DA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1" name="Rectangle 194">
          <a:extLst>
            <a:ext uri="{FF2B5EF4-FFF2-40B4-BE49-F238E27FC236}">
              <a16:creationId xmlns:a16="http://schemas.microsoft.com/office/drawing/2014/main" xmlns="" id="{00000000-0008-0000-0300-0000DB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2" name="Rectangle 195">
          <a:extLst>
            <a:ext uri="{FF2B5EF4-FFF2-40B4-BE49-F238E27FC236}">
              <a16:creationId xmlns:a16="http://schemas.microsoft.com/office/drawing/2014/main" xmlns="" id="{00000000-0008-0000-0300-0000DC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3" name="Rectangle 196">
          <a:extLst>
            <a:ext uri="{FF2B5EF4-FFF2-40B4-BE49-F238E27FC236}">
              <a16:creationId xmlns:a16="http://schemas.microsoft.com/office/drawing/2014/main" xmlns="" id="{00000000-0008-0000-0300-0000DD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4" name="Rectangle 197">
          <a:extLst>
            <a:ext uri="{FF2B5EF4-FFF2-40B4-BE49-F238E27FC236}">
              <a16:creationId xmlns:a16="http://schemas.microsoft.com/office/drawing/2014/main" xmlns="" id="{00000000-0008-0000-0300-0000DE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5" name="Rectangle 198">
          <a:extLst>
            <a:ext uri="{FF2B5EF4-FFF2-40B4-BE49-F238E27FC236}">
              <a16:creationId xmlns:a16="http://schemas.microsoft.com/office/drawing/2014/main" xmlns="" id="{00000000-0008-0000-0300-0000DF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6" name="Rectangle 199">
          <a:extLst>
            <a:ext uri="{FF2B5EF4-FFF2-40B4-BE49-F238E27FC236}">
              <a16:creationId xmlns:a16="http://schemas.microsoft.com/office/drawing/2014/main" xmlns="" id="{00000000-0008-0000-0300-0000E0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7" name="Rectangle 200">
          <a:extLst>
            <a:ext uri="{FF2B5EF4-FFF2-40B4-BE49-F238E27FC236}">
              <a16:creationId xmlns:a16="http://schemas.microsoft.com/office/drawing/2014/main" xmlns="" id="{00000000-0008-0000-0300-0000E1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8" name="Rectangle 201">
          <a:extLst>
            <a:ext uri="{FF2B5EF4-FFF2-40B4-BE49-F238E27FC236}">
              <a16:creationId xmlns:a16="http://schemas.microsoft.com/office/drawing/2014/main" xmlns="" id="{00000000-0008-0000-0300-0000E2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9" name="Rectangle 202">
          <a:extLst>
            <a:ext uri="{FF2B5EF4-FFF2-40B4-BE49-F238E27FC236}">
              <a16:creationId xmlns:a16="http://schemas.microsoft.com/office/drawing/2014/main" xmlns="" id="{00000000-0008-0000-0300-0000E3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0" name="Rectangle 203">
          <a:extLst>
            <a:ext uri="{FF2B5EF4-FFF2-40B4-BE49-F238E27FC236}">
              <a16:creationId xmlns:a16="http://schemas.microsoft.com/office/drawing/2014/main" xmlns="" id="{00000000-0008-0000-0300-0000E4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1" name="Rectangle 204">
          <a:extLst>
            <a:ext uri="{FF2B5EF4-FFF2-40B4-BE49-F238E27FC236}">
              <a16:creationId xmlns:a16="http://schemas.microsoft.com/office/drawing/2014/main" xmlns="" id="{00000000-0008-0000-0300-0000E5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2" name="Rectangle 205">
          <a:extLst>
            <a:ext uri="{FF2B5EF4-FFF2-40B4-BE49-F238E27FC236}">
              <a16:creationId xmlns:a16="http://schemas.microsoft.com/office/drawing/2014/main" xmlns="" id="{00000000-0008-0000-0300-0000E6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3" name="Rectangle 206">
          <a:extLst>
            <a:ext uri="{FF2B5EF4-FFF2-40B4-BE49-F238E27FC236}">
              <a16:creationId xmlns:a16="http://schemas.microsoft.com/office/drawing/2014/main" xmlns="" id="{00000000-0008-0000-0300-0000E7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4" name="Rectangle 207">
          <a:extLst>
            <a:ext uri="{FF2B5EF4-FFF2-40B4-BE49-F238E27FC236}">
              <a16:creationId xmlns:a16="http://schemas.microsoft.com/office/drawing/2014/main" xmlns="" id="{00000000-0008-0000-0300-0000E8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5" name="Rectangle 208">
          <a:extLst>
            <a:ext uri="{FF2B5EF4-FFF2-40B4-BE49-F238E27FC236}">
              <a16:creationId xmlns:a16="http://schemas.microsoft.com/office/drawing/2014/main" xmlns="" id="{00000000-0008-0000-0300-0000E9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6" name="Rectangle 209">
          <a:extLst>
            <a:ext uri="{FF2B5EF4-FFF2-40B4-BE49-F238E27FC236}">
              <a16:creationId xmlns:a16="http://schemas.microsoft.com/office/drawing/2014/main" xmlns="" id="{00000000-0008-0000-0300-0000EA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7" name="Rectangle 210">
          <a:extLst>
            <a:ext uri="{FF2B5EF4-FFF2-40B4-BE49-F238E27FC236}">
              <a16:creationId xmlns:a16="http://schemas.microsoft.com/office/drawing/2014/main" xmlns="" id="{00000000-0008-0000-0300-0000EB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8" name="Rectangle 211">
          <a:extLst>
            <a:ext uri="{FF2B5EF4-FFF2-40B4-BE49-F238E27FC236}">
              <a16:creationId xmlns:a16="http://schemas.microsoft.com/office/drawing/2014/main" xmlns="" id="{00000000-0008-0000-0300-0000EC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9" name="Rectangle 212">
          <a:extLst>
            <a:ext uri="{FF2B5EF4-FFF2-40B4-BE49-F238E27FC236}">
              <a16:creationId xmlns:a16="http://schemas.microsoft.com/office/drawing/2014/main" xmlns="" id="{00000000-0008-0000-0300-0000ED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0" name="Rectangle 213">
          <a:extLst>
            <a:ext uri="{FF2B5EF4-FFF2-40B4-BE49-F238E27FC236}">
              <a16:creationId xmlns:a16="http://schemas.microsoft.com/office/drawing/2014/main" xmlns="" id="{00000000-0008-0000-0300-0000EE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11" name="Rectangle 214">
          <a:extLst>
            <a:ext uri="{FF2B5EF4-FFF2-40B4-BE49-F238E27FC236}">
              <a16:creationId xmlns:a16="http://schemas.microsoft.com/office/drawing/2014/main" xmlns="" id="{00000000-0008-0000-0300-0000EF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2" name="Rectangle 215">
          <a:extLst>
            <a:ext uri="{FF2B5EF4-FFF2-40B4-BE49-F238E27FC236}">
              <a16:creationId xmlns:a16="http://schemas.microsoft.com/office/drawing/2014/main" xmlns="" id="{00000000-0008-0000-0300-0000F0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3" name="Rectangle 216">
          <a:extLst>
            <a:ext uri="{FF2B5EF4-FFF2-40B4-BE49-F238E27FC236}">
              <a16:creationId xmlns:a16="http://schemas.microsoft.com/office/drawing/2014/main" xmlns="" id="{00000000-0008-0000-0300-0000F1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4" name="Rectangle 217">
          <a:extLst>
            <a:ext uri="{FF2B5EF4-FFF2-40B4-BE49-F238E27FC236}">
              <a16:creationId xmlns:a16="http://schemas.microsoft.com/office/drawing/2014/main" xmlns="" id="{00000000-0008-0000-0300-0000F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5" name="Rectangle 218">
          <a:extLst>
            <a:ext uri="{FF2B5EF4-FFF2-40B4-BE49-F238E27FC236}">
              <a16:creationId xmlns:a16="http://schemas.microsoft.com/office/drawing/2014/main" xmlns="" id="{00000000-0008-0000-0300-0000F3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6" name="Rectangle 219">
          <a:extLst>
            <a:ext uri="{FF2B5EF4-FFF2-40B4-BE49-F238E27FC236}">
              <a16:creationId xmlns:a16="http://schemas.microsoft.com/office/drawing/2014/main" xmlns="" id="{00000000-0008-0000-0300-0000F4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7" name="Rectangle 220">
          <a:extLst>
            <a:ext uri="{FF2B5EF4-FFF2-40B4-BE49-F238E27FC236}">
              <a16:creationId xmlns:a16="http://schemas.microsoft.com/office/drawing/2014/main" xmlns="" id="{00000000-0008-0000-0300-0000F5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8" name="Rectangle 221">
          <a:extLst>
            <a:ext uri="{FF2B5EF4-FFF2-40B4-BE49-F238E27FC236}">
              <a16:creationId xmlns:a16="http://schemas.microsoft.com/office/drawing/2014/main" xmlns="" id="{00000000-0008-0000-0300-0000F6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9" name="Rectangle 222">
          <a:extLst>
            <a:ext uri="{FF2B5EF4-FFF2-40B4-BE49-F238E27FC236}">
              <a16:creationId xmlns:a16="http://schemas.microsoft.com/office/drawing/2014/main" xmlns="" id="{00000000-0008-0000-0300-0000F7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0" name="Rectangle 223">
          <a:extLst>
            <a:ext uri="{FF2B5EF4-FFF2-40B4-BE49-F238E27FC236}">
              <a16:creationId xmlns:a16="http://schemas.microsoft.com/office/drawing/2014/main" xmlns="" id="{00000000-0008-0000-0300-0000F8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1" name="Rectangle 224">
          <a:extLst>
            <a:ext uri="{FF2B5EF4-FFF2-40B4-BE49-F238E27FC236}">
              <a16:creationId xmlns:a16="http://schemas.microsoft.com/office/drawing/2014/main" xmlns="" id="{00000000-0008-0000-0300-0000F9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2" name="Rectangle 225">
          <a:extLst>
            <a:ext uri="{FF2B5EF4-FFF2-40B4-BE49-F238E27FC236}">
              <a16:creationId xmlns:a16="http://schemas.microsoft.com/office/drawing/2014/main" xmlns="" id="{00000000-0008-0000-0300-0000FA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3" name="Rectangle 226">
          <a:extLst>
            <a:ext uri="{FF2B5EF4-FFF2-40B4-BE49-F238E27FC236}">
              <a16:creationId xmlns:a16="http://schemas.microsoft.com/office/drawing/2014/main" xmlns="" id="{00000000-0008-0000-0300-0000FB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4" name="Rectangle 227">
          <a:extLst>
            <a:ext uri="{FF2B5EF4-FFF2-40B4-BE49-F238E27FC236}">
              <a16:creationId xmlns:a16="http://schemas.microsoft.com/office/drawing/2014/main" xmlns="" id="{00000000-0008-0000-0300-0000FC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5" name="Rectangle 228">
          <a:extLst>
            <a:ext uri="{FF2B5EF4-FFF2-40B4-BE49-F238E27FC236}">
              <a16:creationId xmlns:a16="http://schemas.microsoft.com/office/drawing/2014/main" xmlns="" id="{00000000-0008-0000-0300-0000FD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6" name="Rectangle 229">
          <a:extLst>
            <a:ext uri="{FF2B5EF4-FFF2-40B4-BE49-F238E27FC236}">
              <a16:creationId xmlns:a16="http://schemas.microsoft.com/office/drawing/2014/main" xmlns="" id="{00000000-0008-0000-0300-0000FE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27" name="Rectangle 736">
          <a:extLst>
            <a:ext uri="{FF2B5EF4-FFF2-40B4-BE49-F238E27FC236}">
              <a16:creationId xmlns:a16="http://schemas.microsoft.com/office/drawing/2014/main" xmlns="" id="{00000000-0008-0000-0300-0000FFAE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28" name="Rectangle 737">
          <a:extLst>
            <a:ext uri="{FF2B5EF4-FFF2-40B4-BE49-F238E27FC236}">
              <a16:creationId xmlns:a16="http://schemas.microsoft.com/office/drawing/2014/main" xmlns="" id="{00000000-0008-0000-0300-00000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29" name="Rectangle 738">
          <a:extLst>
            <a:ext uri="{FF2B5EF4-FFF2-40B4-BE49-F238E27FC236}">
              <a16:creationId xmlns:a16="http://schemas.microsoft.com/office/drawing/2014/main" xmlns="" id="{00000000-0008-0000-0300-00000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0" name="Rectangle 739">
          <a:extLst>
            <a:ext uri="{FF2B5EF4-FFF2-40B4-BE49-F238E27FC236}">
              <a16:creationId xmlns:a16="http://schemas.microsoft.com/office/drawing/2014/main" xmlns="" id="{00000000-0008-0000-0300-00000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1" name="Rectangle 740">
          <a:extLst>
            <a:ext uri="{FF2B5EF4-FFF2-40B4-BE49-F238E27FC236}">
              <a16:creationId xmlns:a16="http://schemas.microsoft.com/office/drawing/2014/main" xmlns="" id="{00000000-0008-0000-0300-00000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2" name="Rectangle 741">
          <a:extLst>
            <a:ext uri="{FF2B5EF4-FFF2-40B4-BE49-F238E27FC236}">
              <a16:creationId xmlns:a16="http://schemas.microsoft.com/office/drawing/2014/main" xmlns="" id="{00000000-0008-0000-0300-00000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3" name="Rectangle 742">
          <a:extLst>
            <a:ext uri="{FF2B5EF4-FFF2-40B4-BE49-F238E27FC236}">
              <a16:creationId xmlns:a16="http://schemas.microsoft.com/office/drawing/2014/main" xmlns="" id="{00000000-0008-0000-0300-00000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4" name="Rectangle 743">
          <a:extLst>
            <a:ext uri="{FF2B5EF4-FFF2-40B4-BE49-F238E27FC236}">
              <a16:creationId xmlns:a16="http://schemas.microsoft.com/office/drawing/2014/main" xmlns="" id="{00000000-0008-0000-0300-00000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5" name="Rectangle 744">
          <a:extLst>
            <a:ext uri="{FF2B5EF4-FFF2-40B4-BE49-F238E27FC236}">
              <a16:creationId xmlns:a16="http://schemas.microsoft.com/office/drawing/2014/main" xmlns="" id="{00000000-0008-0000-0300-00000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6" name="Rectangle 745">
          <a:extLst>
            <a:ext uri="{FF2B5EF4-FFF2-40B4-BE49-F238E27FC236}">
              <a16:creationId xmlns:a16="http://schemas.microsoft.com/office/drawing/2014/main" xmlns="" id="{00000000-0008-0000-0300-00000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7" name="Rectangle 746">
          <a:extLst>
            <a:ext uri="{FF2B5EF4-FFF2-40B4-BE49-F238E27FC236}">
              <a16:creationId xmlns:a16="http://schemas.microsoft.com/office/drawing/2014/main" xmlns="" id="{00000000-0008-0000-0300-00000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8" name="Rectangle 747">
          <a:extLst>
            <a:ext uri="{FF2B5EF4-FFF2-40B4-BE49-F238E27FC236}">
              <a16:creationId xmlns:a16="http://schemas.microsoft.com/office/drawing/2014/main" xmlns="" id="{00000000-0008-0000-0300-00000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9" name="Rectangle 748">
          <a:extLst>
            <a:ext uri="{FF2B5EF4-FFF2-40B4-BE49-F238E27FC236}">
              <a16:creationId xmlns:a16="http://schemas.microsoft.com/office/drawing/2014/main" xmlns="" id="{00000000-0008-0000-0300-00000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0" name="Rectangle 749">
          <a:extLst>
            <a:ext uri="{FF2B5EF4-FFF2-40B4-BE49-F238E27FC236}">
              <a16:creationId xmlns:a16="http://schemas.microsoft.com/office/drawing/2014/main" xmlns="" id="{00000000-0008-0000-0300-00000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1" name="Rectangle 750">
          <a:extLst>
            <a:ext uri="{FF2B5EF4-FFF2-40B4-BE49-F238E27FC236}">
              <a16:creationId xmlns:a16="http://schemas.microsoft.com/office/drawing/2014/main" xmlns="" id="{00000000-0008-0000-0300-00000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2" name="Rectangle 751">
          <a:extLst>
            <a:ext uri="{FF2B5EF4-FFF2-40B4-BE49-F238E27FC236}">
              <a16:creationId xmlns:a16="http://schemas.microsoft.com/office/drawing/2014/main" xmlns="" id="{00000000-0008-0000-0300-00000E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3" name="Rectangle 752">
          <a:extLst>
            <a:ext uri="{FF2B5EF4-FFF2-40B4-BE49-F238E27FC236}">
              <a16:creationId xmlns:a16="http://schemas.microsoft.com/office/drawing/2014/main" xmlns="" id="{00000000-0008-0000-0300-00000F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4" name="Rectangle 753">
          <a:extLst>
            <a:ext uri="{FF2B5EF4-FFF2-40B4-BE49-F238E27FC236}">
              <a16:creationId xmlns:a16="http://schemas.microsoft.com/office/drawing/2014/main" xmlns="" id="{00000000-0008-0000-0300-000010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5" name="Rectangle 754">
          <a:extLst>
            <a:ext uri="{FF2B5EF4-FFF2-40B4-BE49-F238E27FC236}">
              <a16:creationId xmlns:a16="http://schemas.microsoft.com/office/drawing/2014/main" xmlns="" id="{00000000-0008-0000-0300-000011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6" name="Rectangle 755">
          <a:extLst>
            <a:ext uri="{FF2B5EF4-FFF2-40B4-BE49-F238E27FC236}">
              <a16:creationId xmlns:a16="http://schemas.microsoft.com/office/drawing/2014/main" xmlns="" id="{00000000-0008-0000-0300-000012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7" name="Rectangle 756">
          <a:extLst>
            <a:ext uri="{FF2B5EF4-FFF2-40B4-BE49-F238E27FC236}">
              <a16:creationId xmlns:a16="http://schemas.microsoft.com/office/drawing/2014/main" xmlns="" id="{00000000-0008-0000-0300-000013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8" name="Rectangle 757">
          <a:extLst>
            <a:ext uri="{FF2B5EF4-FFF2-40B4-BE49-F238E27FC236}">
              <a16:creationId xmlns:a16="http://schemas.microsoft.com/office/drawing/2014/main" xmlns="" id="{00000000-0008-0000-0300-000014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9" name="Rectangle 758">
          <a:extLst>
            <a:ext uri="{FF2B5EF4-FFF2-40B4-BE49-F238E27FC236}">
              <a16:creationId xmlns:a16="http://schemas.microsoft.com/office/drawing/2014/main" xmlns="" id="{00000000-0008-0000-0300-000015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0" name="Rectangle 759">
          <a:extLst>
            <a:ext uri="{FF2B5EF4-FFF2-40B4-BE49-F238E27FC236}">
              <a16:creationId xmlns:a16="http://schemas.microsoft.com/office/drawing/2014/main" xmlns="" id="{00000000-0008-0000-0300-000016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1" name="Rectangle 760">
          <a:extLst>
            <a:ext uri="{FF2B5EF4-FFF2-40B4-BE49-F238E27FC236}">
              <a16:creationId xmlns:a16="http://schemas.microsoft.com/office/drawing/2014/main" xmlns="" id="{00000000-0008-0000-0300-000017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2" name="Rectangle 761">
          <a:extLst>
            <a:ext uri="{FF2B5EF4-FFF2-40B4-BE49-F238E27FC236}">
              <a16:creationId xmlns:a16="http://schemas.microsoft.com/office/drawing/2014/main" xmlns="" id="{00000000-0008-0000-0300-000018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3" name="Rectangle 762">
          <a:extLst>
            <a:ext uri="{FF2B5EF4-FFF2-40B4-BE49-F238E27FC236}">
              <a16:creationId xmlns:a16="http://schemas.microsoft.com/office/drawing/2014/main" xmlns="" id="{00000000-0008-0000-0300-000019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4" name="Rectangle 763">
          <a:extLst>
            <a:ext uri="{FF2B5EF4-FFF2-40B4-BE49-F238E27FC236}">
              <a16:creationId xmlns:a16="http://schemas.microsoft.com/office/drawing/2014/main" xmlns="" id="{00000000-0008-0000-0300-00001A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5" name="Rectangle 764">
          <a:extLst>
            <a:ext uri="{FF2B5EF4-FFF2-40B4-BE49-F238E27FC236}">
              <a16:creationId xmlns:a16="http://schemas.microsoft.com/office/drawing/2014/main" xmlns="" id="{00000000-0008-0000-0300-00001B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6" name="Rectangle 765">
          <a:extLst>
            <a:ext uri="{FF2B5EF4-FFF2-40B4-BE49-F238E27FC236}">
              <a16:creationId xmlns:a16="http://schemas.microsoft.com/office/drawing/2014/main" xmlns="" id="{00000000-0008-0000-0300-00001C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7" name="Rectangle 766">
          <a:extLst>
            <a:ext uri="{FF2B5EF4-FFF2-40B4-BE49-F238E27FC236}">
              <a16:creationId xmlns:a16="http://schemas.microsoft.com/office/drawing/2014/main" xmlns="" id="{00000000-0008-0000-0300-00001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8" name="Rectangle 767">
          <a:extLst>
            <a:ext uri="{FF2B5EF4-FFF2-40B4-BE49-F238E27FC236}">
              <a16:creationId xmlns:a16="http://schemas.microsoft.com/office/drawing/2014/main" xmlns="" id="{00000000-0008-0000-0300-00001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9" name="Rectangle 768">
          <a:extLst>
            <a:ext uri="{FF2B5EF4-FFF2-40B4-BE49-F238E27FC236}">
              <a16:creationId xmlns:a16="http://schemas.microsoft.com/office/drawing/2014/main" xmlns="" id="{00000000-0008-0000-0300-00001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60" name="Rectangle 769">
          <a:extLst>
            <a:ext uri="{FF2B5EF4-FFF2-40B4-BE49-F238E27FC236}">
              <a16:creationId xmlns:a16="http://schemas.microsoft.com/office/drawing/2014/main" xmlns="" id="{00000000-0008-0000-0300-00002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1" name="Rectangle 770">
          <a:extLst>
            <a:ext uri="{FF2B5EF4-FFF2-40B4-BE49-F238E27FC236}">
              <a16:creationId xmlns:a16="http://schemas.microsoft.com/office/drawing/2014/main" xmlns="" id="{00000000-0008-0000-0300-00002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2" name="Rectangle 771">
          <a:extLst>
            <a:ext uri="{FF2B5EF4-FFF2-40B4-BE49-F238E27FC236}">
              <a16:creationId xmlns:a16="http://schemas.microsoft.com/office/drawing/2014/main" xmlns="" id="{00000000-0008-0000-0300-00002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3" name="Rectangle 772">
          <a:extLst>
            <a:ext uri="{FF2B5EF4-FFF2-40B4-BE49-F238E27FC236}">
              <a16:creationId xmlns:a16="http://schemas.microsoft.com/office/drawing/2014/main" xmlns="" id="{00000000-0008-0000-0300-00002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4" name="Rectangle 773">
          <a:extLst>
            <a:ext uri="{FF2B5EF4-FFF2-40B4-BE49-F238E27FC236}">
              <a16:creationId xmlns:a16="http://schemas.microsoft.com/office/drawing/2014/main" xmlns="" id="{00000000-0008-0000-0300-00002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5" name="Rectangle 774">
          <a:extLst>
            <a:ext uri="{FF2B5EF4-FFF2-40B4-BE49-F238E27FC236}">
              <a16:creationId xmlns:a16="http://schemas.microsoft.com/office/drawing/2014/main" xmlns="" id="{00000000-0008-0000-0300-00002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6" name="Rectangle 775">
          <a:extLst>
            <a:ext uri="{FF2B5EF4-FFF2-40B4-BE49-F238E27FC236}">
              <a16:creationId xmlns:a16="http://schemas.microsoft.com/office/drawing/2014/main" xmlns="" id="{00000000-0008-0000-0300-00002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7" name="Rectangle 776">
          <a:extLst>
            <a:ext uri="{FF2B5EF4-FFF2-40B4-BE49-F238E27FC236}">
              <a16:creationId xmlns:a16="http://schemas.microsoft.com/office/drawing/2014/main" xmlns="" id="{00000000-0008-0000-0300-00002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8" name="Rectangle 777">
          <a:extLst>
            <a:ext uri="{FF2B5EF4-FFF2-40B4-BE49-F238E27FC236}">
              <a16:creationId xmlns:a16="http://schemas.microsoft.com/office/drawing/2014/main" xmlns="" id="{00000000-0008-0000-0300-00002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9" name="Rectangle 778">
          <a:extLst>
            <a:ext uri="{FF2B5EF4-FFF2-40B4-BE49-F238E27FC236}">
              <a16:creationId xmlns:a16="http://schemas.microsoft.com/office/drawing/2014/main" xmlns="" id="{00000000-0008-0000-0300-00002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0" name="Rectangle 779">
          <a:extLst>
            <a:ext uri="{FF2B5EF4-FFF2-40B4-BE49-F238E27FC236}">
              <a16:creationId xmlns:a16="http://schemas.microsoft.com/office/drawing/2014/main" xmlns="" id="{00000000-0008-0000-0300-00002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1" name="Rectangle 780">
          <a:extLst>
            <a:ext uri="{FF2B5EF4-FFF2-40B4-BE49-F238E27FC236}">
              <a16:creationId xmlns:a16="http://schemas.microsoft.com/office/drawing/2014/main" xmlns="" id="{00000000-0008-0000-0300-00002B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2" name="Rectangle 781">
          <a:extLst>
            <a:ext uri="{FF2B5EF4-FFF2-40B4-BE49-F238E27FC236}">
              <a16:creationId xmlns:a16="http://schemas.microsoft.com/office/drawing/2014/main" xmlns="" id="{00000000-0008-0000-0300-00002C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3" name="Rectangle 1617">
          <a:extLst>
            <a:ext uri="{FF2B5EF4-FFF2-40B4-BE49-F238E27FC236}">
              <a16:creationId xmlns:a16="http://schemas.microsoft.com/office/drawing/2014/main" xmlns="" id="{00000000-0008-0000-0300-00002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4" name="Rectangle 1618">
          <a:extLst>
            <a:ext uri="{FF2B5EF4-FFF2-40B4-BE49-F238E27FC236}">
              <a16:creationId xmlns:a16="http://schemas.microsoft.com/office/drawing/2014/main" xmlns="" id="{00000000-0008-0000-0300-00002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5" name="Rectangle 1619">
          <a:extLst>
            <a:ext uri="{FF2B5EF4-FFF2-40B4-BE49-F238E27FC236}">
              <a16:creationId xmlns:a16="http://schemas.microsoft.com/office/drawing/2014/main" xmlns="" id="{00000000-0008-0000-0300-00002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6" name="Rectangle 1620">
          <a:extLst>
            <a:ext uri="{FF2B5EF4-FFF2-40B4-BE49-F238E27FC236}">
              <a16:creationId xmlns:a16="http://schemas.microsoft.com/office/drawing/2014/main" xmlns="" id="{00000000-0008-0000-0300-000030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7" name="Rectangle 1621">
          <a:extLst>
            <a:ext uri="{FF2B5EF4-FFF2-40B4-BE49-F238E27FC236}">
              <a16:creationId xmlns:a16="http://schemas.microsoft.com/office/drawing/2014/main" xmlns="" id="{00000000-0008-0000-0300-000031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8" name="Rectangle 1622">
          <a:extLst>
            <a:ext uri="{FF2B5EF4-FFF2-40B4-BE49-F238E27FC236}">
              <a16:creationId xmlns:a16="http://schemas.microsoft.com/office/drawing/2014/main" xmlns="" id="{00000000-0008-0000-0300-000032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9" name="Rectangle 1623">
          <a:extLst>
            <a:ext uri="{FF2B5EF4-FFF2-40B4-BE49-F238E27FC236}">
              <a16:creationId xmlns:a16="http://schemas.microsoft.com/office/drawing/2014/main" xmlns="" id="{00000000-0008-0000-0300-000033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0" name="Rectangle 1624">
          <a:extLst>
            <a:ext uri="{FF2B5EF4-FFF2-40B4-BE49-F238E27FC236}">
              <a16:creationId xmlns:a16="http://schemas.microsoft.com/office/drawing/2014/main" xmlns="" id="{00000000-0008-0000-0300-000034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1" name="Rectangle 1625">
          <a:extLst>
            <a:ext uri="{FF2B5EF4-FFF2-40B4-BE49-F238E27FC236}">
              <a16:creationId xmlns:a16="http://schemas.microsoft.com/office/drawing/2014/main" xmlns="" id="{00000000-0008-0000-0300-000035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2" name="Rectangle 1626">
          <a:extLst>
            <a:ext uri="{FF2B5EF4-FFF2-40B4-BE49-F238E27FC236}">
              <a16:creationId xmlns:a16="http://schemas.microsoft.com/office/drawing/2014/main" xmlns="" id="{00000000-0008-0000-0300-000036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3" name="Rectangle 1627">
          <a:extLst>
            <a:ext uri="{FF2B5EF4-FFF2-40B4-BE49-F238E27FC236}">
              <a16:creationId xmlns:a16="http://schemas.microsoft.com/office/drawing/2014/main" xmlns="" id="{00000000-0008-0000-0300-000037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4" name="Rectangle 1628">
          <a:extLst>
            <a:ext uri="{FF2B5EF4-FFF2-40B4-BE49-F238E27FC236}">
              <a16:creationId xmlns:a16="http://schemas.microsoft.com/office/drawing/2014/main" xmlns="" id="{00000000-0008-0000-0300-000038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5" name="Rectangle 1629">
          <a:extLst>
            <a:ext uri="{FF2B5EF4-FFF2-40B4-BE49-F238E27FC236}">
              <a16:creationId xmlns:a16="http://schemas.microsoft.com/office/drawing/2014/main" xmlns="" id="{00000000-0008-0000-0300-000039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6" name="Rectangle 1630">
          <a:extLst>
            <a:ext uri="{FF2B5EF4-FFF2-40B4-BE49-F238E27FC236}">
              <a16:creationId xmlns:a16="http://schemas.microsoft.com/office/drawing/2014/main" xmlns="" id="{00000000-0008-0000-0300-00003A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7" name="Rectangle 1631">
          <a:extLst>
            <a:ext uri="{FF2B5EF4-FFF2-40B4-BE49-F238E27FC236}">
              <a16:creationId xmlns:a16="http://schemas.microsoft.com/office/drawing/2014/main" xmlns="" id="{00000000-0008-0000-0300-00003B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8" name="Rectangle 1632">
          <a:extLst>
            <a:ext uri="{FF2B5EF4-FFF2-40B4-BE49-F238E27FC236}">
              <a16:creationId xmlns:a16="http://schemas.microsoft.com/office/drawing/2014/main" xmlns="" id="{00000000-0008-0000-0300-00003C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9" name="Rectangle 1633">
          <a:extLst>
            <a:ext uri="{FF2B5EF4-FFF2-40B4-BE49-F238E27FC236}">
              <a16:creationId xmlns:a16="http://schemas.microsoft.com/office/drawing/2014/main" xmlns="" id="{00000000-0008-0000-0300-00003D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0" name="Rectangle 1634">
          <a:extLst>
            <a:ext uri="{FF2B5EF4-FFF2-40B4-BE49-F238E27FC236}">
              <a16:creationId xmlns:a16="http://schemas.microsoft.com/office/drawing/2014/main" xmlns="" id="{00000000-0008-0000-0300-00003E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1" name="Rectangle 1635">
          <a:extLst>
            <a:ext uri="{FF2B5EF4-FFF2-40B4-BE49-F238E27FC236}">
              <a16:creationId xmlns:a16="http://schemas.microsoft.com/office/drawing/2014/main" xmlns="" id="{00000000-0008-0000-0300-00003F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2" name="Rectangle 1636">
          <a:extLst>
            <a:ext uri="{FF2B5EF4-FFF2-40B4-BE49-F238E27FC236}">
              <a16:creationId xmlns:a16="http://schemas.microsoft.com/office/drawing/2014/main" xmlns="" id="{00000000-0008-0000-0300-00004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3" name="Rectangle 1637">
          <a:extLst>
            <a:ext uri="{FF2B5EF4-FFF2-40B4-BE49-F238E27FC236}">
              <a16:creationId xmlns:a16="http://schemas.microsoft.com/office/drawing/2014/main" xmlns="" id="{00000000-0008-0000-0300-00004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4" name="Rectangle 1638">
          <a:extLst>
            <a:ext uri="{FF2B5EF4-FFF2-40B4-BE49-F238E27FC236}">
              <a16:creationId xmlns:a16="http://schemas.microsoft.com/office/drawing/2014/main" xmlns="" id="{00000000-0008-0000-0300-00004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5" name="Rectangle 1639">
          <a:extLst>
            <a:ext uri="{FF2B5EF4-FFF2-40B4-BE49-F238E27FC236}">
              <a16:creationId xmlns:a16="http://schemas.microsoft.com/office/drawing/2014/main" xmlns="" id="{00000000-0008-0000-0300-00004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6" name="Rectangle 1640">
          <a:extLst>
            <a:ext uri="{FF2B5EF4-FFF2-40B4-BE49-F238E27FC236}">
              <a16:creationId xmlns:a16="http://schemas.microsoft.com/office/drawing/2014/main" xmlns="" id="{00000000-0008-0000-0300-00004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7" name="Rectangle 1641">
          <a:extLst>
            <a:ext uri="{FF2B5EF4-FFF2-40B4-BE49-F238E27FC236}">
              <a16:creationId xmlns:a16="http://schemas.microsoft.com/office/drawing/2014/main" xmlns="" id="{00000000-0008-0000-0300-00004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8" name="Rectangle 1642">
          <a:extLst>
            <a:ext uri="{FF2B5EF4-FFF2-40B4-BE49-F238E27FC236}">
              <a16:creationId xmlns:a16="http://schemas.microsoft.com/office/drawing/2014/main" xmlns="" id="{00000000-0008-0000-0300-00004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9" name="Rectangle 1643">
          <a:extLst>
            <a:ext uri="{FF2B5EF4-FFF2-40B4-BE49-F238E27FC236}">
              <a16:creationId xmlns:a16="http://schemas.microsoft.com/office/drawing/2014/main" xmlns="" id="{00000000-0008-0000-0300-00004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0" name="Rectangle 1644">
          <a:extLst>
            <a:ext uri="{FF2B5EF4-FFF2-40B4-BE49-F238E27FC236}">
              <a16:creationId xmlns:a16="http://schemas.microsoft.com/office/drawing/2014/main" xmlns="" id="{00000000-0008-0000-0300-00004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1" name="Rectangle 1645">
          <a:extLst>
            <a:ext uri="{FF2B5EF4-FFF2-40B4-BE49-F238E27FC236}">
              <a16:creationId xmlns:a16="http://schemas.microsoft.com/office/drawing/2014/main" xmlns="" id="{00000000-0008-0000-0300-00004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2" name="Rectangle 1646">
          <a:extLst>
            <a:ext uri="{FF2B5EF4-FFF2-40B4-BE49-F238E27FC236}">
              <a16:creationId xmlns:a16="http://schemas.microsoft.com/office/drawing/2014/main" xmlns="" id="{00000000-0008-0000-0300-00004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3" name="Rectangle 1647">
          <a:extLst>
            <a:ext uri="{FF2B5EF4-FFF2-40B4-BE49-F238E27FC236}">
              <a16:creationId xmlns:a16="http://schemas.microsoft.com/office/drawing/2014/main" xmlns="" id="{00000000-0008-0000-0300-00004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4" name="Rectangle 1648">
          <a:extLst>
            <a:ext uri="{FF2B5EF4-FFF2-40B4-BE49-F238E27FC236}">
              <a16:creationId xmlns:a16="http://schemas.microsoft.com/office/drawing/2014/main" xmlns="" id="{00000000-0008-0000-0300-00004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5" name="Rectangle 1649">
          <a:extLst>
            <a:ext uri="{FF2B5EF4-FFF2-40B4-BE49-F238E27FC236}">
              <a16:creationId xmlns:a16="http://schemas.microsoft.com/office/drawing/2014/main" xmlns="" id="{00000000-0008-0000-0300-00004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6" name="Rectangle 1650">
          <a:extLst>
            <a:ext uri="{FF2B5EF4-FFF2-40B4-BE49-F238E27FC236}">
              <a16:creationId xmlns:a16="http://schemas.microsoft.com/office/drawing/2014/main" xmlns="" id="{00000000-0008-0000-0300-00004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7" name="Rectangle 1651">
          <a:extLst>
            <a:ext uri="{FF2B5EF4-FFF2-40B4-BE49-F238E27FC236}">
              <a16:creationId xmlns:a16="http://schemas.microsoft.com/office/drawing/2014/main" xmlns="" id="{00000000-0008-0000-0300-00004F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8" name="Rectangle 1652">
          <a:extLst>
            <a:ext uri="{FF2B5EF4-FFF2-40B4-BE49-F238E27FC236}">
              <a16:creationId xmlns:a16="http://schemas.microsoft.com/office/drawing/2014/main" xmlns="" id="{00000000-0008-0000-0300-000050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9" name="Rectangle 1653">
          <a:extLst>
            <a:ext uri="{FF2B5EF4-FFF2-40B4-BE49-F238E27FC236}">
              <a16:creationId xmlns:a16="http://schemas.microsoft.com/office/drawing/2014/main" xmlns="" id="{00000000-0008-0000-0300-00005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0" name="Rectangle 1654">
          <a:extLst>
            <a:ext uri="{FF2B5EF4-FFF2-40B4-BE49-F238E27FC236}">
              <a16:creationId xmlns:a16="http://schemas.microsoft.com/office/drawing/2014/main" xmlns="" id="{00000000-0008-0000-0300-00005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1" name="Rectangle 1655">
          <a:extLst>
            <a:ext uri="{FF2B5EF4-FFF2-40B4-BE49-F238E27FC236}">
              <a16:creationId xmlns:a16="http://schemas.microsoft.com/office/drawing/2014/main" xmlns="" id="{00000000-0008-0000-0300-00005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2" name="Rectangle 1656">
          <a:extLst>
            <a:ext uri="{FF2B5EF4-FFF2-40B4-BE49-F238E27FC236}">
              <a16:creationId xmlns:a16="http://schemas.microsoft.com/office/drawing/2014/main" xmlns="" id="{00000000-0008-0000-0300-00005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3" name="Rectangle 1657">
          <a:extLst>
            <a:ext uri="{FF2B5EF4-FFF2-40B4-BE49-F238E27FC236}">
              <a16:creationId xmlns:a16="http://schemas.microsoft.com/office/drawing/2014/main" xmlns="" id="{00000000-0008-0000-0300-00005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4" name="Rectangle 1658">
          <a:extLst>
            <a:ext uri="{FF2B5EF4-FFF2-40B4-BE49-F238E27FC236}">
              <a16:creationId xmlns:a16="http://schemas.microsoft.com/office/drawing/2014/main" xmlns="" id="{00000000-0008-0000-0300-00005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5" name="Rectangle 1659">
          <a:extLst>
            <a:ext uri="{FF2B5EF4-FFF2-40B4-BE49-F238E27FC236}">
              <a16:creationId xmlns:a16="http://schemas.microsoft.com/office/drawing/2014/main" xmlns="" id="{00000000-0008-0000-0300-00005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6" name="Rectangle 1660">
          <a:extLst>
            <a:ext uri="{FF2B5EF4-FFF2-40B4-BE49-F238E27FC236}">
              <a16:creationId xmlns:a16="http://schemas.microsoft.com/office/drawing/2014/main" xmlns="" id="{00000000-0008-0000-0300-00005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7" name="Rectangle 1661">
          <a:extLst>
            <a:ext uri="{FF2B5EF4-FFF2-40B4-BE49-F238E27FC236}">
              <a16:creationId xmlns:a16="http://schemas.microsoft.com/office/drawing/2014/main" xmlns="" id="{00000000-0008-0000-0300-00005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8" name="Rectangle 1662">
          <a:extLst>
            <a:ext uri="{FF2B5EF4-FFF2-40B4-BE49-F238E27FC236}">
              <a16:creationId xmlns:a16="http://schemas.microsoft.com/office/drawing/2014/main" xmlns="" id="{00000000-0008-0000-0300-00005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19" name="Rectangle 782">
          <a:extLst>
            <a:ext uri="{FF2B5EF4-FFF2-40B4-BE49-F238E27FC236}">
              <a16:creationId xmlns:a16="http://schemas.microsoft.com/office/drawing/2014/main" xmlns="" id="{00000000-0008-0000-0300-00005B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0" name="Rectangle 783">
          <a:extLst>
            <a:ext uri="{FF2B5EF4-FFF2-40B4-BE49-F238E27FC236}">
              <a16:creationId xmlns:a16="http://schemas.microsoft.com/office/drawing/2014/main" xmlns="" id="{00000000-0008-0000-0300-00005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1" name="Rectangle 784">
          <a:extLst>
            <a:ext uri="{FF2B5EF4-FFF2-40B4-BE49-F238E27FC236}">
              <a16:creationId xmlns:a16="http://schemas.microsoft.com/office/drawing/2014/main" xmlns="" id="{00000000-0008-0000-0300-00005D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2" name="Rectangle 785">
          <a:extLst>
            <a:ext uri="{FF2B5EF4-FFF2-40B4-BE49-F238E27FC236}">
              <a16:creationId xmlns:a16="http://schemas.microsoft.com/office/drawing/2014/main" xmlns="" id="{00000000-0008-0000-0300-00005E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3" name="Rectangle 786">
          <a:extLst>
            <a:ext uri="{FF2B5EF4-FFF2-40B4-BE49-F238E27FC236}">
              <a16:creationId xmlns:a16="http://schemas.microsoft.com/office/drawing/2014/main" xmlns="" id="{00000000-0008-0000-0300-00005F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4" name="Rectangle 787">
          <a:extLst>
            <a:ext uri="{FF2B5EF4-FFF2-40B4-BE49-F238E27FC236}">
              <a16:creationId xmlns:a16="http://schemas.microsoft.com/office/drawing/2014/main" xmlns="" id="{00000000-0008-0000-0300-000060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5" name="Rectangle 788">
          <a:extLst>
            <a:ext uri="{FF2B5EF4-FFF2-40B4-BE49-F238E27FC236}">
              <a16:creationId xmlns:a16="http://schemas.microsoft.com/office/drawing/2014/main" xmlns="" id="{00000000-0008-0000-0300-000061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6" name="Rectangle 789">
          <a:extLst>
            <a:ext uri="{FF2B5EF4-FFF2-40B4-BE49-F238E27FC236}">
              <a16:creationId xmlns:a16="http://schemas.microsoft.com/office/drawing/2014/main" xmlns="" id="{00000000-0008-0000-0300-000062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7" name="Rectangle 790">
          <a:extLst>
            <a:ext uri="{FF2B5EF4-FFF2-40B4-BE49-F238E27FC236}">
              <a16:creationId xmlns:a16="http://schemas.microsoft.com/office/drawing/2014/main" xmlns="" id="{00000000-0008-0000-0300-000063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8" name="Rectangle 791">
          <a:extLst>
            <a:ext uri="{FF2B5EF4-FFF2-40B4-BE49-F238E27FC236}">
              <a16:creationId xmlns:a16="http://schemas.microsoft.com/office/drawing/2014/main" xmlns="" id="{00000000-0008-0000-0300-000064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9" name="Rectangle 792">
          <a:extLst>
            <a:ext uri="{FF2B5EF4-FFF2-40B4-BE49-F238E27FC236}">
              <a16:creationId xmlns:a16="http://schemas.microsoft.com/office/drawing/2014/main" xmlns="" id="{00000000-0008-0000-0300-000065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0" name="Rectangle 793">
          <a:extLst>
            <a:ext uri="{FF2B5EF4-FFF2-40B4-BE49-F238E27FC236}">
              <a16:creationId xmlns:a16="http://schemas.microsoft.com/office/drawing/2014/main" xmlns="" id="{00000000-0008-0000-0300-000066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1" name="Rectangle 794">
          <a:extLst>
            <a:ext uri="{FF2B5EF4-FFF2-40B4-BE49-F238E27FC236}">
              <a16:creationId xmlns:a16="http://schemas.microsoft.com/office/drawing/2014/main" xmlns="" id="{00000000-0008-0000-0300-000067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2" name="Rectangle 795">
          <a:extLst>
            <a:ext uri="{FF2B5EF4-FFF2-40B4-BE49-F238E27FC236}">
              <a16:creationId xmlns:a16="http://schemas.microsoft.com/office/drawing/2014/main" xmlns="" id="{00000000-0008-0000-0300-000068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3" name="Rectangle 796">
          <a:extLst>
            <a:ext uri="{FF2B5EF4-FFF2-40B4-BE49-F238E27FC236}">
              <a16:creationId xmlns:a16="http://schemas.microsoft.com/office/drawing/2014/main" xmlns="" id="{00000000-0008-0000-0300-000069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4" name="Rectangle 797">
          <a:extLst>
            <a:ext uri="{FF2B5EF4-FFF2-40B4-BE49-F238E27FC236}">
              <a16:creationId xmlns:a16="http://schemas.microsoft.com/office/drawing/2014/main" xmlns="" id="{00000000-0008-0000-0300-00006A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5" name="Rectangle 798">
          <a:extLst>
            <a:ext uri="{FF2B5EF4-FFF2-40B4-BE49-F238E27FC236}">
              <a16:creationId xmlns:a16="http://schemas.microsoft.com/office/drawing/2014/main" xmlns="" id="{00000000-0008-0000-0300-00006B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6" name="Rectangle 799">
          <a:extLst>
            <a:ext uri="{FF2B5EF4-FFF2-40B4-BE49-F238E27FC236}">
              <a16:creationId xmlns:a16="http://schemas.microsoft.com/office/drawing/2014/main" xmlns="" id="{00000000-0008-0000-0300-00006C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7" name="Rectangle 800">
          <a:extLst>
            <a:ext uri="{FF2B5EF4-FFF2-40B4-BE49-F238E27FC236}">
              <a16:creationId xmlns:a16="http://schemas.microsoft.com/office/drawing/2014/main" xmlns="" id="{00000000-0008-0000-0300-00006D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8" name="Rectangle 801">
          <a:extLst>
            <a:ext uri="{FF2B5EF4-FFF2-40B4-BE49-F238E27FC236}">
              <a16:creationId xmlns:a16="http://schemas.microsoft.com/office/drawing/2014/main" xmlns="" id="{00000000-0008-0000-0300-00006E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9" name="Rectangle 802">
          <a:extLst>
            <a:ext uri="{FF2B5EF4-FFF2-40B4-BE49-F238E27FC236}">
              <a16:creationId xmlns:a16="http://schemas.microsoft.com/office/drawing/2014/main" xmlns="" id="{00000000-0008-0000-0300-00006F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0" name="Rectangle 803">
          <a:extLst>
            <a:ext uri="{FF2B5EF4-FFF2-40B4-BE49-F238E27FC236}">
              <a16:creationId xmlns:a16="http://schemas.microsoft.com/office/drawing/2014/main" xmlns="" id="{00000000-0008-0000-0300-000070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1" name="Rectangle 804">
          <a:extLst>
            <a:ext uri="{FF2B5EF4-FFF2-40B4-BE49-F238E27FC236}">
              <a16:creationId xmlns:a16="http://schemas.microsoft.com/office/drawing/2014/main" xmlns="" id="{00000000-0008-0000-0300-000071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2" name="Rectangle 805">
          <a:extLst>
            <a:ext uri="{FF2B5EF4-FFF2-40B4-BE49-F238E27FC236}">
              <a16:creationId xmlns:a16="http://schemas.microsoft.com/office/drawing/2014/main" xmlns="" id="{00000000-0008-0000-0300-000072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3" name="Rectangle 806">
          <a:extLst>
            <a:ext uri="{FF2B5EF4-FFF2-40B4-BE49-F238E27FC236}">
              <a16:creationId xmlns:a16="http://schemas.microsoft.com/office/drawing/2014/main" xmlns="" id="{00000000-0008-0000-0300-000073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4" name="Rectangle 807">
          <a:extLst>
            <a:ext uri="{FF2B5EF4-FFF2-40B4-BE49-F238E27FC236}">
              <a16:creationId xmlns:a16="http://schemas.microsoft.com/office/drawing/2014/main" xmlns="" id="{00000000-0008-0000-0300-000074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5" name="Rectangle 808">
          <a:extLst>
            <a:ext uri="{FF2B5EF4-FFF2-40B4-BE49-F238E27FC236}">
              <a16:creationId xmlns:a16="http://schemas.microsoft.com/office/drawing/2014/main" xmlns="" id="{00000000-0008-0000-0300-000075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6" name="Rectangle 809">
          <a:extLst>
            <a:ext uri="{FF2B5EF4-FFF2-40B4-BE49-F238E27FC236}">
              <a16:creationId xmlns:a16="http://schemas.microsoft.com/office/drawing/2014/main" xmlns="" id="{00000000-0008-0000-0300-000076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7" name="Rectangle 810">
          <a:extLst>
            <a:ext uri="{FF2B5EF4-FFF2-40B4-BE49-F238E27FC236}">
              <a16:creationId xmlns:a16="http://schemas.microsoft.com/office/drawing/2014/main" xmlns="" id="{00000000-0008-0000-0300-000077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8" name="Rectangle 811">
          <a:extLst>
            <a:ext uri="{FF2B5EF4-FFF2-40B4-BE49-F238E27FC236}">
              <a16:creationId xmlns:a16="http://schemas.microsoft.com/office/drawing/2014/main" xmlns="" id="{00000000-0008-0000-0300-000078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9" name="Rectangle 812">
          <a:extLst>
            <a:ext uri="{FF2B5EF4-FFF2-40B4-BE49-F238E27FC236}">
              <a16:creationId xmlns:a16="http://schemas.microsoft.com/office/drawing/2014/main" xmlns="" id="{00000000-0008-0000-0300-000079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0" name="Rectangle 813">
          <a:extLst>
            <a:ext uri="{FF2B5EF4-FFF2-40B4-BE49-F238E27FC236}">
              <a16:creationId xmlns:a16="http://schemas.microsoft.com/office/drawing/2014/main" xmlns="" id="{00000000-0008-0000-0300-00007A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51" name="Rectangle 814">
          <a:extLst>
            <a:ext uri="{FF2B5EF4-FFF2-40B4-BE49-F238E27FC236}">
              <a16:creationId xmlns:a16="http://schemas.microsoft.com/office/drawing/2014/main" xmlns="" id="{00000000-0008-0000-0300-00007B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2" name="Rectangle 815">
          <a:extLst>
            <a:ext uri="{FF2B5EF4-FFF2-40B4-BE49-F238E27FC236}">
              <a16:creationId xmlns:a16="http://schemas.microsoft.com/office/drawing/2014/main" xmlns="" id="{00000000-0008-0000-0300-00007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3" name="Rectangle 816">
          <a:extLst>
            <a:ext uri="{FF2B5EF4-FFF2-40B4-BE49-F238E27FC236}">
              <a16:creationId xmlns:a16="http://schemas.microsoft.com/office/drawing/2014/main" xmlns="" id="{00000000-0008-0000-0300-00007D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4" name="Rectangle 817">
          <a:extLst>
            <a:ext uri="{FF2B5EF4-FFF2-40B4-BE49-F238E27FC236}">
              <a16:creationId xmlns:a16="http://schemas.microsoft.com/office/drawing/2014/main" xmlns="" id="{00000000-0008-0000-0300-00007E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5" name="Rectangle 818">
          <a:extLst>
            <a:ext uri="{FF2B5EF4-FFF2-40B4-BE49-F238E27FC236}">
              <a16:creationId xmlns:a16="http://schemas.microsoft.com/office/drawing/2014/main" xmlns="" id="{00000000-0008-0000-0300-00007F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6" name="Rectangle 819">
          <a:extLst>
            <a:ext uri="{FF2B5EF4-FFF2-40B4-BE49-F238E27FC236}">
              <a16:creationId xmlns:a16="http://schemas.microsoft.com/office/drawing/2014/main" xmlns="" id="{00000000-0008-0000-0300-000080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7" name="Rectangle 820">
          <a:extLst>
            <a:ext uri="{FF2B5EF4-FFF2-40B4-BE49-F238E27FC236}">
              <a16:creationId xmlns:a16="http://schemas.microsoft.com/office/drawing/2014/main" xmlns="" id="{00000000-0008-0000-0300-000081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8" name="Rectangle 821">
          <a:extLst>
            <a:ext uri="{FF2B5EF4-FFF2-40B4-BE49-F238E27FC236}">
              <a16:creationId xmlns:a16="http://schemas.microsoft.com/office/drawing/2014/main" xmlns="" id="{00000000-0008-0000-0300-000082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9" name="Rectangle 822">
          <a:extLst>
            <a:ext uri="{FF2B5EF4-FFF2-40B4-BE49-F238E27FC236}">
              <a16:creationId xmlns:a16="http://schemas.microsoft.com/office/drawing/2014/main" xmlns="" id="{00000000-0008-0000-0300-000083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0" name="Rectangle 823">
          <a:extLst>
            <a:ext uri="{FF2B5EF4-FFF2-40B4-BE49-F238E27FC236}">
              <a16:creationId xmlns:a16="http://schemas.microsoft.com/office/drawing/2014/main" xmlns="" id="{00000000-0008-0000-0300-000084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1" name="Rectangle 824">
          <a:extLst>
            <a:ext uri="{FF2B5EF4-FFF2-40B4-BE49-F238E27FC236}">
              <a16:creationId xmlns:a16="http://schemas.microsoft.com/office/drawing/2014/main" xmlns="" id="{00000000-0008-0000-0300-000085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2" name="Rectangle 825">
          <a:extLst>
            <a:ext uri="{FF2B5EF4-FFF2-40B4-BE49-F238E27FC236}">
              <a16:creationId xmlns:a16="http://schemas.microsoft.com/office/drawing/2014/main" xmlns="" id="{00000000-0008-0000-0300-000086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3" name="Rectangle 826">
          <a:extLst>
            <a:ext uri="{FF2B5EF4-FFF2-40B4-BE49-F238E27FC236}">
              <a16:creationId xmlns:a16="http://schemas.microsoft.com/office/drawing/2014/main" xmlns="" id="{00000000-0008-0000-0300-000087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4" name="Rectangle 827">
          <a:extLst>
            <a:ext uri="{FF2B5EF4-FFF2-40B4-BE49-F238E27FC236}">
              <a16:creationId xmlns:a16="http://schemas.microsoft.com/office/drawing/2014/main" xmlns="" id="{00000000-0008-0000-0300-000088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5" name="Rectangle 828">
          <a:extLst>
            <a:ext uri="{FF2B5EF4-FFF2-40B4-BE49-F238E27FC236}">
              <a16:creationId xmlns:a16="http://schemas.microsoft.com/office/drawing/2014/main" xmlns="" id="{00000000-0008-0000-0300-000089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6" name="Rectangle 829">
          <a:extLst>
            <a:ext uri="{FF2B5EF4-FFF2-40B4-BE49-F238E27FC236}">
              <a16:creationId xmlns:a16="http://schemas.microsoft.com/office/drawing/2014/main" xmlns="" id="{00000000-0008-0000-0300-00008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67" name="Rectangle 830">
          <a:extLst>
            <a:ext uri="{FF2B5EF4-FFF2-40B4-BE49-F238E27FC236}">
              <a16:creationId xmlns:a16="http://schemas.microsoft.com/office/drawing/2014/main" xmlns="" id="{00000000-0008-0000-0300-00008B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8" name="Rectangle 831">
          <a:extLst>
            <a:ext uri="{FF2B5EF4-FFF2-40B4-BE49-F238E27FC236}">
              <a16:creationId xmlns:a16="http://schemas.microsoft.com/office/drawing/2014/main" xmlns="" id="{00000000-0008-0000-0300-00008C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9" name="Rectangle 832">
          <a:extLst>
            <a:ext uri="{FF2B5EF4-FFF2-40B4-BE49-F238E27FC236}">
              <a16:creationId xmlns:a16="http://schemas.microsoft.com/office/drawing/2014/main" xmlns="" id="{00000000-0008-0000-0300-00008D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0" name="Rectangle 833">
          <a:extLst>
            <a:ext uri="{FF2B5EF4-FFF2-40B4-BE49-F238E27FC236}">
              <a16:creationId xmlns:a16="http://schemas.microsoft.com/office/drawing/2014/main" xmlns="" id="{00000000-0008-0000-0300-00008E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1" name="Rectangle 834">
          <a:extLst>
            <a:ext uri="{FF2B5EF4-FFF2-40B4-BE49-F238E27FC236}">
              <a16:creationId xmlns:a16="http://schemas.microsoft.com/office/drawing/2014/main" xmlns="" id="{00000000-0008-0000-0300-00008F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2" name="Rectangle 835">
          <a:extLst>
            <a:ext uri="{FF2B5EF4-FFF2-40B4-BE49-F238E27FC236}">
              <a16:creationId xmlns:a16="http://schemas.microsoft.com/office/drawing/2014/main" xmlns="" id="{00000000-0008-0000-0300-000090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3" name="Rectangle 836">
          <a:extLst>
            <a:ext uri="{FF2B5EF4-FFF2-40B4-BE49-F238E27FC236}">
              <a16:creationId xmlns:a16="http://schemas.microsoft.com/office/drawing/2014/main" xmlns="" id="{00000000-0008-0000-0300-000091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4" name="Rectangle 837">
          <a:extLst>
            <a:ext uri="{FF2B5EF4-FFF2-40B4-BE49-F238E27FC236}">
              <a16:creationId xmlns:a16="http://schemas.microsoft.com/office/drawing/2014/main" xmlns="" id="{00000000-0008-0000-0300-000092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5" name="Rectangle 838">
          <a:extLst>
            <a:ext uri="{FF2B5EF4-FFF2-40B4-BE49-F238E27FC236}">
              <a16:creationId xmlns:a16="http://schemas.microsoft.com/office/drawing/2014/main" xmlns="" id="{00000000-0008-0000-0300-000093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6" name="Rectangle 839">
          <a:extLst>
            <a:ext uri="{FF2B5EF4-FFF2-40B4-BE49-F238E27FC236}">
              <a16:creationId xmlns:a16="http://schemas.microsoft.com/office/drawing/2014/main" xmlns="" id="{00000000-0008-0000-0300-000094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7" name="Rectangle 840">
          <a:extLst>
            <a:ext uri="{FF2B5EF4-FFF2-40B4-BE49-F238E27FC236}">
              <a16:creationId xmlns:a16="http://schemas.microsoft.com/office/drawing/2014/main" xmlns="" id="{00000000-0008-0000-0300-000095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8" name="Rectangle 841">
          <a:extLst>
            <a:ext uri="{FF2B5EF4-FFF2-40B4-BE49-F238E27FC236}">
              <a16:creationId xmlns:a16="http://schemas.microsoft.com/office/drawing/2014/main" xmlns="" id="{00000000-0008-0000-0300-000096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9" name="Rectangle 842">
          <a:extLst>
            <a:ext uri="{FF2B5EF4-FFF2-40B4-BE49-F238E27FC236}">
              <a16:creationId xmlns:a16="http://schemas.microsoft.com/office/drawing/2014/main" xmlns="" id="{00000000-0008-0000-0300-000097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0" name="Rectangle 843">
          <a:extLst>
            <a:ext uri="{FF2B5EF4-FFF2-40B4-BE49-F238E27FC236}">
              <a16:creationId xmlns:a16="http://schemas.microsoft.com/office/drawing/2014/main" xmlns="" id="{00000000-0008-0000-0300-000098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1" name="Rectangle 844">
          <a:extLst>
            <a:ext uri="{FF2B5EF4-FFF2-40B4-BE49-F238E27FC236}">
              <a16:creationId xmlns:a16="http://schemas.microsoft.com/office/drawing/2014/main" xmlns="" id="{00000000-0008-0000-0300-000099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2" name="Rectangle 845">
          <a:extLst>
            <a:ext uri="{FF2B5EF4-FFF2-40B4-BE49-F238E27FC236}">
              <a16:creationId xmlns:a16="http://schemas.microsoft.com/office/drawing/2014/main" xmlns="" id="{00000000-0008-0000-0300-00009A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3" name="Rectangle 846">
          <a:extLst>
            <a:ext uri="{FF2B5EF4-FFF2-40B4-BE49-F238E27FC236}">
              <a16:creationId xmlns:a16="http://schemas.microsoft.com/office/drawing/2014/main" xmlns="" id="{00000000-0008-0000-0300-00009B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4" name="Rectangle 847">
          <a:extLst>
            <a:ext uri="{FF2B5EF4-FFF2-40B4-BE49-F238E27FC236}">
              <a16:creationId xmlns:a16="http://schemas.microsoft.com/office/drawing/2014/main" xmlns="" id="{00000000-0008-0000-0300-00009C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5" name="Rectangle 848">
          <a:extLst>
            <a:ext uri="{FF2B5EF4-FFF2-40B4-BE49-F238E27FC236}">
              <a16:creationId xmlns:a16="http://schemas.microsoft.com/office/drawing/2014/main" xmlns="" id="{00000000-0008-0000-0300-00009D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6" name="Rectangle 849">
          <a:extLst>
            <a:ext uri="{FF2B5EF4-FFF2-40B4-BE49-F238E27FC236}">
              <a16:creationId xmlns:a16="http://schemas.microsoft.com/office/drawing/2014/main" xmlns="" id="{00000000-0008-0000-0300-00009E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7" name="Rectangle 850">
          <a:extLst>
            <a:ext uri="{FF2B5EF4-FFF2-40B4-BE49-F238E27FC236}">
              <a16:creationId xmlns:a16="http://schemas.microsoft.com/office/drawing/2014/main" xmlns="" id="{00000000-0008-0000-0300-00009F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8" name="Rectangle 851">
          <a:extLst>
            <a:ext uri="{FF2B5EF4-FFF2-40B4-BE49-F238E27FC236}">
              <a16:creationId xmlns:a16="http://schemas.microsoft.com/office/drawing/2014/main" xmlns="" id="{00000000-0008-0000-0300-0000A0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9" name="Rectangle 852">
          <a:extLst>
            <a:ext uri="{FF2B5EF4-FFF2-40B4-BE49-F238E27FC236}">
              <a16:creationId xmlns:a16="http://schemas.microsoft.com/office/drawing/2014/main" xmlns="" id="{00000000-0008-0000-0300-0000A1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0" name="Rectangle 853">
          <a:extLst>
            <a:ext uri="{FF2B5EF4-FFF2-40B4-BE49-F238E27FC236}">
              <a16:creationId xmlns:a16="http://schemas.microsoft.com/office/drawing/2014/main" xmlns="" id="{00000000-0008-0000-0300-0000A2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1" name="Rectangle 854">
          <a:extLst>
            <a:ext uri="{FF2B5EF4-FFF2-40B4-BE49-F238E27FC236}">
              <a16:creationId xmlns:a16="http://schemas.microsoft.com/office/drawing/2014/main" xmlns="" id="{00000000-0008-0000-0300-0000A3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2" name="Rectangle 855">
          <a:extLst>
            <a:ext uri="{FF2B5EF4-FFF2-40B4-BE49-F238E27FC236}">
              <a16:creationId xmlns:a16="http://schemas.microsoft.com/office/drawing/2014/main" xmlns="" id="{00000000-0008-0000-0300-0000A4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3" name="Rectangle 856">
          <a:extLst>
            <a:ext uri="{FF2B5EF4-FFF2-40B4-BE49-F238E27FC236}">
              <a16:creationId xmlns:a16="http://schemas.microsoft.com/office/drawing/2014/main" xmlns="" id="{00000000-0008-0000-0300-0000A5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4" name="Rectangle 857">
          <a:extLst>
            <a:ext uri="{FF2B5EF4-FFF2-40B4-BE49-F238E27FC236}">
              <a16:creationId xmlns:a16="http://schemas.microsoft.com/office/drawing/2014/main" xmlns="" id="{00000000-0008-0000-0300-0000A6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5" name="Rectangle 858">
          <a:extLst>
            <a:ext uri="{FF2B5EF4-FFF2-40B4-BE49-F238E27FC236}">
              <a16:creationId xmlns:a16="http://schemas.microsoft.com/office/drawing/2014/main" xmlns="" id="{00000000-0008-0000-0300-0000A7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6" name="Rectangle 859">
          <a:extLst>
            <a:ext uri="{FF2B5EF4-FFF2-40B4-BE49-F238E27FC236}">
              <a16:creationId xmlns:a16="http://schemas.microsoft.com/office/drawing/2014/main" xmlns="" id="{00000000-0008-0000-0300-0000A8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7" name="Rectangle 860">
          <a:extLst>
            <a:ext uri="{FF2B5EF4-FFF2-40B4-BE49-F238E27FC236}">
              <a16:creationId xmlns:a16="http://schemas.microsoft.com/office/drawing/2014/main" xmlns="" id="{00000000-0008-0000-0300-0000A9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8" name="Rectangle 861">
          <a:extLst>
            <a:ext uri="{FF2B5EF4-FFF2-40B4-BE49-F238E27FC236}">
              <a16:creationId xmlns:a16="http://schemas.microsoft.com/office/drawing/2014/main" xmlns="" id="{00000000-0008-0000-0300-0000A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099" name="Rectangle 862">
          <a:extLst>
            <a:ext uri="{FF2B5EF4-FFF2-40B4-BE49-F238E27FC236}">
              <a16:creationId xmlns:a16="http://schemas.microsoft.com/office/drawing/2014/main" xmlns="" id="{00000000-0008-0000-0300-0000AB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0" name="Rectangle 863">
          <a:extLst>
            <a:ext uri="{FF2B5EF4-FFF2-40B4-BE49-F238E27FC236}">
              <a16:creationId xmlns:a16="http://schemas.microsoft.com/office/drawing/2014/main" xmlns="" id="{00000000-0008-0000-0300-0000AC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1" name="Rectangle 864">
          <a:extLst>
            <a:ext uri="{FF2B5EF4-FFF2-40B4-BE49-F238E27FC236}">
              <a16:creationId xmlns:a16="http://schemas.microsoft.com/office/drawing/2014/main" xmlns="" id="{00000000-0008-0000-0300-0000AD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2" name="Rectangle 865">
          <a:extLst>
            <a:ext uri="{FF2B5EF4-FFF2-40B4-BE49-F238E27FC236}">
              <a16:creationId xmlns:a16="http://schemas.microsoft.com/office/drawing/2014/main" xmlns="" id="{00000000-0008-0000-0300-0000AE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3" name="Rectangle 866">
          <a:extLst>
            <a:ext uri="{FF2B5EF4-FFF2-40B4-BE49-F238E27FC236}">
              <a16:creationId xmlns:a16="http://schemas.microsoft.com/office/drawing/2014/main" xmlns="" id="{00000000-0008-0000-0300-0000AF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4" name="Rectangle 867">
          <a:extLst>
            <a:ext uri="{FF2B5EF4-FFF2-40B4-BE49-F238E27FC236}">
              <a16:creationId xmlns:a16="http://schemas.microsoft.com/office/drawing/2014/main" xmlns="" id="{00000000-0008-0000-0300-0000B0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5" name="Rectangle 868">
          <a:extLst>
            <a:ext uri="{FF2B5EF4-FFF2-40B4-BE49-F238E27FC236}">
              <a16:creationId xmlns:a16="http://schemas.microsoft.com/office/drawing/2014/main" xmlns="" id="{00000000-0008-0000-0300-0000B1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6" name="Rectangle 869">
          <a:extLst>
            <a:ext uri="{FF2B5EF4-FFF2-40B4-BE49-F238E27FC236}">
              <a16:creationId xmlns:a16="http://schemas.microsoft.com/office/drawing/2014/main" xmlns="" id="{00000000-0008-0000-0300-0000B2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7" name="Rectangle 870">
          <a:extLst>
            <a:ext uri="{FF2B5EF4-FFF2-40B4-BE49-F238E27FC236}">
              <a16:creationId xmlns:a16="http://schemas.microsoft.com/office/drawing/2014/main" xmlns="" id="{00000000-0008-0000-0300-0000B3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8" name="Rectangle 871">
          <a:extLst>
            <a:ext uri="{FF2B5EF4-FFF2-40B4-BE49-F238E27FC236}">
              <a16:creationId xmlns:a16="http://schemas.microsoft.com/office/drawing/2014/main" xmlns="" id="{00000000-0008-0000-0300-0000B4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9" name="Rectangle 872">
          <a:extLst>
            <a:ext uri="{FF2B5EF4-FFF2-40B4-BE49-F238E27FC236}">
              <a16:creationId xmlns:a16="http://schemas.microsoft.com/office/drawing/2014/main" xmlns="" id="{00000000-0008-0000-0300-0000B5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10" name="Rectangle 873">
          <a:extLst>
            <a:ext uri="{FF2B5EF4-FFF2-40B4-BE49-F238E27FC236}">
              <a16:creationId xmlns:a16="http://schemas.microsoft.com/office/drawing/2014/main" xmlns="" id="{00000000-0008-0000-0300-0000B6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1" name="Rectangle 874">
          <a:extLst>
            <a:ext uri="{FF2B5EF4-FFF2-40B4-BE49-F238E27FC236}">
              <a16:creationId xmlns:a16="http://schemas.microsoft.com/office/drawing/2014/main" xmlns="" id="{00000000-0008-0000-0300-0000B7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2" name="Rectangle 875">
          <a:extLst>
            <a:ext uri="{FF2B5EF4-FFF2-40B4-BE49-F238E27FC236}">
              <a16:creationId xmlns:a16="http://schemas.microsoft.com/office/drawing/2014/main" xmlns="" id="{00000000-0008-0000-0300-0000B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3" name="Rectangle 876">
          <a:extLst>
            <a:ext uri="{FF2B5EF4-FFF2-40B4-BE49-F238E27FC236}">
              <a16:creationId xmlns:a16="http://schemas.microsoft.com/office/drawing/2014/main" xmlns="" id="{00000000-0008-0000-0300-0000B9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4" name="Rectangle 877">
          <a:extLst>
            <a:ext uri="{FF2B5EF4-FFF2-40B4-BE49-F238E27FC236}">
              <a16:creationId xmlns:a16="http://schemas.microsoft.com/office/drawing/2014/main" xmlns="" id="{00000000-0008-0000-0300-0000BA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5" name="Rectangle 878">
          <a:extLst>
            <a:ext uri="{FF2B5EF4-FFF2-40B4-BE49-F238E27FC236}">
              <a16:creationId xmlns:a16="http://schemas.microsoft.com/office/drawing/2014/main" xmlns="" id="{00000000-0008-0000-0300-0000BB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6" name="Rectangle 879">
          <a:extLst>
            <a:ext uri="{FF2B5EF4-FFF2-40B4-BE49-F238E27FC236}">
              <a16:creationId xmlns:a16="http://schemas.microsoft.com/office/drawing/2014/main" xmlns="" id="{00000000-0008-0000-0300-0000BC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7" name="Rectangle 880">
          <a:extLst>
            <a:ext uri="{FF2B5EF4-FFF2-40B4-BE49-F238E27FC236}">
              <a16:creationId xmlns:a16="http://schemas.microsoft.com/office/drawing/2014/main" xmlns="" id="{00000000-0008-0000-0300-0000BD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8" name="Rectangle 881">
          <a:extLst>
            <a:ext uri="{FF2B5EF4-FFF2-40B4-BE49-F238E27FC236}">
              <a16:creationId xmlns:a16="http://schemas.microsoft.com/office/drawing/2014/main" xmlns="" id="{00000000-0008-0000-0300-0000BE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9" name="Rectangle 882">
          <a:extLst>
            <a:ext uri="{FF2B5EF4-FFF2-40B4-BE49-F238E27FC236}">
              <a16:creationId xmlns:a16="http://schemas.microsoft.com/office/drawing/2014/main" xmlns="" id="{00000000-0008-0000-0300-0000BF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0" name="Rectangle 883">
          <a:extLst>
            <a:ext uri="{FF2B5EF4-FFF2-40B4-BE49-F238E27FC236}">
              <a16:creationId xmlns:a16="http://schemas.microsoft.com/office/drawing/2014/main" xmlns="" id="{00000000-0008-0000-0300-0000C0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1" name="Rectangle 884">
          <a:extLst>
            <a:ext uri="{FF2B5EF4-FFF2-40B4-BE49-F238E27FC236}">
              <a16:creationId xmlns:a16="http://schemas.microsoft.com/office/drawing/2014/main" xmlns="" id="{00000000-0008-0000-0300-0000C1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2" name="Rectangle 885">
          <a:extLst>
            <a:ext uri="{FF2B5EF4-FFF2-40B4-BE49-F238E27FC236}">
              <a16:creationId xmlns:a16="http://schemas.microsoft.com/office/drawing/2014/main" xmlns="" id="{00000000-0008-0000-0300-0000C2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3" name="Rectangle 886">
          <a:extLst>
            <a:ext uri="{FF2B5EF4-FFF2-40B4-BE49-F238E27FC236}">
              <a16:creationId xmlns:a16="http://schemas.microsoft.com/office/drawing/2014/main" xmlns="" id="{00000000-0008-0000-0300-0000C3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4" name="Rectangle 887">
          <a:extLst>
            <a:ext uri="{FF2B5EF4-FFF2-40B4-BE49-F238E27FC236}">
              <a16:creationId xmlns:a16="http://schemas.microsoft.com/office/drawing/2014/main" xmlns="" id="{00000000-0008-0000-0300-0000C4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5" name="Rectangle 888">
          <a:extLst>
            <a:ext uri="{FF2B5EF4-FFF2-40B4-BE49-F238E27FC236}">
              <a16:creationId xmlns:a16="http://schemas.microsoft.com/office/drawing/2014/main" xmlns="" id="{00000000-0008-0000-0300-0000C5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6" name="Rectangle 889">
          <a:extLst>
            <a:ext uri="{FF2B5EF4-FFF2-40B4-BE49-F238E27FC236}">
              <a16:creationId xmlns:a16="http://schemas.microsoft.com/office/drawing/2014/main" xmlns="" id="{00000000-0008-0000-0300-0000C6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7" name="Rectangle 890">
          <a:extLst>
            <a:ext uri="{FF2B5EF4-FFF2-40B4-BE49-F238E27FC236}">
              <a16:creationId xmlns:a16="http://schemas.microsoft.com/office/drawing/2014/main" xmlns="" id="{00000000-0008-0000-0300-0000C7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8" name="Rectangle 891">
          <a:extLst>
            <a:ext uri="{FF2B5EF4-FFF2-40B4-BE49-F238E27FC236}">
              <a16:creationId xmlns:a16="http://schemas.microsoft.com/office/drawing/2014/main" xmlns="" id="{00000000-0008-0000-0300-0000C8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9" name="Rectangle 892">
          <a:extLst>
            <a:ext uri="{FF2B5EF4-FFF2-40B4-BE49-F238E27FC236}">
              <a16:creationId xmlns:a16="http://schemas.microsoft.com/office/drawing/2014/main" xmlns="" id="{00000000-0008-0000-0300-0000C9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0" name="Rectangle 893">
          <a:extLst>
            <a:ext uri="{FF2B5EF4-FFF2-40B4-BE49-F238E27FC236}">
              <a16:creationId xmlns:a16="http://schemas.microsoft.com/office/drawing/2014/main" xmlns="" id="{00000000-0008-0000-0300-0000CA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1" name="Rectangle 894">
          <a:extLst>
            <a:ext uri="{FF2B5EF4-FFF2-40B4-BE49-F238E27FC236}">
              <a16:creationId xmlns:a16="http://schemas.microsoft.com/office/drawing/2014/main" xmlns="" id="{00000000-0008-0000-0300-0000CB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2" name="Rectangle 895">
          <a:extLst>
            <a:ext uri="{FF2B5EF4-FFF2-40B4-BE49-F238E27FC236}">
              <a16:creationId xmlns:a16="http://schemas.microsoft.com/office/drawing/2014/main" xmlns="" id="{00000000-0008-0000-0300-0000CC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3" name="Rectangle 896">
          <a:extLst>
            <a:ext uri="{FF2B5EF4-FFF2-40B4-BE49-F238E27FC236}">
              <a16:creationId xmlns:a16="http://schemas.microsoft.com/office/drawing/2014/main" xmlns="" id="{00000000-0008-0000-0300-0000CD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4" name="Rectangle 897">
          <a:extLst>
            <a:ext uri="{FF2B5EF4-FFF2-40B4-BE49-F238E27FC236}">
              <a16:creationId xmlns:a16="http://schemas.microsoft.com/office/drawing/2014/main" xmlns="" id="{00000000-0008-0000-0300-0000CE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5" name="Rectangle 898">
          <a:extLst>
            <a:ext uri="{FF2B5EF4-FFF2-40B4-BE49-F238E27FC236}">
              <a16:creationId xmlns:a16="http://schemas.microsoft.com/office/drawing/2014/main" xmlns="" id="{00000000-0008-0000-0300-0000CF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6" name="Rectangle 899">
          <a:extLst>
            <a:ext uri="{FF2B5EF4-FFF2-40B4-BE49-F238E27FC236}">
              <a16:creationId xmlns:a16="http://schemas.microsoft.com/office/drawing/2014/main" xmlns="" id="{00000000-0008-0000-0300-0000D0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7" name="Rectangle 900">
          <a:extLst>
            <a:ext uri="{FF2B5EF4-FFF2-40B4-BE49-F238E27FC236}">
              <a16:creationId xmlns:a16="http://schemas.microsoft.com/office/drawing/2014/main" xmlns="" id="{00000000-0008-0000-0300-0000D1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8" name="Rectangle 901">
          <a:extLst>
            <a:ext uri="{FF2B5EF4-FFF2-40B4-BE49-F238E27FC236}">
              <a16:creationId xmlns:a16="http://schemas.microsoft.com/office/drawing/2014/main" xmlns="" id="{00000000-0008-0000-0300-0000D2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9" name="Rectangle 902">
          <a:extLst>
            <a:ext uri="{FF2B5EF4-FFF2-40B4-BE49-F238E27FC236}">
              <a16:creationId xmlns:a16="http://schemas.microsoft.com/office/drawing/2014/main" xmlns="" id="{00000000-0008-0000-0300-0000D3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0" name="Rectangle 903">
          <a:extLst>
            <a:ext uri="{FF2B5EF4-FFF2-40B4-BE49-F238E27FC236}">
              <a16:creationId xmlns:a16="http://schemas.microsoft.com/office/drawing/2014/main" xmlns="" id="{00000000-0008-0000-0300-0000D4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41" name="Rectangle 904">
          <a:extLst>
            <a:ext uri="{FF2B5EF4-FFF2-40B4-BE49-F238E27FC236}">
              <a16:creationId xmlns:a16="http://schemas.microsoft.com/office/drawing/2014/main" xmlns="" id="{00000000-0008-0000-0300-0000D5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2" name="Rectangle 905">
          <a:extLst>
            <a:ext uri="{FF2B5EF4-FFF2-40B4-BE49-F238E27FC236}">
              <a16:creationId xmlns:a16="http://schemas.microsoft.com/office/drawing/2014/main" xmlns="" id="{00000000-0008-0000-0300-0000D6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3" name="Rectangle 906">
          <a:extLst>
            <a:ext uri="{FF2B5EF4-FFF2-40B4-BE49-F238E27FC236}">
              <a16:creationId xmlns:a16="http://schemas.microsoft.com/office/drawing/2014/main" xmlns="" id="{00000000-0008-0000-0300-0000D7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4" name="Rectangle 907">
          <a:extLst>
            <a:ext uri="{FF2B5EF4-FFF2-40B4-BE49-F238E27FC236}">
              <a16:creationId xmlns:a16="http://schemas.microsoft.com/office/drawing/2014/main" xmlns="" id="{00000000-0008-0000-0300-0000D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5" name="Rectangle 908">
          <a:extLst>
            <a:ext uri="{FF2B5EF4-FFF2-40B4-BE49-F238E27FC236}">
              <a16:creationId xmlns:a16="http://schemas.microsoft.com/office/drawing/2014/main" xmlns="" id="{00000000-0008-0000-0300-0000D9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6" name="Rectangle 909">
          <a:extLst>
            <a:ext uri="{FF2B5EF4-FFF2-40B4-BE49-F238E27FC236}">
              <a16:creationId xmlns:a16="http://schemas.microsoft.com/office/drawing/2014/main" xmlns="" id="{00000000-0008-0000-0300-0000DA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7" name="Rectangle 910">
          <a:extLst>
            <a:ext uri="{FF2B5EF4-FFF2-40B4-BE49-F238E27FC236}">
              <a16:creationId xmlns:a16="http://schemas.microsoft.com/office/drawing/2014/main" xmlns="" id="{00000000-0008-0000-0300-0000DB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8" name="Rectangle 911">
          <a:extLst>
            <a:ext uri="{FF2B5EF4-FFF2-40B4-BE49-F238E27FC236}">
              <a16:creationId xmlns:a16="http://schemas.microsoft.com/office/drawing/2014/main" xmlns="" id="{00000000-0008-0000-0300-0000DC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9" name="Rectangle 912">
          <a:extLst>
            <a:ext uri="{FF2B5EF4-FFF2-40B4-BE49-F238E27FC236}">
              <a16:creationId xmlns:a16="http://schemas.microsoft.com/office/drawing/2014/main" xmlns="" id="{00000000-0008-0000-0300-0000DD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0" name="Rectangle 913">
          <a:extLst>
            <a:ext uri="{FF2B5EF4-FFF2-40B4-BE49-F238E27FC236}">
              <a16:creationId xmlns:a16="http://schemas.microsoft.com/office/drawing/2014/main" xmlns="" id="{00000000-0008-0000-0300-0000DE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1" name="Rectangle 914">
          <a:extLst>
            <a:ext uri="{FF2B5EF4-FFF2-40B4-BE49-F238E27FC236}">
              <a16:creationId xmlns:a16="http://schemas.microsoft.com/office/drawing/2014/main" xmlns="" id="{00000000-0008-0000-0300-0000DF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2" name="Rectangle 915">
          <a:extLst>
            <a:ext uri="{FF2B5EF4-FFF2-40B4-BE49-F238E27FC236}">
              <a16:creationId xmlns:a16="http://schemas.microsoft.com/office/drawing/2014/main" xmlns="" id="{00000000-0008-0000-0300-0000E0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3" name="Rectangle 916">
          <a:extLst>
            <a:ext uri="{FF2B5EF4-FFF2-40B4-BE49-F238E27FC236}">
              <a16:creationId xmlns:a16="http://schemas.microsoft.com/office/drawing/2014/main" xmlns="" id="{00000000-0008-0000-0300-0000E1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4" name="Rectangle 917">
          <a:extLst>
            <a:ext uri="{FF2B5EF4-FFF2-40B4-BE49-F238E27FC236}">
              <a16:creationId xmlns:a16="http://schemas.microsoft.com/office/drawing/2014/main" xmlns="" id="{00000000-0008-0000-0300-0000E2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5" name="Rectangle 918">
          <a:extLst>
            <a:ext uri="{FF2B5EF4-FFF2-40B4-BE49-F238E27FC236}">
              <a16:creationId xmlns:a16="http://schemas.microsoft.com/office/drawing/2014/main" xmlns="" id="{00000000-0008-0000-0300-0000E3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6" name="Rectangle 919">
          <a:extLst>
            <a:ext uri="{FF2B5EF4-FFF2-40B4-BE49-F238E27FC236}">
              <a16:creationId xmlns:a16="http://schemas.microsoft.com/office/drawing/2014/main" xmlns="" id="{00000000-0008-0000-0300-0000E4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57" name="Rectangle 920">
          <a:extLst>
            <a:ext uri="{FF2B5EF4-FFF2-40B4-BE49-F238E27FC236}">
              <a16:creationId xmlns:a16="http://schemas.microsoft.com/office/drawing/2014/main" xmlns="" id="{00000000-0008-0000-0300-0000E5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58" name="Rectangle 921">
          <a:extLst>
            <a:ext uri="{FF2B5EF4-FFF2-40B4-BE49-F238E27FC236}">
              <a16:creationId xmlns:a16="http://schemas.microsoft.com/office/drawing/2014/main" xmlns="" id="{00000000-0008-0000-0300-0000E6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59" name="Rectangle 922">
          <a:extLst>
            <a:ext uri="{FF2B5EF4-FFF2-40B4-BE49-F238E27FC236}">
              <a16:creationId xmlns:a16="http://schemas.microsoft.com/office/drawing/2014/main" xmlns="" id="{00000000-0008-0000-0300-0000E7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0" name="Rectangle 923">
          <a:extLst>
            <a:ext uri="{FF2B5EF4-FFF2-40B4-BE49-F238E27FC236}">
              <a16:creationId xmlns:a16="http://schemas.microsoft.com/office/drawing/2014/main" xmlns="" id="{00000000-0008-0000-0300-0000E8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1" name="Rectangle 924">
          <a:extLst>
            <a:ext uri="{FF2B5EF4-FFF2-40B4-BE49-F238E27FC236}">
              <a16:creationId xmlns:a16="http://schemas.microsoft.com/office/drawing/2014/main" xmlns="" id="{00000000-0008-0000-0300-0000E9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2" name="Rectangle 925">
          <a:extLst>
            <a:ext uri="{FF2B5EF4-FFF2-40B4-BE49-F238E27FC236}">
              <a16:creationId xmlns:a16="http://schemas.microsoft.com/office/drawing/2014/main" xmlns="" id="{00000000-0008-0000-0300-0000EA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3" name="Rectangle 926">
          <a:extLst>
            <a:ext uri="{FF2B5EF4-FFF2-40B4-BE49-F238E27FC236}">
              <a16:creationId xmlns:a16="http://schemas.microsoft.com/office/drawing/2014/main" xmlns="" id="{00000000-0008-0000-0300-0000EB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4" name="Rectangle 927">
          <a:extLst>
            <a:ext uri="{FF2B5EF4-FFF2-40B4-BE49-F238E27FC236}">
              <a16:creationId xmlns:a16="http://schemas.microsoft.com/office/drawing/2014/main" xmlns="" id="{00000000-0008-0000-0300-0000EC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5" name="Rectangle 928">
          <a:extLst>
            <a:ext uri="{FF2B5EF4-FFF2-40B4-BE49-F238E27FC236}">
              <a16:creationId xmlns:a16="http://schemas.microsoft.com/office/drawing/2014/main" xmlns="" id="{00000000-0008-0000-0300-0000ED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6" name="Rectangle 929">
          <a:extLst>
            <a:ext uri="{FF2B5EF4-FFF2-40B4-BE49-F238E27FC236}">
              <a16:creationId xmlns:a16="http://schemas.microsoft.com/office/drawing/2014/main" xmlns="" id="{00000000-0008-0000-0300-0000EE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7" name="Rectangle 930">
          <a:extLst>
            <a:ext uri="{FF2B5EF4-FFF2-40B4-BE49-F238E27FC236}">
              <a16:creationId xmlns:a16="http://schemas.microsoft.com/office/drawing/2014/main" xmlns="" id="{00000000-0008-0000-0300-0000EF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8" name="Rectangle 931">
          <a:extLst>
            <a:ext uri="{FF2B5EF4-FFF2-40B4-BE49-F238E27FC236}">
              <a16:creationId xmlns:a16="http://schemas.microsoft.com/office/drawing/2014/main" xmlns="" id="{00000000-0008-0000-0300-0000F0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9" name="Rectangle 932">
          <a:extLst>
            <a:ext uri="{FF2B5EF4-FFF2-40B4-BE49-F238E27FC236}">
              <a16:creationId xmlns:a16="http://schemas.microsoft.com/office/drawing/2014/main" xmlns="" id="{00000000-0008-0000-0300-0000F1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0" name="Rectangle 933">
          <a:extLst>
            <a:ext uri="{FF2B5EF4-FFF2-40B4-BE49-F238E27FC236}">
              <a16:creationId xmlns:a16="http://schemas.microsoft.com/office/drawing/2014/main" xmlns="" id="{00000000-0008-0000-0300-0000F2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1" name="Rectangle 934">
          <a:extLst>
            <a:ext uri="{FF2B5EF4-FFF2-40B4-BE49-F238E27FC236}">
              <a16:creationId xmlns:a16="http://schemas.microsoft.com/office/drawing/2014/main" xmlns="" id="{00000000-0008-0000-0300-0000F3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2" name="Rectangle 935">
          <a:extLst>
            <a:ext uri="{FF2B5EF4-FFF2-40B4-BE49-F238E27FC236}">
              <a16:creationId xmlns:a16="http://schemas.microsoft.com/office/drawing/2014/main" xmlns="" id="{00000000-0008-0000-0300-0000F4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3" name="Rectangle 936">
          <a:extLst>
            <a:ext uri="{FF2B5EF4-FFF2-40B4-BE49-F238E27FC236}">
              <a16:creationId xmlns:a16="http://schemas.microsoft.com/office/drawing/2014/main" xmlns="" id="{00000000-0008-0000-0300-0000F5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4" name="Rectangle 937">
          <a:extLst>
            <a:ext uri="{FF2B5EF4-FFF2-40B4-BE49-F238E27FC236}">
              <a16:creationId xmlns:a16="http://schemas.microsoft.com/office/drawing/2014/main" xmlns="" id="{00000000-0008-0000-0300-0000F6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5" name="Rectangle 938">
          <a:extLst>
            <a:ext uri="{FF2B5EF4-FFF2-40B4-BE49-F238E27FC236}">
              <a16:creationId xmlns:a16="http://schemas.microsoft.com/office/drawing/2014/main" xmlns="" id="{00000000-0008-0000-0300-0000F7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6" name="Rectangle 939">
          <a:extLst>
            <a:ext uri="{FF2B5EF4-FFF2-40B4-BE49-F238E27FC236}">
              <a16:creationId xmlns:a16="http://schemas.microsoft.com/office/drawing/2014/main" xmlns="" id="{00000000-0008-0000-0300-0000F8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7" name="Rectangle 940">
          <a:extLst>
            <a:ext uri="{FF2B5EF4-FFF2-40B4-BE49-F238E27FC236}">
              <a16:creationId xmlns:a16="http://schemas.microsoft.com/office/drawing/2014/main" xmlns="" id="{00000000-0008-0000-0300-0000F9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8" name="Rectangle 941">
          <a:extLst>
            <a:ext uri="{FF2B5EF4-FFF2-40B4-BE49-F238E27FC236}">
              <a16:creationId xmlns:a16="http://schemas.microsoft.com/office/drawing/2014/main" xmlns="" id="{00000000-0008-0000-0300-0000FA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9" name="Rectangle 942">
          <a:extLst>
            <a:ext uri="{FF2B5EF4-FFF2-40B4-BE49-F238E27FC236}">
              <a16:creationId xmlns:a16="http://schemas.microsoft.com/office/drawing/2014/main" xmlns="" id="{00000000-0008-0000-0300-0000FB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0" name="Rectangle 943">
          <a:extLst>
            <a:ext uri="{FF2B5EF4-FFF2-40B4-BE49-F238E27FC236}">
              <a16:creationId xmlns:a16="http://schemas.microsoft.com/office/drawing/2014/main" xmlns="" id="{00000000-0008-0000-0300-0000FC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1" name="Rectangle 944">
          <a:extLst>
            <a:ext uri="{FF2B5EF4-FFF2-40B4-BE49-F238E27FC236}">
              <a16:creationId xmlns:a16="http://schemas.microsoft.com/office/drawing/2014/main" xmlns="" id="{00000000-0008-0000-0300-0000FD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2" name="Rectangle 945">
          <a:extLst>
            <a:ext uri="{FF2B5EF4-FFF2-40B4-BE49-F238E27FC236}">
              <a16:creationId xmlns:a16="http://schemas.microsoft.com/office/drawing/2014/main" xmlns="" id="{00000000-0008-0000-0300-0000FE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3" name="Rectangle 946">
          <a:extLst>
            <a:ext uri="{FF2B5EF4-FFF2-40B4-BE49-F238E27FC236}">
              <a16:creationId xmlns:a16="http://schemas.microsoft.com/office/drawing/2014/main" xmlns="" id="{00000000-0008-0000-0300-0000FF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4" name="Rectangle 947">
          <a:extLst>
            <a:ext uri="{FF2B5EF4-FFF2-40B4-BE49-F238E27FC236}">
              <a16:creationId xmlns:a16="http://schemas.microsoft.com/office/drawing/2014/main" xmlns="" id="{00000000-0008-0000-0300-000000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5" name="Rectangle 948">
          <a:extLst>
            <a:ext uri="{FF2B5EF4-FFF2-40B4-BE49-F238E27FC236}">
              <a16:creationId xmlns:a16="http://schemas.microsoft.com/office/drawing/2014/main" xmlns="" id="{00000000-0008-0000-0300-000001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6" name="Rectangle 949">
          <a:extLst>
            <a:ext uri="{FF2B5EF4-FFF2-40B4-BE49-F238E27FC236}">
              <a16:creationId xmlns:a16="http://schemas.microsoft.com/office/drawing/2014/main" xmlns="" id="{00000000-0008-0000-0300-000002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7" name="Rectangle 950">
          <a:extLst>
            <a:ext uri="{FF2B5EF4-FFF2-40B4-BE49-F238E27FC236}">
              <a16:creationId xmlns:a16="http://schemas.microsoft.com/office/drawing/2014/main" xmlns="" id="{00000000-0008-0000-0300-000003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8" name="Rectangle 951">
          <a:extLst>
            <a:ext uri="{FF2B5EF4-FFF2-40B4-BE49-F238E27FC236}">
              <a16:creationId xmlns:a16="http://schemas.microsoft.com/office/drawing/2014/main" xmlns="" id="{00000000-0008-0000-0300-000004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9" name="Rectangle 952">
          <a:extLst>
            <a:ext uri="{FF2B5EF4-FFF2-40B4-BE49-F238E27FC236}">
              <a16:creationId xmlns:a16="http://schemas.microsoft.com/office/drawing/2014/main" xmlns="" id="{00000000-0008-0000-0300-000005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90" name="Rectangle 953">
          <a:extLst>
            <a:ext uri="{FF2B5EF4-FFF2-40B4-BE49-F238E27FC236}">
              <a16:creationId xmlns:a16="http://schemas.microsoft.com/office/drawing/2014/main" xmlns="" id="{00000000-0008-0000-0300-000006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1" name="Rectangle 954">
          <a:extLst>
            <a:ext uri="{FF2B5EF4-FFF2-40B4-BE49-F238E27FC236}">
              <a16:creationId xmlns:a16="http://schemas.microsoft.com/office/drawing/2014/main" xmlns="" id="{00000000-0008-0000-0300-000007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2" name="Rectangle 955">
          <a:extLst>
            <a:ext uri="{FF2B5EF4-FFF2-40B4-BE49-F238E27FC236}">
              <a16:creationId xmlns:a16="http://schemas.microsoft.com/office/drawing/2014/main" xmlns="" id="{00000000-0008-0000-0300-000008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3" name="Rectangle 956">
          <a:extLst>
            <a:ext uri="{FF2B5EF4-FFF2-40B4-BE49-F238E27FC236}">
              <a16:creationId xmlns:a16="http://schemas.microsoft.com/office/drawing/2014/main" xmlns="" id="{00000000-0008-0000-0300-000009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4" name="Rectangle 957">
          <a:extLst>
            <a:ext uri="{FF2B5EF4-FFF2-40B4-BE49-F238E27FC236}">
              <a16:creationId xmlns:a16="http://schemas.microsoft.com/office/drawing/2014/main" xmlns="" id="{00000000-0008-0000-0300-00000A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5" name="Rectangle 958">
          <a:extLst>
            <a:ext uri="{FF2B5EF4-FFF2-40B4-BE49-F238E27FC236}">
              <a16:creationId xmlns:a16="http://schemas.microsoft.com/office/drawing/2014/main" xmlns="" id="{00000000-0008-0000-0300-00000B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6" name="Rectangle 959">
          <a:extLst>
            <a:ext uri="{FF2B5EF4-FFF2-40B4-BE49-F238E27FC236}">
              <a16:creationId xmlns:a16="http://schemas.microsoft.com/office/drawing/2014/main" xmlns="" id="{00000000-0008-0000-0300-00000C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7" name="Rectangle 960">
          <a:extLst>
            <a:ext uri="{FF2B5EF4-FFF2-40B4-BE49-F238E27FC236}">
              <a16:creationId xmlns:a16="http://schemas.microsoft.com/office/drawing/2014/main" xmlns="" id="{00000000-0008-0000-0300-00000D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8" name="Rectangle 961">
          <a:extLst>
            <a:ext uri="{FF2B5EF4-FFF2-40B4-BE49-F238E27FC236}">
              <a16:creationId xmlns:a16="http://schemas.microsoft.com/office/drawing/2014/main" xmlns="" id="{00000000-0008-0000-0300-00000E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9" name="Rectangle 962">
          <a:extLst>
            <a:ext uri="{FF2B5EF4-FFF2-40B4-BE49-F238E27FC236}">
              <a16:creationId xmlns:a16="http://schemas.microsoft.com/office/drawing/2014/main" xmlns="" id="{00000000-0008-0000-0300-00000F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0" name="Rectangle 963">
          <a:extLst>
            <a:ext uri="{FF2B5EF4-FFF2-40B4-BE49-F238E27FC236}">
              <a16:creationId xmlns:a16="http://schemas.microsoft.com/office/drawing/2014/main" xmlns="" id="{00000000-0008-0000-0300-000010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1" name="Rectangle 964">
          <a:extLst>
            <a:ext uri="{FF2B5EF4-FFF2-40B4-BE49-F238E27FC236}">
              <a16:creationId xmlns:a16="http://schemas.microsoft.com/office/drawing/2014/main" xmlns="" id="{00000000-0008-0000-0300-000011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2" name="Rectangle 965">
          <a:extLst>
            <a:ext uri="{FF2B5EF4-FFF2-40B4-BE49-F238E27FC236}">
              <a16:creationId xmlns:a16="http://schemas.microsoft.com/office/drawing/2014/main" xmlns="" id="{00000000-0008-0000-0300-000012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3" name="Rectangle 966">
          <a:extLst>
            <a:ext uri="{FF2B5EF4-FFF2-40B4-BE49-F238E27FC236}">
              <a16:creationId xmlns:a16="http://schemas.microsoft.com/office/drawing/2014/main" xmlns="" id="{00000000-0008-0000-0300-000013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4" name="Rectangle 967">
          <a:extLst>
            <a:ext uri="{FF2B5EF4-FFF2-40B4-BE49-F238E27FC236}">
              <a16:creationId xmlns:a16="http://schemas.microsoft.com/office/drawing/2014/main" xmlns="" id="{00000000-0008-0000-0300-00001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5" name="Rectangle 968">
          <a:extLst>
            <a:ext uri="{FF2B5EF4-FFF2-40B4-BE49-F238E27FC236}">
              <a16:creationId xmlns:a16="http://schemas.microsoft.com/office/drawing/2014/main" xmlns="" id="{00000000-0008-0000-0300-000015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6" name="Rectangle 969">
          <a:extLst>
            <a:ext uri="{FF2B5EF4-FFF2-40B4-BE49-F238E27FC236}">
              <a16:creationId xmlns:a16="http://schemas.microsoft.com/office/drawing/2014/main" xmlns="" id="{00000000-0008-0000-0300-000016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7" name="Rectangle 970">
          <a:extLst>
            <a:ext uri="{FF2B5EF4-FFF2-40B4-BE49-F238E27FC236}">
              <a16:creationId xmlns:a16="http://schemas.microsoft.com/office/drawing/2014/main" xmlns="" id="{00000000-0008-0000-0300-000017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8" name="Rectangle 971">
          <a:extLst>
            <a:ext uri="{FF2B5EF4-FFF2-40B4-BE49-F238E27FC236}">
              <a16:creationId xmlns:a16="http://schemas.microsoft.com/office/drawing/2014/main" xmlns="" id="{00000000-0008-0000-0300-000018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9" name="Rectangle 972">
          <a:extLst>
            <a:ext uri="{FF2B5EF4-FFF2-40B4-BE49-F238E27FC236}">
              <a16:creationId xmlns:a16="http://schemas.microsoft.com/office/drawing/2014/main" xmlns="" id="{00000000-0008-0000-0300-000019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0" name="Rectangle 973">
          <a:extLst>
            <a:ext uri="{FF2B5EF4-FFF2-40B4-BE49-F238E27FC236}">
              <a16:creationId xmlns:a16="http://schemas.microsoft.com/office/drawing/2014/main" xmlns="" id="{00000000-0008-0000-0300-00001A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1" name="Rectangle 974">
          <a:extLst>
            <a:ext uri="{FF2B5EF4-FFF2-40B4-BE49-F238E27FC236}">
              <a16:creationId xmlns:a16="http://schemas.microsoft.com/office/drawing/2014/main" xmlns="" id="{00000000-0008-0000-0300-00001B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2" name="Rectangle 975">
          <a:extLst>
            <a:ext uri="{FF2B5EF4-FFF2-40B4-BE49-F238E27FC236}">
              <a16:creationId xmlns:a16="http://schemas.microsoft.com/office/drawing/2014/main" xmlns="" id="{00000000-0008-0000-0300-00001C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3" name="Rectangle 976">
          <a:extLst>
            <a:ext uri="{FF2B5EF4-FFF2-40B4-BE49-F238E27FC236}">
              <a16:creationId xmlns:a16="http://schemas.microsoft.com/office/drawing/2014/main" xmlns="" id="{00000000-0008-0000-0300-00001D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4" name="Rectangle 977">
          <a:extLst>
            <a:ext uri="{FF2B5EF4-FFF2-40B4-BE49-F238E27FC236}">
              <a16:creationId xmlns:a16="http://schemas.microsoft.com/office/drawing/2014/main" xmlns="" id="{00000000-0008-0000-0300-00001E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5" name="Rectangle 978">
          <a:extLst>
            <a:ext uri="{FF2B5EF4-FFF2-40B4-BE49-F238E27FC236}">
              <a16:creationId xmlns:a16="http://schemas.microsoft.com/office/drawing/2014/main" xmlns="" id="{00000000-0008-0000-0300-00001F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6" name="Rectangle 979">
          <a:extLst>
            <a:ext uri="{FF2B5EF4-FFF2-40B4-BE49-F238E27FC236}">
              <a16:creationId xmlns:a16="http://schemas.microsoft.com/office/drawing/2014/main" xmlns="" id="{00000000-0008-0000-0300-000020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7" name="Rectangle 980">
          <a:extLst>
            <a:ext uri="{FF2B5EF4-FFF2-40B4-BE49-F238E27FC236}">
              <a16:creationId xmlns:a16="http://schemas.microsoft.com/office/drawing/2014/main" xmlns="" id="{00000000-0008-0000-0300-000021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8" name="Rectangle 981">
          <a:extLst>
            <a:ext uri="{FF2B5EF4-FFF2-40B4-BE49-F238E27FC236}">
              <a16:creationId xmlns:a16="http://schemas.microsoft.com/office/drawing/2014/main" xmlns="" id="{00000000-0008-0000-0300-000022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9" name="Rectangle 982">
          <a:extLst>
            <a:ext uri="{FF2B5EF4-FFF2-40B4-BE49-F238E27FC236}">
              <a16:creationId xmlns:a16="http://schemas.microsoft.com/office/drawing/2014/main" xmlns="" id="{00000000-0008-0000-0300-000023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0" name="Rectangle 983">
          <a:extLst>
            <a:ext uri="{FF2B5EF4-FFF2-40B4-BE49-F238E27FC236}">
              <a16:creationId xmlns:a16="http://schemas.microsoft.com/office/drawing/2014/main" xmlns="" id="{00000000-0008-0000-0300-000024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1" name="Rectangle 984">
          <a:extLst>
            <a:ext uri="{FF2B5EF4-FFF2-40B4-BE49-F238E27FC236}">
              <a16:creationId xmlns:a16="http://schemas.microsoft.com/office/drawing/2014/main" xmlns="" id="{00000000-0008-0000-0300-000025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2" name="Rectangle 985">
          <a:extLst>
            <a:ext uri="{FF2B5EF4-FFF2-40B4-BE49-F238E27FC236}">
              <a16:creationId xmlns:a16="http://schemas.microsoft.com/office/drawing/2014/main" xmlns="" id="{00000000-0008-0000-0300-000026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3" name="Rectangle 986">
          <a:extLst>
            <a:ext uri="{FF2B5EF4-FFF2-40B4-BE49-F238E27FC236}">
              <a16:creationId xmlns:a16="http://schemas.microsoft.com/office/drawing/2014/main" xmlns="" id="{00000000-0008-0000-0300-000027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4" name="Rectangle 987">
          <a:extLst>
            <a:ext uri="{FF2B5EF4-FFF2-40B4-BE49-F238E27FC236}">
              <a16:creationId xmlns:a16="http://schemas.microsoft.com/office/drawing/2014/main" xmlns="" id="{00000000-0008-0000-0300-000028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5" name="Rectangle 988">
          <a:extLst>
            <a:ext uri="{FF2B5EF4-FFF2-40B4-BE49-F238E27FC236}">
              <a16:creationId xmlns:a16="http://schemas.microsoft.com/office/drawing/2014/main" xmlns="" id="{00000000-0008-0000-0300-000029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6" name="Rectangle 989">
          <a:extLst>
            <a:ext uri="{FF2B5EF4-FFF2-40B4-BE49-F238E27FC236}">
              <a16:creationId xmlns:a16="http://schemas.microsoft.com/office/drawing/2014/main" xmlns="" id="{00000000-0008-0000-0300-00002A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7" name="Rectangle 990">
          <a:extLst>
            <a:ext uri="{FF2B5EF4-FFF2-40B4-BE49-F238E27FC236}">
              <a16:creationId xmlns:a16="http://schemas.microsoft.com/office/drawing/2014/main" xmlns="" id="{00000000-0008-0000-0300-00002B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8" name="Rectangle 991">
          <a:extLst>
            <a:ext uri="{FF2B5EF4-FFF2-40B4-BE49-F238E27FC236}">
              <a16:creationId xmlns:a16="http://schemas.microsoft.com/office/drawing/2014/main" xmlns="" id="{00000000-0008-0000-0300-00002C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9" name="Rectangle 992">
          <a:extLst>
            <a:ext uri="{FF2B5EF4-FFF2-40B4-BE49-F238E27FC236}">
              <a16:creationId xmlns:a16="http://schemas.microsoft.com/office/drawing/2014/main" xmlns="" id="{00000000-0008-0000-0300-00002D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0" name="Rectangle 993">
          <a:extLst>
            <a:ext uri="{FF2B5EF4-FFF2-40B4-BE49-F238E27FC236}">
              <a16:creationId xmlns:a16="http://schemas.microsoft.com/office/drawing/2014/main" xmlns="" id="{00000000-0008-0000-0300-00002E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1" name="Rectangle 994">
          <a:extLst>
            <a:ext uri="{FF2B5EF4-FFF2-40B4-BE49-F238E27FC236}">
              <a16:creationId xmlns:a16="http://schemas.microsoft.com/office/drawing/2014/main" xmlns="" id="{00000000-0008-0000-0300-00002F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2" name="Rectangle 995">
          <a:extLst>
            <a:ext uri="{FF2B5EF4-FFF2-40B4-BE49-F238E27FC236}">
              <a16:creationId xmlns:a16="http://schemas.microsoft.com/office/drawing/2014/main" xmlns="" id="{00000000-0008-0000-0300-000030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3" name="Rectangle 996">
          <a:extLst>
            <a:ext uri="{FF2B5EF4-FFF2-40B4-BE49-F238E27FC236}">
              <a16:creationId xmlns:a16="http://schemas.microsoft.com/office/drawing/2014/main" xmlns="" id="{00000000-0008-0000-0300-000031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4" name="Rectangle 997">
          <a:extLst>
            <a:ext uri="{FF2B5EF4-FFF2-40B4-BE49-F238E27FC236}">
              <a16:creationId xmlns:a16="http://schemas.microsoft.com/office/drawing/2014/main" xmlns="" id="{00000000-0008-0000-0300-000032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5" name="Rectangle 998">
          <a:extLst>
            <a:ext uri="{FF2B5EF4-FFF2-40B4-BE49-F238E27FC236}">
              <a16:creationId xmlns:a16="http://schemas.microsoft.com/office/drawing/2014/main" xmlns="" id="{00000000-0008-0000-0300-000033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6" name="Rectangle 999">
          <a:extLst>
            <a:ext uri="{FF2B5EF4-FFF2-40B4-BE49-F238E27FC236}">
              <a16:creationId xmlns:a16="http://schemas.microsoft.com/office/drawing/2014/main" xmlns="" id="{00000000-0008-0000-0300-00003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7" name="Rectangle 1000">
          <a:extLst>
            <a:ext uri="{FF2B5EF4-FFF2-40B4-BE49-F238E27FC236}">
              <a16:creationId xmlns:a16="http://schemas.microsoft.com/office/drawing/2014/main" xmlns="" id="{00000000-0008-0000-0300-000035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8" name="Rectangle 1001">
          <a:extLst>
            <a:ext uri="{FF2B5EF4-FFF2-40B4-BE49-F238E27FC236}">
              <a16:creationId xmlns:a16="http://schemas.microsoft.com/office/drawing/2014/main" xmlns="" id="{00000000-0008-0000-0300-000036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9" name="Rectangle 1002">
          <a:extLst>
            <a:ext uri="{FF2B5EF4-FFF2-40B4-BE49-F238E27FC236}">
              <a16:creationId xmlns:a16="http://schemas.microsoft.com/office/drawing/2014/main" xmlns="" id="{00000000-0008-0000-0300-000037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0" name="Rectangle 1003">
          <a:extLst>
            <a:ext uri="{FF2B5EF4-FFF2-40B4-BE49-F238E27FC236}">
              <a16:creationId xmlns:a16="http://schemas.microsoft.com/office/drawing/2014/main" xmlns="" id="{00000000-0008-0000-0300-000038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1" name="Rectangle 1004">
          <a:extLst>
            <a:ext uri="{FF2B5EF4-FFF2-40B4-BE49-F238E27FC236}">
              <a16:creationId xmlns:a16="http://schemas.microsoft.com/office/drawing/2014/main" xmlns="" id="{00000000-0008-0000-0300-000039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2" name="Rectangle 1005">
          <a:extLst>
            <a:ext uri="{FF2B5EF4-FFF2-40B4-BE49-F238E27FC236}">
              <a16:creationId xmlns:a16="http://schemas.microsoft.com/office/drawing/2014/main" xmlns="" id="{00000000-0008-0000-0300-00003A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3" name="Rectangle 1006">
          <a:extLst>
            <a:ext uri="{FF2B5EF4-FFF2-40B4-BE49-F238E27FC236}">
              <a16:creationId xmlns:a16="http://schemas.microsoft.com/office/drawing/2014/main" xmlns="" id="{00000000-0008-0000-0300-00003B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4" name="Rectangle 1007">
          <a:extLst>
            <a:ext uri="{FF2B5EF4-FFF2-40B4-BE49-F238E27FC236}">
              <a16:creationId xmlns:a16="http://schemas.microsoft.com/office/drawing/2014/main" xmlns="" id="{00000000-0008-0000-0300-00003C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5" name="Rectangle 1008">
          <a:extLst>
            <a:ext uri="{FF2B5EF4-FFF2-40B4-BE49-F238E27FC236}">
              <a16:creationId xmlns:a16="http://schemas.microsoft.com/office/drawing/2014/main" xmlns="" id="{00000000-0008-0000-0300-00003D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6" name="Rectangle 1009">
          <a:extLst>
            <a:ext uri="{FF2B5EF4-FFF2-40B4-BE49-F238E27FC236}">
              <a16:creationId xmlns:a16="http://schemas.microsoft.com/office/drawing/2014/main" xmlns="" id="{00000000-0008-0000-0300-00003E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7" name="Rectangle 1010">
          <a:extLst>
            <a:ext uri="{FF2B5EF4-FFF2-40B4-BE49-F238E27FC236}">
              <a16:creationId xmlns:a16="http://schemas.microsoft.com/office/drawing/2014/main" xmlns="" id="{00000000-0008-0000-0300-00003F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8" name="Rectangle 1011">
          <a:extLst>
            <a:ext uri="{FF2B5EF4-FFF2-40B4-BE49-F238E27FC236}">
              <a16:creationId xmlns:a16="http://schemas.microsoft.com/office/drawing/2014/main" xmlns="" id="{00000000-0008-0000-0300-000040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49" name="Rectangle 1012">
          <a:extLst>
            <a:ext uri="{FF2B5EF4-FFF2-40B4-BE49-F238E27FC236}">
              <a16:creationId xmlns:a16="http://schemas.microsoft.com/office/drawing/2014/main" xmlns="" id="{00000000-0008-0000-0300-00004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0" name="Rectangle 1013">
          <a:extLst>
            <a:ext uri="{FF2B5EF4-FFF2-40B4-BE49-F238E27FC236}">
              <a16:creationId xmlns:a16="http://schemas.microsoft.com/office/drawing/2014/main" xmlns="" id="{00000000-0008-0000-0300-00004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1" name="Rectangle 1014">
          <a:extLst>
            <a:ext uri="{FF2B5EF4-FFF2-40B4-BE49-F238E27FC236}">
              <a16:creationId xmlns:a16="http://schemas.microsoft.com/office/drawing/2014/main" xmlns="" id="{00000000-0008-0000-0300-00004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2" name="Rectangle 1015">
          <a:extLst>
            <a:ext uri="{FF2B5EF4-FFF2-40B4-BE49-F238E27FC236}">
              <a16:creationId xmlns:a16="http://schemas.microsoft.com/office/drawing/2014/main" xmlns="" id="{00000000-0008-0000-0300-00004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3" name="Rectangle 1016">
          <a:extLst>
            <a:ext uri="{FF2B5EF4-FFF2-40B4-BE49-F238E27FC236}">
              <a16:creationId xmlns:a16="http://schemas.microsoft.com/office/drawing/2014/main" xmlns="" id="{00000000-0008-0000-0300-00004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4" name="Rectangle 1017">
          <a:extLst>
            <a:ext uri="{FF2B5EF4-FFF2-40B4-BE49-F238E27FC236}">
              <a16:creationId xmlns:a16="http://schemas.microsoft.com/office/drawing/2014/main" xmlns="" id="{00000000-0008-0000-0300-00004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5" name="Rectangle 1018">
          <a:extLst>
            <a:ext uri="{FF2B5EF4-FFF2-40B4-BE49-F238E27FC236}">
              <a16:creationId xmlns:a16="http://schemas.microsoft.com/office/drawing/2014/main" xmlns="" id="{00000000-0008-0000-0300-00004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6" name="Rectangle 1019">
          <a:extLst>
            <a:ext uri="{FF2B5EF4-FFF2-40B4-BE49-F238E27FC236}">
              <a16:creationId xmlns:a16="http://schemas.microsoft.com/office/drawing/2014/main" xmlns="" id="{00000000-0008-0000-0300-00004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7" name="Rectangle 1020">
          <a:extLst>
            <a:ext uri="{FF2B5EF4-FFF2-40B4-BE49-F238E27FC236}">
              <a16:creationId xmlns:a16="http://schemas.microsoft.com/office/drawing/2014/main" xmlns="" id="{00000000-0008-0000-0300-00004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8" name="Rectangle 1021">
          <a:extLst>
            <a:ext uri="{FF2B5EF4-FFF2-40B4-BE49-F238E27FC236}">
              <a16:creationId xmlns:a16="http://schemas.microsoft.com/office/drawing/2014/main" xmlns="" id="{00000000-0008-0000-0300-00004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9" name="Rectangle 1022">
          <a:extLst>
            <a:ext uri="{FF2B5EF4-FFF2-40B4-BE49-F238E27FC236}">
              <a16:creationId xmlns:a16="http://schemas.microsoft.com/office/drawing/2014/main" xmlns="" id="{00000000-0008-0000-0300-00004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0" name="Rectangle 1023">
          <a:extLst>
            <a:ext uri="{FF2B5EF4-FFF2-40B4-BE49-F238E27FC236}">
              <a16:creationId xmlns:a16="http://schemas.microsoft.com/office/drawing/2014/main" xmlns="" id="{00000000-0008-0000-0300-00004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1" name="Rectangle 1024">
          <a:extLst>
            <a:ext uri="{FF2B5EF4-FFF2-40B4-BE49-F238E27FC236}">
              <a16:creationId xmlns:a16="http://schemas.microsoft.com/office/drawing/2014/main" xmlns="" id="{00000000-0008-0000-0300-00004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2" name="Rectangle 1025">
          <a:extLst>
            <a:ext uri="{FF2B5EF4-FFF2-40B4-BE49-F238E27FC236}">
              <a16:creationId xmlns:a16="http://schemas.microsoft.com/office/drawing/2014/main" xmlns="" id="{00000000-0008-0000-0300-00004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3" name="Rectangle 1026">
          <a:extLst>
            <a:ext uri="{FF2B5EF4-FFF2-40B4-BE49-F238E27FC236}">
              <a16:creationId xmlns:a16="http://schemas.microsoft.com/office/drawing/2014/main" xmlns="" id="{00000000-0008-0000-0300-00004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4" name="Rectangle 1027">
          <a:extLst>
            <a:ext uri="{FF2B5EF4-FFF2-40B4-BE49-F238E27FC236}">
              <a16:creationId xmlns:a16="http://schemas.microsoft.com/office/drawing/2014/main" xmlns="" id="{00000000-0008-0000-0300-00005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5" name="Rectangle 1028">
          <a:extLst>
            <a:ext uri="{FF2B5EF4-FFF2-40B4-BE49-F238E27FC236}">
              <a16:creationId xmlns:a16="http://schemas.microsoft.com/office/drawing/2014/main" xmlns="" id="{00000000-0008-0000-0300-00005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6" name="Rectangle 1029">
          <a:extLst>
            <a:ext uri="{FF2B5EF4-FFF2-40B4-BE49-F238E27FC236}">
              <a16:creationId xmlns:a16="http://schemas.microsoft.com/office/drawing/2014/main" xmlns="" id="{00000000-0008-0000-0300-00005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7" name="Rectangle 1030">
          <a:extLst>
            <a:ext uri="{FF2B5EF4-FFF2-40B4-BE49-F238E27FC236}">
              <a16:creationId xmlns:a16="http://schemas.microsoft.com/office/drawing/2014/main" xmlns="" id="{00000000-0008-0000-0300-00005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8" name="Rectangle 1031">
          <a:extLst>
            <a:ext uri="{FF2B5EF4-FFF2-40B4-BE49-F238E27FC236}">
              <a16:creationId xmlns:a16="http://schemas.microsoft.com/office/drawing/2014/main" xmlns="" id="{00000000-0008-0000-0300-00005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9" name="Rectangle 1032">
          <a:extLst>
            <a:ext uri="{FF2B5EF4-FFF2-40B4-BE49-F238E27FC236}">
              <a16:creationId xmlns:a16="http://schemas.microsoft.com/office/drawing/2014/main" xmlns="" id="{00000000-0008-0000-0300-00005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0" name="Rectangle 1033">
          <a:extLst>
            <a:ext uri="{FF2B5EF4-FFF2-40B4-BE49-F238E27FC236}">
              <a16:creationId xmlns:a16="http://schemas.microsoft.com/office/drawing/2014/main" xmlns="" id="{00000000-0008-0000-0300-00005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1" name="Rectangle 1034">
          <a:extLst>
            <a:ext uri="{FF2B5EF4-FFF2-40B4-BE49-F238E27FC236}">
              <a16:creationId xmlns:a16="http://schemas.microsoft.com/office/drawing/2014/main" xmlns="" id="{00000000-0008-0000-0300-00005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2" name="Rectangle 1035">
          <a:extLst>
            <a:ext uri="{FF2B5EF4-FFF2-40B4-BE49-F238E27FC236}">
              <a16:creationId xmlns:a16="http://schemas.microsoft.com/office/drawing/2014/main" xmlns="" id="{00000000-0008-0000-0300-00005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3" name="Rectangle 1036">
          <a:extLst>
            <a:ext uri="{FF2B5EF4-FFF2-40B4-BE49-F238E27FC236}">
              <a16:creationId xmlns:a16="http://schemas.microsoft.com/office/drawing/2014/main" xmlns="" id="{00000000-0008-0000-0300-00005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4" name="Rectangle 1037">
          <a:extLst>
            <a:ext uri="{FF2B5EF4-FFF2-40B4-BE49-F238E27FC236}">
              <a16:creationId xmlns:a16="http://schemas.microsoft.com/office/drawing/2014/main" xmlns="" id="{00000000-0008-0000-0300-00005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5" name="Rectangle 1038">
          <a:extLst>
            <a:ext uri="{FF2B5EF4-FFF2-40B4-BE49-F238E27FC236}">
              <a16:creationId xmlns:a16="http://schemas.microsoft.com/office/drawing/2014/main" xmlns="" id="{00000000-0008-0000-0300-00005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6" name="Rectangle 1039">
          <a:extLst>
            <a:ext uri="{FF2B5EF4-FFF2-40B4-BE49-F238E27FC236}">
              <a16:creationId xmlns:a16="http://schemas.microsoft.com/office/drawing/2014/main" xmlns="" id="{00000000-0008-0000-0300-00005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7" name="Rectangle 1040">
          <a:extLst>
            <a:ext uri="{FF2B5EF4-FFF2-40B4-BE49-F238E27FC236}">
              <a16:creationId xmlns:a16="http://schemas.microsoft.com/office/drawing/2014/main" xmlns="" id="{00000000-0008-0000-0300-00005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8" name="Rectangle 1041">
          <a:extLst>
            <a:ext uri="{FF2B5EF4-FFF2-40B4-BE49-F238E27FC236}">
              <a16:creationId xmlns:a16="http://schemas.microsoft.com/office/drawing/2014/main" xmlns="" id="{00000000-0008-0000-0300-00005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9" name="Rectangle 1042">
          <a:extLst>
            <a:ext uri="{FF2B5EF4-FFF2-40B4-BE49-F238E27FC236}">
              <a16:creationId xmlns:a16="http://schemas.microsoft.com/office/drawing/2014/main" xmlns="" id="{00000000-0008-0000-0300-00005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0" name="Rectangle 1043">
          <a:extLst>
            <a:ext uri="{FF2B5EF4-FFF2-40B4-BE49-F238E27FC236}">
              <a16:creationId xmlns:a16="http://schemas.microsoft.com/office/drawing/2014/main" xmlns="" id="{00000000-0008-0000-0300-00006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81" name="Rectangle 1044">
          <a:extLst>
            <a:ext uri="{FF2B5EF4-FFF2-40B4-BE49-F238E27FC236}">
              <a16:creationId xmlns:a16="http://schemas.microsoft.com/office/drawing/2014/main" xmlns="" id="{00000000-0008-0000-0300-00006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2" name="Rectangle 1045">
          <a:extLst>
            <a:ext uri="{FF2B5EF4-FFF2-40B4-BE49-F238E27FC236}">
              <a16:creationId xmlns:a16="http://schemas.microsoft.com/office/drawing/2014/main" xmlns="" id="{00000000-0008-0000-0300-00006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3" name="Rectangle 1046">
          <a:extLst>
            <a:ext uri="{FF2B5EF4-FFF2-40B4-BE49-F238E27FC236}">
              <a16:creationId xmlns:a16="http://schemas.microsoft.com/office/drawing/2014/main" xmlns="" id="{00000000-0008-0000-0300-000063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4" name="Rectangle 1047">
          <a:extLst>
            <a:ext uri="{FF2B5EF4-FFF2-40B4-BE49-F238E27FC236}">
              <a16:creationId xmlns:a16="http://schemas.microsoft.com/office/drawing/2014/main" xmlns="" id="{00000000-0008-0000-0300-000064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5" name="Rectangle 1048">
          <a:extLst>
            <a:ext uri="{FF2B5EF4-FFF2-40B4-BE49-F238E27FC236}">
              <a16:creationId xmlns:a16="http://schemas.microsoft.com/office/drawing/2014/main" xmlns="" id="{00000000-0008-0000-0300-000065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6" name="Rectangle 1049">
          <a:extLst>
            <a:ext uri="{FF2B5EF4-FFF2-40B4-BE49-F238E27FC236}">
              <a16:creationId xmlns:a16="http://schemas.microsoft.com/office/drawing/2014/main" xmlns="" id="{00000000-0008-0000-0300-000066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7" name="Rectangle 1050">
          <a:extLst>
            <a:ext uri="{FF2B5EF4-FFF2-40B4-BE49-F238E27FC236}">
              <a16:creationId xmlns:a16="http://schemas.microsoft.com/office/drawing/2014/main" xmlns="" id="{00000000-0008-0000-0300-000067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8" name="Rectangle 1051">
          <a:extLst>
            <a:ext uri="{FF2B5EF4-FFF2-40B4-BE49-F238E27FC236}">
              <a16:creationId xmlns:a16="http://schemas.microsoft.com/office/drawing/2014/main" xmlns="" id="{00000000-0008-0000-0300-000068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9" name="Rectangle 1052">
          <a:extLst>
            <a:ext uri="{FF2B5EF4-FFF2-40B4-BE49-F238E27FC236}">
              <a16:creationId xmlns:a16="http://schemas.microsoft.com/office/drawing/2014/main" xmlns="" id="{00000000-0008-0000-0300-000069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0" name="Rectangle 1053">
          <a:extLst>
            <a:ext uri="{FF2B5EF4-FFF2-40B4-BE49-F238E27FC236}">
              <a16:creationId xmlns:a16="http://schemas.microsoft.com/office/drawing/2014/main" xmlns="" id="{00000000-0008-0000-0300-00006A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1" name="Rectangle 1054">
          <a:extLst>
            <a:ext uri="{FF2B5EF4-FFF2-40B4-BE49-F238E27FC236}">
              <a16:creationId xmlns:a16="http://schemas.microsoft.com/office/drawing/2014/main" xmlns="" id="{00000000-0008-0000-0300-00006B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2" name="Rectangle 1055">
          <a:extLst>
            <a:ext uri="{FF2B5EF4-FFF2-40B4-BE49-F238E27FC236}">
              <a16:creationId xmlns:a16="http://schemas.microsoft.com/office/drawing/2014/main" xmlns="" id="{00000000-0008-0000-0300-00006C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3" name="Rectangle 1056">
          <a:extLst>
            <a:ext uri="{FF2B5EF4-FFF2-40B4-BE49-F238E27FC236}">
              <a16:creationId xmlns:a16="http://schemas.microsoft.com/office/drawing/2014/main" xmlns="" id="{00000000-0008-0000-0300-00006D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4" name="Rectangle 1057">
          <a:extLst>
            <a:ext uri="{FF2B5EF4-FFF2-40B4-BE49-F238E27FC236}">
              <a16:creationId xmlns:a16="http://schemas.microsoft.com/office/drawing/2014/main" xmlns="" id="{00000000-0008-0000-0300-00006E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5" name="Rectangle 1121">
          <a:extLst>
            <a:ext uri="{FF2B5EF4-FFF2-40B4-BE49-F238E27FC236}">
              <a16:creationId xmlns:a16="http://schemas.microsoft.com/office/drawing/2014/main" xmlns="" id="{00000000-0008-0000-0300-00006F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6" name="Rectangle 1122">
          <a:extLst>
            <a:ext uri="{FF2B5EF4-FFF2-40B4-BE49-F238E27FC236}">
              <a16:creationId xmlns:a16="http://schemas.microsoft.com/office/drawing/2014/main" xmlns="" id="{00000000-0008-0000-0300-000070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297" name="Rectangle 1123">
          <a:extLst>
            <a:ext uri="{FF2B5EF4-FFF2-40B4-BE49-F238E27FC236}">
              <a16:creationId xmlns:a16="http://schemas.microsoft.com/office/drawing/2014/main" xmlns="" id="{00000000-0008-0000-0300-000071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8" name="Rectangle 1124">
          <a:extLst>
            <a:ext uri="{FF2B5EF4-FFF2-40B4-BE49-F238E27FC236}">
              <a16:creationId xmlns:a16="http://schemas.microsoft.com/office/drawing/2014/main" xmlns="" id="{00000000-0008-0000-0300-000072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9" name="Rectangle 1125">
          <a:extLst>
            <a:ext uri="{FF2B5EF4-FFF2-40B4-BE49-F238E27FC236}">
              <a16:creationId xmlns:a16="http://schemas.microsoft.com/office/drawing/2014/main" xmlns="" id="{00000000-0008-0000-0300-000073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0" name="Rectangle 1126">
          <a:extLst>
            <a:ext uri="{FF2B5EF4-FFF2-40B4-BE49-F238E27FC236}">
              <a16:creationId xmlns:a16="http://schemas.microsoft.com/office/drawing/2014/main" xmlns="" id="{00000000-0008-0000-0300-000074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1" name="Rectangle 1127">
          <a:extLst>
            <a:ext uri="{FF2B5EF4-FFF2-40B4-BE49-F238E27FC236}">
              <a16:creationId xmlns:a16="http://schemas.microsoft.com/office/drawing/2014/main" xmlns="" id="{00000000-0008-0000-0300-000075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2" name="Rectangle 1128">
          <a:extLst>
            <a:ext uri="{FF2B5EF4-FFF2-40B4-BE49-F238E27FC236}">
              <a16:creationId xmlns:a16="http://schemas.microsoft.com/office/drawing/2014/main" xmlns="" id="{00000000-0008-0000-0300-000076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3" name="Rectangle 1129">
          <a:extLst>
            <a:ext uri="{FF2B5EF4-FFF2-40B4-BE49-F238E27FC236}">
              <a16:creationId xmlns:a16="http://schemas.microsoft.com/office/drawing/2014/main" xmlns="" id="{00000000-0008-0000-0300-000077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4" name="Rectangle 1130">
          <a:extLst>
            <a:ext uri="{FF2B5EF4-FFF2-40B4-BE49-F238E27FC236}">
              <a16:creationId xmlns:a16="http://schemas.microsoft.com/office/drawing/2014/main" xmlns="" id="{00000000-0008-0000-0300-000078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5" name="Rectangle 1131">
          <a:extLst>
            <a:ext uri="{FF2B5EF4-FFF2-40B4-BE49-F238E27FC236}">
              <a16:creationId xmlns:a16="http://schemas.microsoft.com/office/drawing/2014/main" xmlns="" id="{00000000-0008-0000-0300-000079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6" name="Rectangle 1132">
          <a:extLst>
            <a:ext uri="{FF2B5EF4-FFF2-40B4-BE49-F238E27FC236}">
              <a16:creationId xmlns:a16="http://schemas.microsoft.com/office/drawing/2014/main" xmlns="" id="{00000000-0008-0000-0300-00007A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7" name="Rectangle 1133">
          <a:extLst>
            <a:ext uri="{FF2B5EF4-FFF2-40B4-BE49-F238E27FC236}">
              <a16:creationId xmlns:a16="http://schemas.microsoft.com/office/drawing/2014/main" xmlns="" id="{00000000-0008-0000-0300-00007B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8" name="Rectangle 1134">
          <a:extLst>
            <a:ext uri="{FF2B5EF4-FFF2-40B4-BE49-F238E27FC236}">
              <a16:creationId xmlns:a16="http://schemas.microsoft.com/office/drawing/2014/main" xmlns="" id="{00000000-0008-0000-0300-00007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9" name="Rectangle 1135">
          <a:extLst>
            <a:ext uri="{FF2B5EF4-FFF2-40B4-BE49-F238E27FC236}">
              <a16:creationId xmlns:a16="http://schemas.microsoft.com/office/drawing/2014/main" xmlns="" id="{00000000-0008-0000-0300-00007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0" name="Rectangle 1136">
          <a:extLst>
            <a:ext uri="{FF2B5EF4-FFF2-40B4-BE49-F238E27FC236}">
              <a16:creationId xmlns:a16="http://schemas.microsoft.com/office/drawing/2014/main" xmlns="" id="{00000000-0008-0000-0300-00007E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1" name="Rectangle 1137">
          <a:extLst>
            <a:ext uri="{FF2B5EF4-FFF2-40B4-BE49-F238E27FC236}">
              <a16:creationId xmlns:a16="http://schemas.microsoft.com/office/drawing/2014/main" xmlns="" id="{00000000-0008-0000-0300-00007F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2" name="Rectangle 1138">
          <a:extLst>
            <a:ext uri="{FF2B5EF4-FFF2-40B4-BE49-F238E27FC236}">
              <a16:creationId xmlns:a16="http://schemas.microsoft.com/office/drawing/2014/main" xmlns="" id="{00000000-0008-0000-0300-000080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3" name="Rectangle 1139">
          <a:extLst>
            <a:ext uri="{FF2B5EF4-FFF2-40B4-BE49-F238E27FC236}">
              <a16:creationId xmlns:a16="http://schemas.microsoft.com/office/drawing/2014/main" xmlns="" id="{00000000-0008-0000-0300-000081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4" name="Rectangle 1140">
          <a:extLst>
            <a:ext uri="{FF2B5EF4-FFF2-40B4-BE49-F238E27FC236}">
              <a16:creationId xmlns:a16="http://schemas.microsoft.com/office/drawing/2014/main" xmlns="" id="{00000000-0008-0000-0300-000082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5" name="Rectangle 1141">
          <a:extLst>
            <a:ext uri="{FF2B5EF4-FFF2-40B4-BE49-F238E27FC236}">
              <a16:creationId xmlns:a16="http://schemas.microsoft.com/office/drawing/2014/main" xmlns="" id="{00000000-0008-0000-0300-000083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6" name="Rectangle 1142">
          <a:extLst>
            <a:ext uri="{FF2B5EF4-FFF2-40B4-BE49-F238E27FC236}">
              <a16:creationId xmlns:a16="http://schemas.microsoft.com/office/drawing/2014/main" xmlns="" id="{00000000-0008-0000-0300-000084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7" name="Rectangle 1143">
          <a:extLst>
            <a:ext uri="{FF2B5EF4-FFF2-40B4-BE49-F238E27FC236}">
              <a16:creationId xmlns:a16="http://schemas.microsoft.com/office/drawing/2014/main" xmlns="" id="{00000000-0008-0000-0300-000085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8" name="Rectangle 1144">
          <a:extLst>
            <a:ext uri="{FF2B5EF4-FFF2-40B4-BE49-F238E27FC236}">
              <a16:creationId xmlns:a16="http://schemas.microsoft.com/office/drawing/2014/main" xmlns="" id="{00000000-0008-0000-0300-000086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9" name="Rectangle 1145">
          <a:extLst>
            <a:ext uri="{FF2B5EF4-FFF2-40B4-BE49-F238E27FC236}">
              <a16:creationId xmlns:a16="http://schemas.microsoft.com/office/drawing/2014/main" xmlns="" id="{00000000-0008-0000-0300-00008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0" name="Rectangle 1146">
          <a:extLst>
            <a:ext uri="{FF2B5EF4-FFF2-40B4-BE49-F238E27FC236}">
              <a16:creationId xmlns:a16="http://schemas.microsoft.com/office/drawing/2014/main" xmlns="" id="{00000000-0008-0000-0300-00008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1" name="Rectangle 1147">
          <a:extLst>
            <a:ext uri="{FF2B5EF4-FFF2-40B4-BE49-F238E27FC236}">
              <a16:creationId xmlns:a16="http://schemas.microsoft.com/office/drawing/2014/main" xmlns="" id="{00000000-0008-0000-0300-00008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2" name="Rectangle 1148">
          <a:extLst>
            <a:ext uri="{FF2B5EF4-FFF2-40B4-BE49-F238E27FC236}">
              <a16:creationId xmlns:a16="http://schemas.microsoft.com/office/drawing/2014/main" xmlns="" id="{00000000-0008-0000-0300-00008A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3" name="Rectangle 1149">
          <a:extLst>
            <a:ext uri="{FF2B5EF4-FFF2-40B4-BE49-F238E27FC236}">
              <a16:creationId xmlns:a16="http://schemas.microsoft.com/office/drawing/2014/main" xmlns="" id="{00000000-0008-0000-0300-00008B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4" name="Rectangle 1150">
          <a:extLst>
            <a:ext uri="{FF2B5EF4-FFF2-40B4-BE49-F238E27FC236}">
              <a16:creationId xmlns:a16="http://schemas.microsoft.com/office/drawing/2014/main" xmlns="" id="{00000000-0008-0000-0300-00008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5" name="Rectangle 1151">
          <a:extLst>
            <a:ext uri="{FF2B5EF4-FFF2-40B4-BE49-F238E27FC236}">
              <a16:creationId xmlns:a16="http://schemas.microsoft.com/office/drawing/2014/main" xmlns="" id="{00000000-0008-0000-0300-00008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6" name="Rectangle 1152">
          <a:extLst>
            <a:ext uri="{FF2B5EF4-FFF2-40B4-BE49-F238E27FC236}">
              <a16:creationId xmlns:a16="http://schemas.microsoft.com/office/drawing/2014/main" xmlns="" id="{00000000-0008-0000-0300-00008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7" name="Rectangle 1153">
          <a:extLst>
            <a:ext uri="{FF2B5EF4-FFF2-40B4-BE49-F238E27FC236}">
              <a16:creationId xmlns:a16="http://schemas.microsoft.com/office/drawing/2014/main" xmlns="" id="{00000000-0008-0000-0300-00008F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8" name="Rectangle 1154">
          <a:extLst>
            <a:ext uri="{FF2B5EF4-FFF2-40B4-BE49-F238E27FC236}">
              <a16:creationId xmlns:a16="http://schemas.microsoft.com/office/drawing/2014/main" xmlns="" id="{00000000-0008-0000-0300-000090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9" name="Rectangle 1155">
          <a:extLst>
            <a:ext uri="{FF2B5EF4-FFF2-40B4-BE49-F238E27FC236}">
              <a16:creationId xmlns:a16="http://schemas.microsoft.com/office/drawing/2014/main" xmlns="" id="{00000000-0008-0000-0300-000091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0" name="Rectangle 1156">
          <a:extLst>
            <a:ext uri="{FF2B5EF4-FFF2-40B4-BE49-F238E27FC236}">
              <a16:creationId xmlns:a16="http://schemas.microsoft.com/office/drawing/2014/main" xmlns="" id="{00000000-0008-0000-0300-000092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1" name="Rectangle 1157">
          <a:extLst>
            <a:ext uri="{FF2B5EF4-FFF2-40B4-BE49-F238E27FC236}">
              <a16:creationId xmlns:a16="http://schemas.microsoft.com/office/drawing/2014/main" xmlns="" id="{00000000-0008-0000-0300-000093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2" name="Rectangle 1158">
          <a:extLst>
            <a:ext uri="{FF2B5EF4-FFF2-40B4-BE49-F238E27FC236}">
              <a16:creationId xmlns:a16="http://schemas.microsoft.com/office/drawing/2014/main" xmlns="" id="{00000000-0008-0000-0300-000094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3" name="Rectangle 1159">
          <a:extLst>
            <a:ext uri="{FF2B5EF4-FFF2-40B4-BE49-F238E27FC236}">
              <a16:creationId xmlns:a16="http://schemas.microsoft.com/office/drawing/2014/main" xmlns="" id="{00000000-0008-0000-0300-000095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4" name="Rectangle 1160">
          <a:extLst>
            <a:ext uri="{FF2B5EF4-FFF2-40B4-BE49-F238E27FC236}">
              <a16:creationId xmlns:a16="http://schemas.microsoft.com/office/drawing/2014/main" xmlns="" id="{00000000-0008-0000-0300-000096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5" name="Rectangle 1161">
          <a:extLst>
            <a:ext uri="{FF2B5EF4-FFF2-40B4-BE49-F238E27FC236}">
              <a16:creationId xmlns:a16="http://schemas.microsoft.com/office/drawing/2014/main" xmlns="" id="{00000000-0008-0000-0300-000097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6" name="Rectangle 1162">
          <a:extLst>
            <a:ext uri="{FF2B5EF4-FFF2-40B4-BE49-F238E27FC236}">
              <a16:creationId xmlns:a16="http://schemas.microsoft.com/office/drawing/2014/main" xmlns="" id="{00000000-0008-0000-0300-000098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7" name="Rectangle 1163">
          <a:extLst>
            <a:ext uri="{FF2B5EF4-FFF2-40B4-BE49-F238E27FC236}">
              <a16:creationId xmlns:a16="http://schemas.microsoft.com/office/drawing/2014/main" xmlns="" id="{00000000-0008-0000-0300-000099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8" name="Rectangle 1164">
          <a:extLst>
            <a:ext uri="{FF2B5EF4-FFF2-40B4-BE49-F238E27FC236}">
              <a16:creationId xmlns:a16="http://schemas.microsoft.com/office/drawing/2014/main" xmlns="" id="{00000000-0008-0000-0300-00009A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39" name="Rectangle 93">
          <a:extLst>
            <a:ext uri="{FF2B5EF4-FFF2-40B4-BE49-F238E27FC236}">
              <a16:creationId xmlns:a16="http://schemas.microsoft.com/office/drawing/2014/main" xmlns="" id="{00000000-0008-0000-0300-00009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0" name="Rectangle 94">
          <a:extLst>
            <a:ext uri="{FF2B5EF4-FFF2-40B4-BE49-F238E27FC236}">
              <a16:creationId xmlns:a16="http://schemas.microsoft.com/office/drawing/2014/main" xmlns="" id="{00000000-0008-0000-0300-00009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1" name="Rectangle 95">
          <a:extLst>
            <a:ext uri="{FF2B5EF4-FFF2-40B4-BE49-F238E27FC236}">
              <a16:creationId xmlns:a16="http://schemas.microsoft.com/office/drawing/2014/main" xmlns="" id="{00000000-0008-0000-0300-00009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2" name="Rectangle 96">
          <a:extLst>
            <a:ext uri="{FF2B5EF4-FFF2-40B4-BE49-F238E27FC236}">
              <a16:creationId xmlns:a16="http://schemas.microsoft.com/office/drawing/2014/main" xmlns="" id="{00000000-0008-0000-0300-00009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3" name="Rectangle 97">
          <a:extLst>
            <a:ext uri="{FF2B5EF4-FFF2-40B4-BE49-F238E27FC236}">
              <a16:creationId xmlns:a16="http://schemas.microsoft.com/office/drawing/2014/main" xmlns="" id="{00000000-0008-0000-0300-00009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4" name="Rectangle 98">
          <a:extLst>
            <a:ext uri="{FF2B5EF4-FFF2-40B4-BE49-F238E27FC236}">
              <a16:creationId xmlns:a16="http://schemas.microsoft.com/office/drawing/2014/main" xmlns="" id="{00000000-0008-0000-0300-0000A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5" name="Rectangle 99">
          <a:extLst>
            <a:ext uri="{FF2B5EF4-FFF2-40B4-BE49-F238E27FC236}">
              <a16:creationId xmlns:a16="http://schemas.microsoft.com/office/drawing/2014/main" xmlns="" id="{00000000-0008-0000-0300-0000A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6" name="Rectangle 100">
          <a:extLst>
            <a:ext uri="{FF2B5EF4-FFF2-40B4-BE49-F238E27FC236}">
              <a16:creationId xmlns:a16="http://schemas.microsoft.com/office/drawing/2014/main" xmlns="" id="{00000000-0008-0000-0300-0000A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7" name="Rectangle 101">
          <a:extLst>
            <a:ext uri="{FF2B5EF4-FFF2-40B4-BE49-F238E27FC236}">
              <a16:creationId xmlns:a16="http://schemas.microsoft.com/office/drawing/2014/main" xmlns="" id="{00000000-0008-0000-0300-0000A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8" name="Rectangle 102">
          <a:extLst>
            <a:ext uri="{FF2B5EF4-FFF2-40B4-BE49-F238E27FC236}">
              <a16:creationId xmlns:a16="http://schemas.microsoft.com/office/drawing/2014/main" xmlns="" id="{00000000-0008-0000-0300-0000A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9" name="Rectangle 103">
          <a:extLst>
            <a:ext uri="{FF2B5EF4-FFF2-40B4-BE49-F238E27FC236}">
              <a16:creationId xmlns:a16="http://schemas.microsoft.com/office/drawing/2014/main" xmlns="" id="{00000000-0008-0000-0300-0000A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0" name="Rectangle 104">
          <a:extLst>
            <a:ext uri="{FF2B5EF4-FFF2-40B4-BE49-F238E27FC236}">
              <a16:creationId xmlns:a16="http://schemas.microsoft.com/office/drawing/2014/main" xmlns="" id="{00000000-0008-0000-0300-0000A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1" name="Rectangle 105">
          <a:extLst>
            <a:ext uri="{FF2B5EF4-FFF2-40B4-BE49-F238E27FC236}">
              <a16:creationId xmlns:a16="http://schemas.microsoft.com/office/drawing/2014/main" xmlns="" id="{00000000-0008-0000-0300-0000A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2" name="Rectangle 106">
          <a:extLst>
            <a:ext uri="{FF2B5EF4-FFF2-40B4-BE49-F238E27FC236}">
              <a16:creationId xmlns:a16="http://schemas.microsoft.com/office/drawing/2014/main" xmlns="" id="{00000000-0008-0000-0300-0000A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3" name="Rectangle 107">
          <a:extLst>
            <a:ext uri="{FF2B5EF4-FFF2-40B4-BE49-F238E27FC236}">
              <a16:creationId xmlns:a16="http://schemas.microsoft.com/office/drawing/2014/main" xmlns="" id="{00000000-0008-0000-0300-0000A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4" name="Rectangle 108">
          <a:extLst>
            <a:ext uri="{FF2B5EF4-FFF2-40B4-BE49-F238E27FC236}">
              <a16:creationId xmlns:a16="http://schemas.microsoft.com/office/drawing/2014/main" xmlns="" id="{00000000-0008-0000-0300-0000A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5" name="Rectangle 109">
          <a:extLst>
            <a:ext uri="{FF2B5EF4-FFF2-40B4-BE49-F238E27FC236}">
              <a16:creationId xmlns:a16="http://schemas.microsoft.com/office/drawing/2014/main" xmlns="" id="{00000000-0008-0000-0300-0000A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6" name="Rectangle 110">
          <a:extLst>
            <a:ext uri="{FF2B5EF4-FFF2-40B4-BE49-F238E27FC236}">
              <a16:creationId xmlns:a16="http://schemas.microsoft.com/office/drawing/2014/main" xmlns="" id="{00000000-0008-0000-0300-0000A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7" name="Rectangle 111">
          <a:extLst>
            <a:ext uri="{FF2B5EF4-FFF2-40B4-BE49-F238E27FC236}">
              <a16:creationId xmlns:a16="http://schemas.microsoft.com/office/drawing/2014/main" xmlns="" id="{00000000-0008-0000-0300-0000A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8" name="Rectangle 112">
          <a:extLst>
            <a:ext uri="{FF2B5EF4-FFF2-40B4-BE49-F238E27FC236}">
              <a16:creationId xmlns:a16="http://schemas.microsoft.com/office/drawing/2014/main" xmlns="" id="{00000000-0008-0000-0300-0000A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9" name="Rectangle 113">
          <a:extLst>
            <a:ext uri="{FF2B5EF4-FFF2-40B4-BE49-F238E27FC236}">
              <a16:creationId xmlns:a16="http://schemas.microsoft.com/office/drawing/2014/main" xmlns="" id="{00000000-0008-0000-0300-0000A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0" name="Rectangle 114">
          <a:extLst>
            <a:ext uri="{FF2B5EF4-FFF2-40B4-BE49-F238E27FC236}">
              <a16:creationId xmlns:a16="http://schemas.microsoft.com/office/drawing/2014/main" xmlns="" id="{00000000-0008-0000-0300-0000B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1" name="Rectangle 115">
          <a:extLst>
            <a:ext uri="{FF2B5EF4-FFF2-40B4-BE49-F238E27FC236}">
              <a16:creationId xmlns:a16="http://schemas.microsoft.com/office/drawing/2014/main" xmlns="" id="{00000000-0008-0000-0300-0000B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2" name="Rectangle 116">
          <a:extLst>
            <a:ext uri="{FF2B5EF4-FFF2-40B4-BE49-F238E27FC236}">
              <a16:creationId xmlns:a16="http://schemas.microsoft.com/office/drawing/2014/main" xmlns="" id="{00000000-0008-0000-0300-0000B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3" name="Rectangle 117">
          <a:extLst>
            <a:ext uri="{FF2B5EF4-FFF2-40B4-BE49-F238E27FC236}">
              <a16:creationId xmlns:a16="http://schemas.microsoft.com/office/drawing/2014/main" xmlns="" id="{00000000-0008-0000-0300-0000B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4" name="Rectangle 118">
          <a:extLst>
            <a:ext uri="{FF2B5EF4-FFF2-40B4-BE49-F238E27FC236}">
              <a16:creationId xmlns:a16="http://schemas.microsoft.com/office/drawing/2014/main" xmlns="" id="{00000000-0008-0000-0300-0000B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5" name="Rectangle 119">
          <a:extLst>
            <a:ext uri="{FF2B5EF4-FFF2-40B4-BE49-F238E27FC236}">
              <a16:creationId xmlns:a16="http://schemas.microsoft.com/office/drawing/2014/main" xmlns="" id="{00000000-0008-0000-0300-0000B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6" name="Rectangle 120">
          <a:extLst>
            <a:ext uri="{FF2B5EF4-FFF2-40B4-BE49-F238E27FC236}">
              <a16:creationId xmlns:a16="http://schemas.microsoft.com/office/drawing/2014/main" xmlns="" id="{00000000-0008-0000-0300-0000B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7" name="Rectangle 121">
          <a:extLst>
            <a:ext uri="{FF2B5EF4-FFF2-40B4-BE49-F238E27FC236}">
              <a16:creationId xmlns:a16="http://schemas.microsoft.com/office/drawing/2014/main" xmlns="" id="{00000000-0008-0000-0300-0000B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8" name="Rectangle 122">
          <a:extLst>
            <a:ext uri="{FF2B5EF4-FFF2-40B4-BE49-F238E27FC236}">
              <a16:creationId xmlns:a16="http://schemas.microsoft.com/office/drawing/2014/main" xmlns="" id="{00000000-0008-0000-0300-0000B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9" name="Rectangle 123">
          <a:extLst>
            <a:ext uri="{FF2B5EF4-FFF2-40B4-BE49-F238E27FC236}">
              <a16:creationId xmlns:a16="http://schemas.microsoft.com/office/drawing/2014/main" xmlns="" id="{00000000-0008-0000-0300-0000B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0" name="Rectangle 124">
          <a:extLst>
            <a:ext uri="{FF2B5EF4-FFF2-40B4-BE49-F238E27FC236}">
              <a16:creationId xmlns:a16="http://schemas.microsoft.com/office/drawing/2014/main" xmlns="" id="{00000000-0008-0000-0300-0000B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1" name="Rectangle 125">
          <a:extLst>
            <a:ext uri="{FF2B5EF4-FFF2-40B4-BE49-F238E27FC236}">
              <a16:creationId xmlns:a16="http://schemas.microsoft.com/office/drawing/2014/main" xmlns="" id="{00000000-0008-0000-0300-0000B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2" name="Rectangle 126">
          <a:extLst>
            <a:ext uri="{FF2B5EF4-FFF2-40B4-BE49-F238E27FC236}">
              <a16:creationId xmlns:a16="http://schemas.microsoft.com/office/drawing/2014/main" xmlns="" id="{00000000-0008-0000-0300-0000B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3" name="Rectangle 127">
          <a:extLst>
            <a:ext uri="{FF2B5EF4-FFF2-40B4-BE49-F238E27FC236}">
              <a16:creationId xmlns:a16="http://schemas.microsoft.com/office/drawing/2014/main" xmlns="" id="{00000000-0008-0000-0300-0000B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4" name="Rectangle 128">
          <a:extLst>
            <a:ext uri="{FF2B5EF4-FFF2-40B4-BE49-F238E27FC236}">
              <a16:creationId xmlns:a16="http://schemas.microsoft.com/office/drawing/2014/main" xmlns="" id="{00000000-0008-0000-0300-0000B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5" name="Rectangle 129">
          <a:extLst>
            <a:ext uri="{FF2B5EF4-FFF2-40B4-BE49-F238E27FC236}">
              <a16:creationId xmlns:a16="http://schemas.microsoft.com/office/drawing/2014/main" xmlns="" id="{00000000-0008-0000-0300-0000B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6" name="Rectangle 130">
          <a:extLst>
            <a:ext uri="{FF2B5EF4-FFF2-40B4-BE49-F238E27FC236}">
              <a16:creationId xmlns:a16="http://schemas.microsoft.com/office/drawing/2014/main" xmlns="" id="{00000000-0008-0000-0300-0000C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7" name="Rectangle 131">
          <a:extLst>
            <a:ext uri="{FF2B5EF4-FFF2-40B4-BE49-F238E27FC236}">
              <a16:creationId xmlns:a16="http://schemas.microsoft.com/office/drawing/2014/main" xmlns="" id="{00000000-0008-0000-0300-0000C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8" name="Rectangle 132">
          <a:extLst>
            <a:ext uri="{FF2B5EF4-FFF2-40B4-BE49-F238E27FC236}">
              <a16:creationId xmlns:a16="http://schemas.microsoft.com/office/drawing/2014/main" xmlns="" id="{00000000-0008-0000-0300-0000C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9" name="Rectangle 133">
          <a:extLst>
            <a:ext uri="{FF2B5EF4-FFF2-40B4-BE49-F238E27FC236}">
              <a16:creationId xmlns:a16="http://schemas.microsoft.com/office/drawing/2014/main" xmlns="" id="{00000000-0008-0000-0300-0000C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0" name="Rectangle 134">
          <a:extLst>
            <a:ext uri="{FF2B5EF4-FFF2-40B4-BE49-F238E27FC236}">
              <a16:creationId xmlns:a16="http://schemas.microsoft.com/office/drawing/2014/main" xmlns="" id="{00000000-0008-0000-0300-0000C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1" name="Rectangle 135">
          <a:extLst>
            <a:ext uri="{FF2B5EF4-FFF2-40B4-BE49-F238E27FC236}">
              <a16:creationId xmlns:a16="http://schemas.microsoft.com/office/drawing/2014/main" xmlns="" id="{00000000-0008-0000-0300-0000C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2" name="Rectangle 136">
          <a:extLst>
            <a:ext uri="{FF2B5EF4-FFF2-40B4-BE49-F238E27FC236}">
              <a16:creationId xmlns:a16="http://schemas.microsoft.com/office/drawing/2014/main" xmlns="" id="{00000000-0008-0000-0300-0000C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3" name="Rectangle 137">
          <a:extLst>
            <a:ext uri="{FF2B5EF4-FFF2-40B4-BE49-F238E27FC236}">
              <a16:creationId xmlns:a16="http://schemas.microsoft.com/office/drawing/2014/main" xmlns="" id="{00000000-0008-0000-0300-0000C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4" name="Rectangle 138">
          <a:extLst>
            <a:ext uri="{FF2B5EF4-FFF2-40B4-BE49-F238E27FC236}">
              <a16:creationId xmlns:a16="http://schemas.microsoft.com/office/drawing/2014/main" xmlns="" id="{00000000-0008-0000-0300-0000C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5" name="Rectangle 139">
          <a:extLst>
            <a:ext uri="{FF2B5EF4-FFF2-40B4-BE49-F238E27FC236}">
              <a16:creationId xmlns:a16="http://schemas.microsoft.com/office/drawing/2014/main" xmlns="" id="{00000000-0008-0000-0300-0000C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6" name="Rectangle 140">
          <a:extLst>
            <a:ext uri="{FF2B5EF4-FFF2-40B4-BE49-F238E27FC236}">
              <a16:creationId xmlns:a16="http://schemas.microsoft.com/office/drawing/2014/main" xmlns="" id="{00000000-0008-0000-0300-0000C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7" name="Rectangle 141">
          <a:extLst>
            <a:ext uri="{FF2B5EF4-FFF2-40B4-BE49-F238E27FC236}">
              <a16:creationId xmlns:a16="http://schemas.microsoft.com/office/drawing/2014/main" xmlns="" id="{00000000-0008-0000-0300-0000C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8" name="Rectangle 142">
          <a:extLst>
            <a:ext uri="{FF2B5EF4-FFF2-40B4-BE49-F238E27FC236}">
              <a16:creationId xmlns:a16="http://schemas.microsoft.com/office/drawing/2014/main" xmlns="" id="{00000000-0008-0000-0300-0000C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9" name="Rectangle 143">
          <a:extLst>
            <a:ext uri="{FF2B5EF4-FFF2-40B4-BE49-F238E27FC236}">
              <a16:creationId xmlns:a16="http://schemas.microsoft.com/office/drawing/2014/main" xmlns="" id="{00000000-0008-0000-0300-0000C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0" name="Rectangle 144">
          <a:extLst>
            <a:ext uri="{FF2B5EF4-FFF2-40B4-BE49-F238E27FC236}">
              <a16:creationId xmlns:a16="http://schemas.microsoft.com/office/drawing/2014/main" xmlns="" id="{00000000-0008-0000-0300-0000C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1" name="Rectangle 145">
          <a:extLst>
            <a:ext uri="{FF2B5EF4-FFF2-40B4-BE49-F238E27FC236}">
              <a16:creationId xmlns:a16="http://schemas.microsoft.com/office/drawing/2014/main" xmlns="" id="{00000000-0008-0000-0300-0000C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2" name="Rectangle 146">
          <a:extLst>
            <a:ext uri="{FF2B5EF4-FFF2-40B4-BE49-F238E27FC236}">
              <a16:creationId xmlns:a16="http://schemas.microsoft.com/office/drawing/2014/main" xmlns="" id="{00000000-0008-0000-0300-0000D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3" name="Rectangle 147">
          <a:extLst>
            <a:ext uri="{FF2B5EF4-FFF2-40B4-BE49-F238E27FC236}">
              <a16:creationId xmlns:a16="http://schemas.microsoft.com/office/drawing/2014/main" xmlns="" id="{00000000-0008-0000-0300-0000D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4" name="Rectangle 148">
          <a:extLst>
            <a:ext uri="{FF2B5EF4-FFF2-40B4-BE49-F238E27FC236}">
              <a16:creationId xmlns:a16="http://schemas.microsoft.com/office/drawing/2014/main" xmlns="" id="{00000000-0008-0000-0300-0000D2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5" name="Rectangle 149">
          <a:extLst>
            <a:ext uri="{FF2B5EF4-FFF2-40B4-BE49-F238E27FC236}">
              <a16:creationId xmlns:a16="http://schemas.microsoft.com/office/drawing/2014/main" xmlns="" id="{00000000-0008-0000-0300-0000D3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6" name="Rectangle 150">
          <a:extLst>
            <a:ext uri="{FF2B5EF4-FFF2-40B4-BE49-F238E27FC236}">
              <a16:creationId xmlns:a16="http://schemas.microsoft.com/office/drawing/2014/main" xmlns="" id="{00000000-0008-0000-0300-0000D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7" name="Rectangle 151">
          <a:extLst>
            <a:ext uri="{FF2B5EF4-FFF2-40B4-BE49-F238E27FC236}">
              <a16:creationId xmlns:a16="http://schemas.microsoft.com/office/drawing/2014/main" xmlns="" id="{00000000-0008-0000-0300-0000D5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8" name="Rectangle 152">
          <a:extLst>
            <a:ext uri="{FF2B5EF4-FFF2-40B4-BE49-F238E27FC236}">
              <a16:creationId xmlns:a16="http://schemas.microsoft.com/office/drawing/2014/main" xmlns="" id="{00000000-0008-0000-0300-0000D6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9" name="Rectangle 153">
          <a:extLst>
            <a:ext uri="{FF2B5EF4-FFF2-40B4-BE49-F238E27FC236}">
              <a16:creationId xmlns:a16="http://schemas.microsoft.com/office/drawing/2014/main" xmlns="" id="{00000000-0008-0000-0300-0000D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0" name="Rectangle 154">
          <a:extLst>
            <a:ext uri="{FF2B5EF4-FFF2-40B4-BE49-F238E27FC236}">
              <a16:creationId xmlns:a16="http://schemas.microsoft.com/office/drawing/2014/main" xmlns="" id="{00000000-0008-0000-0300-0000D8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1" name="Rectangle 155">
          <a:extLst>
            <a:ext uri="{FF2B5EF4-FFF2-40B4-BE49-F238E27FC236}">
              <a16:creationId xmlns:a16="http://schemas.microsoft.com/office/drawing/2014/main" xmlns="" id="{00000000-0008-0000-0300-0000D9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2" name="Rectangle 156">
          <a:extLst>
            <a:ext uri="{FF2B5EF4-FFF2-40B4-BE49-F238E27FC236}">
              <a16:creationId xmlns:a16="http://schemas.microsoft.com/office/drawing/2014/main" xmlns="" id="{00000000-0008-0000-0300-0000DA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3" name="Rectangle 157">
          <a:extLst>
            <a:ext uri="{FF2B5EF4-FFF2-40B4-BE49-F238E27FC236}">
              <a16:creationId xmlns:a16="http://schemas.microsoft.com/office/drawing/2014/main" xmlns="" id="{00000000-0008-0000-0300-0000D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4" name="Rectangle 158">
          <a:extLst>
            <a:ext uri="{FF2B5EF4-FFF2-40B4-BE49-F238E27FC236}">
              <a16:creationId xmlns:a16="http://schemas.microsoft.com/office/drawing/2014/main" xmlns="" id="{00000000-0008-0000-0300-0000D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5" name="Rectangle 159">
          <a:extLst>
            <a:ext uri="{FF2B5EF4-FFF2-40B4-BE49-F238E27FC236}">
              <a16:creationId xmlns:a16="http://schemas.microsoft.com/office/drawing/2014/main" xmlns="" id="{00000000-0008-0000-0300-0000D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6" name="Rectangle 160">
          <a:extLst>
            <a:ext uri="{FF2B5EF4-FFF2-40B4-BE49-F238E27FC236}">
              <a16:creationId xmlns:a16="http://schemas.microsoft.com/office/drawing/2014/main" xmlns="" id="{00000000-0008-0000-0300-0000D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7" name="Rectangle 161">
          <a:extLst>
            <a:ext uri="{FF2B5EF4-FFF2-40B4-BE49-F238E27FC236}">
              <a16:creationId xmlns:a16="http://schemas.microsoft.com/office/drawing/2014/main" xmlns="" id="{00000000-0008-0000-0300-0000D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8" name="Rectangle 162">
          <a:extLst>
            <a:ext uri="{FF2B5EF4-FFF2-40B4-BE49-F238E27FC236}">
              <a16:creationId xmlns:a16="http://schemas.microsoft.com/office/drawing/2014/main" xmlns="" id="{00000000-0008-0000-0300-0000E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9" name="Rectangle 163">
          <a:extLst>
            <a:ext uri="{FF2B5EF4-FFF2-40B4-BE49-F238E27FC236}">
              <a16:creationId xmlns:a16="http://schemas.microsoft.com/office/drawing/2014/main" xmlns="" id="{00000000-0008-0000-0300-0000E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0" name="Rectangle 164">
          <a:extLst>
            <a:ext uri="{FF2B5EF4-FFF2-40B4-BE49-F238E27FC236}">
              <a16:creationId xmlns:a16="http://schemas.microsoft.com/office/drawing/2014/main" xmlns="" id="{00000000-0008-0000-0300-0000E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1" name="Rectangle 165">
          <a:extLst>
            <a:ext uri="{FF2B5EF4-FFF2-40B4-BE49-F238E27FC236}">
              <a16:creationId xmlns:a16="http://schemas.microsoft.com/office/drawing/2014/main" xmlns="" id="{00000000-0008-0000-0300-0000E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2" name="Rectangle 166">
          <a:extLst>
            <a:ext uri="{FF2B5EF4-FFF2-40B4-BE49-F238E27FC236}">
              <a16:creationId xmlns:a16="http://schemas.microsoft.com/office/drawing/2014/main" xmlns="" id="{00000000-0008-0000-0300-0000E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3" name="Rectangle 167">
          <a:extLst>
            <a:ext uri="{FF2B5EF4-FFF2-40B4-BE49-F238E27FC236}">
              <a16:creationId xmlns:a16="http://schemas.microsoft.com/office/drawing/2014/main" xmlns="" id="{00000000-0008-0000-0300-0000E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4" name="Rectangle 168">
          <a:extLst>
            <a:ext uri="{FF2B5EF4-FFF2-40B4-BE49-F238E27FC236}">
              <a16:creationId xmlns:a16="http://schemas.microsoft.com/office/drawing/2014/main" xmlns="" id="{00000000-0008-0000-0300-0000E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5" name="Rectangle 169">
          <a:extLst>
            <a:ext uri="{FF2B5EF4-FFF2-40B4-BE49-F238E27FC236}">
              <a16:creationId xmlns:a16="http://schemas.microsoft.com/office/drawing/2014/main" xmlns="" id="{00000000-0008-0000-0300-0000E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6" name="Rectangle 170">
          <a:extLst>
            <a:ext uri="{FF2B5EF4-FFF2-40B4-BE49-F238E27FC236}">
              <a16:creationId xmlns:a16="http://schemas.microsoft.com/office/drawing/2014/main" xmlns="" id="{00000000-0008-0000-0300-0000E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7" name="Rectangle 171">
          <a:extLst>
            <a:ext uri="{FF2B5EF4-FFF2-40B4-BE49-F238E27FC236}">
              <a16:creationId xmlns:a16="http://schemas.microsoft.com/office/drawing/2014/main" xmlns="" id="{00000000-0008-0000-0300-0000E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8" name="Rectangle 172">
          <a:extLst>
            <a:ext uri="{FF2B5EF4-FFF2-40B4-BE49-F238E27FC236}">
              <a16:creationId xmlns:a16="http://schemas.microsoft.com/office/drawing/2014/main" xmlns="" id="{00000000-0008-0000-0300-0000E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9" name="Rectangle 173">
          <a:extLst>
            <a:ext uri="{FF2B5EF4-FFF2-40B4-BE49-F238E27FC236}">
              <a16:creationId xmlns:a16="http://schemas.microsoft.com/office/drawing/2014/main" xmlns="" id="{00000000-0008-0000-0300-0000E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0" name="Rectangle 174">
          <a:extLst>
            <a:ext uri="{FF2B5EF4-FFF2-40B4-BE49-F238E27FC236}">
              <a16:creationId xmlns:a16="http://schemas.microsoft.com/office/drawing/2014/main" xmlns="" id="{00000000-0008-0000-0300-0000E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1" name="Rectangle 175">
          <a:extLst>
            <a:ext uri="{FF2B5EF4-FFF2-40B4-BE49-F238E27FC236}">
              <a16:creationId xmlns:a16="http://schemas.microsoft.com/office/drawing/2014/main" xmlns="" id="{00000000-0008-0000-0300-0000E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2" name="Rectangle 176">
          <a:extLst>
            <a:ext uri="{FF2B5EF4-FFF2-40B4-BE49-F238E27FC236}">
              <a16:creationId xmlns:a16="http://schemas.microsoft.com/office/drawing/2014/main" xmlns="" id="{00000000-0008-0000-0300-0000E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3" name="Rectangle 177">
          <a:extLst>
            <a:ext uri="{FF2B5EF4-FFF2-40B4-BE49-F238E27FC236}">
              <a16:creationId xmlns:a16="http://schemas.microsoft.com/office/drawing/2014/main" xmlns="" id="{00000000-0008-0000-0300-0000E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4" name="Rectangle 178">
          <a:extLst>
            <a:ext uri="{FF2B5EF4-FFF2-40B4-BE49-F238E27FC236}">
              <a16:creationId xmlns:a16="http://schemas.microsoft.com/office/drawing/2014/main" xmlns="" id="{00000000-0008-0000-0300-0000F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5" name="Rectangle 179">
          <a:extLst>
            <a:ext uri="{FF2B5EF4-FFF2-40B4-BE49-F238E27FC236}">
              <a16:creationId xmlns:a16="http://schemas.microsoft.com/office/drawing/2014/main" xmlns="" id="{00000000-0008-0000-0300-0000F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6" name="Rectangle 180">
          <a:extLst>
            <a:ext uri="{FF2B5EF4-FFF2-40B4-BE49-F238E27FC236}">
              <a16:creationId xmlns:a16="http://schemas.microsoft.com/office/drawing/2014/main" xmlns="" id="{00000000-0008-0000-0300-0000F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7" name="Rectangle 181">
          <a:extLst>
            <a:ext uri="{FF2B5EF4-FFF2-40B4-BE49-F238E27FC236}">
              <a16:creationId xmlns:a16="http://schemas.microsoft.com/office/drawing/2014/main" xmlns="" id="{00000000-0008-0000-0300-0000F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8" name="Rectangle 182">
          <a:extLst>
            <a:ext uri="{FF2B5EF4-FFF2-40B4-BE49-F238E27FC236}">
              <a16:creationId xmlns:a16="http://schemas.microsoft.com/office/drawing/2014/main" xmlns="" id="{00000000-0008-0000-0300-0000F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9" name="Rectangle 183">
          <a:extLst>
            <a:ext uri="{FF2B5EF4-FFF2-40B4-BE49-F238E27FC236}">
              <a16:creationId xmlns:a16="http://schemas.microsoft.com/office/drawing/2014/main" xmlns="" id="{00000000-0008-0000-0300-0000F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30" name="Rectangle 184">
          <a:extLst>
            <a:ext uri="{FF2B5EF4-FFF2-40B4-BE49-F238E27FC236}">
              <a16:creationId xmlns:a16="http://schemas.microsoft.com/office/drawing/2014/main" xmlns="" id="{00000000-0008-0000-0300-0000F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1" name="Rectangle 185">
          <a:extLst>
            <a:ext uri="{FF2B5EF4-FFF2-40B4-BE49-F238E27FC236}">
              <a16:creationId xmlns:a16="http://schemas.microsoft.com/office/drawing/2014/main" xmlns="" id="{00000000-0008-0000-0300-0000F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2" name="Rectangle 186">
          <a:extLst>
            <a:ext uri="{FF2B5EF4-FFF2-40B4-BE49-F238E27FC236}">
              <a16:creationId xmlns:a16="http://schemas.microsoft.com/office/drawing/2014/main" xmlns="" id="{00000000-0008-0000-0300-0000F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3" name="Rectangle 187">
          <a:extLst>
            <a:ext uri="{FF2B5EF4-FFF2-40B4-BE49-F238E27FC236}">
              <a16:creationId xmlns:a16="http://schemas.microsoft.com/office/drawing/2014/main" xmlns="" id="{00000000-0008-0000-0300-0000F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4" name="Rectangle 188">
          <a:extLst>
            <a:ext uri="{FF2B5EF4-FFF2-40B4-BE49-F238E27FC236}">
              <a16:creationId xmlns:a16="http://schemas.microsoft.com/office/drawing/2014/main" xmlns="" id="{00000000-0008-0000-0300-0000FA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5" name="Rectangle 189">
          <a:extLst>
            <a:ext uri="{FF2B5EF4-FFF2-40B4-BE49-F238E27FC236}">
              <a16:creationId xmlns:a16="http://schemas.microsoft.com/office/drawing/2014/main" xmlns="" id="{00000000-0008-0000-0300-0000FB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6" name="Rectangle 190">
          <a:extLst>
            <a:ext uri="{FF2B5EF4-FFF2-40B4-BE49-F238E27FC236}">
              <a16:creationId xmlns:a16="http://schemas.microsoft.com/office/drawing/2014/main" xmlns="" id="{00000000-0008-0000-0300-0000FC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7" name="Rectangle 191">
          <a:extLst>
            <a:ext uri="{FF2B5EF4-FFF2-40B4-BE49-F238E27FC236}">
              <a16:creationId xmlns:a16="http://schemas.microsoft.com/office/drawing/2014/main" xmlns="" id="{00000000-0008-0000-0300-0000FD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8" name="Rectangle 192">
          <a:extLst>
            <a:ext uri="{FF2B5EF4-FFF2-40B4-BE49-F238E27FC236}">
              <a16:creationId xmlns:a16="http://schemas.microsoft.com/office/drawing/2014/main" xmlns="" id="{00000000-0008-0000-0300-0000F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9" name="Rectangle 193">
          <a:extLst>
            <a:ext uri="{FF2B5EF4-FFF2-40B4-BE49-F238E27FC236}">
              <a16:creationId xmlns:a16="http://schemas.microsoft.com/office/drawing/2014/main" xmlns="" id="{00000000-0008-0000-0300-0000FF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0" name="Rectangle 194">
          <a:extLst>
            <a:ext uri="{FF2B5EF4-FFF2-40B4-BE49-F238E27FC236}">
              <a16:creationId xmlns:a16="http://schemas.microsoft.com/office/drawing/2014/main" xmlns="" id="{00000000-0008-0000-0300-00000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1" name="Rectangle 195">
          <a:extLst>
            <a:ext uri="{FF2B5EF4-FFF2-40B4-BE49-F238E27FC236}">
              <a16:creationId xmlns:a16="http://schemas.microsoft.com/office/drawing/2014/main" xmlns="" id="{00000000-0008-0000-0300-00000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2" name="Rectangle 196">
          <a:extLst>
            <a:ext uri="{FF2B5EF4-FFF2-40B4-BE49-F238E27FC236}">
              <a16:creationId xmlns:a16="http://schemas.microsoft.com/office/drawing/2014/main" xmlns="" id="{00000000-0008-0000-0300-00000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3" name="Rectangle 197">
          <a:extLst>
            <a:ext uri="{FF2B5EF4-FFF2-40B4-BE49-F238E27FC236}">
              <a16:creationId xmlns:a16="http://schemas.microsoft.com/office/drawing/2014/main" xmlns="" id="{00000000-0008-0000-0300-00000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4" name="Rectangle 198">
          <a:extLst>
            <a:ext uri="{FF2B5EF4-FFF2-40B4-BE49-F238E27FC236}">
              <a16:creationId xmlns:a16="http://schemas.microsoft.com/office/drawing/2014/main" xmlns="" id="{00000000-0008-0000-0300-00000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5" name="Rectangle 199">
          <a:extLst>
            <a:ext uri="{FF2B5EF4-FFF2-40B4-BE49-F238E27FC236}">
              <a16:creationId xmlns:a16="http://schemas.microsoft.com/office/drawing/2014/main" xmlns="" id="{00000000-0008-0000-0300-00000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6" name="Rectangle 200">
          <a:extLst>
            <a:ext uri="{FF2B5EF4-FFF2-40B4-BE49-F238E27FC236}">
              <a16:creationId xmlns:a16="http://schemas.microsoft.com/office/drawing/2014/main" xmlns="" id="{00000000-0008-0000-0300-00000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7" name="Rectangle 201">
          <a:extLst>
            <a:ext uri="{FF2B5EF4-FFF2-40B4-BE49-F238E27FC236}">
              <a16:creationId xmlns:a16="http://schemas.microsoft.com/office/drawing/2014/main" xmlns="" id="{00000000-0008-0000-0300-00000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8" name="Rectangle 202">
          <a:extLst>
            <a:ext uri="{FF2B5EF4-FFF2-40B4-BE49-F238E27FC236}">
              <a16:creationId xmlns:a16="http://schemas.microsoft.com/office/drawing/2014/main" xmlns="" id="{00000000-0008-0000-0300-00000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9" name="Rectangle 203">
          <a:extLst>
            <a:ext uri="{FF2B5EF4-FFF2-40B4-BE49-F238E27FC236}">
              <a16:creationId xmlns:a16="http://schemas.microsoft.com/office/drawing/2014/main" xmlns="" id="{00000000-0008-0000-0300-00000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0" name="Rectangle 204">
          <a:extLst>
            <a:ext uri="{FF2B5EF4-FFF2-40B4-BE49-F238E27FC236}">
              <a16:creationId xmlns:a16="http://schemas.microsoft.com/office/drawing/2014/main" xmlns="" id="{00000000-0008-0000-0300-00000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1" name="Rectangle 205">
          <a:extLst>
            <a:ext uri="{FF2B5EF4-FFF2-40B4-BE49-F238E27FC236}">
              <a16:creationId xmlns:a16="http://schemas.microsoft.com/office/drawing/2014/main" xmlns="" id="{00000000-0008-0000-0300-00000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2" name="Rectangle 206">
          <a:extLst>
            <a:ext uri="{FF2B5EF4-FFF2-40B4-BE49-F238E27FC236}">
              <a16:creationId xmlns:a16="http://schemas.microsoft.com/office/drawing/2014/main" xmlns="" id="{00000000-0008-0000-0300-00000C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3" name="Rectangle 207">
          <a:extLst>
            <a:ext uri="{FF2B5EF4-FFF2-40B4-BE49-F238E27FC236}">
              <a16:creationId xmlns:a16="http://schemas.microsoft.com/office/drawing/2014/main" xmlns="" id="{00000000-0008-0000-0300-00000D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4" name="Rectangle 208">
          <a:extLst>
            <a:ext uri="{FF2B5EF4-FFF2-40B4-BE49-F238E27FC236}">
              <a16:creationId xmlns:a16="http://schemas.microsoft.com/office/drawing/2014/main" xmlns="" id="{00000000-0008-0000-0300-00000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5" name="Rectangle 209">
          <a:extLst>
            <a:ext uri="{FF2B5EF4-FFF2-40B4-BE49-F238E27FC236}">
              <a16:creationId xmlns:a16="http://schemas.microsoft.com/office/drawing/2014/main" xmlns="" id="{00000000-0008-0000-0300-00000F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6" name="Rectangle 210">
          <a:extLst>
            <a:ext uri="{FF2B5EF4-FFF2-40B4-BE49-F238E27FC236}">
              <a16:creationId xmlns:a16="http://schemas.microsoft.com/office/drawing/2014/main" xmlns="" id="{00000000-0008-0000-0300-00001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7" name="Rectangle 211">
          <a:extLst>
            <a:ext uri="{FF2B5EF4-FFF2-40B4-BE49-F238E27FC236}">
              <a16:creationId xmlns:a16="http://schemas.microsoft.com/office/drawing/2014/main" xmlns="" id="{00000000-0008-0000-0300-00001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8" name="Rectangle 212">
          <a:extLst>
            <a:ext uri="{FF2B5EF4-FFF2-40B4-BE49-F238E27FC236}">
              <a16:creationId xmlns:a16="http://schemas.microsoft.com/office/drawing/2014/main" xmlns="" id="{00000000-0008-0000-0300-00001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9" name="Rectangle 213">
          <a:extLst>
            <a:ext uri="{FF2B5EF4-FFF2-40B4-BE49-F238E27FC236}">
              <a16:creationId xmlns:a16="http://schemas.microsoft.com/office/drawing/2014/main" xmlns="" id="{00000000-0008-0000-0300-00001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0" name="Rectangle 214">
          <a:extLst>
            <a:ext uri="{FF2B5EF4-FFF2-40B4-BE49-F238E27FC236}">
              <a16:creationId xmlns:a16="http://schemas.microsoft.com/office/drawing/2014/main" xmlns="" id="{00000000-0008-0000-0300-00001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1" name="Rectangle 215">
          <a:extLst>
            <a:ext uri="{FF2B5EF4-FFF2-40B4-BE49-F238E27FC236}">
              <a16:creationId xmlns:a16="http://schemas.microsoft.com/office/drawing/2014/main" xmlns="" id="{00000000-0008-0000-0300-00001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2" name="Rectangle 216">
          <a:extLst>
            <a:ext uri="{FF2B5EF4-FFF2-40B4-BE49-F238E27FC236}">
              <a16:creationId xmlns:a16="http://schemas.microsoft.com/office/drawing/2014/main" xmlns="" id="{00000000-0008-0000-0300-000016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3" name="Rectangle 217">
          <a:extLst>
            <a:ext uri="{FF2B5EF4-FFF2-40B4-BE49-F238E27FC236}">
              <a16:creationId xmlns:a16="http://schemas.microsoft.com/office/drawing/2014/main" xmlns="" id="{00000000-0008-0000-0300-000017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4" name="Rectangle 218">
          <a:extLst>
            <a:ext uri="{FF2B5EF4-FFF2-40B4-BE49-F238E27FC236}">
              <a16:creationId xmlns:a16="http://schemas.microsoft.com/office/drawing/2014/main" xmlns="" id="{00000000-0008-0000-0300-00001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5" name="Rectangle 219">
          <a:extLst>
            <a:ext uri="{FF2B5EF4-FFF2-40B4-BE49-F238E27FC236}">
              <a16:creationId xmlns:a16="http://schemas.microsoft.com/office/drawing/2014/main" xmlns="" id="{00000000-0008-0000-0300-00001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6" name="Rectangle 220">
          <a:extLst>
            <a:ext uri="{FF2B5EF4-FFF2-40B4-BE49-F238E27FC236}">
              <a16:creationId xmlns:a16="http://schemas.microsoft.com/office/drawing/2014/main" xmlns="" id="{00000000-0008-0000-0300-00001A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7" name="Rectangle 221">
          <a:extLst>
            <a:ext uri="{FF2B5EF4-FFF2-40B4-BE49-F238E27FC236}">
              <a16:creationId xmlns:a16="http://schemas.microsoft.com/office/drawing/2014/main" xmlns="" id="{00000000-0008-0000-0300-00001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8" name="Rectangle 222">
          <a:extLst>
            <a:ext uri="{FF2B5EF4-FFF2-40B4-BE49-F238E27FC236}">
              <a16:creationId xmlns:a16="http://schemas.microsoft.com/office/drawing/2014/main" xmlns="" id="{00000000-0008-0000-0300-00001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9" name="Rectangle 223">
          <a:extLst>
            <a:ext uri="{FF2B5EF4-FFF2-40B4-BE49-F238E27FC236}">
              <a16:creationId xmlns:a16="http://schemas.microsoft.com/office/drawing/2014/main" xmlns="" id="{00000000-0008-0000-0300-00001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0" name="Rectangle 224">
          <a:extLst>
            <a:ext uri="{FF2B5EF4-FFF2-40B4-BE49-F238E27FC236}">
              <a16:creationId xmlns:a16="http://schemas.microsoft.com/office/drawing/2014/main" xmlns="" id="{00000000-0008-0000-0300-00001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1" name="Rectangle 225">
          <a:extLst>
            <a:ext uri="{FF2B5EF4-FFF2-40B4-BE49-F238E27FC236}">
              <a16:creationId xmlns:a16="http://schemas.microsoft.com/office/drawing/2014/main" xmlns="" id="{00000000-0008-0000-0300-00001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2" name="Rectangle 226">
          <a:extLst>
            <a:ext uri="{FF2B5EF4-FFF2-40B4-BE49-F238E27FC236}">
              <a16:creationId xmlns:a16="http://schemas.microsoft.com/office/drawing/2014/main" xmlns="" id="{00000000-0008-0000-0300-000020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3" name="Rectangle 227">
          <a:extLst>
            <a:ext uri="{FF2B5EF4-FFF2-40B4-BE49-F238E27FC236}">
              <a16:creationId xmlns:a16="http://schemas.microsoft.com/office/drawing/2014/main" xmlns="" id="{00000000-0008-0000-0300-00002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4" name="Rectangle 228">
          <a:extLst>
            <a:ext uri="{FF2B5EF4-FFF2-40B4-BE49-F238E27FC236}">
              <a16:creationId xmlns:a16="http://schemas.microsoft.com/office/drawing/2014/main" xmlns="" id="{00000000-0008-0000-0300-00002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5" name="Rectangle 229">
          <a:extLst>
            <a:ext uri="{FF2B5EF4-FFF2-40B4-BE49-F238E27FC236}">
              <a16:creationId xmlns:a16="http://schemas.microsoft.com/office/drawing/2014/main" xmlns="" id="{00000000-0008-0000-0300-000023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6" name="Rectangle 230">
          <a:extLst>
            <a:ext uri="{FF2B5EF4-FFF2-40B4-BE49-F238E27FC236}">
              <a16:creationId xmlns:a16="http://schemas.microsoft.com/office/drawing/2014/main" xmlns="" id="{00000000-0008-0000-0300-00002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77" name="Rectangle 231">
          <a:extLst>
            <a:ext uri="{FF2B5EF4-FFF2-40B4-BE49-F238E27FC236}">
              <a16:creationId xmlns:a16="http://schemas.microsoft.com/office/drawing/2014/main" xmlns="" id="{00000000-0008-0000-0300-000025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8" name="Rectangle 232">
          <a:extLst>
            <a:ext uri="{FF2B5EF4-FFF2-40B4-BE49-F238E27FC236}">
              <a16:creationId xmlns:a16="http://schemas.microsoft.com/office/drawing/2014/main" xmlns="" id="{00000000-0008-0000-0300-000026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9" name="Rectangle 233">
          <a:extLst>
            <a:ext uri="{FF2B5EF4-FFF2-40B4-BE49-F238E27FC236}">
              <a16:creationId xmlns:a16="http://schemas.microsoft.com/office/drawing/2014/main" xmlns="" id="{00000000-0008-0000-0300-000027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0" name="Rectangle 234">
          <a:extLst>
            <a:ext uri="{FF2B5EF4-FFF2-40B4-BE49-F238E27FC236}">
              <a16:creationId xmlns:a16="http://schemas.microsoft.com/office/drawing/2014/main" xmlns="" id="{00000000-0008-0000-0300-000028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1" name="Rectangle 235">
          <a:extLst>
            <a:ext uri="{FF2B5EF4-FFF2-40B4-BE49-F238E27FC236}">
              <a16:creationId xmlns:a16="http://schemas.microsoft.com/office/drawing/2014/main" xmlns="" id="{00000000-0008-0000-0300-000029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2" name="Rectangle 236">
          <a:extLst>
            <a:ext uri="{FF2B5EF4-FFF2-40B4-BE49-F238E27FC236}">
              <a16:creationId xmlns:a16="http://schemas.microsoft.com/office/drawing/2014/main" xmlns="" id="{00000000-0008-0000-0300-00002A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3" name="Rectangle 237">
          <a:extLst>
            <a:ext uri="{FF2B5EF4-FFF2-40B4-BE49-F238E27FC236}">
              <a16:creationId xmlns:a16="http://schemas.microsoft.com/office/drawing/2014/main" xmlns="" id="{00000000-0008-0000-0300-00002B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4" name="Rectangle 238">
          <a:extLst>
            <a:ext uri="{FF2B5EF4-FFF2-40B4-BE49-F238E27FC236}">
              <a16:creationId xmlns:a16="http://schemas.microsoft.com/office/drawing/2014/main" xmlns="" id="{00000000-0008-0000-0300-00002C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5" name="Rectangle 239">
          <a:extLst>
            <a:ext uri="{FF2B5EF4-FFF2-40B4-BE49-F238E27FC236}">
              <a16:creationId xmlns:a16="http://schemas.microsoft.com/office/drawing/2014/main" xmlns="" id="{00000000-0008-0000-0300-00002D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6" name="Rectangle 240">
          <a:extLst>
            <a:ext uri="{FF2B5EF4-FFF2-40B4-BE49-F238E27FC236}">
              <a16:creationId xmlns:a16="http://schemas.microsoft.com/office/drawing/2014/main" xmlns="" id="{00000000-0008-0000-0300-00002E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7" name="Rectangle 241">
          <a:extLst>
            <a:ext uri="{FF2B5EF4-FFF2-40B4-BE49-F238E27FC236}">
              <a16:creationId xmlns:a16="http://schemas.microsoft.com/office/drawing/2014/main" xmlns="" id="{00000000-0008-0000-0300-00002F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8" name="Rectangle 242">
          <a:extLst>
            <a:ext uri="{FF2B5EF4-FFF2-40B4-BE49-F238E27FC236}">
              <a16:creationId xmlns:a16="http://schemas.microsoft.com/office/drawing/2014/main" xmlns="" id="{00000000-0008-0000-0300-000030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9" name="Rectangle 243">
          <a:extLst>
            <a:ext uri="{FF2B5EF4-FFF2-40B4-BE49-F238E27FC236}">
              <a16:creationId xmlns:a16="http://schemas.microsoft.com/office/drawing/2014/main" xmlns="" id="{00000000-0008-0000-0300-000031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0" name="Rectangle 244">
          <a:extLst>
            <a:ext uri="{FF2B5EF4-FFF2-40B4-BE49-F238E27FC236}">
              <a16:creationId xmlns:a16="http://schemas.microsoft.com/office/drawing/2014/main" xmlns="" id="{00000000-0008-0000-0300-000032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1" name="Rectangle 245">
          <a:extLst>
            <a:ext uri="{FF2B5EF4-FFF2-40B4-BE49-F238E27FC236}">
              <a16:creationId xmlns:a16="http://schemas.microsoft.com/office/drawing/2014/main" xmlns="" id="{00000000-0008-0000-0300-000033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2" name="Rectangle 246">
          <a:extLst>
            <a:ext uri="{FF2B5EF4-FFF2-40B4-BE49-F238E27FC236}">
              <a16:creationId xmlns:a16="http://schemas.microsoft.com/office/drawing/2014/main" xmlns="" id="{00000000-0008-0000-0300-000034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3" name="Rectangle 247">
          <a:extLst>
            <a:ext uri="{FF2B5EF4-FFF2-40B4-BE49-F238E27FC236}">
              <a16:creationId xmlns:a16="http://schemas.microsoft.com/office/drawing/2014/main" xmlns="" id="{00000000-0008-0000-0300-000035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4" name="Rectangle 248">
          <a:extLst>
            <a:ext uri="{FF2B5EF4-FFF2-40B4-BE49-F238E27FC236}">
              <a16:creationId xmlns:a16="http://schemas.microsoft.com/office/drawing/2014/main" xmlns="" id="{00000000-0008-0000-0300-000036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5" name="Rectangle 249">
          <a:extLst>
            <a:ext uri="{FF2B5EF4-FFF2-40B4-BE49-F238E27FC236}">
              <a16:creationId xmlns:a16="http://schemas.microsoft.com/office/drawing/2014/main" xmlns="" id="{00000000-0008-0000-0300-000037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6" name="Rectangle 250">
          <a:extLst>
            <a:ext uri="{FF2B5EF4-FFF2-40B4-BE49-F238E27FC236}">
              <a16:creationId xmlns:a16="http://schemas.microsoft.com/office/drawing/2014/main" xmlns="" id="{00000000-0008-0000-0300-000038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7" name="Rectangle 251">
          <a:extLst>
            <a:ext uri="{FF2B5EF4-FFF2-40B4-BE49-F238E27FC236}">
              <a16:creationId xmlns:a16="http://schemas.microsoft.com/office/drawing/2014/main" xmlns="" id="{00000000-0008-0000-0300-000039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8" name="Rectangle 252">
          <a:extLst>
            <a:ext uri="{FF2B5EF4-FFF2-40B4-BE49-F238E27FC236}">
              <a16:creationId xmlns:a16="http://schemas.microsoft.com/office/drawing/2014/main" xmlns="" id="{00000000-0008-0000-0300-00003A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9" name="Rectangle 253">
          <a:extLst>
            <a:ext uri="{FF2B5EF4-FFF2-40B4-BE49-F238E27FC236}">
              <a16:creationId xmlns:a16="http://schemas.microsoft.com/office/drawing/2014/main" xmlns="" id="{00000000-0008-0000-0300-00003B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0" name="Rectangle 254">
          <a:extLst>
            <a:ext uri="{FF2B5EF4-FFF2-40B4-BE49-F238E27FC236}">
              <a16:creationId xmlns:a16="http://schemas.microsoft.com/office/drawing/2014/main" xmlns="" id="{00000000-0008-0000-0300-00003C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1" name="Rectangle 255">
          <a:extLst>
            <a:ext uri="{FF2B5EF4-FFF2-40B4-BE49-F238E27FC236}">
              <a16:creationId xmlns:a16="http://schemas.microsoft.com/office/drawing/2014/main" xmlns="" id="{00000000-0008-0000-0300-00003D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2" name="Rectangle 256">
          <a:extLst>
            <a:ext uri="{FF2B5EF4-FFF2-40B4-BE49-F238E27FC236}">
              <a16:creationId xmlns:a16="http://schemas.microsoft.com/office/drawing/2014/main" xmlns="" id="{00000000-0008-0000-0300-00003E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3" name="Rectangle 257">
          <a:extLst>
            <a:ext uri="{FF2B5EF4-FFF2-40B4-BE49-F238E27FC236}">
              <a16:creationId xmlns:a16="http://schemas.microsoft.com/office/drawing/2014/main" xmlns="" id="{00000000-0008-0000-0300-00003F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4" name="Rectangle 258">
          <a:extLst>
            <a:ext uri="{FF2B5EF4-FFF2-40B4-BE49-F238E27FC236}">
              <a16:creationId xmlns:a16="http://schemas.microsoft.com/office/drawing/2014/main" xmlns="" id="{00000000-0008-0000-0300-000040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5" name="Rectangle 259">
          <a:extLst>
            <a:ext uri="{FF2B5EF4-FFF2-40B4-BE49-F238E27FC236}">
              <a16:creationId xmlns:a16="http://schemas.microsoft.com/office/drawing/2014/main" xmlns="" id="{00000000-0008-0000-0300-000041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6" name="Rectangle 260">
          <a:extLst>
            <a:ext uri="{FF2B5EF4-FFF2-40B4-BE49-F238E27FC236}">
              <a16:creationId xmlns:a16="http://schemas.microsoft.com/office/drawing/2014/main" xmlns="" id="{00000000-0008-0000-0300-000042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7" name="Rectangle 261">
          <a:extLst>
            <a:ext uri="{FF2B5EF4-FFF2-40B4-BE49-F238E27FC236}">
              <a16:creationId xmlns:a16="http://schemas.microsoft.com/office/drawing/2014/main" xmlns="" id="{00000000-0008-0000-0300-000043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8" name="Rectangle 262">
          <a:extLst>
            <a:ext uri="{FF2B5EF4-FFF2-40B4-BE49-F238E27FC236}">
              <a16:creationId xmlns:a16="http://schemas.microsoft.com/office/drawing/2014/main" xmlns="" id="{00000000-0008-0000-0300-00004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09" name="Rectangle 263">
          <a:extLst>
            <a:ext uri="{FF2B5EF4-FFF2-40B4-BE49-F238E27FC236}">
              <a16:creationId xmlns:a16="http://schemas.microsoft.com/office/drawing/2014/main" xmlns="" id="{00000000-0008-0000-0300-000045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0" name="Rectangle 264">
          <a:extLst>
            <a:ext uri="{FF2B5EF4-FFF2-40B4-BE49-F238E27FC236}">
              <a16:creationId xmlns:a16="http://schemas.microsoft.com/office/drawing/2014/main" xmlns="" id="{00000000-0008-0000-0300-000046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1" name="Rectangle 265">
          <a:extLst>
            <a:ext uri="{FF2B5EF4-FFF2-40B4-BE49-F238E27FC236}">
              <a16:creationId xmlns:a16="http://schemas.microsoft.com/office/drawing/2014/main" xmlns="" id="{00000000-0008-0000-0300-000047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2" name="Rectangle 266">
          <a:extLst>
            <a:ext uri="{FF2B5EF4-FFF2-40B4-BE49-F238E27FC236}">
              <a16:creationId xmlns:a16="http://schemas.microsoft.com/office/drawing/2014/main" xmlns="" id="{00000000-0008-0000-0300-000048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3" name="Rectangle 267">
          <a:extLst>
            <a:ext uri="{FF2B5EF4-FFF2-40B4-BE49-F238E27FC236}">
              <a16:creationId xmlns:a16="http://schemas.microsoft.com/office/drawing/2014/main" xmlns="" id="{00000000-0008-0000-0300-000049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4" name="Rectangle 268">
          <a:extLst>
            <a:ext uri="{FF2B5EF4-FFF2-40B4-BE49-F238E27FC236}">
              <a16:creationId xmlns:a16="http://schemas.microsoft.com/office/drawing/2014/main" xmlns="" id="{00000000-0008-0000-0300-00004A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5" name="Rectangle 269">
          <a:extLst>
            <a:ext uri="{FF2B5EF4-FFF2-40B4-BE49-F238E27FC236}">
              <a16:creationId xmlns:a16="http://schemas.microsoft.com/office/drawing/2014/main" xmlns="" id="{00000000-0008-0000-0300-00004B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6" name="Rectangle 270">
          <a:extLst>
            <a:ext uri="{FF2B5EF4-FFF2-40B4-BE49-F238E27FC236}">
              <a16:creationId xmlns:a16="http://schemas.microsoft.com/office/drawing/2014/main" xmlns="" id="{00000000-0008-0000-0300-00004C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7" name="Rectangle 271">
          <a:extLst>
            <a:ext uri="{FF2B5EF4-FFF2-40B4-BE49-F238E27FC236}">
              <a16:creationId xmlns:a16="http://schemas.microsoft.com/office/drawing/2014/main" xmlns="" id="{00000000-0008-0000-0300-00004D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8" name="Rectangle 272">
          <a:extLst>
            <a:ext uri="{FF2B5EF4-FFF2-40B4-BE49-F238E27FC236}">
              <a16:creationId xmlns:a16="http://schemas.microsoft.com/office/drawing/2014/main" xmlns="" id="{00000000-0008-0000-0300-00004E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9" name="Rectangle 273">
          <a:extLst>
            <a:ext uri="{FF2B5EF4-FFF2-40B4-BE49-F238E27FC236}">
              <a16:creationId xmlns:a16="http://schemas.microsoft.com/office/drawing/2014/main" xmlns="" id="{00000000-0008-0000-0300-00004F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20" name="Rectangle 274">
          <a:extLst>
            <a:ext uri="{FF2B5EF4-FFF2-40B4-BE49-F238E27FC236}">
              <a16:creationId xmlns:a16="http://schemas.microsoft.com/office/drawing/2014/main" xmlns="" id="{00000000-0008-0000-0300-000050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1" name="Rectangle 275">
          <a:extLst>
            <a:ext uri="{FF2B5EF4-FFF2-40B4-BE49-F238E27FC236}">
              <a16:creationId xmlns:a16="http://schemas.microsoft.com/office/drawing/2014/main" xmlns="" id="{00000000-0008-0000-0300-000051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2" name="Rectangle 276">
          <a:extLst>
            <a:ext uri="{FF2B5EF4-FFF2-40B4-BE49-F238E27FC236}">
              <a16:creationId xmlns:a16="http://schemas.microsoft.com/office/drawing/2014/main" xmlns="" id="{00000000-0008-0000-0300-00005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3" name="Rectangle 277">
          <a:extLst>
            <a:ext uri="{FF2B5EF4-FFF2-40B4-BE49-F238E27FC236}">
              <a16:creationId xmlns:a16="http://schemas.microsoft.com/office/drawing/2014/main" xmlns="" id="{00000000-0008-0000-0300-00005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4" name="Rectangle 278">
          <a:extLst>
            <a:ext uri="{FF2B5EF4-FFF2-40B4-BE49-F238E27FC236}">
              <a16:creationId xmlns:a16="http://schemas.microsoft.com/office/drawing/2014/main" xmlns="" id="{00000000-0008-0000-0300-000054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5" name="Rectangle 279">
          <a:extLst>
            <a:ext uri="{FF2B5EF4-FFF2-40B4-BE49-F238E27FC236}">
              <a16:creationId xmlns:a16="http://schemas.microsoft.com/office/drawing/2014/main" xmlns="" id="{00000000-0008-0000-0300-000055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6" name="Rectangle 280">
          <a:extLst>
            <a:ext uri="{FF2B5EF4-FFF2-40B4-BE49-F238E27FC236}">
              <a16:creationId xmlns:a16="http://schemas.microsoft.com/office/drawing/2014/main" xmlns="" id="{00000000-0008-0000-0300-000056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7" name="Rectangle 281">
          <a:extLst>
            <a:ext uri="{FF2B5EF4-FFF2-40B4-BE49-F238E27FC236}">
              <a16:creationId xmlns:a16="http://schemas.microsoft.com/office/drawing/2014/main" xmlns="" id="{00000000-0008-0000-0300-000057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8" name="Rectangle 282">
          <a:extLst>
            <a:ext uri="{FF2B5EF4-FFF2-40B4-BE49-F238E27FC236}">
              <a16:creationId xmlns:a16="http://schemas.microsoft.com/office/drawing/2014/main" xmlns="" id="{00000000-0008-0000-0300-000058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9" name="Rectangle 283">
          <a:extLst>
            <a:ext uri="{FF2B5EF4-FFF2-40B4-BE49-F238E27FC236}">
              <a16:creationId xmlns:a16="http://schemas.microsoft.com/office/drawing/2014/main" xmlns="" id="{00000000-0008-0000-0300-00005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0" name="Rectangle 284">
          <a:extLst>
            <a:ext uri="{FF2B5EF4-FFF2-40B4-BE49-F238E27FC236}">
              <a16:creationId xmlns:a16="http://schemas.microsoft.com/office/drawing/2014/main" xmlns="" id="{00000000-0008-0000-0300-00005A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1" name="Rectangle 285">
          <a:extLst>
            <a:ext uri="{FF2B5EF4-FFF2-40B4-BE49-F238E27FC236}">
              <a16:creationId xmlns:a16="http://schemas.microsoft.com/office/drawing/2014/main" xmlns="" id="{00000000-0008-0000-0300-00005B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2" name="Rectangle 286">
          <a:extLst>
            <a:ext uri="{FF2B5EF4-FFF2-40B4-BE49-F238E27FC236}">
              <a16:creationId xmlns:a16="http://schemas.microsoft.com/office/drawing/2014/main" xmlns="" id="{00000000-0008-0000-0300-00005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3" name="Rectangle 287">
          <a:extLst>
            <a:ext uri="{FF2B5EF4-FFF2-40B4-BE49-F238E27FC236}">
              <a16:creationId xmlns:a16="http://schemas.microsoft.com/office/drawing/2014/main" xmlns="" id="{00000000-0008-0000-0300-00005D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4" name="Rectangle 288">
          <a:extLst>
            <a:ext uri="{FF2B5EF4-FFF2-40B4-BE49-F238E27FC236}">
              <a16:creationId xmlns:a16="http://schemas.microsoft.com/office/drawing/2014/main" xmlns="" id="{00000000-0008-0000-0300-00005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5" name="Rectangle 289">
          <a:extLst>
            <a:ext uri="{FF2B5EF4-FFF2-40B4-BE49-F238E27FC236}">
              <a16:creationId xmlns:a16="http://schemas.microsoft.com/office/drawing/2014/main" xmlns="" id="{00000000-0008-0000-0300-00005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6" name="Rectangle 290">
          <a:extLst>
            <a:ext uri="{FF2B5EF4-FFF2-40B4-BE49-F238E27FC236}">
              <a16:creationId xmlns:a16="http://schemas.microsoft.com/office/drawing/2014/main" xmlns="" id="{00000000-0008-0000-0300-00006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7" name="Rectangle 291">
          <a:extLst>
            <a:ext uri="{FF2B5EF4-FFF2-40B4-BE49-F238E27FC236}">
              <a16:creationId xmlns:a16="http://schemas.microsoft.com/office/drawing/2014/main" xmlns="" id="{00000000-0008-0000-0300-00006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8" name="Rectangle 292">
          <a:extLst>
            <a:ext uri="{FF2B5EF4-FFF2-40B4-BE49-F238E27FC236}">
              <a16:creationId xmlns:a16="http://schemas.microsoft.com/office/drawing/2014/main" xmlns="" id="{00000000-0008-0000-0300-00006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9" name="Rectangle 293">
          <a:extLst>
            <a:ext uri="{FF2B5EF4-FFF2-40B4-BE49-F238E27FC236}">
              <a16:creationId xmlns:a16="http://schemas.microsoft.com/office/drawing/2014/main" xmlns="" id="{00000000-0008-0000-0300-00006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0" name="Rectangle 294">
          <a:extLst>
            <a:ext uri="{FF2B5EF4-FFF2-40B4-BE49-F238E27FC236}">
              <a16:creationId xmlns:a16="http://schemas.microsoft.com/office/drawing/2014/main" xmlns="" id="{00000000-0008-0000-0300-00006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1" name="Rectangle 295">
          <a:extLst>
            <a:ext uri="{FF2B5EF4-FFF2-40B4-BE49-F238E27FC236}">
              <a16:creationId xmlns:a16="http://schemas.microsoft.com/office/drawing/2014/main" xmlns="" id="{00000000-0008-0000-0300-00006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2" name="Rectangle 296">
          <a:extLst>
            <a:ext uri="{FF2B5EF4-FFF2-40B4-BE49-F238E27FC236}">
              <a16:creationId xmlns:a16="http://schemas.microsoft.com/office/drawing/2014/main" xmlns="" id="{00000000-0008-0000-0300-00006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3" name="Rectangle 297">
          <a:extLst>
            <a:ext uri="{FF2B5EF4-FFF2-40B4-BE49-F238E27FC236}">
              <a16:creationId xmlns:a16="http://schemas.microsoft.com/office/drawing/2014/main" xmlns="" id="{00000000-0008-0000-0300-00006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4" name="Rectangle 298">
          <a:extLst>
            <a:ext uri="{FF2B5EF4-FFF2-40B4-BE49-F238E27FC236}">
              <a16:creationId xmlns:a16="http://schemas.microsoft.com/office/drawing/2014/main" xmlns="" id="{00000000-0008-0000-0300-00006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5" name="Rectangle 299">
          <a:extLst>
            <a:ext uri="{FF2B5EF4-FFF2-40B4-BE49-F238E27FC236}">
              <a16:creationId xmlns:a16="http://schemas.microsoft.com/office/drawing/2014/main" xmlns="" id="{00000000-0008-0000-0300-00006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6" name="Rectangle 300">
          <a:extLst>
            <a:ext uri="{FF2B5EF4-FFF2-40B4-BE49-F238E27FC236}">
              <a16:creationId xmlns:a16="http://schemas.microsoft.com/office/drawing/2014/main" xmlns="" id="{00000000-0008-0000-0300-00006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7" name="Rectangle 301">
          <a:extLst>
            <a:ext uri="{FF2B5EF4-FFF2-40B4-BE49-F238E27FC236}">
              <a16:creationId xmlns:a16="http://schemas.microsoft.com/office/drawing/2014/main" xmlns="" id="{00000000-0008-0000-0300-00006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8" name="Rectangle 302">
          <a:extLst>
            <a:ext uri="{FF2B5EF4-FFF2-40B4-BE49-F238E27FC236}">
              <a16:creationId xmlns:a16="http://schemas.microsoft.com/office/drawing/2014/main" xmlns="" id="{00000000-0008-0000-0300-00006C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9" name="Rectangle 303">
          <a:extLst>
            <a:ext uri="{FF2B5EF4-FFF2-40B4-BE49-F238E27FC236}">
              <a16:creationId xmlns:a16="http://schemas.microsoft.com/office/drawing/2014/main" xmlns="" id="{00000000-0008-0000-0300-00006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0" name="Rectangle 304">
          <a:extLst>
            <a:ext uri="{FF2B5EF4-FFF2-40B4-BE49-F238E27FC236}">
              <a16:creationId xmlns:a16="http://schemas.microsoft.com/office/drawing/2014/main" xmlns="" id="{00000000-0008-0000-0300-00006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51" name="Rectangle 305">
          <a:extLst>
            <a:ext uri="{FF2B5EF4-FFF2-40B4-BE49-F238E27FC236}">
              <a16:creationId xmlns:a16="http://schemas.microsoft.com/office/drawing/2014/main" xmlns="" id="{00000000-0008-0000-0300-00006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2" name="Rectangle 306">
          <a:extLst>
            <a:ext uri="{FF2B5EF4-FFF2-40B4-BE49-F238E27FC236}">
              <a16:creationId xmlns:a16="http://schemas.microsoft.com/office/drawing/2014/main" xmlns="" id="{00000000-0008-0000-0300-00007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3" name="Rectangle 307">
          <a:extLst>
            <a:ext uri="{FF2B5EF4-FFF2-40B4-BE49-F238E27FC236}">
              <a16:creationId xmlns:a16="http://schemas.microsoft.com/office/drawing/2014/main" xmlns="" id="{00000000-0008-0000-0300-000071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4" name="Rectangle 308">
          <a:extLst>
            <a:ext uri="{FF2B5EF4-FFF2-40B4-BE49-F238E27FC236}">
              <a16:creationId xmlns:a16="http://schemas.microsoft.com/office/drawing/2014/main" xmlns="" id="{00000000-0008-0000-0300-000072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5" name="Rectangle 309">
          <a:extLst>
            <a:ext uri="{FF2B5EF4-FFF2-40B4-BE49-F238E27FC236}">
              <a16:creationId xmlns:a16="http://schemas.microsoft.com/office/drawing/2014/main" xmlns="" id="{00000000-0008-0000-0300-000073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6" name="Rectangle 310">
          <a:extLst>
            <a:ext uri="{FF2B5EF4-FFF2-40B4-BE49-F238E27FC236}">
              <a16:creationId xmlns:a16="http://schemas.microsoft.com/office/drawing/2014/main" xmlns="" id="{00000000-0008-0000-0300-000074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7" name="Rectangle 311">
          <a:extLst>
            <a:ext uri="{FF2B5EF4-FFF2-40B4-BE49-F238E27FC236}">
              <a16:creationId xmlns:a16="http://schemas.microsoft.com/office/drawing/2014/main" xmlns="" id="{00000000-0008-0000-0300-000075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8" name="Rectangle 312">
          <a:extLst>
            <a:ext uri="{FF2B5EF4-FFF2-40B4-BE49-F238E27FC236}">
              <a16:creationId xmlns:a16="http://schemas.microsoft.com/office/drawing/2014/main" xmlns="" id="{00000000-0008-0000-0300-000076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9" name="Rectangle 313">
          <a:extLst>
            <a:ext uri="{FF2B5EF4-FFF2-40B4-BE49-F238E27FC236}">
              <a16:creationId xmlns:a16="http://schemas.microsoft.com/office/drawing/2014/main" xmlns="" id="{00000000-0008-0000-0300-000077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0" name="Rectangle 314">
          <a:extLst>
            <a:ext uri="{FF2B5EF4-FFF2-40B4-BE49-F238E27FC236}">
              <a16:creationId xmlns:a16="http://schemas.microsoft.com/office/drawing/2014/main" xmlns="" id="{00000000-0008-0000-0300-000078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1" name="Rectangle 315">
          <a:extLst>
            <a:ext uri="{FF2B5EF4-FFF2-40B4-BE49-F238E27FC236}">
              <a16:creationId xmlns:a16="http://schemas.microsoft.com/office/drawing/2014/main" xmlns="" id="{00000000-0008-0000-0300-000079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2" name="Rectangle 316">
          <a:extLst>
            <a:ext uri="{FF2B5EF4-FFF2-40B4-BE49-F238E27FC236}">
              <a16:creationId xmlns:a16="http://schemas.microsoft.com/office/drawing/2014/main" xmlns="" id="{00000000-0008-0000-0300-00007A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3" name="Rectangle 317">
          <a:extLst>
            <a:ext uri="{FF2B5EF4-FFF2-40B4-BE49-F238E27FC236}">
              <a16:creationId xmlns:a16="http://schemas.microsoft.com/office/drawing/2014/main" xmlns="" id="{00000000-0008-0000-0300-00007B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4" name="Rectangle 318">
          <a:extLst>
            <a:ext uri="{FF2B5EF4-FFF2-40B4-BE49-F238E27FC236}">
              <a16:creationId xmlns:a16="http://schemas.microsoft.com/office/drawing/2014/main" xmlns="" id="{00000000-0008-0000-0300-00007C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5" name="Rectangle 1058">
          <a:extLst>
            <a:ext uri="{FF2B5EF4-FFF2-40B4-BE49-F238E27FC236}">
              <a16:creationId xmlns:a16="http://schemas.microsoft.com/office/drawing/2014/main" xmlns="" id="{00000000-0008-0000-0300-00007D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6" name="Rectangle 1059">
          <a:extLst>
            <a:ext uri="{FF2B5EF4-FFF2-40B4-BE49-F238E27FC236}">
              <a16:creationId xmlns:a16="http://schemas.microsoft.com/office/drawing/2014/main" xmlns="" id="{00000000-0008-0000-0300-00007E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67" name="Rectangle 1060">
          <a:extLst>
            <a:ext uri="{FF2B5EF4-FFF2-40B4-BE49-F238E27FC236}">
              <a16:creationId xmlns:a16="http://schemas.microsoft.com/office/drawing/2014/main" xmlns="" id="{00000000-0008-0000-0300-00007F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8" name="Rectangle 1061">
          <a:extLst>
            <a:ext uri="{FF2B5EF4-FFF2-40B4-BE49-F238E27FC236}">
              <a16:creationId xmlns:a16="http://schemas.microsoft.com/office/drawing/2014/main" xmlns="" id="{00000000-0008-0000-0300-000080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9" name="Rectangle 1062">
          <a:extLst>
            <a:ext uri="{FF2B5EF4-FFF2-40B4-BE49-F238E27FC236}">
              <a16:creationId xmlns:a16="http://schemas.microsoft.com/office/drawing/2014/main" xmlns="" id="{00000000-0008-0000-0300-00008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0" name="Rectangle 1063">
          <a:extLst>
            <a:ext uri="{FF2B5EF4-FFF2-40B4-BE49-F238E27FC236}">
              <a16:creationId xmlns:a16="http://schemas.microsoft.com/office/drawing/2014/main" xmlns="" id="{00000000-0008-0000-0300-00008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1" name="Rectangle 1064">
          <a:extLst>
            <a:ext uri="{FF2B5EF4-FFF2-40B4-BE49-F238E27FC236}">
              <a16:creationId xmlns:a16="http://schemas.microsoft.com/office/drawing/2014/main" xmlns="" id="{00000000-0008-0000-0300-000083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2" name="Rectangle 1065">
          <a:extLst>
            <a:ext uri="{FF2B5EF4-FFF2-40B4-BE49-F238E27FC236}">
              <a16:creationId xmlns:a16="http://schemas.microsoft.com/office/drawing/2014/main" xmlns="" id="{00000000-0008-0000-0300-000084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3" name="Rectangle 1066">
          <a:extLst>
            <a:ext uri="{FF2B5EF4-FFF2-40B4-BE49-F238E27FC236}">
              <a16:creationId xmlns:a16="http://schemas.microsoft.com/office/drawing/2014/main" xmlns="" id="{00000000-0008-0000-0300-000085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4" name="Rectangle 1067">
          <a:extLst>
            <a:ext uri="{FF2B5EF4-FFF2-40B4-BE49-F238E27FC236}">
              <a16:creationId xmlns:a16="http://schemas.microsoft.com/office/drawing/2014/main" xmlns="" id="{00000000-0008-0000-0300-000086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5" name="Rectangle 1068">
          <a:extLst>
            <a:ext uri="{FF2B5EF4-FFF2-40B4-BE49-F238E27FC236}">
              <a16:creationId xmlns:a16="http://schemas.microsoft.com/office/drawing/2014/main" xmlns="" id="{00000000-0008-0000-0300-000087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6" name="Rectangle 1069">
          <a:extLst>
            <a:ext uri="{FF2B5EF4-FFF2-40B4-BE49-F238E27FC236}">
              <a16:creationId xmlns:a16="http://schemas.microsoft.com/office/drawing/2014/main" xmlns="" id="{00000000-0008-0000-0300-000088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7" name="Rectangle 1070">
          <a:extLst>
            <a:ext uri="{FF2B5EF4-FFF2-40B4-BE49-F238E27FC236}">
              <a16:creationId xmlns:a16="http://schemas.microsoft.com/office/drawing/2014/main" xmlns="" id="{00000000-0008-0000-0300-000089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8" name="Rectangle 1071">
          <a:extLst>
            <a:ext uri="{FF2B5EF4-FFF2-40B4-BE49-F238E27FC236}">
              <a16:creationId xmlns:a16="http://schemas.microsoft.com/office/drawing/2014/main" xmlns="" id="{00000000-0008-0000-0300-00008A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9" name="Rectangle 1072">
          <a:extLst>
            <a:ext uri="{FF2B5EF4-FFF2-40B4-BE49-F238E27FC236}">
              <a16:creationId xmlns:a16="http://schemas.microsoft.com/office/drawing/2014/main" xmlns="" id="{00000000-0008-0000-0300-00008B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0" name="Rectangle 1073">
          <a:extLst>
            <a:ext uri="{FF2B5EF4-FFF2-40B4-BE49-F238E27FC236}">
              <a16:creationId xmlns:a16="http://schemas.microsoft.com/office/drawing/2014/main" xmlns="" id="{00000000-0008-0000-0300-00008C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1" name="Rectangle 1074">
          <a:extLst>
            <a:ext uri="{FF2B5EF4-FFF2-40B4-BE49-F238E27FC236}">
              <a16:creationId xmlns:a16="http://schemas.microsoft.com/office/drawing/2014/main" xmlns="" id="{00000000-0008-0000-0300-00008D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2" name="Rectangle 1075">
          <a:extLst>
            <a:ext uri="{FF2B5EF4-FFF2-40B4-BE49-F238E27FC236}">
              <a16:creationId xmlns:a16="http://schemas.microsoft.com/office/drawing/2014/main" xmlns="" id="{00000000-0008-0000-0300-00008E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3" name="Rectangle 1076">
          <a:extLst>
            <a:ext uri="{FF2B5EF4-FFF2-40B4-BE49-F238E27FC236}">
              <a16:creationId xmlns:a16="http://schemas.microsoft.com/office/drawing/2014/main" xmlns="" id="{00000000-0008-0000-0300-00008F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4" name="Rectangle 1077">
          <a:extLst>
            <a:ext uri="{FF2B5EF4-FFF2-40B4-BE49-F238E27FC236}">
              <a16:creationId xmlns:a16="http://schemas.microsoft.com/office/drawing/2014/main" xmlns="" id="{00000000-0008-0000-0300-000090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5" name="Rectangle 1078">
          <a:extLst>
            <a:ext uri="{FF2B5EF4-FFF2-40B4-BE49-F238E27FC236}">
              <a16:creationId xmlns:a16="http://schemas.microsoft.com/office/drawing/2014/main" xmlns="" id="{00000000-0008-0000-0300-00009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6" name="Rectangle 1079">
          <a:extLst>
            <a:ext uri="{FF2B5EF4-FFF2-40B4-BE49-F238E27FC236}">
              <a16:creationId xmlns:a16="http://schemas.microsoft.com/office/drawing/2014/main" xmlns="" id="{00000000-0008-0000-0300-00009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7" name="Rectangle 1080">
          <a:extLst>
            <a:ext uri="{FF2B5EF4-FFF2-40B4-BE49-F238E27FC236}">
              <a16:creationId xmlns:a16="http://schemas.microsoft.com/office/drawing/2014/main" xmlns="" id="{00000000-0008-0000-0300-000093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8" name="Rectangle 1081">
          <a:extLst>
            <a:ext uri="{FF2B5EF4-FFF2-40B4-BE49-F238E27FC236}">
              <a16:creationId xmlns:a16="http://schemas.microsoft.com/office/drawing/2014/main" xmlns="" id="{00000000-0008-0000-0300-000094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9" name="Rectangle 1082">
          <a:extLst>
            <a:ext uri="{FF2B5EF4-FFF2-40B4-BE49-F238E27FC236}">
              <a16:creationId xmlns:a16="http://schemas.microsoft.com/office/drawing/2014/main" xmlns="" id="{00000000-0008-0000-0300-000095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90" name="Rectangle 1083">
          <a:extLst>
            <a:ext uri="{FF2B5EF4-FFF2-40B4-BE49-F238E27FC236}">
              <a16:creationId xmlns:a16="http://schemas.microsoft.com/office/drawing/2014/main" xmlns="" id="{00000000-0008-0000-0300-000096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1" name="Rectangle 1084">
          <a:extLst>
            <a:ext uri="{FF2B5EF4-FFF2-40B4-BE49-F238E27FC236}">
              <a16:creationId xmlns:a16="http://schemas.microsoft.com/office/drawing/2014/main" xmlns="" id="{00000000-0008-0000-0300-000097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2" name="Rectangle 1085">
          <a:extLst>
            <a:ext uri="{FF2B5EF4-FFF2-40B4-BE49-F238E27FC236}">
              <a16:creationId xmlns:a16="http://schemas.microsoft.com/office/drawing/2014/main" xmlns="" id="{00000000-0008-0000-0300-000098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3" name="Rectangle 1086">
          <a:extLst>
            <a:ext uri="{FF2B5EF4-FFF2-40B4-BE49-F238E27FC236}">
              <a16:creationId xmlns:a16="http://schemas.microsoft.com/office/drawing/2014/main" xmlns="" id="{00000000-0008-0000-0300-000099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4" name="Rectangle 1087">
          <a:extLst>
            <a:ext uri="{FF2B5EF4-FFF2-40B4-BE49-F238E27FC236}">
              <a16:creationId xmlns:a16="http://schemas.microsoft.com/office/drawing/2014/main" xmlns="" id="{00000000-0008-0000-0300-00009A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5" name="Rectangle 1088">
          <a:extLst>
            <a:ext uri="{FF2B5EF4-FFF2-40B4-BE49-F238E27FC236}">
              <a16:creationId xmlns:a16="http://schemas.microsoft.com/office/drawing/2014/main" xmlns="" id="{00000000-0008-0000-0300-00009B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6" name="Rectangle 1089">
          <a:extLst>
            <a:ext uri="{FF2B5EF4-FFF2-40B4-BE49-F238E27FC236}">
              <a16:creationId xmlns:a16="http://schemas.microsoft.com/office/drawing/2014/main" xmlns="" id="{00000000-0008-0000-0300-00009C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7" name="Rectangle 1090">
          <a:extLst>
            <a:ext uri="{FF2B5EF4-FFF2-40B4-BE49-F238E27FC236}">
              <a16:creationId xmlns:a16="http://schemas.microsoft.com/office/drawing/2014/main" xmlns="" id="{00000000-0008-0000-0300-00009D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8" name="Rectangle 1091">
          <a:extLst>
            <a:ext uri="{FF2B5EF4-FFF2-40B4-BE49-F238E27FC236}">
              <a16:creationId xmlns:a16="http://schemas.microsoft.com/office/drawing/2014/main" xmlns="" id="{00000000-0008-0000-0300-00009E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9" name="Rectangle 1092">
          <a:extLst>
            <a:ext uri="{FF2B5EF4-FFF2-40B4-BE49-F238E27FC236}">
              <a16:creationId xmlns:a16="http://schemas.microsoft.com/office/drawing/2014/main" xmlns="" id="{00000000-0008-0000-0300-00009F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0" name="Rectangle 1093">
          <a:extLst>
            <a:ext uri="{FF2B5EF4-FFF2-40B4-BE49-F238E27FC236}">
              <a16:creationId xmlns:a16="http://schemas.microsoft.com/office/drawing/2014/main" xmlns="" id="{00000000-0008-0000-0300-0000A0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1" name="Rectangle 1094">
          <a:extLst>
            <a:ext uri="{FF2B5EF4-FFF2-40B4-BE49-F238E27FC236}">
              <a16:creationId xmlns:a16="http://schemas.microsoft.com/office/drawing/2014/main" xmlns="" id="{00000000-0008-0000-0300-0000A1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2" name="Rectangle 1095">
          <a:extLst>
            <a:ext uri="{FF2B5EF4-FFF2-40B4-BE49-F238E27FC236}">
              <a16:creationId xmlns:a16="http://schemas.microsoft.com/office/drawing/2014/main" xmlns="" id="{00000000-0008-0000-0300-0000A2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3" name="Rectangle 1">
          <a:extLst>
            <a:ext uri="{FF2B5EF4-FFF2-40B4-BE49-F238E27FC236}">
              <a16:creationId xmlns:a16="http://schemas.microsoft.com/office/drawing/2014/main" xmlns="" id="{00000000-0008-0000-0300-0000A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4" name="Rectangle 2">
          <a:extLst>
            <a:ext uri="{FF2B5EF4-FFF2-40B4-BE49-F238E27FC236}">
              <a16:creationId xmlns:a16="http://schemas.microsoft.com/office/drawing/2014/main" xmlns="" id="{00000000-0008-0000-0300-0000A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5" name="Rectangle 3">
          <a:extLst>
            <a:ext uri="{FF2B5EF4-FFF2-40B4-BE49-F238E27FC236}">
              <a16:creationId xmlns:a16="http://schemas.microsoft.com/office/drawing/2014/main" xmlns="" id="{00000000-0008-0000-0300-0000A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6" name="Rectangle 4">
          <a:extLst>
            <a:ext uri="{FF2B5EF4-FFF2-40B4-BE49-F238E27FC236}">
              <a16:creationId xmlns:a16="http://schemas.microsoft.com/office/drawing/2014/main" xmlns="" id="{00000000-0008-0000-0300-0000A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7" name="Rectangle 5">
          <a:extLst>
            <a:ext uri="{FF2B5EF4-FFF2-40B4-BE49-F238E27FC236}">
              <a16:creationId xmlns:a16="http://schemas.microsoft.com/office/drawing/2014/main" xmlns="" id="{00000000-0008-0000-0300-0000A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8" name="Rectangle 6">
          <a:extLst>
            <a:ext uri="{FF2B5EF4-FFF2-40B4-BE49-F238E27FC236}">
              <a16:creationId xmlns:a16="http://schemas.microsoft.com/office/drawing/2014/main" xmlns="" id="{00000000-0008-0000-0300-0000A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9" name="Rectangle 7">
          <a:extLst>
            <a:ext uri="{FF2B5EF4-FFF2-40B4-BE49-F238E27FC236}">
              <a16:creationId xmlns:a16="http://schemas.microsoft.com/office/drawing/2014/main" xmlns="" id="{00000000-0008-0000-0300-0000A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0" name="Rectangle 8">
          <a:extLst>
            <a:ext uri="{FF2B5EF4-FFF2-40B4-BE49-F238E27FC236}">
              <a16:creationId xmlns:a16="http://schemas.microsoft.com/office/drawing/2014/main" xmlns="" id="{00000000-0008-0000-0300-0000A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1" name="Rectangle 9">
          <a:extLst>
            <a:ext uri="{FF2B5EF4-FFF2-40B4-BE49-F238E27FC236}">
              <a16:creationId xmlns:a16="http://schemas.microsoft.com/office/drawing/2014/main" xmlns="" id="{00000000-0008-0000-0300-0000A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2" name="Rectangle 10">
          <a:extLst>
            <a:ext uri="{FF2B5EF4-FFF2-40B4-BE49-F238E27FC236}">
              <a16:creationId xmlns:a16="http://schemas.microsoft.com/office/drawing/2014/main" xmlns="" id="{00000000-0008-0000-0300-0000A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3" name="Rectangle 11">
          <a:extLst>
            <a:ext uri="{FF2B5EF4-FFF2-40B4-BE49-F238E27FC236}">
              <a16:creationId xmlns:a16="http://schemas.microsoft.com/office/drawing/2014/main" xmlns="" id="{00000000-0008-0000-0300-0000A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4" name="Rectangle 12">
          <a:extLst>
            <a:ext uri="{FF2B5EF4-FFF2-40B4-BE49-F238E27FC236}">
              <a16:creationId xmlns:a16="http://schemas.microsoft.com/office/drawing/2014/main" xmlns="" id="{00000000-0008-0000-0300-0000A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5" name="Rectangle 13">
          <a:extLst>
            <a:ext uri="{FF2B5EF4-FFF2-40B4-BE49-F238E27FC236}">
              <a16:creationId xmlns:a16="http://schemas.microsoft.com/office/drawing/2014/main" xmlns="" id="{00000000-0008-0000-0300-0000A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6" name="Rectangle 14">
          <a:extLst>
            <a:ext uri="{FF2B5EF4-FFF2-40B4-BE49-F238E27FC236}">
              <a16:creationId xmlns:a16="http://schemas.microsoft.com/office/drawing/2014/main" xmlns="" id="{00000000-0008-0000-0300-0000B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7" name="Rectangle 15">
          <a:extLst>
            <a:ext uri="{FF2B5EF4-FFF2-40B4-BE49-F238E27FC236}">
              <a16:creationId xmlns:a16="http://schemas.microsoft.com/office/drawing/2014/main" xmlns="" id="{00000000-0008-0000-0300-0000B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8" name="Rectangle 16">
          <a:extLst>
            <a:ext uri="{FF2B5EF4-FFF2-40B4-BE49-F238E27FC236}">
              <a16:creationId xmlns:a16="http://schemas.microsoft.com/office/drawing/2014/main" xmlns="" id="{00000000-0008-0000-0300-0000B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9" name="Rectangle 17">
          <a:extLst>
            <a:ext uri="{FF2B5EF4-FFF2-40B4-BE49-F238E27FC236}">
              <a16:creationId xmlns:a16="http://schemas.microsoft.com/office/drawing/2014/main" xmlns="" id="{00000000-0008-0000-0300-0000B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0" name="Rectangle 18">
          <a:extLst>
            <a:ext uri="{FF2B5EF4-FFF2-40B4-BE49-F238E27FC236}">
              <a16:creationId xmlns:a16="http://schemas.microsoft.com/office/drawing/2014/main" xmlns="" id="{00000000-0008-0000-0300-0000B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1" name="Rectangle 19">
          <a:extLst>
            <a:ext uri="{FF2B5EF4-FFF2-40B4-BE49-F238E27FC236}">
              <a16:creationId xmlns:a16="http://schemas.microsoft.com/office/drawing/2014/main" xmlns="" id="{00000000-0008-0000-0300-0000B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2" name="Rectangle 20">
          <a:extLst>
            <a:ext uri="{FF2B5EF4-FFF2-40B4-BE49-F238E27FC236}">
              <a16:creationId xmlns:a16="http://schemas.microsoft.com/office/drawing/2014/main" xmlns="" id="{00000000-0008-0000-0300-0000B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3" name="Rectangle 21">
          <a:extLst>
            <a:ext uri="{FF2B5EF4-FFF2-40B4-BE49-F238E27FC236}">
              <a16:creationId xmlns:a16="http://schemas.microsoft.com/office/drawing/2014/main" xmlns="" id="{00000000-0008-0000-0300-0000B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4" name="Rectangle 22">
          <a:extLst>
            <a:ext uri="{FF2B5EF4-FFF2-40B4-BE49-F238E27FC236}">
              <a16:creationId xmlns:a16="http://schemas.microsoft.com/office/drawing/2014/main" xmlns="" id="{00000000-0008-0000-0300-0000B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5" name="Rectangle 23">
          <a:extLst>
            <a:ext uri="{FF2B5EF4-FFF2-40B4-BE49-F238E27FC236}">
              <a16:creationId xmlns:a16="http://schemas.microsoft.com/office/drawing/2014/main" xmlns="" id="{00000000-0008-0000-0300-0000B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6" name="Rectangle 24">
          <a:extLst>
            <a:ext uri="{FF2B5EF4-FFF2-40B4-BE49-F238E27FC236}">
              <a16:creationId xmlns:a16="http://schemas.microsoft.com/office/drawing/2014/main" xmlns="" id="{00000000-0008-0000-0300-0000B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7" name="Rectangle 25">
          <a:extLst>
            <a:ext uri="{FF2B5EF4-FFF2-40B4-BE49-F238E27FC236}">
              <a16:creationId xmlns:a16="http://schemas.microsoft.com/office/drawing/2014/main" xmlns="" id="{00000000-0008-0000-0300-0000B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8" name="Rectangle 26">
          <a:extLst>
            <a:ext uri="{FF2B5EF4-FFF2-40B4-BE49-F238E27FC236}">
              <a16:creationId xmlns:a16="http://schemas.microsoft.com/office/drawing/2014/main" xmlns="" id="{00000000-0008-0000-0300-0000B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9" name="Rectangle 27">
          <a:extLst>
            <a:ext uri="{FF2B5EF4-FFF2-40B4-BE49-F238E27FC236}">
              <a16:creationId xmlns:a16="http://schemas.microsoft.com/office/drawing/2014/main" xmlns="" id="{00000000-0008-0000-0300-0000B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0" name="Rectangle 28">
          <a:extLst>
            <a:ext uri="{FF2B5EF4-FFF2-40B4-BE49-F238E27FC236}">
              <a16:creationId xmlns:a16="http://schemas.microsoft.com/office/drawing/2014/main" xmlns="" id="{00000000-0008-0000-0300-0000B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1" name="Rectangle 29">
          <a:extLst>
            <a:ext uri="{FF2B5EF4-FFF2-40B4-BE49-F238E27FC236}">
              <a16:creationId xmlns:a16="http://schemas.microsoft.com/office/drawing/2014/main" xmlns="" id="{00000000-0008-0000-0300-0000B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2" name="Rectangle 30">
          <a:extLst>
            <a:ext uri="{FF2B5EF4-FFF2-40B4-BE49-F238E27FC236}">
              <a16:creationId xmlns:a16="http://schemas.microsoft.com/office/drawing/2014/main" xmlns="" id="{00000000-0008-0000-0300-0000C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3" name="Rectangle 31">
          <a:extLst>
            <a:ext uri="{FF2B5EF4-FFF2-40B4-BE49-F238E27FC236}">
              <a16:creationId xmlns:a16="http://schemas.microsoft.com/office/drawing/2014/main" xmlns="" id="{00000000-0008-0000-0300-0000C1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4" name="Rectangle 32">
          <a:extLst>
            <a:ext uri="{FF2B5EF4-FFF2-40B4-BE49-F238E27FC236}">
              <a16:creationId xmlns:a16="http://schemas.microsoft.com/office/drawing/2014/main" xmlns="" id="{00000000-0008-0000-0300-0000C2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5" name="Rectangle 33">
          <a:extLst>
            <a:ext uri="{FF2B5EF4-FFF2-40B4-BE49-F238E27FC236}">
              <a16:creationId xmlns:a16="http://schemas.microsoft.com/office/drawing/2014/main" xmlns="" id="{00000000-0008-0000-0300-0000C3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6" name="Rectangle 34">
          <a:extLst>
            <a:ext uri="{FF2B5EF4-FFF2-40B4-BE49-F238E27FC236}">
              <a16:creationId xmlns:a16="http://schemas.microsoft.com/office/drawing/2014/main" xmlns="" id="{00000000-0008-0000-0300-0000C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7" name="Rectangle 35">
          <a:extLst>
            <a:ext uri="{FF2B5EF4-FFF2-40B4-BE49-F238E27FC236}">
              <a16:creationId xmlns:a16="http://schemas.microsoft.com/office/drawing/2014/main" xmlns="" id="{00000000-0008-0000-0300-0000C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8" name="Rectangle 36">
          <a:extLst>
            <a:ext uri="{FF2B5EF4-FFF2-40B4-BE49-F238E27FC236}">
              <a16:creationId xmlns:a16="http://schemas.microsoft.com/office/drawing/2014/main" xmlns="" id="{00000000-0008-0000-0300-0000C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9" name="Rectangle 37">
          <a:extLst>
            <a:ext uri="{FF2B5EF4-FFF2-40B4-BE49-F238E27FC236}">
              <a16:creationId xmlns:a16="http://schemas.microsoft.com/office/drawing/2014/main" xmlns="" id="{00000000-0008-0000-0300-0000C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0" name="Rectangle 38">
          <a:extLst>
            <a:ext uri="{FF2B5EF4-FFF2-40B4-BE49-F238E27FC236}">
              <a16:creationId xmlns:a16="http://schemas.microsoft.com/office/drawing/2014/main" xmlns="" id="{00000000-0008-0000-0300-0000C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1" name="Rectangle 39">
          <a:extLst>
            <a:ext uri="{FF2B5EF4-FFF2-40B4-BE49-F238E27FC236}">
              <a16:creationId xmlns:a16="http://schemas.microsoft.com/office/drawing/2014/main" xmlns="" id="{00000000-0008-0000-0300-0000C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2" name="Rectangle 40">
          <a:extLst>
            <a:ext uri="{FF2B5EF4-FFF2-40B4-BE49-F238E27FC236}">
              <a16:creationId xmlns:a16="http://schemas.microsoft.com/office/drawing/2014/main" xmlns="" id="{00000000-0008-0000-0300-0000C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3" name="Rectangle 41">
          <a:extLst>
            <a:ext uri="{FF2B5EF4-FFF2-40B4-BE49-F238E27FC236}">
              <a16:creationId xmlns:a16="http://schemas.microsoft.com/office/drawing/2014/main" xmlns="" id="{00000000-0008-0000-0300-0000C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4" name="Rectangle 42">
          <a:extLst>
            <a:ext uri="{FF2B5EF4-FFF2-40B4-BE49-F238E27FC236}">
              <a16:creationId xmlns:a16="http://schemas.microsoft.com/office/drawing/2014/main" xmlns="" id="{00000000-0008-0000-0300-0000C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5" name="Rectangle 43">
          <a:extLst>
            <a:ext uri="{FF2B5EF4-FFF2-40B4-BE49-F238E27FC236}">
              <a16:creationId xmlns:a16="http://schemas.microsoft.com/office/drawing/2014/main" xmlns="" id="{00000000-0008-0000-0300-0000CD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6" name="Rectangle 44">
          <a:extLst>
            <a:ext uri="{FF2B5EF4-FFF2-40B4-BE49-F238E27FC236}">
              <a16:creationId xmlns:a16="http://schemas.microsoft.com/office/drawing/2014/main" xmlns="" id="{00000000-0008-0000-0300-0000CE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7" name="Rectangle 45">
          <a:extLst>
            <a:ext uri="{FF2B5EF4-FFF2-40B4-BE49-F238E27FC236}">
              <a16:creationId xmlns:a16="http://schemas.microsoft.com/office/drawing/2014/main" xmlns="" id="{00000000-0008-0000-0300-0000CF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48" name="Rectangle 1">
          <a:extLst>
            <a:ext uri="{FF2B5EF4-FFF2-40B4-BE49-F238E27FC236}">
              <a16:creationId xmlns:a16="http://schemas.microsoft.com/office/drawing/2014/main" xmlns="" id="{00000000-0008-0000-0300-0000D0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49" name="Rectangle 2">
          <a:extLst>
            <a:ext uri="{FF2B5EF4-FFF2-40B4-BE49-F238E27FC236}">
              <a16:creationId xmlns:a16="http://schemas.microsoft.com/office/drawing/2014/main" xmlns="" id="{00000000-0008-0000-0300-0000D1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0" name="Rectangle 3">
          <a:extLst>
            <a:ext uri="{FF2B5EF4-FFF2-40B4-BE49-F238E27FC236}">
              <a16:creationId xmlns:a16="http://schemas.microsoft.com/office/drawing/2014/main" xmlns="" id="{00000000-0008-0000-0300-0000D2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1" name="Rectangle 4">
          <a:extLst>
            <a:ext uri="{FF2B5EF4-FFF2-40B4-BE49-F238E27FC236}">
              <a16:creationId xmlns:a16="http://schemas.microsoft.com/office/drawing/2014/main" xmlns="" id="{00000000-0008-0000-0300-0000D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2" name="Rectangle 5">
          <a:extLst>
            <a:ext uri="{FF2B5EF4-FFF2-40B4-BE49-F238E27FC236}">
              <a16:creationId xmlns:a16="http://schemas.microsoft.com/office/drawing/2014/main" xmlns="" id="{00000000-0008-0000-0300-0000D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3" name="Rectangle 6">
          <a:extLst>
            <a:ext uri="{FF2B5EF4-FFF2-40B4-BE49-F238E27FC236}">
              <a16:creationId xmlns:a16="http://schemas.microsoft.com/office/drawing/2014/main" xmlns="" id="{00000000-0008-0000-0300-0000D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4" name="Rectangle 7">
          <a:extLst>
            <a:ext uri="{FF2B5EF4-FFF2-40B4-BE49-F238E27FC236}">
              <a16:creationId xmlns:a16="http://schemas.microsoft.com/office/drawing/2014/main" xmlns="" id="{00000000-0008-0000-0300-0000D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5" name="Rectangle 8">
          <a:extLst>
            <a:ext uri="{FF2B5EF4-FFF2-40B4-BE49-F238E27FC236}">
              <a16:creationId xmlns:a16="http://schemas.microsoft.com/office/drawing/2014/main" xmlns="" id="{00000000-0008-0000-0300-0000D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6" name="Rectangle 9">
          <a:extLst>
            <a:ext uri="{FF2B5EF4-FFF2-40B4-BE49-F238E27FC236}">
              <a16:creationId xmlns:a16="http://schemas.microsoft.com/office/drawing/2014/main" xmlns="" id="{00000000-0008-0000-0300-0000D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7" name="Rectangle 10">
          <a:extLst>
            <a:ext uri="{FF2B5EF4-FFF2-40B4-BE49-F238E27FC236}">
              <a16:creationId xmlns:a16="http://schemas.microsoft.com/office/drawing/2014/main" xmlns="" id="{00000000-0008-0000-0300-0000D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8" name="Rectangle 11">
          <a:extLst>
            <a:ext uri="{FF2B5EF4-FFF2-40B4-BE49-F238E27FC236}">
              <a16:creationId xmlns:a16="http://schemas.microsoft.com/office/drawing/2014/main" xmlns="" id="{00000000-0008-0000-0300-0000D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9" name="Rectangle 12">
          <a:extLst>
            <a:ext uri="{FF2B5EF4-FFF2-40B4-BE49-F238E27FC236}">
              <a16:creationId xmlns:a16="http://schemas.microsoft.com/office/drawing/2014/main" xmlns="" id="{00000000-0008-0000-0300-0000D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0" name="Rectangle 13">
          <a:extLst>
            <a:ext uri="{FF2B5EF4-FFF2-40B4-BE49-F238E27FC236}">
              <a16:creationId xmlns:a16="http://schemas.microsoft.com/office/drawing/2014/main" xmlns="" id="{00000000-0008-0000-0300-0000D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1" name="Rectangle 14">
          <a:extLst>
            <a:ext uri="{FF2B5EF4-FFF2-40B4-BE49-F238E27FC236}">
              <a16:creationId xmlns:a16="http://schemas.microsoft.com/office/drawing/2014/main" xmlns="" id="{00000000-0008-0000-0300-0000D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2" name="Rectangle 15">
          <a:extLst>
            <a:ext uri="{FF2B5EF4-FFF2-40B4-BE49-F238E27FC236}">
              <a16:creationId xmlns:a16="http://schemas.microsoft.com/office/drawing/2014/main" xmlns="" id="{00000000-0008-0000-0300-0000D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3" name="Rectangle 16">
          <a:extLst>
            <a:ext uri="{FF2B5EF4-FFF2-40B4-BE49-F238E27FC236}">
              <a16:creationId xmlns:a16="http://schemas.microsoft.com/office/drawing/2014/main" xmlns="" id="{00000000-0008-0000-0300-0000D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4" name="Rectangle 17">
          <a:extLst>
            <a:ext uri="{FF2B5EF4-FFF2-40B4-BE49-F238E27FC236}">
              <a16:creationId xmlns:a16="http://schemas.microsoft.com/office/drawing/2014/main" xmlns="" id="{00000000-0008-0000-0300-0000E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5" name="Rectangle 18">
          <a:extLst>
            <a:ext uri="{FF2B5EF4-FFF2-40B4-BE49-F238E27FC236}">
              <a16:creationId xmlns:a16="http://schemas.microsoft.com/office/drawing/2014/main" xmlns="" id="{00000000-0008-0000-0300-0000E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6" name="Rectangle 19">
          <a:extLst>
            <a:ext uri="{FF2B5EF4-FFF2-40B4-BE49-F238E27FC236}">
              <a16:creationId xmlns:a16="http://schemas.microsoft.com/office/drawing/2014/main" xmlns="" id="{00000000-0008-0000-0300-0000E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7" name="Rectangle 20">
          <a:extLst>
            <a:ext uri="{FF2B5EF4-FFF2-40B4-BE49-F238E27FC236}">
              <a16:creationId xmlns:a16="http://schemas.microsoft.com/office/drawing/2014/main" xmlns="" id="{00000000-0008-0000-0300-0000E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8" name="Rectangle 21">
          <a:extLst>
            <a:ext uri="{FF2B5EF4-FFF2-40B4-BE49-F238E27FC236}">
              <a16:creationId xmlns:a16="http://schemas.microsoft.com/office/drawing/2014/main" xmlns="" id="{00000000-0008-0000-0300-0000E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9" name="Rectangle 22">
          <a:extLst>
            <a:ext uri="{FF2B5EF4-FFF2-40B4-BE49-F238E27FC236}">
              <a16:creationId xmlns:a16="http://schemas.microsoft.com/office/drawing/2014/main" xmlns="" id="{00000000-0008-0000-0300-0000E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0" name="Rectangle 23">
          <a:extLst>
            <a:ext uri="{FF2B5EF4-FFF2-40B4-BE49-F238E27FC236}">
              <a16:creationId xmlns:a16="http://schemas.microsoft.com/office/drawing/2014/main" xmlns="" id="{00000000-0008-0000-0300-0000E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1" name="Rectangle 24">
          <a:extLst>
            <a:ext uri="{FF2B5EF4-FFF2-40B4-BE49-F238E27FC236}">
              <a16:creationId xmlns:a16="http://schemas.microsoft.com/office/drawing/2014/main" xmlns="" id="{00000000-0008-0000-0300-0000E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2" name="Rectangle 25">
          <a:extLst>
            <a:ext uri="{FF2B5EF4-FFF2-40B4-BE49-F238E27FC236}">
              <a16:creationId xmlns:a16="http://schemas.microsoft.com/office/drawing/2014/main" xmlns="" id="{00000000-0008-0000-0300-0000E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3" name="Rectangle 26">
          <a:extLst>
            <a:ext uri="{FF2B5EF4-FFF2-40B4-BE49-F238E27FC236}">
              <a16:creationId xmlns:a16="http://schemas.microsoft.com/office/drawing/2014/main" xmlns="" id="{00000000-0008-0000-0300-0000E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4" name="Rectangle 27">
          <a:extLst>
            <a:ext uri="{FF2B5EF4-FFF2-40B4-BE49-F238E27FC236}">
              <a16:creationId xmlns:a16="http://schemas.microsoft.com/office/drawing/2014/main" xmlns="" id="{00000000-0008-0000-0300-0000E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5" name="Rectangle 28">
          <a:extLst>
            <a:ext uri="{FF2B5EF4-FFF2-40B4-BE49-F238E27FC236}">
              <a16:creationId xmlns:a16="http://schemas.microsoft.com/office/drawing/2014/main" xmlns="" id="{00000000-0008-0000-0300-0000E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6" name="Rectangle 29">
          <a:extLst>
            <a:ext uri="{FF2B5EF4-FFF2-40B4-BE49-F238E27FC236}">
              <a16:creationId xmlns:a16="http://schemas.microsoft.com/office/drawing/2014/main" xmlns="" id="{00000000-0008-0000-0300-0000E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7" name="Rectangle 30">
          <a:extLst>
            <a:ext uri="{FF2B5EF4-FFF2-40B4-BE49-F238E27FC236}">
              <a16:creationId xmlns:a16="http://schemas.microsoft.com/office/drawing/2014/main" xmlns="" id="{00000000-0008-0000-0300-0000E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8" name="Rectangle 31">
          <a:extLst>
            <a:ext uri="{FF2B5EF4-FFF2-40B4-BE49-F238E27FC236}">
              <a16:creationId xmlns:a16="http://schemas.microsoft.com/office/drawing/2014/main" xmlns="" id="{00000000-0008-0000-0300-0000E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9" name="Rectangle 32">
          <a:extLst>
            <a:ext uri="{FF2B5EF4-FFF2-40B4-BE49-F238E27FC236}">
              <a16:creationId xmlns:a16="http://schemas.microsoft.com/office/drawing/2014/main" xmlns="" id="{00000000-0008-0000-0300-0000E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80" name="Rectangle 33">
          <a:extLst>
            <a:ext uri="{FF2B5EF4-FFF2-40B4-BE49-F238E27FC236}">
              <a16:creationId xmlns:a16="http://schemas.microsoft.com/office/drawing/2014/main" xmlns="" id="{00000000-0008-0000-0300-0000F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1" name="Rectangle 34">
          <a:extLst>
            <a:ext uri="{FF2B5EF4-FFF2-40B4-BE49-F238E27FC236}">
              <a16:creationId xmlns:a16="http://schemas.microsoft.com/office/drawing/2014/main" xmlns="" id="{00000000-0008-0000-0300-0000F1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2" name="Rectangle 35">
          <a:extLst>
            <a:ext uri="{FF2B5EF4-FFF2-40B4-BE49-F238E27FC236}">
              <a16:creationId xmlns:a16="http://schemas.microsoft.com/office/drawing/2014/main" xmlns="" id="{00000000-0008-0000-0300-0000F2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3" name="Rectangle 36">
          <a:extLst>
            <a:ext uri="{FF2B5EF4-FFF2-40B4-BE49-F238E27FC236}">
              <a16:creationId xmlns:a16="http://schemas.microsoft.com/office/drawing/2014/main" xmlns="" id="{00000000-0008-0000-0300-0000F3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4" name="Rectangle 37">
          <a:extLst>
            <a:ext uri="{FF2B5EF4-FFF2-40B4-BE49-F238E27FC236}">
              <a16:creationId xmlns:a16="http://schemas.microsoft.com/office/drawing/2014/main" xmlns="" id="{00000000-0008-0000-0300-0000F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5" name="Rectangle 38">
          <a:extLst>
            <a:ext uri="{FF2B5EF4-FFF2-40B4-BE49-F238E27FC236}">
              <a16:creationId xmlns:a16="http://schemas.microsoft.com/office/drawing/2014/main" xmlns="" id="{00000000-0008-0000-0300-0000F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6" name="Rectangle 39">
          <a:extLst>
            <a:ext uri="{FF2B5EF4-FFF2-40B4-BE49-F238E27FC236}">
              <a16:creationId xmlns:a16="http://schemas.microsoft.com/office/drawing/2014/main" xmlns="" id="{00000000-0008-0000-0300-0000F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7" name="Rectangle 40">
          <a:extLst>
            <a:ext uri="{FF2B5EF4-FFF2-40B4-BE49-F238E27FC236}">
              <a16:creationId xmlns:a16="http://schemas.microsoft.com/office/drawing/2014/main" xmlns="" id="{00000000-0008-0000-0300-0000F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8" name="Rectangle 41">
          <a:extLst>
            <a:ext uri="{FF2B5EF4-FFF2-40B4-BE49-F238E27FC236}">
              <a16:creationId xmlns:a16="http://schemas.microsoft.com/office/drawing/2014/main" xmlns="" id="{00000000-0008-0000-0300-0000F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9" name="Rectangle 42">
          <a:extLst>
            <a:ext uri="{FF2B5EF4-FFF2-40B4-BE49-F238E27FC236}">
              <a16:creationId xmlns:a16="http://schemas.microsoft.com/office/drawing/2014/main" xmlns="" id="{00000000-0008-0000-0300-0000F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0" name="Rectangle 43">
          <a:extLst>
            <a:ext uri="{FF2B5EF4-FFF2-40B4-BE49-F238E27FC236}">
              <a16:creationId xmlns:a16="http://schemas.microsoft.com/office/drawing/2014/main" xmlns="" id="{00000000-0008-0000-0300-0000F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1" name="Rectangle 44">
          <a:extLst>
            <a:ext uri="{FF2B5EF4-FFF2-40B4-BE49-F238E27FC236}">
              <a16:creationId xmlns:a16="http://schemas.microsoft.com/office/drawing/2014/main" xmlns="" id="{00000000-0008-0000-0300-0000F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2" name="Rectangle 45">
          <a:extLst>
            <a:ext uri="{FF2B5EF4-FFF2-40B4-BE49-F238E27FC236}">
              <a16:creationId xmlns:a16="http://schemas.microsoft.com/office/drawing/2014/main" xmlns="" id="{00000000-0008-0000-0300-0000F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3" name="Rectangle 1">
          <a:extLst>
            <a:ext uri="{FF2B5EF4-FFF2-40B4-BE49-F238E27FC236}">
              <a16:creationId xmlns:a16="http://schemas.microsoft.com/office/drawing/2014/main" xmlns="" id="{00000000-0008-0000-0300-0000FD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4" name="Rectangle 2">
          <a:extLst>
            <a:ext uri="{FF2B5EF4-FFF2-40B4-BE49-F238E27FC236}">
              <a16:creationId xmlns:a16="http://schemas.microsoft.com/office/drawing/2014/main" xmlns="" id="{00000000-0008-0000-0300-0000FE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5" name="Rectangle 3">
          <a:extLst>
            <a:ext uri="{FF2B5EF4-FFF2-40B4-BE49-F238E27FC236}">
              <a16:creationId xmlns:a16="http://schemas.microsoft.com/office/drawing/2014/main" xmlns="" id="{00000000-0008-0000-0300-0000FF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6" name="Rectangle 4">
          <a:extLst>
            <a:ext uri="{FF2B5EF4-FFF2-40B4-BE49-F238E27FC236}">
              <a16:creationId xmlns:a16="http://schemas.microsoft.com/office/drawing/2014/main" xmlns="" id="{00000000-0008-0000-0300-00000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7" name="Rectangle 5">
          <a:extLst>
            <a:ext uri="{FF2B5EF4-FFF2-40B4-BE49-F238E27FC236}">
              <a16:creationId xmlns:a16="http://schemas.microsoft.com/office/drawing/2014/main" xmlns="" id="{00000000-0008-0000-0300-00000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8" name="Rectangle 6">
          <a:extLst>
            <a:ext uri="{FF2B5EF4-FFF2-40B4-BE49-F238E27FC236}">
              <a16:creationId xmlns:a16="http://schemas.microsoft.com/office/drawing/2014/main" xmlns="" id="{00000000-0008-0000-0300-00000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9" name="Rectangle 7">
          <a:extLst>
            <a:ext uri="{FF2B5EF4-FFF2-40B4-BE49-F238E27FC236}">
              <a16:creationId xmlns:a16="http://schemas.microsoft.com/office/drawing/2014/main" xmlns="" id="{00000000-0008-0000-0300-00000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0" name="Rectangle 8">
          <a:extLst>
            <a:ext uri="{FF2B5EF4-FFF2-40B4-BE49-F238E27FC236}">
              <a16:creationId xmlns:a16="http://schemas.microsoft.com/office/drawing/2014/main" xmlns="" id="{00000000-0008-0000-0300-00000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1" name="Rectangle 9">
          <a:extLst>
            <a:ext uri="{FF2B5EF4-FFF2-40B4-BE49-F238E27FC236}">
              <a16:creationId xmlns:a16="http://schemas.microsoft.com/office/drawing/2014/main" xmlns="" id="{00000000-0008-0000-0300-00000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2" name="Rectangle 10">
          <a:extLst>
            <a:ext uri="{FF2B5EF4-FFF2-40B4-BE49-F238E27FC236}">
              <a16:creationId xmlns:a16="http://schemas.microsoft.com/office/drawing/2014/main" xmlns="" id="{00000000-0008-0000-0300-00000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3" name="Rectangle 11">
          <a:extLst>
            <a:ext uri="{FF2B5EF4-FFF2-40B4-BE49-F238E27FC236}">
              <a16:creationId xmlns:a16="http://schemas.microsoft.com/office/drawing/2014/main" xmlns="" id="{00000000-0008-0000-0300-00000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4" name="Rectangle 12">
          <a:extLst>
            <a:ext uri="{FF2B5EF4-FFF2-40B4-BE49-F238E27FC236}">
              <a16:creationId xmlns:a16="http://schemas.microsoft.com/office/drawing/2014/main" xmlns="" id="{00000000-0008-0000-0300-00000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5" name="Rectangle 13">
          <a:extLst>
            <a:ext uri="{FF2B5EF4-FFF2-40B4-BE49-F238E27FC236}">
              <a16:creationId xmlns:a16="http://schemas.microsoft.com/office/drawing/2014/main" xmlns="" id="{00000000-0008-0000-0300-00000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6" name="Rectangle 14">
          <a:extLst>
            <a:ext uri="{FF2B5EF4-FFF2-40B4-BE49-F238E27FC236}">
              <a16:creationId xmlns:a16="http://schemas.microsoft.com/office/drawing/2014/main" xmlns="" id="{00000000-0008-0000-0300-00000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7" name="Rectangle 15">
          <a:extLst>
            <a:ext uri="{FF2B5EF4-FFF2-40B4-BE49-F238E27FC236}">
              <a16:creationId xmlns:a16="http://schemas.microsoft.com/office/drawing/2014/main" xmlns="" id="{00000000-0008-0000-0300-00000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8" name="Rectangle 16">
          <a:extLst>
            <a:ext uri="{FF2B5EF4-FFF2-40B4-BE49-F238E27FC236}">
              <a16:creationId xmlns:a16="http://schemas.microsoft.com/office/drawing/2014/main" xmlns="" id="{00000000-0008-0000-0300-00000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9" name="Rectangle 17">
          <a:extLst>
            <a:ext uri="{FF2B5EF4-FFF2-40B4-BE49-F238E27FC236}">
              <a16:creationId xmlns:a16="http://schemas.microsoft.com/office/drawing/2014/main" xmlns="" id="{00000000-0008-0000-0300-00000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0" name="Rectangle 18">
          <a:extLst>
            <a:ext uri="{FF2B5EF4-FFF2-40B4-BE49-F238E27FC236}">
              <a16:creationId xmlns:a16="http://schemas.microsoft.com/office/drawing/2014/main" xmlns="" id="{00000000-0008-0000-0300-00000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1" name="Rectangle 19">
          <a:extLst>
            <a:ext uri="{FF2B5EF4-FFF2-40B4-BE49-F238E27FC236}">
              <a16:creationId xmlns:a16="http://schemas.microsoft.com/office/drawing/2014/main" xmlns="" id="{00000000-0008-0000-0300-00000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2" name="Rectangle 20">
          <a:extLst>
            <a:ext uri="{FF2B5EF4-FFF2-40B4-BE49-F238E27FC236}">
              <a16:creationId xmlns:a16="http://schemas.microsoft.com/office/drawing/2014/main" xmlns="" id="{00000000-0008-0000-0300-00001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3" name="Rectangle 21">
          <a:extLst>
            <a:ext uri="{FF2B5EF4-FFF2-40B4-BE49-F238E27FC236}">
              <a16:creationId xmlns:a16="http://schemas.microsoft.com/office/drawing/2014/main" xmlns="" id="{00000000-0008-0000-0300-00001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4" name="Rectangle 22">
          <a:extLst>
            <a:ext uri="{FF2B5EF4-FFF2-40B4-BE49-F238E27FC236}">
              <a16:creationId xmlns:a16="http://schemas.microsoft.com/office/drawing/2014/main" xmlns="" id="{00000000-0008-0000-0300-00001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5" name="Rectangle 23">
          <a:extLst>
            <a:ext uri="{FF2B5EF4-FFF2-40B4-BE49-F238E27FC236}">
              <a16:creationId xmlns:a16="http://schemas.microsoft.com/office/drawing/2014/main" xmlns="" id="{00000000-0008-0000-0300-00001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6" name="Rectangle 24">
          <a:extLst>
            <a:ext uri="{FF2B5EF4-FFF2-40B4-BE49-F238E27FC236}">
              <a16:creationId xmlns:a16="http://schemas.microsoft.com/office/drawing/2014/main" xmlns="" id="{00000000-0008-0000-0300-00001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7" name="Rectangle 25">
          <a:extLst>
            <a:ext uri="{FF2B5EF4-FFF2-40B4-BE49-F238E27FC236}">
              <a16:creationId xmlns:a16="http://schemas.microsoft.com/office/drawing/2014/main" xmlns="" id="{00000000-0008-0000-0300-00001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8" name="Rectangle 26">
          <a:extLst>
            <a:ext uri="{FF2B5EF4-FFF2-40B4-BE49-F238E27FC236}">
              <a16:creationId xmlns:a16="http://schemas.microsoft.com/office/drawing/2014/main" xmlns="" id="{00000000-0008-0000-0300-00001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9" name="Rectangle 27">
          <a:extLst>
            <a:ext uri="{FF2B5EF4-FFF2-40B4-BE49-F238E27FC236}">
              <a16:creationId xmlns:a16="http://schemas.microsoft.com/office/drawing/2014/main" xmlns="" id="{00000000-0008-0000-0300-00001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0" name="Rectangle 28">
          <a:extLst>
            <a:ext uri="{FF2B5EF4-FFF2-40B4-BE49-F238E27FC236}">
              <a16:creationId xmlns:a16="http://schemas.microsoft.com/office/drawing/2014/main" xmlns="" id="{00000000-0008-0000-0300-00001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1" name="Rectangle 29">
          <a:extLst>
            <a:ext uri="{FF2B5EF4-FFF2-40B4-BE49-F238E27FC236}">
              <a16:creationId xmlns:a16="http://schemas.microsoft.com/office/drawing/2014/main" xmlns="" id="{00000000-0008-0000-0300-00001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2" name="Rectangle 30">
          <a:extLst>
            <a:ext uri="{FF2B5EF4-FFF2-40B4-BE49-F238E27FC236}">
              <a16:creationId xmlns:a16="http://schemas.microsoft.com/office/drawing/2014/main" xmlns="" id="{00000000-0008-0000-0300-00001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3" name="Rectangle 31">
          <a:extLst>
            <a:ext uri="{FF2B5EF4-FFF2-40B4-BE49-F238E27FC236}">
              <a16:creationId xmlns:a16="http://schemas.microsoft.com/office/drawing/2014/main" xmlns="" id="{00000000-0008-0000-0300-00001B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4" name="Rectangle 32">
          <a:extLst>
            <a:ext uri="{FF2B5EF4-FFF2-40B4-BE49-F238E27FC236}">
              <a16:creationId xmlns:a16="http://schemas.microsoft.com/office/drawing/2014/main" xmlns="" id="{00000000-0008-0000-0300-00001C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5" name="Rectangle 33">
          <a:extLst>
            <a:ext uri="{FF2B5EF4-FFF2-40B4-BE49-F238E27FC236}">
              <a16:creationId xmlns:a16="http://schemas.microsoft.com/office/drawing/2014/main" xmlns="" id="{00000000-0008-0000-0300-00001D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6" name="Rectangle 34">
          <a:extLst>
            <a:ext uri="{FF2B5EF4-FFF2-40B4-BE49-F238E27FC236}">
              <a16:creationId xmlns:a16="http://schemas.microsoft.com/office/drawing/2014/main" xmlns="" id="{00000000-0008-0000-0300-00001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7" name="Rectangle 35">
          <a:extLst>
            <a:ext uri="{FF2B5EF4-FFF2-40B4-BE49-F238E27FC236}">
              <a16:creationId xmlns:a16="http://schemas.microsoft.com/office/drawing/2014/main" xmlns="" id="{00000000-0008-0000-0300-00001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8" name="Rectangle 36">
          <a:extLst>
            <a:ext uri="{FF2B5EF4-FFF2-40B4-BE49-F238E27FC236}">
              <a16:creationId xmlns:a16="http://schemas.microsoft.com/office/drawing/2014/main" xmlns="" id="{00000000-0008-0000-0300-00002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9" name="Rectangle 37">
          <a:extLst>
            <a:ext uri="{FF2B5EF4-FFF2-40B4-BE49-F238E27FC236}">
              <a16:creationId xmlns:a16="http://schemas.microsoft.com/office/drawing/2014/main" xmlns="" id="{00000000-0008-0000-0300-00002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0" name="Rectangle 38">
          <a:extLst>
            <a:ext uri="{FF2B5EF4-FFF2-40B4-BE49-F238E27FC236}">
              <a16:creationId xmlns:a16="http://schemas.microsoft.com/office/drawing/2014/main" xmlns="" id="{00000000-0008-0000-0300-00002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1" name="Rectangle 39">
          <a:extLst>
            <a:ext uri="{FF2B5EF4-FFF2-40B4-BE49-F238E27FC236}">
              <a16:creationId xmlns:a16="http://schemas.microsoft.com/office/drawing/2014/main" xmlns="" id="{00000000-0008-0000-0300-00002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2" name="Rectangle 40">
          <a:extLst>
            <a:ext uri="{FF2B5EF4-FFF2-40B4-BE49-F238E27FC236}">
              <a16:creationId xmlns:a16="http://schemas.microsoft.com/office/drawing/2014/main" xmlns="" id="{00000000-0008-0000-0300-00002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3" name="Rectangle 41">
          <a:extLst>
            <a:ext uri="{FF2B5EF4-FFF2-40B4-BE49-F238E27FC236}">
              <a16:creationId xmlns:a16="http://schemas.microsoft.com/office/drawing/2014/main" xmlns="" id="{00000000-0008-0000-0300-00002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4" name="Rectangle 42">
          <a:extLst>
            <a:ext uri="{FF2B5EF4-FFF2-40B4-BE49-F238E27FC236}">
              <a16:creationId xmlns:a16="http://schemas.microsoft.com/office/drawing/2014/main" xmlns="" id="{00000000-0008-0000-0300-00002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5" name="Rectangle 43">
          <a:extLst>
            <a:ext uri="{FF2B5EF4-FFF2-40B4-BE49-F238E27FC236}">
              <a16:creationId xmlns:a16="http://schemas.microsoft.com/office/drawing/2014/main" xmlns="" id="{00000000-0008-0000-0300-000027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6" name="Rectangle 44">
          <a:extLst>
            <a:ext uri="{FF2B5EF4-FFF2-40B4-BE49-F238E27FC236}">
              <a16:creationId xmlns:a16="http://schemas.microsoft.com/office/drawing/2014/main" xmlns="" id="{00000000-0008-0000-0300-00002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7" name="Rectangle 45">
          <a:extLst>
            <a:ext uri="{FF2B5EF4-FFF2-40B4-BE49-F238E27FC236}">
              <a16:creationId xmlns:a16="http://schemas.microsoft.com/office/drawing/2014/main" xmlns="" id="{00000000-0008-0000-0300-00002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38" name="Rectangle 1">
          <a:extLst>
            <a:ext uri="{FF2B5EF4-FFF2-40B4-BE49-F238E27FC236}">
              <a16:creationId xmlns:a16="http://schemas.microsoft.com/office/drawing/2014/main" xmlns="" id="{00000000-0008-0000-0300-00002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39" name="Rectangle 2">
          <a:extLst>
            <a:ext uri="{FF2B5EF4-FFF2-40B4-BE49-F238E27FC236}">
              <a16:creationId xmlns:a16="http://schemas.microsoft.com/office/drawing/2014/main" xmlns="" id="{00000000-0008-0000-0300-00002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0" name="Rectangle 3">
          <a:extLst>
            <a:ext uri="{FF2B5EF4-FFF2-40B4-BE49-F238E27FC236}">
              <a16:creationId xmlns:a16="http://schemas.microsoft.com/office/drawing/2014/main" xmlns="" id="{00000000-0008-0000-0300-00002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1" name="Rectangle 4">
          <a:extLst>
            <a:ext uri="{FF2B5EF4-FFF2-40B4-BE49-F238E27FC236}">
              <a16:creationId xmlns:a16="http://schemas.microsoft.com/office/drawing/2014/main" xmlns="" id="{00000000-0008-0000-0300-00002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2" name="Rectangle 5">
          <a:extLst>
            <a:ext uri="{FF2B5EF4-FFF2-40B4-BE49-F238E27FC236}">
              <a16:creationId xmlns:a16="http://schemas.microsoft.com/office/drawing/2014/main" xmlns="" id="{00000000-0008-0000-0300-00002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3" name="Rectangle 6">
          <a:extLst>
            <a:ext uri="{FF2B5EF4-FFF2-40B4-BE49-F238E27FC236}">
              <a16:creationId xmlns:a16="http://schemas.microsoft.com/office/drawing/2014/main" xmlns="" id="{00000000-0008-0000-0300-00002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4" name="Rectangle 7">
          <a:extLst>
            <a:ext uri="{FF2B5EF4-FFF2-40B4-BE49-F238E27FC236}">
              <a16:creationId xmlns:a16="http://schemas.microsoft.com/office/drawing/2014/main" xmlns="" id="{00000000-0008-0000-0300-00003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5" name="Rectangle 8">
          <a:extLst>
            <a:ext uri="{FF2B5EF4-FFF2-40B4-BE49-F238E27FC236}">
              <a16:creationId xmlns:a16="http://schemas.microsoft.com/office/drawing/2014/main" xmlns="" id="{00000000-0008-0000-0300-00003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6" name="Rectangle 9">
          <a:extLst>
            <a:ext uri="{FF2B5EF4-FFF2-40B4-BE49-F238E27FC236}">
              <a16:creationId xmlns:a16="http://schemas.microsoft.com/office/drawing/2014/main" xmlns="" id="{00000000-0008-0000-0300-00003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7" name="Rectangle 10">
          <a:extLst>
            <a:ext uri="{FF2B5EF4-FFF2-40B4-BE49-F238E27FC236}">
              <a16:creationId xmlns:a16="http://schemas.microsoft.com/office/drawing/2014/main" xmlns="" id="{00000000-0008-0000-0300-00003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8" name="Rectangle 11">
          <a:extLst>
            <a:ext uri="{FF2B5EF4-FFF2-40B4-BE49-F238E27FC236}">
              <a16:creationId xmlns:a16="http://schemas.microsoft.com/office/drawing/2014/main" xmlns="" id="{00000000-0008-0000-0300-00003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9" name="Rectangle 12">
          <a:extLst>
            <a:ext uri="{FF2B5EF4-FFF2-40B4-BE49-F238E27FC236}">
              <a16:creationId xmlns:a16="http://schemas.microsoft.com/office/drawing/2014/main" xmlns="" id="{00000000-0008-0000-0300-00003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0" name="Rectangle 13">
          <a:extLst>
            <a:ext uri="{FF2B5EF4-FFF2-40B4-BE49-F238E27FC236}">
              <a16:creationId xmlns:a16="http://schemas.microsoft.com/office/drawing/2014/main" xmlns="" id="{00000000-0008-0000-0300-00003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1" name="Rectangle 14">
          <a:extLst>
            <a:ext uri="{FF2B5EF4-FFF2-40B4-BE49-F238E27FC236}">
              <a16:creationId xmlns:a16="http://schemas.microsoft.com/office/drawing/2014/main" xmlns="" id="{00000000-0008-0000-0300-00003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2" name="Rectangle 15">
          <a:extLst>
            <a:ext uri="{FF2B5EF4-FFF2-40B4-BE49-F238E27FC236}">
              <a16:creationId xmlns:a16="http://schemas.microsoft.com/office/drawing/2014/main" xmlns="" id="{00000000-0008-0000-0300-00003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3" name="Rectangle 16">
          <a:extLst>
            <a:ext uri="{FF2B5EF4-FFF2-40B4-BE49-F238E27FC236}">
              <a16:creationId xmlns:a16="http://schemas.microsoft.com/office/drawing/2014/main" xmlns="" id="{00000000-0008-0000-0300-00003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4" name="Rectangle 17">
          <a:extLst>
            <a:ext uri="{FF2B5EF4-FFF2-40B4-BE49-F238E27FC236}">
              <a16:creationId xmlns:a16="http://schemas.microsoft.com/office/drawing/2014/main" xmlns="" id="{00000000-0008-0000-0300-00003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5" name="Rectangle 18">
          <a:extLst>
            <a:ext uri="{FF2B5EF4-FFF2-40B4-BE49-F238E27FC236}">
              <a16:creationId xmlns:a16="http://schemas.microsoft.com/office/drawing/2014/main" xmlns="" id="{00000000-0008-0000-0300-00003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6" name="Rectangle 19">
          <a:extLst>
            <a:ext uri="{FF2B5EF4-FFF2-40B4-BE49-F238E27FC236}">
              <a16:creationId xmlns:a16="http://schemas.microsoft.com/office/drawing/2014/main" xmlns="" id="{00000000-0008-0000-0300-00003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7" name="Rectangle 20">
          <a:extLst>
            <a:ext uri="{FF2B5EF4-FFF2-40B4-BE49-F238E27FC236}">
              <a16:creationId xmlns:a16="http://schemas.microsoft.com/office/drawing/2014/main" xmlns="" id="{00000000-0008-0000-0300-00003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8" name="Rectangle 21">
          <a:extLst>
            <a:ext uri="{FF2B5EF4-FFF2-40B4-BE49-F238E27FC236}">
              <a16:creationId xmlns:a16="http://schemas.microsoft.com/office/drawing/2014/main" xmlns="" id="{00000000-0008-0000-0300-00003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9" name="Rectangle 22">
          <a:extLst>
            <a:ext uri="{FF2B5EF4-FFF2-40B4-BE49-F238E27FC236}">
              <a16:creationId xmlns:a16="http://schemas.microsoft.com/office/drawing/2014/main" xmlns="" id="{00000000-0008-0000-0300-00003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0" name="Rectangle 23">
          <a:extLst>
            <a:ext uri="{FF2B5EF4-FFF2-40B4-BE49-F238E27FC236}">
              <a16:creationId xmlns:a16="http://schemas.microsoft.com/office/drawing/2014/main" xmlns="" id="{00000000-0008-0000-0300-00004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1" name="Rectangle 24">
          <a:extLst>
            <a:ext uri="{FF2B5EF4-FFF2-40B4-BE49-F238E27FC236}">
              <a16:creationId xmlns:a16="http://schemas.microsoft.com/office/drawing/2014/main" xmlns="" id="{00000000-0008-0000-0300-00004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2" name="Rectangle 25">
          <a:extLst>
            <a:ext uri="{FF2B5EF4-FFF2-40B4-BE49-F238E27FC236}">
              <a16:creationId xmlns:a16="http://schemas.microsoft.com/office/drawing/2014/main" xmlns="" id="{00000000-0008-0000-0300-00004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3" name="Rectangle 26">
          <a:extLst>
            <a:ext uri="{FF2B5EF4-FFF2-40B4-BE49-F238E27FC236}">
              <a16:creationId xmlns:a16="http://schemas.microsoft.com/office/drawing/2014/main" xmlns="" id="{00000000-0008-0000-0300-00004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4" name="Rectangle 27">
          <a:extLst>
            <a:ext uri="{FF2B5EF4-FFF2-40B4-BE49-F238E27FC236}">
              <a16:creationId xmlns:a16="http://schemas.microsoft.com/office/drawing/2014/main" xmlns="" id="{00000000-0008-0000-0300-00004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5" name="Rectangle 28">
          <a:extLst>
            <a:ext uri="{FF2B5EF4-FFF2-40B4-BE49-F238E27FC236}">
              <a16:creationId xmlns:a16="http://schemas.microsoft.com/office/drawing/2014/main" xmlns="" id="{00000000-0008-0000-0300-00004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6" name="Rectangle 29">
          <a:extLst>
            <a:ext uri="{FF2B5EF4-FFF2-40B4-BE49-F238E27FC236}">
              <a16:creationId xmlns:a16="http://schemas.microsoft.com/office/drawing/2014/main" xmlns="" id="{00000000-0008-0000-0300-00004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7" name="Rectangle 30">
          <a:extLst>
            <a:ext uri="{FF2B5EF4-FFF2-40B4-BE49-F238E27FC236}">
              <a16:creationId xmlns:a16="http://schemas.microsoft.com/office/drawing/2014/main" xmlns="" id="{00000000-0008-0000-0300-00004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8" name="Rectangle 31">
          <a:extLst>
            <a:ext uri="{FF2B5EF4-FFF2-40B4-BE49-F238E27FC236}">
              <a16:creationId xmlns:a16="http://schemas.microsoft.com/office/drawing/2014/main" xmlns="" id="{00000000-0008-0000-0300-00004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9" name="Rectangle 32">
          <a:extLst>
            <a:ext uri="{FF2B5EF4-FFF2-40B4-BE49-F238E27FC236}">
              <a16:creationId xmlns:a16="http://schemas.microsoft.com/office/drawing/2014/main" xmlns="" id="{00000000-0008-0000-0300-00004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70" name="Rectangle 33">
          <a:extLst>
            <a:ext uri="{FF2B5EF4-FFF2-40B4-BE49-F238E27FC236}">
              <a16:creationId xmlns:a16="http://schemas.microsoft.com/office/drawing/2014/main" xmlns="" id="{00000000-0008-0000-0300-00004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1" name="Rectangle 34">
          <a:extLst>
            <a:ext uri="{FF2B5EF4-FFF2-40B4-BE49-F238E27FC236}">
              <a16:creationId xmlns:a16="http://schemas.microsoft.com/office/drawing/2014/main" xmlns="" id="{00000000-0008-0000-0300-00004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2" name="Rectangle 35">
          <a:extLst>
            <a:ext uri="{FF2B5EF4-FFF2-40B4-BE49-F238E27FC236}">
              <a16:creationId xmlns:a16="http://schemas.microsoft.com/office/drawing/2014/main" xmlns="" id="{00000000-0008-0000-0300-00004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3" name="Rectangle 36">
          <a:extLst>
            <a:ext uri="{FF2B5EF4-FFF2-40B4-BE49-F238E27FC236}">
              <a16:creationId xmlns:a16="http://schemas.microsoft.com/office/drawing/2014/main" xmlns="" id="{00000000-0008-0000-0300-00004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4" name="Rectangle 37">
          <a:extLst>
            <a:ext uri="{FF2B5EF4-FFF2-40B4-BE49-F238E27FC236}">
              <a16:creationId xmlns:a16="http://schemas.microsoft.com/office/drawing/2014/main" xmlns="" id="{00000000-0008-0000-0300-00004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5" name="Rectangle 38">
          <a:extLst>
            <a:ext uri="{FF2B5EF4-FFF2-40B4-BE49-F238E27FC236}">
              <a16:creationId xmlns:a16="http://schemas.microsoft.com/office/drawing/2014/main" xmlns="" id="{00000000-0008-0000-0300-00004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6" name="Rectangle 39">
          <a:extLst>
            <a:ext uri="{FF2B5EF4-FFF2-40B4-BE49-F238E27FC236}">
              <a16:creationId xmlns:a16="http://schemas.microsoft.com/office/drawing/2014/main" xmlns="" id="{00000000-0008-0000-0300-00005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7" name="Rectangle 40">
          <a:extLst>
            <a:ext uri="{FF2B5EF4-FFF2-40B4-BE49-F238E27FC236}">
              <a16:creationId xmlns:a16="http://schemas.microsoft.com/office/drawing/2014/main" xmlns="" id="{00000000-0008-0000-0300-00005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8" name="Rectangle 41">
          <a:extLst>
            <a:ext uri="{FF2B5EF4-FFF2-40B4-BE49-F238E27FC236}">
              <a16:creationId xmlns:a16="http://schemas.microsoft.com/office/drawing/2014/main" xmlns="" id="{00000000-0008-0000-0300-00005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9" name="Rectangle 42">
          <a:extLst>
            <a:ext uri="{FF2B5EF4-FFF2-40B4-BE49-F238E27FC236}">
              <a16:creationId xmlns:a16="http://schemas.microsoft.com/office/drawing/2014/main" xmlns="" id="{00000000-0008-0000-0300-00005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0" name="Rectangle 43">
          <a:extLst>
            <a:ext uri="{FF2B5EF4-FFF2-40B4-BE49-F238E27FC236}">
              <a16:creationId xmlns:a16="http://schemas.microsoft.com/office/drawing/2014/main" xmlns="" id="{00000000-0008-0000-0300-00005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1" name="Rectangle 44">
          <a:extLst>
            <a:ext uri="{FF2B5EF4-FFF2-40B4-BE49-F238E27FC236}">
              <a16:creationId xmlns:a16="http://schemas.microsoft.com/office/drawing/2014/main" xmlns="" id="{00000000-0008-0000-0300-00005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2" name="Rectangle 45">
          <a:extLst>
            <a:ext uri="{FF2B5EF4-FFF2-40B4-BE49-F238E27FC236}">
              <a16:creationId xmlns:a16="http://schemas.microsoft.com/office/drawing/2014/main" xmlns="" id="{00000000-0008-0000-0300-00005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3" name="Rectangle 1">
          <a:extLst>
            <a:ext uri="{FF2B5EF4-FFF2-40B4-BE49-F238E27FC236}">
              <a16:creationId xmlns:a16="http://schemas.microsoft.com/office/drawing/2014/main" xmlns="" id="{00000000-0008-0000-0300-000057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4" name="Rectangle 2">
          <a:extLst>
            <a:ext uri="{FF2B5EF4-FFF2-40B4-BE49-F238E27FC236}">
              <a16:creationId xmlns:a16="http://schemas.microsoft.com/office/drawing/2014/main" xmlns="" id="{00000000-0008-0000-0300-000058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5" name="Rectangle 3">
          <a:extLst>
            <a:ext uri="{FF2B5EF4-FFF2-40B4-BE49-F238E27FC236}">
              <a16:creationId xmlns:a16="http://schemas.microsoft.com/office/drawing/2014/main" xmlns="" id="{00000000-0008-0000-0300-000059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6" name="Rectangle 4">
          <a:extLst>
            <a:ext uri="{FF2B5EF4-FFF2-40B4-BE49-F238E27FC236}">
              <a16:creationId xmlns:a16="http://schemas.microsoft.com/office/drawing/2014/main" xmlns="" id="{00000000-0008-0000-0300-00005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7" name="Rectangle 5">
          <a:extLst>
            <a:ext uri="{FF2B5EF4-FFF2-40B4-BE49-F238E27FC236}">
              <a16:creationId xmlns:a16="http://schemas.microsoft.com/office/drawing/2014/main" xmlns="" id="{00000000-0008-0000-0300-00005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8" name="Rectangle 6">
          <a:extLst>
            <a:ext uri="{FF2B5EF4-FFF2-40B4-BE49-F238E27FC236}">
              <a16:creationId xmlns:a16="http://schemas.microsoft.com/office/drawing/2014/main" xmlns="" id="{00000000-0008-0000-0300-00005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9" name="Rectangle 7">
          <a:extLst>
            <a:ext uri="{FF2B5EF4-FFF2-40B4-BE49-F238E27FC236}">
              <a16:creationId xmlns:a16="http://schemas.microsoft.com/office/drawing/2014/main" xmlns="" id="{00000000-0008-0000-0300-00005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0" name="Rectangle 8">
          <a:extLst>
            <a:ext uri="{FF2B5EF4-FFF2-40B4-BE49-F238E27FC236}">
              <a16:creationId xmlns:a16="http://schemas.microsoft.com/office/drawing/2014/main" xmlns="" id="{00000000-0008-0000-0300-00005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1" name="Rectangle 9">
          <a:extLst>
            <a:ext uri="{FF2B5EF4-FFF2-40B4-BE49-F238E27FC236}">
              <a16:creationId xmlns:a16="http://schemas.microsoft.com/office/drawing/2014/main" xmlns="" id="{00000000-0008-0000-0300-00005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2" name="Rectangle 10">
          <a:extLst>
            <a:ext uri="{FF2B5EF4-FFF2-40B4-BE49-F238E27FC236}">
              <a16:creationId xmlns:a16="http://schemas.microsoft.com/office/drawing/2014/main" xmlns="" id="{00000000-0008-0000-0300-00006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3" name="Rectangle 11">
          <a:extLst>
            <a:ext uri="{FF2B5EF4-FFF2-40B4-BE49-F238E27FC236}">
              <a16:creationId xmlns:a16="http://schemas.microsoft.com/office/drawing/2014/main" xmlns="" id="{00000000-0008-0000-0300-00006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4" name="Rectangle 12">
          <a:extLst>
            <a:ext uri="{FF2B5EF4-FFF2-40B4-BE49-F238E27FC236}">
              <a16:creationId xmlns:a16="http://schemas.microsoft.com/office/drawing/2014/main" xmlns="" id="{00000000-0008-0000-0300-00006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5" name="Rectangle 13">
          <a:extLst>
            <a:ext uri="{FF2B5EF4-FFF2-40B4-BE49-F238E27FC236}">
              <a16:creationId xmlns:a16="http://schemas.microsoft.com/office/drawing/2014/main" xmlns="" id="{00000000-0008-0000-0300-00006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6" name="Rectangle 14">
          <a:extLst>
            <a:ext uri="{FF2B5EF4-FFF2-40B4-BE49-F238E27FC236}">
              <a16:creationId xmlns:a16="http://schemas.microsoft.com/office/drawing/2014/main" xmlns="" id="{00000000-0008-0000-0300-00006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7" name="Rectangle 15">
          <a:extLst>
            <a:ext uri="{FF2B5EF4-FFF2-40B4-BE49-F238E27FC236}">
              <a16:creationId xmlns:a16="http://schemas.microsoft.com/office/drawing/2014/main" xmlns="" id="{00000000-0008-0000-0300-00006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8" name="Rectangle 16">
          <a:extLst>
            <a:ext uri="{FF2B5EF4-FFF2-40B4-BE49-F238E27FC236}">
              <a16:creationId xmlns:a16="http://schemas.microsoft.com/office/drawing/2014/main" xmlns="" id="{00000000-0008-0000-0300-00006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9" name="Rectangle 17">
          <a:extLst>
            <a:ext uri="{FF2B5EF4-FFF2-40B4-BE49-F238E27FC236}">
              <a16:creationId xmlns:a16="http://schemas.microsoft.com/office/drawing/2014/main" xmlns="" id="{00000000-0008-0000-0300-00006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0" name="Rectangle 18">
          <a:extLst>
            <a:ext uri="{FF2B5EF4-FFF2-40B4-BE49-F238E27FC236}">
              <a16:creationId xmlns:a16="http://schemas.microsoft.com/office/drawing/2014/main" xmlns="" id="{00000000-0008-0000-0300-00006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1" name="Rectangle 19">
          <a:extLst>
            <a:ext uri="{FF2B5EF4-FFF2-40B4-BE49-F238E27FC236}">
              <a16:creationId xmlns:a16="http://schemas.microsoft.com/office/drawing/2014/main" xmlns="" id="{00000000-0008-0000-0300-00006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2" name="Rectangle 20">
          <a:extLst>
            <a:ext uri="{FF2B5EF4-FFF2-40B4-BE49-F238E27FC236}">
              <a16:creationId xmlns:a16="http://schemas.microsoft.com/office/drawing/2014/main" xmlns="" id="{00000000-0008-0000-0300-00006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3" name="Rectangle 21">
          <a:extLst>
            <a:ext uri="{FF2B5EF4-FFF2-40B4-BE49-F238E27FC236}">
              <a16:creationId xmlns:a16="http://schemas.microsoft.com/office/drawing/2014/main" xmlns="" id="{00000000-0008-0000-0300-00006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4" name="Rectangle 22">
          <a:extLst>
            <a:ext uri="{FF2B5EF4-FFF2-40B4-BE49-F238E27FC236}">
              <a16:creationId xmlns:a16="http://schemas.microsoft.com/office/drawing/2014/main" xmlns="" id="{00000000-0008-0000-0300-00006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5" name="Rectangle 23">
          <a:extLst>
            <a:ext uri="{FF2B5EF4-FFF2-40B4-BE49-F238E27FC236}">
              <a16:creationId xmlns:a16="http://schemas.microsoft.com/office/drawing/2014/main" xmlns="" id="{00000000-0008-0000-0300-00006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6" name="Rectangle 24">
          <a:extLst>
            <a:ext uri="{FF2B5EF4-FFF2-40B4-BE49-F238E27FC236}">
              <a16:creationId xmlns:a16="http://schemas.microsoft.com/office/drawing/2014/main" xmlns="" id="{00000000-0008-0000-0300-00006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7" name="Rectangle 25">
          <a:extLst>
            <a:ext uri="{FF2B5EF4-FFF2-40B4-BE49-F238E27FC236}">
              <a16:creationId xmlns:a16="http://schemas.microsoft.com/office/drawing/2014/main" xmlns="" id="{00000000-0008-0000-0300-00006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8" name="Rectangle 26">
          <a:extLst>
            <a:ext uri="{FF2B5EF4-FFF2-40B4-BE49-F238E27FC236}">
              <a16:creationId xmlns:a16="http://schemas.microsoft.com/office/drawing/2014/main" xmlns="" id="{00000000-0008-0000-0300-00007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9" name="Rectangle 27">
          <a:extLst>
            <a:ext uri="{FF2B5EF4-FFF2-40B4-BE49-F238E27FC236}">
              <a16:creationId xmlns:a16="http://schemas.microsoft.com/office/drawing/2014/main" xmlns="" id="{00000000-0008-0000-0300-00007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0" name="Rectangle 28">
          <a:extLst>
            <a:ext uri="{FF2B5EF4-FFF2-40B4-BE49-F238E27FC236}">
              <a16:creationId xmlns:a16="http://schemas.microsoft.com/office/drawing/2014/main" xmlns="" id="{00000000-0008-0000-0300-00007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1" name="Rectangle 29">
          <a:extLst>
            <a:ext uri="{FF2B5EF4-FFF2-40B4-BE49-F238E27FC236}">
              <a16:creationId xmlns:a16="http://schemas.microsoft.com/office/drawing/2014/main" xmlns="" id="{00000000-0008-0000-0300-00007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2" name="Rectangle 30">
          <a:extLst>
            <a:ext uri="{FF2B5EF4-FFF2-40B4-BE49-F238E27FC236}">
              <a16:creationId xmlns:a16="http://schemas.microsoft.com/office/drawing/2014/main" xmlns="" id="{00000000-0008-0000-0300-00007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3" name="Rectangle 31">
          <a:extLst>
            <a:ext uri="{FF2B5EF4-FFF2-40B4-BE49-F238E27FC236}">
              <a16:creationId xmlns:a16="http://schemas.microsoft.com/office/drawing/2014/main" xmlns="" id="{00000000-0008-0000-0300-00007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4" name="Rectangle 32">
          <a:extLst>
            <a:ext uri="{FF2B5EF4-FFF2-40B4-BE49-F238E27FC236}">
              <a16:creationId xmlns:a16="http://schemas.microsoft.com/office/drawing/2014/main" xmlns="" id="{00000000-0008-0000-0300-00007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5" name="Rectangle 33">
          <a:extLst>
            <a:ext uri="{FF2B5EF4-FFF2-40B4-BE49-F238E27FC236}">
              <a16:creationId xmlns:a16="http://schemas.microsoft.com/office/drawing/2014/main" xmlns="" id="{00000000-0008-0000-0300-00007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6" name="Rectangle 34">
          <a:extLst>
            <a:ext uri="{FF2B5EF4-FFF2-40B4-BE49-F238E27FC236}">
              <a16:creationId xmlns:a16="http://schemas.microsoft.com/office/drawing/2014/main" xmlns="" id="{00000000-0008-0000-0300-00007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7" name="Rectangle 35">
          <a:extLst>
            <a:ext uri="{FF2B5EF4-FFF2-40B4-BE49-F238E27FC236}">
              <a16:creationId xmlns:a16="http://schemas.microsoft.com/office/drawing/2014/main" xmlns="" id="{00000000-0008-0000-0300-00007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8" name="Rectangle 36">
          <a:extLst>
            <a:ext uri="{FF2B5EF4-FFF2-40B4-BE49-F238E27FC236}">
              <a16:creationId xmlns:a16="http://schemas.microsoft.com/office/drawing/2014/main" xmlns="" id="{00000000-0008-0000-0300-00007A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9" name="Rectangle 37">
          <a:extLst>
            <a:ext uri="{FF2B5EF4-FFF2-40B4-BE49-F238E27FC236}">
              <a16:creationId xmlns:a16="http://schemas.microsoft.com/office/drawing/2014/main" xmlns="" id="{00000000-0008-0000-0300-00007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0" name="Rectangle 38">
          <a:extLst>
            <a:ext uri="{FF2B5EF4-FFF2-40B4-BE49-F238E27FC236}">
              <a16:creationId xmlns:a16="http://schemas.microsoft.com/office/drawing/2014/main" xmlns="" id="{00000000-0008-0000-0300-00007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1" name="Rectangle 39">
          <a:extLst>
            <a:ext uri="{FF2B5EF4-FFF2-40B4-BE49-F238E27FC236}">
              <a16:creationId xmlns:a16="http://schemas.microsoft.com/office/drawing/2014/main" xmlns="" id="{00000000-0008-0000-0300-00007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2" name="Rectangle 40">
          <a:extLst>
            <a:ext uri="{FF2B5EF4-FFF2-40B4-BE49-F238E27FC236}">
              <a16:creationId xmlns:a16="http://schemas.microsoft.com/office/drawing/2014/main" xmlns="" id="{00000000-0008-0000-0300-00007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3" name="Rectangle 41">
          <a:extLst>
            <a:ext uri="{FF2B5EF4-FFF2-40B4-BE49-F238E27FC236}">
              <a16:creationId xmlns:a16="http://schemas.microsoft.com/office/drawing/2014/main" xmlns="" id="{00000000-0008-0000-0300-00007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4" name="Rectangle 42">
          <a:extLst>
            <a:ext uri="{FF2B5EF4-FFF2-40B4-BE49-F238E27FC236}">
              <a16:creationId xmlns:a16="http://schemas.microsoft.com/office/drawing/2014/main" xmlns="" id="{00000000-0008-0000-0300-00008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5" name="Rectangle 43">
          <a:extLst>
            <a:ext uri="{FF2B5EF4-FFF2-40B4-BE49-F238E27FC236}">
              <a16:creationId xmlns:a16="http://schemas.microsoft.com/office/drawing/2014/main" xmlns="" id="{00000000-0008-0000-0300-00008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6" name="Rectangle 44">
          <a:extLst>
            <a:ext uri="{FF2B5EF4-FFF2-40B4-BE49-F238E27FC236}">
              <a16:creationId xmlns:a16="http://schemas.microsoft.com/office/drawing/2014/main" xmlns="" id="{00000000-0008-0000-0300-00008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7" name="Rectangle 45">
          <a:extLst>
            <a:ext uri="{FF2B5EF4-FFF2-40B4-BE49-F238E27FC236}">
              <a16:creationId xmlns:a16="http://schemas.microsoft.com/office/drawing/2014/main" xmlns="" id="{00000000-0008-0000-0300-00008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28" name="Rectangle 46">
          <a:extLst>
            <a:ext uri="{FF2B5EF4-FFF2-40B4-BE49-F238E27FC236}">
              <a16:creationId xmlns:a16="http://schemas.microsoft.com/office/drawing/2014/main" xmlns="" id="{00000000-0008-0000-0300-00008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29" name="Rectangle 47">
          <a:extLst>
            <a:ext uri="{FF2B5EF4-FFF2-40B4-BE49-F238E27FC236}">
              <a16:creationId xmlns:a16="http://schemas.microsoft.com/office/drawing/2014/main" xmlns="" id="{00000000-0008-0000-0300-00008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0" name="Rectangle 48">
          <a:extLst>
            <a:ext uri="{FF2B5EF4-FFF2-40B4-BE49-F238E27FC236}">
              <a16:creationId xmlns:a16="http://schemas.microsoft.com/office/drawing/2014/main" xmlns="" id="{00000000-0008-0000-0300-00008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1" name="Rectangle 49">
          <a:extLst>
            <a:ext uri="{FF2B5EF4-FFF2-40B4-BE49-F238E27FC236}">
              <a16:creationId xmlns:a16="http://schemas.microsoft.com/office/drawing/2014/main" xmlns="" id="{00000000-0008-0000-0300-00008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2" name="Rectangle 50">
          <a:extLst>
            <a:ext uri="{FF2B5EF4-FFF2-40B4-BE49-F238E27FC236}">
              <a16:creationId xmlns:a16="http://schemas.microsoft.com/office/drawing/2014/main" xmlns="" id="{00000000-0008-0000-0300-00008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3" name="Rectangle 51">
          <a:extLst>
            <a:ext uri="{FF2B5EF4-FFF2-40B4-BE49-F238E27FC236}">
              <a16:creationId xmlns:a16="http://schemas.microsoft.com/office/drawing/2014/main" xmlns="" id="{00000000-0008-0000-0300-00008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4" name="Rectangle 52">
          <a:extLst>
            <a:ext uri="{FF2B5EF4-FFF2-40B4-BE49-F238E27FC236}">
              <a16:creationId xmlns:a16="http://schemas.microsoft.com/office/drawing/2014/main" xmlns="" id="{00000000-0008-0000-0300-00008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5" name="Rectangle 53">
          <a:extLst>
            <a:ext uri="{FF2B5EF4-FFF2-40B4-BE49-F238E27FC236}">
              <a16:creationId xmlns:a16="http://schemas.microsoft.com/office/drawing/2014/main" xmlns="" id="{00000000-0008-0000-0300-00008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6" name="Rectangle 54">
          <a:extLst>
            <a:ext uri="{FF2B5EF4-FFF2-40B4-BE49-F238E27FC236}">
              <a16:creationId xmlns:a16="http://schemas.microsoft.com/office/drawing/2014/main" xmlns="" id="{00000000-0008-0000-0300-00008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7" name="Rectangle 55">
          <a:extLst>
            <a:ext uri="{FF2B5EF4-FFF2-40B4-BE49-F238E27FC236}">
              <a16:creationId xmlns:a16="http://schemas.microsoft.com/office/drawing/2014/main" xmlns="" id="{00000000-0008-0000-0300-00008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8" name="Rectangle 56">
          <a:extLst>
            <a:ext uri="{FF2B5EF4-FFF2-40B4-BE49-F238E27FC236}">
              <a16:creationId xmlns:a16="http://schemas.microsoft.com/office/drawing/2014/main" xmlns="" id="{00000000-0008-0000-0300-00008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9" name="Rectangle 57">
          <a:extLst>
            <a:ext uri="{FF2B5EF4-FFF2-40B4-BE49-F238E27FC236}">
              <a16:creationId xmlns:a16="http://schemas.microsoft.com/office/drawing/2014/main" xmlns="" id="{00000000-0008-0000-0300-00008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0" name="Rectangle 58">
          <a:extLst>
            <a:ext uri="{FF2B5EF4-FFF2-40B4-BE49-F238E27FC236}">
              <a16:creationId xmlns:a16="http://schemas.microsoft.com/office/drawing/2014/main" xmlns="" id="{00000000-0008-0000-0300-00009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1" name="Rectangle 59">
          <a:extLst>
            <a:ext uri="{FF2B5EF4-FFF2-40B4-BE49-F238E27FC236}">
              <a16:creationId xmlns:a16="http://schemas.microsoft.com/office/drawing/2014/main" xmlns="" id="{00000000-0008-0000-0300-00009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2" name="Rectangle 60">
          <a:extLst>
            <a:ext uri="{FF2B5EF4-FFF2-40B4-BE49-F238E27FC236}">
              <a16:creationId xmlns:a16="http://schemas.microsoft.com/office/drawing/2014/main" xmlns="" id="{00000000-0008-0000-0300-00009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3" name="Rectangle 61">
          <a:extLst>
            <a:ext uri="{FF2B5EF4-FFF2-40B4-BE49-F238E27FC236}">
              <a16:creationId xmlns:a16="http://schemas.microsoft.com/office/drawing/2014/main" xmlns="" id="{00000000-0008-0000-0300-00009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4" name="Rectangle 62">
          <a:extLst>
            <a:ext uri="{FF2B5EF4-FFF2-40B4-BE49-F238E27FC236}">
              <a16:creationId xmlns:a16="http://schemas.microsoft.com/office/drawing/2014/main" xmlns="" id="{00000000-0008-0000-0300-00009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5" name="Rectangle 63">
          <a:extLst>
            <a:ext uri="{FF2B5EF4-FFF2-40B4-BE49-F238E27FC236}">
              <a16:creationId xmlns:a16="http://schemas.microsoft.com/office/drawing/2014/main" xmlns="" id="{00000000-0008-0000-0300-00009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6" name="Rectangle 64">
          <a:extLst>
            <a:ext uri="{FF2B5EF4-FFF2-40B4-BE49-F238E27FC236}">
              <a16:creationId xmlns:a16="http://schemas.microsoft.com/office/drawing/2014/main" xmlns="" id="{00000000-0008-0000-0300-00009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7" name="Rectangle 65">
          <a:extLst>
            <a:ext uri="{FF2B5EF4-FFF2-40B4-BE49-F238E27FC236}">
              <a16:creationId xmlns:a16="http://schemas.microsoft.com/office/drawing/2014/main" xmlns="" id="{00000000-0008-0000-0300-00009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8" name="Rectangle 66">
          <a:extLst>
            <a:ext uri="{FF2B5EF4-FFF2-40B4-BE49-F238E27FC236}">
              <a16:creationId xmlns:a16="http://schemas.microsoft.com/office/drawing/2014/main" xmlns="" id="{00000000-0008-0000-0300-00009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9" name="Rectangle 67">
          <a:extLst>
            <a:ext uri="{FF2B5EF4-FFF2-40B4-BE49-F238E27FC236}">
              <a16:creationId xmlns:a16="http://schemas.microsoft.com/office/drawing/2014/main" xmlns="" id="{00000000-0008-0000-0300-00009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0" name="Rectangle 68">
          <a:extLst>
            <a:ext uri="{FF2B5EF4-FFF2-40B4-BE49-F238E27FC236}">
              <a16:creationId xmlns:a16="http://schemas.microsoft.com/office/drawing/2014/main" xmlns="" id="{00000000-0008-0000-0300-00009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1" name="Rectangle 69">
          <a:extLst>
            <a:ext uri="{FF2B5EF4-FFF2-40B4-BE49-F238E27FC236}">
              <a16:creationId xmlns:a16="http://schemas.microsoft.com/office/drawing/2014/main" xmlns="" id="{00000000-0008-0000-0300-00009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2" name="Rectangle 70">
          <a:extLst>
            <a:ext uri="{FF2B5EF4-FFF2-40B4-BE49-F238E27FC236}">
              <a16:creationId xmlns:a16="http://schemas.microsoft.com/office/drawing/2014/main" xmlns="" id="{00000000-0008-0000-0300-00009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3" name="Rectangle 71">
          <a:extLst>
            <a:ext uri="{FF2B5EF4-FFF2-40B4-BE49-F238E27FC236}">
              <a16:creationId xmlns:a16="http://schemas.microsoft.com/office/drawing/2014/main" xmlns="" id="{00000000-0008-0000-0300-00009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4" name="Rectangle 72">
          <a:extLst>
            <a:ext uri="{FF2B5EF4-FFF2-40B4-BE49-F238E27FC236}">
              <a16:creationId xmlns:a16="http://schemas.microsoft.com/office/drawing/2014/main" xmlns="" id="{00000000-0008-0000-0300-00009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5" name="Rectangle 73">
          <a:extLst>
            <a:ext uri="{FF2B5EF4-FFF2-40B4-BE49-F238E27FC236}">
              <a16:creationId xmlns:a16="http://schemas.microsoft.com/office/drawing/2014/main" xmlns="" id="{00000000-0008-0000-0300-00009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6" name="Rectangle 74">
          <a:extLst>
            <a:ext uri="{FF2B5EF4-FFF2-40B4-BE49-F238E27FC236}">
              <a16:creationId xmlns:a16="http://schemas.microsoft.com/office/drawing/2014/main" xmlns="" id="{00000000-0008-0000-0300-0000A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7" name="Rectangle 75">
          <a:extLst>
            <a:ext uri="{FF2B5EF4-FFF2-40B4-BE49-F238E27FC236}">
              <a16:creationId xmlns:a16="http://schemas.microsoft.com/office/drawing/2014/main" xmlns="" id="{00000000-0008-0000-0300-0000A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8" name="Rectangle 76">
          <a:extLst>
            <a:ext uri="{FF2B5EF4-FFF2-40B4-BE49-F238E27FC236}">
              <a16:creationId xmlns:a16="http://schemas.microsoft.com/office/drawing/2014/main" xmlns="" id="{00000000-0008-0000-0300-0000A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9" name="Rectangle 77">
          <a:extLst>
            <a:ext uri="{FF2B5EF4-FFF2-40B4-BE49-F238E27FC236}">
              <a16:creationId xmlns:a16="http://schemas.microsoft.com/office/drawing/2014/main" xmlns="" id="{00000000-0008-0000-0300-0000A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60" name="Rectangle 78">
          <a:extLst>
            <a:ext uri="{FF2B5EF4-FFF2-40B4-BE49-F238E27FC236}">
              <a16:creationId xmlns:a16="http://schemas.microsoft.com/office/drawing/2014/main" xmlns="" id="{00000000-0008-0000-0300-0000A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61" name="Rectangle 79">
          <a:extLst>
            <a:ext uri="{FF2B5EF4-FFF2-40B4-BE49-F238E27FC236}">
              <a16:creationId xmlns:a16="http://schemas.microsoft.com/office/drawing/2014/main" xmlns="" id="{00000000-0008-0000-0300-0000A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2" name="Rectangle 80">
          <a:extLst>
            <a:ext uri="{FF2B5EF4-FFF2-40B4-BE49-F238E27FC236}">
              <a16:creationId xmlns:a16="http://schemas.microsoft.com/office/drawing/2014/main" xmlns="" id="{00000000-0008-0000-0300-0000A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3" name="Rectangle 81">
          <a:extLst>
            <a:ext uri="{FF2B5EF4-FFF2-40B4-BE49-F238E27FC236}">
              <a16:creationId xmlns:a16="http://schemas.microsoft.com/office/drawing/2014/main" xmlns="" id="{00000000-0008-0000-0300-0000A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4" name="Rectangle 82">
          <a:extLst>
            <a:ext uri="{FF2B5EF4-FFF2-40B4-BE49-F238E27FC236}">
              <a16:creationId xmlns:a16="http://schemas.microsoft.com/office/drawing/2014/main" xmlns="" id="{00000000-0008-0000-0300-0000A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5" name="Rectangle 83">
          <a:extLst>
            <a:ext uri="{FF2B5EF4-FFF2-40B4-BE49-F238E27FC236}">
              <a16:creationId xmlns:a16="http://schemas.microsoft.com/office/drawing/2014/main" xmlns="" id="{00000000-0008-0000-0300-0000A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6" name="Rectangle 84">
          <a:extLst>
            <a:ext uri="{FF2B5EF4-FFF2-40B4-BE49-F238E27FC236}">
              <a16:creationId xmlns:a16="http://schemas.microsoft.com/office/drawing/2014/main" xmlns="" id="{00000000-0008-0000-0300-0000A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7" name="Rectangle 85">
          <a:extLst>
            <a:ext uri="{FF2B5EF4-FFF2-40B4-BE49-F238E27FC236}">
              <a16:creationId xmlns:a16="http://schemas.microsoft.com/office/drawing/2014/main" xmlns="" id="{00000000-0008-0000-0300-0000A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8" name="Rectangle 86">
          <a:extLst>
            <a:ext uri="{FF2B5EF4-FFF2-40B4-BE49-F238E27FC236}">
              <a16:creationId xmlns:a16="http://schemas.microsoft.com/office/drawing/2014/main" xmlns="" id="{00000000-0008-0000-0300-0000A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9" name="Rectangle 87">
          <a:extLst>
            <a:ext uri="{FF2B5EF4-FFF2-40B4-BE49-F238E27FC236}">
              <a16:creationId xmlns:a16="http://schemas.microsoft.com/office/drawing/2014/main" xmlns="" id="{00000000-0008-0000-0300-0000A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0" name="Rectangle 88">
          <a:extLst>
            <a:ext uri="{FF2B5EF4-FFF2-40B4-BE49-F238E27FC236}">
              <a16:creationId xmlns:a16="http://schemas.microsoft.com/office/drawing/2014/main" xmlns="" id="{00000000-0008-0000-0300-0000A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1" name="Rectangle 89">
          <a:extLst>
            <a:ext uri="{FF2B5EF4-FFF2-40B4-BE49-F238E27FC236}">
              <a16:creationId xmlns:a16="http://schemas.microsoft.com/office/drawing/2014/main" xmlns="" id="{00000000-0008-0000-0300-0000A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2" name="Rectangle 90">
          <a:extLst>
            <a:ext uri="{FF2B5EF4-FFF2-40B4-BE49-F238E27FC236}">
              <a16:creationId xmlns:a16="http://schemas.microsoft.com/office/drawing/2014/main" xmlns="" id="{00000000-0008-0000-0300-0000B0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3" name="Rectangle 91">
          <a:extLst>
            <a:ext uri="{FF2B5EF4-FFF2-40B4-BE49-F238E27FC236}">
              <a16:creationId xmlns:a16="http://schemas.microsoft.com/office/drawing/2014/main" xmlns="" id="{00000000-0008-0000-0300-0000B1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4" name="Rectangle 46">
          <a:extLst>
            <a:ext uri="{FF2B5EF4-FFF2-40B4-BE49-F238E27FC236}">
              <a16:creationId xmlns:a16="http://schemas.microsoft.com/office/drawing/2014/main" xmlns="" id="{00000000-0008-0000-0300-0000B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5" name="Rectangle 47">
          <a:extLst>
            <a:ext uri="{FF2B5EF4-FFF2-40B4-BE49-F238E27FC236}">
              <a16:creationId xmlns:a16="http://schemas.microsoft.com/office/drawing/2014/main" xmlns="" id="{00000000-0008-0000-0300-0000B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6" name="Rectangle 48">
          <a:extLst>
            <a:ext uri="{FF2B5EF4-FFF2-40B4-BE49-F238E27FC236}">
              <a16:creationId xmlns:a16="http://schemas.microsoft.com/office/drawing/2014/main" xmlns="" id="{00000000-0008-0000-0300-0000B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7" name="Rectangle 49">
          <a:extLst>
            <a:ext uri="{FF2B5EF4-FFF2-40B4-BE49-F238E27FC236}">
              <a16:creationId xmlns:a16="http://schemas.microsoft.com/office/drawing/2014/main" xmlns="" id="{00000000-0008-0000-0300-0000B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8" name="Rectangle 50">
          <a:extLst>
            <a:ext uri="{FF2B5EF4-FFF2-40B4-BE49-F238E27FC236}">
              <a16:creationId xmlns:a16="http://schemas.microsoft.com/office/drawing/2014/main" xmlns="" id="{00000000-0008-0000-0300-0000B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9" name="Rectangle 51">
          <a:extLst>
            <a:ext uri="{FF2B5EF4-FFF2-40B4-BE49-F238E27FC236}">
              <a16:creationId xmlns:a16="http://schemas.microsoft.com/office/drawing/2014/main" xmlns="" id="{00000000-0008-0000-0300-0000B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0" name="Rectangle 52">
          <a:extLst>
            <a:ext uri="{FF2B5EF4-FFF2-40B4-BE49-F238E27FC236}">
              <a16:creationId xmlns:a16="http://schemas.microsoft.com/office/drawing/2014/main" xmlns="" id="{00000000-0008-0000-0300-0000B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1" name="Rectangle 53">
          <a:extLst>
            <a:ext uri="{FF2B5EF4-FFF2-40B4-BE49-F238E27FC236}">
              <a16:creationId xmlns:a16="http://schemas.microsoft.com/office/drawing/2014/main" xmlns="" id="{00000000-0008-0000-0300-0000B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2" name="Rectangle 54">
          <a:extLst>
            <a:ext uri="{FF2B5EF4-FFF2-40B4-BE49-F238E27FC236}">
              <a16:creationId xmlns:a16="http://schemas.microsoft.com/office/drawing/2014/main" xmlns="" id="{00000000-0008-0000-0300-0000B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3" name="Rectangle 55">
          <a:extLst>
            <a:ext uri="{FF2B5EF4-FFF2-40B4-BE49-F238E27FC236}">
              <a16:creationId xmlns:a16="http://schemas.microsoft.com/office/drawing/2014/main" xmlns="" id="{00000000-0008-0000-0300-0000B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4" name="Rectangle 56">
          <a:extLst>
            <a:ext uri="{FF2B5EF4-FFF2-40B4-BE49-F238E27FC236}">
              <a16:creationId xmlns:a16="http://schemas.microsoft.com/office/drawing/2014/main" xmlns="" id="{00000000-0008-0000-0300-0000B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5" name="Rectangle 57">
          <a:extLst>
            <a:ext uri="{FF2B5EF4-FFF2-40B4-BE49-F238E27FC236}">
              <a16:creationId xmlns:a16="http://schemas.microsoft.com/office/drawing/2014/main" xmlns="" id="{00000000-0008-0000-0300-0000B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6" name="Rectangle 58">
          <a:extLst>
            <a:ext uri="{FF2B5EF4-FFF2-40B4-BE49-F238E27FC236}">
              <a16:creationId xmlns:a16="http://schemas.microsoft.com/office/drawing/2014/main" xmlns="" id="{00000000-0008-0000-0300-0000B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7" name="Rectangle 59">
          <a:extLst>
            <a:ext uri="{FF2B5EF4-FFF2-40B4-BE49-F238E27FC236}">
              <a16:creationId xmlns:a16="http://schemas.microsoft.com/office/drawing/2014/main" xmlns="" id="{00000000-0008-0000-0300-0000B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8" name="Rectangle 60">
          <a:extLst>
            <a:ext uri="{FF2B5EF4-FFF2-40B4-BE49-F238E27FC236}">
              <a16:creationId xmlns:a16="http://schemas.microsoft.com/office/drawing/2014/main" xmlns="" id="{00000000-0008-0000-0300-0000C0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9" name="Rectangle 61">
          <a:extLst>
            <a:ext uri="{FF2B5EF4-FFF2-40B4-BE49-F238E27FC236}">
              <a16:creationId xmlns:a16="http://schemas.microsoft.com/office/drawing/2014/main" xmlns="" id="{00000000-0008-0000-0300-0000C1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0" name="Rectangle 62">
          <a:extLst>
            <a:ext uri="{FF2B5EF4-FFF2-40B4-BE49-F238E27FC236}">
              <a16:creationId xmlns:a16="http://schemas.microsoft.com/office/drawing/2014/main" xmlns="" id="{00000000-0008-0000-0300-0000C2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1" name="Rectangle 63">
          <a:extLst>
            <a:ext uri="{FF2B5EF4-FFF2-40B4-BE49-F238E27FC236}">
              <a16:creationId xmlns:a16="http://schemas.microsoft.com/office/drawing/2014/main" xmlns="" id="{00000000-0008-0000-0300-0000C3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2" name="Rectangle 64">
          <a:extLst>
            <a:ext uri="{FF2B5EF4-FFF2-40B4-BE49-F238E27FC236}">
              <a16:creationId xmlns:a16="http://schemas.microsoft.com/office/drawing/2014/main" xmlns="" id="{00000000-0008-0000-0300-0000C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3" name="Rectangle 65">
          <a:extLst>
            <a:ext uri="{FF2B5EF4-FFF2-40B4-BE49-F238E27FC236}">
              <a16:creationId xmlns:a16="http://schemas.microsoft.com/office/drawing/2014/main" xmlns="" id="{00000000-0008-0000-0300-0000C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4" name="Rectangle 66">
          <a:extLst>
            <a:ext uri="{FF2B5EF4-FFF2-40B4-BE49-F238E27FC236}">
              <a16:creationId xmlns:a16="http://schemas.microsoft.com/office/drawing/2014/main" xmlns="" id="{00000000-0008-0000-0300-0000C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5" name="Rectangle 67">
          <a:extLst>
            <a:ext uri="{FF2B5EF4-FFF2-40B4-BE49-F238E27FC236}">
              <a16:creationId xmlns:a16="http://schemas.microsoft.com/office/drawing/2014/main" xmlns="" id="{00000000-0008-0000-0300-0000C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6" name="Rectangle 68">
          <a:extLst>
            <a:ext uri="{FF2B5EF4-FFF2-40B4-BE49-F238E27FC236}">
              <a16:creationId xmlns:a16="http://schemas.microsoft.com/office/drawing/2014/main" xmlns="" id="{00000000-0008-0000-0300-0000C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7" name="Rectangle 69">
          <a:extLst>
            <a:ext uri="{FF2B5EF4-FFF2-40B4-BE49-F238E27FC236}">
              <a16:creationId xmlns:a16="http://schemas.microsoft.com/office/drawing/2014/main" xmlns="" id="{00000000-0008-0000-0300-0000C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8" name="Rectangle 70">
          <a:extLst>
            <a:ext uri="{FF2B5EF4-FFF2-40B4-BE49-F238E27FC236}">
              <a16:creationId xmlns:a16="http://schemas.microsoft.com/office/drawing/2014/main" xmlns="" id="{00000000-0008-0000-0300-0000C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9" name="Rectangle 71">
          <a:extLst>
            <a:ext uri="{FF2B5EF4-FFF2-40B4-BE49-F238E27FC236}">
              <a16:creationId xmlns:a16="http://schemas.microsoft.com/office/drawing/2014/main" xmlns="" id="{00000000-0008-0000-0300-0000C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0" name="Rectangle 72">
          <a:extLst>
            <a:ext uri="{FF2B5EF4-FFF2-40B4-BE49-F238E27FC236}">
              <a16:creationId xmlns:a16="http://schemas.microsoft.com/office/drawing/2014/main" xmlns="" id="{00000000-0008-0000-0300-0000C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1" name="Rectangle 73">
          <a:extLst>
            <a:ext uri="{FF2B5EF4-FFF2-40B4-BE49-F238E27FC236}">
              <a16:creationId xmlns:a16="http://schemas.microsoft.com/office/drawing/2014/main" xmlns="" id="{00000000-0008-0000-0300-0000C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2" name="Rectangle 74">
          <a:extLst>
            <a:ext uri="{FF2B5EF4-FFF2-40B4-BE49-F238E27FC236}">
              <a16:creationId xmlns:a16="http://schemas.microsoft.com/office/drawing/2014/main" xmlns="" id="{00000000-0008-0000-0300-0000C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3" name="Rectangle 75">
          <a:extLst>
            <a:ext uri="{FF2B5EF4-FFF2-40B4-BE49-F238E27FC236}">
              <a16:creationId xmlns:a16="http://schemas.microsoft.com/office/drawing/2014/main" xmlns="" id="{00000000-0008-0000-0300-0000C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4" name="Rectangle 76">
          <a:extLst>
            <a:ext uri="{FF2B5EF4-FFF2-40B4-BE49-F238E27FC236}">
              <a16:creationId xmlns:a16="http://schemas.microsoft.com/office/drawing/2014/main" xmlns="" id="{00000000-0008-0000-0300-0000D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5" name="Rectangle 77">
          <a:extLst>
            <a:ext uri="{FF2B5EF4-FFF2-40B4-BE49-F238E27FC236}">
              <a16:creationId xmlns:a16="http://schemas.microsoft.com/office/drawing/2014/main" xmlns="" id="{00000000-0008-0000-0300-0000D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6" name="Rectangle 78">
          <a:extLst>
            <a:ext uri="{FF2B5EF4-FFF2-40B4-BE49-F238E27FC236}">
              <a16:creationId xmlns:a16="http://schemas.microsoft.com/office/drawing/2014/main" xmlns="" id="{00000000-0008-0000-0300-0000D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7" name="Rectangle 79">
          <a:extLst>
            <a:ext uri="{FF2B5EF4-FFF2-40B4-BE49-F238E27FC236}">
              <a16:creationId xmlns:a16="http://schemas.microsoft.com/office/drawing/2014/main" xmlns="" id="{00000000-0008-0000-0300-0000D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8" name="Rectangle 80">
          <a:extLst>
            <a:ext uri="{FF2B5EF4-FFF2-40B4-BE49-F238E27FC236}">
              <a16:creationId xmlns:a16="http://schemas.microsoft.com/office/drawing/2014/main" xmlns="" id="{00000000-0008-0000-0300-0000D4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9" name="Rectangle 81">
          <a:extLst>
            <a:ext uri="{FF2B5EF4-FFF2-40B4-BE49-F238E27FC236}">
              <a16:creationId xmlns:a16="http://schemas.microsoft.com/office/drawing/2014/main" xmlns="" id="{00000000-0008-0000-0300-0000D5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0" name="Rectangle 82">
          <a:extLst>
            <a:ext uri="{FF2B5EF4-FFF2-40B4-BE49-F238E27FC236}">
              <a16:creationId xmlns:a16="http://schemas.microsoft.com/office/drawing/2014/main" xmlns="" id="{00000000-0008-0000-0300-0000D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1" name="Rectangle 83">
          <a:extLst>
            <a:ext uri="{FF2B5EF4-FFF2-40B4-BE49-F238E27FC236}">
              <a16:creationId xmlns:a16="http://schemas.microsoft.com/office/drawing/2014/main" xmlns="" id="{00000000-0008-0000-0300-0000D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2" name="Rectangle 84">
          <a:extLst>
            <a:ext uri="{FF2B5EF4-FFF2-40B4-BE49-F238E27FC236}">
              <a16:creationId xmlns:a16="http://schemas.microsoft.com/office/drawing/2014/main" xmlns="" id="{00000000-0008-0000-0300-0000D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3" name="Rectangle 85">
          <a:extLst>
            <a:ext uri="{FF2B5EF4-FFF2-40B4-BE49-F238E27FC236}">
              <a16:creationId xmlns:a16="http://schemas.microsoft.com/office/drawing/2014/main" xmlns="" id="{00000000-0008-0000-0300-0000D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4" name="Rectangle 86">
          <a:extLst>
            <a:ext uri="{FF2B5EF4-FFF2-40B4-BE49-F238E27FC236}">
              <a16:creationId xmlns:a16="http://schemas.microsoft.com/office/drawing/2014/main" xmlns="" id="{00000000-0008-0000-0300-0000D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5" name="Rectangle 87">
          <a:extLst>
            <a:ext uri="{FF2B5EF4-FFF2-40B4-BE49-F238E27FC236}">
              <a16:creationId xmlns:a16="http://schemas.microsoft.com/office/drawing/2014/main" xmlns="" id="{00000000-0008-0000-0300-0000D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6" name="Rectangle 88">
          <a:extLst>
            <a:ext uri="{FF2B5EF4-FFF2-40B4-BE49-F238E27FC236}">
              <a16:creationId xmlns:a16="http://schemas.microsoft.com/office/drawing/2014/main" xmlns="" id="{00000000-0008-0000-0300-0000D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7" name="Rectangle 89">
          <a:extLst>
            <a:ext uri="{FF2B5EF4-FFF2-40B4-BE49-F238E27FC236}">
              <a16:creationId xmlns:a16="http://schemas.microsoft.com/office/drawing/2014/main" xmlns="" id="{00000000-0008-0000-0300-0000D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8" name="Rectangle 90">
          <a:extLst>
            <a:ext uri="{FF2B5EF4-FFF2-40B4-BE49-F238E27FC236}">
              <a16:creationId xmlns:a16="http://schemas.microsoft.com/office/drawing/2014/main" xmlns="" id="{00000000-0008-0000-0300-0000D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9" name="Rectangle 91">
          <a:extLst>
            <a:ext uri="{FF2B5EF4-FFF2-40B4-BE49-F238E27FC236}">
              <a16:creationId xmlns:a16="http://schemas.microsoft.com/office/drawing/2014/main" xmlns="" id="{00000000-0008-0000-0300-0000D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0" name="Rectangle 46">
          <a:extLst>
            <a:ext uri="{FF2B5EF4-FFF2-40B4-BE49-F238E27FC236}">
              <a16:creationId xmlns:a16="http://schemas.microsoft.com/office/drawing/2014/main" xmlns="" id="{00000000-0008-0000-0300-0000E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1" name="Rectangle 47">
          <a:extLst>
            <a:ext uri="{FF2B5EF4-FFF2-40B4-BE49-F238E27FC236}">
              <a16:creationId xmlns:a16="http://schemas.microsoft.com/office/drawing/2014/main" xmlns="" id="{00000000-0008-0000-0300-0000E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2" name="Rectangle 48">
          <a:extLst>
            <a:ext uri="{FF2B5EF4-FFF2-40B4-BE49-F238E27FC236}">
              <a16:creationId xmlns:a16="http://schemas.microsoft.com/office/drawing/2014/main" xmlns="" id="{00000000-0008-0000-0300-0000E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3" name="Rectangle 49">
          <a:extLst>
            <a:ext uri="{FF2B5EF4-FFF2-40B4-BE49-F238E27FC236}">
              <a16:creationId xmlns:a16="http://schemas.microsoft.com/office/drawing/2014/main" xmlns="" id="{00000000-0008-0000-0300-0000E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4" name="Rectangle 50">
          <a:extLst>
            <a:ext uri="{FF2B5EF4-FFF2-40B4-BE49-F238E27FC236}">
              <a16:creationId xmlns:a16="http://schemas.microsoft.com/office/drawing/2014/main" xmlns="" id="{00000000-0008-0000-0300-0000E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5" name="Rectangle 51">
          <a:extLst>
            <a:ext uri="{FF2B5EF4-FFF2-40B4-BE49-F238E27FC236}">
              <a16:creationId xmlns:a16="http://schemas.microsoft.com/office/drawing/2014/main" xmlns="" id="{00000000-0008-0000-0300-0000E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6" name="Rectangle 52">
          <a:extLst>
            <a:ext uri="{FF2B5EF4-FFF2-40B4-BE49-F238E27FC236}">
              <a16:creationId xmlns:a16="http://schemas.microsoft.com/office/drawing/2014/main" xmlns="" id="{00000000-0008-0000-0300-0000E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7" name="Rectangle 53">
          <a:extLst>
            <a:ext uri="{FF2B5EF4-FFF2-40B4-BE49-F238E27FC236}">
              <a16:creationId xmlns:a16="http://schemas.microsoft.com/office/drawing/2014/main" xmlns="" id="{00000000-0008-0000-0300-0000E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8" name="Rectangle 54">
          <a:extLst>
            <a:ext uri="{FF2B5EF4-FFF2-40B4-BE49-F238E27FC236}">
              <a16:creationId xmlns:a16="http://schemas.microsoft.com/office/drawing/2014/main" xmlns="" id="{00000000-0008-0000-0300-0000E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9" name="Rectangle 55">
          <a:extLst>
            <a:ext uri="{FF2B5EF4-FFF2-40B4-BE49-F238E27FC236}">
              <a16:creationId xmlns:a16="http://schemas.microsoft.com/office/drawing/2014/main" xmlns="" id="{00000000-0008-0000-0300-0000E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0" name="Rectangle 56">
          <a:extLst>
            <a:ext uri="{FF2B5EF4-FFF2-40B4-BE49-F238E27FC236}">
              <a16:creationId xmlns:a16="http://schemas.microsoft.com/office/drawing/2014/main" xmlns="" id="{00000000-0008-0000-0300-0000E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1" name="Rectangle 57">
          <a:extLst>
            <a:ext uri="{FF2B5EF4-FFF2-40B4-BE49-F238E27FC236}">
              <a16:creationId xmlns:a16="http://schemas.microsoft.com/office/drawing/2014/main" xmlns="" id="{00000000-0008-0000-0300-0000E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2" name="Rectangle 58">
          <a:extLst>
            <a:ext uri="{FF2B5EF4-FFF2-40B4-BE49-F238E27FC236}">
              <a16:creationId xmlns:a16="http://schemas.microsoft.com/office/drawing/2014/main" xmlns="" id="{00000000-0008-0000-0300-0000E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3" name="Rectangle 59">
          <a:extLst>
            <a:ext uri="{FF2B5EF4-FFF2-40B4-BE49-F238E27FC236}">
              <a16:creationId xmlns:a16="http://schemas.microsoft.com/office/drawing/2014/main" xmlns="" id="{00000000-0008-0000-0300-0000E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4" name="Rectangle 60">
          <a:extLst>
            <a:ext uri="{FF2B5EF4-FFF2-40B4-BE49-F238E27FC236}">
              <a16:creationId xmlns:a16="http://schemas.microsoft.com/office/drawing/2014/main" xmlns="" id="{00000000-0008-0000-0300-0000E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5" name="Rectangle 61">
          <a:extLst>
            <a:ext uri="{FF2B5EF4-FFF2-40B4-BE49-F238E27FC236}">
              <a16:creationId xmlns:a16="http://schemas.microsoft.com/office/drawing/2014/main" xmlns="" id="{00000000-0008-0000-0300-0000E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6" name="Rectangle 62">
          <a:extLst>
            <a:ext uri="{FF2B5EF4-FFF2-40B4-BE49-F238E27FC236}">
              <a16:creationId xmlns:a16="http://schemas.microsoft.com/office/drawing/2014/main" xmlns="" id="{00000000-0008-0000-0300-0000F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7" name="Rectangle 63">
          <a:extLst>
            <a:ext uri="{FF2B5EF4-FFF2-40B4-BE49-F238E27FC236}">
              <a16:creationId xmlns:a16="http://schemas.microsoft.com/office/drawing/2014/main" xmlns="" id="{00000000-0008-0000-0300-0000F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8" name="Rectangle 64">
          <a:extLst>
            <a:ext uri="{FF2B5EF4-FFF2-40B4-BE49-F238E27FC236}">
              <a16:creationId xmlns:a16="http://schemas.microsoft.com/office/drawing/2014/main" xmlns="" id="{00000000-0008-0000-0300-0000F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9" name="Rectangle 65">
          <a:extLst>
            <a:ext uri="{FF2B5EF4-FFF2-40B4-BE49-F238E27FC236}">
              <a16:creationId xmlns:a16="http://schemas.microsoft.com/office/drawing/2014/main" xmlns="" id="{00000000-0008-0000-0300-0000F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0" name="Rectangle 66">
          <a:extLst>
            <a:ext uri="{FF2B5EF4-FFF2-40B4-BE49-F238E27FC236}">
              <a16:creationId xmlns:a16="http://schemas.microsoft.com/office/drawing/2014/main" xmlns="" id="{00000000-0008-0000-0300-0000F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1" name="Rectangle 67">
          <a:extLst>
            <a:ext uri="{FF2B5EF4-FFF2-40B4-BE49-F238E27FC236}">
              <a16:creationId xmlns:a16="http://schemas.microsoft.com/office/drawing/2014/main" xmlns="" id="{00000000-0008-0000-0300-0000F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2" name="Rectangle 68">
          <a:extLst>
            <a:ext uri="{FF2B5EF4-FFF2-40B4-BE49-F238E27FC236}">
              <a16:creationId xmlns:a16="http://schemas.microsoft.com/office/drawing/2014/main" xmlns="" id="{00000000-0008-0000-0300-0000F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3" name="Rectangle 69">
          <a:extLst>
            <a:ext uri="{FF2B5EF4-FFF2-40B4-BE49-F238E27FC236}">
              <a16:creationId xmlns:a16="http://schemas.microsoft.com/office/drawing/2014/main" xmlns="" id="{00000000-0008-0000-0300-0000F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4" name="Rectangle 70">
          <a:extLst>
            <a:ext uri="{FF2B5EF4-FFF2-40B4-BE49-F238E27FC236}">
              <a16:creationId xmlns:a16="http://schemas.microsoft.com/office/drawing/2014/main" xmlns="" id="{00000000-0008-0000-0300-0000F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5" name="Rectangle 71">
          <a:extLst>
            <a:ext uri="{FF2B5EF4-FFF2-40B4-BE49-F238E27FC236}">
              <a16:creationId xmlns:a16="http://schemas.microsoft.com/office/drawing/2014/main" xmlns="" id="{00000000-0008-0000-0300-0000F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6" name="Rectangle 72">
          <a:extLst>
            <a:ext uri="{FF2B5EF4-FFF2-40B4-BE49-F238E27FC236}">
              <a16:creationId xmlns:a16="http://schemas.microsoft.com/office/drawing/2014/main" xmlns="" id="{00000000-0008-0000-0300-0000F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7" name="Rectangle 73">
          <a:extLst>
            <a:ext uri="{FF2B5EF4-FFF2-40B4-BE49-F238E27FC236}">
              <a16:creationId xmlns:a16="http://schemas.microsoft.com/office/drawing/2014/main" xmlns="" id="{00000000-0008-0000-0300-0000F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8" name="Rectangle 74">
          <a:extLst>
            <a:ext uri="{FF2B5EF4-FFF2-40B4-BE49-F238E27FC236}">
              <a16:creationId xmlns:a16="http://schemas.microsoft.com/office/drawing/2014/main" xmlns="" id="{00000000-0008-0000-0300-0000F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9" name="Rectangle 75">
          <a:extLst>
            <a:ext uri="{FF2B5EF4-FFF2-40B4-BE49-F238E27FC236}">
              <a16:creationId xmlns:a16="http://schemas.microsoft.com/office/drawing/2014/main" xmlns="" id="{00000000-0008-0000-0300-0000F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50" name="Rectangle 76">
          <a:extLst>
            <a:ext uri="{FF2B5EF4-FFF2-40B4-BE49-F238E27FC236}">
              <a16:creationId xmlns:a16="http://schemas.microsoft.com/office/drawing/2014/main" xmlns="" id="{00000000-0008-0000-0300-0000F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1" name="Rectangle 77">
          <a:extLst>
            <a:ext uri="{FF2B5EF4-FFF2-40B4-BE49-F238E27FC236}">
              <a16:creationId xmlns:a16="http://schemas.microsoft.com/office/drawing/2014/main" xmlns="" id="{00000000-0008-0000-0300-0000F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52" name="Rectangle 78">
          <a:extLst>
            <a:ext uri="{FF2B5EF4-FFF2-40B4-BE49-F238E27FC236}">
              <a16:creationId xmlns:a16="http://schemas.microsoft.com/office/drawing/2014/main" xmlns="" id="{00000000-0008-0000-0300-00000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3" name="Rectangle 79">
          <a:extLst>
            <a:ext uri="{FF2B5EF4-FFF2-40B4-BE49-F238E27FC236}">
              <a16:creationId xmlns:a16="http://schemas.microsoft.com/office/drawing/2014/main" xmlns="" id="{00000000-0008-0000-0300-00000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4" name="Rectangle 80">
          <a:extLst>
            <a:ext uri="{FF2B5EF4-FFF2-40B4-BE49-F238E27FC236}">
              <a16:creationId xmlns:a16="http://schemas.microsoft.com/office/drawing/2014/main" xmlns="" id="{00000000-0008-0000-0300-00000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5" name="Rectangle 81">
          <a:extLst>
            <a:ext uri="{FF2B5EF4-FFF2-40B4-BE49-F238E27FC236}">
              <a16:creationId xmlns:a16="http://schemas.microsoft.com/office/drawing/2014/main" xmlns="" id="{00000000-0008-0000-0300-00000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6" name="Rectangle 82">
          <a:extLst>
            <a:ext uri="{FF2B5EF4-FFF2-40B4-BE49-F238E27FC236}">
              <a16:creationId xmlns:a16="http://schemas.microsoft.com/office/drawing/2014/main" xmlns="" id="{00000000-0008-0000-0300-00000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7" name="Rectangle 83">
          <a:extLst>
            <a:ext uri="{FF2B5EF4-FFF2-40B4-BE49-F238E27FC236}">
              <a16:creationId xmlns:a16="http://schemas.microsoft.com/office/drawing/2014/main" xmlns="" id="{00000000-0008-0000-0300-00000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8" name="Rectangle 84">
          <a:extLst>
            <a:ext uri="{FF2B5EF4-FFF2-40B4-BE49-F238E27FC236}">
              <a16:creationId xmlns:a16="http://schemas.microsoft.com/office/drawing/2014/main" xmlns="" id="{00000000-0008-0000-0300-00000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9" name="Rectangle 85">
          <a:extLst>
            <a:ext uri="{FF2B5EF4-FFF2-40B4-BE49-F238E27FC236}">
              <a16:creationId xmlns:a16="http://schemas.microsoft.com/office/drawing/2014/main" xmlns="" id="{00000000-0008-0000-0300-00000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0" name="Rectangle 86">
          <a:extLst>
            <a:ext uri="{FF2B5EF4-FFF2-40B4-BE49-F238E27FC236}">
              <a16:creationId xmlns:a16="http://schemas.microsoft.com/office/drawing/2014/main" xmlns="" id="{00000000-0008-0000-0300-00000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1" name="Rectangle 87">
          <a:extLst>
            <a:ext uri="{FF2B5EF4-FFF2-40B4-BE49-F238E27FC236}">
              <a16:creationId xmlns:a16="http://schemas.microsoft.com/office/drawing/2014/main" xmlns="" id="{00000000-0008-0000-0300-00000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2" name="Rectangle 88">
          <a:extLst>
            <a:ext uri="{FF2B5EF4-FFF2-40B4-BE49-F238E27FC236}">
              <a16:creationId xmlns:a16="http://schemas.microsoft.com/office/drawing/2014/main" xmlns="" id="{00000000-0008-0000-0300-00000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3" name="Rectangle 89">
          <a:extLst>
            <a:ext uri="{FF2B5EF4-FFF2-40B4-BE49-F238E27FC236}">
              <a16:creationId xmlns:a16="http://schemas.microsoft.com/office/drawing/2014/main" xmlns="" id="{00000000-0008-0000-0300-00000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4" name="Rectangle 90">
          <a:extLst>
            <a:ext uri="{FF2B5EF4-FFF2-40B4-BE49-F238E27FC236}">
              <a16:creationId xmlns:a16="http://schemas.microsoft.com/office/drawing/2014/main" xmlns="" id="{00000000-0008-0000-0300-00000C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5" name="Rectangle 91">
          <a:extLst>
            <a:ext uri="{FF2B5EF4-FFF2-40B4-BE49-F238E27FC236}">
              <a16:creationId xmlns:a16="http://schemas.microsoft.com/office/drawing/2014/main" xmlns="" id="{00000000-0008-0000-0300-00000D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6" name="Rectangle 46">
          <a:extLst>
            <a:ext uri="{FF2B5EF4-FFF2-40B4-BE49-F238E27FC236}">
              <a16:creationId xmlns:a16="http://schemas.microsoft.com/office/drawing/2014/main" xmlns="" id="{00000000-0008-0000-0300-00000E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67" name="Rectangle 47">
          <a:extLst>
            <a:ext uri="{FF2B5EF4-FFF2-40B4-BE49-F238E27FC236}">
              <a16:creationId xmlns:a16="http://schemas.microsoft.com/office/drawing/2014/main" xmlns="" id="{00000000-0008-0000-0300-00000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68" name="Rectangle 48">
          <a:extLst>
            <a:ext uri="{FF2B5EF4-FFF2-40B4-BE49-F238E27FC236}">
              <a16:creationId xmlns:a16="http://schemas.microsoft.com/office/drawing/2014/main" xmlns="" id="{00000000-0008-0000-0300-00001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9" name="Rectangle 49">
          <a:extLst>
            <a:ext uri="{FF2B5EF4-FFF2-40B4-BE49-F238E27FC236}">
              <a16:creationId xmlns:a16="http://schemas.microsoft.com/office/drawing/2014/main" xmlns="" id="{00000000-0008-0000-0300-000011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0" name="Rectangle 50">
          <a:extLst>
            <a:ext uri="{FF2B5EF4-FFF2-40B4-BE49-F238E27FC236}">
              <a16:creationId xmlns:a16="http://schemas.microsoft.com/office/drawing/2014/main" xmlns="" id="{00000000-0008-0000-0300-000012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1" name="Rectangle 51">
          <a:extLst>
            <a:ext uri="{FF2B5EF4-FFF2-40B4-BE49-F238E27FC236}">
              <a16:creationId xmlns:a16="http://schemas.microsoft.com/office/drawing/2014/main" xmlns="" id="{00000000-0008-0000-0300-000013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2" name="Rectangle 52">
          <a:extLst>
            <a:ext uri="{FF2B5EF4-FFF2-40B4-BE49-F238E27FC236}">
              <a16:creationId xmlns:a16="http://schemas.microsoft.com/office/drawing/2014/main" xmlns="" id="{00000000-0008-0000-0300-000014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3" name="Rectangle 53">
          <a:extLst>
            <a:ext uri="{FF2B5EF4-FFF2-40B4-BE49-F238E27FC236}">
              <a16:creationId xmlns:a16="http://schemas.microsoft.com/office/drawing/2014/main" xmlns="" id="{00000000-0008-0000-0300-000015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4" name="Rectangle 54">
          <a:extLst>
            <a:ext uri="{FF2B5EF4-FFF2-40B4-BE49-F238E27FC236}">
              <a16:creationId xmlns:a16="http://schemas.microsoft.com/office/drawing/2014/main" xmlns="" id="{00000000-0008-0000-0300-000016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5" name="Rectangle 55">
          <a:extLst>
            <a:ext uri="{FF2B5EF4-FFF2-40B4-BE49-F238E27FC236}">
              <a16:creationId xmlns:a16="http://schemas.microsoft.com/office/drawing/2014/main" xmlns="" id="{00000000-0008-0000-0300-000017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6" name="Rectangle 56">
          <a:extLst>
            <a:ext uri="{FF2B5EF4-FFF2-40B4-BE49-F238E27FC236}">
              <a16:creationId xmlns:a16="http://schemas.microsoft.com/office/drawing/2014/main" xmlns="" id="{00000000-0008-0000-0300-000018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7" name="Rectangle 57">
          <a:extLst>
            <a:ext uri="{FF2B5EF4-FFF2-40B4-BE49-F238E27FC236}">
              <a16:creationId xmlns:a16="http://schemas.microsoft.com/office/drawing/2014/main" xmlns="" id="{00000000-0008-0000-0300-000019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8" name="Rectangle 58">
          <a:extLst>
            <a:ext uri="{FF2B5EF4-FFF2-40B4-BE49-F238E27FC236}">
              <a16:creationId xmlns:a16="http://schemas.microsoft.com/office/drawing/2014/main" xmlns="" id="{00000000-0008-0000-0300-00001A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9" name="Rectangle 59">
          <a:extLst>
            <a:ext uri="{FF2B5EF4-FFF2-40B4-BE49-F238E27FC236}">
              <a16:creationId xmlns:a16="http://schemas.microsoft.com/office/drawing/2014/main" xmlns="" id="{00000000-0008-0000-0300-00001B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0" name="Rectangle 60">
          <a:extLst>
            <a:ext uri="{FF2B5EF4-FFF2-40B4-BE49-F238E27FC236}">
              <a16:creationId xmlns:a16="http://schemas.microsoft.com/office/drawing/2014/main" xmlns="" id="{00000000-0008-0000-0300-00001C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1" name="Rectangle 61">
          <a:extLst>
            <a:ext uri="{FF2B5EF4-FFF2-40B4-BE49-F238E27FC236}">
              <a16:creationId xmlns:a16="http://schemas.microsoft.com/office/drawing/2014/main" xmlns="" id="{00000000-0008-0000-0300-00001D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2" name="Rectangle 62">
          <a:extLst>
            <a:ext uri="{FF2B5EF4-FFF2-40B4-BE49-F238E27FC236}">
              <a16:creationId xmlns:a16="http://schemas.microsoft.com/office/drawing/2014/main" xmlns="" id="{00000000-0008-0000-0300-00001E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3" name="Rectangle 63">
          <a:extLst>
            <a:ext uri="{FF2B5EF4-FFF2-40B4-BE49-F238E27FC236}">
              <a16:creationId xmlns:a16="http://schemas.microsoft.com/office/drawing/2014/main" xmlns="" id="{00000000-0008-0000-0300-00001F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4" name="Rectangle 64">
          <a:extLst>
            <a:ext uri="{FF2B5EF4-FFF2-40B4-BE49-F238E27FC236}">
              <a16:creationId xmlns:a16="http://schemas.microsoft.com/office/drawing/2014/main" xmlns="" id="{00000000-0008-0000-0300-000020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5" name="Rectangle 65">
          <a:extLst>
            <a:ext uri="{FF2B5EF4-FFF2-40B4-BE49-F238E27FC236}">
              <a16:creationId xmlns:a16="http://schemas.microsoft.com/office/drawing/2014/main" xmlns="" id="{00000000-0008-0000-0300-00002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6" name="Rectangle 66">
          <a:extLst>
            <a:ext uri="{FF2B5EF4-FFF2-40B4-BE49-F238E27FC236}">
              <a16:creationId xmlns:a16="http://schemas.microsoft.com/office/drawing/2014/main" xmlns="" id="{00000000-0008-0000-0300-000022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7" name="Rectangle 67">
          <a:extLst>
            <a:ext uri="{FF2B5EF4-FFF2-40B4-BE49-F238E27FC236}">
              <a16:creationId xmlns:a16="http://schemas.microsoft.com/office/drawing/2014/main" xmlns="" id="{00000000-0008-0000-0300-000023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8" name="Rectangle 68">
          <a:extLst>
            <a:ext uri="{FF2B5EF4-FFF2-40B4-BE49-F238E27FC236}">
              <a16:creationId xmlns:a16="http://schemas.microsoft.com/office/drawing/2014/main" xmlns="" id="{00000000-0008-0000-0300-000024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9" name="Rectangle 69">
          <a:extLst>
            <a:ext uri="{FF2B5EF4-FFF2-40B4-BE49-F238E27FC236}">
              <a16:creationId xmlns:a16="http://schemas.microsoft.com/office/drawing/2014/main" xmlns="" id="{00000000-0008-0000-0300-000025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0" name="Rectangle 70">
          <a:extLst>
            <a:ext uri="{FF2B5EF4-FFF2-40B4-BE49-F238E27FC236}">
              <a16:creationId xmlns:a16="http://schemas.microsoft.com/office/drawing/2014/main" xmlns="" id="{00000000-0008-0000-0300-000026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1" name="Rectangle 71">
          <a:extLst>
            <a:ext uri="{FF2B5EF4-FFF2-40B4-BE49-F238E27FC236}">
              <a16:creationId xmlns:a16="http://schemas.microsoft.com/office/drawing/2014/main" xmlns="" id="{00000000-0008-0000-0300-000027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2" name="Rectangle 72">
          <a:extLst>
            <a:ext uri="{FF2B5EF4-FFF2-40B4-BE49-F238E27FC236}">
              <a16:creationId xmlns:a16="http://schemas.microsoft.com/office/drawing/2014/main" xmlns="" id="{00000000-0008-0000-0300-000028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3" name="Rectangle 73">
          <a:extLst>
            <a:ext uri="{FF2B5EF4-FFF2-40B4-BE49-F238E27FC236}">
              <a16:creationId xmlns:a16="http://schemas.microsoft.com/office/drawing/2014/main" xmlns="" id="{00000000-0008-0000-0300-000029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4" name="Rectangle 74">
          <a:extLst>
            <a:ext uri="{FF2B5EF4-FFF2-40B4-BE49-F238E27FC236}">
              <a16:creationId xmlns:a16="http://schemas.microsoft.com/office/drawing/2014/main" xmlns="" id="{00000000-0008-0000-0300-00002A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5" name="Rectangle 75">
          <a:extLst>
            <a:ext uri="{FF2B5EF4-FFF2-40B4-BE49-F238E27FC236}">
              <a16:creationId xmlns:a16="http://schemas.microsoft.com/office/drawing/2014/main" xmlns="" id="{00000000-0008-0000-0300-00002B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6" name="Rectangle 76">
          <a:extLst>
            <a:ext uri="{FF2B5EF4-FFF2-40B4-BE49-F238E27FC236}">
              <a16:creationId xmlns:a16="http://schemas.microsoft.com/office/drawing/2014/main" xmlns="" id="{00000000-0008-0000-0300-00002C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7" name="Rectangle 77">
          <a:extLst>
            <a:ext uri="{FF2B5EF4-FFF2-40B4-BE49-F238E27FC236}">
              <a16:creationId xmlns:a16="http://schemas.microsoft.com/office/drawing/2014/main" xmlns="" id="{00000000-0008-0000-0300-00002D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8" name="Rectangle 78">
          <a:extLst>
            <a:ext uri="{FF2B5EF4-FFF2-40B4-BE49-F238E27FC236}">
              <a16:creationId xmlns:a16="http://schemas.microsoft.com/office/drawing/2014/main" xmlns="" id="{00000000-0008-0000-0300-00002E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9" name="Rectangle 79">
          <a:extLst>
            <a:ext uri="{FF2B5EF4-FFF2-40B4-BE49-F238E27FC236}">
              <a16:creationId xmlns:a16="http://schemas.microsoft.com/office/drawing/2014/main" xmlns="" id="{00000000-0008-0000-0300-00002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0" name="Rectangle 80">
          <a:extLst>
            <a:ext uri="{FF2B5EF4-FFF2-40B4-BE49-F238E27FC236}">
              <a16:creationId xmlns:a16="http://schemas.microsoft.com/office/drawing/2014/main" xmlns="" id="{00000000-0008-0000-0300-000030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1" name="Rectangle 81">
          <a:extLst>
            <a:ext uri="{FF2B5EF4-FFF2-40B4-BE49-F238E27FC236}">
              <a16:creationId xmlns:a16="http://schemas.microsoft.com/office/drawing/2014/main" xmlns="" id="{00000000-0008-0000-0300-000031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2" name="Rectangle 82">
          <a:extLst>
            <a:ext uri="{FF2B5EF4-FFF2-40B4-BE49-F238E27FC236}">
              <a16:creationId xmlns:a16="http://schemas.microsoft.com/office/drawing/2014/main" xmlns="" id="{00000000-0008-0000-0300-00003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3" name="Rectangle 83">
          <a:extLst>
            <a:ext uri="{FF2B5EF4-FFF2-40B4-BE49-F238E27FC236}">
              <a16:creationId xmlns:a16="http://schemas.microsoft.com/office/drawing/2014/main" xmlns="" id="{00000000-0008-0000-0300-00003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4" name="Rectangle 84">
          <a:extLst>
            <a:ext uri="{FF2B5EF4-FFF2-40B4-BE49-F238E27FC236}">
              <a16:creationId xmlns:a16="http://schemas.microsoft.com/office/drawing/2014/main" xmlns="" id="{00000000-0008-0000-0300-00003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5" name="Rectangle 85">
          <a:extLst>
            <a:ext uri="{FF2B5EF4-FFF2-40B4-BE49-F238E27FC236}">
              <a16:creationId xmlns:a16="http://schemas.microsoft.com/office/drawing/2014/main" xmlns="" id="{00000000-0008-0000-0300-00003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6" name="Rectangle 86">
          <a:extLst>
            <a:ext uri="{FF2B5EF4-FFF2-40B4-BE49-F238E27FC236}">
              <a16:creationId xmlns:a16="http://schemas.microsoft.com/office/drawing/2014/main" xmlns="" id="{00000000-0008-0000-0300-00003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7" name="Rectangle 87">
          <a:extLst>
            <a:ext uri="{FF2B5EF4-FFF2-40B4-BE49-F238E27FC236}">
              <a16:creationId xmlns:a16="http://schemas.microsoft.com/office/drawing/2014/main" xmlns="" id="{00000000-0008-0000-0300-00003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8" name="Rectangle 88">
          <a:extLst>
            <a:ext uri="{FF2B5EF4-FFF2-40B4-BE49-F238E27FC236}">
              <a16:creationId xmlns:a16="http://schemas.microsoft.com/office/drawing/2014/main" xmlns="" id="{00000000-0008-0000-0300-00003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9" name="Rectangle 89">
          <a:extLst>
            <a:ext uri="{FF2B5EF4-FFF2-40B4-BE49-F238E27FC236}">
              <a16:creationId xmlns:a16="http://schemas.microsoft.com/office/drawing/2014/main" xmlns="" id="{00000000-0008-0000-0300-00003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0" name="Rectangle 90">
          <a:extLst>
            <a:ext uri="{FF2B5EF4-FFF2-40B4-BE49-F238E27FC236}">
              <a16:creationId xmlns:a16="http://schemas.microsoft.com/office/drawing/2014/main" xmlns="" id="{00000000-0008-0000-0300-00003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1" name="Rectangle 91">
          <a:extLst>
            <a:ext uri="{FF2B5EF4-FFF2-40B4-BE49-F238E27FC236}">
              <a16:creationId xmlns:a16="http://schemas.microsoft.com/office/drawing/2014/main" xmlns="" id="{00000000-0008-0000-0300-00003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2" name="Rectangle 92">
          <a:extLst>
            <a:ext uri="{FF2B5EF4-FFF2-40B4-BE49-F238E27FC236}">
              <a16:creationId xmlns:a16="http://schemas.microsoft.com/office/drawing/2014/main" xmlns="" id="{00000000-0008-0000-0300-00003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3" name="Rectangle 93">
          <a:extLst>
            <a:ext uri="{FF2B5EF4-FFF2-40B4-BE49-F238E27FC236}">
              <a16:creationId xmlns:a16="http://schemas.microsoft.com/office/drawing/2014/main" xmlns="" id="{00000000-0008-0000-0300-00003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4" name="Rectangle 94">
          <a:extLst>
            <a:ext uri="{FF2B5EF4-FFF2-40B4-BE49-F238E27FC236}">
              <a16:creationId xmlns:a16="http://schemas.microsoft.com/office/drawing/2014/main" xmlns="" id="{00000000-0008-0000-0300-00003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5" name="Rectangle 95">
          <a:extLst>
            <a:ext uri="{FF2B5EF4-FFF2-40B4-BE49-F238E27FC236}">
              <a16:creationId xmlns:a16="http://schemas.microsoft.com/office/drawing/2014/main" xmlns="" id="{00000000-0008-0000-0300-00003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6" name="Rectangle 96">
          <a:extLst>
            <a:ext uri="{FF2B5EF4-FFF2-40B4-BE49-F238E27FC236}">
              <a16:creationId xmlns:a16="http://schemas.microsoft.com/office/drawing/2014/main" xmlns="" id="{00000000-0008-0000-0300-00004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7" name="Rectangle 97">
          <a:extLst>
            <a:ext uri="{FF2B5EF4-FFF2-40B4-BE49-F238E27FC236}">
              <a16:creationId xmlns:a16="http://schemas.microsoft.com/office/drawing/2014/main" xmlns="" id="{00000000-0008-0000-0300-00004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8" name="Rectangle 98">
          <a:extLst>
            <a:ext uri="{FF2B5EF4-FFF2-40B4-BE49-F238E27FC236}">
              <a16:creationId xmlns:a16="http://schemas.microsoft.com/office/drawing/2014/main" xmlns="" id="{00000000-0008-0000-0300-00004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9" name="Rectangle 99">
          <a:extLst>
            <a:ext uri="{FF2B5EF4-FFF2-40B4-BE49-F238E27FC236}">
              <a16:creationId xmlns:a16="http://schemas.microsoft.com/office/drawing/2014/main" xmlns="" id="{00000000-0008-0000-0300-00004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0" name="Rectangle 100">
          <a:extLst>
            <a:ext uri="{FF2B5EF4-FFF2-40B4-BE49-F238E27FC236}">
              <a16:creationId xmlns:a16="http://schemas.microsoft.com/office/drawing/2014/main" xmlns="" id="{00000000-0008-0000-0300-00004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1" name="Rectangle 101">
          <a:extLst>
            <a:ext uri="{FF2B5EF4-FFF2-40B4-BE49-F238E27FC236}">
              <a16:creationId xmlns:a16="http://schemas.microsoft.com/office/drawing/2014/main" xmlns="" id="{00000000-0008-0000-0300-00004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2" name="Rectangle 102">
          <a:extLst>
            <a:ext uri="{FF2B5EF4-FFF2-40B4-BE49-F238E27FC236}">
              <a16:creationId xmlns:a16="http://schemas.microsoft.com/office/drawing/2014/main" xmlns="" id="{00000000-0008-0000-0300-00004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3" name="Rectangle 103">
          <a:extLst>
            <a:ext uri="{FF2B5EF4-FFF2-40B4-BE49-F238E27FC236}">
              <a16:creationId xmlns:a16="http://schemas.microsoft.com/office/drawing/2014/main" xmlns="" id="{00000000-0008-0000-0300-00004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4" name="Rectangle 104">
          <a:extLst>
            <a:ext uri="{FF2B5EF4-FFF2-40B4-BE49-F238E27FC236}">
              <a16:creationId xmlns:a16="http://schemas.microsoft.com/office/drawing/2014/main" xmlns="" id="{00000000-0008-0000-0300-00004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5" name="Rectangle 105">
          <a:extLst>
            <a:ext uri="{FF2B5EF4-FFF2-40B4-BE49-F238E27FC236}">
              <a16:creationId xmlns:a16="http://schemas.microsoft.com/office/drawing/2014/main" xmlns="" id="{00000000-0008-0000-0300-00004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6" name="Rectangle 106">
          <a:extLst>
            <a:ext uri="{FF2B5EF4-FFF2-40B4-BE49-F238E27FC236}">
              <a16:creationId xmlns:a16="http://schemas.microsoft.com/office/drawing/2014/main" xmlns="" id="{00000000-0008-0000-0300-00004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7" name="Rectangle 107">
          <a:extLst>
            <a:ext uri="{FF2B5EF4-FFF2-40B4-BE49-F238E27FC236}">
              <a16:creationId xmlns:a16="http://schemas.microsoft.com/office/drawing/2014/main" xmlns="" id="{00000000-0008-0000-0300-00004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8" name="Rectangle 108">
          <a:extLst>
            <a:ext uri="{FF2B5EF4-FFF2-40B4-BE49-F238E27FC236}">
              <a16:creationId xmlns:a16="http://schemas.microsoft.com/office/drawing/2014/main" xmlns="" id="{00000000-0008-0000-0300-00004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9" name="Rectangle 109">
          <a:extLst>
            <a:ext uri="{FF2B5EF4-FFF2-40B4-BE49-F238E27FC236}">
              <a16:creationId xmlns:a16="http://schemas.microsoft.com/office/drawing/2014/main" xmlns="" id="{00000000-0008-0000-0300-00004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0" name="Rectangle 110">
          <a:extLst>
            <a:ext uri="{FF2B5EF4-FFF2-40B4-BE49-F238E27FC236}">
              <a16:creationId xmlns:a16="http://schemas.microsoft.com/office/drawing/2014/main" xmlns="" id="{00000000-0008-0000-0300-00004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1" name="Rectangle 111">
          <a:extLst>
            <a:ext uri="{FF2B5EF4-FFF2-40B4-BE49-F238E27FC236}">
              <a16:creationId xmlns:a16="http://schemas.microsoft.com/office/drawing/2014/main" xmlns="" id="{00000000-0008-0000-0300-00004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2" name="Rectangle 112">
          <a:extLst>
            <a:ext uri="{FF2B5EF4-FFF2-40B4-BE49-F238E27FC236}">
              <a16:creationId xmlns:a16="http://schemas.microsoft.com/office/drawing/2014/main" xmlns="" id="{00000000-0008-0000-0300-00005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3" name="Rectangle 113">
          <a:extLst>
            <a:ext uri="{FF2B5EF4-FFF2-40B4-BE49-F238E27FC236}">
              <a16:creationId xmlns:a16="http://schemas.microsoft.com/office/drawing/2014/main" xmlns="" id="{00000000-0008-0000-0300-00005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4" name="Rectangle 114">
          <a:extLst>
            <a:ext uri="{FF2B5EF4-FFF2-40B4-BE49-F238E27FC236}">
              <a16:creationId xmlns:a16="http://schemas.microsoft.com/office/drawing/2014/main" xmlns="" id="{00000000-0008-0000-0300-00005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5" name="Rectangle 115">
          <a:extLst>
            <a:ext uri="{FF2B5EF4-FFF2-40B4-BE49-F238E27FC236}">
              <a16:creationId xmlns:a16="http://schemas.microsoft.com/office/drawing/2014/main" xmlns="" id="{00000000-0008-0000-0300-00005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6" name="Rectangle 116">
          <a:extLst>
            <a:ext uri="{FF2B5EF4-FFF2-40B4-BE49-F238E27FC236}">
              <a16:creationId xmlns:a16="http://schemas.microsoft.com/office/drawing/2014/main" xmlns="" id="{00000000-0008-0000-0300-00005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7" name="Rectangle 117">
          <a:extLst>
            <a:ext uri="{FF2B5EF4-FFF2-40B4-BE49-F238E27FC236}">
              <a16:creationId xmlns:a16="http://schemas.microsoft.com/office/drawing/2014/main" xmlns="" id="{00000000-0008-0000-0300-00005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8" name="Rectangle 118">
          <a:extLst>
            <a:ext uri="{FF2B5EF4-FFF2-40B4-BE49-F238E27FC236}">
              <a16:creationId xmlns:a16="http://schemas.microsoft.com/office/drawing/2014/main" xmlns="" id="{00000000-0008-0000-0300-00005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9" name="Rectangle 119">
          <a:extLst>
            <a:ext uri="{FF2B5EF4-FFF2-40B4-BE49-F238E27FC236}">
              <a16:creationId xmlns:a16="http://schemas.microsoft.com/office/drawing/2014/main" xmlns="" id="{00000000-0008-0000-0300-00005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0" name="Rectangle 120">
          <a:extLst>
            <a:ext uri="{FF2B5EF4-FFF2-40B4-BE49-F238E27FC236}">
              <a16:creationId xmlns:a16="http://schemas.microsoft.com/office/drawing/2014/main" xmlns="" id="{00000000-0008-0000-0300-00005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1" name="Rectangle 121">
          <a:extLst>
            <a:ext uri="{FF2B5EF4-FFF2-40B4-BE49-F238E27FC236}">
              <a16:creationId xmlns:a16="http://schemas.microsoft.com/office/drawing/2014/main" xmlns="" id="{00000000-0008-0000-0300-00005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42" name="Rectangle 122">
          <a:extLst>
            <a:ext uri="{FF2B5EF4-FFF2-40B4-BE49-F238E27FC236}">
              <a16:creationId xmlns:a16="http://schemas.microsoft.com/office/drawing/2014/main" xmlns="" id="{00000000-0008-0000-0300-00005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3" name="Rectangle 123">
          <a:extLst>
            <a:ext uri="{FF2B5EF4-FFF2-40B4-BE49-F238E27FC236}">
              <a16:creationId xmlns:a16="http://schemas.microsoft.com/office/drawing/2014/main" xmlns="" id="{00000000-0008-0000-0300-00005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4" name="Rectangle 124">
          <a:extLst>
            <a:ext uri="{FF2B5EF4-FFF2-40B4-BE49-F238E27FC236}">
              <a16:creationId xmlns:a16="http://schemas.microsoft.com/office/drawing/2014/main" xmlns="" id="{00000000-0008-0000-0300-00005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5" name="Rectangle 125">
          <a:extLst>
            <a:ext uri="{FF2B5EF4-FFF2-40B4-BE49-F238E27FC236}">
              <a16:creationId xmlns:a16="http://schemas.microsoft.com/office/drawing/2014/main" xmlns="" id="{00000000-0008-0000-0300-00005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6" name="Rectangle 126">
          <a:extLst>
            <a:ext uri="{FF2B5EF4-FFF2-40B4-BE49-F238E27FC236}">
              <a16:creationId xmlns:a16="http://schemas.microsoft.com/office/drawing/2014/main" xmlns="" id="{00000000-0008-0000-0300-00005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7" name="Rectangle 127">
          <a:extLst>
            <a:ext uri="{FF2B5EF4-FFF2-40B4-BE49-F238E27FC236}">
              <a16:creationId xmlns:a16="http://schemas.microsoft.com/office/drawing/2014/main" xmlns="" id="{00000000-0008-0000-0300-00005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8" name="Rectangle 128">
          <a:extLst>
            <a:ext uri="{FF2B5EF4-FFF2-40B4-BE49-F238E27FC236}">
              <a16:creationId xmlns:a16="http://schemas.microsoft.com/office/drawing/2014/main" xmlns="" id="{00000000-0008-0000-0300-00006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9" name="Rectangle 129">
          <a:extLst>
            <a:ext uri="{FF2B5EF4-FFF2-40B4-BE49-F238E27FC236}">
              <a16:creationId xmlns:a16="http://schemas.microsoft.com/office/drawing/2014/main" xmlns="" id="{00000000-0008-0000-0300-00006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0" name="Rectangle 130">
          <a:extLst>
            <a:ext uri="{FF2B5EF4-FFF2-40B4-BE49-F238E27FC236}">
              <a16:creationId xmlns:a16="http://schemas.microsoft.com/office/drawing/2014/main" xmlns="" id="{00000000-0008-0000-0300-00006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1" name="Rectangle 131">
          <a:extLst>
            <a:ext uri="{FF2B5EF4-FFF2-40B4-BE49-F238E27FC236}">
              <a16:creationId xmlns:a16="http://schemas.microsoft.com/office/drawing/2014/main" xmlns="" id="{00000000-0008-0000-0300-00006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2" name="Rectangle 132">
          <a:extLst>
            <a:ext uri="{FF2B5EF4-FFF2-40B4-BE49-F238E27FC236}">
              <a16:creationId xmlns:a16="http://schemas.microsoft.com/office/drawing/2014/main" xmlns="" id="{00000000-0008-0000-0300-00006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3" name="Rectangle 133">
          <a:extLst>
            <a:ext uri="{FF2B5EF4-FFF2-40B4-BE49-F238E27FC236}">
              <a16:creationId xmlns:a16="http://schemas.microsoft.com/office/drawing/2014/main" xmlns="" id="{00000000-0008-0000-0300-00006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4" name="Rectangle 134">
          <a:extLst>
            <a:ext uri="{FF2B5EF4-FFF2-40B4-BE49-F238E27FC236}">
              <a16:creationId xmlns:a16="http://schemas.microsoft.com/office/drawing/2014/main" xmlns="" id="{00000000-0008-0000-0300-00006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5" name="Rectangle 135">
          <a:extLst>
            <a:ext uri="{FF2B5EF4-FFF2-40B4-BE49-F238E27FC236}">
              <a16:creationId xmlns:a16="http://schemas.microsoft.com/office/drawing/2014/main" xmlns="" id="{00000000-0008-0000-0300-00006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6" name="Rectangle 136">
          <a:extLst>
            <a:ext uri="{FF2B5EF4-FFF2-40B4-BE49-F238E27FC236}">
              <a16:creationId xmlns:a16="http://schemas.microsoft.com/office/drawing/2014/main" xmlns="" id="{00000000-0008-0000-0300-00006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7" name="Rectangle 137">
          <a:extLst>
            <a:ext uri="{FF2B5EF4-FFF2-40B4-BE49-F238E27FC236}">
              <a16:creationId xmlns:a16="http://schemas.microsoft.com/office/drawing/2014/main" xmlns="" id="{00000000-0008-0000-0300-00006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58" name="Rectangle 92">
          <a:extLst>
            <a:ext uri="{FF2B5EF4-FFF2-40B4-BE49-F238E27FC236}">
              <a16:creationId xmlns:a16="http://schemas.microsoft.com/office/drawing/2014/main" xmlns="" id="{00000000-0008-0000-0300-00006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59" name="Rectangle 93">
          <a:extLst>
            <a:ext uri="{FF2B5EF4-FFF2-40B4-BE49-F238E27FC236}">
              <a16:creationId xmlns:a16="http://schemas.microsoft.com/office/drawing/2014/main" xmlns="" id="{00000000-0008-0000-0300-00006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0" name="Rectangle 94">
          <a:extLst>
            <a:ext uri="{FF2B5EF4-FFF2-40B4-BE49-F238E27FC236}">
              <a16:creationId xmlns:a16="http://schemas.microsoft.com/office/drawing/2014/main" xmlns="" id="{00000000-0008-0000-0300-00006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1" name="Rectangle 95">
          <a:extLst>
            <a:ext uri="{FF2B5EF4-FFF2-40B4-BE49-F238E27FC236}">
              <a16:creationId xmlns:a16="http://schemas.microsoft.com/office/drawing/2014/main" xmlns="" id="{00000000-0008-0000-0300-00006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2" name="Rectangle 96">
          <a:extLst>
            <a:ext uri="{FF2B5EF4-FFF2-40B4-BE49-F238E27FC236}">
              <a16:creationId xmlns:a16="http://schemas.microsoft.com/office/drawing/2014/main" xmlns="" id="{00000000-0008-0000-0300-00006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3" name="Rectangle 97">
          <a:extLst>
            <a:ext uri="{FF2B5EF4-FFF2-40B4-BE49-F238E27FC236}">
              <a16:creationId xmlns:a16="http://schemas.microsoft.com/office/drawing/2014/main" xmlns="" id="{00000000-0008-0000-0300-00006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4" name="Rectangle 98">
          <a:extLst>
            <a:ext uri="{FF2B5EF4-FFF2-40B4-BE49-F238E27FC236}">
              <a16:creationId xmlns:a16="http://schemas.microsoft.com/office/drawing/2014/main" xmlns="" id="{00000000-0008-0000-0300-00007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5" name="Rectangle 99">
          <a:extLst>
            <a:ext uri="{FF2B5EF4-FFF2-40B4-BE49-F238E27FC236}">
              <a16:creationId xmlns:a16="http://schemas.microsoft.com/office/drawing/2014/main" xmlns="" id="{00000000-0008-0000-0300-00007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6" name="Rectangle 100">
          <a:extLst>
            <a:ext uri="{FF2B5EF4-FFF2-40B4-BE49-F238E27FC236}">
              <a16:creationId xmlns:a16="http://schemas.microsoft.com/office/drawing/2014/main" xmlns="" id="{00000000-0008-0000-0300-00007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7" name="Rectangle 101">
          <a:extLst>
            <a:ext uri="{FF2B5EF4-FFF2-40B4-BE49-F238E27FC236}">
              <a16:creationId xmlns:a16="http://schemas.microsoft.com/office/drawing/2014/main" xmlns="" id="{00000000-0008-0000-0300-00007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8" name="Rectangle 102">
          <a:extLst>
            <a:ext uri="{FF2B5EF4-FFF2-40B4-BE49-F238E27FC236}">
              <a16:creationId xmlns:a16="http://schemas.microsoft.com/office/drawing/2014/main" xmlns="" id="{00000000-0008-0000-0300-00007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9" name="Rectangle 103">
          <a:extLst>
            <a:ext uri="{FF2B5EF4-FFF2-40B4-BE49-F238E27FC236}">
              <a16:creationId xmlns:a16="http://schemas.microsoft.com/office/drawing/2014/main" xmlns="" id="{00000000-0008-0000-0300-00007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0" name="Rectangle 104">
          <a:extLst>
            <a:ext uri="{FF2B5EF4-FFF2-40B4-BE49-F238E27FC236}">
              <a16:creationId xmlns:a16="http://schemas.microsoft.com/office/drawing/2014/main" xmlns="" id="{00000000-0008-0000-0300-00007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1" name="Rectangle 105">
          <a:extLst>
            <a:ext uri="{FF2B5EF4-FFF2-40B4-BE49-F238E27FC236}">
              <a16:creationId xmlns:a16="http://schemas.microsoft.com/office/drawing/2014/main" xmlns="" id="{00000000-0008-0000-0300-00007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2" name="Rectangle 106">
          <a:extLst>
            <a:ext uri="{FF2B5EF4-FFF2-40B4-BE49-F238E27FC236}">
              <a16:creationId xmlns:a16="http://schemas.microsoft.com/office/drawing/2014/main" xmlns="" id="{00000000-0008-0000-0300-00007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3" name="Rectangle 107">
          <a:extLst>
            <a:ext uri="{FF2B5EF4-FFF2-40B4-BE49-F238E27FC236}">
              <a16:creationId xmlns:a16="http://schemas.microsoft.com/office/drawing/2014/main" xmlns="" id="{00000000-0008-0000-0300-00007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4" name="Rectangle 108">
          <a:extLst>
            <a:ext uri="{FF2B5EF4-FFF2-40B4-BE49-F238E27FC236}">
              <a16:creationId xmlns:a16="http://schemas.microsoft.com/office/drawing/2014/main" xmlns="" id="{00000000-0008-0000-0300-00007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5" name="Rectangle 109">
          <a:extLst>
            <a:ext uri="{FF2B5EF4-FFF2-40B4-BE49-F238E27FC236}">
              <a16:creationId xmlns:a16="http://schemas.microsoft.com/office/drawing/2014/main" xmlns="" id="{00000000-0008-0000-0300-00007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6" name="Rectangle 110">
          <a:extLst>
            <a:ext uri="{FF2B5EF4-FFF2-40B4-BE49-F238E27FC236}">
              <a16:creationId xmlns:a16="http://schemas.microsoft.com/office/drawing/2014/main" xmlns="" id="{00000000-0008-0000-0300-00007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7" name="Rectangle 111">
          <a:extLst>
            <a:ext uri="{FF2B5EF4-FFF2-40B4-BE49-F238E27FC236}">
              <a16:creationId xmlns:a16="http://schemas.microsoft.com/office/drawing/2014/main" xmlns="" id="{00000000-0008-0000-0300-00007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8" name="Rectangle 112">
          <a:extLst>
            <a:ext uri="{FF2B5EF4-FFF2-40B4-BE49-F238E27FC236}">
              <a16:creationId xmlns:a16="http://schemas.microsoft.com/office/drawing/2014/main" xmlns="" id="{00000000-0008-0000-0300-00007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9" name="Rectangle 113">
          <a:extLst>
            <a:ext uri="{FF2B5EF4-FFF2-40B4-BE49-F238E27FC236}">
              <a16:creationId xmlns:a16="http://schemas.microsoft.com/office/drawing/2014/main" xmlns="" id="{00000000-0008-0000-0300-00007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0" name="Rectangle 114">
          <a:extLst>
            <a:ext uri="{FF2B5EF4-FFF2-40B4-BE49-F238E27FC236}">
              <a16:creationId xmlns:a16="http://schemas.microsoft.com/office/drawing/2014/main" xmlns="" id="{00000000-0008-0000-0300-00008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1" name="Rectangle 115">
          <a:extLst>
            <a:ext uri="{FF2B5EF4-FFF2-40B4-BE49-F238E27FC236}">
              <a16:creationId xmlns:a16="http://schemas.microsoft.com/office/drawing/2014/main" xmlns="" id="{00000000-0008-0000-0300-00008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2" name="Rectangle 116">
          <a:extLst>
            <a:ext uri="{FF2B5EF4-FFF2-40B4-BE49-F238E27FC236}">
              <a16:creationId xmlns:a16="http://schemas.microsoft.com/office/drawing/2014/main" xmlns="" id="{00000000-0008-0000-0300-00008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3" name="Rectangle 117">
          <a:extLst>
            <a:ext uri="{FF2B5EF4-FFF2-40B4-BE49-F238E27FC236}">
              <a16:creationId xmlns:a16="http://schemas.microsoft.com/office/drawing/2014/main" xmlns="" id="{00000000-0008-0000-0300-00008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4" name="Rectangle 118">
          <a:extLst>
            <a:ext uri="{FF2B5EF4-FFF2-40B4-BE49-F238E27FC236}">
              <a16:creationId xmlns:a16="http://schemas.microsoft.com/office/drawing/2014/main" xmlns="" id="{00000000-0008-0000-0300-00008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5" name="Rectangle 119">
          <a:extLst>
            <a:ext uri="{FF2B5EF4-FFF2-40B4-BE49-F238E27FC236}">
              <a16:creationId xmlns:a16="http://schemas.microsoft.com/office/drawing/2014/main" xmlns="" id="{00000000-0008-0000-0300-00008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6" name="Rectangle 120">
          <a:extLst>
            <a:ext uri="{FF2B5EF4-FFF2-40B4-BE49-F238E27FC236}">
              <a16:creationId xmlns:a16="http://schemas.microsoft.com/office/drawing/2014/main" xmlns="" id="{00000000-0008-0000-0300-00008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7" name="Rectangle 121">
          <a:extLst>
            <a:ext uri="{FF2B5EF4-FFF2-40B4-BE49-F238E27FC236}">
              <a16:creationId xmlns:a16="http://schemas.microsoft.com/office/drawing/2014/main" xmlns="" id="{00000000-0008-0000-0300-00008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8" name="Rectangle 122">
          <a:extLst>
            <a:ext uri="{FF2B5EF4-FFF2-40B4-BE49-F238E27FC236}">
              <a16:creationId xmlns:a16="http://schemas.microsoft.com/office/drawing/2014/main" xmlns="" id="{00000000-0008-0000-0300-00008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9" name="Rectangle 123">
          <a:extLst>
            <a:ext uri="{FF2B5EF4-FFF2-40B4-BE49-F238E27FC236}">
              <a16:creationId xmlns:a16="http://schemas.microsoft.com/office/drawing/2014/main" xmlns="" id="{00000000-0008-0000-0300-00008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90" name="Rectangle 124">
          <a:extLst>
            <a:ext uri="{FF2B5EF4-FFF2-40B4-BE49-F238E27FC236}">
              <a16:creationId xmlns:a16="http://schemas.microsoft.com/office/drawing/2014/main" xmlns="" id="{00000000-0008-0000-0300-00008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91" name="Rectangle 125">
          <a:extLst>
            <a:ext uri="{FF2B5EF4-FFF2-40B4-BE49-F238E27FC236}">
              <a16:creationId xmlns:a16="http://schemas.microsoft.com/office/drawing/2014/main" xmlns="" id="{00000000-0008-0000-0300-00008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2" name="Rectangle 126">
          <a:extLst>
            <a:ext uri="{FF2B5EF4-FFF2-40B4-BE49-F238E27FC236}">
              <a16:creationId xmlns:a16="http://schemas.microsoft.com/office/drawing/2014/main" xmlns="" id="{00000000-0008-0000-0300-00008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3" name="Rectangle 127">
          <a:extLst>
            <a:ext uri="{FF2B5EF4-FFF2-40B4-BE49-F238E27FC236}">
              <a16:creationId xmlns:a16="http://schemas.microsoft.com/office/drawing/2014/main" xmlns="" id="{00000000-0008-0000-0300-00008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4" name="Rectangle 128">
          <a:extLst>
            <a:ext uri="{FF2B5EF4-FFF2-40B4-BE49-F238E27FC236}">
              <a16:creationId xmlns:a16="http://schemas.microsoft.com/office/drawing/2014/main" xmlns="" id="{00000000-0008-0000-0300-00008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5" name="Rectangle 129">
          <a:extLst>
            <a:ext uri="{FF2B5EF4-FFF2-40B4-BE49-F238E27FC236}">
              <a16:creationId xmlns:a16="http://schemas.microsoft.com/office/drawing/2014/main" xmlns="" id="{00000000-0008-0000-0300-00008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6" name="Rectangle 130">
          <a:extLst>
            <a:ext uri="{FF2B5EF4-FFF2-40B4-BE49-F238E27FC236}">
              <a16:creationId xmlns:a16="http://schemas.microsoft.com/office/drawing/2014/main" xmlns="" id="{00000000-0008-0000-0300-00009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7" name="Rectangle 131">
          <a:extLst>
            <a:ext uri="{FF2B5EF4-FFF2-40B4-BE49-F238E27FC236}">
              <a16:creationId xmlns:a16="http://schemas.microsoft.com/office/drawing/2014/main" xmlns="" id="{00000000-0008-0000-0300-00009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8" name="Rectangle 132">
          <a:extLst>
            <a:ext uri="{FF2B5EF4-FFF2-40B4-BE49-F238E27FC236}">
              <a16:creationId xmlns:a16="http://schemas.microsoft.com/office/drawing/2014/main" xmlns="" id="{00000000-0008-0000-0300-00009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9" name="Rectangle 133">
          <a:extLst>
            <a:ext uri="{FF2B5EF4-FFF2-40B4-BE49-F238E27FC236}">
              <a16:creationId xmlns:a16="http://schemas.microsoft.com/office/drawing/2014/main" xmlns="" id="{00000000-0008-0000-0300-00009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0" name="Rectangle 134">
          <a:extLst>
            <a:ext uri="{FF2B5EF4-FFF2-40B4-BE49-F238E27FC236}">
              <a16:creationId xmlns:a16="http://schemas.microsoft.com/office/drawing/2014/main" xmlns="" id="{00000000-0008-0000-0300-00009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1" name="Rectangle 135">
          <a:extLst>
            <a:ext uri="{FF2B5EF4-FFF2-40B4-BE49-F238E27FC236}">
              <a16:creationId xmlns:a16="http://schemas.microsoft.com/office/drawing/2014/main" xmlns="" id="{00000000-0008-0000-0300-00009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2" name="Rectangle 136">
          <a:extLst>
            <a:ext uri="{FF2B5EF4-FFF2-40B4-BE49-F238E27FC236}">
              <a16:creationId xmlns:a16="http://schemas.microsoft.com/office/drawing/2014/main" xmlns="" id="{00000000-0008-0000-0300-00009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3" name="Rectangle 137">
          <a:extLst>
            <a:ext uri="{FF2B5EF4-FFF2-40B4-BE49-F238E27FC236}">
              <a16:creationId xmlns:a16="http://schemas.microsoft.com/office/drawing/2014/main" xmlns="" id="{00000000-0008-0000-0300-00009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4" name="Rectangle 92">
          <a:extLst>
            <a:ext uri="{FF2B5EF4-FFF2-40B4-BE49-F238E27FC236}">
              <a16:creationId xmlns:a16="http://schemas.microsoft.com/office/drawing/2014/main" xmlns="" id="{00000000-0008-0000-0300-00009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5" name="Rectangle 93">
          <a:extLst>
            <a:ext uri="{FF2B5EF4-FFF2-40B4-BE49-F238E27FC236}">
              <a16:creationId xmlns:a16="http://schemas.microsoft.com/office/drawing/2014/main" xmlns="" id="{00000000-0008-0000-0300-00009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6" name="Rectangle 94">
          <a:extLst>
            <a:ext uri="{FF2B5EF4-FFF2-40B4-BE49-F238E27FC236}">
              <a16:creationId xmlns:a16="http://schemas.microsoft.com/office/drawing/2014/main" xmlns="" id="{00000000-0008-0000-0300-00009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7" name="Rectangle 95">
          <a:extLst>
            <a:ext uri="{FF2B5EF4-FFF2-40B4-BE49-F238E27FC236}">
              <a16:creationId xmlns:a16="http://schemas.microsoft.com/office/drawing/2014/main" xmlns="" id="{00000000-0008-0000-0300-00009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8" name="Rectangle 96">
          <a:extLst>
            <a:ext uri="{FF2B5EF4-FFF2-40B4-BE49-F238E27FC236}">
              <a16:creationId xmlns:a16="http://schemas.microsoft.com/office/drawing/2014/main" xmlns="" id="{00000000-0008-0000-0300-00009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9" name="Rectangle 97">
          <a:extLst>
            <a:ext uri="{FF2B5EF4-FFF2-40B4-BE49-F238E27FC236}">
              <a16:creationId xmlns:a16="http://schemas.microsoft.com/office/drawing/2014/main" xmlns="" id="{00000000-0008-0000-0300-00009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0" name="Rectangle 98">
          <a:extLst>
            <a:ext uri="{FF2B5EF4-FFF2-40B4-BE49-F238E27FC236}">
              <a16:creationId xmlns:a16="http://schemas.microsoft.com/office/drawing/2014/main" xmlns="" id="{00000000-0008-0000-0300-00009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1" name="Rectangle 99">
          <a:extLst>
            <a:ext uri="{FF2B5EF4-FFF2-40B4-BE49-F238E27FC236}">
              <a16:creationId xmlns:a16="http://schemas.microsoft.com/office/drawing/2014/main" xmlns="" id="{00000000-0008-0000-0300-00009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2" name="Rectangle 100">
          <a:extLst>
            <a:ext uri="{FF2B5EF4-FFF2-40B4-BE49-F238E27FC236}">
              <a16:creationId xmlns:a16="http://schemas.microsoft.com/office/drawing/2014/main" xmlns="" id="{00000000-0008-0000-0300-0000A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3" name="Rectangle 101">
          <a:extLst>
            <a:ext uri="{FF2B5EF4-FFF2-40B4-BE49-F238E27FC236}">
              <a16:creationId xmlns:a16="http://schemas.microsoft.com/office/drawing/2014/main" xmlns="" id="{00000000-0008-0000-0300-0000A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4" name="Rectangle 102">
          <a:extLst>
            <a:ext uri="{FF2B5EF4-FFF2-40B4-BE49-F238E27FC236}">
              <a16:creationId xmlns:a16="http://schemas.microsoft.com/office/drawing/2014/main" xmlns="" id="{00000000-0008-0000-0300-0000A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5" name="Rectangle 103">
          <a:extLst>
            <a:ext uri="{FF2B5EF4-FFF2-40B4-BE49-F238E27FC236}">
              <a16:creationId xmlns:a16="http://schemas.microsoft.com/office/drawing/2014/main" xmlns="" id="{00000000-0008-0000-0300-0000A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6" name="Rectangle 104">
          <a:extLst>
            <a:ext uri="{FF2B5EF4-FFF2-40B4-BE49-F238E27FC236}">
              <a16:creationId xmlns:a16="http://schemas.microsoft.com/office/drawing/2014/main" xmlns="" id="{00000000-0008-0000-0300-0000A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7" name="Rectangle 105">
          <a:extLst>
            <a:ext uri="{FF2B5EF4-FFF2-40B4-BE49-F238E27FC236}">
              <a16:creationId xmlns:a16="http://schemas.microsoft.com/office/drawing/2014/main" xmlns="" id="{00000000-0008-0000-0300-0000A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8" name="Rectangle 106">
          <a:extLst>
            <a:ext uri="{FF2B5EF4-FFF2-40B4-BE49-F238E27FC236}">
              <a16:creationId xmlns:a16="http://schemas.microsoft.com/office/drawing/2014/main" xmlns="" id="{00000000-0008-0000-0300-0000A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9" name="Rectangle 107">
          <a:extLst>
            <a:ext uri="{FF2B5EF4-FFF2-40B4-BE49-F238E27FC236}">
              <a16:creationId xmlns:a16="http://schemas.microsoft.com/office/drawing/2014/main" xmlns="" id="{00000000-0008-0000-0300-0000A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0" name="Rectangle 108">
          <a:extLst>
            <a:ext uri="{FF2B5EF4-FFF2-40B4-BE49-F238E27FC236}">
              <a16:creationId xmlns:a16="http://schemas.microsoft.com/office/drawing/2014/main" xmlns="" id="{00000000-0008-0000-0300-0000A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1" name="Rectangle 109">
          <a:extLst>
            <a:ext uri="{FF2B5EF4-FFF2-40B4-BE49-F238E27FC236}">
              <a16:creationId xmlns:a16="http://schemas.microsoft.com/office/drawing/2014/main" xmlns="" id="{00000000-0008-0000-0300-0000A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2" name="Rectangle 110">
          <a:extLst>
            <a:ext uri="{FF2B5EF4-FFF2-40B4-BE49-F238E27FC236}">
              <a16:creationId xmlns:a16="http://schemas.microsoft.com/office/drawing/2014/main" xmlns="" id="{00000000-0008-0000-0300-0000A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3" name="Rectangle 111">
          <a:extLst>
            <a:ext uri="{FF2B5EF4-FFF2-40B4-BE49-F238E27FC236}">
              <a16:creationId xmlns:a16="http://schemas.microsoft.com/office/drawing/2014/main" xmlns="" id="{00000000-0008-0000-0300-0000A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4" name="Rectangle 112">
          <a:extLst>
            <a:ext uri="{FF2B5EF4-FFF2-40B4-BE49-F238E27FC236}">
              <a16:creationId xmlns:a16="http://schemas.microsoft.com/office/drawing/2014/main" xmlns="" id="{00000000-0008-0000-0300-0000A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5" name="Rectangle 113">
          <a:extLst>
            <a:ext uri="{FF2B5EF4-FFF2-40B4-BE49-F238E27FC236}">
              <a16:creationId xmlns:a16="http://schemas.microsoft.com/office/drawing/2014/main" xmlns="" id="{00000000-0008-0000-0300-0000A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6" name="Rectangle 114">
          <a:extLst>
            <a:ext uri="{FF2B5EF4-FFF2-40B4-BE49-F238E27FC236}">
              <a16:creationId xmlns:a16="http://schemas.microsoft.com/office/drawing/2014/main" xmlns="" id="{00000000-0008-0000-0300-0000A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7" name="Rectangle 115">
          <a:extLst>
            <a:ext uri="{FF2B5EF4-FFF2-40B4-BE49-F238E27FC236}">
              <a16:creationId xmlns:a16="http://schemas.microsoft.com/office/drawing/2014/main" xmlns="" id="{00000000-0008-0000-0300-0000A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8" name="Rectangle 116">
          <a:extLst>
            <a:ext uri="{FF2B5EF4-FFF2-40B4-BE49-F238E27FC236}">
              <a16:creationId xmlns:a16="http://schemas.microsoft.com/office/drawing/2014/main" xmlns="" id="{00000000-0008-0000-0300-0000B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9" name="Rectangle 117">
          <a:extLst>
            <a:ext uri="{FF2B5EF4-FFF2-40B4-BE49-F238E27FC236}">
              <a16:creationId xmlns:a16="http://schemas.microsoft.com/office/drawing/2014/main" xmlns="" id="{00000000-0008-0000-0300-0000B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0" name="Rectangle 118">
          <a:extLst>
            <a:ext uri="{FF2B5EF4-FFF2-40B4-BE49-F238E27FC236}">
              <a16:creationId xmlns:a16="http://schemas.microsoft.com/office/drawing/2014/main" xmlns="" id="{00000000-0008-0000-0300-0000B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1" name="Rectangle 119">
          <a:extLst>
            <a:ext uri="{FF2B5EF4-FFF2-40B4-BE49-F238E27FC236}">
              <a16:creationId xmlns:a16="http://schemas.microsoft.com/office/drawing/2014/main" xmlns="" id="{00000000-0008-0000-0300-0000B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2" name="Rectangle 120">
          <a:extLst>
            <a:ext uri="{FF2B5EF4-FFF2-40B4-BE49-F238E27FC236}">
              <a16:creationId xmlns:a16="http://schemas.microsoft.com/office/drawing/2014/main" xmlns="" id="{00000000-0008-0000-0300-0000B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3" name="Rectangle 121">
          <a:extLst>
            <a:ext uri="{FF2B5EF4-FFF2-40B4-BE49-F238E27FC236}">
              <a16:creationId xmlns:a16="http://schemas.microsoft.com/office/drawing/2014/main" xmlns="" id="{00000000-0008-0000-0300-0000B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4" name="Rectangle 122">
          <a:extLst>
            <a:ext uri="{FF2B5EF4-FFF2-40B4-BE49-F238E27FC236}">
              <a16:creationId xmlns:a16="http://schemas.microsoft.com/office/drawing/2014/main" xmlns="" id="{00000000-0008-0000-0300-0000B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5" name="Rectangle 123">
          <a:extLst>
            <a:ext uri="{FF2B5EF4-FFF2-40B4-BE49-F238E27FC236}">
              <a16:creationId xmlns:a16="http://schemas.microsoft.com/office/drawing/2014/main" xmlns="" id="{00000000-0008-0000-0300-0000B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6" name="Rectangle 124">
          <a:extLst>
            <a:ext uri="{FF2B5EF4-FFF2-40B4-BE49-F238E27FC236}">
              <a16:creationId xmlns:a16="http://schemas.microsoft.com/office/drawing/2014/main" xmlns="" id="{00000000-0008-0000-0300-0000B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7" name="Rectangle 125">
          <a:extLst>
            <a:ext uri="{FF2B5EF4-FFF2-40B4-BE49-F238E27FC236}">
              <a16:creationId xmlns:a16="http://schemas.microsoft.com/office/drawing/2014/main" xmlns="" id="{00000000-0008-0000-0300-0000B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8" name="Rectangle 126">
          <a:extLst>
            <a:ext uri="{FF2B5EF4-FFF2-40B4-BE49-F238E27FC236}">
              <a16:creationId xmlns:a16="http://schemas.microsoft.com/office/drawing/2014/main" xmlns="" id="{00000000-0008-0000-0300-0000B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9" name="Rectangle 127">
          <a:extLst>
            <a:ext uri="{FF2B5EF4-FFF2-40B4-BE49-F238E27FC236}">
              <a16:creationId xmlns:a16="http://schemas.microsoft.com/office/drawing/2014/main" xmlns="" id="{00000000-0008-0000-0300-0000B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0" name="Rectangle 128">
          <a:extLst>
            <a:ext uri="{FF2B5EF4-FFF2-40B4-BE49-F238E27FC236}">
              <a16:creationId xmlns:a16="http://schemas.microsoft.com/office/drawing/2014/main" xmlns="" id="{00000000-0008-0000-0300-0000B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1" name="Rectangle 129">
          <a:extLst>
            <a:ext uri="{FF2B5EF4-FFF2-40B4-BE49-F238E27FC236}">
              <a16:creationId xmlns:a16="http://schemas.microsoft.com/office/drawing/2014/main" xmlns="" id="{00000000-0008-0000-0300-0000B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2" name="Rectangle 130">
          <a:extLst>
            <a:ext uri="{FF2B5EF4-FFF2-40B4-BE49-F238E27FC236}">
              <a16:creationId xmlns:a16="http://schemas.microsoft.com/office/drawing/2014/main" xmlns="" id="{00000000-0008-0000-0300-0000B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3" name="Rectangle 131">
          <a:extLst>
            <a:ext uri="{FF2B5EF4-FFF2-40B4-BE49-F238E27FC236}">
              <a16:creationId xmlns:a16="http://schemas.microsoft.com/office/drawing/2014/main" xmlns="" id="{00000000-0008-0000-0300-0000B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4" name="Rectangle 132">
          <a:extLst>
            <a:ext uri="{FF2B5EF4-FFF2-40B4-BE49-F238E27FC236}">
              <a16:creationId xmlns:a16="http://schemas.microsoft.com/office/drawing/2014/main" xmlns="" id="{00000000-0008-0000-0300-0000C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5" name="Rectangle 133">
          <a:extLst>
            <a:ext uri="{FF2B5EF4-FFF2-40B4-BE49-F238E27FC236}">
              <a16:creationId xmlns:a16="http://schemas.microsoft.com/office/drawing/2014/main" xmlns="" id="{00000000-0008-0000-0300-0000C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6" name="Rectangle 134">
          <a:extLst>
            <a:ext uri="{FF2B5EF4-FFF2-40B4-BE49-F238E27FC236}">
              <a16:creationId xmlns:a16="http://schemas.microsoft.com/office/drawing/2014/main" xmlns="" id="{00000000-0008-0000-0300-0000C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7" name="Rectangle 135">
          <a:extLst>
            <a:ext uri="{FF2B5EF4-FFF2-40B4-BE49-F238E27FC236}">
              <a16:creationId xmlns:a16="http://schemas.microsoft.com/office/drawing/2014/main" xmlns="" id="{00000000-0008-0000-0300-0000C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8" name="Rectangle 136">
          <a:extLst>
            <a:ext uri="{FF2B5EF4-FFF2-40B4-BE49-F238E27FC236}">
              <a16:creationId xmlns:a16="http://schemas.microsoft.com/office/drawing/2014/main" xmlns="" id="{00000000-0008-0000-0300-0000C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9" name="Rectangle 137">
          <a:extLst>
            <a:ext uri="{FF2B5EF4-FFF2-40B4-BE49-F238E27FC236}">
              <a16:creationId xmlns:a16="http://schemas.microsoft.com/office/drawing/2014/main" xmlns="" id="{00000000-0008-0000-0300-0000C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0" name="Rectangle 92">
          <a:extLst>
            <a:ext uri="{FF2B5EF4-FFF2-40B4-BE49-F238E27FC236}">
              <a16:creationId xmlns:a16="http://schemas.microsoft.com/office/drawing/2014/main" xmlns="" id="{00000000-0008-0000-0300-0000C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1" name="Rectangle 93">
          <a:extLst>
            <a:ext uri="{FF2B5EF4-FFF2-40B4-BE49-F238E27FC236}">
              <a16:creationId xmlns:a16="http://schemas.microsoft.com/office/drawing/2014/main" xmlns="" id="{00000000-0008-0000-0300-0000C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2" name="Rectangle 94">
          <a:extLst>
            <a:ext uri="{FF2B5EF4-FFF2-40B4-BE49-F238E27FC236}">
              <a16:creationId xmlns:a16="http://schemas.microsoft.com/office/drawing/2014/main" xmlns="" id="{00000000-0008-0000-0300-0000C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3" name="Rectangle 95">
          <a:extLst>
            <a:ext uri="{FF2B5EF4-FFF2-40B4-BE49-F238E27FC236}">
              <a16:creationId xmlns:a16="http://schemas.microsoft.com/office/drawing/2014/main" xmlns="" id="{00000000-0008-0000-0300-0000C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4" name="Rectangle 96">
          <a:extLst>
            <a:ext uri="{FF2B5EF4-FFF2-40B4-BE49-F238E27FC236}">
              <a16:creationId xmlns:a16="http://schemas.microsoft.com/office/drawing/2014/main" xmlns="" id="{00000000-0008-0000-0300-0000C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5" name="Rectangle 97">
          <a:extLst>
            <a:ext uri="{FF2B5EF4-FFF2-40B4-BE49-F238E27FC236}">
              <a16:creationId xmlns:a16="http://schemas.microsoft.com/office/drawing/2014/main" xmlns="" id="{00000000-0008-0000-0300-0000C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6" name="Rectangle 98">
          <a:extLst>
            <a:ext uri="{FF2B5EF4-FFF2-40B4-BE49-F238E27FC236}">
              <a16:creationId xmlns:a16="http://schemas.microsoft.com/office/drawing/2014/main" xmlns="" id="{00000000-0008-0000-0300-0000C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7" name="Rectangle 99">
          <a:extLst>
            <a:ext uri="{FF2B5EF4-FFF2-40B4-BE49-F238E27FC236}">
              <a16:creationId xmlns:a16="http://schemas.microsoft.com/office/drawing/2014/main" xmlns="" id="{00000000-0008-0000-0300-0000C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8" name="Rectangle 100">
          <a:extLst>
            <a:ext uri="{FF2B5EF4-FFF2-40B4-BE49-F238E27FC236}">
              <a16:creationId xmlns:a16="http://schemas.microsoft.com/office/drawing/2014/main" xmlns="" id="{00000000-0008-0000-0300-0000C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9" name="Rectangle 101">
          <a:extLst>
            <a:ext uri="{FF2B5EF4-FFF2-40B4-BE49-F238E27FC236}">
              <a16:creationId xmlns:a16="http://schemas.microsoft.com/office/drawing/2014/main" xmlns="" id="{00000000-0008-0000-0300-0000C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0" name="Rectangle 102">
          <a:extLst>
            <a:ext uri="{FF2B5EF4-FFF2-40B4-BE49-F238E27FC236}">
              <a16:creationId xmlns:a16="http://schemas.microsoft.com/office/drawing/2014/main" xmlns="" id="{00000000-0008-0000-0300-0000D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1" name="Rectangle 103">
          <a:extLst>
            <a:ext uri="{FF2B5EF4-FFF2-40B4-BE49-F238E27FC236}">
              <a16:creationId xmlns:a16="http://schemas.microsoft.com/office/drawing/2014/main" xmlns="" id="{00000000-0008-0000-0300-0000D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2" name="Rectangle 104">
          <a:extLst>
            <a:ext uri="{FF2B5EF4-FFF2-40B4-BE49-F238E27FC236}">
              <a16:creationId xmlns:a16="http://schemas.microsoft.com/office/drawing/2014/main" xmlns="" id="{00000000-0008-0000-0300-0000D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3" name="Rectangle 105">
          <a:extLst>
            <a:ext uri="{FF2B5EF4-FFF2-40B4-BE49-F238E27FC236}">
              <a16:creationId xmlns:a16="http://schemas.microsoft.com/office/drawing/2014/main" xmlns="" id="{00000000-0008-0000-0300-0000D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4" name="Rectangle 106">
          <a:extLst>
            <a:ext uri="{FF2B5EF4-FFF2-40B4-BE49-F238E27FC236}">
              <a16:creationId xmlns:a16="http://schemas.microsoft.com/office/drawing/2014/main" xmlns="" id="{00000000-0008-0000-0300-0000D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5" name="Rectangle 107">
          <a:extLst>
            <a:ext uri="{FF2B5EF4-FFF2-40B4-BE49-F238E27FC236}">
              <a16:creationId xmlns:a16="http://schemas.microsoft.com/office/drawing/2014/main" xmlns="" id="{00000000-0008-0000-0300-0000D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6" name="Rectangle 108">
          <a:extLst>
            <a:ext uri="{FF2B5EF4-FFF2-40B4-BE49-F238E27FC236}">
              <a16:creationId xmlns:a16="http://schemas.microsoft.com/office/drawing/2014/main" xmlns="" id="{00000000-0008-0000-0300-0000D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7" name="Rectangle 109">
          <a:extLst>
            <a:ext uri="{FF2B5EF4-FFF2-40B4-BE49-F238E27FC236}">
              <a16:creationId xmlns:a16="http://schemas.microsoft.com/office/drawing/2014/main" xmlns="" id="{00000000-0008-0000-0300-0000D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8" name="Rectangle 110">
          <a:extLst>
            <a:ext uri="{FF2B5EF4-FFF2-40B4-BE49-F238E27FC236}">
              <a16:creationId xmlns:a16="http://schemas.microsoft.com/office/drawing/2014/main" xmlns="" id="{00000000-0008-0000-0300-0000D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9" name="Rectangle 111">
          <a:extLst>
            <a:ext uri="{FF2B5EF4-FFF2-40B4-BE49-F238E27FC236}">
              <a16:creationId xmlns:a16="http://schemas.microsoft.com/office/drawing/2014/main" xmlns="" id="{00000000-0008-0000-0300-0000D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0" name="Rectangle 112">
          <a:extLst>
            <a:ext uri="{FF2B5EF4-FFF2-40B4-BE49-F238E27FC236}">
              <a16:creationId xmlns:a16="http://schemas.microsoft.com/office/drawing/2014/main" xmlns="" id="{00000000-0008-0000-0300-0000D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1" name="Rectangle 113">
          <a:extLst>
            <a:ext uri="{FF2B5EF4-FFF2-40B4-BE49-F238E27FC236}">
              <a16:creationId xmlns:a16="http://schemas.microsoft.com/office/drawing/2014/main" xmlns="" id="{00000000-0008-0000-0300-0000D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2" name="Rectangle 114">
          <a:extLst>
            <a:ext uri="{FF2B5EF4-FFF2-40B4-BE49-F238E27FC236}">
              <a16:creationId xmlns:a16="http://schemas.microsoft.com/office/drawing/2014/main" xmlns="" id="{00000000-0008-0000-0300-0000D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3" name="Rectangle 115">
          <a:extLst>
            <a:ext uri="{FF2B5EF4-FFF2-40B4-BE49-F238E27FC236}">
              <a16:creationId xmlns:a16="http://schemas.microsoft.com/office/drawing/2014/main" xmlns="" id="{00000000-0008-0000-0300-0000D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4" name="Rectangle 116">
          <a:extLst>
            <a:ext uri="{FF2B5EF4-FFF2-40B4-BE49-F238E27FC236}">
              <a16:creationId xmlns:a16="http://schemas.microsoft.com/office/drawing/2014/main" xmlns="" id="{00000000-0008-0000-0300-0000D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5" name="Rectangle 117">
          <a:extLst>
            <a:ext uri="{FF2B5EF4-FFF2-40B4-BE49-F238E27FC236}">
              <a16:creationId xmlns:a16="http://schemas.microsoft.com/office/drawing/2014/main" xmlns="" id="{00000000-0008-0000-0300-0000D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6" name="Rectangle 118">
          <a:extLst>
            <a:ext uri="{FF2B5EF4-FFF2-40B4-BE49-F238E27FC236}">
              <a16:creationId xmlns:a16="http://schemas.microsoft.com/office/drawing/2014/main" xmlns="" id="{00000000-0008-0000-0300-0000E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7" name="Rectangle 119">
          <a:extLst>
            <a:ext uri="{FF2B5EF4-FFF2-40B4-BE49-F238E27FC236}">
              <a16:creationId xmlns:a16="http://schemas.microsoft.com/office/drawing/2014/main" xmlns="" id="{00000000-0008-0000-0300-0000E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8" name="Rectangle 120">
          <a:extLst>
            <a:ext uri="{FF2B5EF4-FFF2-40B4-BE49-F238E27FC236}">
              <a16:creationId xmlns:a16="http://schemas.microsoft.com/office/drawing/2014/main" xmlns="" id="{00000000-0008-0000-0300-0000E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9" name="Rectangle 121">
          <a:extLst>
            <a:ext uri="{FF2B5EF4-FFF2-40B4-BE49-F238E27FC236}">
              <a16:creationId xmlns:a16="http://schemas.microsoft.com/office/drawing/2014/main" xmlns="" id="{00000000-0008-0000-0300-0000E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80" name="Rectangle 122">
          <a:extLst>
            <a:ext uri="{FF2B5EF4-FFF2-40B4-BE49-F238E27FC236}">
              <a16:creationId xmlns:a16="http://schemas.microsoft.com/office/drawing/2014/main" xmlns="" id="{00000000-0008-0000-0300-0000E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1" name="Rectangle 123">
          <a:extLst>
            <a:ext uri="{FF2B5EF4-FFF2-40B4-BE49-F238E27FC236}">
              <a16:creationId xmlns:a16="http://schemas.microsoft.com/office/drawing/2014/main" xmlns="" id="{00000000-0008-0000-0300-0000E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82" name="Rectangle 124">
          <a:extLst>
            <a:ext uri="{FF2B5EF4-FFF2-40B4-BE49-F238E27FC236}">
              <a16:creationId xmlns:a16="http://schemas.microsoft.com/office/drawing/2014/main" xmlns="" id="{00000000-0008-0000-0300-0000E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4" name="Rectangle 126">
          <a:extLst>
            <a:ext uri="{FF2B5EF4-FFF2-40B4-BE49-F238E27FC236}">
              <a16:creationId xmlns:a16="http://schemas.microsoft.com/office/drawing/2014/main" xmlns="" id="{00000000-0008-0000-0300-0000E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5" name="Rectangle 127">
          <a:extLst>
            <a:ext uri="{FF2B5EF4-FFF2-40B4-BE49-F238E27FC236}">
              <a16:creationId xmlns:a16="http://schemas.microsoft.com/office/drawing/2014/main" xmlns="" id="{00000000-0008-0000-0300-0000E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6" name="Rectangle 128">
          <a:extLst>
            <a:ext uri="{FF2B5EF4-FFF2-40B4-BE49-F238E27FC236}">
              <a16:creationId xmlns:a16="http://schemas.microsoft.com/office/drawing/2014/main" xmlns="" id="{00000000-0008-0000-0300-0000E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7" name="Rectangle 129">
          <a:extLst>
            <a:ext uri="{FF2B5EF4-FFF2-40B4-BE49-F238E27FC236}">
              <a16:creationId xmlns:a16="http://schemas.microsoft.com/office/drawing/2014/main" xmlns="" id="{00000000-0008-0000-0300-0000E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8" name="Rectangle 130">
          <a:extLst>
            <a:ext uri="{FF2B5EF4-FFF2-40B4-BE49-F238E27FC236}">
              <a16:creationId xmlns:a16="http://schemas.microsoft.com/office/drawing/2014/main" xmlns="" id="{00000000-0008-0000-0300-0000E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9" name="Rectangle 131">
          <a:extLst>
            <a:ext uri="{FF2B5EF4-FFF2-40B4-BE49-F238E27FC236}">
              <a16:creationId xmlns:a16="http://schemas.microsoft.com/office/drawing/2014/main" xmlns="" id="{00000000-0008-0000-0300-0000E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0" name="Rectangle 132">
          <a:extLst>
            <a:ext uri="{FF2B5EF4-FFF2-40B4-BE49-F238E27FC236}">
              <a16:creationId xmlns:a16="http://schemas.microsoft.com/office/drawing/2014/main" xmlns="" id="{00000000-0008-0000-0300-0000E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1" name="Rectangle 133">
          <a:extLst>
            <a:ext uri="{FF2B5EF4-FFF2-40B4-BE49-F238E27FC236}">
              <a16:creationId xmlns:a16="http://schemas.microsoft.com/office/drawing/2014/main" xmlns="" id="{00000000-0008-0000-0300-0000E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2" name="Rectangle 134">
          <a:extLst>
            <a:ext uri="{FF2B5EF4-FFF2-40B4-BE49-F238E27FC236}">
              <a16:creationId xmlns:a16="http://schemas.microsoft.com/office/drawing/2014/main" xmlns="" id="{00000000-0008-0000-0300-0000F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3" name="Rectangle 135">
          <a:extLst>
            <a:ext uri="{FF2B5EF4-FFF2-40B4-BE49-F238E27FC236}">
              <a16:creationId xmlns:a16="http://schemas.microsoft.com/office/drawing/2014/main" xmlns="" id="{00000000-0008-0000-0300-0000F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4" name="Rectangle 136">
          <a:extLst>
            <a:ext uri="{FF2B5EF4-FFF2-40B4-BE49-F238E27FC236}">
              <a16:creationId xmlns:a16="http://schemas.microsoft.com/office/drawing/2014/main" xmlns="" id="{00000000-0008-0000-0300-0000F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5" name="Rectangle 137">
          <a:extLst>
            <a:ext uri="{FF2B5EF4-FFF2-40B4-BE49-F238E27FC236}">
              <a16:creationId xmlns:a16="http://schemas.microsoft.com/office/drawing/2014/main" xmlns="" id="{00000000-0008-0000-0300-0000F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6" name="Rectangle 138">
          <a:extLst>
            <a:ext uri="{FF2B5EF4-FFF2-40B4-BE49-F238E27FC236}">
              <a16:creationId xmlns:a16="http://schemas.microsoft.com/office/drawing/2014/main" xmlns="" id="{00000000-0008-0000-0300-0000F4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197" name="Rectangle 139">
          <a:extLst>
            <a:ext uri="{FF2B5EF4-FFF2-40B4-BE49-F238E27FC236}">
              <a16:creationId xmlns:a16="http://schemas.microsoft.com/office/drawing/2014/main" xmlns="" id="{00000000-0008-0000-0300-0000F5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198" name="Rectangle 140">
          <a:extLst>
            <a:ext uri="{FF2B5EF4-FFF2-40B4-BE49-F238E27FC236}">
              <a16:creationId xmlns:a16="http://schemas.microsoft.com/office/drawing/2014/main" xmlns="" id="{00000000-0008-0000-0300-0000F6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9" name="Rectangle 141">
          <a:extLst>
            <a:ext uri="{FF2B5EF4-FFF2-40B4-BE49-F238E27FC236}">
              <a16:creationId xmlns:a16="http://schemas.microsoft.com/office/drawing/2014/main" xmlns="" id="{00000000-0008-0000-0300-0000F7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0" name="Rectangle 142">
          <a:extLst>
            <a:ext uri="{FF2B5EF4-FFF2-40B4-BE49-F238E27FC236}">
              <a16:creationId xmlns:a16="http://schemas.microsoft.com/office/drawing/2014/main" xmlns="" id="{00000000-0008-0000-0300-0000F8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1" name="Rectangle 143">
          <a:extLst>
            <a:ext uri="{FF2B5EF4-FFF2-40B4-BE49-F238E27FC236}">
              <a16:creationId xmlns:a16="http://schemas.microsoft.com/office/drawing/2014/main" xmlns="" id="{00000000-0008-0000-0300-0000F9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2" name="Rectangle 144">
          <a:extLst>
            <a:ext uri="{FF2B5EF4-FFF2-40B4-BE49-F238E27FC236}">
              <a16:creationId xmlns:a16="http://schemas.microsoft.com/office/drawing/2014/main" xmlns="" id="{00000000-0008-0000-0300-0000FA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3" name="Rectangle 145">
          <a:extLst>
            <a:ext uri="{FF2B5EF4-FFF2-40B4-BE49-F238E27FC236}">
              <a16:creationId xmlns:a16="http://schemas.microsoft.com/office/drawing/2014/main" xmlns="" id="{00000000-0008-0000-0300-0000FB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4" name="Rectangle 146">
          <a:extLst>
            <a:ext uri="{FF2B5EF4-FFF2-40B4-BE49-F238E27FC236}">
              <a16:creationId xmlns:a16="http://schemas.microsoft.com/office/drawing/2014/main" xmlns="" id="{00000000-0008-0000-0300-0000FC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5" name="Rectangle 147">
          <a:extLst>
            <a:ext uri="{FF2B5EF4-FFF2-40B4-BE49-F238E27FC236}">
              <a16:creationId xmlns:a16="http://schemas.microsoft.com/office/drawing/2014/main" xmlns="" id="{00000000-0008-0000-0300-0000FD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6" name="Rectangle 148">
          <a:extLst>
            <a:ext uri="{FF2B5EF4-FFF2-40B4-BE49-F238E27FC236}">
              <a16:creationId xmlns:a16="http://schemas.microsoft.com/office/drawing/2014/main" xmlns="" id="{00000000-0008-0000-0300-0000FE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7" name="Rectangle 149">
          <a:extLst>
            <a:ext uri="{FF2B5EF4-FFF2-40B4-BE49-F238E27FC236}">
              <a16:creationId xmlns:a16="http://schemas.microsoft.com/office/drawing/2014/main" xmlns="" id="{00000000-0008-0000-0300-0000FF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8" name="Rectangle 150">
          <a:extLst>
            <a:ext uri="{FF2B5EF4-FFF2-40B4-BE49-F238E27FC236}">
              <a16:creationId xmlns:a16="http://schemas.microsoft.com/office/drawing/2014/main" xmlns="" id="{00000000-0008-0000-0300-00000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9" name="Rectangle 151">
          <a:extLst>
            <a:ext uri="{FF2B5EF4-FFF2-40B4-BE49-F238E27FC236}">
              <a16:creationId xmlns:a16="http://schemas.microsoft.com/office/drawing/2014/main" xmlns="" id="{00000000-0008-0000-0300-00000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0" name="Rectangle 152">
          <a:extLst>
            <a:ext uri="{FF2B5EF4-FFF2-40B4-BE49-F238E27FC236}">
              <a16:creationId xmlns:a16="http://schemas.microsoft.com/office/drawing/2014/main" xmlns="" id="{00000000-0008-0000-0300-00000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1" name="Rectangle 153">
          <a:extLst>
            <a:ext uri="{FF2B5EF4-FFF2-40B4-BE49-F238E27FC236}">
              <a16:creationId xmlns:a16="http://schemas.microsoft.com/office/drawing/2014/main" xmlns="" id="{00000000-0008-0000-0300-00000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2" name="Rectangle 154">
          <a:extLst>
            <a:ext uri="{FF2B5EF4-FFF2-40B4-BE49-F238E27FC236}">
              <a16:creationId xmlns:a16="http://schemas.microsoft.com/office/drawing/2014/main" xmlns="" id="{00000000-0008-0000-0300-00000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3" name="Rectangle 155">
          <a:extLst>
            <a:ext uri="{FF2B5EF4-FFF2-40B4-BE49-F238E27FC236}">
              <a16:creationId xmlns:a16="http://schemas.microsoft.com/office/drawing/2014/main" xmlns="" id="{00000000-0008-0000-0300-00000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4" name="Rectangle 156">
          <a:extLst>
            <a:ext uri="{FF2B5EF4-FFF2-40B4-BE49-F238E27FC236}">
              <a16:creationId xmlns:a16="http://schemas.microsoft.com/office/drawing/2014/main" xmlns="" id="{00000000-0008-0000-0300-00000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5" name="Rectangle 157">
          <a:extLst>
            <a:ext uri="{FF2B5EF4-FFF2-40B4-BE49-F238E27FC236}">
              <a16:creationId xmlns:a16="http://schemas.microsoft.com/office/drawing/2014/main" xmlns="" id="{00000000-0008-0000-0300-00000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6" name="Rectangle 158">
          <a:extLst>
            <a:ext uri="{FF2B5EF4-FFF2-40B4-BE49-F238E27FC236}">
              <a16:creationId xmlns:a16="http://schemas.microsoft.com/office/drawing/2014/main" xmlns="" id="{00000000-0008-0000-0300-00000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7" name="Rectangle 159">
          <a:extLst>
            <a:ext uri="{FF2B5EF4-FFF2-40B4-BE49-F238E27FC236}">
              <a16:creationId xmlns:a16="http://schemas.microsoft.com/office/drawing/2014/main" xmlns="" id="{00000000-0008-0000-0300-00000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8" name="Rectangle 160">
          <a:extLst>
            <a:ext uri="{FF2B5EF4-FFF2-40B4-BE49-F238E27FC236}">
              <a16:creationId xmlns:a16="http://schemas.microsoft.com/office/drawing/2014/main" xmlns="" id="{00000000-0008-0000-0300-00000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9" name="Rectangle 161">
          <a:extLst>
            <a:ext uri="{FF2B5EF4-FFF2-40B4-BE49-F238E27FC236}">
              <a16:creationId xmlns:a16="http://schemas.microsoft.com/office/drawing/2014/main" xmlns="" id="{00000000-0008-0000-0300-00000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0" name="Rectangle 162">
          <a:extLst>
            <a:ext uri="{FF2B5EF4-FFF2-40B4-BE49-F238E27FC236}">
              <a16:creationId xmlns:a16="http://schemas.microsoft.com/office/drawing/2014/main" xmlns="" id="{00000000-0008-0000-0300-00000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1" name="Rectangle 163">
          <a:extLst>
            <a:ext uri="{FF2B5EF4-FFF2-40B4-BE49-F238E27FC236}">
              <a16:creationId xmlns:a16="http://schemas.microsoft.com/office/drawing/2014/main" xmlns="" id="{00000000-0008-0000-0300-00000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2" name="Rectangle 164">
          <a:extLst>
            <a:ext uri="{FF2B5EF4-FFF2-40B4-BE49-F238E27FC236}">
              <a16:creationId xmlns:a16="http://schemas.microsoft.com/office/drawing/2014/main" xmlns="" id="{00000000-0008-0000-0300-00000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3" name="Rectangle 165">
          <a:extLst>
            <a:ext uri="{FF2B5EF4-FFF2-40B4-BE49-F238E27FC236}">
              <a16:creationId xmlns:a16="http://schemas.microsoft.com/office/drawing/2014/main" xmlns="" id="{00000000-0008-0000-0300-00000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4" name="Rectangle 166">
          <a:extLst>
            <a:ext uri="{FF2B5EF4-FFF2-40B4-BE49-F238E27FC236}">
              <a16:creationId xmlns:a16="http://schemas.microsoft.com/office/drawing/2014/main" xmlns="" id="{00000000-0008-0000-0300-00001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5" name="Rectangle 167">
          <a:extLst>
            <a:ext uri="{FF2B5EF4-FFF2-40B4-BE49-F238E27FC236}">
              <a16:creationId xmlns:a16="http://schemas.microsoft.com/office/drawing/2014/main" xmlns="" id="{00000000-0008-0000-0300-00001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6" name="Rectangle 168">
          <a:extLst>
            <a:ext uri="{FF2B5EF4-FFF2-40B4-BE49-F238E27FC236}">
              <a16:creationId xmlns:a16="http://schemas.microsoft.com/office/drawing/2014/main" xmlns="" id="{00000000-0008-0000-0300-00001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7" name="Rectangle 169">
          <a:extLst>
            <a:ext uri="{FF2B5EF4-FFF2-40B4-BE49-F238E27FC236}">
              <a16:creationId xmlns:a16="http://schemas.microsoft.com/office/drawing/2014/main" xmlns="" id="{00000000-0008-0000-0300-00001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8" name="Rectangle 170">
          <a:extLst>
            <a:ext uri="{FF2B5EF4-FFF2-40B4-BE49-F238E27FC236}">
              <a16:creationId xmlns:a16="http://schemas.microsoft.com/office/drawing/2014/main" xmlns="" id="{00000000-0008-0000-0300-00001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9" name="Rectangle 171">
          <a:extLst>
            <a:ext uri="{FF2B5EF4-FFF2-40B4-BE49-F238E27FC236}">
              <a16:creationId xmlns:a16="http://schemas.microsoft.com/office/drawing/2014/main" xmlns="" id="{00000000-0008-0000-0300-00001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0" name="Rectangle 172">
          <a:extLst>
            <a:ext uri="{FF2B5EF4-FFF2-40B4-BE49-F238E27FC236}">
              <a16:creationId xmlns:a16="http://schemas.microsoft.com/office/drawing/2014/main" xmlns="" id="{00000000-0008-0000-0300-00001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1" name="Rectangle 173">
          <a:extLst>
            <a:ext uri="{FF2B5EF4-FFF2-40B4-BE49-F238E27FC236}">
              <a16:creationId xmlns:a16="http://schemas.microsoft.com/office/drawing/2014/main" xmlns="" id="{00000000-0008-0000-0300-00001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2" name="Rectangle 174">
          <a:extLst>
            <a:ext uri="{FF2B5EF4-FFF2-40B4-BE49-F238E27FC236}">
              <a16:creationId xmlns:a16="http://schemas.microsoft.com/office/drawing/2014/main" xmlns="" id="{00000000-0008-0000-0300-00001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3" name="Rectangle 175">
          <a:extLst>
            <a:ext uri="{FF2B5EF4-FFF2-40B4-BE49-F238E27FC236}">
              <a16:creationId xmlns:a16="http://schemas.microsoft.com/office/drawing/2014/main" xmlns="" id="{00000000-0008-0000-0300-00001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4" name="Rectangle 176">
          <a:extLst>
            <a:ext uri="{FF2B5EF4-FFF2-40B4-BE49-F238E27FC236}">
              <a16:creationId xmlns:a16="http://schemas.microsoft.com/office/drawing/2014/main" xmlns="" id="{00000000-0008-0000-0300-00001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5" name="Rectangle 177">
          <a:extLst>
            <a:ext uri="{FF2B5EF4-FFF2-40B4-BE49-F238E27FC236}">
              <a16:creationId xmlns:a16="http://schemas.microsoft.com/office/drawing/2014/main" xmlns="" id="{00000000-0008-0000-0300-00001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6" name="Rectangle 178">
          <a:extLst>
            <a:ext uri="{FF2B5EF4-FFF2-40B4-BE49-F238E27FC236}">
              <a16:creationId xmlns:a16="http://schemas.microsoft.com/office/drawing/2014/main" xmlns="" id="{00000000-0008-0000-0300-00001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7" name="Rectangle 179">
          <a:extLst>
            <a:ext uri="{FF2B5EF4-FFF2-40B4-BE49-F238E27FC236}">
              <a16:creationId xmlns:a16="http://schemas.microsoft.com/office/drawing/2014/main" xmlns="" id="{00000000-0008-0000-0300-00001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8" name="Rectangle 180">
          <a:extLst>
            <a:ext uri="{FF2B5EF4-FFF2-40B4-BE49-F238E27FC236}">
              <a16:creationId xmlns:a16="http://schemas.microsoft.com/office/drawing/2014/main" xmlns="" id="{00000000-0008-0000-0300-00001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9" name="Rectangle 181">
          <a:extLst>
            <a:ext uri="{FF2B5EF4-FFF2-40B4-BE49-F238E27FC236}">
              <a16:creationId xmlns:a16="http://schemas.microsoft.com/office/drawing/2014/main" xmlns="" id="{00000000-0008-0000-0300-00001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0" name="Rectangle 182">
          <a:extLst>
            <a:ext uri="{FF2B5EF4-FFF2-40B4-BE49-F238E27FC236}">
              <a16:creationId xmlns:a16="http://schemas.microsoft.com/office/drawing/2014/main" xmlns="" id="{00000000-0008-0000-0300-00002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1" name="Rectangle 183">
          <a:extLst>
            <a:ext uri="{FF2B5EF4-FFF2-40B4-BE49-F238E27FC236}">
              <a16:creationId xmlns:a16="http://schemas.microsoft.com/office/drawing/2014/main" xmlns="" id="{00000000-0008-0000-0300-00002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2" name="Rectangle 138">
          <a:extLst>
            <a:ext uri="{FF2B5EF4-FFF2-40B4-BE49-F238E27FC236}">
              <a16:creationId xmlns:a16="http://schemas.microsoft.com/office/drawing/2014/main" xmlns="" id="{00000000-0008-0000-0300-00002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3" name="Rectangle 139">
          <a:extLst>
            <a:ext uri="{FF2B5EF4-FFF2-40B4-BE49-F238E27FC236}">
              <a16:creationId xmlns:a16="http://schemas.microsoft.com/office/drawing/2014/main" xmlns="" id="{00000000-0008-0000-0300-00002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4" name="Rectangle 140">
          <a:extLst>
            <a:ext uri="{FF2B5EF4-FFF2-40B4-BE49-F238E27FC236}">
              <a16:creationId xmlns:a16="http://schemas.microsoft.com/office/drawing/2014/main" xmlns="" id="{00000000-0008-0000-0300-00002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5" name="Rectangle 141">
          <a:extLst>
            <a:ext uri="{FF2B5EF4-FFF2-40B4-BE49-F238E27FC236}">
              <a16:creationId xmlns:a16="http://schemas.microsoft.com/office/drawing/2014/main" xmlns="" id="{00000000-0008-0000-0300-00002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6" name="Rectangle 142">
          <a:extLst>
            <a:ext uri="{FF2B5EF4-FFF2-40B4-BE49-F238E27FC236}">
              <a16:creationId xmlns:a16="http://schemas.microsoft.com/office/drawing/2014/main" xmlns="" id="{00000000-0008-0000-0300-00002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7" name="Rectangle 143">
          <a:extLst>
            <a:ext uri="{FF2B5EF4-FFF2-40B4-BE49-F238E27FC236}">
              <a16:creationId xmlns:a16="http://schemas.microsoft.com/office/drawing/2014/main" xmlns="" id="{00000000-0008-0000-0300-00002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8" name="Rectangle 144">
          <a:extLst>
            <a:ext uri="{FF2B5EF4-FFF2-40B4-BE49-F238E27FC236}">
              <a16:creationId xmlns:a16="http://schemas.microsoft.com/office/drawing/2014/main" xmlns="" id="{00000000-0008-0000-0300-00002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9" name="Rectangle 145">
          <a:extLst>
            <a:ext uri="{FF2B5EF4-FFF2-40B4-BE49-F238E27FC236}">
              <a16:creationId xmlns:a16="http://schemas.microsoft.com/office/drawing/2014/main" xmlns="" id="{00000000-0008-0000-0300-00002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0" name="Rectangle 146">
          <a:extLst>
            <a:ext uri="{FF2B5EF4-FFF2-40B4-BE49-F238E27FC236}">
              <a16:creationId xmlns:a16="http://schemas.microsoft.com/office/drawing/2014/main" xmlns="" id="{00000000-0008-0000-0300-00002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1" name="Rectangle 147">
          <a:extLst>
            <a:ext uri="{FF2B5EF4-FFF2-40B4-BE49-F238E27FC236}">
              <a16:creationId xmlns:a16="http://schemas.microsoft.com/office/drawing/2014/main" xmlns="" id="{00000000-0008-0000-0300-00002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2" name="Rectangle 148">
          <a:extLst>
            <a:ext uri="{FF2B5EF4-FFF2-40B4-BE49-F238E27FC236}">
              <a16:creationId xmlns:a16="http://schemas.microsoft.com/office/drawing/2014/main" xmlns="" id="{00000000-0008-0000-0300-00002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3" name="Rectangle 149">
          <a:extLst>
            <a:ext uri="{FF2B5EF4-FFF2-40B4-BE49-F238E27FC236}">
              <a16:creationId xmlns:a16="http://schemas.microsoft.com/office/drawing/2014/main" xmlns="" id="{00000000-0008-0000-0300-00002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4" name="Rectangle 150">
          <a:extLst>
            <a:ext uri="{FF2B5EF4-FFF2-40B4-BE49-F238E27FC236}">
              <a16:creationId xmlns:a16="http://schemas.microsoft.com/office/drawing/2014/main" xmlns="" id="{00000000-0008-0000-0300-00002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5" name="Rectangle 151">
          <a:extLst>
            <a:ext uri="{FF2B5EF4-FFF2-40B4-BE49-F238E27FC236}">
              <a16:creationId xmlns:a16="http://schemas.microsoft.com/office/drawing/2014/main" xmlns="" id="{00000000-0008-0000-0300-00002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6" name="Rectangle 152">
          <a:extLst>
            <a:ext uri="{FF2B5EF4-FFF2-40B4-BE49-F238E27FC236}">
              <a16:creationId xmlns:a16="http://schemas.microsoft.com/office/drawing/2014/main" xmlns="" id="{00000000-0008-0000-0300-00003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7" name="Rectangle 153">
          <a:extLst>
            <a:ext uri="{FF2B5EF4-FFF2-40B4-BE49-F238E27FC236}">
              <a16:creationId xmlns:a16="http://schemas.microsoft.com/office/drawing/2014/main" xmlns="" id="{00000000-0008-0000-0300-00003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8" name="Rectangle 154">
          <a:extLst>
            <a:ext uri="{FF2B5EF4-FFF2-40B4-BE49-F238E27FC236}">
              <a16:creationId xmlns:a16="http://schemas.microsoft.com/office/drawing/2014/main" xmlns="" id="{00000000-0008-0000-0300-00003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9" name="Rectangle 155">
          <a:extLst>
            <a:ext uri="{FF2B5EF4-FFF2-40B4-BE49-F238E27FC236}">
              <a16:creationId xmlns:a16="http://schemas.microsoft.com/office/drawing/2014/main" xmlns="" id="{00000000-0008-0000-0300-00003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0" name="Rectangle 156">
          <a:extLst>
            <a:ext uri="{FF2B5EF4-FFF2-40B4-BE49-F238E27FC236}">
              <a16:creationId xmlns:a16="http://schemas.microsoft.com/office/drawing/2014/main" xmlns="" id="{00000000-0008-0000-0300-00003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1" name="Rectangle 157">
          <a:extLst>
            <a:ext uri="{FF2B5EF4-FFF2-40B4-BE49-F238E27FC236}">
              <a16:creationId xmlns:a16="http://schemas.microsoft.com/office/drawing/2014/main" xmlns="" id="{00000000-0008-0000-0300-00003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2" name="Rectangle 158">
          <a:extLst>
            <a:ext uri="{FF2B5EF4-FFF2-40B4-BE49-F238E27FC236}">
              <a16:creationId xmlns:a16="http://schemas.microsoft.com/office/drawing/2014/main" xmlns="" id="{00000000-0008-0000-0300-00003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3" name="Rectangle 159">
          <a:extLst>
            <a:ext uri="{FF2B5EF4-FFF2-40B4-BE49-F238E27FC236}">
              <a16:creationId xmlns:a16="http://schemas.microsoft.com/office/drawing/2014/main" xmlns="" id="{00000000-0008-0000-0300-00003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4" name="Rectangle 160">
          <a:extLst>
            <a:ext uri="{FF2B5EF4-FFF2-40B4-BE49-F238E27FC236}">
              <a16:creationId xmlns:a16="http://schemas.microsoft.com/office/drawing/2014/main" xmlns="" id="{00000000-0008-0000-0300-00003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5" name="Rectangle 161">
          <a:extLst>
            <a:ext uri="{FF2B5EF4-FFF2-40B4-BE49-F238E27FC236}">
              <a16:creationId xmlns:a16="http://schemas.microsoft.com/office/drawing/2014/main" xmlns="" id="{00000000-0008-0000-0300-00003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6" name="Rectangle 162">
          <a:extLst>
            <a:ext uri="{FF2B5EF4-FFF2-40B4-BE49-F238E27FC236}">
              <a16:creationId xmlns:a16="http://schemas.microsoft.com/office/drawing/2014/main" xmlns="" id="{00000000-0008-0000-0300-00003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7" name="Rectangle 163">
          <a:extLst>
            <a:ext uri="{FF2B5EF4-FFF2-40B4-BE49-F238E27FC236}">
              <a16:creationId xmlns:a16="http://schemas.microsoft.com/office/drawing/2014/main" xmlns="" id="{00000000-0008-0000-0300-00003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8" name="Rectangle 164">
          <a:extLst>
            <a:ext uri="{FF2B5EF4-FFF2-40B4-BE49-F238E27FC236}">
              <a16:creationId xmlns:a16="http://schemas.microsoft.com/office/drawing/2014/main" xmlns="" id="{00000000-0008-0000-0300-00003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9" name="Rectangle 165">
          <a:extLst>
            <a:ext uri="{FF2B5EF4-FFF2-40B4-BE49-F238E27FC236}">
              <a16:creationId xmlns:a16="http://schemas.microsoft.com/office/drawing/2014/main" xmlns="" id="{00000000-0008-0000-0300-00003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0" name="Rectangle 166">
          <a:extLst>
            <a:ext uri="{FF2B5EF4-FFF2-40B4-BE49-F238E27FC236}">
              <a16:creationId xmlns:a16="http://schemas.microsoft.com/office/drawing/2014/main" xmlns="" id="{00000000-0008-0000-0300-00003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1" name="Rectangle 167">
          <a:extLst>
            <a:ext uri="{FF2B5EF4-FFF2-40B4-BE49-F238E27FC236}">
              <a16:creationId xmlns:a16="http://schemas.microsoft.com/office/drawing/2014/main" xmlns="" id="{00000000-0008-0000-0300-00003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72" name="Rectangle 168">
          <a:extLst>
            <a:ext uri="{FF2B5EF4-FFF2-40B4-BE49-F238E27FC236}">
              <a16:creationId xmlns:a16="http://schemas.microsoft.com/office/drawing/2014/main" xmlns="" id="{00000000-0008-0000-0300-00004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3" name="Rectangle 169">
          <a:extLst>
            <a:ext uri="{FF2B5EF4-FFF2-40B4-BE49-F238E27FC236}">
              <a16:creationId xmlns:a16="http://schemas.microsoft.com/office/drawing/2014/main" xmlns="" id="{00000000-0008-0000-0300-00004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4" name="Rectangle 170">
          <a:extLst>
            <a:ext uri="{FF2B5EF4-FFF2-40B4-BE49-F238E27FC236}">
              <a16:creationId xmlns:a16="http://schemas.microsoft.com/office/drawing/2014/main" xmlns="" id="{00000000-0008-0000-0300-00004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5" name="Rectangle 171">
          <a:extLst>
            <a:ext uri="{FF2B5EF4-FFF2-40B4-BE49-F238E27FC236}">
              <a16:creationId xmlns:a16="http://schemas.microsoft.com/office/drawing/2014/main" xmlns="" id="{00000000-0008-0000-0300-00004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6" name="Rectangle 172">
          <a:extLst>
            <a:ext uri="{FF2B5EF4-FFF2-40B4-BE49-F238E27FC236}">
              <a16:creationId xmlns:a16="http://schemas.microsoft.com/office/drawing/2014/main" xmlns="" id="{00000000-0008-0000-0300-00004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7" name="Rectangle 173">
          <a:extLst>
            <a:ext uri="{FF2B5EF4-FFF2-40B4-BE49-F238E27FC236}">
              <a16:creationId xmlns:a16="http://schemas.microsoft.com/office/drawing/2014/main" xmlns="" id="{00000000-0008-0000-0300-00004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8" name="Rectangle 174">
          <a:extLst>
            <a:ext uri="{FF2B5EF4-FFF2-40B4-BE49-F238E27FC236}">
              <a16:creationId xmlns:a16="http://schemas.microsoft.com/office/drawing/2014/main" xmlns="" id="{00000000-0008-0000-0300-00004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9" name="Rectangle 175">
          <a:extLst>
            <a:ext uri="{FF2B5EF4-FFF2-40B4-BE49-F238E27FC236}">
              <a16:creationId xmlns:a16="http://schemas.microsoft.com/office/drawing/2014/main" xmlns="" id="{00000000-0008-0000-0300-00004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0" name="Rectangle 176">
          <a:extLst>
            <a:ext uri="{FF2B5EF4-FFF2-40B4-BE49-F238E27FC236}">
              <a16:creationId xmlns:a16="http://schemas.microsoft.com/office/drawing/2014/main" xmlns="" id="{00000000-0008-0000-0300-00004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1" name="Rectangle 177">
          <a:extLst>
            <a:ext uri="{FF2B5EF4-FFF2-40B4-BE49-F238E27FC236}">
              <a16:creationId xmlns:a16="http://schemas.microsoft.com/office/drawing/2014/main" xmlns="" id="{00000000-0008-0000-0300-00004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2" name="Rectangle 178">
          <a:extLst>
            <a:ext uri="{FF2B5EF4-FFF2-40B4-BE49-F238E27FC236}">
              <a16:creationId xmlns:a16="http://schemas.microsoft.com/office/drawing/2014/main" xmlns="" id="{00000000-0008-0000-0300-00004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3" name="Rectangle 179">
          <a:extLst>
            <a:ext uri="{FF2B5EF4-FFF2-40B4-BE49-F238E27FC236}">
              <a16:creationId xmlns:a16="http://schemas.microsoft.com/office/drawing/2014/main" xmlns="" id="{00000000-0008-0000-0300-00004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4" name="Rectangle 180">
          <a:extLst>
            <a:ext uri="{FF2B5EF4-FFF2-40B4-BE49-F238E27FC236}">
              <a16:creationId xmlns:a16="http://schemas.microsoft.com/office/drawing/2014/main" xmlns="" id="{00000000-0008-0000-0300-00004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5" name="Rectangle 181">
          <a:extLst>
            <a:ext uri="{FF2B5EF4-FFF2-40B4-BE49-F238E27FC236}">
              <a16:creationId xmlns:a16="http://schemas.microsoft.com/office/drawing/2014/main" xmlns="" id="{00000000-0008-0000-0300-00004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6" name="Rectangle 182">
          <a:extLst>
            <a:ext uri="{FF2B5EF4-FFF2-40B4-BE49-F238E27FC236}">
              <a16:creationId xmlns:a16="http://schemas.microsoft.com/office/drawing/2014/main" xmlns="" id="{00000000-0008-0000-0300-00004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7" name="Rectangle 183">
          <a:extLst>
            <a:ext uri="{FF2B5EF4-FFF2-40B4-BE49-F238E27FC236}">
              <a16:creationId xmlns:a16="http://schemas.microsoft.com/office/drawing/2014/main" xmlns="" id="{00000000-0008-0000-0300-00004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88" name="Rectangle 138">
          <a:extLst>
            <a:ext uri="{FF2B5EF4-FFF2-40B4-BE49-F238E27FC236}">
              <a16:creationId xmlns:a16="http://schemas.microsoft.com/office/drawing/2014/main" xmlns="" id="{00000000-0008-0000-0300-00005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89" name="Rectangle 139">
          <a:extLst>
            <a:ext uri="{FF2B5EF4-FFF2-40B4-BE49-F238E27FC236}">
              <a16:creationId xmlns:a16="http://schemas.microsoft.com/office/drawing/2014/main" xmlns="" id="{00000000-0008-0000-0300-00005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0" name="Rectangle 140">
          <a:extLst>
            <a:ext uri="{FF2B5EF4-FFF2-40B4-BE49-F238E27FC236}">
              <a16:creationId xmlns:a16="http://schemas.microsoft.com/office/drawing/2014/main" xmlns="" id="{00000000-0008-0000-0300-00005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1" name="Rectangle 141">
          <a:extLst>
            <a:ext uri="{FF2B5EF4-FFF2-40B4-BE49-F238E27FC236}">
              <a16:creationId xmlns:a16="http://schemas.microsoft.com/office/drawing/2014/main" xmlns="" id="{00000000-0008-0000-0300-00005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2" name="Rectangle 142">
          <a:extLst>
            <a:ext uri="{FF2B5EF4-FFF2-40B4-BE49-F238E27FC236}">
              <a16:creationId xmlns:a16="http://schemas.microsoft.com/office/drawing/2014/main" xmlns="" id="{00000000-0008-0000-0300-00005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3" name="Rectangle 143">
          <a:extLst>
            <a:ext uri="{FF2B5EF4-FFF2-40B4-BE49-F238E27FC236}">
              <a16:creationId xmlns:a16="http://schemas.microsoft.com/office/drawing/2014/main" xmlns="" id="{00000000-0008-0000-0300-00005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4" name="Rectangle 144">
          <a:extLst>
            <a:ext uri="{FF2B5EF4-FFF2-40B4-BE49-F238E27FC236}">
              <a16:creationId xmlns:a16="http://schemas.microsoft.com/office/drawing/2014/main" xmlns="" id="{00000000-0008-0000-0300-00005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5" name="Rectangle 145">
          <a:extLst>
            <a:ext uri="{FF2B5EF4-FFF2-40B4-BE49-F238E27FC236}">
              <a16:creationId xmlns:a16="http://schemas.microsoft.com/office/drawing/2014/main" xmlns="" id="{00000000-0008-0000-0300-00005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6" name="Rectangle 146">
          <a:extLst>
            <a:ext uri="{FF2B5EF4-FFF2-40B4-BE49-F238E27FC236}">
              <a16:creationId xmlns:a16="http://schemas.microsoft.com/office/drawing/2014/main" xmlns="" id="{00000000-0008-0000-0300-00005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7" name="Rectangle 147">
          <a:extLst>
            <a:ext uri="{FF2B5EF4-FFF2-40B4-BE49-F238E27FC236}">
              <a16:creationId xmlns:a16="http://schemas.microsoft.com/office/drawing/2014/main" xmlns="" id="{00000000-0008-0000-0300-00005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8" name="Rectangle 148">
          <a:extLst>
            <a:ext uri="{FF2B5EF4-FFF2-40B4-BE49-F238E27FC236}">
              <a16:creationId xmlns:a16="http://schemas.microsoft.com/office/drawing/2014/main" xmlns="" id="{00000000-0008-0000-0300-00005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9" name="Rectangle 149">
          <a:extLst>
            <a:ext uri="{FF2B5EF4-FFF2-40B4-BE49-F238E27FC236}">
              <a16:creationId xmlns:a16="http://schemas.microsoft.com/office/drawing/2014/main" xmlns="" id="{00000000-0008-0000-0300-00005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0" name="Rectangle 150">
          <a:extLst>
            <a:ext uri="{FF2B5EF4-FFF2-40B4-BE49-F238E27FC236}">
              <a16:creationId xmlns:a16="http://schemas.microsoft.com/office/drawing/2014/main" xmlns="" id="{00000000-0008-0000-0300-00005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1" name="Rectangle 151">
          <a:extLst>
            <a:ext uri="{FF2B5EF4-FFF2-40B4-BE49-F238E27FC236}">
              <a16:creationId xmlns:a16="http://schemas.microsoft.com/office/drawing/2014/main" xmlns="" id="{00000000-0008-0000-0300-00005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2" name="Rectangle 152">
          <a:extLst>
            <a:ext uri="{FF2B5EF4-FFF2-40B4-BE49-F238E27FC236}">
              <a16:creationId xmlns:a16="http://schemas.microsoft.com/office/drawing/2014/main" xmlns="" id="{00000000-0008-0000-0300-00005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3" name="Rectangle 153">
          <a:extLst>
            <a:ext uri="{FF2B5EF4-FFF2-40B4-BE49-F238E27FC236}">
              <a16:creationId xmlns:a16="http://schemas.microsoft.com/office/drawing/2014/main" xmlns="" id="{00000000-0008-0000-0300-00005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4" name="Rectangle 154">
          <a:extLst>
            <a:ext uri="{FF2B5EF4-FFF2-40B4-BE49-F238E27FC236}">
              <a16:creationId xmlns:a16="http://schemas.microsoft.com/office/drawing/2014/main" xmlns="" id="{00000000-0008-0000-0300-00006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5" name="Rectangle 155">
          <a:extLst>
            <a:ext uri="{FF2B5EF4-FFF2-40B4-BE49-F238E27FC236}">
              <a16:creationId xmlns:a16="http://schemas.microsoft.com/office/drawing/2014/main" xmlns="" id="{00000000-0008-0000-0300-00006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6" name="Rectangle 156">
          <a:extLst>
            <a:ext uri="{FF2B5EF4-FFF2-40B4-BE49-F238E27FC236}">
              <a16:creationId xmlns:a16="http://schemas.microsoft.com/office/drawing/2014/main" xmlns="" id="{00000000-0008-0000-0300-00006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7" name="Rectangle 157">
          <a:extLst>
            <a:ext uri="{FF2B5EF4-FFF2-40B4-BE49-F238E27FC236}">
              <a16:creationId xmlns:a16="http://schemas.microsoft.com/office/drawing/2014/main" xmlns="" id="{00000000-0008-0000-0300-00006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8" name="Rectangle 158">
          <a:extLst>
            <a:ext uri="{FF2B5EF4-FFF2-40B4-BE49-F238E27FC236}">
              <a16:creationId xmlns:a16="http://schemas.microsoft.com/office/drawing/2014/main" xmlns="" id="{00000000-0008-0000-0300-00006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9" name="Rectangle 159">
          <a:extLst>
            <a:ext uri="{FF2B5EF4-FFF2-40B4-BE49-F238E27FC236}">
              <a16:creationId xmlns:a16="http://schemas.microsoft.com/office/drawing/2014/main" xmlns="" id="{00000000-0008-0000-0300-00006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0" name="Rectangle 160">
          <a:extLst>
            <a:ext uri="{FF2B5EF4-FFF2-40B4-BE49-F238E27FC236}">
              <a16:creationId xmlns:a16="http://schemas.microsoft.com/office/drawing/2014/main" xmlns="" id="{00000000-0008-0000-0300-00006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1" name="Rectangle 161">
          <a:extLst>
            <a:ext uri="{FF2B5EF4-FFF2-40B4-BE49-F238E27FC236}">
              <a16:creationId xmlns:a16="http://schemas.microsoft.com/office/drawing/2014/main" xmlns="" id="{00000000-0008-0000-0300-00006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2" name="Rectangle 162">
          <a:extLst>
            <a:ext uri="{FF2B5EF4-FFF2-40B4-BE49-F238E27FC236}">
              <a16:creationId xmlns:a16="http://schemas.microsoft.com/office/drawing/2014/main" xmlns="" id="{00000000-0008-0000-0300-00006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3" name="Rectangle 163">
          <a:extLst>
            <a:ext uri="{FF2B5EF4-FFF2-40B4-BE49-F238E27FC236}">
              <a16:creationId xmlns:a16="http://schemas.microsoft.com/office/drawing/2014/main" xmlns="" id="{00000000-0008-0000-0300-00006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4" name="Rectangle 164">
          <a:extLst>
            <a:ext uri="{FF2B5EF4-FFF2-40B4-BE49-F238E27FC236}">
              <a16:creationId xmlns:a16="http://schemas.microsoft.com/office/drawing/2014/main" xmlns="" id="{00000000-0008-0000-0300-00006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5" name="Rectangle 165">
          <a:extLst>
            <a:ext uri="{FF2B5EF4-FFF2-40B4-BE49-F238E27FC236}">
              <a16:creationId xmlns:a16="http://schemas.microsoft.com/office/drawing/2014/main" xmlns="" id="{00000000-0008-0000-0300-00006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6" name="Rectangle 166">
          <a:extLst>
            <a:ext uri="{FF2B5EF4-FFF2-40B4-BE49-F238E27FC236}">
              <a16:creationId xmlns:a16="http://schemas.microsoft.com/office/drawing/2014/main" xmlns="" id="{00000000-0008-0000-0300-00006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7" name="Rectangle 167">
          <a:extLst>
            <a:ext uri="{FF2B5EF4-FFF2-40B4-BE49-F238E27FC236}">
              <a16:creationId xmlns:a16="http://schemas.microsoft.com/office/drawing/2014/main" xmlns="" id="{00000000-0008-0000-0300-00006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8" name="Rectangle 168">
          <a:extLst>
            <a:ext uri="{FF2B5EF4-FFF2-40B4-BE49-F238E27FC236}">
              <a16:creationId xmlns:a16="http://schemas.microsoft.com/office/drawing/2014/main" xmlns="" id="{00000000-0008-0000-0300-00006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9" name="Rectangle 169">
          <a:extLst>
            <a:ext uri="{FF2B5EF4-FFF2-40B4-BE49-F238E27FC236}">
              <a16:creationId xmlns:a16="http://schemas.microsoft.com/office/drawing/2014/main" xmlns="" id="{00000000-0008-0000-0300-00006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20" name="Rectangle 170">
          <a:extLst>
            <a:ext uri="{FF2B5EF4-FFF2-40B4-BE49-F238E27FC236}">
              <a16:creationId xmlns:a16="http://schemas.microsoft.com/office/drawing/2014/main" xmlns="" id="{00000000-0008-0000-0300-00007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21" name="Rectangle 171">
          <a:extLst>
            <a:ext uri="{FF2B5EF4-FFF2-40B4-BE49-F238E27FC236}">
              <a16:creationId xmlns:a16="http://schemas.microsoft.com/office/drawing/2014/main" xmlns="" id="{00000000-0008-0000-0300-00007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2" name="Rectangle 172">
          <a:extLst>
            <a:ext uri="{FF2B5EF4-FFF2-40B4-BE49-F238E27FC236}">
              <a16:creationId xmlns:a16="http://schemas.microsoft.com/office/drawing/2014/main" xmlns="" id="{00000000-0008-0000-0300-00007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3" name="Rectangle 173">
          <a:extLst>
            <a:ext uri="{FF2B5EF4-FFF2-40B4-BE49-F238E27FC236}">
              <a16:creationId xmlns:a16="http://schemas.microsoft.com/office/drawing/2014/main" xmlns="" id="{00000000-0008-0000-0300-00007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4" name="Rectangle 174">
          <a:extLst>
            <a:ext uri="{FF2B5EF4-FFF2-40B4-BE49-F238E27FC236}">
              <a16:creationId xmlns:a16="http://schemas.microsoft.com/office/drawing/2014/main" xmlns="" id="{00000000-0008-0000-0300-00007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5" name="Rectangle 175">
          <a:extLst>
            <a:ext uri="{FF2B5EF4-FFF2-40B4-BE49-F238E27FC236}">
              <a16:creationId xmlns:a16="http://schemas.microsoft.com/office/drawing/2014/main" xmlns="" id="{00000000-0008-0000-0300-00007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6" name="Rectangle 176">
          <a:extLst>
            <a:ext uri="{FF2B5EF4-FFF2-40B4-BE49-F238E27FC236}">
              <a16:creationId xmlns:a16="http://schemas.microsoft.com/office/drawing/2014/main" xmlns="" id="{00000000-0008-0000-0300-00007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7" name="Rectangle 177">
          <a:extLst>
            <a:ext uri="{FF2B5EF4-FFF2-40B4-BE49-F238E27FC236}">
              <a16:creationId xmlns:a16="http://schemas.microsoft.com/office/drawing/2014/main" xmlns="" id="{00000000-0008-0000-0300-00007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8" name="Rectangle 178">
          <a:extLst>
            <a:ext uri="{FF2B5EF4-FFF2-40B4-BE49-F238E27FC236}">
              <a16:creationId xmlns:a16="http://schemas.microsoft.com/office/drawing/2014/main" xmlns="" id="{00000000-0008-0000-0300-00007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9" name="Rectangle 179">
          <a:extLst>
            <a:ext uri="{FF2B5EF4-FFF2-40B4-BE49-F238E27FC236}">
              <a16:creationId xmlns:a16="http://schemas.microsoft.com/office/drawing/2014/main" xmlns="" id="{00000000-0008-0000-0300-00007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0" name="Rectangle 180">
          <a:extLst>
            <a:ext uri="{FF2B5EF4-FFF2-40B4-BE49-F238E27FC236}">
              <a16:creationId xmlns:a16="http://schemas.microsoft.com/office/drawing/2014/main" xmlns="" id="{00000000-0008-0000-0300-00007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1" name="Rectangle 181">
          <a:extLst>
            <a:ext uri="{FF2B5EF4-FFF2-40B4-BE49-F238E27FC236}">
              <a16:creationId xmlns:a16="http://schemas.microsoft.com/office/drawing/2014/main" xmlns="" id="{00000000-0008-0000-0300-00007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2" name="Rectangle 182">
          <a:extLst>
            <a:ext uri="{FF2B5EF4-FFF2-40B4-BE49-F238E27FC236}">
              <a16:creationId xmlns:a16="http://schemas.microsoft.com/office/drawing/2014/main" xmlns="" id="{00000000-0008-0000-0300-00007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3" name="Rectangle 183">
          <a:extLst>
            <a:ext uri="{FF2B5EF4-FFF2-40B4-BE49-F238E27FC236}">
              <a16:creationId xmlns:a16="http://schemas.microsoft.com/office/drawing/2014/main" xmlns="" id="{00000000-0008-0000-0300-00007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4" name="Rectangle 138">
          <a:extLst>
            <a:ext uri="{FF2B5EF4-FFF2-40B4-BE49-F238E27FC236}">
              <a16:creationId xmlns:a16="http://schemas.microsoft.com/office/drawing/2014/main" xmlns="" id="{00000000-0008-0000-0300-00007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5" name="Rectangle 139">
          <a:extLst>
            <a:ext uri="{FF2B5EF4-FFF2-40B4-BE49-F238E27FC236}">
              <a16:creationId xmlns:a16="http://schemas.microsoft.com/office/drawing/2014/main" xmlns="" id="{00000000-0008-0000-0300-00007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6" name="Rectangle 140">
          <a:extLst>
            <a:ext uri="{FF2B5EF4-FFF2-40B4-BE49-F238E27FC236}">
              <a16:creationId xmlns:a16="http://schemas.microsoft.com/office/drawing/2014/main" xmlns="" id="{00000000-0008-0000-0300-00008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7" name="Rectangle 141">
          <a:extLst>
            <a:ext uri="{FF2B5EF4-FFF2-40B4-BE49-F238E27FC236}">
              <a16:creationId xmlns:a16="http://schemas.microsoft.com/office/drawing/2014/main" xmlns="" id="{00000000-0008-0000-0300-00008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8" name="Rectangle 142">
          <a:extLst>
            <a:ext uri="{FF2B5EF4-FFF2-40B4-BE49-F238E27FC236}">
              <a16:creationId xmlns:a16="http://schemas.microsoft.com/office/drawing/2014/main" xmlns="" id="{00000000-0008-0000-0300-00008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9" name="Rectangle 143">
          <a:extLst>
            <a:ext uri="{FF2B5EF4-FFF2-40B4-BE49-F238E27FC236}">
              <a16:creationId xmlns:a16="http://schemas.microsoft.com/office/drawing/2014/main" xmlns="" id="{00000000-0008-0000-0300-00008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0" name="Rectangle 144">
          <a:extLst>
            <a:ext uri="{FF2B5EF4-FFF2-40B4-BE49-F238E27FC236}">
              <a16:creationId xmlns:a16="http://schemas.microsoft.com/office/drawing/2014/main" xmlns="" id="{00000000-0008-0000-0300-00008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1" name="Rectangle 145">
          <a:extLst>
            <a:ext uri="{FF2B5EF4-FFF2-40B4-BE49-F238E27FC236}">
              <a16:creationId xmlns:a16="http://schemas.microsoft.com/office/drawing/2014/main" xmlns="" id="{00000000-0008-0000-0300-00008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2" name="Rectangle 146">
          <a:extLst>
            <a:ext uri="{FF2B5EF4-FFF2-40B4-BE49-F238E27FC236}">
              <a16:creationId xmlns:a16="http://schemas.microsoft.com/office/drawing/2014/main" xmlns="" id="{00000000-0008-0000-0300-00008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3" name="Rectangle 147">
          <a:extLst>
            <a:ext uri="{FF2B5EF4-FFF2-40B4-BE49-F238E27FC236}">
              <a16:creationId xmlns:a16="http://schemas.microsoft.com/office/drawing/2014/main" xmlns="" id="{00000000-0008-0000-0300-00008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4" name="Rectangle 148">
          <a:extLst>
            <a:ext uri="{FF2B5EF4-FFF2-40B4-BE49-F238E27FC236}">
              <a16:creationId xmlns:a16="http://schemas.microsoft.com/office/drawing/2014/main" xmlns="" id="{00000000-0008-0000-0300-00008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5" name="Rectangle 149">
          <a:extLst>
            <a:ext uri="{FF2B5EF4-FFF2-40B4-BE49-F238E27FC236}">
              <a16:creationId xmlns:a16="http://schemas.microsoft.com/office/drawing/2014/main" xmlns="" id="{00000000-0008-0000-0300-00008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6" name="Rectangle 150">
          <a:extLst>
            <a:ext uri="{FF2B5EF4-FFF2-40B4-BE49-F238E27FC236}">
              <a16:creationId xmlns:a16="http://schemas.microsoft.com/office/drawing/2014/main" xmlns="" id="{00000000-0008-0000-0300-00008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7" name="Rectangle 151">
          <a:extLst>
            <a:ext uri="{FF2B5EF4-FFF2-40B4-BE49-F238E27FC236}">
              <a16:creationId xmlns:a16="http://schemas.microsoft.com/office/drawing/2014/main" xmlns="" id="{00000000-0008-0000-0300-00008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8" name="Rectangle 152">
          <a:extLst>
            <a:ext uri="{FF2B5EF4-FFF2-40B4-BE49-F238E27FC236}">
              <a16:creationId xmlns:a16="http://schemas.microsoft.com/office/drawing/2014/main" xmlns="" id="{00000000-0008-0000-0300-00008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9" name="Rectangle 153">
          <a:extLst>
            <a:ext uri="{FF2B5EF4-FFF2-40B4-BE49-F238E27FC236}">
              <a16:creationId xmlns:a16="http://schemas.microsoft.com/office/drawing/2014/main" xmlns="" id="{00000000-0008-0000-0300-00008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0" name="Rectangle 154">
          <a:extLst>
            <a:ext uri="{FF2B5EF4-FFF2-40B4-BE49-F238E27FC236}">
              <a16:creationId xmlns:a16="http://schemas.microsoft.com/office/drawing/2014/main" xmlns="" id="{00000000-0008-0000-0300-00008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1" name="Rectangle 155">
          <a:extLst>
            <a:ext uri="{FF2B5EF4-FFF2-40B4-BE49-F238E27FC236}">
              <a16:creationId xmlns:a16="http://schemas.microsoft.com/office/drawing/2014/main" xmlns="" id="{00000000-0008-0000-0300-00008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2" name="Rectangle 156">
          <a:extLst>
            <a:ext uri="{FF2B5EF4-FFF2-40B4-BE49-F238E27FC236}">
              <a16:creationId xmlns:a16="http://schemas.microsoft.com/office/drawing/2014/main" xmlns="" id="{00000000-0008-0000-0300-00009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3" name="Rectangle 157">
          <a:extLst>
            <a:ext uri="{FF2B5EF4-FFF2-40B4-BE49-F238E27FC236}">
              <a16:creationId xmlns:a16="http://schemas.microsoft.com/office/drawing/2014/main" xmlns="" id="{00000000-0008-0000-0300-00009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4" name="Rectangle 158">
          <a:extLst>
            <a:ext uri="{FF2B5EF4-FFF2-40B4-BE49-F238E27FC236}">
              <a16:creationId xmlns:a16="http://schemas.microsoft.com/office/drawing/2014/main" xmlns="" id="{00000000-0008-0000-0300-00009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5" name="Rectangle 159">
          <a:extLst>
            <a:ext uri="{FF2B5EF4-FFF2-40B4-BE49-F238E27FC236}">
              <a16:creationId xmlns:a16="http://schemas.microsoft.com/office/drawing/2014/main" xmlns="" id="{00000000-0008-0000-0300-00009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6" name="Rectangle 160">
          <a:extLst>
            <a:ext uri="{FF2B5EF4-FFF2-40B4-BE49-F238E27FC236}">
              <a16:creationId xmlns:a16="http://schemas.microsoft.com/office/drawing/2014/main" xmlns="" id="{00000000-0008-0000-0300-00009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7" name="Rectangle 161">
          <a:extLst>
            <a:ext uri="{FF2B5EF4-FFF2-40B4-BE49-F238E27FC236}">
              <a16:creationId xmlns:a16="http://schemas.microsoft.com/office/drawing/2014/main" xmlns="" id="{00000000-0008-0000-0300-00009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8" name="Rectangle 162">
          <a:extLst>
            <a:ext uri="{FF2B5EF4-FFF2-40B4-BE49-F238E27FC236}">
              <a16:creationId xmlns:a16="http://schemas.microsoft.com/office/drawing/2014/main" xmlns="" id="{00000000-0008-0000-0300-00009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9" name="Rectangle 163">
          <a:extLst>
            <a:ext uri="{FF2B5EF4-FFF2-40B4-BE49-F238E27FC236}">
              <a16:creationId xmlns:a16="http://schemas.microsoft.com/office/drawing/2014/main" xmlns="" id="{00000000-0008-0000-0300-00009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0" name="Rectangle 164">
          <a:extLst>
            <a:ext uri="{FF2B5EF4-FFF2-40B4-BE49-F238E27FC236}">
              <a16:creationId xmlns:a16="http://schemas.microsoft.com/office/drawing/2014/main" xmlns="" id="{00000000-0008-0000-0300-00009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1" name="Rectangle 165">
          <a:extLst>
            <a:ext uri="{FF2B5EF4-FFF2-40B4-BE49-F238E27FC236}">
              <a16:creationId xmlns:a16="http://schemas.microsoft.com/office/drawing/2014/main" xmlns="" id="{00000000-0008-0000-0300-00009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2" name="Rectangle 166">
          <a:extLst>
            <a:ext uri="{FF2B5EF4-FFF2-40B4-BE49-F238E27FC236}">
              <a16:creationId xmlns:a16="http://schemas.microsoft.com/office/drawing/2014/main" xmlns="" id="{00000000-0008-0000-0300-00009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3" name="Rectangle 167">
          <a:extLst>
            <a:ext uri="{FF2B5EF4-FFF2-40B4-BE49-F238E27FC236}">
              <a16:creationId xmlns:a16="http://schemas.microsoft.com/office/drawing/2014/main" xmlns="" id="{00000000-0008-0000-0300-00009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4" name="Rectangle 168">
          <a:extLst>
            <a:ext uri="{FF2B5EF4-FFF2-40B4-BE49-F238E27FC236}">
              <a16:creationId xmlns:a16="http://schemas.microsoft.com/office/drawing/2014/main" xmlns="" id="{00000000-0008-0000-0300-00009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5" name="Rectangle 169">
          <a:extLst>
            <a:ext uri="{FF2B5EF4-FFF2-40B4-BE49-F238E27FC236}">
              <a16:creationId xmlns:a16="http://schemas.microsoft.com/office/drawing/2014/main" xmlns="" id="{00000000-0008-0000-0300-00009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6" name="Rectangle 170">
          <a:extLst>
            <a:ext uri="{FF2B5EF4-FFF2-40B4-BE49-F238E27FC236}">
              <a16:creationId xmlns:a16="http://schemas.microsoft.com/office/drawing/2014/main" xmlns="" id="{00000000-0008-0000-0300-00009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7" name="Rectangle 171">
          <a:extLst>
            <a:ext uri="{FF2B5EF4-FFF2-40B4-BE49-F238E27FC236}">
              <a16:creationId xmlns:a16="http://schemas.microsoft.com/office/drawing/2014/main" xmlns="" id="{00000000-0008-0000-0300-00009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8" name="Rectangle 172">
          <a:extLst>
            <a:ext uri="{FF2B5EF4-FFF2-40B4-BE49-F238E27FC236}">
              <a16:creationId xmlns:a16="http://schemas.microsoft.com/office/drawing/2014/main" xmlns="" id="{00000000-0008-0000-0300-0000A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9" name="Rectangle 173">
          <a:extLst>
            <a:ext uri="{FF2B5EF4-FFF2-40B4-BE49-F238E27FC236}">
              <a16:creationId xmlns:a16="http://schemas.microsoft.com/office/drawing/2014/main" xmlns="" id="{00000000-0008-0000-0300-0000A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0" name="Rectangle 174">
          <a:extLst>
            <a:ext uri="{FF2B5EF4-FFF2-40B4-BE49-F238E27FC236}">
              <a16:creationId xmlns:a16="http://schemas.microsoft.com/office/drawing/2014/main" xmlns="" id="{00000000-0008-0000-0300-0000A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1" name="Rectangle 175">
          <a:extLst>
            <a:ext uri="{FF2B5EF4-FFF2-40B4-BE49-F238E27FC236}">
              <a16:creationId xmlns:a16="http://schemas.microsoft.com/office/drawing/2014/main" xmlns="" id="{00000000-0008-0000-0300-0000A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2" name="Rectangle 176">
          <a:extLst>
            <a:ext uri="{FF2B5EF4-FFF2-40B4-BE49-F238E27FC236}">
              <a16:creationId xmlns:a16="http://schemas.microsoft.com/office/drawing/2014/main" xmlns="" id="{00000000-0008-0000-0300-0000A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3" name="Rectangle 177">
          <a:extLst>
            <a:ext uri="{FF2B5EF4-FFF2-40B4-BE49-F238E27FC236}">
              <a16:creationId xmlns:a16="http://schemas.microsoft.com/office/drawing/2014/main" xmlns="" id="{00000000-0008-0000-0300-0000A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4" name="Rectangle 178">
          <a:extLst>
            <a:ext uri="{FF2B5EF4-FFF2-40B4-BE49-F238E27FC236}">
              <a16:creationId xmlns:a16="http://schemas.microsoft.com/office/drawing/2014/main" xmlns="" id="{00000000-0008-0000-0300-0000A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5" name="Rectangle 179">
          <a:extLst>
            <a:ext uri="{FF2B5EF4-FFF2-40B4-BE49-F238E27FC236}">
              <a16:creationId xmlns:a16="http://schemas.microsoft.com/office/drawing/2014/main" xmlns="" id="{00000000-0008-0000-0300-0000A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6" name="Rectangle 180">
          <a:extLst>
            <a:ext uri="{FF2B5EF4-FFF2-40B4-BE49-F238E27FC236}">
              <a16:creationId xmlns:a16="http://schemas.microsoft.com/office/drawing/2014/main" xmlns="" id="{00000000-0008-0000-0300-0000A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7" name="Rectangle 181">
          <a:extLst>
            <a:ext uri="{FF2B5EF4-FFF2-40B4-BE49-F238E27FC236}">
              <a16:creationId xmlns:a16="http://schemas.microsoft.com/office/drawing/2014/main" xmlns="" id="{00000000-0008-0000-0300-0000A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8" name="Rectangle 182">
          <a:extLst>
            <a:ext uri="{FF2B5EF4-FFF2-40B4-BE49-F238E27FC236}">
              <a16:creationId xmlns:a16="http://schemas.microsoft.com/office/drawing/2014/main" xmlns="" id="{00000000-0008-0000-0300-0000A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9" name="Rectangle 183">
          <a:extLst>
            <a:ext uri="{FF2B5EF4-FFF2-40B4-BE49-F238E27FC236}">
              <a16:creationId xmlns:a16="http://schemas.microsoft.com/office/drawing/2014/main" xmlns="" id="{00000000-0008-0000-0300-0000A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0" name="Rectangle 184">
          <a:extLst>
            <a:ext uri="{FF2B5EF4-FFF2-40B4-BE49-F238E27FC236}">
              <a16:creationId xmlns:a16="http://schemas.microsoft.com/office/drawing/2014/main" xmlns="" id="{00000000-0008-0000-0300-0000A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1" name="Rectangle 185">
          <a:extLst>
            <a:ext uri="{FF2B5EF4-FFF2-40B4-BE49-F238E27FC236}">
              <a16:creationId xmlns:a16="http://schemas.microsoft.com/office/drawing/2014/main" xmlns="" id="{00000000-0008-0000-0300-0000A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2" name="Rectangle 186">
          <a:extLst>
            <a:ext uri="{FF2B5EF4-FFF2-40B4-BE49-F238E27FC236}">
              <a16:creationId xmlns:a16="http://schemas.microsoft.com/office/drawing/2014/main" xmlns="" id="{00000000-0008-0000-0300-0000A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3" name="Rectangle 187">
          <a:extLst>
            <a:ext uri="{FF2B5EF4-FFF2-40B4-BE49-F238E27FC236}">
              <a16:creationId xmlns:a16="http://schemas.microsoft.com/office/drawing/2014/main" xmlns="" id="{00000000-0008-0000-0300-0000A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4" name="Rectangle 188">
          <a:extLst>
            <a:ext uri="{FF2B5EF4-FFF2-40B4-BE49-F238E27FC236}">
              <a16:creationId xmlns:a16="http://schemas.microsoft.com/office/drawing/2014/main" xmlns="" id="{00000000-0008-0000-0300-0000B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5" name="Rectangle 189">
          <a:extLst>
            <a:ext uri="{FF2B5EF4-FFF2-40B4-BE49-F238E27FC236}">
              <a16:creationId xmlns:a16="http://schemas.microsoft.com/office/drawing/2014/main" xmlns="" id="{00000000-0008-0000-0300-0000B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6" name="Rectangle 190">
          <a:extLst>
            <a:ext uri="{FF2B5EF4-FFF2-40B4-BE49-F238E27FC236}">
              <a16:creationId xmlns:a16="http://schemas.microsoft.com/office/drawing/2014/main" xmlns="" id="{00000000-0008-0000-0300-0000B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7" name="Rectangle 191">
          <a:extLst>
            <a:ext uri="{FF2B5EF4-FFF2-40B4-BE49-F238E27FC236}">
              <a16:creationId xmlns:a16="http://schemas.microsoft.com/office/drawing/2014/main" xmlns="" id="{00000000-0008-0000-0300-0000B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8" name="Rectangle 192">
          <a:extLst>
            <a:ext uri="{FF2B5EF4-FFF2-40B4-BE49-F238E27FC236}">
              <a16:creationId xmlns:a16="http://schemas.microsoft.com/office/drawing/2014/main" xmlns="" id="{00000000-0008-0000-0300-0000B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9" name="Rectangle 193">
          <a:extLst>
            <a:ext uri="{FF2B5EF4-FFF2-40B4-BE49-F238E27FC236}">
              <a16:creationId xmlns:a16="http://schemas.microsoft.com/office/drawing/2014/main" xmlns="" id="{00000000-0008-0000-0300-0000B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0" name="Rectangle 194">
          <a:extLst>
            <a:ext uri="{FF2B5EF4-FFF2-40B4-BE49-F238E27FC236}">
              <a16:creationId xmlns:a16="http://schemas.microsoft.com/office/drawing/2014/main" xmlns="" id="{00000000-0008-0000-0300-0000B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1" name="Rectangle 195">
          <a:extLst>
            <a:ext uri="{FF2B5EF4-FFF2-40B4-BE49-F238E27FC236}">
              <a16:creationId xmlns:a16="http://schemas.microsoft.com/office/drawing/2014/main" xmlns="" id="{00000000-0008-0000-0300-0000B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2" name="Rectangle 196">
          <a:extLst>
            <a:ext uri="{FF2B5EF4-FFF2-40B4-BE49-F238E27FC236}">
              <a16:creationId xmlns:a16="http://schemas.microsoft.com/office/drawing/2014/main" xmlns="" id="{00000000-0008-0000-0300-0000B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3" name="Rectangle 197">
          <a:extLst>
            <a:ext uri="{FF2B5EF4-FFF2-40B4-BE49-F238E27FC236}">
              <a16:creationId xmlns:a16="http://schemas.microsoft.com/office/drawing/2014/main" xmlns="" id="{00000000-0008-0000-0300-0000B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4" name="Rectangle 198">
          <a:extLst>
            <a:ext uri="{FF2B5EF4-FFF2-40B4-BE49-F238E27FC236}">
              <a16:creationId xmlns:a16="http://schemas.microsoft.com/office/drawing/2014/main" xmlns="" id="{00000000-0008-0000-0300-0000B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5" name="Rectangle 199">
          <a:extLst>
            <a:ext uri="{FF2B5EF4-FFF2-40B4-BE49-F238E27FC236}">
              <a16:creationId xmlns:a16="http://schemas.microsoft.com/office/drawing/2014/main" xmlns="" id="{00000000-0008-0000-0300-0000BB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6" name="Rectangle 200">
          <a:extLst>
            <a:ext uri="{FF2B5EF4-FFF2-40B4-BE49-F238E27FC236}">
              <a16:creationId xmlns:a16="http://schemas.microsoft.com/office/drawing/2014/main" xmlns="" id="{00000000-0008-0000-0300-0000BC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7" name="Rectangle 201">
          <a:extLst>
            <a:ext uri="{FF2B5EF4-FFF2-40B4-BE49-F238E27FC236}">
              <a16:creationId xmlns:a16="http://schemas.microsoft.com/office/drawing/2014/main" xmlns="" id="{00000000-0008-0000-0300-0000BD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8" name="Rectangle 202">
          <a:extLst>
            <a:ext uri="{FF2B5EF4-FFF2-40B4-BE49-F238E27FC236}">
              <a16:creationId xmlns:a16="http://schemas.microsoft.com/office/drawing/2014/main" xmlns="" id="{00000000-0008-0000-0300-0000BE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9" name="Rectangle 203">
          <a:extLst>
            <a:ext uri="{FF2B5EF4-FFF2-40B4-BE49-F238E27FC236}">
              <a16:creationId xmlns:a16="http://schemas.microsoft.com/office/drawing/2014/main" xmlns="" id="{00000000-0008-0000-0300-0000BF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0" name="Rectangle 204">
          <a:extLst>
            <a:ext uri="{FF2B5EF4-FFF2-40B4-BE49-F238E27FC236}">
              <a16:creationId xmlns:a16="http://schemas.microsoft.com/office/drawing/2014/main" xmlns="" id="{00000000-0008-0000-0300-0000C0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1" name="Rectangle 205">
          <a:extLst>
            <a:ext uri="{FF2B5EF4-FFF2-40B4-BE49-F238E27FC236}">
              <a16:creationId xmlns:a16="http://schemas.microsoft.com/office/drawing/2014/main" xmlns="" id="{00000000-0008-0000-0300-0000C1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2" name="Rectangle 206">
          <a:extLst>
            <a:ext uri="{FF2B5EF4-FFF2-40B4-BE49-F238E27FC236}">
              <a16:creationId xmlns:a16="http://schemas.microsoft.com/office/drawing/2014/main" xmlns="" id="{00000000-0008-0000-0300-0000C2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3" name="Rectangle 207">
          <a:extLst>
            <a:ext uri="{FF2B5EF4-FFF2-40B4-BE49-F238E27FC236}">
              <a16:creationId xmlns:a16="http://schemas.microsoft.com/office/drawing/2014/main" xmlns="" id="{00000000-0008-0000-0300-0000C3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4" name="Rectangle 208">
          <a:extLst>
            <a:ext uri="{FF2B5EF4-FFF2-40B4-BE49-F238E27FC236}">
              <a16:creationId xmlns:a16="http://schemas.microsoft.com/office/drawing/2014/main" xmlns="" id="{00000000-0008-0000-0300-0000C4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5" name="Rectangle 209">
          <a:extLst>
            <a:ext uri="{FF2B5EF4-FFF2-40B4-BE49-F238E27FC236}">
              <a16:creationId xmlns:a16="http://schemas.microsoft.com/office/drawing/2014/main" xmlns="" id="{00000000-0008-0000-0300-0000C5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6" name="Rectangle 210">
          <a:extLst>
            <a:ext uri="{FF2B5EF4-FFF2-40B4-BE49-F238E27FC236}">
              <a16:creationId xmlns:a16="http://schemas.microsoft.com/office/drawing/2014/main" xmlns="" id="{00000000-0008-0000-0300-0000C6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7" name="Rectangle 211">
          <a:extLst>
            <a:ext uri="{FF2B5EF4-FFF2-40B4-BE49-F238E27FC236}">
              <a16:creationId xmlns:a16="http://schemas.microsoft.com/office/drawing/2014/main" xmlns="" id="{00000000-0008-0000-0300-0000C7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8" name="Rectangle 212">
          <a:extLst>
            <a:ext uri="{FF2B5EF4-FFF2-40B4-BE49-F238E27FC236}">
              <a16:creationId xmlns:a16="http://schemas.microsoft.com/office/drawing/2014/main" xmlns="" id="{00000000-0008-0000-0300-0000C8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9" name="Rectangle 213">
          <a:extLst>
            <a:ext uri="{FF2B5EF4-FFF2-40B4-BE49-F238E27FC236}">
              <a16:creationId xmlns:a16="http://schemas.microsoft.com/office/drawing/2014/main" xmlns="" id="{00000000-0008-0000-0300-0000C9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10" name="Rectangle 214">
          <a:extLst>
            <a:ext uri="{FF2B5EF4-FFF2-40B4-BE49-F238E27FC236}">
              <a16:creationId xmlns:a16="http://schemas.microsoft.com/office/drawing/2014/main" xmlns="" id="{00000000-0008-0000-0300-0000C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1" name="Rectangle 215">
          <a:extLst>
            <a:ext uri="{FF2B5EF4-FFF2-40B4-BE49-F238E27FC236}">
              <a16:creationId xmlns:a16="http://schemas.microsoft.com/office/drawing/2014/main" xmlns="" id="{00000000-0008-0000-0300-0000C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12" name="Rectangle 216">
          <a:extLst>
            <a:ext uri="{FF2B5EF4-FFF2-40B4-BE49-F238E27FC236}">
              <a16:creationId xmlns:a16="http://schemas.microsoft.com/office/drawing/2014/main" xmlns="" id="{00000000-0008-0000-0300-0000C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3" name="Rectangle 217">
          <a:extLst>
            <a:ext uri="{FF2B5EF4-FFF2-40B4-BE49-F238E27FC236}">
              <a16:creationId xmlns:a16="http://schemas.microsoft.com/office/drawing/2014/main" xmlns="" id="{00000000-0008-0000-0300-0000C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4" name="Rectangle 218">
          <a:extLst>
            <a:ext uri="{FF2B5EF4-FFF2-40B4-BE49-F238E27FC236}">
              <a16:creationId xmlns:a16="http://schemas.microsoft.com/office/drawing/2014/main" xmlns="" id="{00000000-0008-0000-0300-0000C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5" name="Rectangle 219">
          <a:extLst>
            <a:ext uri="{FF2B5EF4-FFF2-40B4-BE49-F238E27FC236}">
              <a16:creationId xmlns:a16="http://schemas.microsoft.com/office/drawing/2014/main" xmlns="" id="{00000000-0008-0000-0300-0000C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6" name="Rectangle 220">
          <a:extLst>
            <a:ext uri="{FF2B5EF4-FFF2-40B4-BE49-F238E27FC236}">
              <a16:creationId xmlns:a16="http://schemas.microsoft.com/office/drawing/2014/main" xmlns="" id="{00000000-0008-0000-0300-0000D0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7" name="Rectangle 221">
          <a:extLst>
            <a:ext uri="{FF2B5EF4-FFF2-40B4-BE49-F238E27FC236}">
              <a16:creationId xmlns:a16="http://schemas.microsoft.com/office/drawing/2014/main" xmlns="" id="{00000000-0008-0000-0300-0000D1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8" name="Rectangle 222">
          <a:extLst>
            <a:ext uri="{FF2B5EF4-FFF2-40B4-BE49-F238E27FC236}">
              <a16:creationId xmlns:a16="http://schemas.microsoft.com/office/drawing/2014/main" xmlns="" id="{00000000-0008-0000-0300-0000D2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9" name="Rectangle 223">
          <a:extLst>
            <a:ext uri="{FF2B5EF4-FFF2-40B4-BE49-F238E27FC236}">
              <a16:creationId xmlns:a16="http://schemas.microsoft.com/office/drawing/2014/main" xmlns="" id="{00000000-0008-0000-0300-0000D3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0" name="Rectangle 224">
          <a:extLst>
            <a:ext uri="{FF2B5EF4-FFF2-40B4-BE49-F238E27FC236}">
              <a16:creationId xmlns:a16="http://schemas.microsoft.com/office/drawing/2014/main" xmlns="" id="{00000000-0008-0000-0300-0000D4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1" name="Rectangle 225">
          <a:extLst>
            <a:ext uri="{FF2B5EF4-FFF2-40B4-BE49-F238E27FC236}">
              <a16:creationId xmlns:a16="http://schemas.microsoft.com/office/drawing/2014/main" xmlns="" id="{00000000-0008-0000-0300-0000D5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2" name="Rectangle 226">
          <a:extLst>
            <a:ext uri="{FF2B5EF4-FFF2-40B4-BE49-F238E27FC236}">
              <a16:creationId xmlns:a16="http://schemas.microsoft.com/office/drawing/2014/main" xmlns="" id="{00000000-0008-0000-0300-0000D6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3" name="Rectangle 227">
          <a:extLst>
            <a:ext uri="{FF2B5EF4-FFF2-40B4-BE49-F238E27FC236}">
              <a16:creationId xmlns:a16="http://schemas.microsoft.com/office/drawing/2014/main" xmlns="" id="{00000000-0008-0000-0300-0000D7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4" name="Rectangle 228">
          <a:extLst>
            <a:ext uri="{FF2B5EF4-FFF2-40B4-BE49-F238E27FC236}">
              <a16:creationId xmlns:a16="http://schemas.microsoft.com/office/drawing/2014/main" xmlns="" id="{00000000-0008-0000-0300-0000D8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5" name="Rectangle 229">
          <a:extLst>
            <a:ext uri="{FF2B5EF4-FFF2-40B4-BE49-F238E27FC236}">
              <a16:creationId xmlns:a16="http://schemas.microsoft.com/office/drawing/2014/main" xmlns="" id="{00000000-0008-0000-0300-0000D9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6" name="Rectangle 184">
          <a:extLst>
            <a:ext uri="{FF2B5EF4-FFF2-40B4-BE49-F238E27FC236}">
              <a16:creationId xmlns:a16="http://schemas.microsoft.com/office/drawing/2014/main" xmlns="" id="{00000000-0008-0000-0300-0000D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27" name="Rectangle 185">
          <a:extLst>
            <a:ext uri="{FF2B5EF4-FFF2-40B4-BE49-F238E27FC236}">
              <a16:creationId xmlns:a16="http://schemas.microsoft.com/office/drawing/2014/main" xmlns="" id="{00000000-0008-0000-0300-0000D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28" name="Rectangle 186">
          <a:extLst>
            <a:ext uri="{FF2B5EF4-FFF2-40B4-BE49-F238E27FC236}">
              <a16:creationId xmlns:a16="http://schemas.microsoft.com/office/drawing/2014/main" xmlns="" id="{00000000-0008-0000-0300-0000D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9" name="Rectangle 187">
          <a:extLst>
            <a:ext uri="{FF2B5EF4-FFF2-40B4-BE49-F238E27FC236}">
              <a16:creationId xmlns:a16="http://schemas.microsoft.com/office/drawing/2014/main" xmlns="" id="{00000000-0008-0000-0300-0000DD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0" name="Rectangle 188">
          <a:extLst>
            <a:ext uri="{FF2B5EF4-FFF2-40B4-BE49-F238E27FC236}">
              <a16:creationId xmlns:a16="http://schemas.microsoft.com/office/drawing/2014/main" xmlns="" id="{00000000-0008-0000-0300-0000DE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1" name="Rectangle 189">
          <a:extLst>
            <a:ext uri="{FF2B5EF4-FFF2-40B4-BE49-F238E27FC236}">
              <a16:creationId xmlns:a16="http://schemas.microsoft.com/office/drawing/2014/main" xmlns="" id="{00000000-0008-0000-0300-0000DF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2" name="Rectangle 190">
          <a:extLst>
            <a:ext uri="{FF2B5EF4-FFF2-40B4-BE49-F238E27FC236}">
              <a16:creationId xmlns:a16="http://schemas.microsoft.com/office/drawing/2014/main" xmlns="" id="{00000000-0008-0000-0300-0000E0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3" name="Rectangle 191">
          <a:extLst>
            <a:ext uri="{FF2B5EF4-FFF2-40B4-BE49-F238E27FC236}">
              <a16:creationId xmlns:a16="http://schemas.microsoft.com/office/drawing/2014/main" xmlns="" id="{00000000-0008-0000-0300-0000E1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4" name="Rectangle 192">
          <a:extLst>
            <a:ext uri="{FF2B5EF4-FFF2-40B4-BE49-F238E27FC236}">
              <a16:creationId xmlns:a16="http://schemas.microsoft.com/office/drawing/2014/main" xmlns="" id="{00000000-0008-0000-0300-0000E2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5" name="Rectangle 193">
          <a:extLst>
            <a:ext uri="{FF2B5EF4-FFF2-40B4-BE49-F238E27FC236}">
              <a16:creationId xmlns:a16="http://schemas.microsoft.com/office/drawing/2014/main" xmlns="" id="{00000000-0008-0000-0300-0000E3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6" name="Rectangle 194">
          <a:extLst>
            <a:ext uri="{FF2B5EF4-FFF2-40B4-BE49-F238E27FC236}">
              <a16:creationId xmlns:a16="http://schemas.microsoft.com/office/drawing/2014/main" xmlns="" id="{00000000-0008-0000-0300-0000E4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7" name="Rectangle 195">
          <a:extLst>
            <a:ext uri="{FF2B5EF4-FFF2-40B4-BE49-F238E27FC236}">
              <a16:creationId xmlns:a16="http://schemas.microsoft.com/office/drawing/2014/main" xmlns="" id="{00000000-0008-0000-0300-0000E5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8" name="Rectangle 196">
          <a:extLst>
            <a:ext uri="{FF2B5EF4-FFF2-40B4-BE49-F238E27FC236}">
              <a16:creationId xmlns:a16="http://schemas.microsoft.com/office/drawing/2014/main" xmlns="" id="{00000000-0008-0000-0300-0000E6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9" name="Rectangle 197">
          <a:extLst>
            <a:ext uri="{FF2B5EF4-FFF2-40B4-BE49-F238E27FC236}">
              <a16:creationId xmlns:a16="http://schemas.microsoft.com/office/drawing/2014/main" xmlns="" id="{00000000-0008-0000-0300-0000E7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0" name="Rectangle 198">
          <a:extLst>
            <a:ext uri="{FF2B5EF4-FFF2-40B4-BE49-F238E27FC236}">
              <a16:creationId xmlns:a16="http://schemas.microsoft.com/office/drawing/2014/main" xmlns="" id="{00000000-0008-0000-0300-0000E8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1" name="Rectangle 199">
          <a:extLst>
            <a:ext uri="{FF2B5EF4-FFF2-40B4-BE49-F238E27FC236}">
              <a16:creationId xmlns:a16="http://schemas.microsoft.com/office/drawing/2014/main" xmlns="" id="{00000000-0008-0000-0300-0000E9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2" name="Rectangle 200">
          <a:extLst>
            <a:ext uri="{FF2B5EF4-FFF2-40B4-BE49-F238E27FC236}">
              <a16:creationId xmlns:a16="http://schemas.microsoft.com/office/drawing/2014/main" xmlns="" id="{00000000-0008-0000-0300-0000EA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3" name="Rectangle 201">
          <a:extLst>
            <a:ext uri="{FF2B5EF4-FFF2-40B4-BE49-F238E27FC236}">
              <a16:creationId xmlns:a16="http://schemas.microsoft.com/office/drawing/2014/main" xmlns="" id="{00000000-0008-0000-0300-0000EB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4" name="Rectangle 202">
          <a:extLst>
            <a:ext uri="{FF2B5EF4-FFF2-40B4-BE49-F238E27FC236}">
              <a16:creationId xmlns:a16="http://schemas.microsoft.com/office/drawing/2014/main" xmlns="" id="{00000000-0008-0000-0300-0000E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5" name="Rectangle 203">
          <a:extLst>
            <a:ext uri="{FF2B5EF4-FFF2-40B4-BE49-F238E27FC236}">
              <a16:creationId xmlns:a16="http://schemas.microsoft.com/office/drawing/2014/main" xmlns="" id="{00000000-0008-0000-0300-0000E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6" name="Rectangle 204">
          <a:extLst>
            <a:ext uri="{FF2B5EF4-FFF2-40B4-BE49-F238E27FC236}">
              <a16:creationId xmlns:a16="http://schemas.microsoft.com/office/drawing/2014/main" xmlns="" id="{00000000-0008-0000-0300-0000E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7" name="Rectangle 205">
          <a:extLst>
            <a:ext uri="{FF2B5EF4-FFF2-40B4-BE49-F238E27FC236}">
              <a16:creationId xmlns:a16="http://schemas.microsoft.com/office/drawing/2014/main" xmlns="" id="{00000000-0008-0000-0300-0000E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8" name="Rectangle 206">
          <a:extLst>
            <a:ext uri="{FF2B5EF4-FFF2-40B4-BE49-F238E27FC236}">
              <a16:creationId xmlns:a16="http://schemas.microsoft.com/office/drawing/2014/main" xmlns="" id="{00000000-0008-0000-0300-0000F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9" name="Rectangle 207">
          <a:extLst>
            <a:ext uri="{FF2B5EF4-FFF2-40B4-BE49-F238E27FC236}">
              <a16:creationId xmlns:a16="http://schemas.microsoft.com/office/drawing/2014/main" xmlns="" id="{00000000-0008-0000-0300-0000F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0" name="Rectangle 208">
          <a:extLst>
            <a:ext uri="{FF2B5EF4-FFF2-40B4-BE49-F238E27FC236}">
              <a16:creationId xmlns:a16="http://schemas.microsoft.com/office/drawing/2014/main" xmlns="" id="{00000000-0008-0000-0300-0000F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1" name="Rectangle 209">
          <a:extLst>
            <a:ext uri="{FF2B5EF4-FFF2-40B4-BE49-F238E27FC236}">
              <a16:creationId xmlns:a16="http://schemas.microsoft.com/office/drawing/2014/main" xmlns="" id="{00000000-0008-0000-0300-0000F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2" name="Rectangle 210">
          <a:extLst>
            <a:ext uri="{FF2B5EF4-FFF2-40B4-BE49-F238E27FC236}">
              <a16:creationId xmlns:a16="http://schemas.microsoft.com/office/drawing/2014/main" xmlns="" id="{00000000-0008-0000-0300-0000F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3" name="Rectangle 211">
          <a:extLst>
            <a:ext uri="{FF2B5EF4-FFF2-40B4-BE49-F238E27FC236}">
              <a16:creationId xmlns:a16="http://schemas.microsoft.com/office/drawing/2014/main" xmlns="" id="{00000000-0008-0000-0300-0000F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4" name="Rectangle 212">
          <a:extLst>
            <a:ext uri="{FF2B5EF4-FFF2-40B4-BE49-F238E27FC236}">
              <a16:creationId xmlns:a16="http://schemas.microsoft.com/office/drawing/2014/main" xmlns="" id="{00000000-0008-0000-0300-0000F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5" name="Rectangle 213">
          <a:extLst>
            <a:ext uri="{FF2B5EF4-FFF2-40B4-BE49-F238E27FC236}">
              <a16:creationId xmlns:a16="http://schemas.microsoft.com/office/drawing/2014/main" xmlns="" id="{00000000-0008-0000-0300-0000F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6" name="Rectangle 214">
          <a:extLst>
            <a:ext uri="{FF2B5EF4-FFF2-40B4-BE49-F238E27FC236}">
              <a16:creationId xmlns:a16="http://schemas.microsoft.com/office/drawing/2014/main" xmlns="" id="{00000000-0008-0000-0300-0000F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7" name="Rectangle 215">
          <a:extLst>
            <a:ext uri="{FF2B5EF4-FFF2-40B4-BE49-F238E27FC236}">
              <a16:creationId xmlns:a16="http://schemas.microsoft.com/office/drawing/2014/main" xmlns="" id="{00000000-0008-0000-0300-0000F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8" name="Rectangle 216">
          <a:extLst>
            <a:ext uri="{FF2B5EF4-FFF2-40B4-BE49-F238E27FC236}">
              <a16:creationId xmlns:a16="http://schemas.microsoft.com/office/drawing/2014/main" xmlns="" id="{00000000-0008-0000-0300-0000F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9" name="Rectangle 217">
          <a:extLst>
            <a:ext uri="{FF2B5EF4-FFF2-40B4-BE49-F238E27FC236}">
              <a16:creationId xmlns:a16="http://schemas.microsoft.com/office/drawing/2014/main" xmlns="" id="{00000000-0008-0000-0300-0000F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0" name="Rectangle 218">
          <a:extLst>
            <a:ext uri="{FF2B5EF4-FFF2-40B4-BE49-F238E27FC236}">
              <a16:creationId xmlns:a16="http://schemas.microsoft.com/office/drawing/2014/main" xmlns="" id="{00000000-0008-0000-0300-0000FC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1" name="Rectangle 219">
          <a:extLst>
            <a:ext uri="{FF2B5EF4-FFF2-40B4-BE49-F238E27FC236}">
              <a16:creationId xmlns:a16="http://schemas.microsoft.com/office/drawing/2014/main" xmlns="" id="{00000000-0008-0000-0300-0000FD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2" name="Rectangle 220">
          <a:extLst>
            <a:ext uri="{FF2B5EF4-FFF2-40B4-BE49-F238E27FC236}">
              <a16:creationId xmlns:a16="http://schemas.microsoft.com/office/drawing/2014/main" xmlns="" id="{00000000-0008-0000-0300-0000F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3" name="Rectangle 221">
          <a:extLst>
            <a:ext uri="{FF2B5EF4-FFF2-40B4-BE49-F238E27FC236}">
              <a16:creationId xmlns:a16="http://schemas.microsoft.com/office/drawing/2014/main" xmlns="" id="{00000000-0008-0000-0300-0000F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4" name="Rectangle 222">
          <a:extLst>
            <a:ext uri="{FF2B5EF4-FFF2-40B4-BE49-F238E27FC236}">
              <a16:creationId xmlns:a16="http://schemas.microsoft.com/office/drawing/2014/main" xmlns="" id="{00000000-0008-0000-0300-00000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5" name="Rectangle 223">
          <a:extLst>
            <a:ext uri="{FF2B5EF4-FFF2-40B4-BE49-F238E27FC236}">
              <a16:creationId xmlns:a16="http://schemas.microsoft.com/office/drawing/2014/main" xmlns="" id="{00000000-0008-0000-0300-00000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6" name="Rectangle 224">
          <a:extLst>
            <a:ext uri="{FF2B5EF4-FFF2-40B4-BE49-F238E27FC236}">
              <a16:creationId xmlns:a16="http://schemas.microsoft.com/office/drawing/2014/main" xmlns="" id="{00000000-0008-0000-0300-00000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7" name="Rectangle 225">
          <a:extLst>
            <a:ext uri="{FF2B5EF4-FFF2-40B4-BE49-F238E27FC236}">
              <a16:creationId xmlns:a16="http://schemas.microsoft.com/office/drawing/2014/main" xmlns="" id="{00000000-0008-0000-0300-00000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8" name="Rectangle 226">
          <a:extLst>
            <a:ext uri="{FF2B5EF4-FFF2-40B4-BE49-F238E27FC236}">
              <a16:creationId xmlns:a16="http://schemas.microsoft.com/office/drawing/2014/main" xmlns="" id="{00000000-0008-0000-0300-00000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9" name="Rectangle 227">
          <a:extLst>
            <a:ext uri="{FF2B5EF4-FFF2-40B4-BE49-F238E27FC236}">
              <a16:creationId xmlns:a16="http://schemas.microsoft.com/office/drawing/2014/main" xmlns="" id="{00000000-0008-0000-0300-00000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0" name="Rectangle 228">
          <a:extLst>
            <a:ext uri="{FF2B5EF4-FFF2-40B4-BE49-F238E27FC236}">
              <a16:creationId xmlns:a16="http://schemas.microsoft.com/office/drawing/2014/main" xmlns="" id="{00000000-0008-0000-0300-000006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1" name="Rectangle 229">
          <a:extLst>
            <a:ext uri="{FF2B5EF4-FFF2-40B4-BE49-F238E27FC236}">
              <a16:creationId xmlns:a16="http://schemas.microsoft.com/office/drawing/2014/main" xmlns="" id="{00000000-0008-0000-0300-000007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2" name="Rectangle 184">
          <a:extLst>
            <a:ext uri="{FF2B5EF4-FFF2-40B4-BE49-F238E27FC236}">
              <a16:creationId xmlns:a16="http://schemas.microsoft.com/office/drawing/2014/main" xmlns="" id="{00000000-0008-0000-0300-00000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3" name="Rectangle 185">
          <a:extLst>
            <a:ext uri="{FF2B5EF4-FFF2-40B4-BE49-F238E27FC236}">
              <a16:creationId xmlns:a16="http://schemas.microsoft.com/office/drawing/2014/main" xmlns="" id="{00000000-0008-0000-0300-00000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4" name="Rectangle 186">
          <a:extLst>
            <a:ext uri="{FF2B5EF4-FFF2-40B4-BE49-F238E27FC236}">
              <a16:creationId xmlns:a16="http://schemas.microsoft.com/office/drawing/2014/main" xmlns="" id="{00000000-0008-0000-0300-00000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5" name="Rectangle 187">
          <a:extLst>
            <a:ext uri="{FF2B5EF4-FFF2-40B4-BE49-F238E27FC236}">
              <a16:creationId xmlns:a16="http://schemas.microsoft.com/office/drawing/2014/main" xmlns="" id="{00000000-0008-0000-0300-00000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6" name="Rectangle 188">
          <a:extLst>
            <a:ext uri="{FF2B5EF4-FFF2-40B4-BE49-F238E27FC236}">
              <a16:creationId xmlns:a16="http://schemas.microsoft.com/office/drawing/2014/main" xmlns="" id="{00000000-0008-0000-0300-00000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7" name="Rectangle 189">
          <a:extLst>
            <a:ext uri="{FF2B5EF4-FFF2-40B4-BE49-F238E27FC236}">
              <a16:creationId xmlns:a16="http://schemas.microsoft.com/office/drawing/2014/main" xmlns="" id="{00000000-0008-0000-0300-00000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8" name="Rectangle 190">
          <a:extLst>
            <a:ext uri="{FF2B5EF4-FFF2-40B4-BE49-F238E27FC236}">
              <a16:creationId xmlns:a16="http://schemas.microsoft.com/office/drawing/2014/main" xmlns="" id="{00000000-0008-0000-0300-00000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9" name="Rectangle 191">
          <a:extLst>
            <a:ext uri="{FF2B5EF4-FFF2-40B4-BE49-F238E27FC236}">
              <a16:creationId xmlns:a16="http://schemas.microsoft.com/office/drawing/2014/main" xmlns="" id="{00000000-0008-0000-0300-00000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0" name="Rectangle 192">
          <a:extLst>
            <a:ext uri="{FF2B5EF4-FFF2-40B4-BE49-F238E27FC236}">
              <a16:creationId xmlns:a16="http://schemas.microsoft.com/office/drawing/2014/main" xmlns="" id="{00000000-0008-0000-0300-00001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1" name="Rectangle 193">
          <a:extLst>
            <a:ext uri="{FF2B5EF4-FFF2-40B4-BE49-F238E27FC236}">
              <a16:creationId xmlns:a16="http://schemas.microsoft.com/office/drawing/2014/main" xmlns="" id="{00000000-0008-0000-0300-00001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2" name="Rectangle 194">
          <a:extLst>
            <a:ext uri="{FF2B5EF4-FFF2-40B4-BE49-F238E27FC236}">
              <a16:creationId xmlns:a16="http://schemas.microsoft.com/office/drawing/2014/main" xmlns="" id="{00000000-0008-0000-0300-00001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3" name="Rectangle 195">
          <a:extLst>
            <a:ext uri="{FF2B5EF4-FFF2-40B4-BE49-F238E27FC236}">
              <a16:creationId xmlns:a16="http://schemas.microsoft.com/office/drawing/2014/main" xmlns="" id="{00000000-0008-0000-0300-00001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4" name="Rectangle 196">
          <a:extLst>
            <a:ext uri="{FF2B5EF4-FFF2-40B4-BE49-F238E27FC236}">
              <a16:creationId xmlns:a16="http://schemas.microsoft.com/office/drawing/2014/main" xmlns="" id="{00000000-0008-0000-0300-00001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5" name="Rectangle 197">
          <a:extLst>
            <a:ext uri="{FF2B5EF4-FFF2-40B4-BE49-F238E27FC236}">
              <a16:creationId xmlns:a16="http://schemas.microsoft.com/office/drawing/2014/main" xmlns="" id="{00000000-0008-0000-0300-00001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6" name="Rectangle 198">
          <a:extLst>
            <a:ext uri="{FF2B5EF4-FFF2-40B4-BE49-F238E27FC236}">
              <a16:creationId xmlns:a16="http://schemas.microsoft.com/office/drawing/2014/main" xmlns="" id="{00000000-0008-0000-0300-00001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7" name="Rectangle 199">
          <a:extLst>
            <a:ext uri="{FF2B5EF4-FFF2-40B4-BE49-F238E27FC236}">
              <a16:creationId xmlns:a16="http://schemas.microsoft.com/office/drawing/2014/main" xmlns="" id="{00000000-0008-0000-0300-000017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8" name="Rectangle 200">
          <a:extLst>
            <a:ext uri="{FF2B5EF4-FFF2-40B4-BE49-F238E27FC236}">
              <a16:creationId xmlns:a16="http://schemas.microsoft.com/office/drawing/2014/main" xmlns="" id="{00000000-0008-0000-0300-000018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9" name="Rectangle 201">
          <a:extLst>
            <a:ext uri="{FF2B5EF4-FFF2-40B4-BE49-F238E27FC236}">
              <a16:creationId xmlns:a16="http://schemas.microsoft.com/office/drawing/2014/main" xmlns="" id="{00000000-0008-0000-0300-000019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0" name="Rectangle 202">
          <a:extLst>
            <a:ext uri="{FF2B5EF4-FFF2-40B4-BE49-F238E27FC236}">
              <a16:creationId xmlns:a16="http://schemas.microsoft.com/office/drawing/2014/main" xmlns="" id="{00000000-0008-0000-0300-00001A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1" name="Rectangle 203">
          <a:extLst>
            <a:ext uri="{FF2B5EF4-FFF2-40B4-BE49-F238E27FC236}">
              <a16:creationId xmlns:a16="http://schemas.microsoft.com/office/drawing/2014/main" xmlns="" id="{00000000-0008-0000-0300-00001B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2" name="Rectangle 204">
          <a:extLst>
            <a:ext uri="{FF2B5EF4-FFF2-40B4-BE49-F238E27FC236}">
              <a16:creationId xmlns:a16="http://schemas.microsoft.com/office/drawing/2014/main" xmlns="" id="{00000000-0008-0000-0300-00001C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3" name="Rectangle 205">
          <a:extLst>
            <a:ext uri="{FF2B5EF4-FFF2-40B4-BE49-F238E27FC236}">
              <a16:creationId xmlns:a16="http://schemas.microsoft.com/office/drawing/2014/main" xmlns="" id="{00000000-0008-0000-0300-00001D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4" name="Rectangle 206">
          <a:extLst>
            <a:ext uri="{FF2B5EF4-FFF2-40B4-BE49-F238E27FC236}">
              <a16:creationId xmlns:a16="http://schemas.microsoft.com/office/drawing/2014/main" xmlns="" id="{00000000-0008-0000-0300-00001E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5" name="Rectangle 207">
          <a:extLst>
            <a:ext uri="{FF2B5EF4-FFF2-40B4-BE49-F238E27FC236}">
              <a16:creationId xmlns:a16="http://schemas.microsoft.com/office/drawing/2014/main" xmlns="" id="{00000000-0008-0000-0300-00001F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6" name="Rectangle 208">
          <a:extLst>
            <a:ext uri="{FF2B5EF4-FFF2-40B4-BE49-F238E27FC236}">
              <a16:creationId xmlns:a16="http://schemas.microsoft.com/office/drawing/2014/main" xmlns="" id="{00000000-0008-0000-0300-000020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7" name="Rectangle 209">
          <a:extLst>
            <a:ext uri="{FF2B5EF4-FFF2-40B4-BE49-F238E27FC236}">
              <a16:creationId xmlns:a16="http://schemas.microsoft.com/office/drawing/2014/main" xmlns="" id="{00000000-0008-0000-0300-000021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8" name="Rectangle 210">
          <a:extLst>
            <a:ext uri="{FF2B5EF4-FFF2-40B4-BE49-F238E27FC236}">
              <a16:creationId xmlns:a16="http://schemas.microsoft.com/office/drawing/2014/main" xmlns="" id="{00000000-0008-0000-0300-000022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9" name="Rectangle 211">
          <a:extLst>
            <a:ext uri="{FF2B5EF4-FFF2-40B4-BE49-F238E27FC236}">
              <a16:creationId xmlns:a16="http://schemas.microsoft.com/office/drawing/2014/main" xmlns="" id="{00000000-0008-0000-0300-000023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0" name="Rectangle 212">
          <a:extLst>
            <a:ext uri="{FF2B5EF4-FFF2-40B4-BE49-F238E27FC236}">
              <a16:creationId xmlns:a16="http://schemas.microsoft.com/office/drawing/2014/main" xmlns="" id="{00000000-0008-0000-0300-000024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1" name="Rectangle 213">
          <a:extLst>
            <a:ext uri="{FF2B5EF4-FFF2-40B4-BE49-F238E27FC236}">
              <a16:creationId xmlns:a16="http://schemas.microsoft.com/office/drawing/2014/main" xmlns="" id="{00000000-0008-0000-0300-000025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02" name="Rectangle 214">
          <a:extLst>
            <a:ext uri="{FF2B5EF4-FFF2-40B4-BE49-F238E27FC236}">
              <a16:creationId xmlns:a16="http://schemas.microsoft.com/office/drawing/2014/main" xmlns="" id="{00000000-0008-0000-0300-00002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3" name="Rectangle 215">
          <a:extLst>
            <a:ext uri="{FF2B5EF4-FFF2-40B4-BE49-F238E27FC236}">
              <a16:creationId xmlns:a16="http://schemas.microsoft.com/office/drawing/2014/main" xmlns="" id="{00000000-0008-0000-0300-00002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4" name="Rectangle 216">
          <a:extLst>
            <a:ext uri="{FF2B5EF4-FFF2-40B4-BE49-F238E27FC236}">
              <a16:creationId xmlns:a16="http://schemas.microsoft.com/office/drawing/2014/main" xmlns="" id="{00000000-0008-0000-0300-00002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5" name="Rectangle 217">
          <a:extLst>
            <a:ext uri="{FF2B5EF4-FFF2-40B4-BE49-F238E27FC236}">
              <a16:creationId xmlns:a16="http://schemas.microsoft.com/office/drawing/2014/main" xmlns="" id="{00000000-0008-0000-0300-00002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6" name="Rectangle 218">
          <a:extLst>
            <a:ext uri="{FF2B5EF4-FFF2-40B4-BE49-F238E27FC236}">
              <a16:creationId xmlns:a16="http://schemas.microsoft.com/office/drawing/2014/main" xmlns="" id="{00000000-0008-0000-0300-00002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7" name="Rectangle 219">
          <a:extLst>
            <a:ext uri="{FF2B5EF4-FFF2-40B4-BE49-F238E27FC236}">
              <a16:creationId xmlns:a16="http://schemas.microsoft.com/office/drawing/2014/main" xmlns="" id="{00000000-0008-0000-0300-00002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8" name="Rectangle 220">
          <a:extLst>
            <a:ext uri="{FF2B5EF4-FFF2-40B4-BE49-F238E27FC236}">
              <a16:creationId xmlns:a16="http://schemas.microsoft.com/office/drawing/2014/main" xmlns="" id="{00000000-0008-0000-0300-00002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9" name="Rectangle 221">
          <a:extLst>
            <a:ext uri="{FF2B5EF4-FFF2-40B4-BE49-F238E27FC236}">
              <a16:creationId xmlns:a16="http://schemas.microsoft.com/office/drawing/2014/main" xmlns="" id="{00000000-0008-0000-0300-00002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0" name="Rectangle 222">
          <a:extLst>
            <a:ext uri="{FF2B5EF4-FFF2-40B4-BE49-F238E27FC236}">
              <a16:creationId xmlns:a16="http://schemas.microsoft.com/office/drawing/2014/main" xmlns="" id="{00000000-0008-0000-0300-00002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1" name="Rectangle 223">
          <a:extLst>
            <a:ext uri="{FF2B5EF4-FFF2-40B4-BE49-F238E27FC236}">
              <a16:creationId xmlns:a16="http://schemas.microsoft.com/office/drawing/2014/main" xmlns="" id="{00000000-0008-0000-0300-00002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2" name="Rectangle 224">
          <a:extLst>
            <a:ext uri="{FF2B5EF4-FFF2-40B4-BE49-F238E27FC236}">
              <a16:creationId xmlns:a16="http://schemas.microsoft.com/office/drawing/2014/main" xmlns="" id="{00000000-0008-0000-0300-00003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3" name="Rectangle 225">
          <a:extLst>
            <a:ext uri="{FF2B5EF4-FFF2-40B4-BE49-F238E27FC236}">
              <a16:creationId xmlns:a16="http://schemas.microsoft.com/office/drawing/2014/main" xmlns="" id="{00000000-0008-0000-0300-00003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4" name="Rectangle 226">
          <a:extLst>
            <a:ext uri="{FF2B5EF4-FFF2-40B4-BE49-F238E27FC236}">
              <a16:creationId xmlns:a16="http://schemas.microsoft.com/office/drawing/2014/main" xmlns="" id="{00000000-0008-0000-0300-00003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5" name="Rectangle 227">
          <a:extLst>
            <a:ext uri="{FF2B5EF4-FFF2-40B4-BE49-F238E27FC236}">
              <a16:creationId xmlns:a16="http://schemas.microsoft.com/office/drawing/2014/main" xmlns="" id="{00000000-0008-0000-0300-00003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6" name="Rectangle 228">
          <a:extLst>
            <a:ext uri="{FF2B5EF4-FFF2-40B4-BE49-F238E27FC236}">
              <a16:creationId xmlns:a16="http://schemas.microsoft.com/office/drawing/2014/main" xmlns="" id="{00000000-0008-0000-0300-00003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7" name="Rectangle 229">
          <a:extLst>
            <a:ext uri="{FF2B5EF4-FFF2-40B4-BE49-F238E27FC236}">
              <a16:creationId xmlns:a16="http://schemas.microsoft.com/office/drawing/2014/main" xmlns="" id="{00000000-0008-0000-0300-00003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18" name="Rectangle 184">
          <a:extLst>
            <a:ext uri="{FF2B5EF4-FFF2-40B4-BE49-F238E27FC236}">
              <a16:creationId xmlns:a16="http://schemas.microsoft.com/office/drawing/2014/main" xmlns="" id="{00000000-0008-0000-0300-00003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19" name="Rectangle 185">
          <a:extLst>
            <a:ext uri="{FF2B5EF4-FFF2-40B4-BE49-F238E27FC236}">
              <a16:creationId xmlns:a16="http://schemas.microsoft.com/office/drawing/2014/main" xmlns="" id="{00000000-0008-0000-0300-00003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0" name="Rectangle 186">
          <a:extLst>
            <a:ext uri="{FF2B5EF4-FFF2-40B4-BE49-F238E27FC236}">
              <a16:creationId xmlns:a16="http://schemas.microsoft.com/office/drawing/2014/main" xmlns="" id="{00000000-0008-0000-0300-00003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1" name="Rectangle 187">
          <a:extLst>
            <a:ext uri="{FF2B5EF4-FFF2-40B4-BE49-F238E27FC236}">
              <a16:creationId xmlns:a16="http://schemas.microsoft.com/office/drawing/2014/main" xmlns="" id="{00000000-0008-0000-0300-000039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2" name="Rectangle 188">
          <a:extLst>
            <a:ext uri="{FF2B5EF4-FFF2-40B4-BE49-F238E27FC236}">
              <a16:creationId xmlns:a16="http://schemas.microsoft.com/office/drawing/2014/main" xmlns="" id="{00000000-0008-0000-0300-00003A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3" name="Rectangle 189">
          <a:extLst>
            <a:ext uri="{FF2B5EF4-FFF2-40B4-BE49-F238E27FC236}">
              <a16:creationId xmlns:a16="http://schemas.microsoft.com/office/drawing/2014/main" xmlns="" id="{00000000-0008-0000-0300-00003B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4" name="Rectangle 190">
          <a:extLst>
            <a:ext uri="{FF2B5EF4-FFF2-40B4-BE49-F238E27FC236}">
              <a16:creationId xmlns:a16="http://schemas.microsoft.com/office/drawing/2014/main" xmlns="" id="{00000000-0008-0000-0300-00003C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5" name="Rectangle 191">
          <a:extLst>
            <a:ext uri="{FF2B5EF4-FFF2-40B4-BE49-F238E27FC236}">
              <a16:creationId xmlns:a16="http://schemas.microsoft.com/office/drawing/2014/main" xmlns="" id="{00000000-0008-0000-0300-00003D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6" name="Rectangle 192">
          <a:extLst>
            <a:ext uri="{FF2B5EF4-FFF2-40B4-BE49-F238E27FC236}">
              <a16:creationId xmlns:a16="http://schemas.microsoft.com/office/drawing/2014/main" xmlns="" id="{00000000-0008-0000-0300-00003E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7" name="Rectangle 193">
          <a:extLst>
            <a:ext uri="{FF2B5EF4-FFF2-40B4-BE49-F238E27FC236}">
              <a16:creationId xmlns:a16="http://schemas.microsoft.com/office/drawing/2014/main" xmlns="" id="{00000000-0008-0000-0300-00003F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8" name="Rectangle 194">
          <a:extLst>
            <a:ext uri="{FF2B5EF4-FFF2-40B4-BE49-F238E27FC236}">
              <a16:creationId xmlns:a16="http://schemas.microsoft.com/office/drawing/2014/main" xmlns="" id="{00000000-0008-0000-0300-000040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9" name="Rectangle 195">
          <a:extLst>
            <a:ext uri="{FF2B5EF4-FFF2-40B4-BE49-F238E27FC236}">
              <a16:creationId xmlns:a16="http://schemas.microsoft.com/office/drawing/2014/main" xmlns="" id="{00000000-0008-0000-0300-000041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0" name="Rectangle 196">
          <a:extLst>
            <a:ext uri="{FF2B5EF4-FFF2-40B4-BE49-F238E27FC236}">
              <a16:creationId xmlns:a16="http://schemas.microsoft.com/office/drawing/2014/main" xmlns="" id="{00000000-0008-0000-0300-000042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1" name="Rectangle 197">
          <a:extLst>
            <a:ext uri="{FF2B5EF4-FFF2-40B4-BE49-F238E27FC236}">
              <a16:creationId xmlns:a16="http://schemas.microsoft.com/office/drawing/2014/main" xmlns="" id="{00000000-0008-0000-0300-000043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2" name="Rectangle 198">
          <a:extLst>
            <a:ext uri="{FF2B5EF4-FFF2-40B4-BE49-F238E27FC236}">
              <a16:creationId xmlns:a16="http://schemas.microsoft.com/office/drawing/2014/main" xmlns="" id="{00000000-0008-0000-0300-000044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3" name="Rectangle 199">
          <a:extLst>
            <a:ext uri="{FF2B5EF4-FFF2-40B4-BE49-F238E27FC236}">
              <a16:creationId xmlns:a16="http://schemas.microsoft.com/office/drawing/2014/main" xmlns="" id="{00000000-0008-0000-0300-000045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4" name="Rectangle 200">
          <a:extLst>
            <a:ext uri="{FF2B5EF4-FFF2-40B4-BE49-F238E27FC236}">
              <a16:creationId xmlns:a16="http://schemas.microsoft.com/office/drawing/2014/main" xmlns="" id="{00000000-0008-0000-0300-000046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5" name="Rectangle 201">
          <a:extLst>
            <a:ext uri="{FF2B5EF4-FFF2-40B4-BE49-F238E27FC236}">
              <a16:creationId xmlns:a16="http://schemas.microsoft.com/office/drawing/2014/main" xmlns="" id="{00000000-0008-0000-0300-000047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6" name="Rectangle 202">
          <a:extLst>
            <a:ext uri="{FF2B5EF4-FFF2-40B4-BE49-F238E27FC236}">
              <a16:creationId xmlns:a16="http://schemas.microsoft.com/office/drawing/2014/main" xmlns="" id="{00000000-0008-0000-0300-00004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7" name="Rectangle 203">
          <a:extLst>
            <a:ext uri="{FF2B5EF4-FFF2-40B4-BE49-F238E27FC236}">
              <a16:creationId xmlns:a16="http://schemas.microsoft.com/office/drawing/2014/main" xmlns="" id="{00000000-0008-0000-0300-00004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8" name="Rectangle 204">
          <a:extLst>
            <a:ext uri="{FF2B5EF4-FFF2-40B4-BE49-F238E27FC236}">
              <a16:creationId xmlns:a16="http://schemas.microsoft.com/office/drawing/2014/main" xmlns="" id="{00000000-0008-0000-0300-00004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9" name="Rectangle 205">
          <a:extLst>
            <a:ext uri="{FF2B5EF4-FFF2-40B4-BE49-F238E27FC236}">
              <a16:creationId xmlns:a16="http://schemas.microsoft.com/office/drawing/2014/main" xmlns="" id="{00000000-0008-0000-0300-00004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0" name="Rectangle 206">
          <a:extLst>
            <a:ext uri="{FF2B5EF4-FFF2-40B4-BE49-F238E27FC236}">
              <a16:creationId xmlns:a16="http://schemas.microsoft.com/office/drawing/2014/main" xmlns="" id="{00000000-0008-0000-0300-00004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1" name="Rectangle 207">
          <a:extLst>
            <a:ext uri="{FF2B5EF4-FFF2-40B4-BE49-F238E27FC236}">
              <a16:creationId xmlns:a16="http://schemas.microsoft.com/office/drawing/2014/main" xmlns="" id="{00000000-0008-0000-0300-00004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2" name="Rectangle 208">
          <a:extLst>
            <a:ext uri="{FF2B5EF4-FFF2-40B4-BE49-F238E27FC236}">
              <a16:creationId xmlns:a16="http://schemas.microsoft.com/office/drawing/2014/main" xmlns="" id="{00000000-0008-0000-0300-00004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3" name="Rectangle 209">
          <a:extLst>
            <a:ext uri="{FF2B5EF4-FFF2-40B4-BE49-F238E27FC236}">
              <a16:creationId xmlns:a16="http://schemas.microsoft.com/office/drawing/2014/main" xmlns="" id="{00000000-0008-0000-0300-00004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4" name="Rectangle 210">
          <a:extLst>
            <a:ext uri="{FF2B5EF4-FFF2-40B4-BE49-F238E27FC236}">
              <a16:creationId xmlns:a16="http://schemas.microsoft.com/office/drawing/2014/main" xmlns="" id="{00000000-0008-0000-0300-00005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5" name="Rectangle 211">
          <a:extLst>
            <a:ext uri="{FF2B5EF4-FFF2-40B4-BE49-F238E27FC236}">
              <a16:creationId xmlns:a16="http://schemas.microsoft.com/office/drawing/2014/main" xmlns="" id="{00000000-0008-0000-0300-00005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6" name="Rectangle 212">
          <a:extLst>
            <a:ext uri="{FF2B5EF4-FFF2-40B4-BE49-F238E27FC236}">
              <a16:creationId xmlns:a16="http://schemas.microsoft.com/office/drawing/2014/main" xmlns="" id="{00000000-0008-0000-0300-00005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7" name="Rectangle 213">
          <a:extLst>
            <a:ext uri="{FF2B5EF4-FFF2-40B4-BE49-F238E27FC236}">
              <a16:creationId xmlns:a16="http://schemas.microsoft.com/office/drawing/2014/main" xmlns="" id="{00000000-0008-0000-0300-00005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8" name="Rectangle 214">
          <a:extLst>
            <a:ext uri="{FF2B5EF4-FFF2-40B4-BE49-F238E27FC236}">
              <a16:creationId xmlns:a16="http://schemas.microsoft.com/office/drawing/2014/main" xmlns="" id="{00000000-0008-0000-0300-00005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9" name="Rectangle 215">
          <a:extLst>
            <a:ext uri="{FF2B5EF4-FFF2-40B4-BE49-F238E27FC236}">
              <a16:creationId xmlns:a16="http://schemas.microsoft.com/office/drawing/2014/main" xmlns="" id="{00000000-0008-0000-0300-00005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50" name="Rectangle 216">
          <a:extLst>
            <a:ext uri="{FF2B5EF4-FFF2-40B4-BE49-F238E27FC236}">
              <a16:creationId xmlns:a16="http://schemas.microsoft.com/office/drawing/2014/main" xmlns="" id="{00000000-0008-0000-0300-00005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51" name="Rectangle 217">
          <a:extLst>
            <a:ext uri="{FF2B5EF4-FFF2-40B4-BE49-F238E27FC236}">
              <a16:creationId xmlns:a16="http://schemas.microsoft.com/office/drawing/2014/main" xmlns="" id="{00000000-0008-0000-0300-00005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2" name="Rectangle 218">
          <a:extLst>
            <a:ext uri="{FF2B5EF4-FFF2-40B4-BE49-F238E27FC236}">
              <a16:creationId xmlns:a16="http://schemas.microsoft.com/office/drawing/2014/main" xmlns="" id="{00000000-0008-0000-0300-000058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3" name="Rectangle 219">
          <a:extLst>
            <a:ext uri="{FF2B5EF4-FFF2-40B4-BE49-F238E27FC236}">
              <a16:creationId xmlns:a16="http://schemas.microsoft.com/office/drawing/2014/main" xmlns="" id="{00000000-0008-0000-0300-000059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4" name="Rectangle 220">
          <a:extLst>
            <a:ext uri="{FF2B5EF4-FFF2-40B4-BE49-F238E27FC236}">
              <a16:creationId xmlns:a16="http://schemas.microsoft.com/office/drawing/2014/main" xmlns="" id="{00000000-0008-0000-0300-00005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5" name="Rectangle 221">
          <a:extLst>
            <a:ext uri="{FF2B5EF4-FFF2-40B4-BE49-F238E27FC236}">
              <a16:creationId xmlns:a16="http://schemas.microsoft.com/office/drawing/2014/main" xmlns="" id="{00000000-0008-0000-0300-00005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6" name="Rectangle 222">
          <a:extLst>
            <a:ext uri="{FF2B5EF4-FFF2-40B4-BE49-F238E27FC236}">
              <a16:creationId xmlns:a16="http://schemas.microsoft.com/office/drawing/2014/main" xmlns="" id="{00000000-0008-0000-0300-00005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7" name="Rectangle 223">
          <a:extLst>
            <a:ext uri="{FF2B5EF4-FFF2-40B4-BE49-F238E27FC236}">
              <a16:creationId xmlns:a16="http://schemas.microsoft.com/office/drawing/2014/main" xmlns="" id="{00000000-0008-0000-0300-00005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8" name="Rectangle 224">
          <a:extLst>
            <a:ext uri="{FF2B5EF4-FFF2-40B4-BE49-F238E27FC236}">
              <a16:creationId xmlns:a16="http://schemas.microsoft.com/office/drawing/2014/main" xmlns="" id="{00000000-0008-0000-0300-00005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9" name="Rectangle 225">
          <a:extLst>
            <a:ext uri="{FF2B5EF4-FFF2-40B4-BE49-F238E27FC236}">
              <a16:creationId xmlns:a16="http://schemas.microsoft.com/office/drawing/2014/main" xmlns="" id="{00000000-0008-0000-0300-00005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0" name="Rectangle 226">
          <a:extLst>
            <a:ext uri="{FF2B5EF4-FFF2-40B4-BE49-F238E27FC236}">
              <a16:creationId xmlns:a16="http://schemas.microsoft.com/office/drawing/2014/main" xmlns="" id="{00000000-0008-0000-0300-00006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1" name="Rectangle 227">
          <a:extLst>
            <a:ext uri="{FF2B5EF4-FFF2-40B4-BE49-F238E27FC236}">
              <a16:creationId xmlns:a16="http://schemas.microsoft.com/office/drawing/2014/main" xmlns="" id="{00000000-0008-0000-0300-00006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2" name="Rectangle 228">
          <a:extLst>
            <a:ext uri="{FF2B5EF4-FFF2-40B4-BE49-F238E27FC236}">
              <a16:creationId xmlns:a16="http://schemas.microsoft.com/office/drawing/2014/main" xmlns="" id="{00000000-0008-0000-0300-00006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3" name="Rectangle 229">
          <a:extLst>
            <a:ext uri="{FF2B5EF4-FFF2-40B4-BE49-F238E27FC236}">
              <a16:creationId xmlns:a16="http://schemas.microsoft.com/office/drawing/2014/main" xmlns="" id="{00000000-0008-0000-0300-00006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4" name="Rectangle 736">
          <a:extLst>
            <a:ext uri="{FF2B5EF4-FFF2-40B4-BE49-F238E27FC236}">
              <a16:creationId xmlns:a16="http://schemas.microsoft.com/office/drawing/2014/main" xmlns="" id="{00000000-0008-0000-0300-00006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5" name="Rectangle 737">
          <a:extLst>
            <a:ext uri="{FF2B5EF4-FFF2-40B4-BE49-F238E27FC236}">
              <a16:creationId xmlns:a16="http://schemas.microsoft.com/office/drawing/2014/main" xmlns="" id="{00000000-0008-0000-0300-00006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6" name="Rectangle 738">
          <a:extLst>
            <a:ext uri="{FF2B5EF4-FFF2-40B4-BE49-F238E27FC236}">
              <a16:creationId xmlns:a16="http://schemas.microsoft.com/office/drawing/2014/main" xmlns="" id="{00000000-0008-0000-0300-00006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7" name="Rectangle 739">
          <a:extLst>
            <a:ext uri="{FF2B5EF4-FFF2-40B4-BE49-F238E27FC236}">
              <a16:creationId xmlns:a16="http://schemas.microsoft.com/office/drawing/2014/main" xmlns="" id="{00000000-0008-0000-0300-00006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8" name="Rectangle 740">
          <a:extLst>
            <a:ext uri="{FF2B5EF4-FFF2-40B4-BE49-F238E27FC236}">
              <a16:creationId xmlns:a16="http://schemas.microsoft.com/office/drawing/2014/main" xmlns="" id="{00000000-0008-0000-0300-00006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9" name="Rectangle 741">
          <a:extLst>
            <a:ext uri="{FF2B5EF4-FFF2-40B4-BE49-F238E27FC236}">
              <a16:creationId xmlns:a16="http://schemas.microsoft.com/office/drawing/2014/main" xmlns="" id="{00000000-0008-0000-0300-00006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0" name="Rectangle 742">
          <a:extLst>
            <a:ext uri="{FF2B5EF4-FFF2-40B4-BE49-F238E27FC236}">
              <a16:creationId xmlns:a16="http://schemas.microsoft.com/office/drawing/2014/main" xmlns="" id="{00000000-0008-0000-0300-00006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1" name="Rectangle 743">
          <a:extLst>
            <a:ext uri="{FF2B5EF4-FFF2-40B4-BE49-F238E27FC236}">
              <a16:creationId xmlns:a16="http://schemas.microsoft.com/office/drawing/2014/main" xmlns="" id="{00000000-0008-0000-0300-00006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2" name="Rectangle 744">
          <a:extLst>
            <a:ext uri="{FF2B5EF4-FFF2-40B4-BE49-F238E27FC236}">
              <a16:creationId xmlns:a16="http://schemas.microsoft.com/office/drawing/2014/main" xmlns="" id="{00000000-0008-0000-0300-00006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3" name="Rectangle 745">
          <a:extLst>
            <a:ext uri="{FF2B5EF4-FFF2-40B4-BE49-F238E27FC236}">
              <a16:creationId xmlns:a16="http://schemas.microsoft.com/office/drawing/2014/main" xmlns="" id="{00000000-0008-0000-0300-00006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4" name="Rectangle 746">
          <a:extLst>
            <a:ext uri="{FF2B5EF4-FFF2-40B4-BE49-F238E27FC236}">
              <a16:creationId xmlns:a16="http://schemas.microsoft.com/office/drawing/2014/main" xmlns="" id="{00000000-0008-0000-0300-00006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5" name="Rectangle 747">
          <a:extLst>
            <a:ext uri="{FF2B5EF4-FFF2-40B4-BE49-F238E27FC236}">
              <a16:creationId xmlns:a16="http://schemas.microsoft.com/office/drawing/2014/main" xmlns="" id="{00000000-0008-0000-0300-00006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6" name="Rectangle 748">
          <a:extLst>
            <a:ext uri="{FF2B5EF4-FFF2-40B4-BE49-F238E27FC236}">
              <a16:creationId xmlns:a16="http://schemas.microsoft.com/office/drawing/2014/main" xmlns="" id="{00000000-0008-0000-0300-00007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7" name="Rectangle 749">
          <a:extLst>
            <a:ext uri="{FF2B5EF4-FFF2-40B4-BE49-F238E27FC236}">
              <a16:creationId xmlns:a16="http://schemas.microsoft.com/office/drawing/2014/main" xmlns="" id="{00000000-0008-0000-0300-00007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8" name="Rectangle 750">
          <a:extLst>
            <a:ext uri="{FF2B5EF4-FFF2-40B4-BE49-F238E27FC236}">
              <a16:creationId xmlns:a16="http://schemas.microsoft.com/office/drawing/2014/main" xmlns="" id="{00000000-0008-0000-0300-00007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9" name="Rectangle 751">
          <a:extLst>
            <a:ext uri="{FF2B5EF4-FFF2-40B4-BE49-F238E27FC236}">
              <a16:creationId xmlns:a16="http://schemas.microsoft.com/office/drawing/2014/main" xmlns="" id="{00000000-0008-0000-0300-00007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0" name="Rectangle 752">
          <a:extLst>
            <a:ext uri="{FF2B5EF4-FFF2-40B4-BE49-F238E27FC236}">
              <a16:creationId xmlns:a16="http://schemas.microsoft.com/office/drawing/2014/main" xmlns="" id="{00000000-0008-0000-0300-00007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1" name="Rectangle 753">
          <a:extLst>
            <a:ext uri="{FF2B5EF4-FFF2-40B4-BE49-F238E27FC236}">
              <a16:creationId xmlns:a16="http://schemas.microsoft.com/office/drawing/2014/main" xmlns="" id="{00000000-0008-0000-0300-00007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2" name="Rectangle 754">
          <a:extLst>
            <a:ext uri="{FF2B5EF4-FFF2-40B4-BE49-F238E27FC236}">
              <a16:creationId xmlns:a16="http://schemas.microsoft.com/office/drawing/2014/main" xmlns="" id="{00000000-0008-0000-0300-00007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3" name="Rectangle 755">
          <a:extLst>
            <a:ext uri="{FF2B5EF4-FFF2-40B4-BE49-F238E27FC236}">
              <a16:creationId xmlns:a16="http://schemas.microsoft.com/office/drawing/2014/main" xmlns="" id="{00000000-0008-0000-0300-00007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4" name="Rectangle 756">
          <a:extLst>
            <a:ext uri="{FF2B5EF4-FFF2-40B4-BE49-F238E27FC236}">
              <a16:creationId xmlns:a16="http://schemas.microsoft.com/office/drawing/2014/main" xmlns="" id="{00000000-0008-0000-0300-00007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5" name="Rectangle 757">
          <a:extLst>
            <a:ext uri="{FF2B5EF4-FFF2-40B4-BE49-F238E27FC236}">
              <a16:creationId xmlns:a16="http://schemas.microsoft.com/office/drawing/2014/main" xmlns="" id="{00000000-0008-0000-0300-00007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6" name="Rectangle 758">
          <a:extLst>
            <a:ext uri="{FF2B5EF4-FFF2-40B4-BE49-F238E27FC236}">
              <a16:creationId xmlns:a16="http://schemas.microsoft.com/office/drawing/2014/main" xmlns="" id="{00000000-0008-0000-0300-00007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7" name="Rectangle 759">
          <a:extLst>
            <a:ext uri="{FF2B5EF4-FFF2-40B4-BE49-F238E27FC236}">
              <a16:creationId xmlns:a16="http://schemas.microsoft.com/office/drawing/2014/main" xmlns="" id="{00000000-0008-0000-0300-00007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8" name="Rectangle 760">
          <a:extLst>
            <a:ext uri="{FF2B5EF4-FFF2-40B4-BE49-F238E27FC236}">
              <a16:creationId xmlns:a16="http://schemas.microsoft.com/office/drawing/2014/main" xmlns="" id="{00000000-0008-0000-0300-00007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9" name="Rectangle 761">
          <a:extLst>
            <a:ext uri="{FF2B5EF4-FFF2-40B4-BE49-F238E27FC236}">
              <a16:creationId xmlns:a16="http://schemas.microsoft.com/office/drawing/2014/main" xmlns="" id="{00000000-0008-0000-0300-00007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0" name="Rectangle 762">
          <a:extLst>
            <a:ext uri="{FF2B5EF4-FFF2-40B4-BE49-F238E27FC236}">
              <a16:creationId xmlns:a16="http://schemas.microsoft.com/office/drawing/2014/main" xmlns="" id="{00000000-0008-0000-0300-00007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1" name="Rectangle 763">
          <a:extLst>
            <a:ext uri="{FF2B5EF4-FFF2-40B4-BE49-F238E27FC236}">
              <a16:creationId xmlns:a16="http://schemas.microsoft.com/office/drawing/2014/main" xmlns="" id="{00000000-0008-0000-0300-00007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2" name="Rectangle 764">
          <a:extLst>
            <a:ext uri="{FF2B5EF4-FFF2-40B4-BE49-F238E27FC236}">
              <a16:creationId xmlns:a16="http://schemas.microsoft.com/office/drawing/2014/main" xmlns="" id="{00000000-0008-0000-0300-00008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3" name="Rectangle 765">
          <a:extLst>
            <a:ext uri="{FF2B5EF4-FFF2-40B4-BE49-F238E27FC236}">
              <a16:creationId xmlns:a16="http://schemas.microsoft.com/office/drawing/2014/main" xmlns="" id="{00000000-0008-0000-0300-00008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4" name="Rectangle 766">
          <a:extLst>
            <a:ext uri="{FF2B5EF4-FFF2-40B4-BE49-F238E27FC236}">
              <a16:creationId xmlns:a16="http://schemas.microsoft.com/office/drawing/2014/main" xmlns="" id="{00000000-0008-0000-0300-00008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5" name="Rectangle 767">
          <a:extLst>
            <a:ext uri="{FF2B5EF4-FFF2-40B4-BE49-F238E27FC236}">
              <a16:creationId xmlns:a16="http://schemas.microsoft.com/office/drawing/2014/main" xmlns="" id="{00000000-0008-0000-0300-00008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6" name="Rectangle 768">
          <a:extLst>
            <a:ext uri="{FF2B5EF4-FFF2-40B4-BE49-F238E27FC236}">
              <a16:creationId xmlns:a16="http://schemas.microsoft.com/office/drawing/2014/main" xmlns="" id="{00000000-0008-0000-0300-00008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7" name="Rectangle 769">
          <a:extLst>
            <a:ext uri="{FF2B5EF4-FFF2-40B4-BE49-F238E27FC236}">
              <a16:creationId xmlns:a16="http://schemas.microsoft.com/office/drawing/2014/main" xmlns="" id="{00000000-0008-0000-0300-00008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8" name="Rectangle 770">
          <a:extLst>
            <a:ext uri="{FF2B5EF4-FFF2-40B4-BE49-F238E27FC236}">
              <a16:creationId xmlns:a16="http://schemas.microsoft.com/office/drawing/2014/main" xmlns="" id="{00000000-0008-0000-0300-00008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9" name="Rectangle 771">
          <a:extLst>
            <a:ext uri="{FF2B5EF4-FFF2-40B4-BE49-F238E27FC236}">
              <a16:creationId xmlns:a16="http://schemas.microsoft.com/office/drawing/2014/main" xmlns="" id="{00000000-0008-0000-0300-00008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0" name="Rectangle 772">
          <a:extLst>
            <a:ext uri="{FF2B5EF4-FFF2-40B4-BE49-F238E27FC236}">
              <a16:creationId xmlns:a16="http://schemas.microsoft.com/office/drawing/2014/main" xmlns="" id="{00000000-0008-0000-0300-00008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1" name="Rectangle 773">
          <a:extLst>
            <a:ext uri="{FF2B5EF4-FFF2-40B4-BE49-F238E27FC236}">
              <a16:creationId xmlns:a16="http://schemas.microsoft.com/office/drawing/2014/main" xmlns="" id="{00000000-0008-0000-0300-00008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2" name="Rectangle 774">
          <a:extLst>
            <a:ext uri="{FF2B5EF4-FFF2-40B4-BE49-F238E27FC236}">
              <a16:creationId xmlns:a16="http://schemas.microsoft.com/office/drawing/2014/main" xmlns="" id="{00000000-0008-0000-0300-00008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3" name="Rectangle 775">
          <a:extLst>
            <a:ext uri="{FF2B5EF4-FFF2-40B4-BE49-F238E27FC236}">
              <a16:creationId xmlns:a16="http://schemas.microsoft.com/office/drawing/2014/main" xmlns="" id="{00000000-0008-0000-0300-00008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4" name="Rectangle 776">
          <a:extLst>
            <a:ext uri="{FF2B5EF4-FFF2-40B4-BE49-F238E27FC236}">
              <a16:creationId xmlns:a16="http://schemas.microsoft.com/office/drawing/2014/main" xmlns="" id="{00000000-0008-0000-0300-00008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5" name="Rectangle 777">
          <a:extLst>
            <a:ext uri="{FF2B5EF4-FFF2-40B4-BE49-F238E27FC236}">
              <a16:creationId xmlns:a16="http://schemas.microsoft.com/office/drawing/2014/main" xmlns="" id="{00000000-0008-0000-0300-00008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6" name="Rectangle 778">
          <a:extLst>
            <a:ext uri="{FF2B5EF4-FFF2-40B4-BE49-F238E27FC236}">
              <a16:creationId xmlns:a16="http://schemas.microsoft.com/office/drawing/2014/main" xmlns="" id="{00000000-0008-0000-0300-00008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7" name="Rectangle 779">
          <a:extLst>
            <a:ext uri="{FF2B5EF4-FFF2-40B4-BE49-F238E27FC236}">
              <a16:creationId xmlns:a16="http://schemas.microsoft.com/office/drawing/2014/main" xmlns="" id="{00000000-0008-0000-0300-00008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8" name="Rectangle 780">
          <a:extLst>
            <a:ext uri="{FF2B5EF4-FFF2-40B4-BE49-F238E27FC236}">
              <a16:creationId xmlns:a16="http://schemas.microsoft.com/office/drawing/2014/main" xmlns="" id="{00000000-0008-0000-0300-000090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9" name="Rectangle 781">
          <a:extLst>
            <a:ext uri="{FF2B5EF4-FFF2-40B4-BE49-F238E27FC236}">
              <a16:creationId xmlns:a16="http://schemas.microsoft.com/office/drawing/2014/main" xmlns="" id="{00000000-0008-0000-0300-000091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0" name="Rectangle 1617">
          <a:extLst>
            <a:ext uri="{FF2B5EF4-FFF2-40B4-BE49-F238E27FC236}">
              <a16:creationId xmlns:a16="http://schemas.microsoft.com/office/drawing/2014/main" xmlns="" id="{00000000-0008-0000-0300-00009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1" name="Rectangle 1618">
          <a:extLst>
            <a:ext uri="{FF2B5EF4-FFF2-40B4-BE49-F238E27FC236}">
              <a16:creationId xmlns:a16="http://schemas.microsoft.com/office/drawing/2014/main" xmlns="" id="{00000000-0008-0000-0300-00009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2" name="Rectangle 1619">
          <a:extLst>
            <a:ext uri="{FF2B5EF4-FFF2-40B4-BE49-F238E27FC236}">
              <a16:creationId xmlns:a16="http://schemas.microsoft.com/office/drawing/2014/main" xmlns="" id="{00000000-0008-0000-0300-00009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3" name="Rectangle 1620">
          <a:extLst>
            <a:ext uri="{FF2B5EF4-FFF2-40B4-BE49-F238E27FC236}">
              <a16:creationId xmlns:a16="http://schemas.microsoft.com/office/drawing/2014/main" xmlns="" id="{00000000-0008-0000-0300-00009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4" name="Rectangle 1621">
          <a:extLst>
            <a:ext uri="{FF2B5EF4-FFF2-40B4-BE49-F238E27FC236}">
              <a16:creationId xmlns:a16="http://schemas.microsoft.com/office/drawing/2014/main" xmlns="" id="{00000000-0008-0000-0300-00009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5" name="Rectangle 1622">
          <a:extLst>
            <a:ext uri="{FF2B5EF4-FFF2-40B4-BE49-F238E27FC236}">
              <a16:creationId xmlns:a16="http://schemas.microsoft.com/office/drawing/2014/main" xmlns="" id="{00000000-0008-0000-0300-00009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6" name="Rectangle 1623">
          <a:extLst>
            <a:ext uri="{FF2B5EF4-FFF2-40B4-BE49-F238E27FC236}">
              <a16:creationId xmlns:a16="http://schemas.microsoft.com/office/drawing/2014/main" xmlns="" id="{00000000-0008-0000-0300-00009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7" name="Rectangle 1624">
          <a:extLst>
            <a:ext uri="{FF2B5EF4-FFF2-40B4-BE49-F238E27FC236}">
              <a16:creationId xmlns:a16="http://schemas.microsoft.com/office/drawing/2014/main" xmlns="" id="{00000000-0008-0000-0300-00009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8" name="Rectangle 1625">
          <a:extLst>
            <a:ext uri="{FF2B5EF4-FFF2-40B4-BE49-F238E27FC236}">
              <a16:creationId xmlns:a16="http://schemas.microsoft.com/office/drawing/2014/main" xmlns="" id="{00000000-0008-0000-0300-00009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9" name="Rectangle 1626">
          <a:extLst>
            <a:ext uri="{FF2B5EF4-FFF2-40B4-BE49-F238E27FC236}">
              <a16:creationId xmlns:a16="http://schemas.microsoft.com/office/drawing/2014/main" xmlns="" id="{00000000-0008-0000-0300-00009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0" name="Rectangle 1627">
          <a:extLst>
            <a:ext uri="{FF2B5EF4-FFF2-40B4-BE49-F238E27FC236}">
              <a16:creationId xmlns:a16="http://schemas.microsoft.com/office/drawing/2014/main" xmlns="" id="{00000000-0008-0000-0300-00009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1" name="Rectangle 1628">
          <a:extLst>
            <a:ext uri="{FF2B5EF4-FFF2-40B4-BE49-F238E27FC236}">
              <a16:creationId xmlns:a16="http://schemas.microsoft.com/office/drawing/2014/main" xmlns="" id="{00000000-0008-0000-0300-00009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2" name="Rectangle 1629">
          <a:extLst>
            <a:ext uri="{FF2B5EF4-FFF2-40B4-BE49-F238E27FC236}">
              <a16:creationId xmlns:a16="http://schemas.microsoft.com/office/drawing/2014/main" xmlns="" id="{00000000-0008-0000-0300-00009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3" name="Rectangle 1630">
          <a:extLst>
            <a:ext uri="{FF2B5EF4-FFF2-40B4-BE49-F238E27FC236}">
              <a16:creationId xmlns:a16="http://schemas.microsoft.com/office/drawing/2014/main" xmlns="" id="{00000000-0008-0000-0300-00009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4" name="Rectangle 1631">
          <a:extLst>
            <a:ext uri="{FF2B5EF4-FFF2-40B4-BE49-F238E27FC236}">
              <a16:creationId xmlns:a16="http://schemas.microsoft.com/office/drawing/2014/main" xmlns="" id="{00000000-0008-0000-0300-0000A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5" name="Rectangle 1632">
          <a:extLst>
            <a:ext uri="{FF2B5EF4-FFF2-40B4-BE49-F238E27FC236}">
              <a16:creationId xmlns:a16="http://schemas.microsoft.com/office/drawing/2014/main" xmlns="" id="{00000000-0008-0000-0300-0000A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6" name="Rectangle 1633">
          <a:extLst>
            <a:ext uri="{FF2B5EF4-FFF2-40B4-BE49-F238E27FC236}">
              <a16:creationId xmlns:a16="http://schemas.microsoft.com/office/drawing/2014/main" xmlns="" id="{00000000-0008-0000-0300-0000A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7" name="Rectangle 1634">
          <a:extLst>
            <a:ext uri="{FF2B5EF4-FFF2-40B4-BE49-F238E27FC236}">
              <a16:creationId xmlns:a16="http://schemas.microsoft.com/office/drawing/2014/main" xmlns="" id="{00000000-0008-0000-0300-0000A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8" name="Rectangle 1635">
          <a:extLst>
            <a:ext uri="{FF2B5EF4-FFF2-40B4-BE49-F238E27FC236}">
              <a16:creationId xmlns:a16="http://schemas.microsoft.com/office/drawing/2014/main" xmlns="" id="{00000000-0008-0000-0300-0000A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9" name="Rectangle 1636">
          <a:extLst>
            <a:ext uri="{FF2B5EF4-FFF2-40B4-BE49-F238E27FC236}">
              <a16:creationId xmlns:a16="http://schemas.microsoft.com/office/drawing/2014/main" xmlns="" id="{00000000-0008-0000-0300-0000A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0" name="Rectangle 1637">
          <a:extLst>
            <a:ext uri="{FF2B5EF4-FFF2-40B4-BE49-F238E27FC236}">
              <a16:creationId xmlns:a16="http://schemas.microsoft.com/office/drawing/2014/main" xmlns="" id="{00000000-0008-0000-0300-0000A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1" name="Rectangle 1638">
          <a:extLst>
            <a:ext uri="{FF2B5EF4-FFF2-40B4-BE49-F238E27FC236}">
              <a16:creationId xmlns:a16="http://schemas.microsoft.com/office/drawing/2014/main" xmlns="" id="{00000000-0008-0000-0300-0000A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2" name="Rectangle 1639">
          <a:extLst>
            <a:ext uri="{FF2B5EF4-FFF2-40B4-BE49-F238E27FC236}">
              <a16:creationId xmlns:a16="http://schemas.microsoft.com/office/drawing/2014/main" xmlns="" id="{00000000-0008-0000-0300-0000A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3" name="Rectangle 1640">
          <a:extLst>
            <a:ext uri="{FF2B5EF4-FFF2-40B4-BE49-F238E27FC236}">
              <a16:creationId xmlns:a16="http://schemas.microsoft.com/office/drawing/2014/main" xmlns="" id="{00000000-0008-0000-0300-0000A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4" name="Rectangle 1641">
          <a:extLst>
            <a:ext uri="{FF2B5EF4-FFF2-40B4-BE49-F238E27FC236}">
              <a16:creationId xmlns:a16="http://schemas.microsoft.com/office/drawing/2014/main" xmlns="" id="{00000000-0008-0000-0300-0000A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5" name="Rectangle 1642">
          <a:extLst>
            <a:ext uri="{FF2B5EF4-FFF2-40B4-BE49-F238E27FC236}">
              <a16:creationId xmlns:a16="http://schemas.microsoft.com/office/drawing/2014/main" xmlns="" id="{00000000-0008-0000-0300-0000A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6" name="Rectangle 1643">
          <a:extLst>
            <a:ext uri="{FF2B5EF4-FFF2-40B4-BE49-F238E27FC236}">
              <a16:creationId xmlns:a16="http://schemas.microsoft.com/office/drawing/2014/main" xmlns="" id="{00000000-0008-0000-0300-0000A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7" name="Rectangle 1644">
          <a:extLst>
            <a:ext uri="{FF2B5EF4-FFF2-40B4-BE49-F238E27FC236}">
              <a16:creationId xmlns:a16="http://schemas.microsoft.com/office/drawing/2014/main" xmlns="" id="{00000000-0008-0000-0300-0000A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8" name="Rectangle 1645">
          <a:extLst>
            <a:ext uri="{FF2B5EF4-FFF2-40B4-BE49-F238E27FC236}">
              <a16:creationId xmlns:a16="http://schemas.microsoft.com/office/drawing/2014/main" xmlns="" id="{00000000-0008-0000-0300-0000A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9" name="Rectangle 1646">
          <a:extLst>
            <a:ext uri="{FF2B5EF4-FFF2-40B4-BE49-F238E27FC236}">
              <a16:creationId xmlns:a16="http://schemas.microsoft.com/office/drawing/2014/main" xmlns="" id="{00000000-0008-0000-0300-0000A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40" name="Rectangle 1647">
          <a:extLst>
            <a:ext uri="{FF2B5EF4-FFF2-40B4-BE49-F238E27FC236}">
              <a16:creationId xmlns:a16="http://schemas.microsoft.com/office/drawing/2014/main" xmlns="" id="{00000000-0008-0000-0300-0000B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1" name="Rectangle 1648">
          <a:extLst>
            <a:ext uri="{FF2B5EF4-FFF2-40B4-BE49-F238E27FC236}">
              <a16:creationId xmlns:a16="http://schemas.microsoft.com/office/drawing/2014/main" xmlns="" id="{00000000-0008-0000-0300-0000B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42" name="Rectangle 1649">
          <a:extLst>
            <a:ext uri="{FF2B5EF4-FFF2-40B4-BE49-F238E27FC236}">
              <a16:creationId xmlns:a16="http://schemas.microsoft.com/office/drawing/2014/main" xmlns="" id="{00000000-0008-0000-0300-0000B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3" name="Rectangle 1650">
          <a:extLst>
            <a:ext uri="{FF2B5EF4-FFF2-40B4-BE49-F238E27FC236}">
              <a16:creationId xmlns:a16="http://schemas.microsoft.com/office/drawing/2014/main" xmlns="" id="{00000000-0008-0000-0300-0000B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4" name="Rectangle 1651">
          <a:extLst>
            <a:ext uri="{FF2B5EF4-FFF2-40B4-BE49-F238E27FC236}">
              <a16:creationId xmlns:a16="http://schemas.microsoft.com/office/drawing/2014/main" xmlns="" id="{00000000-0008-0000-0300-0000B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5" name="Rectangle 1652">
          <a:extLst>
            <a:ext uri="{FF2B5EF4-FFF2-40B4-BE49-F238E27FC236}">
              <a16:creationId xmlns:a16="http://schemas.microsoft.com/office/drawing/2014/main" xmlns="" id="{00000000-0008-0000-0300-0000B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6" name="Rectangle 1653">
          <a:extLst>
            <a:ext uri="{FF2B5EF4-FFF2-40B4-BE49-F238E27FC236}">
              <a16:creationId xmlns:a16="http://schemas.microsoft.com/office/drawing/2014/main" xmlns="" id="{00000000-0008-0000-0300-0000B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7" name="Rectangle 1654">
          <a:extLst>
            <a:ext uri="{FF2B5EF4-FFF2-40B4-BE49-F238E27FC236}">
              <a16:creationId xmlns:a16="http://schemas.microsoft.com/office/drawing/2014/main" xmlns="" id="{00000000-0008-0000-0300-0000B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8" name="Rectangle 1655">
          <a:extLst>
            <a:ext uri="{FF2B5EF4-FFF2-40B4-BE49-F238E27FC236}">
              <a16:creationId xmlns:a16="http://schemas.microsoft.com/office/drawing/2014/main" xmlns="" id="{00000000-0008-0000-0300-0000B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9" name="Rectangle 1656">
          <a:extLst>
            <a:ext uri="{FF2B5EF4-FFF2-40B4-BE49-F238E27FC236}">
              <a16:creationId xmlns:a16="http://schemas.microsoft.com/office/drawing/2014/main" xmlns="" id="{00000000-0008-0000-0300-0000B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0" name="Rectangle 1657">
          <a:extLst>
            <a:ext uri="{FF2B5EF4-FFF2-40B4-BE49-F238E27FC236}">
              <a16:creationId xmlns:a16="http://schemas.microsoft.com/office/drawing/2014/main" xmlns="" id="{00000000-0008-0000-0300-0000B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1" name="Rectangle 1658">
          <a:extLst>
            <a:ext uri="{FF2B5EF4-FFF2-40B4-BE49-F238E27FC236}">
              <a16:creationId xmlns:a16="http://schemas.microsoft.com/office/drawing/2014/main" xmlns="" id="{00000000-0008-0000-0300-0000B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2" name="Rectangle 1659">
          <a:extLst>
            <a:ext uri="{FF2B5EF4-FFF2-40B4-BE49-F238E27FC236}">
              <a16:creationId xmlns:a16="http://schemas.microsoft.com/office/drawing/2014/main" xmlns="" id="{00000000-0008-0000-0300-0000B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3" name="Rectangle 1660">
          <a:extLst>
            <a:ext uri="{FF2B5EF4-FFF2-40B4-BE49-F238E27FC236}">
              <a16:creationId xmlns:a16="http://schemas.microsoft.com/office/drawing/2014/main" xmlns="" id="{00000000-0008-0000-0300-0000B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4" name="Rectangle 1661">
          <a:extLst>
            <a:ext uri="{FF2B5EF4-FFF2-40B4-BE49-F238E27FC236}">
              <a16:creationId xmlns:a16="http://schemas.microsoft.com/office/drawing/2014/main" xmlns="" id="{00000000-0008-0000-0300-0000B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5" name="Rectangle 1662">
          <a:extLst>
            <a:ext uri="{FF2B5EF4-FFF2-40B4-BE49-F238E27FC236}">
              <a16:creationId xmlns:a16="http://schemas.microsoft.com/office/drawing/2014/main" xmlns="" id="{00000000-0008-0000-0300-0000B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6" name="Rectangle 736">
          <a:extLst>
            <a:ext uri="{FF2B5EF4-FFF2-40B4-BE49-F238E27FC236}">
              <a16:creationId xmlns:a16="http://schemas.microsoft.com/office/drawing/2014/main" xmlns="" id="{00000000-0008-0000-0300-0000C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57" name="Rectangle 737">
          <a:extLst>
            <a:ext uri="{FF2B5EF4-FFF2-40B4-BE49-F238E27FC236}">
              <a16:creationId xmlns:a16="http://schemas.microsoft.com/office/drawing/2014/main" xmlns="" id="{00000000-0008-0000-0300-0000C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58" name="Rectangle 738">
          <a:extLst>
            <a:ext uri="{FF2B5EF4-FFF2-40B4-BE49-F238E27FC236}">
              <a16:creationId xmlns:a16="http://schemas.microsoft.com/office/drawing/2014/main" xmlns="" id="{00000000-0008-0000-0300-0000C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9" name="Rectangle 739">
          <a:extLst>
            <a:ext uri="{FF2B5EF4-FFF2-40B4-BE49-F238E27FC236}">
              <a16:creationId xmlns:a16="http://schemas.microsoft.com/office/drawing/2014/main" xmlns="" id="{00000000-0008-0000-0300-0000C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0" name="Rectangle 740">
          <a:extLst>
            <a:ext uri="{FF2B5EF4-FFF2-40B4-BE49-F238E27FC236}">
              <a16:creationId xmlns:a16="http://schemas.microsoft.com/office/drawing/2014/main" xmlns="" id="{00000000-0008-0000-0300-0000C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1" name="Rectangle 741">
          <a:extLst>
            <a:ext uri="{FF2B5EF4-FFF2-40B4-BE49-F238E27FC236}">
              <a16:creationId xmlns:a16="http://schemas.microsoft.com/office/drawing/2014/main" xmlns="" id="{00000000-0008-0000-0300-0000C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2" name="Rectangle 742">
          <a:extLst>
            <a:ext uri="{FF2B5EF4-FFF2-40B4-BE49-F238E27FC236}">
              <a16:creationId xmlns:a16="http://schemas.microsoft.com/office/drawing/2014/main" xmlns="" id="{00000000-0008-0000-0300-0000C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3" name="Rectangle 743">
          <a:extLst>
            <a:ext uri="{FF2B5EF4-FFF2-40B4-BE49-F238E27FC236}">
              <a16:creationId xmlns:a16="http://schemas.microsoft.com/office/drawing/2014/main" xmlns="" id="{00000000-0008-0000-0300-0000C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4" name="Rectangle 744">
          <a:extLst>
            <a:ext uri="{FF2B5EF4-FFF2-40B4-BE49-F238E27FC236}">
              <a16:creationId xmlns:a16="http://schemas.microsoft.com/office/drawing/2014/main" xmlns="" id="{00000000-0008-0000-0300-0000C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5" name="Rectangle 745">
          <a:extLst>
            <a:ext uri="{FF2B5EF4-FFF2-40B4-BE49-F238E27FC236}">
              <a16:creationId xmlns:a16="http://schemas.microsoft.com/office/drawing/2014/main" xmlns="" id="{00000000-0008-0000-0300-0000C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6" name="Rectangle 746">
          <a:extLst>
            <a:ext uri="{FF2B5EF4-FFF2-40B4-BE49-F238E27FC236}">
              <a16:creationId xmlns:a16="http://schemas.microsoft.com/office/drawing/2014/main" xmlns="" id="{00000000-0008-0000-0300-0000C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7" name="Rectangle 747">
          <a:extLst>
            <a:ext uri="{FF2B5EF4-FFF2-40B4-BE49-F238E27FC236}">
              <a16:creationId xmlns:a16="http://schemas.microsoft.com/office/drawing/2014/main" xmlns="" id="{00000000-0008-0000-0300-0000C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8" name="Rectangle 748">
          <a:extLst>
            <a:ext uri="{FF2B5EF4-FFF2-40B4-BE49-F238E27FC236}">
              <a16:creationId xmlns:a16="http://schemas.microsoft.com/office/drawing/2014/main" xmlns="" id="{00000000-0008-0000-0300-0000C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9" name="Rectangle 749">
          <a:extLst>
            <a:ext uri="{FF2B5EF4-FFF2-40B4-BE49-F238E27FC236}">
              <a16:creationId xmlns:a16="http://schemas.microsoft.com/office/drawing/2014/main" xmlns="" id="{00000000-0008-0000-0300-0000C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0" name="Rectangle 750">
          <a:extLst>
            <a:ext uri="{FF2B5EF4-FFF2-40B4-BE49-F238E27FC236}">
              <a16:creationId xmlns:a16="http://schemas.microsoft.com/office/drawing/2014/main" xmlns="" id="{00000000-0008-0000-0300-0000C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1" name="Rectangle 751">
          <a:extLst>
            <a:ext uri="{FF2B5EF4-FFF2-40B4-BE49-F238E27FC236}">
              <a16:creationId xmlns:a16="http://schemas.microsoft.com/office/drawing/2014/main" xmlns="" id="{00000000-0008-0000-0300-0000C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2" name="Rectangle 752">
          <a:extLst>
            <a:ext uri="{FF2B5EF4-FFF2-40B4-BE49-F238E27FC236}">
              <a16:creationId xmlns:a16="http://schemas.microsoft.com/office/drawing/2014/main" xmlns="" id="{00000000-0008-0000-0300-0000D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3" name="Rectangle 753">
          <a:extLst>
            <a:ext uri="{FF2B5EF4-FFF2-40B4-BE49-F238E27FC236}">
              <a16:creationId xmlns:a16="http://schemas.microsoft.com/office/drawing/2014/main" xmlns="" id="{00000000-0008-0000-0300-0000D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4" name="Rectangle 754">
          <a:extLst>
            <a:ext uri="{FF2B5EF4-FFF2-40B4-BE49-F238E27FC236}">
              <a16:creationId xmlns:a16="http://schemas.microsoft.com/office/drawing/2014/main" xmlns="" id="{00000000-0008-0000-0300-0000D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5" name="Rectangle 755">
          <a:extLst>
            <a:ext uri="{FF2B5EF4-FFF2-40B4-BE49-F238E27FC236}">
              <a16:creationId xmlns:a16="http://schemas.microsoft.com/office/drawing/2014/main" xmlns="" id="{00000000-0008-0000-0300-0000D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6" name="Rectangle 756">
          <a:extLst>
            <a:ext uri="{FF2B5EF4-FFF2-40B4-BE49-F238E27FC236}">
              <a16:creationId xmlns:a16="http://schemas.microsoft.com/office/drawing/2014/main" xmlns="" id="{00000000-0008-0000-0300-0000D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7" name="Rectangle 757">
          <a:extLst>
            <a:ext uri="{FF2B5EF4-FFF2-40B4-BE49-F238E27FC236}">
              <a16:creationId xmlns:a16="http://schemas.microsoft.com/office/drawing/2014/main" xmlns="" id="{00000000-0008-0000-0300-0000D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8" name="Rectangle 758">
          <a:extLst>
            <a:ext uri="{FF2B5EF4-FFF2-40B4-BE49-F238E27FC236}">
              <a16:creationId xmlns:a16="http://schemas.microsoft.com/office/drawing/2014/main" xmlns="" id="{00000000-0008-0000-0300-0000D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9" name="Rectangle 759">
          <a:extLst>
            <a:ext uri="{FF2B5EF4-FFF2-40B4-BE49-F238E27FC236}">
              <a16:creationId xmlns:a16="http://schemas.microsoft.com/office/drawing/2014/main" xmlns="" id="{00000000-0008-0000-0300-0000D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0" name="Rectangle 760">
          <a:extLst>
            <a:ext uri="{FF2B5EF4-FFF2-40B4-BE49-F238E27FC236}">
              <a16:creationId xmlns:a16="http://schemas.microsoft.com/office/drawing/2014/main" xmlns="" id="{00000000-0008-0000-0300-0000D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1" name="Rectangle 761">
          <a:extLst>
            <a:ext uri="{FF2B5EF4-FFF2-40B4-BE49-F238E27FC236}">
              <a16:creationId xmlns:a16="http://schemas.microsoft.com/office/drawing/2014/main" xmlns="" id="{00000000-0008-0000-0300-0000D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2" name="Rectangle 762">
          <a:extLst>
            <a:ext uri="{FF2B5EF4-FFF2-40B4-BE49-F238E27FC236}">
              <a16:creationId xmlns:a16="http://schemas.microsoft.com/office/drawing/2014/main" xmlns="" id="{00000000-0008-0000-0300-0000D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3" name="Rectangle 763">
          <a:extLst>
            <a:ext uri="{FF2B5EF4-FFF2-40B4-BE49-F238E27FC236}">
              <a16:creationId xmlns:a16="http://schemas.microsoft.com/office/drawing/2014/main" xmlns="" id="{00000000-0008-0000-0300-0000D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4" name="Rectangle 764">
          <a:extLst>
            <a:ext uri="{FF2B5EF4-FFF2-40B4-BE49-F238E27FC236}">
              <a16:creationId xmlns:a16="http://schemas.microsoft.com/office/drawing/2014/main" xmlns="" id="{00000000-0008-0000-0300-0000D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5" name="Rectangle 765">
          <a:extLst>
            <a:ext uri="{FF2B5EF4-FFF2-40B4-BE49-F238E27FC236}">
              <a16:creationId xmlns:a16="http://schemas.microsoft.com/office/drawing/2014/main" xmlns="" id="{00000000-0008-0000-0300-0000D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6" name="Rectangle 766">
          <a:extLst>
            <a:ext uri="{FF2B5EF4-FFF2-40B4-BE49-F238E27FC236}">
              <a16:creationId xmlns:a16="http://schemas.microsoft.com/office/drawing/2014/main" xmlns="" id="{00000000-0008-0000-0300-0000D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7" name="Rectangle 767">
          <a:extLst>
            <a:ext uri="{FF2B5EF4-FFF2-40B4-BE49-F238E27FC236}">
              <a16:creationId xmlns:a16="http://schemas.microsoft.com/office/drawing/2014/main" xmlns="" id="{00000000-0008-0000-0300-0000D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8" name="Rectangle 768">
          <a:extLst>
            <a:ext uri="{FF2B5EF4-FFF2-40B4-BE49-F238E27FC236}">
              <a16:creationId xmlns:a16="http://schemas.microsoft.com/office/drawing/2014/main" xmlns="" id="{00000000-0008-0000-0300-0000E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9" name="Rectangle 769">
          <a:extLst>
            <a:ext uri="{FF2B5EF4-FFF2-40B4-BE49-F238E27FC236}">
              <a16:creationId xmlns:a16="http://schemas.microsoft.com/office/drawing/2014/main" xmlns="" id="{00000000-0008-0000-0300-0000E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0" name="Rectangle 770">
          <a:extLst>
            <a:ext uri="{FF2B5EF4-FFF2-40B4-BE49-F238E27FC236}">
              <a16:creationId xmlns:a16="http://schemas.microsoft.com/office/drawing/2014/main" xmlns="" id="{00000000-0008-0000-0300-0000E2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1" name="Rectangle 771">
          <a:extLst>
            <a:ext uri="{FF2B5EF4-FFF2-40B4-BE49-F238E27FC236}">
              <a16:creationId xmlns:a16="http://schemas.microsoft.com/office/drawing/2014/main" xmlns="" id="{00000000-0008-0000-0300-0000E3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2" name="Rectangle 772">
          <a:extLst>
            <a:ext uri="{FF2B5EF4-FFF2-40B4-BE49-F238E27FC236}">
              <a16:creationId xmlns:a16="http://schemas.microsoft.com/office/drawing/2014/main" xmlns="" id="{00000000-0008-0000-0300-0000E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3" name="Rectangle 773">
          <a:extLst>
            <a:ext uri="{FF2B5EF4-FFF2-40B4-BE49-F238E27FC236}">
              <a16:creationId xmlns:a16="http://schemas.microsoft.com/office/drawing/2014/main" xmlns="" id="{00000000-0008-0000-0300-0000E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4" name="Rectangle 774">
          <a:extLst>
            <a:ext uri="{FF2B5EF4-FFF2-40B4-BE49-F238E27FC236}">
              <a16:creationId xmlns:a16="http://schemas.microsoft.com/office/drawing/2014/main" xmlns="" id="{00000000-0008-0000-0300-0000E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5" name="Rectangle 775">
          <a:extLst>
            <a:ext uri="{FF2B5EF4-FFF2-40B4-BE49-F238E27FC236}">
              <a16:creationId xmlns:a16="http://schemas.microsoft.com/office/drawing/2014/main" xmlns="" id="{00000000-0008-0000-0300-0000E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6" name="Rectangle 776">
          <a:extLst>
            <a:ext uri="{FF2B5EF4-FFF2-40B4-BE49-F238E27FC236}">
              <a16:creationId xmlns:a16="http://schemas.microsoft.com/office/drawing/2014/main" xmlns="" id="{00000000-0008-0000-0300-0000E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7" name="Rectangle 777">
          <a:extLst>
            <a:ext uri="{FF2B5EF4-FFF2-40B4-BE49-F238E27FC236}">
              <a16:creationId xmlns:a16="http://schemas.microsoft.com/office/drawing/2014/main" xmlns="" id="{00000000-0008-0000-0300-0000E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8" name="Rectangle 778">
          <a:extLst>
            <a:ext uri="{FF2B5EF4-FFF2-40B4-BE49-F238E27FC236}">
              <a16:creationId xmlns:a16="http://schemas.microsoft.com/office/drawing/2014/main" xmlns="" id="{00000000-0008-0000-0300-0000E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9" name="Rectangle 779">
          <a:extLst>
            <a:ext uri="{FF2B5EF4-FFF2-40B4-BE49-F238E27FC236}">
              <a16:creationId xmlns:a16="http://schemas.microsoft.com/office/drawing/2014/main" xmlns="" id="{00000000-0008-0000-0300-0000E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0" name="Rectangle 780">
          <a:extLst>
            <a:ext uri="{FF2B5EF4-FFF2-40B4-BE49-F238E27FC236}">
              <a16:creationId xmlns:a16="http://schemas.microsoft.com/office/drawing/2014/main" xmlns="" id="{00000000-0008-0000-0300-0000E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1" name="Rectangle 781">
          <a:extLst>
            <a:ext uri="{FF2B5EF4-FFF2-40B4-BE49-F238E27FC236}">
              <a16:creationId xmlns:a16="http://schemas.microsoft.com/office/drawing/2014/main" xmlns="" id="{00000000-0008-0000-0300-0000E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2" name="Rectangle 736">
          <a:extLst>
            <a:ext uri="{FF2B5EF4-FFF2-40B4-BE49-F238E27FC236}">
              <a16:creationId xmlns:a16="http://schemas.microsoft.com/office/drawing/2014/main" xmlns="" id="{00000000-0008-0000-0300-0000E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3" name="Rectangle 737">
          <a:extLst>
            <a:ext uri="{FF2B5EF4-FFF2-40B4-BE49-F238E27FC236}">
              <a16:creationId xmlns:a16="http://schemas.microsoft.com/office/drawing/2014/main" xmlns="" id="{00000000-0008-0000-0300-0000E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4" name="Rectangle 738">
          <a:extLst>
            <a:ext uri="{FF2B5EF4-FFF2-40B4-BE49-F238E27FC236}">
              <a16:creationId xmlns:a16="http://schemas.microsoft.com/office/drawing/2014/main" xmlns="" id="{00000000-0008-0000-0300-0000F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5" name="Rectangle 739">
          <a:extLst>
            <a:ext uri="{FF2B5EF4-FFF2-40B4-BE49-F238E27FC236}">
              <a16:creationId xmlns:a16="http://schemas.microsoft.com/office/drawing/2014/main" xmlns="" id="{00000000-0008-0000-0300-0000F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6" name="Rectangle 740">
          <a:extLst>
            <a:ext uri="{FF2B5EF4-FFF2-40B4-BE49-F238E27FC236}">
              <a16:creationId xmlns:a16="http://schemas.microsoft.com/office/drawing/2014/main" xmlns="" id="{00000000-0008-0000-0300-0000F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7" name="Rectangle 741">
          <a:extLst>
            <a:ext uri="{FF2B5EF4-FFF2-40B4-BE49-F238E27FC236}">
              <a16:creationId xmlns:a16="http://schemas.microsoft.com/office/drawing/2014/main" xmlns="" id="{00000000-0008-0000-0300-0000F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8" name="Rectangle 742">
          <a:extLst>
            <a:ext uri="{FF2B5EF4-FFF2-40B4-BE49-F238E27FC236}">
              <a16:creationId xmlns:a16="http://schemas.microsoft.com/office/drawing/2014/main" xmlns="" id="{00000000-0008-0000-0300-0000F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9" name="Rectangle 743">
          <a:extLst>
            <a:ext uri="{FF2B5EF4-FFF2-40B4-BE49-F238E27FC236}">
              <a16:creationId xmlns:a16="http://schemas.microsoft.com/office/drawing/2014/main" xmlns="" id="{00000000-0008-0000-0300-0000F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0" name="Rectangle 744">
          <a:extLst>
            <a:ext uri="{FF2B5EF4-FFF2-40B4-BE49-F238E27FC236}">
              <a16:creationId xmlns:a16="http://schemas.microsoft.com/office/drawing/2014/main" xmlns="" id="{00000000-0008-0000-0300-0000F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1" name="Rectangle 745">
          <a:extLst>
            <a:ext uri="{FF2B5EF4-FFF2-40B4-BE49-F238E27FC236}">
              <a16:creationId xmlns:a16="http://schemas.microsoft.com/office/drawing/2014/main" xmlns="" id="{00000000-0008-0000-0300-0000F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2" name="Rectangle 746">
          <a:extLst>
            <a:ext uri="{FF2B5EF4-FFF2-40B4-BE49-F238E27FC236}">
              <a16:creationId xmlns:a16="http://schemas.microsoft.com/office/drawing/2014/main" xmlns="" id="{00000000-0008-0000-0300-0000F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3" name="Rectangle 747">
          <a:extLst>
            <a:ext uri="{FF2B5EF4-FFF2-40B4-BE49-F238E27FC236}">
              <a16:creationId xmlns:a16="http://schemas.microsoft.com/office/drawing/2014/main" xmlns="" id="{00000000-0008-0000-0300-0000F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4" name="Rectangle 748">
          <a:extLst>
            <a:ext uri="{FF2B5EF4-FFF2-40B4-BE49-F238E27FC236}">
              <a16:creationId xmlns:a16="http://schemas.microsoft.com/office/drawing/2014/main" xmlns="" id="{00000000-0008-0000-0300-0000F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5" name="Rectangle 749">
          <a:extLst>
            <a:ext uri="{FF2B5EF4-FFF2-40B4-BE49-F238E27FC236}">
              <a16:creationId xmlns:a16="http://schemas.microsoft.com/office/drawing/2014/main" xmlns="" id="{00000000-0008-0000-0300-0000F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6" name="Rectangle 750">
          <a:extLst>
            <a:ext uri="{FF2B5EF4-FFF2-40B4-BE49-F238E27FC236}">
              <a16:creationId xmlns:a16="http://schemas.microsoft.com/office/drawing/2014/main" xmlns="" id="{00000000-0008-0000-0300-0000F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7" name="Rectangle 751">
          <a:extLst>
            <a:ext uri="{FF2B5EF4-FFF2-40B4-BE49-F238E27FC236}">
              <a16:creationId xmlns:a16="http://schemas.microsoft.com/office/drawing/2014/main" xmlns="" id="{00000000-0008-0000-0300-0000F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8" name="Rectangle 752">
          <a:extLst>
            <a:ext uri="{FF2B5EF4-FFF2-40B4-BE49-F238E27FC236}">
              <a16:creationId xmlns:a16="http://schemas.microsoft.com/office/drawing/2014/main" xmlns="" id="{00000000-0008-0000-0300-0000F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9" name="Rectangle 753">
          <a:extLst>
            <a:ext uri="{FF2B5EF4-FFF2-40B4-BE49-F238E27FC236}">
              <a16:creationId xmlns:a16="http://schemas.microsoft.com/office/drawing/2014/main" xmlns="" id="{00000000-0008-0000-0300-0000F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0" name="Rectangle 754">
          <a:extLst>
            <a:ext uri="{FF2B5EF4-FFF2-40B4-BE49-F238E27FC236}">
              <a16:creationId xmlns:a16="http://schemas.microsoft.com/office/drawing/2014/main" xmlns="" id="{00000000-0008-0000-0300-00000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1" name="Rectangle 755">
          <a:extLst>
            <a:ext uri="{FF2B5EF4-FFF2-40B4-BE49-F238E27FC236}">
              <a16:creationId xmlns:a16="http://schemas.microsoft.com/office/drawing/2014/main" xmlns="" id="{00000000-0008-0000-0300-00000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2" name="Rectangle 756">
          <a:extLst>
            <a:ext uri="{FF2B5EF4-FFF2-40B4-BE49-F238E27FC236}">
              <a16:creationId xmlns:a16="http://schemas.microsoft.com/office/drawing/2014/main" xmlns="" id="{00000000-0008-0000-0300-00000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3" name="Rectangle 757">
          <a:extLst>
            <a:ext uri="{FF2B5EF4-FFF2-40B4-BE49-F238E27FC236}">
              <a16:creationId xmlns:a16="http://schemas.microsoft.com/office/drawing/2014/main" xmlns="" id="{00000000-0008-0000-0300-00000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4" name="Rectangle 758">
          <a:extLst>
            <a:ext uri="{FF2B5EF4-FFF2-40B4-BE49-F238E27FC236}">
              <a16:creationId xmlns:a16="http://schemas.microsoft.com/office/drawing/2014/main" xmlns="" id="{00000000-0008-0000-0300-00000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5" name="Rectangle 759">
          <a:extLst>
            <a:ext uri="{FF2B5EF4-FFF2-40B4-BE49-F238E27FC236}">
              <a16:creationId xmlns:a16="http://schemas.microsoft.com/office/drawing/2014/main" xmlns="" id="{00000000-0008-0000-0300-00000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6" name="Rectangle 760">
          <a:extLst>
            <a:ext uri="{FF2B5EF4-FFF2-40B4-BE49-F238E27FC236}">
              <a16:creationId xmlns:a16="http://schemas.microsoft.com/office/drawing/2014/main" xmlns="" id="{00000000-0008-0000-0300-00000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7" name="Rectangle 761">
          <a:extLst>
            <a:ext uri="{FF2B5EF4-FFF2-40B4-BE49-F238E27FC236}">
              <a16:creationId xmlns:a16="http://schemas.microsoft.com/office/drawing/2014/main" xmlns="" id="{00000000-0008-0000-0300-00000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8" name="Rectangle 762">
          <a:extLst>
            <a:ext uri="{FF2B5EF4-FFF2-40B4-BE49-F238E27FC236}">
              <a16:creationId xmlns:a16="http://schemas.microsoft.com/office/drawing/2014/main" xmlns="" id="{00000000-0008-0000-0300-00000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9" name="Rectangle 763">
          <a:extLst>
            <a:ext uri="{FF2B5EF4-FFF2-40B4-BE49-F238E27FC236}">
              <a16:creationId xmlns:a16="http://schemas.microsoft.com/office/drawing/2014/main" xmlns="" id="{00000000-0008-0000-0300-00000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0" name="Rectangle 764">
          <a:extLst>
            <a:ext uri="{FF2B5EF4-FFF2-40B4-BE49-F238E27FC236}">
              <a16:creationId xmlns:a16="http://schemas.microsoft.com/office/drawing/2014/main" xmlns="" id="{00000000-0008-0000-0300-00000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1" name="Rectangle 765">
          <a:extLst>
            <a:ext uri="{FF2B5EF4-FFF2-40B4-BE49-F238E27FC236}">
              <a16:creationId xmlns:a16="http://schemas.microsoft.com/office/drawing/2014/main" xmlns="" id="{00000000-0008-0000-0300-00000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32" name="Rectangle 766">
          <a:extLst>
            <a:ext uri="{FF2B5EF4-FFF2-40B4-BE49-F238E27FC236}">
              <a16:creationId xmlns:a16="http://schemas.microsoft.com/office/drawing/2014/main" xmlns="" id="{00000000-0008-0000-0300-00000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3" name="Rectangle 767">
          <a:extLst>
            <a:ext uri="{FF2B5EF4-FFF2-40B4-BE49-F238E27FC236}">
              <a16:creationId xmlns:a16="http://schemas.microsoft.com/office/drawing/2014/main" xmlns="" id="{00000000-0008-0000-0300-00000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4" name="Rectangle 768">
          <a:extLst>
            <a:ext uri="{FF2B5EF4-FFF2-40B4-BE49-F238E27FC236}">
              <a16:creationId xmlns:a16="http://schemas.microsoft.com/office/drawing/2014/main" xmlns="" id="{00000000-0008-0000-0300-00000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5" name="Rectangle 769">
          <a:extLst>
            <a:ext uri="{FF2B5EF4-FFF2-40B4-BE49-F238E27FC236}">
              <a16:creationId xmlns:a16="http://schemas.microsoft.com/office/drawing/2014/main" xmlns="" id="{00000000-0008-0000-0300-00000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6" name="Rectangle 770">
          <a:extLst>
            <a:ext uri="{FF2B5EF4-FFF2-40B4-BE49-F238E27FC236}">
              <a16:creationId xmlns:a16="http://schemas.microsoft.com/office/drawing/2014/main" xmlns="" id="{00000000-0008-0000-0300-00001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7" name="Rectangle 771">
          <a:extLst>
            <a:ext uri="{FF2B5EF4-FFF2-40B4-BE49-F238E27FC236}">
              <a16:creationId xmlns:a16="http://schemas.microsoft.com/office/drawing/2014/main" xmlns="" id="{00000000-0008-0000-0300-00001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8" name="Rectangle 772">
          <a:extLst>
            <a:ext uri="{FF2B5EF4-FFF2-40B4-BE49-F238E27FC236}">
              <a16:creationId xmlns:a16="http://schemas.microsoft.com/office/drawing/2014/main" xmlns="" id="{00000000-0008-0000-0300-00001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9" name="Rectangle 773">
          <a:extLst>
            <a:ext uri="{FF2B5EF4-FFF2-40B4-BE49-F238E27FC236}">
              <a16:creationId xmlns:a16="http://schemas.microsoft.com/office/drawing/2014/main" xmlns="" id="{00000000-0008-0000-0300-00001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0" name="Rectangle 774">
          <a:extLst>
            <a:ext uri="{FF2B5EF4-FFF2-40B4-BE49-F238E27FC236}">
              <a16:creationId xmlns:a16="http://schemas.microsoft.com/office/drawing/2014/main" xmlns="" id="{00000000-0008-0000-0300-00001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1" name="Rectangle 775">
          <a:extLst>
            <a:ext uri="{FF2B5EF4-FFF2-40B4-BE49-F238E27FC236}">
              <a16:creationId xmlns:a16="http://schemas.microsoft.com/office/drawing/2014/main" xmlns="" id="{00000000-0008-0000-0300-00001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2" name="Rectangle 776">
          <a:extLst>
            <a:ext uri="{FF2B5EF4-FFF2-40B4-BE49-F238E27FC236}">
              <a16:creationId xmlns:a16="http://schemas.microsoft.com/office/drawing/2014/main" xmlns="" id="{00000000-0008-0000-0300-00001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3" name="Rectangle 777">
          <a:extLst>
            <a:ext uri="{FF2B5EF4-FFF2-40B4-BE49-F238E27FC236}">
              <a16:creationId xmlns:a16="http://schemas.microsoft.com/office/drawing/2014/main" xmlns="" id="{00000000-0008-0000-0300-00001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4" name="Rectangle 778">
          <a:extLst>
            <a:ext uri="{FF2B5EF4-FFF2-40B4-BE49-F238E27FC236}">
              <a16:creationId xmlns:a16="http://schemas.microsoft.com/office/drawing/2014/main" xmlns="" id="{00000000-0008-0000-0300-00001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5" name="Rectangle 779">
          <a:extLst>
            <a:ext uri="{FF2B5EF4-FFF2-40B4-BE49-F238E27FC236}">
              <a16:creationId xmlns:a16="http://schemas.microsoft.com/office/drawing/2014/main" xmlns="" id="{00000000-0008-0000-0300-00001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6" name="Rectangle 780">
          <a:extLst>
            <a:ext uri="{FF2B5EF4-FFF2-40B4-BE49-F238E27FC236}">
              <a16:creationId xmlns:a16="http://schemas.microsoft.com/office/drawing/2014/main" xmlns="" id="{00000000-0008-0000-0300-00001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7" name="Rectangle 781">
          <a:extLst>
            <a:ext uri="{FF2B5EF4-FFF2-40B4-BE49-F238E27FC236}">
              <a16:creationId xmlns:a16="http://schemas.microsoft.com/office/drawing/2014/main" xmlns="" id="{00000000-0008-0000-0300-00001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48" name="Rectangle 1617">
          <a:extLst>
            <a:ext uri="{FF2B5EF4-FFF2-40B4-BE49-F238E27FC236}">
              <a16:creationId xmlns:a16="http://schemas.microsoft.com/office/drawing/2014/main" xmlns="" id="{00000000-0008-0000-0300-00001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49" name="Rectangle 1618">
          <a:extLst>
            <a:ext uri="{FF2B5EF4-FFF2-40B4-BE49-F238E27FC236}">
              <a16:creationId xmlns:a16="http://schemas.microsoft.com/office/drawing/2014/main" xmlns="" id="{00000000-0008-0000-0300-00001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0" name="Rectangle 1619">
          <a:extLst>
            <a:ext uri="{FF2B5EF4-FFF2-40B4-BE49-F238E27FC236}">
              <a16:creationId xmlns:a16="http://schemas.microsoft.com/office/drawing/2014/main" xmlns="" id="{00000000-0008-0000-0300-00001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1" name="Rectangle 1620">
          <a:extLst>
            <a:ext uri="{FF2B5EF4-FFF2-40B4-BE49-F238E27FC236}">
              <a16:creationId xmlns:a16="http://schemas.microsoft.com/office/drawing/2014/main" xmlns="" id="{00000000-0008-0000-0300-00001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2" name="Rectangle 1621">
          <a:extLst>
            <a:ext uri="{FF2B5EF4-FFF2-40B4-BE49-F238E27FC236}">
              <a16:creationId xmlns:a16="http://schemas.microsoft.com/office/drawing/2014/main" xmlns="" id="{00000000-0008-0000-0300-00002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3" name="Rectangle 1622">
          <a:extLst>
            <a:ext uri="{FF2B5EF4-FFF2-40B4-BE49-F238E27FC236}">
              <a16:creationId xmlns:a16="http://schemas.microsoft.com/office/drawing/2014/main" xmlns="" id="{00000000-0008-0000-0300-00002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4" name="Rectangle 1623">
          <a:extLst>
            <a:ext uri="{FF2B5EF4-FFF2-40B4-BE49-F238E27FC236}">
              <a16:creationId xmlns:a16="http://schemas.microsoft.com/office/drawing/2014/main" xmlns="" id="{00000000-0008-0000-0300-00002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5" name="Rectangle 1624">
          <a:extLst>
            <a:ext uri="{FF2B5EF4-FFF2-40B4-BE49-F238E27FC236}">
              <a16:creationId xmlns:a16="http://schemas.microsoft.com/office/drawing/2014/main" xmlns="" id="{00000000-0008-0000-0300-00002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6" name="Rectangle 1625">
          <a:extLst>
            <a:ext uri="{FF2B5EF4-FFF2-40B4-BE49-F238E27FC236}">
              <a16:creationId xmlns:a16="http://schemas.microsoft.com/office/drawing/2014/main" xmlns="" id="{00000000-0008-0000-0300-00002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7" name="Rectangle 1626">
          <a:extLst>
            <a:ext uri="{FF2B5EF4-FFF2-40B4-BE49-F238E27FC236}">
              <a16:creationId xmlns:a16="http://schemas.microsoft.com/office/drawing/2014/main" xmlns="" id="{00000000-0008-0000-0300-00002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8" name="Rectangle 1627">
          <a:extLst>
            <a:ext uri="{FF2B5EF4-FFF2-40B4-BE49-F238E27FC236}">
              <a16:creationId xmlns:a16="http://schemas.microsoft.com/office/drawing/2014/main" xmlns="" id="{00000000-0008-0000-0300-00002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9" name="Rectangle 1628">
          <a:extLst>
            <a:ext uri="{FF2B5EF4-FFF2-40B4-BE49-F238E27FC236}">
              <a16:creationId xmlns:a16="http://schemas.microsoft.com/office/drawing/2014/main" xmlns="" id="{00000000-0008-0000-0300-00002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0" name="Rectangle 1629">
          <a:extLst>
            <a:ext uri="{FF2B5EF4-FFF2-40B4-BE49-F238E27FC236}">
              <a16:creationId xmlns:a16="http://schemas.microsoft.com/office/drawing/2014/main" xmlns="" id="{00000000-0008-0000-0300-00002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1" name="Rectangle 1630">
          <a:extLst>
            <a:ext uri="{FF2B5EF4-FFF2-40B4-BE49-F238E27FC236}">
              <a16:creationId xmlns:a16="http://schemas.microsoft.com/office/drawing/2014/main" xmlns="" id="{00000000-0008-0000-0300-00002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2" name="Rectangle 1631">
          <a:extLst>
            <a:ext uri="{FF2B5EF4-FFF2-40B4-BE49-F238E27FC236}">
              <a16:creationId xmlns:a16="http://schemas.microsoft.com/office/drawing/2014/main" xmlns="" id="{00000000-0008-0000-0300-00002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3" name="Rectangle 1632">
          <a:extLst>
            <a:ext uri="{FF2B5EF4-FFF2-40B4-BE49-F238E27FC236}">
              <a16:creationId xmlns:a16="http://schemas.microsoft.com/office/drawing/2014/main" xmlns="" id="{00000000-0008-0000-0300-00002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4" name="Rectangle 1633">
          <a:extLst>
            <a:ext uri="{FF2B5EF4-FFF2-40B4-BE49-F238E27FC236}">
              <a16:creationId xmlns:a16="http://schemas.microsoft.com/office/drawing/2014/main" xmlns="" id="{00000000-0008-0000-0300-00002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5" name="Rectangle 1634">
          <a:extLst>
            <a:ext uri="{FF2B5EF4-FFF2-40B4-BE49-F238E27FC236}">
              <a16:creationId xmlns:a16="http://schemas.microsoft.com/office/drawing/2014/main" xmlns="" id="{00000000-0008-0000-0300-00002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6" name="Rectangle 1635">
          <a:extLst>
            <a:ext uri="{FF2B5EF4-FFF2-40B4-BE49-F238E27FC236}">
              <a16:creationId xmlns:a16="http://schemas.microsoft.com/office/drawing/2014/main" xmlns="" id="{00000000-0008-0000-0300-00002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7" name="Rectangle 1636">
          <a:extLst>
            <a:ext uri="{FF2B5EF4-FFF2-40B4-BE49-F238E27FC236}">
              <a16:creationId xmlns:a16="http://schemas.microsoft.com/office/drawing/2014/main" xmlns="" id="{00000000-0008-0000-0300-00002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8" name="Rectangle 1637">
          <a:extLst>
            <a:ext uri="{FF2B5EF4-FFF2-40B4-BE49-F238E27FC236}">
              <a16:creationId xmlns:a16="http://schemas.microsoft.com/office/drawing/2014/main" xmlns="" id="{00000000-0008-0000-0300-00003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9" name="Rectangle 1638">
          <a:extLst>
            <a:ext uri="{FF2B5EF4-FFF2-40B4-BE49-F238E27FC236}">
              <a16:creationId xmlns:a16="http://schemas.microsoft.com/office/drawing/2014/main" xmlns="" id="{00000000-0008-0000-0300-00003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0" name="Rectangle 1639">
          <a:extLst>
            <a:ext uri="{FF2B5EF4-FFF2-40B4-BE49-F238E27FC236}">
              <a16:creationId xmlns:a16="http://schemas.microsoft.com/office/drawing/2014/main" xmlns="" id="{00000000-0008-0000-0300-00003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1" name="Rectangle 1640">
          <a:extLst>
            <a:ext uri="{FF2B5EF4-FFF2-40B4-BE49-F238E27FC236}">
              <a16:creationId xmlns:a16="http://schemas.microsoft.com/office/drawing/2014/main" xmlns="" id="{00000000-0008-0000-0300-00003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2" name="Rectangle 1641">
          <a:extLst>
            <a:ext uri="{FF2B5EF4-FFF2-40B4-BE49-F238E27FC236}">
              <a16:creationId xmlns:a16="http://schemas.microsoft.com/office/drawing/2014/main" xmlns="" id="{00000000-0008-0000-0300-00003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3" name="Rectangle 1642">
          <a:extLst>
            <a:ext uri="{FF2B5EF4-FFF2-40B4-BE49-F238E27FC236}">
              <a16:creationId xmlns:a16="http://schemas.microsoft.com/office/drawing/2014/main" xmlns="" id="{00000000-0008-0000-0300-00003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4" name="Rectangle 1643">
          <a:extLst>
            <a:ext uri="{FF2B5EF4-FFF2-40B4-BE49-F238E27FC236}">
              <a16:creationId xmlns:a16="http://schemas.microsoft.com/office/drawing/2014/main" xmlns="" id="{00000000-0008-0000-0300-00003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5" name="Rectangle 1644">
          <a:extLst>
            <a:ext uri="{FF2B5EF4-FFF2-40B4-BE49-F238E27FC236}">
              <a16:creationId xmlns:a16="http://schemas.microsoft.com/office/drawing/2014/main" xmlns="" id="{00000000-0008-0000-0300-00003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6" name="Rectangle 1645">
          <a:extLst>
            <a:ext uri="{FF2B5EF4-FFF2-40B4-BE49-F238E27FC236}">
              <a16:creationId xmlns:a16="http://schemas.microsoft.com/office/drawing/2014/main" xmlns="" id="{00000000-0008-0000-0300-00003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7" name="Rectangle 1646">
          <a:extLst>
            <a:ext uri="{FF2B5EF4-FFF2-40B4-BE49-F238E27FC236}">
              <a16:creationId xmlns:a16="http://schemas.microsoft.com/office/drawing/2014/main" xmlns="" id="{00000000-0008-0000-0300-00003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8" name="Rectangle 1647">
          <a:extLst>
            <a:ext uri="{FF2B5EF4-FFF2-40B4-BE49-F238E27FC236}">
              <a16:creationId xmlns:a16="http://schemas.microsoft.com/office/drawing/2014/main" xmlns="" id="{00000000-0008-0000-0300-00003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9" name="Rectangle 1648">
          <a:extLst>
            <a:ext uri="{FF2B5EF4-FFF2-40B4-BE49-F238E27FC236}">
              <a16:creationId xmlns:a16="http://schemas.microsoft.com/office/drawing/2014/main" xmlns="" id="{00000000-0008-0000-0300-00003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80" name="Rectangle 1649">
          <a:extLst>
            <a:ext uri="{FF2B5EF4-FFF2-40B4-BE49-F238E27FC236}">
              <a16:creationId xmlns:a16="http://schemas.microsoft.com/office/drawing/2014/main" xmlns="" id="{00000000-0008-0000-0300-00003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81" name="Rectangle 1650">
          <a:extLst>
            <a:ext uri="{FF2B5EF4-FFF2-40B4-BE49-F238E27FC236}">
              <a16:creationId xmlns:a16="http://schemas.microsoft.com/office/drawing/2014/main" xmlns="" id="{00000000-0008-0000-0300-00003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2" name="Rectangle 1651">
          <a:extLst>
            <a:ext uri="{FF2B5EF4-FFF2-40B4-BE49-F238E27FC236}">
              <a16:creationId xmlns:a16="http://schemas.microsoft.com/office/drawing/2014/main" xmlns="" id="{00000000-0008-0000-0300-00003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3" name="Rectangle 1652">
          <a:extLst>
            <a:ext uri="{FF2B5EF4-FFF2-40B4-BE49-F238E27FC236}">
              <a16:creationId xmlns:a16="http://schemas.microsoft.com/office/drawing/2014/main" xmlns="" id="{00000000-0008-0000-0300-00003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4" name="Rectangle 1653">
          <a:extLst>
            <a:ext uri="{FF2B5EF4-FFF2-40B4-BE49-F238E27FC236}">
              <a16:creationId xmlns:a16="http://schemas.microsoft.com/office/drawing/2014/main" xmlns="" id="{00000000-0008-0000-0300-00004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5" name="Rectangle 1654">
          <a:extLst>
            <a:ext uri="{FF2B5EF4-FFF2-40B4-BE49-F238E27FC236}">
              <a16:creationId xmlns:a16="http://schemas.microsoft.com/office/drawing/2014/main" xmlns="" id="{00000000-0008-0000-0300-00004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6" name="Rectangle 1655">
          <a:extLst>
            <a:ext uri="{FF2B5EF4-FFF2-40B4-BE49-F238E27FC236}">
              <a16:creationId xmlns:a16="http://schemas.microsoft.com/office/drawing/2014/main" xmlns="" id="{00000000-0008-0000-0300-00004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7" name="Rectangle 1656">
          <a:extLst>
            <a:ext uri="{FF2B5EF4-FFF2-40B4-BE49-F238E27FC236}">
              <a16:creationId xmlns:a16="http://schemas.microsoft.com/office/drawing/2014/main" xmlns="" id="{00000000-0008-0000-0300-00004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8" name="Rectangle 1657">
          <a:extLst>
            <a:ext uri="{FF2B5EF4-FFF2-40B4-BE49-F238E27FC236}">
              <a16:creationId xmlns:a16="http://schemas.microsoft.com/office/drawing/2014/main" xmlns="" id="{00000000-0008-0000-0300-00004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9" name="Rectangle 1658">
          <a:extLst>
            <a:ext uri="{FF2B5EF4-FFF2-40B4-BE49-F238E27FC236}">
              <a16:creationId xmlns:a16="http://schemas.microsoft.com/office/drawing/2014/main" xmlns="" id="{00000000-0008-0000-0300-00004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0" name="Rectangle 1659">
          <a:extLst>
            <a:ext uri="{FF2B5EF4-FFF2-40B4-BE49-F238E27FC236}">
              <a16:creationId xmlns:a16="http://schemas.microsoft.com/office/drawing/2014/main" xmlns="" id="{00000000-0008-0000-0300-00004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1" name="Rectangle 1660">
          <a:extLst>
            <a:ext uri="{FF2B5EF4-FFF2-40B4-BE49-F238E27FC236}">
              <a16:creationId xmlns:a16="http://schemas.microsoft.com/office/drawing/2014/main" xmlns="" id="{00000000-0008-0000-0300-00004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2" name="Rectangle 1661">
          <a:extLst>
            <a:ext uri="{FF2B5EF4-FFF2-40B4-BE49-F238E27FC236}">
              <a16:creationId xmlns:a16="http://schemas.microsoft.com/office/drawing/2014/main" xmlns="" id="{00000000-0008-0000-0300-00004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3" name="Rectangle 1662">
          <a:extLst>
            <a:ext uri="{FF2B5EF4-FFF2-40B4-BE49-F238E27FC236}">
              <a16:creationId xmlns:a16="http://schemas.microsoft.com/office/drawing/2014/main" xmlns="" id="{00000000-0008-0000-0300-00004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4" name="Rectangle 736">
          <a:extLst>
            <a:ext uri="{FF2B5EF4-FFF2-40B4-BE49-F238E27FC236}">
              <a16:creationId xmlns:a16="http://schemas.microsoft.com/office/drawing/2014/main" xmlns="" id="{00000000-0008-0000-0300-00004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5" name="Rectangle 737">
          <a:extLst>
            <a:ext uri="{FF2B5EF4-FFF2-40B4-BE49-F238E27FC236}">
              <a16:creationId xmlns:a16="http://schemas.microsoft.com/office/drawing/2014/main" xmlns="" id="{00000000-0008-0000-0300-00004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6" name="Rectangle 738">
          <a:extLst>
            <a:ext uri="{FF2B5EF4-FFF2-40B4-BE49-F238E27FC236}">
              <a16:creationId xmlns:a16="http://schemas.microsoft.com/office/drawing/2014/main" xmlns="" id="{00000000-0008-0000-0300-00004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7" name="Rectangle 739">
          <a:extLst>
            <a:ext uri="{FF2B5EF4-FFF2-40B4-BE49-F238E27FC236}">
              <a16:creationId xmlns:a16="http://schemas.microsoft.com/office/drawing/2014/main" xmlns="" id="{00000000-0008-0000-0300-00004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8" name="Rectangle 740">
          <a:extLst>
            <a:ext uri="{FF2B5EF4-FFF2-40B4-BE49-F238E27FC236}">
              <a16:creationId xmlns:a16="http://schemas.microsoft.com/office/drawing/2014/main" xmlns="" id="{00000000-0008-0000-0300-00004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9" name="Rectangle 741">
          <a:extLst>
            <a:ext uri="{FF2B5EF4-FFF2-40B4-BE49-F238E27FC236}">
              <a16:creationId xmlns:a16="http://schemas.microsoft.com/office/drawing/2014/main" xmlns="" id="{00000000-0008-0000-0300-00004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0" name="Rectangle 742">
          <a:extLst>
            <a:ext uri="{FF2B5EF4-FFF2-40B4-BE49-F238E27FC236}">
              <a16:creationId xmlns:a16="http://schemas.microsoft.com/office/drawing/2014/main" xmlns="" id="{00000000-0008-0000-0300-00005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1" name="Rectangle 743">
          <a:extLst>
            <a:ext uri="{FF2B5EF4-FFF2-40B4-BE49-F238E27FC236}">
              <a16:creationId xmlns:a16="http://schemas.microsoft.com/office/drawing/2014/main" xmlns="" id="{00000000-0008-0000-0300-00005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2" name="Rectangle 744">
          <a:extLst>
            <a:ext uri="{FF2B5EF4-FFF2-40B4-BE49-F238E27FC236}">
              <a16:creationId xmlns:a16="http://schemas.microsoft.com/office/drawing/2014/main" xmlns="" id="{00000000-0008-0000-0300-00005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3" name="Rectangle 745">
          <a:extLst>
            <a:ext uri="{FF2B5EF4-FFF2-40B4-BE49-F238E27FC236}">
              <a16:creationId xmlns:a16="http://schemas.microsoft.com/office/drawing/2014/main" xmlns="" id="{00000000-0008-0000-0300-00005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4" name="Rectangle 746">
          <a:extLst>
            <a:ext uri="{FF2B5EF4-FFF2-40B4-BE49-F238E27FC236}">
              <a16:creationId xmlns:a16="http://schemas.microsoft.com/office/drawing/2014/main" xmlns="" id="{00000000-0008-0000-0300-00005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5" name="Rectangle 747">
          <a:extLst>
            <a:ext uri="{FF2B5EF4-FFF2-40B4-BE49-F238E27FC236}">
              <a16:creationId xmlns:a16="http://schemas.microsoft.com/office/drawing/2014/main" xmlns="" id="{00000000-0008-0000-0300-00005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6" name="Rectangle 748">
          <a:extLst>
            <a:ext uri="{FF2B5EF4-FFF2-40B4-BE49-F238E27FC236}">
              <a16:creationId xmlns:a16="http://schemas.microsoft.com/office/drawing/2014/main" xmlns="" id="{00000000-0008-0000-0300-00005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7" name="Rectangle 749">
          <a:extLst>
            <a:ext uri="{FF2B5EF4-FFF2-40B4-BE49-F238E27FC236}">
              <a16:creationId xmlns:a16="http://schemas.microsoft.com/office/drawing/2014/main" xmlns="" id="{00000000-0008-0000-0300-00005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8" name="Rectangle 750">
          <a:extLst>
            <a:ext uri="{FF2B5EF4-FFF2-40B4-BE49-F238E27FC236}">
              <a16:creationId xmlns:a16="http://schemas.microsoft.com/office/drawing/2014/main" xmlns="" id="{00000000-0008-0000-0300-00005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9" name="Rectangle 751">
          <a:extLst>
            <a:ext uri="{FF2B5EF4-FFF2-40B4-BE49-F238E27FC236}">
              <a16:creationId xmlns:a16="http://schemas.microsoft.com/office/drawing/2014/main" xmlns="" id="{00000000-0008-0000-0300-00005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0" name="Rectangle 752">
          <a:extLst>
            <a:ext uri="{FF2B5EF4-FFF2-40B4-BE49-F238E27FC236}">
              <a16:creationId xmlns:a16="http://schemas.microsoft.com/office/drawing/2014/main" xmlns="" id="{00000000-0008-0000-0300-00005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1" name="Rectangle 753">
          <a:extLst>
            <a:ext uri="{FF2B5EF4-FFF2-40B4-BE49-F238E27FC236}">
              <a16:creationId xmlns:a16="http://schemas.microsoft.com/office/drawing/2014/main" xmlns="" id="{00000000-0008-0000-0300-00005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2" name="Rectangle 754">
          <a:extLst>
            <a:ext uri="{FF2B5EF4-FFF2-40B4-BE49-F238E27FC236}">
              <a16:creationId xmlns:a16="http://schemas.microsoft.com/office/drawing/2014/main" xmlns="" id="{00000000-0008-0000-0300-00005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3" name="Rectangle 755">
          <a:extLst>
            <a:ext uri="{FF2B5EF4-FFF2-40B4-BE49-F238E27FC236}">
              <a16:creationId xmlns:a16="http://schemas.microsoft.com/office/drawing/2014/main" xmlns="" id="{00000000-0008-0000-0300-00005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4" name="Rectangle 756">
          <a:extLst>
            <a:ext uri="{FF2B5EF4-FFF2-40B4-BE49-F238E27FC236}">
              <a16:creationId xmlns:a16="http://schemas.microsoft.com/office/drawing/2014/main" xmlns="" id="{00000000-0008-0000-0300-00005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5" name="Rectangle 757">
          <a:extLst>
            <a:ext uri="{FF2B5EF4-FFF2-40B4-BE49-F238E27FC236}">
              <a16:creationId xmlns:a16="http://schemas.microsoft.com/office/drawing/2014/main" xmlns="" id="{00000000-0008-0000-0300-00005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6" name="Rectangle 758">
          <a:extLst>
            <a:ext uri="{FF2B5EF4-FFF2-40B4-BE49-F238E27FC236}">
              <a16:creationId xmlns:a16="http://schemas.microsoft.com/office/drawing/2014/main" xmlns="" id="{00000000-0008-0000-0300-00006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7" name="Rectangle 759">
          <a:extLst>
            <a:ext uri="{FF2B5EF4-FFF2-40B4-BE49-F238E27FC236}">
              <a16:creationId xmlns:a16="http://schemas.microsoft.com/office/drawing/2014/main" xmlns="" id="{00000000-0008-0000-0300-00006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8" name="Rectangle 760">
          <a:extLst>
            <a:ext uri="{FF2B5EF4-FFF2-40B4-BE49-F238E27FC236}">
              <a16:creationId xmlns:a16="http://schemas.microsoft.com/office/drawing/2014/main" xmlns="" id="{00000000-0008-0000-0300-00006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9" name="Rectangle 761">
          <a:extLst>
            <a:ext uri="{FF2B5EF4-FFF2-40B4-BE49-F238E27FC236}">
              <a16:creationId xmlns:a16="http://schemas.microsoft.com/office/drawing/2014/main" xmlns="" id="{00000000-0008-0000-0300-00006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0" name="Rectangle 762">
          <a:extLst>
            <a:ext uri="{FF2B5EF4-FFF2-40B4-BE49-F238E27FC236}">
              <a16:creationId xmlns:a16="http://schemas.microsoft.com/office/drawing/2014/main" xmlns="" id="{00000000-0008-0000-0300-00006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1" name="Rectangle 763">
          <a:extLst>
            <a:ext uri="{FF2B5EF4-FFF2-40B4-BE49-F238E27FC236}">
              <a16:creationId xmlns:a16="http://schemas.microsoft.com/office/drawing/2014/main" xmlns="" id="{00000000-0008-0000-0300-00006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2" name="Rectangle 764">
          <a:extLst>
            <a:ext uri="{FF2B5EF4-FFF2-40B4-BE49-F238E27FC236}">
              <a16:creationId xmlns:a16="http://schemas.microsoft.com/office/drawing/2014/main" xmlns="" id="{00000000-0008-0000-0300-00006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3" name="Rectangle 765">
          <a:extLst>
            <a:ext uri="{FF2B5EF4-FFF2-40B4-BE49-F238E27FC236}">
              <a16:creationId xmlns:a16="http://schemas.microsoft.com/office/drawing/2014/main" xmlns="" id="{00000000-0008-0000-0300-00006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4" name="Rectangle 766">
          <a:extLst>
            <a:ext uri="{FF2B5EF4-FFF2-40B4-BE49-F238E27FC236}">
              <a16:creationId xmlns:a16="http://schemas.microsoft.com/office/drawing/2014/main" xmlns="" id="{00000000-0008-0000-0300-00006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5" name="Rectangle 767">
          <a:extLst>
            <a:ext uri="{FF2B5EF4-FFF2-40B4-BE49-F238E27FC236}">
              <a16:creationId xmlns:a16="http://schemas.microsoft.com/office/drawing/2014/main" xmlns="" id="{00000000-0008-0000-0300-00006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6" name="Rectangle 768">
          <a:extLst>
            <a:ext uri="{FF2B5EF4-FFF2-40B4-BE49-F238E27FC236}">
              <a16:creationId xmlns:a16="http://schemas.microsoft.com/office/drawing/2014/main" xmlns="" id="{00000000-0008-0000-0300-00006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7" name="Rectangle 769">
          <a:extLst>
            <a:ext uri="{FF2B5EF4-FFF2-40B4-BE49-F238E27FC236}">
              <a16:creationId xmlns:a16="http://schemas.microsoft.com/office/drawing/2014/main" xmlns="" id="{00000000-0008-0000-0300-00006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8" name="Rectangle 770">
          <a:extLst>
            <a:ext uri="{FF2B5EF4-FFF2-40B4-BE49-F238E27FC236}">
              <a16:creationId xmlns:a16="http://schemas.microsoft.com/office/drawing/2014/main" xmlns="" id="{00000000-0008-0000-0300-00006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9" name="Rectangle 771">
          <a:extLst>
            <a:ext uri="{FF2B5EF4-FFF2-40B4-BE49-F238E27FC236}">
              <a16:creationId xmlns:a16="http://schemas.microsoft.com/office/drawing/2014/main" xmlns="" id="{00000000-0008-0000-0300-00006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0" name="Rectangle 772">
          <a:extLst>
            <a:ext uri="{FF2B5EF4-FFF2-40B4-BE49-F238E27FC236}">
              <a16:creationId xmlns:a16="http://schemas.microsoft.com/office/drawing/2014/main" xmlns="" id="{00000000-0008-0000-0300-00006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1" name="Rectangle 773">
          <a:extLst>
            <a:ext uri="{FF2B5EF4-FFF2-40B4-BE49-F238E27FC236}">
              <a16:creationId xmlns:a16="http://schemas.microsoft.com/office/drawing/2014/main" xmlns="" id="{00000000-0008-0000-0300-00006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2" name="Rectangle 774">
          <a:extLst>
            <a:ext uri="{FF2B5EF4-FFF2-40B4-BE49-F238E27FC236}">
              <a16:creationId xmlns:a16="http://schemas.microsoft.com/office/drawing/2014/main" xmlns="" id="{00000000-0008-0000-0300-00007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3" name="Rectangle 775">
          <a:extLst>
            <a:ext uri="{FF2B5EF4-FFF2-40B4-BE49-F238E27FC236}">
              <a16:creationId xmlns:a16="http://schemas.microsoft.com/office/drawing/2014/main" xmlns="" id="{00000000-0008-0000-0300-00007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4" name="Rectangle 776">
          <a:extLst>
            <a:ext uri="{FF2B5EF4-FFF2-40B4-BE49-F238E27FC236}">
              <a16:creationId xmlns:a16="http://schemas.microsoft.com/office/drawing/2014/main" xmlns="" id="{00000000-0008-0000-0300-00007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5" name="Rectangle 777">
          <a:extLst>
            <a:ext uri="{FF2B5EF4-FFF2-40B4-BE49-F238E27FC236}">
              <a16:creationId xmlns:a16="http://schemas.microsoft.com/office/drawing/2014/main" xmlns="" id="{00000000-0008-0000-0300-00007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6" name="Rectangle 778">
          <a:extLst>
            <a:ext uri="{FF2B5EF4-FFF2-40B4-BE49-F238E27FC236}">
              <a16:creationId xmlns:a16="http://schemas.microsoft.com/office/drawing/2014/main" xmlns="" id="{00000000-0008-0000-0300-00007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7" name="Rectangle 779">
          <a:extLst>
            <a:ext uri="{FF2B5EF4-FFF2-40B4-BE49-F238E27FC236}">
              <a16:creationId xmlns:a16="http://schemas.microsoft.com/office/drawing/2014/main" xmlns="" id="{00000000-0008-0000-0300-00007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8" name="Rectangle 780">
          <a:extLst>
            <a:ext uri="{FF2B5EF4-FFF2-40B4-BE49-F238E27FC236}">
              <a16:creationId xmlns:a16="http://schemas.microsoft.com/office/drawing/2014/main" xmlns="" id="{00000000-0008-0000-0300-00007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9" name="Rectangle 781">
          <a:extLst>
            <a:ext uri="{FF2B5EF4-FFF2-40B4-BE49-F238E27FC236}">
              <a16:creationId xmlns:a16="http://schemas.microsoft.com/office/drawing/2014/main" xmlns="" id="{00000000-0008-0000-0300-00007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0" name="Rectangle 1617">
          <a:extLst>
            <a:ext uri="{FF2B5EF4-FFF2-40B4-BE49-F238E27FC236}">
              <a16:creationId xmlns:a16="http://schemas.microsoft.com/office/drawing/2014/main" xmlns="" id="{00000000-0008-0000-0300-00007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1" name="Rectangle 1618">
          <a:extLst>
            <a:ext uri="{FF2B5EF4-FFF2-40B4-BE49-F238E27FC236}">
              <a16:creationId xmlns:a16="http://schemas.microsoft.com/office/drawing/2014/main" xmlns="" id="{00000000-0008-0000-0300-00007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2" name="Rectangle 1619">
          <a:extLst>
            <a:ext uri="{FF2B5EF4-FFF2-40B4-BE49-F238E27FC236}">
              <a16:creationId xmlns:a16="http://schemas.microsoft.com/office/drawing/2014/main" xmlns="" id="{00000000-0008-0000-0300-00007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3" name="Rectangle 1620">
          <a:extLst>
            <a:ext uri="{FF2B5EF4-FFF2-40B4-BE49-F238E27FC236}">
              <a16:creationId xmlns:a16="http://schemas.microsoft.com/office/drawing/2014/main" xmlns="" id="{00000000-0008-0000-0300-00007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4" name="Rectangle 1621">
          <a:extLst>
            <a:ext uri="{FF2B5EF4-FFF2-40B4-BE49-F238E27FC236}">
              <a16:creationId xmlns:a16="http://schemas.microsoft.com/office/drawing/2014/main" xmlns="" id="{00000000-0008-0000-0300-00007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5" name="Rectangle 1622">
          <a:extLst>
            <a:ext uri="{FF2B5EF4-FFF2-40B4-BE49-F238E27FC236}">
              <a16:creationId xmlns:a16="http://schemas.microsoft.com/office/drawing/2014/main" xmlns="" id="{00000000-0008-0000-0300-00007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6" name="Rectangle 1623">
          <a:extLst>
            <a:ext uri="{FF2B5EF4-FFF2-40B4-BE49-F238E27FC236}">
              <a16:creationId xmlns:a16="http://schemas.microsoft.com/office/drawing/2014/main" xmlns="" id="{00000000-0008-0000-0300-00007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7" name="Rectangle 1624">
          <a:extLst>
            <a:ext uri="{FF2B5EF4-FFF2-40B4-BE49-F238E27FC236}">
              <a16:creationId xmlns:a16="http://schemas.microsoft.com/office/drawing/2014/main" xmlns="" id="{00000000-0008-0000-0300-00007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8" name="Rectangle 1625">
          <a:extLst>
            <a:ext uri="{FF2B5EF4-FFF2-40B4-BE49-F238E27FC236}">
              <a16:creationId xmlns:a16="http://schemas.microsoft.com/office/drawing/2014/main" xmlns="" id="{00000000-0008-0000-0300-00008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9" name="Rectangle 1626">
          <a:extLst>
            <a:ext uri="{FF2B5EF4-FFF2-40B4-BE49-F238E27FC236}">
              <a16:creationId xmlns:a16="http://schemas.microsoft.com/office/drawing/2014/main" xmlns="" id="{00000000-0008-0000-0300-00008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0" name="Rectangle 1627">
          <a:extLst>
            <a:ext uri="{FF2B5EF4-FFF2-40B4-BE49-F238E27FC236}">
              <a16:creationId xmlns:a16="http://schemas.microsoft.com/office/drawing/2014/main" xmlns="" id="{00000000-0008-0000-0300-00008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1" name="Rectangle 1628">
          <a:extLst>
            <a:ext uri="{FF2B5EF4-FFF2-40B4-BE49-F238E27FC236}">
              <a16:creationId xmlns:a16="http://schemas.microsoft.com/office/drawing/2014/main" xmlns="" id="{00000000-0008-0000-0300-00008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2" name="Rectangle 1629">
          <a:extLst>
            <a:ext uri="{FF2B5EF4-FFF2-40B4-BE49-F238E27FC236}">
              <a16:creationId xmlns:a16="http://schemas.microsoft.com/office/drawing/2014/main" xmlns="" id="{00000000-0008-0000-0300-00008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3" name="Rectangle 1630">
          <a:extLst>
            <a:ext uri="{FF2B5EF4-FFF2-40B4-BE49-F238E27FC236}">
              <a16:creationId xmlns:a16="http://schemas.microsoft.com/office/drawing/2014/main" xmlns="" id="{00000000-0008-0000-0300-00008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4" name="Rectangle 1631">
          <a:extLst>
            <a:ext uri="{FF2B5EF4-FFF2-40B4-BE49-F238E27FC236}">
              <a16:creationId xmlns:a16="http://schemas.microsoft.com/office/drawing/2014/main" xmlns="" id="{00000000-0008-0000-0300-00008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5" name="Rectangle 1632">
          <a:extLst>
            <a:ext uri="{FF2B5EF4-FFF2-40B4-BE49-F238E27FC236}">
              <a16:creationId xmlns:a16="http://schemas.microsoft.com/office/drawing/2014/main" xmlns="" id="{00000000-0008-0000-0300-00008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6" name="Rectangle 1633">
          <a:extLst>
            <a:ext uri="{FF2B5EF4-FFF2-40B4-BE49-F238E27FC236}">
              <a16:creationId xmlns:a16="http://schemas.microsoft.com/office/drawing/2014/main" xmlns="" id="{00000000-0008-0000-0300-00008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7" name="Rectangle 1634">
          <a:extLst>
            <a:ext uri="{FF2B5EF4-FFF2-40B4-BE49-F238E27FC236}">
              <a16:creationId xmlns:a16="http://schemas.microsoft.com/office/drawing/2014/main" xmlns="" id="{00000000-0008-0000-0300-00008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8" name="Rectangle 1635">
          <a:extLst>
            <a:ext uri="{FF2B5EF4-FFF2-40B4-BE49-F238E27FC236}">
              <a16:creationId xmlns:a16="http://schemas.microsoft.com/office/drawing/2014/main" xmlns="" id="{00000000-0008-0000-0300-00008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9" name="Rectangle 1636">
          <a:extLst>
            <a:ext uri="{FF2B5EF4-FFF2-40B4-BE49-F238E27FC236}">
              <a16:creationId xmlns:a16="http://schemas.microsoft.com/office/drawing/2014/main" xmlns="" id="{00000000-0008-0000-0300-00008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0" name="Rectangle 1637">
          <a:extLst>
            <a:ext uri="{FF2B5EF4-FFF2-40B4-BE49-F238E27FC236}">
              <a16:creationId xmlns:a16="http://schemas.microsoft.com/office/drawing/2014/main" xmlns="" id="{00000000-0008-0000-0300-00008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1" name="Rectangle 1638">
          <a:extLst>
            <a:ext uri="{FF2B5EF4-FFF2-40B4-BE49-F238E27FC236}">
              <a16:creationId xmlns:a16="http://schemas.microsoft.com/office/drawing/2014/main" xmlns="" id="{00000000-0008-0000-0300-00008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2" name="Rectangle 1639">
          <a:extLst>
            <a:ext uri="{FF2B5EF4-FFF2-40B4-BE49-F238E27FC236}">
              <a16:creationId xmlns:a16="http://schemas.microsoft.com/office/drawing/2014/main" xmlns="" id="{00000000-0008-0000-0300-00008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3" name="Rectangle 1640">
          <a:extLst>
            <a:ext uri="{FF2B5EF4-FFF2-40B4-BE49-F238E27FC236}">
              <a16:creationId xmlns:a16="http://schemas.microsoft.com/office/drawing/2014/main" xmlns="" id="{00000000-0008-0000-0300-00008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4" name="Rectangle 1641">
          <a:extLst>
            <a:ext uri="{FF2B5EF4-FFF2-40B4-BE49-F238E27FC236}">
              <a16:creationId xmlns:a16="http://schemas.microsoft.com/office/drawing/2014/main" xmlns="" id="{00000000-0008-0000-0300-00009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5" name="Rectangle 1642">
          <a:extLst>
            <a:ext uri="{FF2B5EF4-FFF2-40B4-BE49-F238E27FC236}">
              <a16:creationId xmlns:a16="http://schemas.microsoft.com/office/drawing/2014/main" xmlns="" id="{00000000-0008-0000-0300-00009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6" name="Rectangle 1643">
          <a:extLst>
            <a:ext uri="{FF2B5EF4-FFF2-40B4-BE49-F238E27FC236}">
              <a16:creationId xmlns:a16="http://schemas.microsoft.com/office/drawing/2014/main" xmlns="" id="{00000000-0008-0000-0300-00009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7" name="Rectangle 1644">
          <a:extLst>
            <a:ext uri="{FF2B5EF4-FFF2-40B4-BE49-F238E27FC236}">
              <a16:creationId xmlns:a16="http://schemas.microsoft.com/office/drawing/2014/main" xmlns="" id="{00000000-0008-0000-0300-00009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8" name="Rectangle 1645">
          <a:extLst>
            <a:ext uri="{FF2B5EF4-FFF2-40B4-BE49-F238E27FC236}">
              <a16:creationId xmlns:a16="http://schemas.microsoft.com/office/drawing/2014/main" xmlns="" id="{00000000-0008-0000-0300-00009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9" name="Rectangle 1646">
          <a:extLst>
            <a:ext uri="{FF2B5EF4-FFF2-40B4-BE49-F238E27FC236}">
              <a16:creationId xmlns:a16="http://schemas.microsoft.com/office/drawing/2014/main" xmlns="" id="{00000000-0008-0000-0300-00009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70" name="Rectangle 1647">
          <a:extLst>
            <a:ext uri="{FF2B5EF4-FFF2-40B4-BE49-F238E27FC236}">
              <a16:creationId xmlns:a16="http://schemas.microsoft.com/office/drawing/2014/main" xmlns="" id="{00000000-0008-0000-0300-00009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1" name="Rectangle 1648">
          <a:extLst>
            <a:ext uri="{FF2B5EF4-FFF2-40B4-BE49-F238E27FC236}">
              <a16:creationId xmlns:a16="http://schemas.microsoft.com/office/drawing/2014/main" xmlns="" id="{00000000-0008-0000-0300-00009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72" name="Rectangle 1649">
          <a:extLst>
            <a:ext uri="{FF2B5EF4-FFF2-40B4-BE49-F238E27FC236}">
              <a16:creationId xmlns:a16="http://schemas.microsoft.com/office/drawing/2014/main" xmlns="" id="{00000000-0008-0000-0300-00009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3" name="Rectangle 1650">
          <a:extLst>
            <a:ext uri="{FF2B5EF4-FFF2-40B4-BE49-F238E27FC236}">
              <a16:creationId xmlns:a16="http://schemas.microsoft.com/office/drawing/2014/main" xmlns="" id="{00000000-0008-0000-0300-00009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4" name="Rectangle 1651">
          <a:extLst>
            <a:ext uri="{FF2B5EF4-FFF2-40B4-BE49-F238E27FC236}">
              <a16:creationId xmlns:a16="http://schemas.microsoft.com/office/drawing/2014/main" xmlns="" id="{00000000-0008-0000-0300-00009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5" name="Rectangle 1652">
          <a:extLst>
            <a:ext uri="{FF2B5EF4-FFF2-40B4-BE49-F238E27FC236}">
              <a16:creationId xmlns:a16="http://schemas.microsoft.com/office/drawing/2014/main" xmlns="" id="{00000000-0008-0000-0300-00009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6" name="Rectangle 1653">
          <a:extLst>
            <a:ext uri="{FF2B5EF4-FFF2-40B4-BE49-F238E27FC236}">
              <a16:creationId xmlns:a16="http://schemas.microsoft.com/office/drawing/2014/main" xmlns="" id="{00000000-0008-0000-0300-00009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7" name="Rectangle 1654">
          <a:extLst>
            <a:ext uri="{FF2B5EF4-FFF2-40B4-BE49-F238E27FC236}">
              <a16:creationId xmlns:a16="http://schemas.microsoft.com/office/drawing/2014/main" xmlns="" id="{00000000-0008-0000-0300-00009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8" name="Rectangle 1655">
          <a:extLst>
            <a:ext uri="{FF2B5EF4-FFF2-40B4-BE49-F238E27FC236}">
              <a16:creationId xmlns:a16="http://schemas.microsoft.com/office/drawing/2014/main" xmlns="" id="{00000000-0008-0000-0300-00009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9" name="Rectangle 1656">
          <a:extLst>
            <a:ext uri="{FF2B5EF4-FFF2-40B4-BE49-F238E27FC236}">
              <a16:creationId xmlns:a16="http://schemas.microsoft.com/office/drawing/2014/main" xmlns="" id="{00000000-0008-0000-0300-00009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0" name="Rectangle 1657">
          <a:extLst>
            <a:ext uri="{FF2B5EF4-FFF2-40B4-BE49-F238E27FC236}">
              <a16:creationId xmlns:a16="http://schemas.microsoft.com/office/drawing/2014/main" xmlns="" id="{00000000-0008-0000-0300-0000A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1" name="Rectangle 1658">
          <a:extLst>
            <a:ext uri="{FF2B5EF4-FFF2-40B4-BE49-F238E27FC236}">
              <a16:creationId xmlns:a16="http://schemas.microsoft.com/office/drawing/2014/main" xmlns="" id="{00000000-0008-0000-0300-0000A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2" name="Rectangle 1659">
          <a:extLst>
            <a:ext uri="{FF2B5EF4-FFF2-40B4-BE49-F238E27FC236}">
              <a16:creationId xmlns:a16="http://schemas.microsoft.com/office/drawing/2014/main" xmlns="" id="{00000000-0008-0000-0300-0000A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3" name="Rectangle 1660">
          <a:extLst>
            <a:ext uri="{FF2B5EF4-FFF2-40B4-BE49-F238E27FC236}">
              <a16:creationId xmlns:a16="http://schemas.microsoft.com/office/drawing/2014/main" xmlns="" id="{00000000-0008-0000-0300-0000A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4" name="Rectangle 1661">
          <a:extLst>
            <a:ext uri="{FF2B5EF4-FFF2-40B4-BE49-F238E27FC236}">
              <a16:creationId xmlns:a16="http://schemas.microsoft.com/office/drawing/2014/main" xmlns="" id="{00000000-0008-0000-0300-0000A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5" name="Rectangle 1662">
          <a:extLst>
            <a:ext uri="{FF2B5EF4-FFF2-40B4-BE49-F238E27FC236}">
              <a16:creationId xmlns:a16="http://schemas.microsoft.com/office/drawing/2014/main" xmlns="" id="{00000000-0008-0000-0300-0000A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6" name="Rectangle 782">
          <a:extLst>
            <a:ext uri="{FF2B5EF4-FFF2-40B4-BE49-F238E27FC236}">
              <a16:creationId xmlns:a16="http://schemas.microsoft.com/office/drawing/2014/main" xmlns="" id="{00000000-0008-0000-0300-0000A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87" name="Rectangle 783">
          <a:extLst>
            <a:ext uri="{FF2B5EF4-FFF2-40B4-BE49-F238E27FC236}">
              <a16:creationId xmlns:a16="http://schemas.microsoft.com/office/drawing/2014/main" xmlns="" id="{00000000-0008-0000-0300-0000A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88" name="Rectangle 784">
          <a:extLst>
            <a:ext uri="{FF2B5EF4-FFF2-40B4-BE49-F238E27FC236}">
              <a16:creationId xmlns:a16="http://schemas.microsoft.com/office/drawing/2014/main" xmlns="" id="{00000000-0008-0000-0300-0000A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9" name="Rectangle 785">
          <a:extLst>
            <a:ext uri="{FF2B5EF4-FFF2-40B4-BE49-F238E27FC236}">
              <a16:creationId xmlns:a16="http://schemas.microsoft.com/office/drawing/2014/main" xmlns="" id="{00000000-0008-0000-0300-0000A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0" name="Rectangle 786">
          <a:extLst>
            <a:ext uri="{FF2B5EF4-FFF2-40B4-BE49-F238E27FC236}">
              <a16:creationId xmlns:a16="http://schemas.microsoft.com/office/drawing/2014/main" xmlns="" id="{00000000-0008-0000-0300-0000A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1" name="Rectangle 787">
          <a:extLst>
            <a:ext uri="{FF2B5EF4-FFF2-40B4-BE49-F238E27FC236}">
              <a16:creationId xmlns:a16="http://schemas.microsoft.com/office/drawing/2014/main" xmlns="" id="{00000000-0008-0000-0300-0000A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2" name="Rectangle 788">
          <a:extLst>
            <a:ext uri="{FF2B5EF4-FFF2-40B4-BE49-F238E27FC236}">
              <a16:creationId xmlns:a16="http://schemas.microsoft.com/office/drawing/2014/main" xmlns="" id="{00000000-0008-0000-0300-0000A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3" name="Rectangle 789">
          <a:extLst>
            <a:ext uri="{FF2B5EF4-FFF2-40B4-BE49-F238E27FC236}">
              <a16:creationId xmlns:a16="http://schemas.microsoft.com/office/drawing/2014/main" xmlns="" id="{00000000-0008-0000-0300-0000A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4" name="Rectangle 790">
          <a:extLst>
            <a:ext uri="{FF2B5EF4-FFF2-40B4-BE49-F238E27FC236}">
              <a16:creationId xmlns:a16="http://schemas.microsoft.com/office/drawing/2014/main" xmlns="" id="{00000000-0008-0000-0300-0000A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5" name="Rectangle 791">
          <a:extLst>
            <a:ext uri="{FF2B5EF4-FFF2-40B4-BE49-F238E27FC236}">
              <a16:creationId xmlns:a16="http://schemas.microsoft.com/office/drawing/2014/main" xmlns="" id="{00000000-0008-0000-0300-0000A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6" name="Rectangle 792">
          <a:extLst>
            <a:ext uri="{FF2B5EF4-FFF2-40B4-BE49-F238E27FC236}">
              <a16:creationId xmlns:a16="http://schemas.microsoft.com/office/drawing/2014/main" xmlns="" id="{00000000-0008-0000-0300-0000B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7" name="Rectangle 793">
          <a:extLst>
            <a:ext uri="{FF2B5EF4-FFF2-40B4-BE49-F238E27FC236}">
              <a16:creationId xmlns:a16="http://schemas.microsoft.com/office/drawing/2014/main" xmlns="" id="{00000000-0008-0000-0300-0000B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8" name="Rectangle 794">
          <a:extLst>
            <a:ext uri="{FF2B5EF4-FFF2-40B4-BE49-F238E27FC236}">
              <a16:creationId xmlns:a16="http://schemas.microsoft.com/office/drawing/2014/main" xmlns="" id="{00000000-0008-0000-0300-0000B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9" name="Rectangle 795">
          <a:extLst>
            <a:ext uri="{FF2B5EF4-FFF2-40B4-BE49-F238E27FC236}">
              <a16:creationId xmlns:a16="http://schemas.microsoft.com/office/drawing/2014/main" xmlns="" id="{00000000-0008-0000-0300-0000B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0" name="Rectangle 796">
          <a:extLst>
            <a:ext uri="{FF2B5EF4-FFF2-40B4-BE49-F238E27FC236}">
              <a16:creationId xmlns:a16="http://schemas.microsoft.com/office/drawing/2014/main" xmlns="" id="{00000000-0008-0000-0300-0000B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1" name="Rectangle 797">
          <a:extLst>
            <a:ext uri="{FF2B5EF4-FFF2-40B4-BE49-F238E27FC236}">
              <a16:creationId xmlns:a16="http://schemas.microsoft.com/office/drawing/2014/main" xmlns="" id="{00000000-0008-0000-0300-0000B5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2" name="Rectangle 798">
          <a:extLst>
            <a:ext uri="{FF2B5EF4-FFF2-40B4-BE49-F238E27FC236}">
              <a16:creationId xmlns:a16="http://schemas.microsoft.com/office/drawing/2014/main" xmlns="" id="{00000000-0008-0000-0300-0000B6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3" name="Rectangle 799">
          <a:extLst>
            <a:ext uri="{FF2B5EF4-FFF2-40B4-BE49-F238E27FC236}">
              <a16:creationId xmlns:a16="http://schemas.microsoft.com/office/drawing/2014/main" xmlns="" id="{00000000-0008-0000-0300-0000B7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4" name="Rectangle 800">
          <a:extLst>
            <a:ext uri="{FF2B5EF4-FFF2-40B4-BE49-F238E27FC236}">
              <a16:creationId xmlns:a16="http://schemas.microsoft.com/office/drawing/2014/main" xmlns="" id="{00000000-0008-0000-0300-0000B8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5" name="Rectangle 801">
          <a:extLst>
            <a:ext uri="{FF2B5EF4-FFF2-40B4-BE49-F238E27FC236}">
              <a16:creationId xmlns:a16="http://schemas.microsoft.com/office/drawing/2014/main" xmlns="" id="{00000000-0008-0000-0300-0000B9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6" name="Rectangle 802">
          <a:extLst>
            <a:ext uri="{FF2B5EF4-FFF2-40B4-BE49-F238E27FC236}">
              <a16:creationId xmlns:a16="http://schemas.microsoft.com/office/drawing/2014/main" xmlns="" id="{00000000-0008-0000-0300-0000BA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7" name="Rectangle 803">
          <a:extLst>
            <a:ext uri="{FF2B5EF4-FFF2-40B4-BE49-F238E27FC236}">
              <a16:creationId xmlns:a16="http://schemas.microsoft.com/office/drawing/2014/main" xmlns="" id="{00000000-0008-0000-0300-0000BB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8" name="Rectangle 804">
          <a:extLst>
            <a:ext uri="{FF2B5EF4-FFF2-40B4-BE49-F238E27FC236}">
              <a16:creationId xmlns:a16="http://schemas.microsoft.com/office/drawing/2014/main" xmlns="" id="{00000000-0008-0000-0300-0000BC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9" name="Rectangle 805">
          <a:extLst>
            <a:ext uri="{FF2B5EF4-FFF2-40B4-BE49-F238E27FC236}">
              <a16:creationId xmlns:a16="http://schemas.microsoft.com/office/drawing/2014/main" xmlns="" id="{00000000-0008-0000-0300-0000BD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0" name="Rectangle 806">
          <a:extLst>
            <a:ext uri="{FF2B5EF4-FFF2-40B4-BE49-F238E27FC236}">
              <a16:creationId xmlns:a16="http://schemas.microsoft.com/office/drawing/2014/main" xmlns="" id="{00000000-0008-0000-0300-0000BE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1" name="Rectangle 807">
          <a:extLst>
            <a:ext uri="{FF2B5EF4-FFF2-40B4-BE49-F238E27FC236}">
              <a16:creationId xmlns:a16="http://schemas.microsoft.com/office/drawing/2014/main" xmlns="" id="{00000000-0008-0000-0300-0000BF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2" name="Rectangle 808">
          <a:extLst>
            <a:ext uri="{FF2B5EF4-FFF2-40B4-BE49-F238E27FC236}">
              <a16:creationId xmlns:a16="http://schemas.microsoft.com/office/drawing/2014/main" xmlns="" id="{00000000-0008-0000-0300-0000C0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3" name="Rectangle 809">
          <a:extLst>
            <a:ext uri="{FF2B5EF4-FFF2-40B4-BE49-F238E27FC236}">
              <a16:creationId xmlns:a16="http://schemas.microsoft.com/office/drawing/2014/main" xmlns="" id="{00000000-0008-0000-0300-0000C1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4" name="Rectangle 810">
          <a:extLst>
            <a:ext uri="{FF2B5EF4-FFF2-40B4-BE49-F238E27FC236}">
              <a16:creationId xmlns:a16="http://schemas.microsoft.com/office/drawing/2014/main" xmlns="" id="{00000000-0008-0000-0300-0000C2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5" name="Rectangle 811">
          <a:extLst>
            <a:ext uri="{FF2B5EF4-FFF2-40B4-BE49-F238E27FC236}">
              <a16:creationId xmlns:a16="http://schemas.microsoft.com/office/drawing/2014/main" xmlns="" id="{00000000-0008-0000-0300-0000C3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6" name="Rectangle 812">
          <a:extLst>
            <a:ext uri="{FF2B5EF4-FFF2-40B4-BE49-F238E27FC236}">
              <a16:creationId xmlns:a16="http://schemas.microsoft.com/office/drawing/2014/main" xmlns="" id="{00000000-0008-0000-0300-0000C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7" name="Rectangle 813">
          <a:extLst>
            <a:ext uri="{FF2B5EF4-FFF2-40B4-BE49-F238E27FC236}">
              <a16:creationId xmlns:a16="http://schemas.microsoft.com/office/drawing/2014/main" xmlns="" id="{00000000-0008-0000-0300-0000C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8" name="Rectangle 814">
          <a:extLst>
            <a:ext uri="{FF2B5EF4-FFF2-40B4-BE49-F238E27FC236}">
              <a16:creationId xmlns:a16="http://schemas.microsoft.com/office/drawing/2014/main" xmlns="" id="{00000000-0008-0000-0300-0000C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9" name="Rectangle 815">
          <a:extLst>
            <a:ext uri="{FF2B5EF4-FFF2-40B4-BE49-F238E27FC236}">
              <a16:creationId xmlns:a16="http://schemas.microsoft.com/office/drawing/2014/main" xmlns="" id="{00000000-0008-0000-0300-0000C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0" name="Rectangle 816">
          <a:extLst>
            <a:ext uri="{FF2B5EF4-FFF2-40B4-BE49-F238E27FC236}">
              <a16:creationId xmlns:a16="http://schemas.microsoft.com/office/drawing/2014/main" xmlns="" id="{00000000-0008-0000-0300-0000C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1" name="Rectangle 817">
          <a:extLst>
            <a:ext uri="{FF2B5EF4-FFF2-40B4-BE49-F238E27FC236}">
              <a16:creationId xmlns:a16="http://schemas.microsoft.com/office/drawing/2014/main" xmlns="" id="{00000000-0008-0000-0300-0000C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2" name="Rectangle 818">
          <a:extLst>
            <a:ext uri="{FF2B5EF4-FFF2-40B4-BE49-F238E27FC236}">
              <a16:creationId xmlns:a16="http://schemas.microsoft.com/office/drawing/2014/main" xmlns="" id="{00000000-0008-0000-0300-0000C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3" name="Rectangle 819">
          <a:extLst>
            <a:ext uri="{FF2B5EF4-FFF2-40B4-BE49-F238E27FC236}">
              <a16:creationId xmlns:a16="http://schemas.microsoft.com/office/drawing/2014/main" xmlns="" id="{00000000-0008-0000-0300-0000C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4" name="Rectangle 820">
          <a:extLst>
            <a:ext uri="{FF2B5EF4-FFF2-40B4-BE49-F238E27FC236}">
              <a16:creationId xmlns:a16="http://schemas.microsoft.com/office/drawing/2014/main" xmlns="" id="{00000000-0008-0000-0300-0000C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5" name="Rectangle 821">
          <a:extLst>
            <a:ext uri="{FF2B5EF4-FFF2-40B4-BE49-F238E27FC236}">
              <a16:creationId xmlns:a16="http://schemas.microsoft.com/office/drawing/2014/main" xmlns="" id="{00000000-0008-0000-0300-0000C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6" name="Rectangle 822">
          <a:extLst>
            <a:ext uri="{FF2B5EF4-FFF2-40B4-BE49-F238E27FC236}">
              <a16:creationId xmlns:a16="http://schemas.microsoft.com/office/drawing/2014/main" xmlns="" id="{00000000-0008-0000-0300-0000C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7" name="Rectangle 823">
          <a:extLst>
            <a:ext uri="{FF2B5EF4-FFF2-40B4-BE49-F238E27FC236}">
              <a16:creationId xmlns:a16="http://schemas.microsoft.com/office/drawing/2014/main" xmlns="" id="{00000000-0008-0000-0300-0000C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8" name="Rectangle 824">
          <a:extLst>
            <a:ext uri="{FF2B5EF4-FFF2-40B4-BE49-F238E27FC236}">
              <a16:creationId xmlns:a16="http://schemas.microsoft.com/office/drawing/2014/main" xmlns="" id="{00000000-0008-0000-0300-0000D0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9" name="Rectangle 825">
          <a:extLst>
            <a:ext uri="{FF2B5EF4-FFF2-40B4-BE49-F238E27FC236}">
              <a16:creationId xmlns:a16="http://schemas.microsoft.com/office/drawing/2014/main" xmlns="" id="{00000000-0008-0000-0300-0000D1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0" name="Rectangle 826">
          <a:extLst>
            <a:ext uri="{FF2B5EF4-FFF2-40B4-BE49-F238E27FC236}">
              <a16:creationId xmlns:a16="http://schemas.microsoft.com/office/drawing/2014/main" xmlns="" id="{00000000-0008-0000-0300-0000D2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1" name="Rectangle 827">
          <a:extLst>
            <a:ext uri="{FF2B5EF4-FFF2-40B4-BE49-F238E27FC236}">
              <a16:creationId xmlns:a16="http://schemas.microsoft.com/office/drawing/2014/main" xmlns="" id="{00000000-0008-0000-0300-0000D3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2" name="Rectangle 782">
          <a:extLst>
            <a:ext uri="{FF2B5EF4-FFF2-40B4-BE49-F238E27FC236}">
              <a16:creationId xmlns:a16="http://schemas.microsoft.com/office/drawing/2014/main" xmlns="" id="{00000000-0008-0000-0300-0000D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3" name="Rectangle 783">
          <a:extLst>
            <a:ext uri="{FF2B5EF4-FFF2-40B4-BE49-F238E27FC236}">
              <a16:creationId xmlns:a16="http://schemas.microsoft.com/office/drawing/2014/main" xmlns="" id="{00000000-0008-0000-0300-0000D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4" name="Rectangle 784">
          <a:extLst>
            <a:ext uri="{FF2B5EF4-FFF2-40B4-BE49-F238E27FC236}">
              <a16:creationId xmlns:a16="http://schemas.microsoft.com/office/drawing/2014/main" xmlns="" id="{00000000-0008-0000-0300-0000D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5" name="Rectangle 785">
          <a:extLst>
            <a:ext uri="{FF2B5EF4-FFF2-40B4-BE49-F238E27FC236}">
              <a16:creationId xmlns:a16="http://schemas.microsoft.com/office/drawing/2014/main" xmlns="" id="{00000000-0008-0000-0300-0000D7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6" name="Rectangle 786">
          <a:extLst>
            <a:ext uri="{FF2B5EF4-FFF2-40B4-BE49-F238E27FC236}">
              <a16:creationId xmlns:a16="http://schemas.microsoft.com/office/drawing/2014/main" xmlns="" id="{00000000-0008-0000-0300-0000D8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7" name="Rectangle 787">
          <a:extLst>
            <a:ext uri="{FF2B5EF4-FFF2-40B4-BE49-F238E27FC236}">
              <a16:creationId xmlns:a16="http://schemas.microsoft.com/office/drawing/2014/main" xmlns="" id="{00000000-0008-0000-0300-0000D9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8" name="Rectangle 788">
          <a:extLst>
            <a:ext uri="{FF2B5EF4-FFF2-40B4-BE49-F238E27FC236}">
              <a16:creationId xmlns:a16="http://schemas.microsoft.com/office/drawing/2014/main" xmlns="" id="{00000000-0008-0000-0300-0000DA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9" name="Rectangle 789">
          <a:extLst>
            <a:ext uri="{FF2B5EF4-FFF2-40B4-BE49-F238E27FC236}">
              <a16:creationId xmlns:a16="http://schemas.microsoft.com/office/drawing/2014/main" xmlns="" id="{00000000-0008-0000-0300-0000DB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0" name="Rectangle 790">
          <a:extLst>
            <a:ext uri="{FF2B5EF4-FFF2-40B4-BE49-F238E27FC236}">
              <a16:creationId xmlns:a16="http://schemas.microsoft.com/office/drawing/2014/main" xmlns="" id="{00000000-0008-0000-0300-0000DC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1" name="Rectangle 791">
          <a:extLst>
            <a:ext uri="{FF2B5EF4-FFF2-40B4-BE49-F238E27FC236}">
              <a16:creationId xmlns:a16="http://schemas.microsoft.com/office/drawing/2014/main" xmlns="" id="{00000000-0008-0000-0300-0000DD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2" name="Rectangle 792">
          <a:extLst>
            <a:ext uri="{FF2B5EF4-FFF2-40B4-BE49-F238E27FC236}">
              <a16:creationId xmlns:a16="http://schemas.microsoft.com/office/drawing/2014/main" xmlns="" id="{00000000-0008-0000-0300-0000DE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3" name="Rectangle 793">
          <a:extLst>
            <a:ext uri="{FF2B5EF4-FFF2-40B4-BE49-F238E27FC236}">
              <a16:creationId xmlns:a16="http://schemas.microsoft.com/office/drawing/2014/main" xmlns="" id="{00000000-0008-0000-0300-0000DF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4" name="Rectangle 794">
          <a:extLst>
            <a:ext uri="{FF2B5EF4-FFF2-40B4-BE49-F238E27FC236}">
              <a16:creationId xmlns:a16="http://schemas.microsoft.com/office/drawing/2014/main" xmlns="" id="{00000000-0008-0000-0300-0000E0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5" name="Rectangle 795">
          <a:extLst>
            <a:ext uri="{FF2B5EF4-FFF2-40B4-BE49-F238E27FC236}">
              <a16:creationId xmlns:a16="http://schemas.microsoft.com/office/drawing/2014/main" xmlns="" id="{00000000-0008-0000-0300-0000E1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6" name="Rectangle 796">
          <a:extLst>
            <a:ext uri="{FF2B5EF4-FFF2-40B4-BE49-F238E27FC236}">
              <a16:creationId xmlns:a16="http://schemas.microsoft.com/office/drawing/2014/main" xmlns="" id="{00000000-0008-0000-0300-0000E2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7" name="Rectangle 797">
          <a:extLst>
            <a:ext uri="{FF2B5EF4-FFF2-40B4-BE49-F238E27FC236}">
              <a16:creationId xmlns:a16="http://schemas.microsoft.com/office/drawing/2014/main" xmlns="" id="{00000000-0008-0000-0300-0000E3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8" name="Rectangle 798">
          <a:extLst>
            <a:ext uri="{FF2B5EF4-FFF2-40B4-BE49-F238E27FC236}">
              <a16:creationId xmlns:a16="http://schemas.microsoft.com/office/drawing/2014/main" xmlns="" id="{00000000-0008-0000-0300-0000E4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9" name="Rectangle 799">
          <a:extLst>
            <a:ext uri="{FF2B5EF4-FFF2-40B4-BE49-F238E27FC236}">
              <a16:creationId xmlns:a16="http://schemas.microsoft.com/office/drawing/2014/main" xmlns="" id="{00000000-0008-0000-0300-0000E5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0" name="Rectangle 800">
          <a:extLst>
            <a:ext uri="{FF2B5EF4-FFF2-40B4-BE49-F238E27FC236}">
              <a16:creationId xmlns:a16="http://schemas.microsoft.com/office/drawing/2014/main" xmlns="" id="{00000000-0008-0000-0300-0000E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1" name="Rectangle 801">
          <a:extLst>
            <a:ext uri="{FF2B5EF4-FFF2-40B4-BE49-F238E27FC236}">
              <a16:creationId xmlns:a16="http://schemas.microsoft.com/office/drawing/2014/main" xmlns="" id="{00000000-0008-0000-0300-0000E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2" name="Rectangle 802">
          <a:extLst>
            <a:ext uri="{FF2B5EF4-FFF2-40B4-BE49-F238E27FC236}">
              <a16:creationId xmlns:a16="http://schemas.microsoft.com/office/drawing/2014/main" xmlns="" id="{00000000-0008-0000-0300-0000E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3" name="Rectangle 803">
          <a:extLst>
            <a:ext uri="{FF2B5EF4-FFF2-40B4-BE49-F238E27FC236}">
              <a16:creationId xmlns:a16="http://schemas.microsoft.com/office/drawing/2014/main" xmlns="" id="{00000000-0008-0000-0300-0000E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4" name="Rectangle 804">
          <a:extLst>
            <a:ext uri="{FF2B5EF4-FFF2-40B4-BE49-F238E27FC236}">
              <a16:creationId xmlns:a16="http://schemas.microsoft.com/office/drawing/2014/main" xmlns="" id="{00000000-0008-0000-0300-0000E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5" name="Rectangle 805">
          <a:extLst>
            <a:ext uri="{FF2B5EF4-FFF2-40B4-BE49-F238E27FC236}">
              <a16:creationId xmlns:a16="http://schemas.microsoft.com/office/drawing/2014/main" xmlns="" id="{00000000-0008-0000-0300-0000E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6" name="Rectangle 806">
          <a:extLst>
            <a:ext uri="{FF2B5EF4-FFF2-40B4-BE49-F238E27FC236}">
              <a16:creationId xmlns:a16="http://schemas.microsoft.com/office/drawing/2014/main" xmlns="" id="{00000000-0008-0000-0300-0000E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7" name="Rectangle 807">
          <a:extLst>
            <a:ext uri="{FF2B5EF4-FFF2-40B4-BE49-F238E27FC236}">
              <a16:creationId xmlns:a16="http://schemas.microsoft.com/office/drawing/2014/main" xmlns="" id="{00000000-0008-0000-0300-0000E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8" name="Rectangle 808">
          <a:extLst>
            <a:ext uri="{FF2B5EF4-FFF2-40B4-BE49-F238E27FC236}">
              <a16:creationId xmlns:a16="http://schemas.microsoft.com/office/drawing/2014/main" xmlns="" id="{00000000-0008-0000-0300-0000E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9" name="Rectangle 809">
          <a:extLst>
            <a:ext uri="{FF2B5EF4-FFF2-40B4-BE49-F238E27FC236}">
              <a16:creationId xmlns:a16="http://schemas.microsoft.com/office/drawing/2014/main" xmlns="" id="{00000000-0008-0000-0300-0000E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0" name="Rectangle 810">
          <a:extLst>
            <a:ext uri="{FF2B5EF4-FFF2-40B4-BE49-F238E27FC236}">
              <a16:creationId xmlns:a16="http://schemas.microsoft.com/office/drawing/2014/main" xmlns="" id="{00000000-0008-0000-0300-0000F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1" name="Rectangle 811">
          <a:extLst>
            <a:ext uri="{FF2B5EF4-FFF2-40B4-BE49-F238E27FC236}">
              <a16:creationId xmlns:a16="http://schemas.microsoft.com/office/drawing/2014/main" xmlns="" id="{00000000-0008-0000-0300-0000F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62" name="Rectangle 812">
          <a:extLst>
            <a:ext uri="{FF2B5EF4-FFF2-40B4-BE49-F238E27FC236}">
              <a16:creationId xmlns:a16="http://schemas.microsoft.com/office/drawing/2014/main" xmlns="" id="{00000000-0008-0000-0300-0000F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3" name="Rectangle 813">
          <a:extLst>
            <a:ext uri="{FF2B5EF4-FFF2-40B4-BE49-F238E27FC236}">
              <a16:creationId xmlns:a16="http://schemas.microsoft.com/office/drawing/2014/main" xmlns="" id="{00000000-0008-0000-0300-0000F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4" name="Rectangle 814">
          <a:extLst>
            <a:ext uri="{FF2B5EF4-FFF2-40B4-BE49-F238E27FC236}">
              <a16:creationId xmlns:a16="http://schemas.microsoft.com/office/drawing/2014/main" xmlns="" id="{00000000-0008-0000-0300-0000F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5" name="Rectangle 815">
          <a:extLst>
            <a:ext uri="{FF2B5EF4-FFF2-40B4-BE49-F238E27FC236}">
              <a16:creationId xmlns:a16="http://schemas.microsoft.com/office/drawing/2014/main" xmlns="" id="{00000000-0008-0000-0300-0000F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6" name="Rectangle 816">
          <a:extLst>
            <a:ext uri="{FF2B5EF4-FFF2-40B4-BE49-F238E27FC236}">
              <a16:creationId xmlns:a16="http://schemas.microsoft.com/office/drawing/2014/main" xmlns="" id="{00000000-0008-0000-0300-0000F6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7" name="Rectangle 817">
          <a:extLst>
            <a:ext uri="{FF2B5EF4-FFF2-40B4-BE49-F238E27FC236}">
              <a16:creationId xmlns:a16="http://schemas.microsoft.com/office/drawing/2014/main" xmlns="" id="{00000000-0008-0000-0300-0000F7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8" name="Rectangle 818">
          <a:extLst>
            <a:ext uri="{FF2B5EF4-FFF2-40B4-BE49-F238E27FC236}">
              <a16:creationId xmlns:a16="http://schemas.microsoft.com/office/drawing/2014/main" xmlns="" id="{00000000-0008-0000-0300-0000F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9" name="Rectangle 819">
          <a:extLst>
            <a:ext uri="{FF2B5EF4-FFF2-40B4-BE49-F238E27FC236}">
              <a16:creationId xmlns:a16="http://schemas.microsoft.com/office/drawing/2014/main" xmlns="" id="{00000000-0008-0000-0300-0000F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0" name="Rectangle 820">
          <a:extLst>
            <a:ext uri="{FF2B5EF4-FFF2-40B4-BE49-F238E27FC236}">
              <a16:creationId xmlns:a16="http://schemas.microsoft.com/office/drawing/2014/main" xmlns="" id="{00000000-0008-0000-0300-0000F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1" name="Rectangle 821">
          <a:extLst>
            <a:ext uri="{FF2B5EF4-FFF2-40B4-BE49-F238E27FC236}">
              <a16:creationId xmlns:a16="http://schemas.microsoft.com/office/drawing/2014/main" xmlns="" id="{00000000-0008-0000-0300-0000F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2" name="Rectangle 822">
          <a:extLst>
            <a:ext uri="{FF2B5EF4-FFF2-40B4-BE49-F238E27FC236}">
              <a16:creationId xmlns:a16="http://schemas.microsoft.com/office/drawing/2014/main" xmlns="" id="{00000000-0008-0000-0300-0000F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3" name="Rectangle 823">
          <a:extLst>
            <a:ext uri="{FF2B5EF4-FFF2-40B4-BE49-F238E27FC236}">
              <a16:creationId xmlns:a16="http://schemas.microsoft.com/office/drawing/2014/main" xmlns="" id="{00000000-0008-0000-0300-0000F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4" name="Rectangle 824">
          <a:extLst>
            <a:ext uri="{FF2B5EF4-FFF2-40B4-BE49-F238E27FC236}">
              <a16:creationId xmlns:a16="http://schemas.microsoft.com/office/drawing/2014/main" xmlns="" id="{00000000-0008-0000-0300-0000F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5" name="Rectangle 825">
          <a:extLst>
            <a:ext uri="{FF2B5EF4-FFF2-40B4-BE49-F238E27FC236}">
              <a16:creationId xmlns:a16="http://schemas.microsoft.com/office/drawing/2014/main" xmlns="" id="{00000000-0008-0000-0300-0000F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6" name="Rectangle 826">
          <a:extLst>
            <a:ext uri="{FF2B5EF4-FFF2-40B4-BE49-F238E27FC236}">
              <a16:creationId xmlns:a16="http://schemas.microsoft.com/office/drawing/2014/main" xmlns="" id="{00000000-0008-0000-0300-000000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7" name="Rectangle 827">
          <a:extLst>
            <a:ext uri="{FF2B5EF4-FFF2-40B4-BE49-F238E27FC236}">
              <a16:creationId xmlns:a16="http://schemas.microsoft.com/office/drawing/2014/main" xmlns="" id="{00000000-0008-0000-0300-000001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78" name="Rectangle 782">
          <a:extLst>
            <a:ext uri="{FF2B5EF4-FFF2-40B4-BE49-F238E27FC236}">
              <a16:creationId xmlns:a16="http://schemas.microsoft.com/office/drawing/2014/main" xmlns="" id="{00000000-0008-0000-0300-00000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79" name="Rectangle 783">
          <a:extLst>
            <a:ext uri="{FF2B5EF4-FFF2-40B4-BE49-F238E27FC236}">
              <a16:creationId xmlns:a16="http://schemas.microsoft.com/office/drawing/2014/main" xmlns="" id="{00000000-0008-0000-0300-00000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0" name="Rectangle 784">
          <a:extLst>
            <a:ext uri="{FF2B5EF4-FFF2-40B4-BE49-F238E27FC236}">
              <a16:creationId xmlns:a16="http://schemas.microsoft.com/office/drawing/2014/main" xmlns="" id="{00000000-0008-0000-0300-00000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1" name="Rectangle 785">
          <a:extLst>
            <a:ext uri="{FF2B5EF4-FFF2-40B4-BE49-F238E27FC236}">
              <a16:creationId xmlns:a16="http://schemas.microsoft.com/office/drawing/2014/main" xmlns="" id="{00000000-0008-0000-0300-00000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2" name="Rectangle 786">
          <a:extLst>
            <a:ext uri="{FF2B5EF4-FFF2-40B4-BE49-F238E27FC236}">
              <a16:creationId xmlns:a16="http://schemas.microsoft.com/office/drawing/2014/main" xmlns="" id="{00000000-0008-0000-0300-00000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3" name="Rectangle 787">
          <a:extLst>
            <a:ext uri="{FF2B5EF4-FFF2-40B4-BE49-F238E27FC236}">
              <a16:creationId xmlns:a16="http://schemas.microsoft.com/office/drawing/2014/main" xmlns="" id="{00000000-0008-0000-0300-00000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4" name="Rectangle 788">
          <a:extLst>
            <a:ext uri="{FF2B5EF4-FFF2-40B4-BE49-F238E27FC236}">
              <a16:creationId xmlns:a16="http://schemas.microsoft.com/office/drawing/2014/main" xmlns="" id="{00000000-0008-0000-0300-00000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5" name="Rectangle 789">
          <a:extLst>
            <a:ext uri="{FF2B5EF4-FFF2-40B4-BE49-F238E27FC236}">
              <a16:creationId xmlns:a16="http://schemas.microsoft.com/office/drawing/2014/main" xmlns="" id="{00000000-0008-0000-0300-00000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6" name="Rectangle 790">
          <a:extLst>
            <a:ext uri="{FF2B5EF4-FFF2-40B4-BE49-F238E27FC236}">
              <a16:creationId xmlns:a16="http://schemas.microsoft.com/office/drawing/2014/main" xmlns="" id="{00000000-0008-0000-0300-00000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7" name="Rectangle 791">
          <a:extLst>
            <a:ext uri="{FF2B5EF4-FFF2-40B4-BE49-F238E27FC236}">
              <a16:creationId xmlns:a16="http://schemas.microsoft.com/office/drawing/2014/main" xmlns="" id="{00000000-0008-0000-0300-00000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8" name="Rectangle 792">
          <a:extLst>
            <a:ext uri="{FF2B5EF4-FFF2-40B4-BE49-F238E27FC236}">
              <a16:creationId xmlns:a16="http://schemas.microsoft.com/office/drawing/2014/main" xmlns="" id="{00000000-0008-0000-0300-00000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9" name="Rectangle 793">
          <a:extLst>
            <a:ext uri="{FF2B5EF4-FFF2-40B4-BE49-F238E27FC236}">
              <a16:creationId xmlns:a16="http://schemas.microsoft.com/office/drawing/2014/main" xmlns="" id="{00000000-0008-0000-0300-00000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0" name="Rectangle 794">
          <a:extLst>
            <a:ext uri="{FF2B5EF4-FFF2-40B4-BE49-F238E27FC236}">
              <a16:creationId xmlns:a16="http://schemas.microsoft.com/office/drawing/2014/main" xmlns="" id="{00000000-0008-0000-0300-00000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1" name="Rectangle 795">
          <a:extLst>
            <a:ext uri="{FF2B5EF4-FFF2-40B4-BE49-F238E27FC236}">
              <a16:creationId xmlns:a16="http://schemas.microsoft.com/office/drawing/2014/main" xmlns="" id="{00000000-0008-0000-0300-00000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2" name="Rectangle 796">
          <a:extLst>
            <a:ext uri="{FF2B5EF4-FFF2-40B4-BE49-F238E27FC236}">
              <a16:creationId xmlns:a16="http://schemas.microsoft.com/office/drawing/2014/main" xmlns="" id="{00000000-0008-0000-0300-00001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3" name="Rectangle 797">
          <a:extLst>
            <a:ext uri="{FF2B5EF4-FFF2-40B4-BE49-F238E27FC236}">
              <a16:creationId xmlns:a16="http://schemas.microsoft.com/office/drawing/2014/main" xmlns="" id="{00000000-0008-0000-0300-000011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4" name="Rectangle 798">
          <a:extLst>
            <a:ext uri="{FF2B5EF4-FFF2-40B4-BE49-F238E27FC236}">
              <a16:creationId xmlns:a16="http://schemas.microsoft.com/office/drawing/2014/main" xmlns="" id="{00000000-0008-0000-0300-000012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5" name="Rectangle 799">
          <a:extLst>
            <a:ext uri="{FF2B5EF4-FFF2-40B4-BE49-F238E27FC236}">
              <a16:creationId xmlns:a16="http://schemas.microsoft.com/office/drawing/2014/main" xmlns="" id="{00000000-0008-0000-0300-000013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6" name="Rectangle 800">
          <a:extLst>
            <a:ext uri="{FF2B5EF4-FFF2-40B4-BE49-F238E27FC236}">
              <a16:creationId xmlns:a16="http://schemas.microsoft.com/office/drawing/2014/main" xmlns="" id="{00000000-0008-0000-0300-000014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7" name="Rectangle 801">
          <a:extLst>
            <a:ext uri="{FF2B5EF4-FFF2-40B4-BE49-F238E27FC236}">
              <a16:creationId xmlns:a16="http://schemas.microsoft.com/office/drawing/2014/main" xmlns="" id="{00000000-0008-0000-0300-000015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8" name="Rectangle 802">
          <a:extLst>
            <a:ext uri="{FF2B5EF4-FFF2-40B4-BE49-F238E27FC236}">
              <a16:creationId xmlns:a16="http://schemas.microsoft.com/office/drawing/2014/main" xmlns="" id="{00000000-0008-0000-0300-000016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9" name="Rectangle 803">
          <a:extLst>
            <a:ext uri="{FF2B5EF4-FFF2-40B4-BE49-F238E27FC236}">
              <a16:creationId xmlns:a16="http://schemas.microsoft.com/office/drawing/2014/main" xmlns="" id="{00000000-0008-0000-0300-000017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0" name="Rectangle 804">
          <a:extLst>
            <a:ext uri="{FF2B5EF4-FFF2-40B4-BE49-F238E27FC236}">
              <a16:creationId xmlns:a16="http://schemas.microsoft.com/office/drawing/2014/main" xmlns="" id="{00000000-0008-0000-0300-000018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1" name="Rectangle 805">
          <a:extLst>
            <a:ext uri="{FF2B5EF4-FFF2-40B4-BE49-F238E27FC236}">
              <a16:creationId xmlns:a16="http://schemas.microsoft.com/office/drawing/2014/main" xmlns="" id="{00000000-0008-0000-0300-000019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2" name="Rectangle 806">
          <a:extLst>
            <a:ext uri="{FF2B5EF4-FFF2-40B4-BE49-F238E27FC236}">
              <a16:creationId xmlns:a16="http://schemas.microsoft.com/office/drawing/2014/main" xmlns="" id="{00000000-0008-0000-0300-00001A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3" name="Rectangle 807">
          <a:extLst>
            <a:ext uri="{FF2B5EF4-FFF2-40B4-BE49-F238E27FC236}">
              <a16:creationId xmlns:a16="http://schemas.microsoft.com/office/drawing/2014/main" xmlns="" id="{00000000-0008-0000-0300-00001B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4" name="Rectangle 808">
          <a:extLst>
            <a:ext uri="{FF2B5EF4-FFF2-40B4-BE49-F238E27FC236}">
              <a16:creationId xmlns:a16="http://schemas.microsoft.com/office/drawing/2014/main" xmlns="" id="{00000000-0008-0000-0300-00001C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5" name="Rectangle 809">
          <a:extLst>
            <a:ext uri="{FF2B5EF4-FFF2-40B4-BE49-F238E27FC236}">
              <a16:creationId xmlns:a16="http://schemas.microsoft.com/office/drawing/2014/main" xmlns="" id="{00000000-0008-0000-0300-00001D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6" name="Rectangle 810">
          <a:extLst>
            <a:ext uri="{FF2B5EF4-FFF2-40B4-BE49-F238E27FC236}">
              <a16:creationId xmlns:a16="http://schemas.microsoft.com/office/drawing/2014/main" xmlns="" id="{00000000-0008-0000-0300-00001E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7" name="Rectangle 811">
          <a:extLst>
            <a:ext uri="{FF2B5EF4-FFF2-40B4-BE49-F238E27FC236}">
              <a16:creationId xmlns:a16="http://schemas.microsoft.com/office/drawing/2014/main" xmlns="" id="{00000000-0008-0000-0300-00001F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8" name="Rectangle 812">
          <a:extLst>
            <a:ext uri="{FF2B5EF4-FFF2-40B4-BE49-F238E27FC236}">
              <a16:creationId xmlns:a16="http://schemas.microsoft.com/office/drawing/2014/main" xmlns="" id="{00000000-0008-0000-0300-00002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9" name="Rectangle 813">
          <a:extLst>
            <a:ext uri="{FF2B5EF4-FFF2-40B4-BE49-F238E27FC236}">
              <a16:creationId xmlns:a16="http://schemas.microsoft.com/office/drawing/2014/main" xmlns="" id="{00000000-0008-0000-0300-00002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10" name="Rectangle 814">
          <a:extLst>
            <a:ext uri="{FF2B5EF4-FFF2-40B4-BE49-F238E27FC236}">
              <a16:creationId xmlns:a16="http://schemas.microsoft.com/office/drawing/2014/main" xmlns="" id="{00000000-0008-0000-0300-00002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11" name="Rectangle 815">
          <a:extLst>
            <a:ext uri="{FF2B5EF4-FFF2-40B4-BE49-F238E27FC236}">
              <a16:creationId xmlns:a16="http://schemas.microsoft.com/office/drawing/2014/main" xmlns="" id="{00000000-0008-0000-0300-00002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2" name="Rectangle 816">
          <a:extLst>
            <a:ext uri="{FF2B5EF4-FFF2-40B4-BE49-F238E27FC236}">
              <a16:creationId xmlns:a16="http://schemas.microsoft.com/office/drawing/2014/main" xmlns="" id="{00000000-0008-0000-0300-00002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3" name="Rectangle 817">
          <a:extLst>
            <a:ext uri="{FF2B5EF4-FFF2-40B4-BE49-F238E27FC236}">
              <a16:creationId xmlns:a16="http://schemas.microsoft.com/office/drawing/2014/main" xmlns="" id="{00000000-0008-0000-0300-00002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4" name="Rectangle 818">
          <a:extLst>
            <a:ext uri="{FF2B5EF4-FFF2-40B4-BE49-F238E27FC236}">
              <a16:creationId xmlns:a16="http://schemas.microsoft.com/office/drawing/2014/main" xmlns="" id="{00000000-0008-0000-0300-00002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5" name="Rectangle 819">
          <a:extLst>
            <a:ext uri="{FF2B5EF4-FFF2-40B4-BE49-F238E27FC236}">
              <a16:creationId xmlns:a16="http://schemas.microsoft.com/office/drawing/2014/main" xmlns="" id="{00000000-0008-0000-0300-00002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6" name="Rectangle 820">
          <a:extLst>
            <a:ext uri="{FF2B5EF4-FFF2-40B4-BE49-F238E27FC236}">
              <a16:creationId xmlns:a16="http://schemas.microsoft.com/office/drawing/2014/main" xmlns="" id="{00000000-0008-0000-0300-00002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7" name="Rectangle 821">
          <a:extLst>
            <a:ext uri="{FF2B5EF4-FFF2-40B4-BE49-F238E27FC236}">
              <a16:creationId xmlns:a16="http://schemas.microsoft.com/office/drawing/2014/main" xmlns="" id="{00000000-0008-0000-0300-00002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8" name="Rectangle 822">
          <a:extLst>
            <a:ext uri="{FF2B5EF4-FFF2-40B4-BE49-F238E27FC236}">
              <a16:creationId xmlns:a16="http://schemas.microsoft.com/office/drawing/2014/main" xmlns="" id="{00000000-0008-0000-0300-00002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9" name="Rectangle 823">
          <a:extLst>
            <a:ext uri="{FF2B5EF4-FFF2-40B4-BE49-F238E27FC236}">
              <a16:creationId xmlns:a16="http://schemas.microsoft.com/office/drawing/2014/main" xmlns="" id="{00000000-0008-0000-0300-00002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0" name="Rectangle 824">
          <a:extLst>
            <a:ext uri="{FF2B5EF4-FFF2-40B4-BE49-F238E27FC236}">
              <a16:creationId xmlns:a16="http://schemas.microsoft.com/office/drawing/2014/main" xmlns="" id="{00000000-0008-0000-0300-00002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1" name="Rectangle 825">
          <a:extLst>
            <a:ext uri="{FF2B5EF4-FFF2-40B4-BE49-F238E27FC236}">
              <a16:creationId xmlns:a16="http://schemas.microsoft.com/office/drawing/2014/main" xmlns="" id="{00000000-0008-0000-0300-00002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2" name="Rectangle 826">
          <a:extLst>
            <a:ext uri="{FF2B5EF4-FFF2-40B4-BE49-F238E27FC236}">
              <a16:creationId xmlns:a16="http://schemas.microsoft.com/office/drawing/2014/main" xmlns="" id="{00000000-0008-0000-0300-00002E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3" name="Rectangle 827">
          <a:extLst>
            <a:ext uri="{FF2B5EF4-FFF2-40B4-BE49-F238E27FC236}">
              <a16:creationId xmlns:a16="http://schemas.microsoft.com/office/drawing/2014/main" xmlns="" id="{00000000-0008-0000-0300-00002F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4" name="Rectangle 782">
          <a:extLst>
            <a:ext uri="{FF2B5EF4-FFF2-40B4-BE49-F238E27FC236}">
              <a16:creationId xmlns:a16="http://schemas.microsoft.com/office/drawing/2014/main" xmlns="" id="{00000000-0008-0000-0300-00003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5" name="Rectangle 783">
          <a:extLst>
            <a:ext uri="{FF2B5EF4-FFF2-40B4-BE49-F238E27FC236}">
              <a16:creationId xmlns:a16="http://schemas.microsoft.com/office/drawing/2014/main" xmlns="" id="{00000000-0008-0000-0300-00003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6" name="Rectangle 784">
          <a:extLst>
            <a:ext uri="{FF2B5EF4-FFF2-40B4-BE49-F238E27FC236}">
              <a16:creationId xmlns:a16="http://schemas.microsoft.com/office/drawing/2014/main" xmlns="" id="{00000000-0008-0000-0300-00003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7" name="Rectangle 785">
          <a:extLst>
            <a:ext uri="{FF2B5EF4-FFF2-40B4-BE49-F238E27FC236}">
              <a16:creationId xmlns:a16="http://schemas.microsoft.com/office/drawing/2014/main" xmlns="" id="{00000000-0008-0000-0300-000033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8" name="Rectangle 786">
          <a:extLst>
            <a:ext uri="{FF2B5EF4-FFF2-40B4-BE49-F238E27FC236}">
              <a16:creationId xmlns:a16="http://schemas.microsoft.com/office/drawing/2014/main" xmlns="" id="{00000000-0008-0000-0300-000034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9" name="Rectangle 787">
          <a:extLst>
            <a:ext uri="{FF2B5EF4-FFF2-40B4-BE49-F238E27FC236}">
              <a16:creationId xmlns:a16="http://schemas.microsoft.com/office/drawing/2014/main" xmlns="" id="{00000000-0008-0000-0300-000035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0" name="Rectangle 788">
          <a:extLst>
            <a:ext uri="{FF2B5EF4-FFF2-40B4-BE49-F238E27FC236}">
              <a16:creationId xmlns:a16="http://schemas.microsoft.com/office/drawing/2014/main" xmlns="" id="{00000000-0008-0000-0300-000036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1" name="Rectangle 789">
          <a:extLst>
            <a:ext uri="{FF2B5EF4-FFF2-40B4-BE49-F238E27FC236}">
              <a16:creationId xmlns:a16="http://schemas.microsoft.com/office/drawing/2014/main" xmlns="" id="{00000000-0008-0000-0300-000037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2" name="Rectangle 790">
          <a:extLst>
            <a:ext uri="{FF2B5EF4-FFF2-40B4-BE49-F238E27FC236}">
              <a16:creationId xmlns:a16="http://schemas.microsoft.com/office/drawing/2014/main" xmlns="" id="{00000000-0008-0000-0300-000038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3" name="Rectangle 791">
          <a:extLst>
            <a:ext uri="{FF2B5EF4-FFF2-40B4-BE49-F238E27FC236}">
              <a16:creationId xmlns:a16="http://schemas.microsoft.com/office/drawing/2014/main" xmlns="" id="{00000000-0008-0000-0300-000039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4" name="Rectangle 792">
          <a:extLst>
            <a:ext uri="{FF2B5EF4-FFF2-40B4-BE49-F238E27FC236}">
              <a16:creationId xmlns:a16="http://schemas.microsoft.com/office/drawing/2014/main" xmlns="" id="{00000000-0008-0000-0300-00003A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5" name="Rectangle 793">
          <a:extLst>
            <a:ext uri="{FF2B5EF4-FFF2-40B4-BE49-F238E27FC236}">
              <a16:creationId xmlns:a16="http://schemas.microsoft.com/office/drawing/2014/main" xmlns="" id="{00000000-0008-0000-0300-00003B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6" name="Rectangle 794">
          <a:extLst>
            <a:ext uri="{FF2B5EF4-FFF2-40B4-BE49-F238E27FC236}">
              <a16:creationId xmlns:a16="http://schemas.microsoft.com/office/drawing/2014/main" xmlns="" id="{00000000-0008-0000-0300-00003C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7" name="Rectangle 795">
          <a:extLst>
            <a:ext uri="{FF2B5EF4-FFF2-40B4-BE49-F238E27FC236}">
              <a16:creationId xmlns:a16="http://schemas.microsoft.com/office/drawing/2014/main" xmlns="" id="{00000000-0008-0000-0300-00003D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8" name="Rectangle 796">
          <a:extLst>
            <a:ext uri="{FF2B5EF4-FFF2-40B4-BE49-F238E27FC236}">
              <a16:creationId xmlns:a16="http://schemas.microsoft.com/office/drawing/2014/main" xmlns="" id="{00000000-0008-0000-0300-00003E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9" name="Rectangle 797">
          <a:extLst>
            <a:ext uri="{FF2B5EF4-FFF2-40B4-BE49-F238E27FC236}">
              <a16:creationId xmlns:a16="http://schemas.microsoft.com/office/drawing/2014/main" xmlns="" id="{00000000-0008-0000-0300-00003F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0" name="Rectangle 798">
          <a:extLst>
            <a:ext uri="{FF2B5EF4-FFF2-40B4-BE49-F238E27FC236}">
              <a16:creationId xmlns:a16="http://schemas.microsoft.com/office/drawing/2014/main" xmlns="" id="{00000000-0008-0000-0300-000040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1" name="Rectangle 799">
          <a:extLst>
            <a:ext uri="{FF2B5EF4-FFF2-40B4-BE49-F238E27FC236}">
              <a16:creationId xmlns:a16="http://schemas.microsoft.com/office/drawing/2014/main" xmlns="" id="{00000000-0008-0000-0300-000041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2" name="Rectangle 800">
          <a:extLst>
            <a:ext uri="{FF2B5EF4-FFF2-40B4-BE49-F238E27FC236}">
              <a16:creationId xmlns:a16="http://schemas.microsoft.com/office/drawing/2014/main" xmlns="" id="{00000000-0008-0000-0300-00004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3" name="Rectangle 801">
          <a:extLst>
            <a:ext uri="{FF2B5EF4-FFF2-40B4-BE49-F238E27FC236}">
              <a16:creationId xmlns:a16="http://schemas.microsoft.com/office/drawing/2014/main" xmlns="" id="{00000000-0008-0000-0300-00004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4" name="Rectangle 802">
          <a:extLst>
            <a:ext uri="{FF2B5EF4-FFF2-40B4-BE49-F238E27FC236}">
              <a16:creationId xmlns:a16="http://schemas.microsoft.com/office/drawing/2014/main" xmlns="" id="{00000000-0008-0000-0300-00004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5" name="Rectangle 803">
          <a:extLst>
            <a:ext uri="{FF2B5EF4-FFF2-40B4-BE49-F238E27FC236}">
              <a16:creationId xmlns:a16="http://schemas.microsoft.com/office/drawing/2014/main" xmlns="" id="{00000000-0008-0000-0300-00004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6" name="Rectangle 804">
          <a:extLst>
            <a:ext uri="{FF2B5EF4-FFF2-40B4-BE49-F238E27FC236}">
              <a16:creationId xmlns:a16="http://schemas.microsoft.com/office/drawing/2014/main" xmlns="" id="{00000000-0008-0000-0300-00004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7" name="Rectangle 805">
          <a:extLst>
            <a:ext uri="{FF2B5EF4-FFF2-40B4-BE49-F238E27FC236}">
              <a16:creationId xmlns:a16="http://schemas.microsoft.com/office/drawing/2014/main" xmlns="" id="{00000000-0008-0000-0300-00004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8" name="Rectangle 806">
          <a:extLst>
            <a:ext uri="{FF2B5EF4-FFF2-40B4-BE49-F238E27FC236}">
              <a16:creationId xmlns:a16="http://schemas.microsoft.com/office/drawing/2014/main" xmlns="" id="{00000000-0008-0000-0300-00004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9" name="Rectangle 807">
          <a:extLst>
            <a:ext uri="{FF2B5EF4-FFF2-40B4-BE49-F238E27FC236}">
              <a16:creationId xmlns:a16="http://schemas.microsoft.com/office/drawing/2014/main" xmlns="" id="{00000000-0008-0000-0300-00004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0" name="Rectangle 808">
          <a:extLst>
            <a:ext uri="{FF2B5EF4-FFF2-40B4-BE49-F238E27FC236}">
              <a16:creationId xmlns:a16="http://schemas.microsoft.com/office/drawing/2014/main" xmlns="" id="{00000000-0008-0000-0300-00004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1" name="Rectangle 809">
          <a:extLst>
            <a:ext uri="{FF2B5EF4-FFF2-40B4-BE49-F238E27FC236}">
              <a16:creationId xmlns:a16="http://schemas.microsoft.com/office/drawing/2014/main" xmlns="" id="{00000000-0008-0000-0300-00004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2" name="Rectangle 810">
          <a:extLst>
            <a:ext uri="{FF2B5EF4-FFF2-40B4-BE49-F238E27FC236}">
              <a16:creationId xmlns:a16="http://schemas.microsoft.com/office/drawing/2014/main" xmlns="" id="{00000000-0008-0000-0300-00004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3" name="Rectangle 811">
          <a:extLst>
            <a:ext uri="{FF2B5EF4-FFF2-40B4-BE49-F238E27FC236}">
              <a16:creationId xmlns:a16="http://schemas.microsoft.com/office/drawing/2014/main" xmlns="" id="{00000000-0008-0000-0300-00004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4" name="Rectangle 812">
          <a:extLst>
            <a:ext uri="{FF2B5EF4-FFF2-40B4-BE49-F238E27FC236}">
              <a16:creationId xmlns:a16="http://schemas.microsoft.com/office/drawing/2014/main" xmlns="" id="{00000000-0008-0000-0300-00004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5" name="Rectangle 813">
          <a:extLst>
            <a:ext uri="{FF2B5EF4-FFF2-40B4-BE49-F238E27FC236}">
              <a16:creationId xmlns:a16="http://schemas.microsoft.com/office/drawing/2014/main" xmlns="" id="{00000000-0008-0000-0300-00004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6" name="Rectangle 814">
          <a:extLst>
            <a:ext uri="{FF2B5EF4-FFF2-40B4-BE49-F238E27FC236}">
              <a16:creationId xmlns:a16="http://schemas.microsoft.com/office/drawing/2014/main" xmlns="" id="{00000000-0008-0000-0300-00005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7" name="Rectangle 815">
          <a:extLst>
            <a:ext uri="{FF2B5EF4-FFF2-40B4-BE49-F238E27FC236}">
              <a16:creationId xmlns:a16="http://schemas.microsoft.com/office/drawing/2014/main" xmlns="" id="{00000000-0008-0000-0300-00005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8" name="Rectangle 816">
          <a:extLst>
            <a:ext uri="{FF2B5EF4-FFF2-40B4-BE49-F238E27FC236}">
              <a16:creationId xmlns:a16="http://schemas.microsoft.com/office/drawing/2014/main" xmlns="" id="{00000000-0008-0000-0300-000052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9" name="Rectangle 817">
          <a:extLst>
            <a:ext uri="{FF2B5EF4-FFF2-40B4-BE49-F238E27FC236}">
              <a16:creationId xmlns:a16="http://schemas.microsoft.com/office/drawing/2014/main" xmlns="" id="{00000000-0008-0000-0300-000053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0" name="Rectangle 818">
          <a:extLst>
            <a:ext uri="{FF2B5EF4-FFF2-40B4-BE49-F238E27FC236}">
              <a16:creationId xmlns:a16="http://schemas.microsoft.com/office/drawing/2014/main" xmlns="" id="{00000000-0008-0000-0300-00005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1" name="Rectangle 819">
          <a:extLst>
            <a:ext uri="{FF2B5EF4-FFF2-40B4-BE49-F238E27FC236}">
              <a16:creationId xmlns:a16="http://schemas.microsoft.com/office/drawing/2014/main" xmlns="" id="{00000000-0008-0000-0300-00005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2" name="Rectangle 820">
          <a:extLst>
            <a:ext uri="{FF2B5EF4-FFF2-40B4-BE49-F238E27FC236}">
              <a16:creationId xmlns:a16="http://schemas.microsoft.com/office/drawing/2014/main" xmlns="" id="{00000000-0008-0000-0300-00005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3" name="Rectangle 821">
          <a:extLst>
            <a:ext uri="{FF2B5EF4-FFF2-40B4-BE49-F238E27FC236}">
              <a16:creationId xmlns:a16="http://schemas.microsoft.com/office/drawing/2014/main" xmlns="" id="{00000000-0008-0000-0300-00005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4" name="Rectangle 822">
          <a:extLst>
            <a:ext uri="{FF2B5EF4-FFF2-40B4-BE49-F238E27FC236}">
              <a16:creationId xmlns:a16="http://schemas.microsoft.com/office/drawing/2014/main" xmlns="" id="{00000000-0008-0000-0300-00005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5" name="Rectangle 823">
          <a:extLst>
            <a:ext uri="{FF2B5EF4-FFF2-40B4-BE49-F238E27FC236}">
              <a16:creationId xmlns:a16="http://schemas.microsoft.com/office/drawing/2014/main" xmlns="" id="{00000000-0008-0000-0300-00005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6" name="Rectangle 824">
          <a:extLst>
            <a:ext uri="{FF2B5EF4-FFF2-40B4-BE49-F238E27FC236}">
              <a16:creationId xmlns:a16="http://schemas.microsoft.com/office/drawing/2014/main" xmlns="" id="{00000000-0008-0000-0300-00005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7" name="Rectangle 825">
          <a:extLst>
            <a:ext uri="{FF2B5EF4-FFF2-40B4-BE49-F238E27FC236}">
              <a16:creationId xmlns:a16="http://schemas.microsoft.com/office/drawing/2014/main" xmlns="" id="{00000000-0008-0000-0300-00005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8" name="Rectangle 826">
          <a:extLst>
            <a:ext uri="{FF2B5EF4-FFF2-40B4-BE49-F238E27FC236}">
              <a16:creationId xmlns:a16="http://schemas.microsoft.com/office/drawing/2014/main" xmlns="" id="{00000000-0008-0000-0300-00005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9" name="Rectangle 827">
          <a:extLst>
            <a:ext uri="{FF2B5EF4-FFF2-40B4-BE49-F238E27FC236}">
              <a16:creationId xmlns:a16="http://schemas.microsoft.com/office/drawing/2014/main" xmlns="" id="{00000000-0008-0000-0300-00005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0" name="Rectangle 828">
          <a:extLst>
            <a:ext uri="{FF2B5EF4-FFF2-40B4-BE49-F238E27FC236}">
              <a16:creationId xmlns:a16="http://schemas.microsoft.com/office/drawing/2014/main" xmlns="" id="{00000000-0008-0000-0300-00005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1" name="Rectangle 829">
          <a:extLst>
            <a:ext uri="{FF2B5EF4-FFF2-40B4-BE49-F238E27FC236}">
              <a16:creationId xmlns:a16="http://schemas.microsoft.com/office/drawing/2014/main" xmlns="" id="{00000000-0008-0000-0300-00005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2" name="Rectangle 830">
          <a:extLst>
            <a:ext uri="{FF2B5EF4-FFF2-40B4-BE49-F238E27FC236}">
              <a16:creationId xmlns:a16="http://schemas.microsoft.com/office/drawing/2014/main" xmlns="" id="{00000000-0008-0000-0300-00006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3" name="Rectangle 831">
          <a:extLst>
            <a:ext uri="{FF2B5EF4-FFF2-40B4-BE49-F238E27FC236}">
              <a16:creationId xmlns:a16="http://schemas.microsoft.com/office/drawing/2014/main" xmlns="" id="{00000000-0008-0000-0300-00006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4" name="Rectangle 832">
          <a:extLst>
            <a:ext uri="{FF2B5EF4-FFF2-40B4-BE49-F238E27FC236}">
              <a16:creationId xmlns:a16="http://schemas.microsoft.com/office/drawing/2014/main" xmlns="" id="{00000000-0008-0000-0300-00006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5" name="Rectangle 833">
          <a:extLst>
            <a:ext uri="{FF2B5EF4-FFF2-40B4-BE49-F238E27FC236}">
              <a16:creationId xmlns:a16="http://schemas.microsoft.com/office/drawing/2014/main" xmlns="" id="{00000000-0008-0000-0300-00006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6" name="Rectangle 834">
          <a:extLst>
            <a:ext uri="{FF2B5EF4-FFF2-40B4-BE49-F238E27FC236}">
              <a16:creationId xmlns:a16="http://schemas.microsoft.com/office/drawing/2014/main" xmlns="" id="{00000000-0008-0000-0300-00006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7" name="Rectangle 835">
          <a:extLst>
            <a:ext uri="{FF2B5EF4-FFF2-40B4-BE49-F238E27FC236}">
              <a16:creationId xmlns:a16="http://schemas.microsoft.com/office/drawing/2014/main" xmlns="" id="{00000000-0008-0000-0300-00006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8" name="Rectangle 836">
          <a:extLst>
            <a:ext uri="{FF2B5EF4-FFF2-40B4-BE49-F238E27FC236}">
              <a16:creationId xmlns:a16="http://schemas.microsoft.com/office/drawing/2014/main" xmlns="" id="{00000000-0008-0000-0300-00006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9" name="Rectangle 837">
          <a:extLst>
            <a:ext uri="{FF2B5EF4-FFF2-40B4-BE49-F238E27FC236}">
              <a16:creationId xmlns:a16="http://schemas.microsoft.com/office/drawing/2014/main" xmlns="" id="{00000000-0008-0000-0300-00006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0" name="Rectangle 838">
          <a:extLst>
            <a:ext uri="{FF2B5EF4-FFF2-40B4-BE49-F238E27FC236}">
              <a16:creationId xmlns:a16="http://schemas.microsoft.com/office/drawing/2014/main" xmlns="" id="{00000000-0008-0000-0300-00006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1" name="Rectangle 839">
          <a:extLst>
            <a:ext uri="{FF2B5EF4-FFF2-40B4-BE49-F238E27FC236}">
              <a16:creationId xmlns:a16="http://schemas.microsoft.com/office/drawing/2014/main" xmlns="" id="{00000000-0008-0000-0300-00006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2" name="Rectangle 840">
          <a:extLst>
            <a:ext uri="{FF2B5EF4-FFF2-40B4-BE49-F238E27FC236}">
              <a16:creationId xmlns:a16="http://schemas.microsoft.com/office/drawing/2014/main" xmlns="" id="{00000000-0008-0000-0300-00006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3" name="Rectangle 841">
          <a:extLst>
            <a:ext uri="{FF2B5EF4-FFF2-40B4-BE49-F238E27FC236}">
              <a16:creationId xmlns:a16="http://schemas.microsoft.com/office/drawing/2014/main" xmlns="" id="{00000000-0008-0000-0300-00006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4" name="Rectangle 842">
          <a:extLst>
            <a:ext uri="{FF2B5EF4-FFF2-40B4-BE49-F238E27FC236}">
              <a16:creationId xmlns:a16="http://schemas.microsoft.com/office/drawing/2014/main" xmlns="" id="{00000000-0008-0000-0300-00006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5" name="Rectangle 843">
          <a:extLst>
            <a:ext uri="{FF2B5EF4-FFF2-40B4-BE49-F238E27FC236}">
              <a16:creationId xmlns:a16="http://schemas.microsoft.com/office/drawing/2014/main" xmlns="" id="{00000000-0008-0000-0300-00006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6" name="Rectangle 844">
          <a:extLst>
            <a:ext uri="{FF2B5EF4-FFF2-40B4-BE49-F238E27FC236}">
              <a16:creationId xmlns:a16="http://schemas.microsoft.com/office/drawing/2014/main" xmlns="" id="{00000000-0008-0000-0300-00006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7" name="Rectangle 845">
          <a:extLst>
            <a:ext uri="{FF2B5EF4-FFF2-40B4-BE49-F238E27FC236}">
              <a16:creationId xmlns:a16="http://schemas.microsoft.com/office/drawing/2014/main" xmlns="" id="{00000000-0008-0000-0300-00006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8" name="Rectangle 846">
          <a:extLst>
            <a:ext uri="{FF2B5EF4-FFF2-40B4-BE49-F238E27FC236}">
              <a16:creationId xmlns:a16="http://schemas.microsoft.com/office/drawing/2014/main" xmlns="" id="{00000000-0008-0000-0300-00007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9" name="Rectangle 847">
          <a:extLst>
            <a:ext uri="{FF2B5EF4-FFF2-40B4-BE49-F238E27FC236}">
              <a16:creationId xmlns:a16="http://schemas.microsoft.com/office/drawing/2014/main" xmlns="" id="{00000000-0008-0000-0300-00007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0" name="Rectangle 848">
          <a:extLst>
            <a:ext uri="{FF2B5EF4-FFF2-40B4-BE49-F238E27FC236}">
              <a16:creationId xmlns:a16="http://schemas.microsoft.com/office/drawing/2014/main" xmlns="" id="{00000000-0008-0000-0300-00007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1" name="Rectangle 849">
          <a:extLst>
            <a:ext uri="{FF2B5EF4-FFF2-40B4-BE49-F238E27FC236}">
              <a16:creationId xmlns:a16="http://schemas.microsoft.com/office/drawing/2014/main" xmlns="" id="{00000000-0008-0000-0300-00007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2" name="Rectangle 850">
          <a:extLst>
            <a:ext uri="{FF2B5EF4-FFF2-40B4-BE49-F238E27FC236}">
              <a16:creationId xmlns:a16="http://schemas.microsoft.com/office/drawing/2014/main" xmlns="" id="{00000000-0008-0000-0300-00007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3" name="Rectangle 851">
          <a:extLst>
            <a:ext uri="{FF2B5EF4-FFF2-40B4-BE49-F238E27FC236}">
              <a16:creationId xmlns:a16="http://schemas.microsoft.com/office/drawing/2014/main" xmlns="" id="{00000000-0008-0000-0300-00007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4" name="Rectangle 852">
          <a:extLst>
            <a:ext uri="{FF2B5EF4-FFF2-40B4-BE49-F238E27FC236}">
              <a16:creationId xmlns:a16="http://schemas.microsoft.com/office/drawing/2014/main" xmlns="" id="{00000000-0008-0000-0300-00007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5" name="Rectangle 853">
          <a:extLst>
            <a:ext uri="{FF2B5EF4-FFF2-40B4-BE49-F238E27FC236}">
              <a16:creationId xmlns:a16="http://schemas.microsoft.com/office/drawing/2014/main" xmlns="" id="{00000000-0008-0000-0300-00007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6" name="Rectangle 854">
          <a:extLst>
            <a:ext uri="{FF2B5EF4-FFF2-40B4-BE49-F238E27FC236}">
              <a16:creationId xmlns:a16="http://schemas.microsoft.com/office/drawing/2014/main" xmlns="" id="{00000000-0008-0000-0300-00007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7" name="Rectangle 855">
          <a:extLst>
            <a:ext uri="{FF2B5EF4-FFF2-40B4-BE49-F238E27FC236}">
              <a16:creationId xmlns:a16="http://schemas.microsoft.com/office/drawing/2014/main" xmlns="" id="{00000000-0008-0000-0300-00007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8" name="Rectangle 856">
          <a:extLst>
            <a:ext uri="{FF2B5EF4-FFF2-40B4-BE49-F238E27FC236}">
              <a16:creationId xmlns:a16="http://schemas.microsoft.com/office/drawing/2014/main" xmlns="" id="{00000000-0008-0000-0300-00007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9" name="Rectangle 857">
          <a:extLst>
            <a:ext uri="{FF2B5EF4-FFF2-40B4-BE49-F238E27FC236}">
              <a16:creationId xmlns:a16="http://schemas.microsoft.com/office/drawing/2014/main" xmlns="" id="{00000000-0008-0000-0300-00007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00" name="Rectangle 858">
          <a:extLst>
            <a:ext uri="{FF2B5EF4-FFF2-40B4-BE49-F238E27FC236}">
              <a16:creationId xmlns:a16="http://schemas.microsoft.com/office/drawing/2014/main" xmlns="" id="{00000000-0008-0000-0300-00007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1" name="Rectangle 859">
          <a:extLst>
            <a:ext uri="{FF2B5EF4-FFF2-40B4-BE49-F238E27FC236}">
              <a16:creationId xmlns:a16="http://schemas.microsoft.com/office/drawing/2014/main" xmlns="" id="{00000000-0008-0000-0300-00007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02" name="Rectangle 860">
          <a:extLst>
            <a:ext uri="{FF2B5EF4-FFF2-40B4-BE49-F238E27FC236}">
              <a16:creationId xmlns:a16="http://schemas.microsoft.com/office/drawing/2014/main" xmlns="" id="{00000000-0008-0000-0300-00007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3" name="Rectangle 861">
          <a:extLst>
            <a:ext uri="{FF2B5EF4-FFF2-40B4-BE49-F238E27FC236}">
              <a16:creationId xmlns:a16="http://schemas.microsoft.com/office/drawing/2014/main" xmlns="" id="{00000000-0008-0000-0300-00007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4" name="Rectangle 862">
          <a:extLst>
            <a:ext uri="{FF2B5EF4-FFF2-40B4-BE49-F238E27FC236}">
              <a16:creationId xmlns:a16="http://schemas.microsoft.com/office/drawing/2014/main" xmlns="" id="{00000000-0008-0000-0300-00008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5" name="Rectangle 863">
          <a:extLst>
            <a:ext uri="{FF2B5EF4-FFF2-40B4-BE49-F238E27FC236}">
              <a16:creationId xmlns:a16="http://schemas.microsoft.com/office/drawing/2014/main" xmlns="" id="{00000000-0008-0000-0300-00008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6" name="Rectangle 864">
          <a:extLst>
            <a:ext uri="{FF2B5EF4-FFF2-40B4-BE49-F238E27FC236}">
              <a16:creationId xmlns:a16="http://schemas.microsoft.com/office/drawing/2014/main" xmlns="" id="{00000000-0008-0000-0300-00008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7" name="Rectangle 865">
          <a:extLst>
            <a:ext uri="{FF2B5EF4-FFF2-40B4-BE49-F238E27FC236}">
              <a16:creationId xmlns:a16="http://schemas.microsoft.com/office/drawing/2014/main" xmlns="" id="{00000000-0008-0000-0300-00008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8" name="Rectangle 866">
          <a:extLst>
            <a:ext uri="{FF2B5EF4-FFF2-40B4-BE49-F238E27FC236}">
              <a16:creationId xmlns:a16="http://schemas.microsoft.com/office/drawing/2014/main" xmlns="" id="{00000000-0008-0000-0300-00008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9" name="Rectangle 867">
          <a:extLst>
            <a:ext uri="{FF2B5EF4-FFF2-40B4-BE49-F238E27FC236}">
              <a16:creationId xmlns:a16="http://schemas.microsoft.com/office/drawing/2014/main" xmlns="" id="{00000000-0008-0000-0300-00008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0" name="Rectangle 868">
          <a:extLst>
            <a:ext uri="{FF2B5EF4-FFF2-40B4-BE49-F238E27FC236}">
              <a16:creationId xmlns:a16="http://schemas.microsoft.com/office/drawing/2014/main" xmlns="" id="{00000000-0008-0000-0300-00008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1" name="Rectangle 869">
          <a:extLst>
            <a:ext uri="{FF2B5EF4-FFF2-40B4-BE49-F238E27FC236}">
              <a16:creationId xmlns:a16="http://schemas.microsoft.com/office/drawing/2014/main" xmlns="" id="{00000000-0008-0000-0300-00008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2" name="Rectangle 870">
          <a:extLst>
            <a:ext uri="{FF2B5EF4-FFF2-40B4-BE49-F238E27FC236}">
              <a16:creationId xmlns:a16="http://schemas.microsoft.com/office/drawing/2014/main" xmlns="" id="{00000000-0008-0000-0300-00008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3" name="Rectangle 871">
          <a:extLst>
            <a:ext uri="{FF2B5EF4-FFF2-40B4-BE49-F238E27FC236}">
              <a16:creationId xmlns:a16="http://schemas.microsoft.com/office/drawing/2014/main" xmlns="" id="{00000000-0008-0000-0300-00008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4" name="Rectangle 872">
          <a:extLst>
            <a:ext uri="{FF2B5EF4-FFF2-40B4-BE49-F238E27FC236}">
              <a16:creationId xmlns:a16="http://schemas.microsoft.com/office/drawing/2014/main" xmlns="" id="{00000000-0008-0000-0300-00008A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5" name="Rectangle 873">
          <a:extLst>
            <a:ext uri="{FF2B5EF4-FFF2-40B4-BE49-F238E27FC236}">
              <a16:creationId xmlns:a16="http://schemas.microsoft.com/office/drawing/2014/main" xmlns="" id="{00000000-0008-0000-0300-00008B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6" name="Rectangle 828">
          <a:extLst>
            <a:ext uri="{FF2B5EF4-FFF2-40B4-BE49-F238E27FC236}">
              <a16:creationId xmlns:a16="http://schemas.microsoft.com/office/drawing/2014/main" xmlns="" id="{00000000-0008-0000-0300-00008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17" name="Rectangle 829">
          <a:extLst>
            <a:ext uri="{FF2B5EF4-FFF2-40B4-BE49-F238E27FC236}">
              <a16:creationId xmlns:a16="http://schemas.microsoft.com/office/drawing/2014/main" xmlns="" id="{00000000-0008-0000-0300-00008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18" name="Rectangle 830">
          <a:extLst>
            <a:ext uri="{FF2B5EF4-FFF2-40B4-BE49-F238E27FC236}">
              <a16:creationId xmlns:a16="http://schemas.microsoft.com/office/drawing/2014/main" xmlns="" id="{00000000-0008-0000-0300-00008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9" name="Rectangle 831">
          <a:extLst>
            <a:ext uri="{FF2B5EF4-FFF2-40B4-BE49-F238E27FC236}">
              <a16:creationId xmlns:a16="http://schemas.microsoft.com/office/drawing/2014/main" xmlns="" id="{00000000-0008-0000-0300-00008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0" name="Rectangle 832">
          <a:extLst>
            <a:ext uri="{FF2B5EF4-FFF2-40B4-BE49-F238E27FC236}">
              <a16:creationId xmlns:a16="http://schemas.microsoft.com/office/drawing/2014/main" xmlns="" id="{00000000-0008-0000-0300-00009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1" name="Rectangle 833">
          <a:extLst>
            <a:ext uri="{FF2B5EF4-FFF2-40B4-BE49-F238E27FC236}">
              <a16:creationId xmlns:a16="http://schemas.microsoft.com/office/drawing/2014/main" xmlns="" id="{00000000-0008-0000-0300-00009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2" name="Rectangle 834">
          <a:extLst>
            <a:ext uri="{FF2B5EF4-FFF2-40B4-BE49-F238E27FC236}">
              <a16:creationId xmlns:a16="http://schemas.microsoft.com/office/drawing/2014/main" xmlns="" id="{00000000-0008-0000-0300-00009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3" name="Rectangle 835">
          <a:extLst>
            <a:ext uri="{FF2B5EF4-FFF2-40B4-BE49-F238E27FC236}">
              <a16:creationId xmlns:a16="http://schemas.microsoft.com/office/drawing/2014/main" xmlns="" id="{00000000-0008-0000-0300-00009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4" name="Rectangle 836">
          <a:extLst>
            <a:ext uri="{FF2B5EF4-FFF2-40B4-BE49-F238E27FC236}">
              <a16:creationId xmlns:a16="http://schemas.microsoft.com/office/drawing/2014/main" xmlns="" id="{00000000-0008-0000-0300-00009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5" name="Rectangle 837">
          <a:extLst>
            <a:ext uri="{FF2B5EF4-FFF2-40B4-BE49-F238E27FC236}">
              <a16:creationId xmlns:a16="http://schemas.microsoft.com/office/drawing/2014/main" xmlns="" id="{00000000-0008-0000-0300-00009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6" name="Rectangle 838">
          <a:extLst>
            <a:ext uri="{FF2B5EF4-FFF2-40B4-BE49-F238E27FC236}">
              <a16:creationId xmlns:a16="http://schemas.microsoft.com/office/drawing/2014/main" xmlns="" id="{00000000-0008-0000-0300-00009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7" name="Rectangle 839">
          <a:extLst>
            <a:ext uri="{FF2B5EF4-FFF2-40B4-BE49-F238E27FC236}">
              <a16:creationId xmlns:a16="http://schemas.microsoft.com/office/drawing/2014/main" xmlns="" id="{00000000-0008-0000-0300-00009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8" name="Rectangle 840">
          <a:extLst>
            <a:ext uri="{FF2B5EF4-FFF2-40B4-BE49-F238E27FC236}">
              <a16:creationId xmlns:a16="http://schemas.microsoft.com/office/drawing/2014/main" xmlns="" id="{00000000-0008-0000-0300-00009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9" name="Rectangle 841">
          <a:extLst>
            <a:ext uri="{FF2B5EF4-FFF2-40B4-BE49-F238E27FC236}">
              <a16:creationId xmlns:a16="http://schemas.microsoft.com/office/drawing/2014/main" xmlns="" id="{00000000-0008-0000-0300-00009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0" name="Rectangle 842">
          <a:extLst>
            <a:ext uri="{FF2B5EF4-FFF2-40B4-BE49-F238E27FC236}">
              <a16:creationId xmlns:a16="http://schemas.microsoft.com/office/drawing/2014/main" xmlns="" id="{00000000-0008-0000-0300-00009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1" name="Rectangle 843">
          <a:extLst>
            <a:ext uri="{FF2B5EF4-FFF2-40B4-BE49-F238E27FC236}">
              <a16:creationId xmlns:a16="http://schemas.microsoft.com/office/drawing/2014/main" xmlns="" id="{00000000-0008-0000-0300-00009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2" name="Rectangle 844">
          <a:extLst>
            <a:ext uri="{FF2B5EF4-FFF2-40B4-BE49-F238E27FC236}">
              <a16:creationId xmlns:a16="http://schemas.microsoft.com/office/drawing/2014/main" xmlns="" id="{00000000-0008-0000-0300-00009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3" name="Rectangle 845">
          <a:extLst>
            <a:ext uri="{FF2B5EF4-FFF2-40B4-BE49-F238E27FC236}">
              <a16:creationId xmlns:a16="http://schemas.microsoft.com/office/drawing/2014/main" xmlns="" id="{00000000-0008-0000-0300-00009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4" name="Rectangle 846">
          <a:extLst>
            <a:ext uri="{FF2B5EF4-FFF2-40B4-BE49-F238E27FC236}">
              <a16:creationId xmlns:a16="http://schemas.microsoft.com/office/drawing/2014/main" xmlns="" id="{00000000-0008-0000-0300-00009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5" name="Rectangle 847">
          <a:extLst>
            <a:ext uri="{FF2B5EF4-FFF2-40B4-BE49-F238E27FC236}">
              <a16:creationId xmlns:a16="http://schemas.microsoft.com/office/drawing/2014/main" xmlns="" id="{00000000-0008-0000-0300-00009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6" name="Rectangle 848">
          <a:extLst>
            <a:ext uri="{FF2B5EF4-FFF2-40B4-BE49-F238E27FC236}">
              <a16:creationId xmlns:a16="http://schemas.microsoft.com/office/drawing/2014/main" xmlns="" id="{00000000-0008-0000-0300-0000A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7" name="Rectangle 849">
          <a:extLst>
            <a:ext uri="{FF2B5EF4-FFF2-40B4-BE49-F238E27FC236}">
              <a16:creationId xmlns:a16="http://schemas.microsoft.com/office/drawing/2014/main" xmlns="" id="{00000000-0008-0000-0300-0000A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8" name="Rectangle 850">
          <a:extLst>
            <a:ext uri="{FF2B5EF4-FFF2-40B4-BE49-F238E27FC236}">
              <a16:creationId xmlns:a16="http://schemas.microsoft.com/office/drawing/2014/main" xmlns="" id="{00000000-0008-0000-0300-0000A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9" name="Rectangle 851">
          <a:extLst>
            <a:ext uri="{FF2B5EF4-FFF2-40B4-BE49-F238E27FC236}">
              <a16:creationId xmlns:a16="http://schemas.microsoft.com/office/drawing/2014/main" xmlns="" id="{00000000-0008-0000-0300-0000A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0" name="Rectangle 852">
          <a:extLst>
            <a:ext uri="{FF2B5EF4-FFF2-40B4-BE49-F238E27FC236}">
              <a16:creationId xmlns:a16="http://schemas.microsoft.com/office/drawing/2014/main" xmlns="" id="{00000000-0008-0000-0300-0000A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1" name="Rectangle 853">
          <a:extLst>
            <a:ext uri="{FF2B5EF4-FFF2-40B4-BE49-F238E27FC236}">
              <a16:creationId xmlns:a16="http://schemas.microsoft.com/office/drawing/2014/main" xmlns="" id="{00000000-0008-0000-0300-0000A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2" name="Rectangle 854">
          <a:extLst>
            <a:ext uri="{FF2B5EF4-FFF2-40B4-BE49-F238E27FC236}">
              <a16:creationId xmlns:a16="http://schemas.microsoft.com/office/drawing/2014/main" xmlns="" id="{00000000-0008-0000-0300-0000A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3" name="Rectangle 855">
          <a:extLst>
            <a:ext uri="{FF2B5EF4-FFF2-40B4-BE49-F238E27FC236}">
              <a16:creationId xmlns:a16="http://schemas.microsoft.com/office/drawing/2014/main" xmlns="" id="{00000000-0008-0000-0300-0000A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4" name="Rectangle 856">
          <a:extLst>
            <a:ext uri="{FF2B5EF4-FFF2-40B4-BE49-F238E27FC236}">
              <a16:creationId xmlns:a16="http://schemas.microsoft.com/office/drawing/2014/main" xmlns="" id="{00000000-0008-0000-0300-0000A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5" name="Rectangle 857">
          <a:extLst>
            <a:ext uri="{FF2B5EF4-FFF2-40B4-BE49-F238E27FC236}">
              <a16:creationId xmlns:a16="http://schemas.microsoft.com/office/drawing/2014/main" xmlns="" id="{00000000-0008-0000-0300-0000A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6" name="Rectangle 858">
          <a:extLst>
            <a:ext uri="{FF2B5EF4-FFF2-40B4-BE49-F238E27FC236}">
              <a16:creationId xmlns:a16="http://schemas.microsoft.com/office/drawing/2014/main" xmlns="" id="{00000000-0008-0000-0300-0000A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7" name="Rectangle 859">
          <a:extLst>
            <a:ext uri="{FF2B5EF4-FFF2-40B4-BE49-F238E27FC236}">
              <a16:creationId xmlns:a16="http://schemas.microsoft.com/office/drawing/2014/main" xmlns="" id="{00000000-0008-0000-0300-0000A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8" name="Rectangle 860">
          <a:extLst>
            <a:ext uri="{FF2B5EF4-FFF2-40B4-BE49-F238E27FC236}">
              <a16:creationId xmlns:a16="http://schemas.microsoft.com/office/drawing/2014/main" xmlns="" id="{00000000-0008-0000-0300-0000A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9" name="Rectangle 861">
          <a:extLst>
            <a:ext uri="{FF2B5EF4-FFF2-40B4-BE49-F238E27FC236}">
              <a16:creationId xmlns:a16="http://schemas.microsoft.com/office/drawing/2014/main" xmlns="" id="{00000000-0008-0000-0300-0000A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0" name="Rectangle 862">
          <a:extLst>
            <a:ext uri="{FF2B5EF4-FFF2-40B4-BE49-F238E27FC236}">
              <a16:creationId xmlns:a16="http://schemas.microsoft.com/office/drawing/2014/main" xmlns="" id="{00000000-0008-0000-0300-0000A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1" name="Rectangle 863">
          <a:extLst>
            <a:ext uri="{FF2B5EF4-FFF2-40B4-BE49-F238E27FC236}">
              <a16:creationId xmlns:a16="http://schemas.microsoft.com/office/drawing/2014/main" xmlns="" id="{00000000-0008-0000-0300-0000A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2" name="Rectangle 864">
          <a:extLst>
            <a:ext uri="{FF2B5EF4-FFF2-40B4-BE49-F238E27FC236}">
              <a16:creationId xmlns:a16="http://schemas.microsoft.com/office/drawing/2014/main" xmlns="" id="{00000000-0008-0000-0300-0000B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3" name="Rectangle 865">
          <a:extLst>
            <a:ext uri="{FF2B5EF4-FFF2-40B4-BE49-F238E27FC236}">
              <a16:creationId xmlns:a16="http://schemas.microsoft.com/office/drawing/2014/main" xmlns="" id="{00000000-0008-0000-0300-0000B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4" name="Rectangle 866">
          <a:extLst>
            <a:ext uri="{FF2B5EF4-FFF2-40B4-BE49-F238E27FC236}">
              <a16:creationId xmlns:a16="http://schemas.microsoft.com/office/drawing/2014/main" xmlns="" id="{00000000-0008-0000-0300-0000B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5" name="Rectangle 867">
          <a:extLst>
            <a:ext uri="{FF2B5EF4-FFF2-40B4-BE49-F238E27FC236}">
              <a16:creationId xmlns:a16="http://schemas.microsoft.com/office/drawing/2014/main" xmlns="" id="{00000000-0008-0000-0300-0000B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6" name="Rectangle 868">
          <a:extLst>
            <a:ext uri="{FF2B5EF4-FFF2-40B4-BE49-F238E27FC236}">
              <a16:creationId xmlns:a16="http://schemas.microsoft.com/office/drawing/2014/main" xmlns="" id="{00000000-0008-0000-0300-0000B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7" name="Rectangle 869">
          <a:extLst>
            <a:ext uri="{FF2B5EF4-FFF2-40B4-BE49-F238E27FC236}">
              <a16:creationId xmlns:a16="http://schemas.microsoft.com/office/drawing/2014/main" xmlns="" id="{00000000-0008-0000-0300-0000B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8" name="Rectangle 870">
          <a:extLst>
            <a:ext uri="{FF2B5EF4-FFF2-40B4-BE49-F238E27FC236}">
              <a16:creationId xmlns:a16="http://schemas.microsoft.com/office/drawing/2014/main" xmlns="" id="{00000000-0008-0000-0300-0000B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9" name="Rectangle 871">
          <a:extLst>
            <a:ext uri="{FF2B5EF4-FFF2-40B4-BE49-F238E27FC236}">
              <a16:creationId xmlns:a16="http://schemas.microsoft.com/office/drawing/2014/main" xmlns="" id="{00000000-0008-0000-0300-0000B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0" name="Rectangle 872">
          <a:extLst>
            <a:ext uri="{FF2B5EF4-FFF2-40B4-BE49-F238E27FC236}">
              <a16:creationId xmlns:a16="http://schemas.microsoft.com/office/drawing/2014/main" xmlns="" id="{00000000-0008-0000-0300-0000B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1" name="Rectangle 873">
          <a:extLst>
            <a:ext uri="{FF2B5EF4-FFF2-40B4-BE49-F238E27FC236}">
              <a16:creationId xmlns:a16="http://schemas.microsoft.com/office/drawing/2014/main" xmlns="" id="{00000000-0008-0000-0300-0000B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2" name="Rectangle 828">
          <a:extLst>
            <a:ext uri="{FF2B5EF4-FFF2-40B4-BE49-F238E27FC236}">
              <a16:creationId xmlns:a16="http://schemas.microsoft.com/office/drawing/2014/main" xmlns="" id="{00000000-0008-0000-0300-0000B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3" name="Rectangle 829">
          <a:extLst>
            <a:ext uri="{FF2B5EF4-FFF2-40B4-BE49-F238E27FC236}">
              <a16:creationId xmlns:a16="http://schemas.microsoft.com/office/drawing/2014/main" xmlns="" id="{00000000-0008-0000-0300-0000B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4" name="Rectangle 830">
          <a:extLst>
            <a:ext uri="{FF2B5EF4-FFF2-40B4-BE49-F238E27FC236}">
              <a16:creationId xmlns:a16="http://schemas.microsoft.com/office/drawing/2014/main" xmlns="" id="{00000000-0008-0000-0300-0000B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5" name="Rectangle 831">
          <a:extLst>
            <a:ext uri="{FF2B5EF4-FFF2-40B4-BE49-F238E27FC236}">
              <a16:creationId xmlns:a16="http://schemas.microsoft.com/office/drawing/2014/main" xmlns="" id="{00000000-0008-0000-0300-0000B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6" name="Rectangle 832">
          <a:extLst>
            <a:ext uri="{FF2B5EF4-FFF2-40B4-BE49-F238E27FC236}">
              <a16:creationId xmlns:a16="http://schemas.microsoft.com/office/drawing/2014/main" xmlns="" id="{00000000-0008-0000-0300-0000B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7" name="Rectangle 833">
          <a:extLst>
            <a:ext uri="{FF2B5EF4-FFF2-40B4-BE49-F238E27FC236}">
              <a16:creationId xmlns:a16="http://schemas.microsoft.com/office/drawing/2014/main" xmlns="" id="{00000000-0008-0000-0300-0000B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8" name="Rectangle 834">
          <a:extLst>
            <a:ext uri="{FF2B5EF4-FFF2-40B4-BE49-F238E27FC236}">
              <a16:creationId xmlns:a16="http://schemas.microsoft.com/office/drawing/2014/main" xmlns="" id="{00000000-0008-0000-0300-0000C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9" name="Rectangle 835">
          <a:extLst>
            <a:ext uri="{FF2B5EF4-FFF2-40B4-BE49-F238E27FC236}">
              <a16:creationId xmlns:a16="http://schemas.microsoft.com/office/drawing/2014/main" xmlns="" id="{00000000-0008-0000-0300-0000C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0" name="Rectangle 836">
          <a:extLst>
            <a:ext uri="{FF2B5EF4-FFF2-40B4-BE49-F238E27FC236}">
              <a16:creationId xmlns:a16="http://schemas.microsoft.com/office/drawing/2014/main" xmlns="" id="{00000000-0008-0000-0300-0000C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1" name="Rectangle 837">
          <a:extLst>
            <a:ext uri="{FF2B5EF4-FFF2-40B4-BE49-F238E27FC236}">
              <a16:creationId xmlns:a16="http://schemas.microsoft.com/office/drawing/2014/main" xmlns="" id="{00000000-0008-0000-0300-0000C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2" name="Rectangle 838">
          <a:extLst>
            <a:ext uri="{FF2B5EF4-FFF2-40B4-BE49-F238E27FC236}">
              <a16:creationId xmlns:a16="http://schemas.microsoft.com/office/drawing/2014/main" xmlns="" id="{00000000-0008-0000-0300-0000C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3" name="Rectangle 839">
          <a:extLst>
            <a:ext uri="{FF2B5EF4-FFF2-40B4-BE49-F238E27FC236}">
              <a16:creationId xmlns:a16="http://schemas.microsoft.com/office/drawing/2014/main" xmlns="" id="{00000000-0008-0000-0300-0000C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4" name="Rectangle 840">
          <a:extLst>
            <a:ext uri="{FF2B5EF4-FFF2-40B4-BE49-F238E27FC236}">
              <a16:creationId xmlns:a16="http://schemas.microsoft.com/office/drawing/2014/main" xmlns="" id="{00000000-0008-0000-0300-0000C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5" name="Rectangle 841">
          <a:extLst>
            <a:ext uri="{FF2B5EF4-FFF2-40B4-BE49-F238E27FC236}">
              <a16:creationId xmlns:a16="http://schemas.microsoft.com/office/drawing/2014/main" xmlns="" id="{00000000-0008-0000-0300-0000C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6" name="Rectangle 842">
          <a:extLst>
            <a:ext uri="{FF2B5EF4-FFF2-40B4-BE49-F238E27FC236}">
              <a16:creationId xmlns:a16="http://schemas.microsoft.com/office/drawing/2014/main" xmlns="" id="{00000000-0008-0000-0300-0000C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7" name="Rectangle 843">
          <a:extLst>
            <a:ext uri="{FF2B5EF4-FFF2-40B4-BE49-F238E27FC236}">
              <a16:creationId xmlns:a16="http://schemas.microsoft.com/office/drawing/2014/main" xmlns="" id="{00000000-0008-0000-0300-0000C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8" name="Rectangle 844">
          <a:extLst>
            <a:ext uri="{FF2B5EF4-FFF2-40B4-BE49-F238E27FC236}">
              <a16:creationId xmlns:a16="http://schemas.microsoft.com/office/drawing/2014/main" xmlns="" id="{00000000-0008-0000-0300-0000C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9" name="Rectangle 845">
          <a:extLst>
            <a:ext uri="{FF2B5EF4-FFF2-40B4-BE49-F238E27FC236}">
              <a16:creationId xmlns:a16="http://schemas.microsoft.com/office/drawing/2014/main" xmlns="" id="{00000000-0008-0000-0300-0000C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0" name="Rectangle 846">
          <a:extLst>
            <a:ext uri="{FF2B5EF4-FFF2-40B4-BE49-F238E27FC236}">
              <a16:creationId xmlns:a16="http://schemas.microsoft.com/office/drawing/2014/main" xmlns="" id="{00000000-0008-0000-0300-0000C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1" name="Rectangle 847">
          <a:extLst>
            <a:ext uri="{FF2B5EF4-FFF2-40B4-BE49-F238E27FC236}">
              <a16:creationId xmlns:a16="http://schemas.microsoft.com/office/drawing/2014/main" xmlns="" id="{00000000-0008-0000-0300-0000C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2" name="Rectangle 848">
          <a:extLst>
            <a:ext uri="{FF2B5EF4-FFF2-40B4-BE49-F238E27FC236}">
              <a16:creationId xmlns:a16="http://schemas.microsoft.com/office/drawing/2014/main" xmlns="" id="{00000000-0008-0000-0300-0000C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3" name="Rectangle 849">
          <a:extLst>
            <a:ext uri="{FF2B5EF4-FFF2-40B4-BE49-F238E27FC236}">
              <a16:creationId xmlns:a16="http://schemas.microsoft.com/office/drawing/2014/main" xmlns="" id="{00000000-0008-0000-0300-0000C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4" name="Rectangle 850">
          <a:extLst>
            <a:ext uri="{FF2B5EF4-FFF2-40B4-BE49-F238E27FC236}">
              <a16:creationId xmlns:a16="http://schemas.microsoft.com/office/drawing/2014/main" xmlns="" id="{00000000-0008-0000-0300-0000D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5" name="Rectangle 851">
          <a:extLst>
            <a:ext uri="{FF2B5EF4-FFF2-40B4-BE49-F238E27FC236}">
              <a16:creationId xmlns:a16="http://schemas.microsoft.com/office/drawing/2014/main" xmlns="" id="{00000000-0008-0000-0300-0000D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6" name="Rectangle 852">
          <a:extLst>
            <a:ext uri="{FF2B5EF4-FFF2-40B4-BE49-F238E27FC236}">
              <a16:creationId xmlns:a16="http://schemas.microsoft.com/office/drawing/2014/main" xmlns="" id="{00000000-0008-0000-0300-0000D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7" name="Rectangle 853">
          <a:extLst>
            <a:ext uri="{FF2B5EF4-FFF2-40B4-BE49-F238E27FC236}">
              <a16:creationId xmlns:a16="http://schemas.microsoft.com/office/drawing/2014/main" xmlns="" id="{00000000-0008-0000-0300-0000D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8" name="Rectangle 854">
          <a:extLst>
            <a:ext uri="{FF2B5EF4-FFF2-40B4-BE49-F238E27FC236}">
              <a16:creationId xmlns:a16="http://schemas.microsoft.com/office/drawing/2014/main" xmlns="" id="{00000000-0008-0000-0300-0000D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9" name="Rectangle 855">
          <a:extLst>
            <a:ext uri="{FF2B5EF4-FFF2-40B4-BE49-F238E27FC236}">
              <a16:creationId xmlns:a16="http://schemas.microsoft.com/office/drawing/2014/main" xmlns="" id="{00000000-0008-0000-0300-0000D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0" name="Rectangle 856">
          <a:extLst>
            <a:ext uri="{FF2B5EF4-FFF2-40B4-BE49-F238E27FC236}">
              <a16:creationId xmlns:a16="http://schemas.microsoft.com/office/drawing/2014/main" xmlns="" id="{00000000-0008-0000-0300-0000D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1" name="Rectangle 857">
          <a:extLst>
            <a:ext uri="{FF2B5EF4-FFF2-40B4-BE49-F238E27FC236}">
              <a16:creationId xmlns:a16="http://schemas.microsoft.com/office/drawing/2014/main" xmlns="" id="{00000000-0008-0000-0300-0000D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92" name="Rectangle 858">
          <a:extLst>
            <a:ext uri="{FF2B5EF4-FFF2-40B4-BE49-F238E27FC236}">
              <a16:creationId xmlns:a16="http://schemas.microsoft.com/office/drawing/2014/main" xmlns="" id="{00000000-0008-0000-0300-0000D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3" name="Rectangle 859">
          <a:extLst>
            <a:ext uri="{FF2B5EF4-FFF2-40B4-BE49-F238E27FC236}">
              <a16:creationId xmlns:a16="http://schemas.microsoft.com/office/drawing/2014/main" xmlns="" id="{00000000-0008-0000-0300-0000D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4" name="Rectangle 860">
          <a:extLst>
            <a:ext uri="{FF2B5EF4-FFF2-40B4-BE49-F238E27FC236}">
              <a16:creationId xmlns:a16="http://schemas.microsoft.com/office/drawing/2014/main" xmlns="" id="{00000000-0008-0000-0300-0000D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5" name="Rectangle 861">
          <a:extLst>
            <a:ext uri="{FF2B5EF4-FFF2-40B4-BE49-F238E27FC236}">
              <a16:creationId xmlns:a16="http://schemas.microsoft.com/office/drawing/2014/main" xmlns="" id="{00000000-0008-0000-0300-0000D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6" name="Rectangle 862">
          <a:extLst>
            <a:ext uri="{FF2B5EF4-FFF2-40B4-BE49-F238E27FC236}">
              <a16:creationId xmlns:a16="http://schemas.microsoft.com/office/drawing/2014/main" xmlns="" id="{00000000-0008-0000-0300-0000DC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7" name="Rectangle 863">
          <a:extLst>
            <a:ext uri="{FF2B5EF4-FFF2-40B4-BE49-F238E27FC236}">
              <a16:creationId xmlns:a16="http://schemas.microsoft.com/office/drawing/2014/main" xmlns="" id="{00000000-0008-0000-0300-0000DD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8" name="Rectangle 864">
          <a:extLst>
            <a:ext uri="{FF2B5EF4-FFF2-40B4-BE49-F238E27FC236}">
              <a16:creationId xmlns:a16="http://schemas.microsoft.com/office/drawing/2014/main" xmlns="" id="{00000000-0008-0000-0300-0000D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9" name="Rectangle 865">
          <a:extLst>
            <a:ext uri="{FF2B5EF4-FFF2-40B4-BE49-F238E27FC236}">
              <a16:creationId xmlns:a16="http://schemas.microsoft.com/office/drawing/2014/main" xmlns="" id="{00000000-0008-0000-0300-0000D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0" name="Rectangle 866">
          <a:extLst>
            <a:ext uri="{FF2B5EF4-FFF2-40B4-BE49-F238E27FC236}">
              <a16:creationId xmlns:a16="http://schemas.microsoft.com/office/drawing/2014/main" xmlns="" id="{00000000-0008-0000-0300-0000E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1" name="Rectangle 867">
          <a:extLst>
            <a:ext uri="{FF2B5EF4-FFF2-40B4-BE49-F238E27FC236}">
              <a16:creationId xmlns:a16="http://schemas.microsoft.com/office/drawing/2014/main" xmlns="" id="{00000000-0008-0000-0300-0000E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2" name="Rectangle 868">
          <a:extLst>
            <a:ext uri="{FF2B5EF4-FFF2-40B4-BE49-F238E27FC236}">
              <a16:creationId xmlns:a16="http://schemas.microsoft.com/office/drawing/2014/main" xmlns="" id="{00000000-0008-0000-0300-0000E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3" name="Rectangle 869">
          <a:extLst>
            <a:ext uri="{FF2B5EF4-FFF2-40B4-BE49-F238E27FC236}">
              <a16:creationId xmlns:a16="http://schemas.microsoft.com/office/drawing/2014/main" xmlns="" id="{00000000-0008-0000-0300-0000E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4" name="Rectangle 870">
          <a:extLst>
            <a:ext uri="{FF2B5EF4-FFF2-40B4-BE49-F238E27FC236}">
              <a16:creationId xmlns:a16="http://schemas.microsoft.com/office/drawing/2014/main" xmlns="" id="{00000000-0008-0000-0300-0000E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5" name="Rectangle 871">
          <a:extLst>
            <a:ext uri="{FF2B5EF4-FFF2-40B4-BE49-F238E27FC236}">
              <a16:creationId xmlns:a16="http://schemas.microsoft.com/office/drawing/2014/main" xmlns="" id="{00000000-0008-0000-0300-0000E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6" name="Rectangle 872">
          <a:extLst>
            <a:ext uri="{FF2B5EF4-FFF2-40B4-BE49-F238E27FC236}">
              <a16:creationId xmlns:a16="http://schemas.microsoft.com/office/drawing/2014/main" xmlns="" id="{00000000-0008-0000-0300-0000E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7" name="Rectangle 873">
          <a:extLst>
            <a:ext uri="{FF2B5EF4-FFF2-40B4-BE49-F238E27FC236}">
              <a16:creationId xmlns:a16="http://schemas.microsoft.com/office/drawing/2014/main" xmlns="" id="{00000000-0008-0000-0300-0000E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08" name="Rectangle 828">
          <a:extLst>
            <a:ext uri="{FF2B5EF4-FFF2-40B4-BE49-F238E27FC236}">
              <a16:creationId xmlns:a16="http://schemas.microsoft.com/office/drawing/2014/main" xmlns="" id="{00000000-0008-0000-0300-0000E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09" name="Rectangle 829">
          <a:extLst>
            <a:ext uri="{FF2B5EF4-FFF2-40B4-BE49-F238E27FC236}">
              <a16:creationId xmlns:a16="http://schemas.microsoft.com/office/drawing/2014/main" xmlns="" id="{00000000-0008-0000-0300-0000E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0" name="Rectangle 830">
          <a:extLst>
            <a:ext uri="{FF2B5EF4-FFF2-40B4-BE49-F238E27FC236}">
              <a16:creationId xmlns:a16="http://schemas.microsoft.com/office/drawing/2014/main" xmlns="" id="{00000000-0008-0000-0300-0000E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1" name="Rectangle 831">
          <a:extLst>
            <a:ext uri="{FF2B5EF4-FFF2-40B4-BE49-F238E27FC236}">
              <a16:creationId xmlns:a16="http://schemas.microsoft.com/office/drawing/2014/main" xmlns="" id="{00000000-0008-0000-0300-0000E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2" name="Rectangle 832">
          <a:extLst>
            <a:ext uri="{FF2B5EF4-FFF2-40B4-BE49-F238E27FC236}">
              <a16:creationId xmlns:a16="http://schemas.microsoft.com/office/drawing/2014/main" xmlns="" id="{00000000-0008-0000-0300-0000E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3" name="Rectangle 833">
          <a:extLst>
            <a:ext uri="{FF2B5EF4-FFF2-40B4-BE49-F238E27FC236}">
              <a16:creationId xmlns:a16="http://schemas.microsoft.com/office/drawing/2014/main" xmlns="" id="{00000000-0008-0000-0300-0000E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4" name="Rectangle 834">
          <a:extLst>
            <a:ext uri="{FF2B5EF4-FFF2-40B4-BE49-F238E27FC236}">
              <a16:creationId xmlns:a16="http://schemas.microsoft.com/office/drawing/2014/main" xmlns="" id="{00000000-0008-0000-0300-0000E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5" name="Rectangle 835">
          <a:extLst>
            <a:ext uri="{FF2B5EF4-FFF2-40B4-BE49-F238E27FC236}">
              <a16:creationId xmlns:a16="http://schemas.microsoft.com/office/drawing/2014/main" xmlns="" id="{00000000-0008-0000-0300-0000E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6" name="Rectangle 836">
          <a:extLst>
            <a:ext uri="{FF2B5EF4-FFF2-40B4-BE49-F238E27FC236}">
              <a16:creationId xmlns:a16="http://schemas.microsoft.com/office/drawing/2014/main" xmlns="" id="{00000000-0008-0000-0300-0000F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7" name="Rectangle 837">
          <a:extLst>
            <a:ext uri="{FF2B5EF4-FFF2-40B4-BE49-F238E27FC236}">
              <a16:creationId xmlns:a16="http://schemas.microsoft.com/office/drawing/2014/main" xmlns="" id="{00000000-0008-0000-0300-0000F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8" name="Rectangle 838">
          <a:extLst>
            <a:ext uri="{FF2B5EF4-FFF2-40B4-BE49-F238E27FC236}">
              <a16:creationId xmlns:a16="http://schemas.microsoft.com/office/drawing/2014/main" xmlns="" id="{00000000-0008-0000-0300-0000F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9" name="Rectangle 839">
          <a:extLst>
            <a:ext uri="{FF2B5EF4-FFF2-40B4-BE49-F238E27FC236}">
              <a16:creationId xmlns:a16="http://schemas.microsoft.com/office/drawing/2014/main" xmlns="" id="{00000000-0008-0000-0300-0000F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0" name="Rectangle 840">
          <a:extLst>
            <a:ext uri="{FF2B5EF4-FFF2-40B4-BE49-F238E27FC236}">
              <a16:creationId xmlns:a16="http://schemas.microsoft.com/office/drawing/2014/main" xmlns="" id="{00000000-0008-0000-0300-0000F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1" name="Rectangle 841">
          <a:extLst>
            <a:ext uri="{FF2B5EF4-FFF2-40B4-BE49-F238E27FC236}">
              <a16:creationId xmlns:a16="http://schemas.microsoft.com/office/drawing/2014/main" xmlns="" id="{00000000-0008-0000-0300-0000F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2" name="Rectangle 842">
          <a:extLst>
            <a:ext uri="{FF2B5EF4-FFF2-40B4-BE49-F238E27FC236}">
              <a16:creationId xmlns:a16="http://schemas.microsoft.com/office/drawing/2014/main" xmlns="" id="{00000000-0008-0000-0300-0000F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3" name="Rectangle 843">
          <a:extLst>
            <a:ext uri="{FF2B5EF4-FFF2-40B4-BE49-F238E27FC236}">
              <a16:creationId xmlns:a16="http://schemas.microsoft.com/office/drawing/2014/main" xmlns="" id="{00000000-0008-0000-0300-0000F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4" name="Rectangle 844">
          <a:extLst>
            <a:ext uri="{FF2B5EF4-FFF2-40B4-BE49-F238E27FC236}">
              <a16:creationId xmlns:a16="http://schemas.microsoft.com/office/drawing/2014/main" xmlns="" id="{00000000-0008-0000-0300-0000F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5" name="Rectangle 845">
          <a:extLst>
            <a:ext uri="{FF2B5EF4-FFF2-40B4-BE49-F238E27FC236}">
              <a16:creationId xmlns:a16="http://schemas.microsoft.com/office/drawing/2014/main" xmlns="" id="{00000000-0008-0000-0300-0000F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6" name="Rectangle 846">
          <a:extLst>
            <a:ext uri="{FF2B5EF4-FFF2-40B4-BE49-F238E27FC236}">
              <a16:creationId xmlns:a16="http://schemas.microsoft.com/office/drawing/2014/main" xmlns="" id="{00000000-0008-0000-0300-0000F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7" name="Rectangle 847">
          <a:extLst>
            <a:ext uri="{FF2B5EF4-FFF2-40B4-BE49-F238E27FC236}">
              <a16:creationId xmlns:a16="http://schemas.microsoft.com/office/drawing/2014/main" xmlns="" id="{00000000-0008-0000-0300-0000F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8" name="Rectangle 848">
          <a:extLst>
            <a:ext uri="{FF2B5EF4-FFF2-40B4-BE49-F238E27FC236}">
              <a16:creationId xmlns:a16="http://schemas.microsoft.com/office/drawing/2014/main" xmlns="" id="{00000000-0008-0000-0300-0000F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9" name="Rectangle 849">
          <a:extLst>
            <a:ext uri="{FF2B5EF4-FFF2-40B4-BE49-F238E27FC236}">
              <a16:creationId xmlns:a16="http://schemas.microsoft.com/office/drawing/2014/main" xmlns="" id="{00000000-0008-0000-0300-0000F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0" name="Rectangle 850">
          <a:extLst>
            <a:ext uri="{FF2B5EF4-FFF2-40B4-BE49-F238E27FC236}">
              <a16:creationId xmlns:a16="http://schemas.microsoft.com/office/drawing/2014/main" xmlns="" id="{00000000-0008-0000-0300-0000F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1" name="Rectangle 851">
          <a:extLst>
            <a:ext uri="{FF2B5EF4-FFF2-40B4-BE49-F238E27FC236}">
              <a16:creationId xmlns:a16="http://schemas.microsoft.com/office/drawing/2014/main" xmlns="" id="{00000000-0008-0000-0300-0000F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2" name="Rectangle 852">
          <a:extLst>
            <a:ext uri="{FF2B5EF4-FFF2-40B4-BE49-F238E27FC236}">
              <a16:creationId xmlns:a16="http://schemas.microsoft.com/office/drawing/2014/main" xmlns="" id="{00000000-0008-0000-0300-000000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3" name="Rectangle 853">
          <a:extLst>
            <a:ext uri="{FF2B5EF4-FFF2-40B4-BE49-F238E27FC236}">
              <a16:creationId xmlns:a16="http://schemas.microsoft.com/office/drawing/2014/main" xmlns="" id="{00000000-0008-0000-0300-000001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4" name="Rectangle 854">
          <a:extLst>
            <a:ext uri="{FF2B5EF4-FFF2-40B4-BE49-F238E27FC236}">
              <a16:creationId xmlns:a16="http://schemas.microsoft.com/office/drawing/2014/main" xmlns="" id="{00000000-0008-0000-0300-000002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5" name="Rectangle 855">
          <a:extLst>
            <a:ext uri="{FF2B5EF4-FFF2-40B4-BE49-F238E27FC236}">
              <a16:creationId xmlns:a16="http://schemas.microsoft.com/office/drawing/2014/main" xmlns="" id="{00000000-0008-0000-0300-000003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6" name="Rectangle 856">
          <a:extLst>
            <a:ext uri="{FF2B5EF4-FFF2-40B4-BE49-F238E27FC236}">
              <a16:creationId xmlns:a16="http://schemas.microsoft.com/office/drawing/2014/main" xmlns="" id="{00000000-0008-0000-0300-000004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7" name="Rectangle 857">
          <a:extLst>
            <a:ext uri="{FF2B5EF4-FFF2-40B4-BE49-F238E27FC236}">
              <a16:creationId xmlns:a16="http://schemas.microsoft.com/office/drawing/2014/main" xmlns="" id="{00000000-0008-0000-0300-000005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8" name="Rectangle 858">
          <a:extLst>
            <a:ext uri="{FF2B5EF4-FFF2-40B4-BE49-F238E27FC236}">
              <a16:creationId xmlns:a16="http://schemas.microsoft.com/office/drawing/2014/main" xmlns="" id="{00000000-0008-0000-0300-000006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9" name="Rectangle 859">
          <a:extLst>
            <a:ext uri="{FF2B5EF4-FFF2-40B4-BE49-F238E27FC236}">
              <a16:creationId xmlns:a16="http://schemas.microsoft.com/office/drawing/2014/main" xmlns="" id="{00000000-0008-0000-0300-000007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40" name="Rectangle 860">
          <a:extLst>
            <a:ext uri="{FF2B5EF4-FFF2-40B4-BE49-F238E27FC236}">
              <a16:creationId xmlns:a16="http://schemas.microsoft.com/office/drawing/2014/main" xmlns="" id="{00000000-0008-0000-0300-000008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41" name="Rectangle 861">
          <a:extLst>
            <a:ext uri="{FF2B5EF4-FFF2-40B4-BE49-F238E27FC236}">
              <a16:creationId xmlns:a16="http://schemas.microsoft.com/office/drawing/2014/main" xmlns="" id="{00000000-0008-0000-0300-000009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2" name="Rectangle 862">
          <a:extLst>
            <a:ext uri="{FF2B5EF4-FFF2-40B4-BE49-F238E27FC236}">
              <a16:creationId xmlns:a16="http://schemas.microsoft.com/office/drawing/2014/main" xmlns="" id="{00000000-0008-0000-0300-00000A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3" name="Rectangle 863">
          <a:extLst>
            <a:ext uri="{FF2B5EF4-FFF2-40B4-BE49-F238E27FC236}">
              <a16:creationId xmlns:a16="http://schemas.microsoft.com/office/drawing/2014/main" xmlns="" id="{00000000-0008-0000-0300-00000B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4" name="Rectangle 864">
          <a:extLst>
            <a:ext uri="{FF2B5EF4-FFF2-40B4-BE49-F238E27FC236}">
              <a16:creationId xmlns:a16="http://schemas.microsoft.com/office/drawing/2014/main" xmlns="" id="{00000000-0008-0000-0300-00000C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5" name="Rectangle 865">
          <a:extLst>
            <a:ext uri="{FF2B5EF4-FFF2-40B4-BE49-F238E27FC236}">
              <a16:creationId xmlns:a16="http://schemas.microsoft.com/office/drawing/2014/main" xmlns="" id="{00000000-0008-0000-0300-00000D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6" name="Rectangle 866">
          <a:extLst>
            <a:ext uri="{FF2B5EF4-FFF2-40B4-BE49-F238E27FC236}">
              <a16:creationId xmlns:a16="http://schemas.microsoft.com/office/drawing/2014/main" xmlns="" id="{00000000-0008-0000-0300-00000E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7" name="Rectangle 867">
          <a:extLst>
            <a:ext uri="{FF2B5EF4-FFF2-40B4-BE49-F238E27FC236}">
              <a16:creationId xmlns:a16="http://schemas.microsoft.com/office/drawing/2014/main" xmlns="" id="{00000000-0008-0000-0300-00000F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8" name="Rectangle 868">
          <a:extLst>
            <a:ext uri="{FF2B5EF4-FFF2-40B4-BE49-F238E27FC236}">
              <a16:creationId xmlns:a16="http://schemas.microsoft.com/office/drawing/2014/main" xmlns="" id="{00000000-0008-0000-0300-000010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9" name="Rectangle 869">
          <a:extLst>
            <a:ext uri="{FF2B5EF4-FFF2-40B4-BE49-F238E27FC236}">
              <a16:creationId xmlns:a16="http://schemas.microsoft.com/office/drawing/2014/main" xmlns="" id="{00000000-0008-0000-0300-000011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0" name="Rectangle 870">
          <a:extLst>
            <a:ext uri="{FF2B5EF4-FFF2-40B4-BE49-F238E27FC236}">
              <a16:creationId xmlns:a16="http://schemas.microsoft.com/office/drawing/2014/main" xmlns="" id="{00000000-0008-0000-0300-000012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1" name="Rectangle 871">
          <a:extLst>
            <a:ext uri="{FF2B5EF4-FFF2-40B4-BE49-F238E27FC236}">
              <a16:creationId xmlns:a16="http://schemas.microsoft.com/office/drawing/2014/main" xmlns="" id="{00000000-0008-0000-0300-000013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2" name="Rectangle 872">
          <a:extLst>
            <a:ext uri="{FF2B5EF4-FFF2-40B4-BE49-F238E27FC236}">
              <a16:creationId xmlns:a16="http://schemas.microsoft.com/office/drawing/2014/main" xmlns="" id="{00000000-0008-0000-0300-000014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3" name="Rectangle 873">
          <a:extLst>
            <a:ext uri="{FF2B5EF4-FFF2-40B4-BE49-F238E27FC236}">
              <a16:creationId xmlns:a16="http://schemas.microsoft.com/office/drawing/2014/main" xmlns="" id="{00000000-0008-0000-0300-000015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4" name="Rectangle 874">
          <a:extLst>
            <a:ext uri="{FF2B5EF4-FFF2-40B4-BE49-F238E27FC236}">
              <a16:creationId xmlns:a16="http://schemas.microsoft.com/office/drawing/2014/main" xmlns="" id="{00000000-0008-0000-0300-00001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5" name="Rectangle 875">
          <a:extLst>
            <a:ext uri="{FF2B5EF4-FFF2-40B4-BE49-F238E27FC236}">
              <a16:creationId xmlns:a16="http://schemas.microsoft.com/office/drawing/2014/main" xmlns="" id="{00000000-0008-0000-0300-00001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6" name="Rectangle 876">
          <a:extLst>
            <a:ext uri="{FF2B5EF4-FFF2-40B4-BE49-F238E27FC236}">
              <a16:creationId xmlns:a16="http://schemas.microsoft.com/office/drawing/2014/main" xmlns="" id="{00000000-0008-0000-0300-00001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7" name="Rectangle 877">
          <a:extLst>
            <a:ext uri="{FF2B5EF4-FFF2-40B4-BE49-F238E27FC236}">
              <a16:creationId xmlns:a16="http://schemas.microsoft.com/office/drawing/2014/main" xmlns="" id="{00000000-0008-0000-0300-00001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8" name="Rectangle 878">
          <a:extLst>
            <a:ext uri="{FF2B5EF4-FFF2-40B4-BE49-F238E27FC236}">
              <a16:creationId xmlns:a16="http://schemas.microsoft.com/office/drawing/2014/main" xmlns="" id="{00000000-0008-0000-0300-00001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9" name="Rectangle 879">
          <a:extLst>
            <a:ext uri="{FF2B5EF4-FFF2-40B4-BE49-F238E27FC236}">
              <a16:creationId xmlns:a16="http://schemas.microsoft.com/office/drawing/2014/main" xmlns="" id="{00000000-0008-0000-0300-00001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0" name="Rectangle 880">
          <a:extLst>
            <a:ext uri="{FF2B5EF4-FFF2-40B4-BE49-F238E27FC236}">
              <a16:creationId xmlns:a16="http://schemas.microsoft.com/office/drawing/2014/main" xmlns="" id="{00000000-0008-0000-0300-00001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1" name="Rectangle 881">
          <a:extLst>
            <a:ext uri="{FF2B5EF4-FFF2-40B4-BE49-F238E27FC236}">
              <a16:creationId xmlns:a16="http://schemas.microsoft.com/office/drawing/2014/main" xmlns="" id="{00000000-0008-0000-0300-00001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2" name="Rectangle 882">
          <a:extLst>
            <a:ext uri="{FF2B5EF4-FFF2-40B4-BE49-F238E27FC236}">
              <a16:creationId xmlns:a16="http://schemas.microsoft.com/office/drawing/2014/main" xmlns="" id="{00000000-0008-0000-0300-00001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3" name="Rectangle 883">
          <a:extLst>
            <a:ext uri="{FF2B5EF4-FFF2-40B4-BE49-F238E27FC236}">
              <a16:creationId xmlns:a16="http://schemas.microsoft.com/office/drawing/2014/main" xmlns="" id="{00000000-0008-0000-0300-00001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4" name="Rectangle 884">
          <a:extLst>
            <a:ext uri="{FF2B5EF4-FFF2-40B4-BE49-F238E27FC236}">
              <a16:creationId xmlns:a16="http://schemas.microsoft.com/office/drawing/2014/main" xmlns="" id="{00000000-0008-0000-0300-00002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5" name="Rectangle 885">
          <a:extLst>
            <a:ext uri="{FF2B5EF4-FFF2-40B4-BE49-F238E27FC236}">
              <a16:creationId xmlns:a16="http://schemas.microsoft.com/office/drawing/2014/main" xmlns="" id="{00000000-0008-0000-0300-00002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6" name="Rectangle 886">
          <a:extLst>
            <a:ext uri="{FF2B5EF4-FFF2-40B4-BE49-F238E27FC236}">
              <a16:creationId xmlns:a16="http://schemas.microsoft.com/office/drawing/2014/main" xmlns="" id="{00000000-0008-0000-0300-00002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7" name="Rectangle 887">
          <a:extLst>
            <a:ext uri="{FF2B5EF4-FFF2-40B4-BE49-F238E27FC236}">
              <a16:creationId xmlns:a16="http://schemas.microsoft.com/office/drawing/2014/main" xmlns="" id="{00000000-0008-0000-0300-00002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8" name="Rectangle 888">
          <a:extLst>
            <a:ext uri="{FF2B5EF4-FFF2-40B4-BE49-F238E27FC236}">
              <a16:creationId xmlns:a16="http://schemas.microsoft.com/office/drawing/2014/main" xmlns="" id="{00000000-0008-0000-0300-00002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9" name="Rectangle 889">
          <a:extLst>
            <a:ext uri="{FF2B5EF4-FFF2-40B4-BE49-F238E27FC236}">
              <a16:creationId xmlns:a16="http://schemas.microsoft.com/office/drawing/2014/main" xmlns="" id="{00000000-0008-0000-0300-00002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0" name="Rectangle 890">
          <a:extLst>
            <a:ext uri="{FF2B5EF4-FFF2-40B4-BE49-F238E27FC236}">
              <a16:creationId xmlns:a16="http://schemas.microsoft.com/office/drawing/2014/main" xmlns="" id="{00000000-0008-0000-0300-00002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1" name="Rectangle 891">
          <a:extLst>
            <a:ext uri="{FF2B5EF4-FFF2-40B4-BE49-F238E27FC236}">
              <a16:creationId xmlns:a16="http://schemas.microsoft.com/office/drawing/2014/main" xmlns="" id="{00000000-0008-0000-0300-00002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2" name="Rectangle 892">
          <a:extLst>
            <a:ext uri="{FF2B5EF4-FFF2-40B4-BE49-F238E27FC236}">
              <a16:creationId xmlns:a16="http://schemas.microsoft.com/office/drawing/2014/main" xmlns="" id="{00000000-0008-0000-0300-00002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3" name="Rectangle 893">
          <a:extLst>
            <a:ext uri="{FF2B5EF4-FFF2-40B4-BE49-F238E27FC236}">
              <a16:creationId xmlns:a16="http://schemas.microsoft.com/office/drawing/2014/main" xmlns="" id="{00000000-0008-0000-0300-00002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4" name="Rectangle 894">
          <a:extLst>
            <a:ext uri="{FF2B5EF4-FFF2-40B4-BE49-F238E27FC236}">
              <a16:creationId xmlns:a16="http://schemas.microsoft.com/office/drawing/2014/main" xmlns="" id="{00000000-0008-0000-0300-00002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5" name="Rectangle 895">
          <a:extLst>
            <a:ext uri="{FF2B5EF4-FFF2-40B4-BE49-F238E27FC236}">
              <a16:creationId xmlns:a16="http://schemas.microsoft.com/office/drawing/2014/main" xmlns="" id="{00000000-0008-0000-0300-00002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6" name="Rectangle 896">
          <a:extLst>
            <a:ext uri="{FF2B5EF4-FFF2-40B4-BE49-F238E27FC236}">
              <a16:creationId xmlns:a16="http://schemas.microsoft.com/office/drawing/2014/main" xmlns="" id="{00000000-0008-0000-0300-00002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7" name="Rectangle 897">
          <a:extLst>
            <a:ext uri="{FF2B5EF4-FFF2-40B4-BE49-F238E27FC236}">
              <a16:creationId xmlns:a16="http://schemas.microsoft.com/office/drawing/2014/main" xmlns="" id="{00000000-0008-0000-0300-00002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8" name="Rectangle 898">
          <a:extLst>
            <a:ext uri="{FF2B5EF4-FFF2-40B4-BE49-F238E27FC236}">
              <a16:creationId xmlns:a16="http://schemas.microsoft.com/office/drawing/2014/main" xmlns="" id="{00000000-0008-0000-0300-00002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9" name="Rectangle 899">
          <a:extLst>
            <a:ext uri="{FF2B5EF4-FFF2-40B4-BE49-F238E27FC236}">
              <a16:creationId xmlns:a16="http://schemas.microsoft.com/office/drawing/2014/main" xmlns="" id="{00000000-0008-0000-0300-00002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0" name="Rectangle 900">
          <a:extLst>
            <a:ext uri="{FF2B5EF4-FFF2-40B4-BE49-F238E27FC236}">
              <a16:creationId xmlns:a16="http://schemas.microsoft.com/office/drawing/2014/main" xmlns="" id="{00000000-0008-0000-0300-00003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1" name="Rectangle 901">
          <a:extLst>
            <a:ext uri="{FF2B5EF4-FFF2-40B4-BE49-F238E27FC236}">
              <a16:creationId xmlns:a16="http://schemas.microsoft.com/office/drawing/2014/main" xmlns="" id="{00000000-0008-0000-0300-00003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2" name="Rectangle 902">
          <a:extLst>
            <a:ext uri="{FF2B5EF4-FFF2-40B4-BE49-F238E27FC236}">
              <a16:creationId xmlns:a16="http://schemas.microsoft.com/office/drawing/2014/main" xmlns="" id="{00000000-0008-0000-0300-00003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3" name="Rectangle 903">
          <a:extLst>
            <a:ext uri="{FF2B5EF4-FFF2-40B4-BE49-F238E27FC236}">
              <a16:creationId xmlns:a16="http://schemas.microsoft.com/office/drawing/2014/main" xmlns="" id="{00000000-0008-0000-0300-00003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4" name="Rectangle 904">
          <a:extLst>
            <a:ext uri="{FF2B5EF4-FFF2-40B4-BE49-F238E27FC236}">
              <a16:creationId xmlns:a16="http://schemas.microsoft.com/office/drawing/2014/main" xmlns="" id="{00000000-0008-0000-0300-00003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5" name="Rectangle 905">
          <a:extLst>
            <a:ext uri="{FF2B5EF4-FFF2-40B4-BE49-F238E27FC236}">
              <a16:creationId xmlns:a16="http://schemas.microsoft.com/office/drawing/2014/main" xmlns="" id="{00000000-0008-0000-0300-00003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6" name="Rectangle 906">
          <a:extLst>
            <a:ext uri="{FF2B5EF4-FFF2-40B4-BE49-F238E27FC236}">
              <a16:creationId xmlns:a16="http://schemas.microsoft.com/office/drawing/2014/main" xmlns="" id="{00000000-0008-0000-0300-00003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7" name="Rectangle 907">
          <a:extLst>
            <a:ext uri="{FF2B5EF4-FFF2-40B4-BE49-F238E27FC236}">
              <a16:creationId xmlns:a16="http://schemas.microsoft.com/office/drawing/2014/main" xmlns="" id="{00000000-0008-0000-0300-00003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8" name="Rectangle 908">
          <a:extLst>
            <a:ext uri="{FF2B5EF4-FFF2-40B4-BE49-F238E27FC236}">
              <a16:creationId xmlns:a16="http://schemas.microsoft.com/office/drawing/2014/main" xmlns="" id="{00000000-0008-0000-0300-00003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9" name="Rectangle 909">
          <a:extLst>
            <a:ext uri="{FF2B5EF4-FFF2-40B4-BE49-F238E27FC236}">
              <a16:creationId xmlns:a16="http://schemas.microsoft.com/office/drawing/2014/main" xmlns="" id="{00000000-0008-0000-0300-00003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0" name="Rectangle 910">
          <a:extLst>
            <a:ext uri="{FF2B5EF4-FFF2-40B4-BE49-F238E27FC236}">
              <a16:creationId xmlns:a16="http://schemas.microsoft.com/office/drawing/2014/main" xmlns="" id="{00000000-0008-0000-0300-00003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1" name="Rectangle 911">
          <a:extLst>
            <a:ext uri="{FF2B5EF4-FFF2-40B4-BE49-F238E27FC236}">
              <a16:creationId xmlns:a16="http://schemas.microsoft.com/office/drawing/2014/main" xmlns="" id="{00000000-0008-0000-0300-00003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2" name="Rectangle 912">
          <a:extLst>
            <a:ext uri="{FF2B5EF4-FFF2-40B4-BE49-F238E27FC236}">
              <a16:creationId xmlns:a16="http://schemas.microsoft.com/office/drawing/2014/main" xmlns="" id="{00000000-0008-0000-0300-00003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3" name="Rectangle 913">
          <a:extLst>
            <a:ext uri="{FF2B5EF4-FFF2-40B4-BE49-F238E27FC236}">
              <a16:creationId xmlns:a16="http://schemas.microsoft.com/office/drawing/2014/main" xmlns="" id="{00000000-0008-0000-0300-00003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4" name="Rectangle 914">
          <a:extLst>
            <a:ext uri="{FF2B5EF4-FFF2-40B4-BE49-F238E27FC236}">
              <a16:creationId xmlns:a16="http://schemas.microsoft.com/office/drawing/2014/main" xmlns="" id="{00000000-0008-0000-0300-00003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5" name="Rectangle 915">
          <a:extLst>
            <a:ext uri="{FF2B5EF4-FFF2-40B4-BE49-F238E27FC236}">
              <a16:creationId xmlns:a16="http://schemas.microsoft.com/office/drawing/2014/main" xmlns="" id="{00000000-0008-0000-0300-00003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6" name="Rectangle 916">
          <a:extLst>
            <a:ext uri="{FF2B5EF4-FFF2-40B4-BE49-F238E27FC236}">
              <a16:creationId xmlns:a16="http://schemas.microsoft.com/office/drawing/2014/main" xmlns="" id="{00000000-0008-0000-0300-00004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7" name="Rectangle 917">
          <a:extLst>
            <a:ext uri="{FF2B5EF4-FFF2-40B4-BE49-F238E27FC236}">
              <a16:creationId xmlns:a16="http://schemas.microsoft.com/office/drawing/2014/main" xmlns="" id="{00000000-0008-0000-0300-00004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8" name="Rectangle 918">
          <a:extLst>
            <a:ext uri="{FF2B5EF4-FFF2-40B4-BE49-F238E27FC236}">
              <a16:creationId xmlns:a16="http://schemas.microsoft.com/office/drawing/2014/main" xmlns="" id="{00000000-0008-0000-0300-00004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9" name="Rectangle 919">
          <a:extLst>
            <a:ext uri="{FF2B5EF4-FFF2-40B4-BE49-F238E27FC236}">
              <a16:creationId xmlns:a16="http://schemas.microsoft.com/office/drawing/2014/main" xmlns="" id="{00000000-0008-0000-0300-00004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0" name="Rectangle 874">
          <a:extLst>
            <a:ext uri="{FF2B5EF4-FFF2-40B4-BE49-F238E27FC236}">
              <a16:creationId xmlns:a16="http://schemas.microsoft.com/office/drawing/2014/main" xmlns="" id="{00000000-0008-0000-0300-00004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1" name="Rectangle 875">
          <a:extLst>
            <a:ext uri="{FF2B5EF4-FFF2-40B4-BE49-F238E27FC236}">
              <a16:creationId xmlns:a16="http://schemas.microsoft.com/office/drawing/2014/main" xmlns="" id="{00000000-0008-0000-0300-00004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2" name="Rectangle 876">
          <a:extLst>
            <a:ext uri="{FF2B5EF4-FFF2-40B4-BE49-F238E27FC236}">
              <a16:creationId xmlns:a16="http://schemas.microsoft.com/office/drawing/2014/main" xmlns="" id="{00000000-0008-0000-0300-00004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3" name="Rectangle 877">
          <a:extLst>
            <a:ext uri="{FF2B5EF4-FFF2-40B4-BE49-F238E27FC236}">
              <a16:creationId xmlns:a16="http://schemas.microsoft.com/office/drawing/2014/main" xmlns="" id="{00000000-0008-0000-0300-00004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4" name="Rectangle 878">
          <a:extLst>
            <a:ext uri="{FF2B5EF4-FFF2-40B4-BE49-F238E27FC236}">
              <a16:creationId xmlns:a16="http://schemas.microsoft.com/office/drawing/2014/main" xmlns="" id="{00000000-0008-0000-0300-00004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5" name="Rectangle 879">
          <a:extLst>
            <a:ext uri="{FF2B5EF4-FFF2-40B4-BE49-F238E27FC236}">
              <a16:creationId xmlns:a16="http://schemas.microsoft.com/office/drawing/2014/main" xmlns="" id="{00000000-0008-0000-0300-00004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6" name="Rectangle 880">
          <a:extLst>
            <a:ext uri="{FF2B5EF4-FFF2-40B4-BE49-F238E27FC236}">
              <a16:creationId xmlns:a16="http://schemas.microsoft.com/office/drawing/2014/main" xmlns="" id="{00000000-0008-0000-0300-00004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7" name="Rectangle 881">
          <a:extLst>
            <a:ext uri="{FF2B5EF4-FFF2-40B4-BE49-F238E27FC236}">
              <a16:creationId xmlns:a16="http://schemas.microsoft.com/office/drawing/2014/main" xmlns="" id="{00000000-0008-0000-0300-00004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8" name="Rectangle 882">
          <a:extLst>
            <a:ext uri="{FF2B5EF4-FFF2-40B4-BE49-F238E27FC236}">
              <a16:creationId xmlns:a16="http://schemas.microsoft.com/office/drawing/2014/main" xmlns="" id="{00000000-0008-0000-0300-00004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9" name="Rectangle 883">
          <a:extLst>
            <a:ext uri="{FF2B5EF4-FFF2-40B4-BE49-F238E27FC236}">
              <a16:creationId xmlns:a16="http://schemas.microsoft.com/office/drawing/2014/main" xmlns="" id="{00000000-0008-0000-0300-00004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0" name="Rectangle 884">
          <a:extLst>
            <a:ext uri="{FF2B5EF4-FFF2-40B4-BE49-F238E27FC236}">
              <a16:creationId xmlns:a16="http://schemas.microsoft.com/office/drawing/2014/main" xmlns="" id="{00000000-0008-0000-0300-00004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1" name="Rectangle 885">
          <a:extLst>
            <a:ext uri="{FF2B5EF4-FFF2-40B4-BE49-F238E27FC236}">
              <a16:creationId xmlns:a16="http://schemas.microsoft.com/office/drawing/2014/main" xmlns="" id="{00000000-0008-0000-0300-00004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2" name="Rectangle 886">
          <a:extLst>
            <a:ext uri="{FF2B5EF4-FFF2-40B4-BE49-F238E27FC236}">
              <a16:creationId xmlns:a16="http://schemas.microsoft.com/office/drawing/2014/main" xmlns="" id="{00000000-0008-0000-0300-00005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3" name="Rectangle 887">
          <a:extLst>
            <a:ext uri="{FF2B5EF4-FFF2-40B4-BE49-F238E27FC236}">
              <a16:creationId xmlns:a16="http://schemas.microsoft.com/office/drawing/2014/main" xmlns="" id="{00000000-0008-0000-0300-00005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4" name="Rectangle 888">
          <a:extLst>
            <a:ext uri="{FF2B5EF4-FFF2-40B4-BE49-F238E27FC236}">
              <a16:creationId xmlns:a16="http://schemas.microsoft.com/office/drawing/2014/main" xmlns="" id="{00000000-0008-0000-0300-00005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5" name="Rectangle 889">
          <a:extLst>
            <a:ext uri="{FF2B5EF4-FFF2-40B4-BE49-F238E27FC236}">
              <a16:creationId xmlns:a16="http://schemas.microsoft.com/office/drawing/2014/main" xmlns="" id="{00000000-0008-0000-0300-00005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6" name="Rectangle 890">
          <a:extLst>
            <a:ext uri="{FF2B5EF4-FFF2-40B4-BE49-F238E27FC236}">
              <a16:creationId xmlns:a16="http://schemas.microsoft.com/office/drawing/2014/main" xmlns="" id="{00000000-0008-0000-0300-00005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7" name="Rectangle 891">
          <a:extLst>
            <a:ext uri="{FF2B5EF4-FFF2-40B4-BE49-F238E27FC236}">
              <a16:creationId xmlns:a16="http://schemas.microsoft.com/office/drawing/2014/main" xmlns="" id="{00000000-0008-0000-0300-00005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8" name="Rectangle 892">
          <a:extLst>
            <a:ext uri="{FF2B5EF4-FFF2-40B4-BE49-F238E27FC236}">
              <a16:creationId xmlns:a16="http://schemas.microsoft.com/office/drawing/2014/main" xmlns="" id="{00000000-0008-0000-0300-00005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9" name="Rectangle 893">
          <a:extLst>
            <a:ext uri="{FF2B5EF4-FFF2-40B4-BE49-F238E27FC236}">
              <a16:creationId xmlns:a16="http://schemas.microsoft.com/office/drawing/2014/main" xmlns="" id="{00000000-0008-0000-0300-00005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0" name="Rectangle 894">
          <a:extLst>
            <a:ext uri="{FF2B5EF4-FFF2-40B4-BE49-F238E27FC236}">
              <a16:creationId xmlns:a16="http://schemas.microsoft.com/office/drawing/2014/main" xmlns="" id="{00000000-0008-0000-0300-00005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1" name="Rectangle 895">
          <a:extLst>
            <a:ext uri="{FF2B5EF4-FFF2-40B4-BE49-F238E27FC236}">
              <a16:creationId xmlns:a16="http://schemas.microsoft.com/office/drawing/2014/main" xmlns="" id="{00000000-0008-0000-0300-00005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2" name="Rectangle 896">
          <a:extLst>
            <a:ext uri="{FF2B5EF4-FFF2-40B4-BE49-F238E27FC236}">
              <a16:creationId xmlns:a16="http://schemas.microsoft.com/office/drawing/2014/main" xmlns="" id="{00000000-0008-0000-0300-00005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3" name="Rectangle 897">
          <a:extLst>
            <a:ext uri="{FF2B5EF4-FFF2-40B4-BE49-F238E27FC236}">
              <a16:creationId xmlns:a16="http://schemas.microsoft.com/office/drawing/2014/main" xmlns="" id="{00000000-0008-0000-0300-00005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4" name="Rectangle 898">
          <a:extLst>
            <a:ext uri="{FF2B5EF4-FFF2-40B4-BE49-F238E27FC236}">
              <a16:creationId xmlns:a16="http://schemas.microsoft.com/office/drawing/2014/main" xmlns="" id="{00000000-0008-0000-0300-00005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5" name="Rectangle 899">
          <a:extLst>
            <a:ext uri="{FF2B5EF4-FFF2-40B4-BE49-F238E27FC236}">
              <a16:creationId xmlns:a16="http://schemas.microsoft.com/office/drawing/2014/main" xmlns="" id="{00000000-0008-0000-0300-00005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6" name="Rectangle 900">
          <a:extLst>
            <a:ext uri="{FF2B5EF4-FFF2-40B4-BE49-F238E27FC236}">
              <a16:creationId xmlns:a16="http://schemas.microsoft.com/office/drawing/2014/main" xmlns="" id="{00000000-0008-0000-0300-00005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7" name="Rectangle 901">
          <a:extLst>
            <a:ext uri="{FF2B5EF4-FFF2-40B4-BE49-F238E27FC236}">
              <a16:creationId xmlns:a16="http://schemas.microsoft.com/office/drawing/2014/main" xmlns="" id="{00000000-0008-0000-0300-00005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8" name="Rectangle 902">
          <a:extLst>
            <a:ext uri="{FF2B5EF4-FFF2-40B4-BE49-F238E27FC236}">
              <a16:creationId xmlns:a16="http://schemas.microsoft.com/office/drawing/2014/main" xmlns="" id="{00000000-0008-0000-0300-00006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9" name="Rectangle 903">
          <a:extLst>
            <a:ext uri="{FF2B5EF4-FFF2-40B4-BE49-F238E27FC236}">
              <a16:creationId xmlns:a16="http://schemas.microsoft.com/office/drawing/2014/main" xmlns="" id="{00000000-0008-0000-0300-00006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30" name="Rectangle 904">
          <a:extLst>
            <a:ext uri="{FF2B5EF4-FFF2-40B4-BE49-F238E27FC236}">
              <a16:creationId xmlns:a16="http://schemas.microsoft.com/office/drawing/2014/main" xmlns="" id="{00000000-0008-0000-0300-00006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1" name="Rectangle 905">
          <a:extLst>
            <a:ext uri="{FF2B5EF4-FFF2-40B4-BE49-F238E27FC236}">
              <a16:creationId xmlns:a16="http://schemas.microsoft.com/office/drawing/2014/main" xmlns="" id="{00000000-0008-0000-0300-00006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32" name="Rectangle 906">
          <a:extLst>
            <a:ext uri="{FF2B5EF4-FFF2-40B4-BE49-F238E27FC236}">
              <a16:creationId xmlns:a16="http://schemas.microsoft.com/office/drawing/2014/main" xmlns="" id="{00000000-0008-0000-0300-00006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3" name="Rectangle 907">
          <a:extLst>
            <a:ext uri="{FF2B5EF4-FFF2-40B4-BE49-F238E27FC236}">
              <a16:creationId xmlns:a16="http://schemas.microsoft.com/office/drawing/2014/main" xmlns="" id="{00000000-0008-0000-0300-00006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4" name="Rectangle 908">
          <a:extLst>
            <a:ext uri="{FF2B5EF4-FFF2-40B4-BE49-F238E27FC236}">
              <a16:creationId xmlns:a16="http://schemas.microsoft.com/office/drawing/2014/main" xmlns="" id="{00000000-0008-0000-0300-00006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5" name="Rectangle 909">
          <a:extLst>
            <a:ext uri="{FF2B5EF4-FFF2-40B4-BE49-F238E27FC236}">
              <a16:creationId xmlns:a16="http://schemas.microsoft.com/office/drawing/2014/main" xmlns="" id="{00000000-0008-0000-0300-00006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6" name="Rectangle 910">
          <a:extLst>
            <a:ext uri="{FF2B5EF4-FFF2-40B4-BE49-F238E27FC236}">
              <a16:creationId xmlns:a16="http://schemas.microsoft.com/office/drawing/2014/main" xmlns="" id="{00000000-0008-0000-0300-00006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7" name="Rectangle 911">
          <a:extLst>
            <a:ext uri="{FF2B5EF4-FFF2-40B4-BE49-F238E27FC236}">
              <a16:creationId xmlns:a16="http://schemas.microsoft.com/office/drawing/2014/main" xmlns="" id="{00000000-0008-0000-0300-00006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8" name="Rectangle 912">
          <a:extLst>
            <a:ext uri="{FF2B5EF4-FFF2-40B4-BE49-F238E27FC236}">
              <a16:creationId xmlns:a16="http://schemas.microsoft.com/office/drawing/2014/main" xmlns="" id="{00000000-0008-0000-0300-00006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9" name="Rectangle 913">
          <a:extLst>
            <a:ext uri="{FF2B5EF4-FFF2-40B4-BE49-F238E27FC236}">
              <a16:creationId xmlns:a16="http://schemas.microsoft.com/office/drawing/2014/main" xmlns="" id="{00000000-0008-0000-0300-00006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0" name="Rectangle 914">
          <a:extLst>
            <a:ext uri="{FF2B5EF4-FFF2-40B4-BE49-F238E27FC236}">
              <a16:creationId xmlns:a16="http://schemas.microsoft.com/office/drawing/2014/main" xmlns="" id="{00000000-0008-0000-0300-00006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1" name="Rectangle 915">
          <a:extLst>
            <a:ext uri="{FF2B5EF4-FFF2-40B4-BE49-F238E27FC236}">
              <a16:creationId xmlns:a16="http://schemas.microsoft.com/office/drawing/2014/main" xmlns="" id="{00000000-0008-0000-0300-00006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2" name="Rectangle 916">
          <a:extLst>
            <a:ext uri="{FF2B5EF4-FFF2-40B4-BE49-F238E27FC236}">
              <a16:creationId xmlns:a16="http://schemas.microsoft.com/office/drawing/2014/main" xmlns="" id="{00000000-0008-0000-0300-00006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3" name="Rectangle 917">
          <a:extLst>
            <a:ext uri="{FF2B5EF4-FFF2-40B4-BE49-F238E27FC236}">
              <a16:creationId xmlns:a16="http://schemas.microsoft.com/office/drawing/2014/main" xmlns="" id="{00000000-0008-0000-0300-00006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4" name="Rectangle 918">
          <a:extLst>
            <a:ext uri="{FF2B5EF4-FFF2-40B4-BE49-F238E27FC236}">
              <a16:creationId xmlns:a16="http://schemas.microsoft.com/office/drawing/2014/main" xmlns="" id="{00000000-0008-0000-0300-00007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5" name="Rectangle 919">
          <a:extLst>
            <a:ext uri="{FF2B5EF4-FFF2-40B4-BE49-F238E27FC236}">
              <a16:creationId xmlns:a16="http://schemas.microsoft.com/office/drawing/2014/main" xmlns="" id="{00000000-0008-0000-0300-00007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6" name="Rectangle 874">
          <a:extLst>
            <a:ext uri="{FF2B5EF4-FFF2-40B4-BE49-F238E27FC236}">
              <a16:creationId xmlns:a16="http://schemas.microsoft.com/office/drawing/2014/main" xmlns="" id="{00000000-0008-0000-0300-00007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47" name="Rectangle 875">
          <a:extLst>
            <a:ext uri="{FF2B5EF4-FFF2-40B4-BE49-F238E27FC236}">
              <a16:creationId xmlns:a16="http://schemas.microsoft.com/office/drawing/2014/main" xmlns="" id="{00000000-0008-0000-0300-00007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48" name="Rectangle 876">
          <a:extLst>
            <a:ext uri="{FF2B5EF4-FFF2-40B4-BE49-F238E27FC236}">
              <a16:creationId xmlns:a16="http://schemas.microsoft.com/office/drawing/2014/main" xmlns="" id="{00000000-0008-0000-0300-00007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9" name="Rectangle 877">
          <a:extLst>
            <a:ext uri="{FF2B5EF4-FFF2-40B4-BE49-F238E27FC236}">
              <a16:creationId xmlns:a16="http://schemas.microsoft.com/office/drawing/2014/main" xmlns="" id="{00000000-0008-0000-0300-00007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0" name="Rectangle 878">
          <a:extLst>
            <a:ext uri="{FF2B5EF4-FFF2-40B4-BE49-F238E27FC236}">
              <a16:creationId xmlns:a16="http://schemas.microsoft.com/office/drawing/2014/main" xmlns="" id="{00000000-0008-0000-0300-00007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1" name="Rectangle 879">
          <a:extLst>
            <a:ext uri="{FF2B5EF4-FFF2-40B4-BE49-F238E27FC236}">
              <a16:creationId xmlns:a16="http://schemas.microsoft.com/office/drawing/2014/main" xmlns="" id="{00000000-0008-0000-0300-00007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2" name="Rectangle 880">
          <a:extLst>
            <a:ext uri="{FF2B5EF4-FFF2-40B4-BE49-F238E27FC236}">
              <a16:creationId xmlns:a16="http://schemas.microsoft.com/office/drawing/2014/main" xmlns="" id="{00000000-0008-0000-0300-00007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3" name="Rectangle 881">
          <a:extLst>
            <a:ext uri="{FF2B5EF4-FFF2-40B4-BE49-F238E27FC236}">
              <a16:creationId xmlns:a16="http://schemas.microsoft.com/office/drawing/2014/main" xmlns="" id="{00000000-0008-0000-0300-00007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4" name="Rectangle 882">
          <a:extLst>
            <a:ext uri="{FF2B5EF4-FFF2-40B4-BE49-F238E27FC236}">
              <a16:creationId xmlns:a16="http://schemas.microsoft.com/office/drawing/2014/main" xmlns="" id="{00000000-0008-0000-0300-00007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5" name="Rectangle 883">
          <a:extLst>
            <a:ext uri="{FF2B5EF4-FFF2-40B4-BE49-F238E27FC236}">
              <a16:creationId xmlns:a16="http://schemas.microsoft.com/office/drawing/2014/main" xmlns="" id="{00000000-0008-0000-0300-00007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6" name="Rectangle 884">
          <a:extLst>
            <a:ext uri="{FF2B5EF4-FFF2-40B4-BE49-F238E27FC236}">
              <a16:creationId xmlns:a16="http://schemas.microsoft.com/office/drawing/2014/main" xmlns="" id="{00000000-0008-0000-0300-00007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7" name="Rectangle 885">
          <a:extLst>
            <a:ext uri="{FF2B5EF4-FFF2-40B4-BE49-F238E27FC236}">
              <a16:creationId xmlns:a16="http://schemas.microsoft.com/office/drawing/2014/main" xmlns="" id="{00000000-0008-0000-0300-00007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8" name="Rectangle 886">
          <a:extLst>
            <a:ext uri="{FF2B5EF4-FFF2-40B4-BE49-F238E27FC236}">
              <a16:creationId xmlns:a16="http://schemas.microsoft.com/office/drawing/2014/main" xmlns="" id="{00000000-0008-0000-0300-00007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9" name="Rectangle 887">
          <a:extLst>
            <a:ext uri="{FF2B5EF4-FFF2-40B4-BE49-F238E27FC236}">
              <a16:creationId xmlns:a16="http://schemas.microsoft.com/office/drawing/2014/main" xmlns="" id="{00000000-0008-0000-0300-00007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0" name="Rectangle 888">
          <a:extLst>
            <a:ext uri="{FF2B5EF4-FFF2-40B4-BE49-F238E27FC236}">
              <a16:creationId xmlns:a16="http://schemas.microsoft.com/office/drawing/2014/main" xmlns="" id="{00000000-0008-0000-0300-00008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1" name="Rectangle 889">
          <a:extLst>
            <a:ext uri="{FF2B5EF4-FFF2-40B4-BE49-F238E27FC236}">
              <a16:creationId xmlns:a16="http://schemas.microsoft.com/office/drawing/2014/main" xmlns="" id="{00000000-0008-0000-0300-00008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2" name="Rectangle 890">
          <a:extLst>
            <a:ext uri="{FF2B5EF4-FFF2-40B4-BE49-F238E27FC236}">
              <a16:creationId xmlns:a16="http://schemas.microsoft.com/office/drawing/2014/main" xmlns="" id="{00000000-0008-0000-0300-00008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3" name="Rectangle 891">
          <a:extLst>
            <a:ext uri="{FF2B5EF4-FFF2-40B4-BE49-F238E27FC236}">
              <a16:creationId xmlns:a16="http://schemas.microsoft.com/office/drawing/2014/main" xmlns="" id="{00000000-0008-0000-0300-00008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4" name="Rectangle 892">
          <a:extLst>
            <a:ext uri="{FF2B5EF4-FFF2-40B4-BE49-F238E27FC236}">
              <a16:creationId xmlns:a16="http://schemas.microsoft.com/office/drawing/2014/main" xmlns="" id="{00000000-0008-0000-0300-00008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5" name="Rectangle 893">
          <a:extLst>
            <a:ext uri="{FF2B5EF4-FFF2-40B4-BE49-F238E27FC236}">
              <a16:creationId xmlns:a16="http://schemas.microsoft.com/office/drawing/2014/main" xmlns="" id="{00000000-0008-0000-0300-00008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6" name="Rectangle 894">
          <a:extLst>
            <a:ext uri="{FF2B5EF4-FFF2-40B4-BE49-F238E27FC236}">
              <a16:creationId xmlns:a16="http://schemas.microsoft.com/office/drawing/2014/main" xmlns="" id="{00000000-0008-0000-0300-00008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7" name="Rectangle 895">
          <a:extLst>
            <a:ext uri="{FF2B5EF4-FFF2-40B4-BE49-F238E27FC236}">
              <a16:creationId xmlns:a16="http://schemas.microsoft.com/office/drawing/2014/main" xmlns="" id="{00000000-0008-0000-0300-00008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8" name="Rectangle 896">
          <a:extLst>
            <a:ext uri="{FF2B5EF4-FFF2-40B4-BE49-F238E27FC236}">
              <a16:creationId xmlns:a16="http://schemas.microsoft.com/office/drawing/2014/main" xmlns="" id="{00000000-0008-0000-0300-00008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9" name="Rectangle 897">
          <a:extLst>
            <a:ext uri="{FF2B5EF4-FFF2-40B4-BE49-F238E27FC236}">
              <a16:creationId xmlns:a16="http://schemas.microsoft.com/office/drawing/2014/main" xmlns="" id="{00000000-0008-0000-0300-00008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0" name="Rectangle 898">
          <a:extLst>
            <a:ext uri="{FF2B5EF4-FFF2-40B4-BE49-F238E27FC236}">
              <a16:creationId xmlns:a16="http://schemas.microsoft.com/office/drawing/2014/main" xmlns="" id="{00000000-0008-0000-0300-00008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1" name="Rectangle 899">
          <a:extLst>
            <a:ext uri="{FF2B5EF4-FFF2-40B4-BE49-F238E27FC236}">
              <a16:creationId xmlns:a16="http://schemas.microsoft.com/office/drawing/2014/main" xmlns="" id="{00000000-0008-0000-0300-00008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2" name="Rectangle 900">
          <a:extLst>
            <a:ext uri="{FF2B5EF4-FFF2-40B4-BE49-F238E27FC236}">
              <a16:creationId xmlns:a16="http://schemas.microsoft.com/office/drawing/2014/main" xmlns="" id="{00000000-0008-0000-0300-00008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3" name="Rectangle 901">
          <a:extLst>
            <a:ext uri="{FF2B5EF4-FFF2-40B4-BE49-F238E27FC236}">
              <a16:creationId xmlns:a16="http://schemas.microsoft.com/office/drawing/2014/main" xmlns="" id="{00000000-0008-0000-0300-00008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4" name="Rectangle 902">
          <a:extLst>
            <a:ext uri="{FF2B5EF4-FFF2-40B4-BE49-F238E27FC236}">
              <a16:creationId xmlns:a16="http://schemas.microsoft.com/office/drawing/2014/main" xmlns="" id="{00000000-0008-0000-0300-00008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5" name="Rectangle 903">
          <a:extLst>
            <a:ext uri="{FF2B5EF4-FFF2-40B4-BE49-F238E27FC236}">
              <a16:creationId xmlns:a16="http://schemas.microsoft.com/office/drawing/2014/main" xmlns="" id="{00000000-0008-0000-0300-00008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6" name="Rectangle 904">
          <a:extLst>
            <a:ext uri="{FF2B5EF4-FFF2-40B4-BE49-F238E27FC236}">
              <a16:creationId xmlns:a16="http://schemas.microsoft.com/office/drawing/2014/main" xmlns="" id="{00000000-0008-0000-0300-00009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7" name="Rectangle 905">
          <a:extLst>
            <a:ext uri="{FF2B5EF4-FFF2-40B4-BE49-F238E27FC236}">
              <a16:creationId xmlns:a16="http://schemas.microsoft.com/office/drawing/2014/main" xmlns="" id="{00000000-0008-0000-0300-00009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8" name="Rectangle 906">
          <a:extLst>
            <a:ext uri="{FF2B5EF4-FFF2-40B4-BE49-F238E27FC236}">
              <a16:creationId xmlns:a16="http://schemas.microsoft.com/office/drawing/2014/main" xmlns="" id="{00000000-0008-0000-0300-00009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9" name="Rectangle 907">
          <a:extLst>
            <a:ext uri="{FF2B5EF4-FFF2-40B4-BE49-F238E27FC236}">
              <a16:creationId xmlns:a16="http://schemas.microsoft.com/office/drawing/2014/main" xmlns="" id="{00000000-0008-0000-0300-00009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0" name="Rectangle 908">
          <a:extLst>
            <a:ext uri="{FF2B5EF4-FFF2-40B4-BE49-F238E27FC236}">
              <a16:creationId xmlns:a16="http://schemas.microsoft.com/office/drawing/2014/main" xmlns="" id="{00000000-0008-0000-0300-00009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1" name="Rectangle 909">
          <a:extLst>
            <a:ext uri="{FF2B5EF4-FFF2-40B4-BE49-F238E27FC236}">
              <a16:creationId xmlns:a16="http://schemas.microsoft.com/office/drawing/2014/main" xmlns="" id="{00000000-0008-0000-0300-00009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2" name="Rectangle 910">
          <a:extLst>
            <a:ext uri="{FF2B5EF4-FFF2-40B4-BE49-F238E27FC236}">
              <a16:creationId xmlns:a16="http://schemas.microsoft.com/office/drawing/2014/main" xmlns="" id="{00000000-0008-0000-0300-00009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3" name="Rectangle 911">
          <a:extLst>
            <a:ext uri="{FF2B5EF4-FFF2-40B4-BE49-F238E27FC236}">
              <a16:creationId xmlns:a16="http://schemas.microsoft.com/office/drawing/2014/main" xmlns="" id="{00000000-0008-0000-0300-00009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4" name="Rectangle 912">
          <a:extLst>
            <a:ext uri="{FF2B5EF4-FFF2-40B4-BE49-F238E27FC236}">
              <a16:creationId xmlns:a16="http://schemas.microsoft.com/office/drawing/2014/main" xmlns="" id="{00000000-0008-0000-0300-00009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5" name="Rectangle 913">
          <a:extLst>
            <a:ext uri="{FF2B5EF4-FFF2-40B4-BE49-F238E27FC236}">
              <a16:creationId xmlns:a16="http://schemas.microsoft.com/office/drawing/2014/main" xmlns="" id="{00000000-0008-0000-0300-00009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6" name="Rectangle 914">
          <a:extLst>
            <a:ext uri="{FF2B5EF4-FFF2-40B4-BE49-F238E27FC236}">
              <a16:creationId xmlns:a16="http://schemas.microsoft.com/office/drawing/2014/main" xmlns="" id="{00000000-0008-0000-0300-00009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7" name="Rectangle 915">
          <a:extLst>
            <a:ext uri="{FF2B5EF4-FFF2-40B4-BE49-F238E27FC236}">
              <a16:creationId xmlns:a16="http://schemas.microsoft.com/office/drawing/2014/main" xmlns="" id="{00000000-0008-0000-0300-00009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8" name="Rectangle 916">
          <a:extLst>
            <a:ext uri="{FF2B5EF4-FFF2-40B4-BE49-F238E27FC236}">
              <a16:creationId xmlns:a16="http://schemas.microsoft.com/office/drawing/2014/main" xmlns="" id="{00000000-0008-0000-0300-00009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9" name="Rectangle 917">
          <a:extLst>
            <a:ext uri="{FF2B5EF4-FFF2-40B4-BE49-F238E27FC236}">
              <a16:creationId xmlns:a16="http://schemas.microsoft.com/office/drawing/2014/main" xmlns="" id="{00000000-0008-0000-0300-00009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0" name="Rectangle 918">
          <a:extLst>
            <a:ext uri="{FF2B5EF4-FFF2-40B4-BE49-F238E27FC236}">
              <a16:creationId xmlns:a16="http://schemas.microsoft.com/office/drawing/2014/main" xmlns="" id="{00000000-0008-0000-0300-00009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1" name="Rectangle 919">
          <a:extLst>
            <a:ext uri="{FF2B5EF4-FFF2-40B4-BE49-F238E27FC236}">
              <a16:creationId xmlns:a16="http://schemas.microsoft.com/office/drawing/2014/main" xmlns="" id="{00000000-0008-0000-0300-00009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2" name="Rectangle 874">
          <a:extLst>
            <a:ext uri="{FF2B5EF4-FFF2-40B4-BE49-F238E27FC236}">
              <a16:creationId xmlns:a16="http://schemas.microsoft.com/office/drawing/2014/main" xmlns="" id="{00000000-0008-0000-0300-0000A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3" name="Rectangle 875">
          <a:extLst>
            <a:ext uri="{FF2B5EF4-FFF2-40B4-BE49-F238E27FC236}">
              <a16:creationId xmlns:a16="http://schemas.microsoft.com/office/drawing/2014/main" xmlns="" id="{00000000-0008-0000-0300-0000A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4" name="Rectangle 876">
          <a:extLst>
            <a:ext uri="{FF2B5EF4-FFF2-40B4-BE49-F238E27FC236}">
              <a16:creationId xmlns:a16="http://schemas.microsoft.com/office/drawing/2014/main" xmlns="" id="{00000000-0008-0000-0300-0000A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5" name="Rectangle 877">
          <a:extLst>
            <a:ext uri="{FF2B5EF4-FFF2-40B4-BE49-F238E27FC236}">
              <a16:creationId xmlns:a16="http://schemas.microsoft.com/office/drawing/2014/main" xmlns="" id="{00000000-0008-0000-0300-0000A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6" name="Rectangle 878">
          <a:extLst>
            <a:ext uri="{FF2B5EF4-FFF2-40B4-BE49-F238E27FC236}">
              <a16:creationId xmlns:a16="http://schemas.microsoft.com/office/drawing/2014/main" xmlns="" id="{00000000-0008-0000-0300-0000A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7" name="Rectangle 879">
          <a:extLst>
            <a:ext uri="{FF2B5EF4-FFF2-40B4-BE49-F238E27FC236}">
              <a16:creationId xmlns:a16="http://schemas.microsoft.com/office/drawing/2014/main" xmlns="" id="{00000000-0008-0000-0300-0000A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8" name="Rectangle 880">
          <a:extLst>
            <a:ext uri="{FF2B5EF4-FFF2-40B4-BE49-F238E27FC236}">
              <a16:creationId xmlns:a16="http://schemas.microsoft.com/office/drawing/2014/main" xmlns="" id="{00000000-0008-0000-0300-0000A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9" name="Rectangle 881">
          <a:extLst>
            <a:ext uri="{FF2B5EF4-FFF2-40B4-BE49-F238E27FC236}">
              <a16:creationId xmlns:a16="http://schemas.microsoft.com/office/drawing/2014/main" xmlns="" id="{00000000-0008-0000-0300-0000A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0" name="Rectangle 882">
          <a:extLst>
            <a:ext uri="{FF2B5EF4-FFF2-40B4-BE49-F238E27FC236}">
              <a16:creationId xmlns:a16="http://schemas.microsoft.com/office/drawing/2014/main" xmlns="" id="{00000000-0008-0000-0300-0000A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1" name="Rectangle 883">
          <a:extLst>
            <a:ext uri="{FF2B5EF4-FFF2-40B4-BE49-F238E27FC236}">
              <a16:creationId xmlns:a16="http://schemas.microsoft.com/office/drawing/2014/main" xmlns="" id="{00000000-0008-0000-0300-0000A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2" name="Rectangle 884">
          <a:extLst>
            <a:ext uri="{FF2B5EF4-FFF2-40B4-BE49-F238E27FC236}">
              <a16:creationId xmlns:a16="http://schemas.microsoft.com/office/drawing/2014/main" xmlns="" id="{00000000-0008-0000-0300-0000A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3" name="Rectangle 885">
          <a:extLst>
            <a:ext uri="{FF2B5EF4-FFF2-40B4-BE49-F238E27FC236}">
              <a16:creationId xmlns:a16="http://schemas.microsoft.com/office/drawing/2014/main" xmlns="" id="{00000000-0008-0000-0300-0000A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4" name="Rectangle 886">
          <a:extLst>
            <a:ext uri="{FF2B5EF4-FFF2-40B4-BE49-F238E27FC236}">
              <a16:creationId xmlns:a16="http://schemas.microsoft.com/office/drawing/2014/main" xmlns="" id="{00000000-0008-0000-0300-0000A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5" name="Rectangle 887">
          <a:extLst>
            <a:ext uri="{FF2B5EF4-FFF2-40B4-BE49-F238E27FC236}">
              <a16:creationId xmlns:a16="http://schemas.microsoft.com/office/drawing/2014/main" xmlns="" id="{00000000-0008-0000-0300-0000A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6" name="Rectangle 888">
          <a:extLst>
            <a:ext uri="{FF2B5EF4-FFF2-40B4-BE49-F238E27FC236}">
              <a16:creationId xmlns:a16="http://schemas.microsoft.com/office/drawing/2014/main" xmlns="" id="{00000000-0008-0000-0300-0000A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7" name="Rectangle 889">
          <a:extLst>
            <a:ext uri="{FF2B5EF4-FFF2-40B4-BE49-F238E27FC236}">
              <a16:creationId xmlns:a16="http://schemas.microsoft.com/office/drawing/2014/main" xmlns="" id="{00000000-0008-0000-0300-0000A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8" name="Rectangle 890">
          <a:extLst>
            <a:ext uri="{FF2B5EF4-FFF2-40B4-BE49-F238E27FC236}">
              <a16:creationId xmlns:a16="http://schemas.microsoft.com/office/drawing/2014/main" xmlns="" id="{00000000-0008-0000-0300-0000B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9" name="Rectangle 891">
          <a:extLst>
            <a:ext uri="{FF2B5EF4-FFF2-40B4-BE49-F238E27FC236}">
              <a16:creationId xmlns:a16="http://schemas.microsoft.com/office/drawing/2014/main" xmlns="" id="{00000000-0008-0000-0300-0000B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0" name="Rectangle 892">
          <a:extLst>
            <a:ext uri="{FF2B5EF4-FFF2-40B4-BE49-F238E27FC236}">
              <a16:creationId xmlns:a16="http://schemas.microsoft.com/office/drawing/2014/main" xmlns="" id="{00000000-0008-0000-0300-0000B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1" name="Rectangle 893">
          <a:extLst>
            <a:ext uri="{FF2B5EF4-FFF2-40B4-BE49-F238E27FC236}">
              <a16:creationId xmlns:a16="http://schemas.microsoft.com/office/drawing/2014/main" xmlns="" id="{00000000-0008-0000-0300-0000B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2" name="Rectangle 894">
          <a:extLst>
            <a:ext uri="{FF2B5EF4-FFF2-40B4-BE49-F238E27FC236}">
              <a16:creationId xmlns:a16="http://schemas.microsoft.com/office/drawing/2014/main" xmlns="" id="{00000000-0008-0000-0300-0000B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3" name="Rectangle 895">
          <a:extLst>
            <a:ext uri="{FF2B5EF4-FFF2-40B4-BE49-F238E27FC236}">
              <a16:creationId xmlns:a16="http://schemas.microsoft.com/office/drawing/2014/main" xmlns="" id="{00000000-0008-0000-0300-0000B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4" name="Rectangle 896">
          <a:extLst>
            <a:ext uri="{FF2B5EF4-FFF2-40B4-BE49-F238E27FC236}">
              <a16:creationId xmlns:a16="http://schemas.microsoft.com/office/drawing/2014/main" xmlns="" id="{00000000-0008-0000-0300-0000B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5" name="Rectangle 897">
          <a:extLst>
            <a:ext uri="{FF2B5EF4-FFF2-40B4-BE49-F238E27FC236}">
              <a16:creationId xmlns:a16="http://schemas.microsoft.com/office/drawing/2014/main" xmlns="" id="{00000000-0008-0000-0300-0000B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6" name="Rectangle 898">
          <a:extLst>
            <a:ext uri="{FF2B5EF4-FFF2-40B4-BE49-F238E27FC236}">
              <a16:creationId xmlns:a16="http://schemas.microsoft.com/office/drawing/2014/main" xmlns="" id="{00000000-0008-0000-0300-0000B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7" name="Rectangle 899">
          <a:extLst>
            <a:ext uri="{FF2B5EF4-FFF2-40B4-BE49-F238E27FC236}">
              <a16:creationId xmlns:a16="http://schemas.microsoft.com/office/drawing/2014/main" xmlns="" id="{00000000-0008-0000-0300-0000B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8" name="Rectangle 900">
          <a:extLst>
            <a:ext uri="{FF2B5EF4-FFF2-40B4-BE49-F238E27FC236}">
              <a16:creationId xmlns:a16="http://schemas.microsoft.com/office/drawing/2014/main" xmlns="" id="{00000000-0008-0000-0300-0000B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9" name="Rectangle 901">
          <a:extLst>
            <a:ext uri="{FF2B5EF4-FFF2-40B4-BE49-F238E27FC236}">
              <a16:creationId xmlns:a16="http://schemas.microsoft.com/office/drawing/2014/main" xmlns="" id="{00000000-0008-0000-0300-0000B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0" name="Rectangle 902">
          <a:extLst>
            <a:ext uri="{FF2B5EF4-FFF2-40B4-BE49-F238E27FC236}">
              <a16:creationId xmlns:a16="http://schemas.microsoft.com/office/drawing/2014/main" xmlns="" id="{00000000-0008-0000-0300-0000B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1" name="Rectangle 903">
          <a:extLst>
            <a:ext uri="{FF2B5EF4-FFF2-40B4-BE49-F238E27FC236}">
              <a16:creationId xmlns:a16="http://schemas.microsoft.com/office/drawing/2014/main" xmlns="" id="{00000000-0008-0000-0300-0000B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22" name="Rectangle 904">
          <a:extLst>
            <a:ext uri="{FF2B5EF4-FFF2-40B4-BE49-F238E27FC236}">
              <a16:creationId xmlns:a16="http://schemas.microsoft.com/office/drawing/2014/main" xmlns="" id="{00000000-0008-0000-0300-0000B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3" name="Rectangle 905">
          <a:extLst>
            <a:ext uri="{FF2B5EF4-FFF2-40B4-BE49-F238E27FC236}">
              <a16:creationId xmlns:a16="http://schemas.microsoft.com/office/drawing/2014/main" xmlns="" id="{00000000-0008-0000-0300-0000B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4" name="Rectangle 906">
          <a:extLst>
            <a:ext uri="{FF2B5EF4-FFF2-40B4-BE49-F238E27FC236}">
              <a16:creationId xmlns:a16="http://schemas.microsoft.com/office/drawing/2014/main" xmlns="" id="{00000000-0008-0000-0300-0000C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5" name="Rectangle 907">
          <a:extLst>
            <a:ext uri="{FF2B5EF4-FFF2-40B4-BE49-F238E27FC236}">
              <a16:creationId xmlns:a16="http://schemas.microsoft.com/office/drawing/2014/main" xmlns="" id="{00000000-0008-0000-0300-0000C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6" name="Rectangle 908">
          <a:extLst>
            <a:ext uri="{FF2B5EF4-FFF2-40B4-BE49-F238E27FC236}">
              <a16:creationId xmlns:a16="http://schemas.microsoft.com/office/drawing/2014/main" xmlns="" id="{00000000-0008-0000-0300-0000C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7" name="Rectangle 909">
          <a:extLst>
            <a:ext uri="{FF2B5EF4-FFF2-40B4-BE49-F238E27FC236}">
              <a16:creationId xmlns:a16="http://schemas.microsoft.com/office/drawing/2014/main" xmlns="" id="{00000000-0008-0000-0300-0000C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8" name="Rectangle 910">
          <a:extLst>
            <a:ext uri="{FF2B5EF4-FFF2-40B4-BE49-F238E27FC236}">
              <a16:creationId xmlns:a16="http://schemas.microsoft.com/office/drawing/2014/main" xmlns="" id="{00000000-0008-0000-0300-0000C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9" name="Rectangle 911">
          <a:extLst>
            <a:ext uri="{FF2B5EF4-FFF2-40B4-BE49-F238E27FC236}">
              <a16:creationId xmlns:a16="http://schemas.microsoft.com/office/drawing/2014/main" xmlns="" id="{00000000-0008-0000-0300-0000C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0" name="Rectangle 912">
          <a:extLst>
            <a:ext uri="{FF2B5EF4-FFF2-40B4-BE49-F238E27FC236}">
              <a16:creationId xmlns:a16="http://schemas.microsoft.com/office/drawing/2014/main" xmlns="" id="{00000000-0008-0000-0300-0000C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1" name="Rectangle 913">
          <a:extLst>
            <a:ext uri="{FF2B5EF4-FFF2-40B4-BE49-F238E27FC236}">
              <a16:creationId xmlns:a16="http://schemas.microsoft.com/office/drawing/2014/main" xmlns="" id="{00000000-0008-0000-0300-0000C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2" name="Rectangle 914">
          <a:extLst>
            <a:ext uri="{FF2B5EF4-FFF2-40B4-BE49-F238E27FC236}">
              <a16:creationId xmlns:a16="http://schemas.microsoft.com/office/drawing/2014/main" xmlns="" id="{00000000-0008-0000-0300-0000C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3" name="Rectangle 915">
          <a:extLst>
            <a:ext uri="{FF2B5EF4-FFF2-40B4-BE49-F238E27FC236}">
              <a16:creationId xmlns:a16="http://schemas.microsoft.com/office/drawing/2014/main" xmlns="" id="{00000000-0008-0000-0300-0000C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4" name="Rectangle 916">
          <a:extLst>
            <a:ext uri="{FF2B5EF4-FFF2-40B4-BE49-F238E27FC236}">
              <a16:creationId xmlns:a16="http://schemas.microsoft.com/office/drawing/2014/main" xmlns="" id="{00000000-0008-0000-0300-0000C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5" name="Rectangle 917">
          <a:extLst>
            <a:ext uri="{FF2B5EF4-FFF2-40B4-BE49-F238E27FC236}">
              <a16:creationId xmlns:a16="http://schemas.microsoft.com/office/drawing/2014/main" xmlns="" id="{00000000-0008-0000-0300-0000C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6" name="Rectangle 918">
          <a:extLst>
            <a:ext uri="{FF2B5EF4-FFF2-40B4-BE49-F238E27FC236}">
              <a16:creationId xmlns:a16="http://schemas.microsoft.com/office/drawing/2014/main" xmlns="" id="{00000000-0008-0000-0300-0000C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7" name="Rectangle 919">
          <a:extLst>
            <a:ext uri="{FF2B5EF4-FFF2-40B4-BE49-F238E27FC236}">
              <a16:creationId xmlns:a16="http://schemas.microsoft.com/office/drawing/2014/main" xmlns="" id="{00000000-0008-0000-0300-0000C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38" name="Rectangle 920">
          <a:extLst>
            <a:ext uri="{FF2B5EF4-FFF2-40B4-BE49-F238E27FC236}">
              <a16:creationId xmlns:a16="http://schemas.microsoft.com/office/drawing/2014/main" xmlns="" id="{00000000-0008-0000-0300-0000CE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39" name="Rectangle 921">
          <a:extLst>
            <a:ext uri="{FF2B5EF4-FFF2-40B4-BE49-F238E27FC236}">
              <a16:creationId xmlns:a16="http://schemas.microsoft.com/office/drawing/2014/main" xmlns="" id="{00000000-0008-0000-0300-0000C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0" name="Rectangle 922">
          <a:extLst>
            <a:ext uri="{FF2B5EF4-FFF2-40B4-BE49-F238E27FC236}">
              <a16:creationId xmlns:a16="http://schemas.microsoft.com/office/drawing/2014/main" xmlns="" id="{00000000-0008-0000-0300-0000D0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1" name="Rectangle 923">
          <a:extLst>
            <a:ext uri="{FF2B5EF4-FFF2-40B4-BE49-F238E27FC236}">
              <a16:creationId xmlns:a16="http://schemas.microsoft.com/office/drawing/2014/main" xmlns="" id="{00000000-0008-0000-0300-0000D1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2" name="Rectangle 924">
          <a:extLst>
            <a:ext uri="{FF2B5EF4-FFF2-40B4-BE49-F238E27FC236}">
              <a16:creationId xmlns:a16="http://schemas.microsoft.com/office/drawing/2014/main" xmlns="" id="{00000000-0008-0000-0300-0000D2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3" name="Rectangle 925">
          <a:extLst>
            <a:ext uri="{FF2B5EF4-FFF2-40B4-BE49-F238E27FC236}">
              <a16:creationId xmlns:a16="http://schemas.microsoft.com/office/drawing/2014/main" xmlns="" id="{00000000-0008-0000-0300-0000D3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4" name="Rectangle 926">
          <a:extLst>
            <a:ext uri="{FF2B5EF4-FFF2-40B4-BE49-F238E27FC236}">
              <a16:creationId xmlns:a16="http://schemas.microsoft.com/office/drawing/2014/main" xmlns="" id="{00000000-0008-0000-0300-0000D4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5" name="Rectangle 927">
          <a:extLst>
            <a:ext uri="{FF2B5EF4-FFF2-40B4-BE49-F238E27FC236}">
              <a16:creationId xmlns:a16="http://schemas.microsoft.com/office/drawing/2014/main" xmlns="" id="{00000000-0008-0000-0300-0000D5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6" name="Rectangle 928">
          <a:extLst>
            <a:ext uri="{FF2B5EF4-FFF2-40B4-BE49-F238E27FC236}">
              <a16:creationId xmlns:a16="http://schemas.microsoft.com/office/drawing/2014/main" xmlns="" id="{00000000-0008-0000-0300-0000D6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7" name="Rectangle 929">
          <a:extLst>
            <a:ext uri="{FF2B5EF4-FFF2-40B4-BE49-F238E27FC236}">
              <a16:creationId xmlns:a16="http://schemas.microsoft.com/office/drawing/2014/main" xmlns="" id="{00000000-0008-0000-0300-0000D7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8" name="Rectangle 930">
          <a:extLst>
            <a:ext uri="{FF2B5EF4-FFF2-40B4-BE49-F238E27FC236}">
              <a16:creationId xmlns:a16="http://schemas.microsoft.com/office/drawing/2014/main" xmlns="" id="{00000000-0008-0000-0300-0000D8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9" name="Rectangle 931">
          <a:extLst>
            <a:ext uri="{FF2B5EF4-FFF2-40B4-BE49-F238E27FC236}">
              <a16:creationId xmlns:a16="http://schemas.microsoft.com/office/drawing/2014/main" xmlns="" id="{00000000-0008-0000-0300-0000D9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0" name="Rectangle 932">
          <a:extLst>
            <a:ext uri="{FF2B5EF4-FFF2-40B4-BE49-F238E27FC236}">
              <a16:creationId xmlns:a16="http://schemas.microsoft.com/office/drawing/2014/main" xmlns="" id="{00000000-0008-0000-0300-0000DA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1" name="Rectangle 933">
          <a:extLst>
            <a:ext uri="{FF2B5EF4-FFF2-40B4-BE49-F238E27FC236}">
              <a16:creationId xmlns:a16="http://schemas.microsoft.com/office/drawing/2014/main" xmlns="" id="{00000000-0008-0000-0300-0000DB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2" name="Rectangle 934">
          <a:extLst>
            <a:ext uri="{FF2B5EF4-FFF2-40B4-BE49-F238E27FC236}">
              <a16:creationId xmlns:a16="http://schemas.microsoft.com/office/drawing/2014/main" xmlns="" id="{00000000-0008-0000-0300-0000DC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3" name="Rectangle 935">
          <a:extLst>
            <a:ext uri="{FF2B5EF4-FFF2-40B4-BE49-F238E27FC236}">
              <a16:creationId xmlns:a16="http://schemas.microsoft.com/office/drawing/2014/main" xmlns="" id="{00000000-0008-0000-0300-0000DD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4" name="Rectangle 936">
          <a:extLst>
            <a:ext uri="{FF2B5EF4-FFF2-40B4-BE49-F238E27FC236}">
              <a16:creationId xmlns:a16="http://schemas.microsoft.com/office/drawing/2014/main" xmlns="" id="{00000000-0008-0000-0300-0000DE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5" name="Rectangle 937">
          <a:extLst>
            <a:ext uri="{FF2B5EF4-FFF2-40B4-BE49-F238E27FC236}">
              <a16:creationId xmlns:a16="http://schemas.microsoft.com/office/drawing/2014/main" xmlns="" id="{00000000-0008-0000-0300-0000DF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6" name="Rectangle 938">
          <a:extLst>
            <a:ext uri="{FF2B5EF4-FFF2-40B4-BE49-F238E27FC236}">
              <a16:creationId xmlns:a16="http://schemas.microsoft.com/office/drawing/2014/main" xmlns="" id="{00000000-0008-0000-0300-0000E0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7" name="Rectangle 939">
          <a:extLst>
            <a:ext uri="{FF2B5EF4-FFF2-40B4-BE49-F238E27FC236}">
              <a16:creationId xmlns:a16="http://schemas.microsoft.com/office/drawing/2014/main" xmlns="" id="{00000000-0008-0000-0300-0000E1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8" name="Rectangle 940">
          <a:extLst>
            <a:ext uri="{FF2B5EF4-FFF2-40B4-BE49-F238E27FC236}">
              <a16:creationId xmlns:a16="http://schemas.microsoft.com/office/drawing/2014/main" xmlns="" id="{00000000-0008-0000-0300-0000E2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9" name="Rectangle 941">
          <a:extLst>
            <a:ext uri="{FF2B5EF4-FFF2-40B4-BE49-F238E27FC236}">
              <a16:creationId xmlns:a16="http://schemas.microsoft.com/office/drawing/2014/main" xmlns="" id="{00000000-0008-0000-0300-0000E3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0" name="Rectangle 942">
          <a:extLst>
            <a:ext uri="{FF2B5EF4-FFF2-40B4-BE49-F238E27FC236}">
              <a16:creationId xmlns:a16="http://schemas.microsoft.com/office/drawing/2014/main" xmlns="" id="{00000000-0008-0000-0300-0000E4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1" name="Rectangle 943">
          <a:extLst>
            <a:ext uri="{FF2B5EF4-FFF2-40B4-BE49-F238E27FC236}">
              <a16:creationId xmlns:a16="http://schemas.microsoft.com/office/drawing/2014/main" xmlns="" id="{00000000-0008-0000-0300-0000E5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2" name="Rectangle 944">
          <a:extLst>
            <a:ext uri="{FF2B5EF4-FFF2-40B4-BE49-F238E27FC236}">
              <a16:creationId xmlns:a16="http://schemas.microsoft.com/office/drawing/2014/main" xmlns="" id="{00000000-0008-0000-0300-0000E6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3" name="Rectangle 945">
          <a:extLst>
            <a:ext uri="{FF2B5EF4-FFF2-40B4-BE49-F238E27FC236}">
              <a16:creationId xmlns:a16="http://schemas.microsoft.com/office/drawing/2014/main" xmlns="" id="{00000000-0008-0000-0300-0000E7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4" name="Rectangle 946">
          <a:extLst>
            <a:ext uri="{FF2B5EF4-FFF2-40B4-BE49-F238E27FC236}">
              <a16:creationId xmlns:a16="http://schemas.microsoft.com/office/drawing/2014/main" xmlns="" id="{00000000-0008-0000-0300-0000E8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5" name="Rectangle 947">
          <a:extLst>
            <a:ext uri="{FF2B5EF4-FFF2-40B4-BE49-F238E27FC236}">
              <a16:creationId xmlns:a16="http://schemas.microsoft.com/office/drawing/2014/main" xmlns="" id="{00000000-0008-0000-0300-0000E9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6" name="Rectangle 948">
          <a:extLst>
            <a:ext uri="{FF2B5EF4-FFF2-40B4-BE49-F238E27FC236}">
              <a16:creationId xmlns:a16="http://schemas.microsoft.com/office/drawing/2014/main" xmlns="" id="{00000000-0008-0000-0300-0000EA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7" name="Rectangle 949">
          <a:extLst>
            <a:ext uri="{FF2B5EF4-FFF2-40B4-BE49-F238E27FC236}">
              <a16:creationId xmlns:a16="http://schemas.microsoft.com/office/drawing/2014/main" xmlns="" id="{00000000-0008-0000-0300-0000EB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8" name="Rectangle 950">
          <a:extLst>
            <a:ext uri="{FF2B5EF4-FFF2-40B4-BE49-F238E27FC236}">
              <a16:creationId xmlns:a16="http://schemas.microsoft.com/office/drawing/2014/main" xmlns="" id="{00000000-0008-0000-0300-0000E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9" name="Rectangle 951">
          <a:extLst>
            <a:ext uri="{FF2B5EF4-FFF2-40B4-BE49-F238E27FC236}">
              <a16:creationId xmlns:a16="http://schemas.microsoft.com/office/drawing/2014/main" xmlns="" id="{00000000-0008-0000-0300-0000E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70" name="Rectangle 952">
          <a:extLst>
            <a:ext uri="{FF2B5EF4-FFF2-40B4-BE49-F238E27FC236}">
              <a16:creationId xmlns:a16="http://schemas.microsoft.com/office/drawing/2014/main" xmlns="" id="{00000000-0008-0000-0300-0000E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71" name="Rectangle 953">
          <a:extLst>
            <a:ext uri="{FF2B5EF4-FFF2-40B4-BE49-F238E27FC236}">
              <a16:creationId xmlns:a16="http://schemas.microsoft.com/office/drawing/2014/main" xmlns="" id="{00000000-0008-0000-0300-0000E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2" name="Rectangle 954">
          <a:extLst>
            <a:ext uri="{FF2B5EF4-FFF2-40B4-BE49-F238E27FC236}">
              <a16:creationId xmlns:a16="http://schemas.microsoft.com/office/drawing/2014/main" xmlns="" id="{00000000-0008-0000-0300-0000F0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3" name="Rectangle 955">
          <a:extLst>
            <a:ext uri="{FF2B5EF4-FFF2-40B4-BE49-F238E27FC236}">
              <a16:creationId xmlns:a16="http://schemas.microsoft.com/office/drawing/2014/main" xmlns="" id="{00000000-0008-0000-0300-0000F1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4" name="Rectangle 956">
          <a:extLst>
            <a:ext uri="{FF2B5EF4-FFF2-40B4-BE49-F238E27FC236}">
              <a16:creationId xmlns:a16="http://schemas.microsoft.com/office/drawing/2014/main" xmlns="" id="{00000000-0008-0000-0300-0000F2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5" name="Rectangle 957">
          <a:extLst>
            <a:ext uri="{FF2B5EF4-FFF2-40B4-BE49-F238E27FC236}">
              <a16:creationId xmlns:a16="http://schemas.microsoft.com/office/drawing/2014/main" xmlns="" id="{00000000-0008-0000-0300-0000F3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6" name="Rectangle 958">
          <a:extLst>
            <a:ext uri="{FF2B5EF4-FFF2-40B4-BE49-F238E27FC236}">
              <a16:creationId xmlns:a16="http://schemas.microsoft.com/office/drawing/2014/main" xmlns="" id="{00000000-0008-0000-0300-0000F4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7" name="Rectangle 959">
          <a:extLst>
            <a:ext uri="{FF2B5EF4-FFF2-40B4-BE49-F238E27FC236}">
              <a16:creationId xmlns:a16="http://schemas.microsoft.com/office/drawing/2014/main" xmlns="" id="{00000000-0008-0000-0300-0000F5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8" name="Rectangle 960">
          <a:extLst>
            <a:ext uri="{FF2B5EF4-FFF2-40B4-BE49-F238E27FC236}">
              <a16:creationId xmlns:a16="http://schemas.microsoft.com/office/drawing/2014/main" xmlns="" id="{00000000-0008-0000-0300-0000F6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9" name="Rectangle 961">
          <a:extLst>
            <a:ext uri="{FF2B5EF4-FFF2-40B4-BE49-F238E27FC236}">
              <a16:creationId xmlns:a16="http://schemas.microsoft.com/office/drawing/2014/main" xmlns="" id="{00000000-0008-0000-0300-0000F7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0" name="Rectangle 962">
          <a:extLst>
            <a:ext uri="{FF2B5EF4-FFF2-40B4-BE49-F238E27FC236}">
              <a16:creationId xmlns:a16="http://schemas.microsoft.com/office/drawing/2014/main" xmlns="" id="{00000000-0008-0000-0300-0000F8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1" name="Rectangle 963">
          <a:extLst>
            <a:ext uri="{FF2B5EF4-FFF2-40B4-BE49-F238E27FC236}">
              <a16:creationId xmlns:a16="http://schemas.microsoft.com/office/drawing/2014/main" xmlns="" id="{00000000-0008-0000-0300-0000F9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2" name="Rectangle 964">
          <a:extLst>
            <a:ext uri="{FF2B5EF4-FFF2-40B4-BE49-F238E27FC236}">
              <a16:creationId xmlns:a16="http://schemas.microsoft.com/office/drawing/2014/main" xmlns="" id="{00000000-0008-0000-0300-0000FA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3" name="Rectangle 965">
          <a:extLst>
            <a:ext uri="{FF2B5EF4-FFF2-40B4-BE49-F238E27FC236}">
              <a16:creationId xmlns:a16="http://schemas.microsoft.com/office/drawing/2014/main" xmlns="" id="{00000000-0008-0000-0300-0000FB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4" name="Rectangle 920">
          <a:extLst>
            <a:ext uri="{FF2B5EF4-FFF2-40B4-BE49-F238E27FC236}">
              <a16:creationId xmlns:a16="http://schemas.microsoft.com/office/drawing/2014/main" xmlns="" id="{00000000-0008-0000-0300-0000F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5" name="Rectangle 921">
          <a:extLst>
            <a:ext uri="{FF2B5EF4-FFF2-40B4-BE49-F238E27FC236}">
              <a16:creationId xmlns:a16="http://schemas.microsoft.com/office/drawing/2014/main" xmlns="" id="{00000000-0008-0000-0300-0000F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6" name="Rectangle 922">
          <a:extLst>
            <a:ext uri="{FF2B5EF4-FFF2-40B4-BE49-F238E27FC236}">
              <a16:creationId xmlns:a16="http://schemas.microsoft.com/office/drawing/2014/main" xmlns="" id="{00000000-0008-0000-0300-0000F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7" name="Rectangle 923">
          <a:extLst>
            <a:ext uri="{FF2B5EF4-FFF2-40B4-BE49-F238E27FC236}">
              <a16:creationId xmlns:a16="http://schemas.microsoft.com/office/drawing/2014/main" xmlns="" id="{00000000-0008-0000-0300-0000FF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8" name="Rectangle 924">
          <a:extLst>
            <a:ext uri="{FF2B5EF4-FFF2-40B4-BE49-F238E27FC236}">
              <a16:creationId xmlns:a16="http://schemas.microsoft.com/office/drawing/2014/main" xmlns="" id="{00000000-0008-0000-0300-00000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9" name="Rectangle 925">
          <a:extLst>
            <a:ext uri="{FF2B5EF4-FFF2-40B4-BE49-F238E27FC236}">
              <a16:creationId xmlns:a16="http://schemas.microsoft.com/office/drawing/2014/main" xmlns="" id="{00000000-0008-0000-0300-00000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0" name="Rectangle 926">
          <a:extLst>
            <a:ext uri="{FF2B5EF4-FFF2-40B4-BE49-F238E27FC236}">
              <a16:creationId xmlns:a16="http://schemas.microsoft.com/office/drawing/2014/main" xmlns="" id="{00000000-0008-0000-0300-00000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1" name="Rectangle 927">
          <a:extLst>
            <a:ext uri="{FF2B5EF4-FFF2-40B4-BE49-F238E27FC236}">
              <a16:creationId xmlns:a16="http://schemas.microsoft.com/office/drawing/2014/main" xmlns="" id="{00000000-0008-0000-0300-00000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2" name="Rectangle 928">
          <a:extLst>
            <a:ext uri="{FF2B5EF4-FFF2-40B4-BE49-F238E27FC236}">
              <a16:creationId xmlns:a16="http://schemas.microsoft.com/office/drawing/2014/main" xmlns="" id="{00000000-0008-0000-0300-00000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3" name="Rectangle 929">
          <a:extLst>
            <a:ext uri="{FF2B5EF4-FFF2-40B4-BE49-F238E27FC236}">
              <a16:creationId xmlns:a16="http://schemas.microsoft.com/office/drawing/2014/main" xmlns="" id="{00000000-0008-0000-0300-00000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4" name="Rectangle 930">
          <a:extLst>
            <a:ext uri="{FF2B5EF4-FFF2-40B4-BE49-F238E27FC236}">
              <a16:creationId xmlns:a16="http://schemas.microsoft.com/office/drawing/2014/main" xmlns="" id="{00000000-0008-0000-0300-00000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5" name="Rectangle 931">
          <a:extLst>
            <a:ext uri="{FF2B5EF4-FFF2-40B4-BE49-F238E27FC236}">
              <a16:creationId xmlns:a16="http://schemas.microsoft.com/office/drawing/2014/main" xmlns="" id="{00000000-0008-0000-0300-00000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6" name="Rectangle 932">
          <a:extLst>
            <a:ext uri="{FF2B5EF4-FFF2-40B4-BE49-F238E27FC236}">
              <a16:creationId xmlns:a16="http://schemas.microsoft.com/office/drawing/2014/main" xmlns="" id="{00000000-0008-0000-0300-00000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7" name="Rectangle 933">
          <a:extLst>
            <a:ext uri="{FF2B5EF4-FFF2-40B4-BE49-F238E27FC236}">
              <a16:creationId xmlns:a16="http://schemas.microsoft.com/office/drawing/2014/main" xmlns="" id="{00000000-0008-0000-0300-00000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8" name="Rectangle 934">
          <a:extLst>
            <a:ext uri="{FF2B5EF4-FFF2-40B4-BE49-F238E27FC236}">
              <a16:creationId xmlns:a16="http://schemas.microsoft.com/office/drawing/2014/main" xmlns="" id="{00000000-0008-0000-0300-00000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9" name="Rectangle 935">
          <a:extLst>
            <a:ext uri="{FF2B5EF4-FFF2-40B4-BE49-F238E27FC236}">
              <a16:creationId xmlns:a16="http://schemas.microsoft.com/office/drawing/2014/main" xmlns="" id="{00000000-0008-0000-0300-00000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0" name="Rectangle 936">
          <a:extLst>
            <a:ext uri="{FF2B5EF4-FFF2-40B4-BE49-F238E27FC236}">
              <a16:creationId xmlns:a16="http://schemas.microsoft.com/office/drawing/2014/main" xmlns="" id="{00000000-0008-0000-0300-00000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1" name="Rectangle 937">
          <a:extLst>
            <a:ext uri="{FF2B5EF4-FFF2-40B4-BE49-F238E27FC236}">
              <a16:creationId xmlns:a16="http://schemas.microsoft.com/office/drawing/2014/main" xmlns="" id="{00000000-0008-0000-0300-00000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2" name="Rectangle 938">
          <a:extLst>
            <a:ext uri="{FF2B5EF4-FFF2-40B4-BE49-F238E27FC236}">
              <a16:creationId xmlns:a16="http://schemas.microsoft.com/office/drawing/2014/main" xmlns="" id="{00000000-0008-0000-0300-00000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3" name="Rectangle 939">
          <a:extLst>
            <a:ext uri="{FF2B5EF4-FFF2-40B4-BE49-F238E27FC236}">
              <a16:creationId xmlns:a16="http://schemas.microsoft.com/office/drawing/2014/main" xmlns="" id="{00000000-0008-0000-0300-00000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4" name="Rectangle 940">
          <a:extLst>
            <a:ext uri="{FF2B5EF4-FFF2-40B4-BE49-F238E27FC236}">
              <a16:creationId xmlns:a16="http://schemas.microsoft.com/office/drawing/2014/main" xmlns="" id="{00000000-0008-0000-0300-00001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5" name="Rectangle 941">
          <a:extLst>
            <a:ext uri="{FF2B5EF4-FFF2-40B4-BE49-F238E27FC236}">
              <a16:creationId xmlns:a16="http://schemas.microsoft.com/office/drawing/2014/main" xmlns="" id="{00000000-0008-0000-0300-00001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6" name="Rectangle 942">
          <a:extLst>
            <a:ext uri="{FF2B5EF4-FFF2-40B4-BE49-F238E27FC236}">
              <a16:creationId xmlns:a16="http://schemas.microsoft.com/office/drawing/2014/main" xmlns="" id="{00000000-0008-0000-0300-00001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7" name="Rectangle 943">
          <a:extLst>
            <a:ext uri="{FF2B5EF4-FFF2-40B4-BE49-F238E27FC236}">
              <a16:creationId xmlns:a16="http://schemas.microsoft.com/office/drawing/2014/main" xmlns="" id="{00000000-0008-0000-0300-00001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8" name="Rectangle 944">
          <a:extLst>
            <a:ext uri="{FF2B5EF4-FFF2-40B4-BE49-F238E27FC236}">
              <a16:creationId xmlns:a16="http://schemas.microsoft.com/office/drawing/2014/main" xmlns="" id="{00000000-0008-0000-0300-00001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9" name="Rectangle 945">
          <a:extLst>
            <a:ext uri="{FF2B5EF4-FFF2-40B4-BE49-F238E27FC236}">
              <a16:creationId xmlns:a16="http://schemas.microsoft.com/office/drawing/2014/main" xmlns="" id="{00000000-0008-0000-0300-00001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0" name="Rectangle 946">
          <a:extLst>
            <a:ext uri="{FF2B5EF4-FFF2-40B4-BE49-F238E27FC236}">
              <a16:creationId xmlns:a16="http://schemas.microsoft.com/office/drawing/2014/main" xmlns="" id="{00000000-0008-0000-0300-00001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1" name="Rectangle 947">
          <a:extLst>
            <a:ext uri="{FF2B5EF4-FFF2-40B4-BE49-F238E27FC236}">
              <a16:creationId xmlns:a16="http://schemas.microsoft.com/office/drawing/2014/main" xmlns="" id="{00000000-0008-0000-0300-00001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2" name="Rectangle 948">
          <a:extLst>
            <a:ext uri="{FF2B5EF4-FFF2-40B4-BE49-F238E27FC236}">
              <a16:creationId xmlns:a16="http://schemas.microsoft.com/office/drawing/2014/main" xmlns="" id="{00000000-0008-0000-0300-00001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3" name="Rectangle 949">
          <a:extLst>
            <a:ext uri="{FF2B5EF4-FFF2-40B4-BE49-F238E27FC236}">
              <a16:creationId xmlns:a16="http://schemas.microsoft.com/office/drawing/2014/main" xmlns="" id="{00000000-0008-0000-0300-00001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4" name="Rectangle 950">
          <a:extLst>
            <a:ext uri="{FF2B5EF4-FFF2-40B4-BE49-F238E27FC236}">
              <a16:creationId xmlns:a16="http://schemas.microsoft.com/office/drawing/2014/main" xmlns="" id="{00000000-0008-0000-0300-00001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5" name="Rectangle 951">
          <a:extLst>
            <a:ext uri="{FF2B5EF4-FFF2-40B4-BE49-F238E27FC236}">
              <a16:creationId xmlns:a16="http://schemas.microsoft.com/office/drawing/2014/main" xmlns="" id="{00000000-0008-0000-0300-00001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6" name="Rectangle 952">
          <a:extLst>
            <a:ext uri="{FF2B5EF4-FFF2-40B4-BE49-F238E27FC236}">
              <a16:creationId xmlns:a16="http://schemas.microsoft.com/office/drawing/2014/main" xmlns="" id="{00000000-0008-0000-0300-00001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7" name="Rectangle 953">
          <a:extLst>
            <a:ext uri="{FF2B5EF4-FFF2-40B4-BE49-F238E27FC236}">
              <a16:creationId xmlns:a16="http://schemas.microsoft.com/office/drawing/2014/main" xmlns="" id="{00000000-0008-0000-0300-00001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8" name="Rectangle 954">
          <a:extLst>
            <a:ext uri="{FF2B5EF4-FFF2-40B4-BE49-F238E27FC236}">
              <a16:creationId xmlns:a16="http://schemas.microsoft.com/office/drawing/2014/main" xmlns="" id="{00000000-0008-0000-0300-00001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9" name="Rectangle 955">
          <a:extLst>
            <a:ext uri="{FF2B5EF4-FFF2-40B4-BE49-F238E27FC236}">
              <a16:creationId xmlns:a16="http://schemas.microsoft.com/office/drawing/2014/main" xmlns="" id="{00000000-0008-0000-0300-00001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0" name="Rectangle 956">
          <a:extLst>
            <a:ext uri="{FF2B5EF4-FFF2-40B4-BE49-F238E27FC236}">
              <a16:creationId xmlns:a16="http://schemas.microsoft.com/office/drawing/2014/main" xmlns="" id="{00000000-0008-0000-0300-00002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1" name="Rectangle 957">
          <a:extLst>
            <a:ext uri="{FF2B5EF4-FFF2-40B4-BE49-F238E27FC236}">
              <a16:creationId xmlns:a16="http://schemas.microsoft.com/office/drawing/2014/main" xmlns="" id="{00000000-0008-0000-0300-00002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2" name="Rectangle 958">
          <a:extLst>
            <a:ext uri="{FF2B5EF4-FFF2-40B4-BE49-F238E27FC236}">
              <a16:creationId xmlns:a16="http://schemas.microsoft.com/office/drawing/2014/main" xmlns="" id="{00000000-0008-0000-0300-00002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3" name="Rectangle 959">
          <a:extLst>
            <a:ext uri="{FF2B5EF4-FFF2-40B4-BE49-F238E27FC236}">
              <a16:creationId xmlns:a16="http://schemas.microsoft.com/office/drawing/2014/main" xmlns="" id="{00000000-0008-0000-0300-00002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4" name="Rectangle 960">
          <a:extLst>
            <a:ext uri="{FF2B5EF4-FFF2-40B4-BE49-F238E27FC236}">
              <a16:creationId xmlns:a16="http://schemas.microsoft.com/office/drawing/2014/main" xmlns="" id="{00000000-0008-0000-0300-00002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5" name="Rectangle 961">
          <a:extLst>
            <a:ext uri="{FF2B5EF4-FFF2-40B4-BE49-F238E27FC236}">
              <a16:creationId xmlns:a16="http://schemas.microsoft.com/office/drawing/2014/main" xmlns="" id="{00000000-0008-0000-0300-00002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6" name="Rectangle 962">
          <a:extLst>
            <a:ext uri="{FF2B5EF4-FFF2-40B4-BE49-F238E27FC236}">
              <a16:creationId xmlns:a16="http://schemas.microsoft.com/office/drawing/2014/main" xmlns="" id="{00000000-0008-0000-0300-00002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7" name="Rectangle 963">
          <a:extLst>
            <a:ext uri="{FF2B5EF4-FFF2-40B4-BE49-F238E27FC236}">
              <a16:creationId xmlns:a16="http://schemas.microsoft.com/office/drawing/2014/main" xmlns="" id="{00000000-0008-0000-0300-00002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8" name="Rectangle 964">
          <a:extLst>
            <a:ext uri="{FF2B5EF4-FFF2-40B4-BE49-F238E27FC236}">
              <a16:creationId xmlns:a16="http://schemas.microsoft.com/office/drawing/2014/main" xmlns="" id="{00000000-0008-0000-0300-000028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9" name="Rectangle 965">
          <a:extLst>
            <a:ext uri="{FF2B5EF4-FFF2-40B4-BE49-F238E27FC236}">
              <a16:creationId xmlns:a16="http://schemas.microsoft.com/office/drawing/2014/main" xmlns="" id="{00000000-0008-0000-0300-000029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0" name="Rectangle 920">
          <a:extLst>
            <a:ext uri="{FF2B5EF4-FFF2-40B4-BE49-F238E27FC236}">
              <a16:creationId xmlns:a16="http://schemas.microsoft.com/office/drawing/2014/main" xmlns="" id="{00000000-0008-0000-0300-00002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1" name="Rectangle 921">
          <a:extLst>
            <a:ext uri="{FF2B5EF4-FFF2-40B4-BE49-F238E27FC236}">
              <a16:creationId xmlns:a16="http://schemas.microsoft.com/office/drawing/2014/main" xmlns="" id="{00000000-0008-0000-0300-00002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2" name="Rectangle 922">
          <a:extLst>
            <a:ext uri="{FF2B5EF4-FFF2-40B4-BE49-F238E27FC236}">
              <a16:creationId xmlns:a16="http://schemas.microsoft.com/office/drawing/2014/main" xmlns="" id="{00000000-0008-0000-0300-00002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3" name="Rectangle 923">
          <a:extLst>
            <a:ext uri="{FF2B5EF4-FFF2-40B4-BE49-F238E27FC236}">
              <a16:creationId xmlns:a16="http://schemas.microsoft.com/office/drawing/2014/main" xmlns="" id="{00000000-0008-0000-0300-00002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4" name="Rectangle 924">
          <a:extLst>
            <a:ext uri="{FF2B5EF4-FFF2-40B4-BE49-F238E27FC236}">
              <a16:creationId xmlns:a16="http://schemas.microsoft.com/office/drawing/2014/main" xmlns="" id="{00000000-0008-0000-0300-00002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5" name="Rectangle 925">
          <a:extLst>
            <a:ext uri="{FF2B5EF4-FFF2-40B4-BE49-F238E27FC236}">
              <a16:creationId xmlns:a16="http://schemas.microsoft.com/office/drawing/2014/main" xmlns="" id="{00000000-0008-0000-0300-00002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6" name="Rectangle 926">
          <a:extLst>
            <a:ext uri="{FF2B5EF4-FFF2-40B4-BE49-F238E27FC236}">
              <a16:creationId xmlns:a16="http://schemas.microsoft.com/office/drawing/2014/main" xmlns="" id="{00000000-0008-0000-0300-00003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7" name="Rectangle 927">
          <a:extLst>
            <a:ext uri="{FF2B5EF4-FFF2-40B4-BE49-F238E27FC236}">
              <a16:creationId xmlns:a16="http://schemas.microsoft.com/office/drawing/2014/main" xmlns="" id="{00000000-0008-0000-0300-00003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8" name="Rectangle 928">
          <a:extLst>
            <a:ext uri="{FF2B5EF4-FFF2-40B4-BE49-F238E27FC236}">
              <a16:creationId xmlns:a16="http://schemas.microsoft.com/office/drawing/2014/main" xmlns="" id="{00000000-0008-0000-0300-00003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9" name="Rectangle 929">
          <a:extLst>
            <a:ext uri="{FF2B5EF4-FFF2-40B4-BE49-F238E27FC236}">
              <a16:creationId xmlns:a16="http://schemas.microsoft.com/office/drawing/2014/main" xmlns="" id="{00000000-0008-0000-0300-00003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0" name="Rectangle 930">
          <a:extLst>
            <a:ext uri="{FF2B5EF4-FFF2-40B4-BE49-F238E27FC236}">
              <a16:creationId xmlns:a16="http://schemas.microsoft.com/office/drawing/2014/main" xmlns="" id="{00000000-0008-0000-0300-00003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1" name="Rectangle 931">
          <a:extLst>
            <a:ext uri="{FF2B5EF4-FFF2-40B4-BE49-F238E27FC236}">
              <a16:creationId xmlns:a16="http://schemas.microsoft.com/office/drawing/2014/main" xmlns="" id="{00000000-0008-0000-0300-00003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2" name="Rectangle 932">
          <a:extLst>
            <a:ext uri="{FF2B5EF4-FFF2-40B4-BE49-F238E27FC236}">
              <a16:creationId xmlns:a16="http://schemas.microsoft.com/office/drawing/2014/main" xmlns="" id="{00000000-0008-0000-0300-00003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3" name="Rectangle 933">
          <a:extLst>
            <a:ext uri="{FF2B5EF4-FFF2-40B4-BE49-F238E27FC236}">
              <a16:creationId xmlns:a16="http://schemas.microsoft.com/office/drawing/2014/main" xmlns="" id="{00000000-0008-0000-0300-00003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4" name="Rectangle 934">
          <a:extLst>
            <a:ext uri="{FF2B5EF4-FFF2-40B4-BE49-F238E27FC236}">
              <a16:creationId xmlns:a16="http://schemas.microsoft.com/office/drawing/2014/main" xmlns="" id="{00000000-0008-0000-0300-00003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5" name="Rectangle 935">
          <a:extLst>
            <a:ext uri="{FF2B5EF4-FFF2-40B4-BE49-F238E27FC236}">
              <a16:creationId xmlns:a16="http://schemas.microsoft.com/office/drawing/2014/main" xmlns="" id="{00000000-0008-0000-0300-000039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6" name="Rectangle 936">
          <a:extLst>
            <a:ext uri="{FF2B5EF4-FFF2-40B4-BE49-F238E27FC236}">
              <a16:creationId xmlns:a16="http://schemas.microsoft.com/office/drawing/2014/main" xmlns="" id="{00000000-0008-0000-0300-00003A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7" name="Rectangle 937">
          <a:extLst>
            <a:ext uri="{FF2B5EF4-FFF2-40B4-BE49-F238E27FC236}">
              <a16:creationId xmlns:a16="http://schemas.microsoft.com/office/drawing/2014/main" xmlns="" id="{00000000-0008-0000-0300-00003B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8" name="Rectangle 938">
          <a:extLst>
            <a:ext uri="{FF2B5EF4-FFF2-40B4-BE49-F238E27FC236}">
              <a16:creationId xmlns:a16="http://schemas.microsoft.com/office/drawing/2014/main" xmlns="" id="{00000000-0008-0000-0300-00003C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9" name="Rectangle 939">
          <a:extLst>
            <a:ext uri="{FF2B5EF4-FFF2-40B4-BE49-F238E27FC236}">
              <a16:creationId xmlns:a16="http://schemas.microsoft.com/office/drawing/2014/main" xmlns="" id="{00000000-0008-0000-0300-00003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0" name="Rectangle 940">
          <a:extLst>
            <a:ext uri="{FF2B5EF4-FFF2-40B4-BE49-F238E27FC236}">
              <a16:creationId xmlns:a16="http://schemas.microsoft.com/office/drawing/2014/main" xmlns="" id="{00000000-0008-0000-0300-00003E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1" name="Rectangle 941">
          <a:extLst>
            <a:ext uri="{FF2B5EF4-FFF2-40B4-BE49-F238E27FC236}">
              <a16:creationId xmlns:a16="http://schemas.microsoft.com/office/drawing/2014/main" xmlns="" id="{00000000-0008-0000-0300-00003F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2" name="Rectangle 942">
          <a:extLst>
            <a:ext uri="{FF2B5EF4-FFF2-40B4-BE49-F238E27FC236}">
              <a16:creationId xmlns:a16="http://schemas.microsoft.com/office/drawing/2014/main" xmlns="" id="{00000000-0008-0000-0300-00004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3" name="Rectangle 943">
          <a:extLst>
            <a:ext uri="{FF2B5EF4-FFF2-40B4-BE49-F238E27FC236}">
              <a16:creationId xmlns:a16="http://schemas.microsoft.com/office/drawing/2014/main" xmlns="" id="{00000000-0008-0000-0300-00004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4" name="Rectangle 944">
          <a:extLst>
            <a:ext uri="{FF2B5EF4-FFF2-40B4-BE49-F238E27FC236}">
              <a16:creationId xmlns:a16="http://schemas.microsoft.com/office/drawing/2014/main" xmlns="" id="{00000000-0008-0000-0300-00004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5" name="Rectangle 945">
          <a:extLst>
            <a:ext uri="{FF2B5EF4-FFF2-40B4-BE49-F238E27FC236}">
              <a16:creationId xmlns:a16="http://schemas.microsoft.com/office/drawing/2014/main" xmlns="" id="{00000000-0008-0000-0300-00004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6" name="Rectangle 946">
          <a:extLst>
            <a:ext uri="{FF2B5EF4-FFF2-40B4-BE49-F238E27FC236}">
              <a16:creationId xmlns:a16="http://schemas.microsoft.com/office/drawing/2014/main" xmlns="" id="{00000000-0008-0000-0300-00004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7" name="Rectangle 947">
          <a:extLst>
            <a:ext uri="{FF2B5EF4-FFF2-40B4-BE49-F238E27FC236}">
              <a16:creationId xmlns:a16="http://schemas.microsoft.com/office/drawing/2014/main" xmlns="" id="{00000000-0008-0000-0300-00004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8" name="Rectangle 948">
          <a:extLst>
            <a:ext uri="{FF2B5EF4-FFF2-40B4-BE49-F238E27FC236}">
              <a16:creationId xmlns:a16="http://schemas.microsoft.com/office/drawing/2014/main" xmlns="" id="{00000000-0008-0000-0300-00004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9" name="Rectangle 949">
          <a:extLst>
            <a:ext uri="{FF2B5EF4-FFF2-40B4-BE49-F238E27FC236}">
              <a16:creationId xmlns:a16="http://schemas.microsoft.com/office/drawing/2014/main" xmlns="" id="{00000000-0008-0000-0300-00004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60" name="Rectangle 950">
          <a:extLst>
            <a:ext uri="{FF2B5EF4-FFF2-40B4-BE49-F238E27FC236}">
              <a16:creationId xmlns:a16="http://schemas.microsoft.com/office/drawing/2014/main" xmlns="" id="{00000000-0008-0000-0300-00004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1" name="Rectangle 951">
          <a:extLst>
            <a:ext uri="{FF2B5EF4-FFF2-40B4-BE49-F238E27FC236}">
              <a16:creationId xmlns:a16="http://schemas.microsoft.com/office/drawing/2014/main" xmlns="" id="{00000000-0008-0000-0300-00004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62" name="Rectangle 952">
          <a:extLst>
            <a:ext uri="{FF2B5EF4-FFF2-40B4-BE49-F238E27FC236}">
              <a16:creationId xmlns:a16="http://schemas.microsoft.com/office/drawing/2014/main" xmlns="" id="{00000000-0008-0000-0300-00004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3" name="Rectangle 953">
          <a:extLst>
            <a:ext uri="{FF2B5EF4-FFF2-40B4-BE49-F238E27FC236}">
              <a16:creationId xmlns:a16="http://schemas.microsoft.com/office/drawing/2014/main" xmlns="" id="{00000000-0008-0000-0300-00004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4" name="Rectangle 954">
          <a:extLst>
            <a:ext uri="{FF2B5EF4-FFF2-40B4-BE49-F238E27FC236}">
              <a16:creationId xmlns:a16="http://schemas.microsoft.com/office/drawing/2014/main" xmlns="" id="{00000000-0008-0000-0300-00004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5" name="Rectangle 955">
          <a:extLst>
            <a:ext uri="{FF2B5EF4-FFF2-40B4-BE49-F238E27FC236}">
              <a16:creationId xmlns:a16="http://schemas.microsoft.com/office/drawing/2014/main" xmlns="" id="{00000000-0008-0000-0300-00004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6" name="Rectangle 956">
          <a:extLst>
            <a:ext uri="{FF2B5EF4-FFF2-40B4-BE49-F238E27FC236}">
              <a16:creationId xmlns:a16="http://schemas.microsoft.com/office/drawing/2014/main" xmlns="" id="{00000000-0008-0000-0300-00004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7" name="Rectangle 957">
          <a:extLst>
            <a:ext uri="{FF2B5EF4-FFF2-40B4-BE49-F238E27FC236}">
              <a16:creationId xmlns:a16="http://schemas.microsoft.com/office/drawing/2014/main" xmlns="" id="{00000000-0008-0000-0300-00004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8" name="Rectangle 958">
          <a:extLst>
            <a:ext uri="{FF2B5EF4-FFF2-40B4-BE49-F238E27FC236}">
              <a16:creationId xmlns:a16="http://schemas.microsoft.com/office/drawing/2014/main" xmlns="" id="{00000000-0008-0000-0300-00005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9" name="Rectangle 959">
          <a:extLst>
            <a:ext uri="{FF2B5EF4-FFF2-40B4-BE49-F238E27FC236}">
              <a16:creationId xmlns:a16="http://schemas.microsoft.com/office/drawing/2014/main" xmlns="" id="{00000000-0008-0000-0300-00005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0" name="Rectangle 960">
          <a:extLst>
            <a:ext uri="{FF2B5EF4-FFF2-40B4-BE49-F238E27FC236}">
              <a16:creationId xmlns:a16="http://schemas.microsoft.com/office/drawing/2014/main" xmlns="" id="{00000000-0008-0000-0300-00005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1" name="Rectangle 961">
          <a:extLst>
            <a:ext uri="{FF2B5EF4-FFF2-40B4-BE49-F238E27FC236}">
              <a16:creationId xmlns:a16="http://schemas.microsoft.com/office/drawing/2014/main" xmlns="" id="{00000000-0008-0000-0300-00005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2" name="Rectangle 962">
          <a:extLst>
            <a:ext uri="{FF2B5EF4-FFF2-40B4-BE49-F238E27FC236}">
              <a16:creationId xmlns:a16="http://schemas.microsoft.com/office/drawing/2014/main" xmlns="" id="{00000000-0008-0000-0300-00005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3" name="Rectangle 963">
          <a:extLst>
            <a:ext uri="{FF2B5EF4-FFF2-40B4-BE49-F238E27FC236}">
              <a16:creationId xmlns:a16="http://schemas.microsoft.com/office/drawing/2014/main" xmlns="" id="{00000000-0008-0000-0300-00005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4" name="Rectangle 964">
          <a:extLst>
            <a:ext uri="{FF2B5EF4-FFF2-40B4-BE49-F238E27FC236}">
              <a16:creationId xmlns:a16="http://schemas.microsoft.com/office/drawing/2014/main" xmlns="" id="{00000000-0008-0000-0300-00005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5" name="Rectangle 965">
          <a:extLst>
            <a:ext uri="{FF2B5EF4-FFF2-40B4-BE49-F238E27FC236}">
              <a16:creationId xmlns:a16="http://schemas.microsoft.com/office/drawing/2014/main" xmlns="" id="{00000000-0008-0000-0300-00005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6" name="Rectangle 920">
          <a:extLst>
            <a:ext uri="{FF2B5EF4-FFF2-40B4-BE49-F238E27FC236}">
              <a16:creationId xmlns:a16="http://schemas.microsoft.com/office/drawing/2014/main" xmlns="" id="{00000000-0008-0000-0300-00005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77" name="Rectangle 921">
          <a:extLst>
            <a:ext uri="{FF2B5EF4-FFF2-40B4-BE49-F238E27FC236}">
              <a16:creationId xmlns:a16="http://schemas.microsoft.com/office/drawing/2014/main" xmlns="" id="{00000000-0008-0000-0300-00005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78" name="Rectangle 922">
          <a:extLst>
            <a:ext uri="{FF2B5EF4-FFF2-40B4-BE49-F238E27FC236}">
              <a16:creationId xmlns:a16="http://schemas.microsoft.com/office/drawing/2014/main" xmlns="" id="{00000000-0008-0000-0300-00005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9" name="Rectangle 923">
          <a:extLst>
            <a:ext uri="{FF2B5EF4-FFF2-40B4-BE49-F238E27FC236}">
              <a16:creationId xmlns:a16="http://schemas.microsoft.com/office/drawing/2014/main" xmlns="" id="{00000000-0008-0000-0300-00005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0" name="Rectangle 924">
          <a:extLst>
            <a:ext uri="{FF2B5EF4-FFF2-40B4-BE49-F238E27FC236}">
              <a16:creationId xmlns:a16="http://schemas.microsoft.com/office/drawing/2014/main" xmlns="" id="{00000000-0008-0000-0300-00005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1" name="Rectangle 925">
          <a:extLst>
            <a:ext uri="{FF2B5EF4-FFF2-40B4-BE49-F238E27FC236}">
              <a16:creationId xmlns:a16="http://schemas.microsoft.com/office/drawing/2014/main" xmlns="" id="{00000000-0008-0000-0300-00005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2" name="Rectangle 926">
          <a:extLst>
            <a:ext uri="{FF2B5EF4-FFF2-40B4-BE49-F238E27FC236}">
              <a16:creationId xmlns:a16="http://schemas.microsoft.com/office/drawing/2014/main" xmlns="" id="{00000000-0008-0000-0300-00005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3" name="Rectangle 927">
          <a:extLst>
            <a:ext uri="{FF2B5EF4-FFF2-40B4-BE49-F238E27FC236}">
              <a16:creationId xmlns:a16="http://schemas.microsoft.com/office/drawing/2014/main" xmlns="" id="{00000000-0008-0000-0300-00005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4" name="Rectangle 928">
          <a:extLst>
            <a:ext uri="{FF2B5EF4-FFF2-40B4-BE49-F238E27FC236}">
              <a16:creationId xmlns:a16="http://schemas.microsoft.com/office/drawing/2014/main" xmlns="" id="{00000000-0008-0000-0300-00006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5" name="Rectangle 929">
          <a:extLst>
            <a:ext uri="{FF2B5EF4-FFF2-40B4-BE49-F238E27FC236}">
              <a16:creationId xmlns:a16="http://schemas.microsoft.com/office/drawing/2014/main" xmlns="" id="{00000000-0008-0000-0300-00006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6" name="Rectangle 930">
          <a:extLst>
            <a:ext uri="{FF2B5EF4-FFF2-40B4-BE49-F238E27FC236}">
              <a16:creationId xmlns:a16="http://schemas.microsoft.com/office/drawing/2014/main" xmlns="" id="{00000000-0008-0000-0300-00006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7" name="Rectangle 931">
          <a:extLst>
            <a:ext uri="{FF2B5EF4-FFF2-40B4-BE49-F238E27FC236}">
              <a16:creationId xmlns:a16="http://schemas.microsoft.com/office/drawing/2014/main" xmlns="" id="{00000000-0008-0000-0300-00006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8" name="Rectangle 932">
          <a:extLst>
            <a:ext uri="{FF2B5EF4-FFF2-40B4-BE49-F238E27FC236}">
              <a16:creationId xmlns:a16="http://schemas.microsoft.com/office/drawing/2014/main" xmlns="" id="{00000000-0008-0000-0300-00006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9" name="Rectangle 933">
          <a:extLst>
            <a:ext uri="{FF2B5EF4-FFF2-40B4-BE49-F238E27FC236}">
              <a16:creationId xmlns:a16="http://schemas.microsoft.com/office/drawing/2014/main" xmlns="" id="{00000000-0008-0000-0300-00006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0" name="Rectangle 934">
          <a:extLst>
            <a:ext uri="{FF2B5EF4-FFF2-40B4-BE49-F238E27FC236}">
              <a16:creationId xmlns:a16="http://schemas.microsoft.com/office/drawing/2014/main" xmlns="" id="{00000000-0008-0000-0300-00006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1" name="Rectangle 935">
          <a:extLst>
            <a:ext uri="{FF2B5EF4-FFF2-40B4-BE49-F238E27FC236}">
              <a16:creationId xmlns:a16="http://schemas.microsoft.com/office/drawing/2014/main" xmlns="" id="{00000000-0008-0000-0300-00006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2" name="Rectangle 936">
          <a:extLst>
            <a:ext uri="{FF2B5EF4-FFF2-40B4-BE49-F238E27FC236}">
              <a16:creationId xmlns:a16="http://schemas.microsoft.com/office/drawing/2014/main" xmlns="" id="{00000000-0008-0000-0300-00006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3" name="Rectangle 937">
          <a:extLst>
            <a:ext uri="{FF2B5EF4-FFF2-40B4-BE49-F238E27FC236}">
              <a16:creationId xmlns:a16="http://schemas.microsoft.com/office/drawing/2014/main" xmlns="" id="{00000000-0008-0000-0300-00006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4" name="Rectangle 938">
          <a:extLst>
            <a:ext uri="{FF2B5EF4-FFF2-40B4-BE49-F238E27FC236}">
              <a16:creationId xmlns:a16="http://schemas.microsoft.com/office/drawing/2014/main" xmlns="" id="{00000000-0008-0000-0300-00006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5" name="Rectangle 939">
          <a:extLst>
            <a:ext uri="{FF2B5EF4-FFF2-40B4-BE49-F238E27FC236}">
              <a16:creationId xmlns:a16="http://schemas.microsoft.com/office/drawing/2014/main" xmlns="" id="{00000000-0008-0000-0300-00006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6" name="Rectangle 940">
          <a:extLst>
            <a:ext uri="{FF2B5EF4-FFF2-40B4-BE49-F238E27FC236}">
              <a16:creationId xmlns:a16="http://schemas.microsoft.com/office/drawing/2014/main" xmlns="" id="{00000000-0008-0000-0300-00006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7" name="Rectangle 941">
          <a:extLst>
            <a:ext uri="{FF2B5EF4-FFF2-40B4-BE49-F238E27FC236}">
              <a16:creationId xmlns:a16="http://schemas.microsoft.com/office/drawing/2014/main" xmlns="" id="{00000000-0008-0000-0300-00006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8" name="Rectangle 942">
          <a:extLst>
            <a:ext uri="{FF2B5EF4-FFF2-40B4-BE49-F238E27FC236}">
              <a16:creationId xmlns:a16="http://schemas.microsoft.com/office/drawing/2014/main" xmlns="" id="{00000000-0008-0000-0300-00006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9" name="Rectangle 943">
          <a:extLst>
            <a:ext uri="{FF2B5EF4-FFF2-40B4-BE49-F238E27FC236}">
              <a16:creationId xmlns:a16="http://schemas.microsoft.com/office/drawing/2014/main" xmlns="" id="{00000000-0008-0000-0300-00006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0" name="Rectangle 944">
          <a:extLst>
            <a:ext uri="{FF2B5EF4-FFF2-40B4-BE49-F238E27FC236}">
              <a16:creationId xmlns:a16="http://schemas.microsoft.com/office/drawing/2014/main" xmlns="" id="{00000000-0008-0000-0300-00007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1" name="Rectangle 945">
          <a:extLst>
            <a:ext uri="{FF2B5EF4-FFF2-40B4-BE49-F238E27FC236}">
              <a16:creationId xmlns:a16="http://schemas.microsoft.com/office/drawing/2014/main" xmlns="" id="{00000000-0008-0000-0300-00007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2" name="Rectangle 946">
          <a:extLst>
            <a:ext uri="{FF2B5EF4-FFF2-40B4-BE49-F238E27FC236}">
              <a16:creationId xmlns:a16="http://schemas.microsoft.com/office/drawing/2014/main" xmlns="" id="{00000000-0008-0000-0300-00007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3" name="Rectangle 947">
          <a:extLst>
            <a:ext uri="{FF2B5EF4-FFF2-40B4-BE49-F238E27FC236}">
              <a16:creationId xmlns:a16="http://schemas.microsoft.com/office/drawing/2014/main" xmlns="" id="{00000000-0008-0000-0300-00007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4" name="Rectangle 948">
          <a:extLst>
            <a:ext uri="{FF2B5EF4-FFF2-40B4-BE49-F238E27FC236}">
              <a16:creationId xmlns:a16="http://schemas.microsoft.com/office/drawing/2014/main" xmlns="" id="{00000000-0008-0000-0300-00007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5" name="Rectangle 949">
          <a:extLst>
            <a:ext uri="{FF2B5EF4-FFF2-40B4-BE49-F238E27FC236}">
              <a16:creationId xmlns:a16="http://schemas.microsoft.com/office/drawing/2014/main" xmlns="" id="{00000000-0008-0000-0300-00007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6" name="Rectangle 950">
          <a:extLst>
            <a:ext uri="{FF2B5EF4-FFF2-40B4-BE49-F238E27FC236}">
              <a16:creationId xmlns:a16="http://schemas.microsoft.com/office/drawing/2014/main" xmlns="" id="{00000000-0008-0000-0300-00007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7" name="Rectangle 951">
          <a:extLst>
            <a:ext uri="{FF2B5EF4-FFF2-40B4-BE49-F238E27FC236}">
              <a16:creationId xmlns:a16="http://schemas.microsoft.com/office/drawing/2014/main" xmlns="" id="{00000000-0008-0000-0300-00007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8" name="Rectangle 952">
          <a:extLst>
            <a:ext uri="{FF2B5EF4-FFF2-40B4-BE49-F238E27FC236}">
              <a16:creationId xmlns:a16="http://schemas.microsoft.com/office/drawing/2014/main" xmlns="" id="{00000000-0008-0000-0300-00007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9" name="Rectangle 953">
          <a:extLst>
            <a:ext uri="{FF2B5EF4-FFF2-40B4-BE49-F238E27FC236}">
              <a16:creationId xmlns:a16="http://schemas.microsoft.com/office/drawing/2014/main" xmlns="" id="{00000000-0008-0000-0300-00007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0" name="Rectangle 954">
          <a:extLst>
            <a:ext uri="{FF2B5EF4-FFF2-40B4-BE49-F238E27FC236}">
              <a16:creationId xmlns:a16="http://schemas.microsoft.com/office/drawing/2014/main" xmlns="" id="{00000000-0008-0000-0300-00007A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1" name="Rectangle 955">
          <a:extLst>
            <a:ext uri="{FF2B5EF4-FFF2-40B4-BE49-F238E27FC236}">
              <a16:creationId xmlns:a16="http://schemas.microsoft.com/office/drawing/2014/main" xmlns="" id="{00000000-0008-0000-0300-00007B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2" name="Rectangle 956">
          <a:extLst>
            <a:ext uri="{FF2B5EF4-FFF2-40B4-BE49-F238E27FC236}">
              <a16:creationId xmlns:a16="http://schemas.microsoft.com/office/drawing/2014/main" xmlns="" id="{00000000-0008-0000-0300-00007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3" name="Rectangle 957">
          <a:extLst>
            <a:ext uri="{FF2B5EF4-FFF2-40B4-BE49-F238E27FC236}">
              <a16:creationId xmlns:a16="http://schemas.microsoft.com/office/drawing/2014/main" xmlns="" id="{00000000-0008-0000-0300-00007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4" name="Rectangle 958">
          <a:extLst>
            <a:ext uri="{FF2B5EF4-FFF2-40B4-BE49-F238E27FC236}">
              <a16:creationId xmlns:a16="http://schemas.microsoft.com/office/drawing/2014/main" xmlns="" id="{00000000-0008-0000-0300-00007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5" name="Rectangle 959">
          <a:extLst>
            <a:ext uri="{FF2B5EF4-FFF2-40B4-BE49-F238E27FC236}">
              <a16:creationId xmlns:a16="http://schemas.microsoft.com/office/drawing/2014/main" xmlns="" id="{00000000-0008-0000-0300-00007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6" name="Rectangle 960">
          <a:extLst>
            <a:ext uri="{FF2B5EF4-FFF2-40B4-BE49-F238E27FC236}">
              <a16:creationId xmlns:a16="http://schemas.microsoft.com/office/drawing/2014/main" xmlns="" id="{00000000-0008-0000-0300-00008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7" name="Rectangle 961">
          <a:extLst>
            <a:ext uri="{FF2B5EF4-FFF2-40B4-BE49-F238E27FC236}">
              <a16:creationId xmlns:a16="http://schemas.microsoft.com/office/drawing/2014/main" xmlns="" id="{00000000-0008-0000-0300-00008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8" name="Rectangle 962">
          <a:extLst>
            <a:ext uri="{FF2B5EF4-FFF2-40B4-BE49-F238E27FC236}">
              <a16:creationId xmlns:a16="http://schemas.microsoft.com/office/drawing/2014/main" xmlns="" id="{00000000-0008-0000-0300-00008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9" name="Rectangle 963">
          <a:extLst>
            <a:ext uri="{FF2B5EF4-FFF2-40B4-BE49-F238E27FC236}">
              <a16:creationId xmlns:a16="http://schemas.microsoft.com/office/drawing/2014/main" xmlns="" id="{00000000-0008-0000-0300-00008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0" name="Rectangle 964">
          <a:extLst>
            <a:ext uri="{FF2B5EF4-FFF2-40B4-BE49-F238E27FC236}">
              <a16:creationId xmlns:a16="http://schemas.microsoft.com/office/drawing/2014/main" xmlns="" id="{00000000-0008-0000-0300-00008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1" name="Rectangle 965">
          <a:extLst>
            <a:ext uri="{FF2B5EF4-FFF2-40B4-BE49-F238E27FC236}">
              <a16:creationId xmlns:a16="http://schemas.microsoft.com/office/drawing/2014/main" xmlns="" id="{00000000-0008-0000-0300-00008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2" name="Rectangle 966">
          <a:extLst>
            <a:ext uri="{FF2B5EF4-FFF2-40B4-BE49-F238E27FC236}">
              <a16:creationId xmlns:a16="http://schemas.microsoft.com/office/drawing/2014/main" xmlns="" id="{00000000-0008-0000-0300-00008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3" name="Rectangle 967">
          <a:extLst>
            <a:ext uri="{FF2B5EF4-FFF2-40B4-BE49-F238E27FC236}">
              <a16:creationId xmlns:a16="http://schemas.microsoft.com/office/drawing/2014/main" xmlns="" id="{00000000-0008-0000-0300-00008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4" name="Rectangle 968">
          <a:extLst>
            <a:ext uri="{FF2B5EF4-FFF2-40B4-BE49-F238E27FC236}">
              <a16:creationId xmlns:a16="http://schemas.microsoft.com/office/drawing/2014/main" xmlns="" id="{00000000-0008-0000-0300-00008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5" name="Rectangle 969">
          <a:extLst>
            <a:ext uri="{FF2B5EF4-FFF2-40B4-BE49-F238E27FC236}">
              <a16:creationId xmlns:a16="http://schemas.microsoft.com/office/drawing/2014/main" xmlns="" id="{00000000-0008-0000-0300-00008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6" name="Rectangle 970">
          <a:extLst>
            <a:ext uri="{FF2B5EF4-FFF2-40B4-BE49-F238E27FC236}">
              <a16:creationId xmlns:a16="http://schemas.microsoft.com/office/drawing/2014/main" xmlns="" id="{00000000-0008-0000-0300-00008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7" name="Rectangle 971">
          <a:extLst>
            <a:ext uri="{FF2B5EF4-FFF2-40B4-BE49-F238E27FC236}">
              <a16:creationId xmlns:a16="http://schemas.microsoft.com/office/drawing/2014/main" xmlns="" id="{00000000-0008-0000-0300-00008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8" name="Rectangle 972">
          <a:extLst>
            <a:ext uri="{FF2B5EF4-FFF2-40B4-BE49-F238E27FC236}">
              <a16:creationId xmlns:a16="http://schemas.microsoft.com/office/drawing/2014/main" xmlns="" id="{00000000-0008-0000-0300-00008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9" name="Rectangle 973">
          <a:extLst>
            <a:ext uri="{FF2B5EF4-FFF2-40B4-BE49-F238E27FC236}">
              <a16:creationId xmlns:a16="http://schemas.microsoft.com/office/drawing/2014/main" xmlns="" id="{00000000-0008-0000-0300-00008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0" name="Rectangle 974">
          <a:extLst>
            <a:ext uri="{FF2B5EF4-FFF2-40B4-BE49-F238E27FC236}">
              <a16:creationId xmlns:a16="http://schemas.microsoft.com/office/drawing/2014/main" xmlns="" id="{00000000-0008-0000-0300-00008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1" name="Rectangle 975">
          <a:extLst>
            <a:ext uri="{FF2B5EF4-FFF2-40B4-BE49-F238E27FC236}">
              <a16:creationId xmlns:a16="http://schemas.microsoft.com/office/drawing/2014/main" xmlns="" id="{00000000-0008-0000-0300-00008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2" name="Rectangle 976">
          <a:extLst>
            <a:ext uri="{FF2B5EF4-FFF2-40B4-BE49-F238E27FC236}">
              <a16:creationId xmlns:a16="http://schemas.microsoft.com/office/drawing/2014/main" xmlns="" id="{00000000-0008-0000-0300-00009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3" name="Rectangle 977">
          <a:extLst>
            <a:ext uri="{FF2B5EF4-FFF2-40B4-BE49-F238E27FC236}">
              <a16:creationId xmlns:a16="http://schemas.microsoft.com/office/drawing/2014/main" xmlns="" id="{00000000-0008-0000-0300-00009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4" name="Rectangle 978">
          <a:extLst>
            <a:ext uri="{FF2B5EF4-FFF2-40B4-BE49-F238E27FC236}">
              <a16:creationId xmlns:a16="http://schemas.microsoft.com/office/drawing/2014/main" xmlns="" id="{00000000-0008-0000-0300-00009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5" name="Rectangle 979">
          <a:extLst>
            <a:ext uri="{FF2B5EF4-FFF2-40B4-BE49-F238E27FC236}">
              <a16:creationId xmlns:a16="http://schemas.microsoft.com/office/drawing/2014/main" xmlns="" id="{00000000-0008-0000-0300-00009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6" name="Rectangle 980">
          <a:extLst>
            <a:ext uri="{FF2B5EF4-FFF2-40B4-BE49-F238E27FC236}">
              <a16:creationId xmlns:a16="http://schemas.microsoft.com/office/drawing/2014/main" xmlns="" id="{00000000-0008-0000-0300-00009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7" name="Rectangle 981">
          <a:extLst>
            <a:ext uri="{FF2B5EF4-FFF2-40B4-BE49-F238E27FC236}">
              <a16:creationId xmlns:a16="http://schemas.microsoft.com/office/drawing/2014/main" xmlns="" id="{00000000-0008-0000-0300-00009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8" name="Rectangle 982">
          <a:extLst>
            <a:ext uri="{FF2B5EF4-FFF2-40B4-BE49-F238E27FC236}">
              <a16:creationId xmlns:a16="http://schemas.microsoft.com/office/drawing/2014/main" xmlns="" id="{00000000-0008-0000-0300-00009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9" name="Rectangle 983">
          <a:extLst>
            <a:ext uri="{FF2B5EF4-FFF2-40B4-BE49-F238E27FC236}">
              <a16:creationId xmlns:a16="http://schemas.microsoft.com/office/drawing/2014/main" xmlns="" id="{00000000-0008-0000-0300-00009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0" name="Rectangle 984">
          <a:extLst>
            <a:ext uri="{FF2B5EF4-FFF2-40B4-BE49-F238E27FC236}">
              <a16:creationId xmlns:a16="http://schemas.microsoft.com/office/drawing/2014/main" xmlns="" id="{00000000-0008-0000-0300-00009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1" name="Rectangle 985">
          <a:extLst>
            <a:ext uri="{FF2B5EF4-FFF2-40B4-BE49-F238E27FC236}">
              <a16:creationId xmlns:a16="http://schemas.microsoft.com/office/drawing/2014/main" xmlns="" id="{00000000-0008-0000-0300-00009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2" name="Rectangle 986">
          <a:extLst>
            <a:ext uri="{FF2B5EF4-FFF2-40B4-BE49-F238E27FC236}">
              <a16:creationId xmlns:a16="http://schemas.microsoft.com/office/drawing/2014/main" xmlns="" id="{00000000-0008-0000-0300-00009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3" name="Rectangle 987">
          <a:extLst>
            <a:ext uri="{FF2B5EF4-FFF2-40B4-BE49-F238E27FC236}">
              <a16:creationId xmlns:a16="http://schemas.microsoft.com/office/drawing/2014/main" xmlns="" id="{00000000-0008-0000-0300-00009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4" name="Rectangle 988">
          <a:extLst>
            <a:ext uri="{FF2B5EF4-FFF2-40B4-BE49-F238E27FC236}">
              <a16:creationId xmlns:a16="http://schemas.microsoft.com/office/drawing/2014/main" xmlns="" id="{00000000-0008-0000-0300-00009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5" name="Rectangle 989">
          <a:extLst>
            <a:ext uri="{FF2B5EF4-FFF2-40B4-BE49-F238E27FC236}">
              <a16:creationId xmlns:a16="http://schemas.microsoft.com/office/drawing/2014/main" xmlns="" id="{00000000-0008-0000-0300-00009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6" name="Rectangle 990">
          <a:extLst>
            <a:ext uri="{FF2B5EF4-FFF2-40B4-BE49-F238E27FC236}">
              <a16:creationId xmlns:a16="http://schemas.microsoft.com/office/drawing/2014/main" xmlns="" id="{00000000-0008-0000-0300-00009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7" name="Rectangle 991">
          <a:extLst>
            <a:ext uri="{FF2B5EF4-FFF2-40B4-BE49-F238E27FC236}">
              <a16:creationId xmlns:a16="http://schemas.microsoft.com/office/drawing/2014/main" xmlns="" id="{00000000-0008-0000-0300-00009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8" name="Rectangle 992">
          <a:extLst>
            <a:ext uri="{FF2B5EF4-FFF2-40B4-BE49-F238E27FC236}">
              <a16:creationId xmlns:a16="http://schemas.microsoft.com/office/drawing/2014/main" xmlns="" id="{00000000-0008-0000-0300-0000A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9" name="Rectangle 993">
          <a:extLst>
            <a:ext uri="{FF2B5EF4-FFF2-40B4-BE49-F238E27FC236}">
              <a16:creationId xmlns:a16="http://schemas.microsoft.com/office/drawing/2014/main" xmlns="" id="{00000000-0008-0000-0300-0000A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0" name="Rectangle 994">
          <a:extLst>
            <a:ext uri="{FF2B5EF4-FFF2-40B4-BE49-F238E27FC236}">
              <a16:creationId xmlns:a16="http://schemas.microsoft.com/office/drawing/2014/main" xmlns="" id="{00000000-0008-0000-0300-0000A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1" name="Rectangle 995">
          <a:extLst>
            <a:ext uri="{FF2B5EF4-FFF2-40B4-BE49-F238E27FC236}">
              <a16:creationId xmlns:a16="http://schemas.microsoft.com/office/drawing/2014/main" xmlns="" id="{00000000-0008-0000-0300-0000A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52" name="Rectangle 996">
          <a:extLst>
            <a:ext uri="{FF2B5EF4-FFF2-40B4-BE49-F238E27FC236}">
              <a16:creationId xmlns:a16="http://schemas.microsoft.com/office/drawing/2014/main" xmlns="" id="{00000000-0008-0000-0300-0000A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3" name="Rectangle 997">
          <a:extLst>
            <a:ext uri="{FF2B5EF4-FFF2-40B4-BE49-F238E27FC236}">
              <a16:creationId xmlns:a16="http://schemas.microsoft.com/office/drawing/2014/main" xmlns="" id="{00000000-0008-0000-0300-0000A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4" name="Rectangle 998">
          <a:extLst>
            <a:ext uri="{FF2B5EF4-FFF2-40B4-BE49-F238E27FC236}">
              <a16:creationId xmlns:a16="http://schemas.microsoft.com/office/drawing/2014/main" xmlns="" id="{00000000-0008-0000-0300-0000A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5" name="Rectangle 999">
          <a:extLst>
            <a:ext uri="{FF2B5EF4-FFF2-40B4-BE49-F238E27FC236}">
              <a16:creationId xmlns:a16="http://schemas.microsoft.com/office/drawing/2014/main" xmlns="" id="{00000000-0008-0000-0300-0000A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6" name="Rectangle 1000">
          <a:extLst>
            <a:ext uri="{FF2B5EF4-FFF2-40B4-BE49-F238E27FC236}">
              <a16:creationId xmlns:a16="http://schemas.microsoft.com/office/drawing/2014/main" xmlns="" id="{00000000-0008-0000-0300-0000A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7" name="Rectangle 1001">
          <a:extLst>
            <a:ext uri="{FF2B5EF4-FFF2-40B4-BE49-F238E27FC236}">
              <a16:creationId xmlns:a16="http://schemas.microsoft.com/office/drawing/2014/main" xmlns="" id="{00000000-0008-0000-0300-0000A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8" name="Rectangle 1002">
          <a:extLst>
            <a:ext uri="{FF2B5EF4-FFF2-40B4-BE49-F238E27FC236}">
              <a16:creationId xmlns:a16="http://schemas.microsoft.com/office/drawing/2014/main" xmlns="" id="{00000000-0008-0000-0300-0000A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9" name="Rectangle 1003">
          <a:extLst>
            <a:ext uri="{FF2B5EF4-FFF2-40B4-BE49-F238E27FC236}">
              <a16:creationId xmlns:a16="http://schemas.microsoft.com/office/drawing/2014/main" xmlns="" id="{00000000-0008-0000-0300-0000A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0" name="Rectangle 1004">
          <a:extLst>
            <a:ext uri="{FF2B5EF4-FFF2-40B4-BE49-F238E27FC236}">
              <a16:creationId xmlns:a16="http://schemas.microsoft.com/office/drawing/2014/main" xmlns="" id="{00000000-0008-0000-0300-0000A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1" name="Rectangle 1005">
          <a:extLst>
            <a:ext uri="{FF2B5EF4-FFF2-40B4-BE49-F238E27FC236}">
              <a16:creationId xmlns:a16="http://schemas.microsoft.com/office/drawing/2014/main" xmlns="" id="{00000000-0008-0000-0300-0000A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2" name="Rectangle 1006">
          <a:extLst>
            <a:ext uri="{FF2B5EF4-FFF2-40B4-BE49-F238E27FC236}">
              <a16:creationId xmlns:a16="http://schemas.microsoft.com/office/drawing/2014/main" xmlns="" id="{00000000-0008-0000-0300-0000A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3" name="Rectangle 1007">
          <a:extLst>
            <a:ext uri="{FF2B5EF4-FFF2-40B4-BE49-F238E27FC236}">
              <a16:creationId xmlns:a16="http://schemas.microsoft.com/office/drawing/2014/main" xmlns="" id="{00000000-0008-0000-0300-0000A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4" name="Rectangle 1008">
          <a:extLst>
            <a:ext uri="{FF2B5EF4-FFF2-40B4-BE49-F238E27FC236}">
              <a16:creationId xmlns:a16="http://schemas.microsoft.com/office/drawing/2014/main" xmlns="" id="{00000000-0008-0000-0300-0000B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5" name="Rectangle 1009">
          <a:extLst>
            <a:ext uri="{FF2B5EF4-FFF2-40B4-BE49-F238E27FC236}">
              <a16:creationId xmlns:a16="http://schemas.microsoft.com/office/drawing/2014/main" xmlns="" id="{00000000-0008-0000-0300-0000B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6" name="Rectangle 1010">
          <a:extLst>
            <a:ext uri="{FF2B5EF4-FFF2-40B4-BE49-F238E27FC236}">
              <a16:creationId xmlns:a16="http://schemas.microsoft.com/office/drawing/2014/main" xmlns="" id="{00000000-0008-0000-0300-0000B2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7" name="Rectangle 1011">
          <a:extLst>
            <a:ext uri="{FF2B5EF4-FFF2-40B4-BE49-F238E27FC236}">
              <a16:creationId xmlns:a16="http://schemas.microsoft.com/office/drawing/2014/main" xmlns="" id="{00000000-0008-0000-0300-0000B3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68" name="Rectangle 966">
          <a:extLst>
            <a:ext uri="{FF2B5EF4-FFF2-40B4-BE49-F238E27FC236}">
              <a16:creationId xmlns:a16="http://schemas.microsoft.com/office/drawing/2014/main" xmlns="" id="{00000000-0008-0000-0300-0000B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69" name="Rectangle 967">
          <a:extLst>
            <a:ext uri="{FF2B5EF4-FFF2-40B4-BE49-F238E27FC236}">
              <a16:creationId xmlns:a16="http://schemas.microsoft.com/office/drawing/2014/main" xmlns="" id="{00000000-0008-0000-0300-0000B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0" name="Rectangle 968">
          <a:extLst>
            <a:ext uri="{FF2B5EF4-FFF2-40B4-BE49-F238E27FC236}">
              <a16:creationId xmlns:a16="http://schemas.microsoft.com/office/drawing/2014/main" xmlns="" id="{00000000-0008-0000-0300-0000B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1" name="Rectangle 969">
          <a:extLst>
            <a:ext uri="{FF2B5EF4-FFF2-40B4-BE49-F238E27FC236}">
              <a16:creationId xmlns:a16="http://schemas.microsoft.com/office/drawing/2014/main" xmlns="" id="{00000000-0008-0000-0300-0000B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2" name="Rectangle 970">
          <a:extLst>
            <a:ext uri="{FF2B5EF4-FFF2-40B4-BE49-F238E27FC236}">
              <a16:creationId xmlns:a16="http://schemas.microsoft.com/office/drawing/2014/main" xmlns="" id="{00000000-0008-0000-0300-0000B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3" name="Rectangle 971">
          <a:extLst>
            <a:ext uri="{FF2B5EF4-FFF2-40B4-BE49-F238E27FC236}">
              <a16:creationId xmlns:a16="http://schemas.microsoft.com/office/drawing/2014/main" xmlns="" id="{00000000-0008-0000-0300-0000B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4" name="Rectangle 972">
          <a:extLst>
            <a:ext uri="{FF2B5EF4-FFF2-40B4-BE49-F238E27FC236}">
              <a16:creationId xmlns:a16="http://schemas.microsoft.com/office/drawing/2014/main" xmlns="" id="{00000000-0008-0000-0300-0000B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5" name="Rectangle 973">
          <a:extLst>
            <a:ext uri="{FF2B5EF4-FFF2-40B4-BE49-F238E27FC236}">
              <a16:creationId xmlns:a16="http://schemas.microsoft.com/office/drawing/2014/main" xmlns="" id="{00000000-0008-0000-0300-0000B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6" name="Rectangle 974">
          <a:extLst>
            <a:ext uri="{FF2B5EF4-FFF2-40B4-BE49-F238E27FC236}">
              <a16:creationId xmlns:a16="http://schemas.microsoft.com/office/drawing/2014/main" xmlns="" id="{00000000-0008-0000-0300-0000B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7" name="Rectangle 975">
          <a:extLst>
            <a:ext uri="{FF2B5EF4-FFF2-40B4-BE49-F238E27FC236}">
              <a16:creationId xmlns:a16="http://schemas.microsoft.com/office/drawing/2014/main" xmlns="" id="{00000000-0008-0000-0300-0000B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8" name="Rectangle 976">
          <a:extLst>
            <a:ext uri="{FF2B5EF4-FFF2-40B4-BE49-F238E27FC236}">
              <a16:creationId xmlns:a16="http://schemas.microsoft.com/office/drawing/2014/main" xmlns="" id="{00000000-0008-0000-0300-0000B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9" name="Rectangle 977">
          <a:extLst>
            <a:ext uri="{FF2B5EF4-FFF2-40B4-BE49-F238E27FC236}">
              <a16:creationId xmlns:a16="http://schemas.microsoft.com/office/drawing/2014/main" xmlns="" id="{00000000-0008-0000-0300-0000B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0" name="Rectangle 978">
          <a:extLst>
            <a:ext uri="{FF2B5EF4-FFF2-40B4-BE49-F238E27FC236}">
              <a16:creationId xmlns:a16="http://schemas.microsoft.com/office/drawing/2014/main" xmlns="" id="{00000000-0008-0000-0300-0000C0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1" name="Rectangle 979">
          <a:extLst>
            <a:ext uri="{FF2B5EF4-FFF2-40B4-BE49-F238E27FC236}">
              <a16:creationId xmlns:a16="http://schemas.microsoft.com/office/drawing/2014/main" xmlns="" id="{00000000-0008-0000-0300-0000C1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2" name="Rectangle 980">
          <a:extLst>
            <a:ext uri="{FF2B5EF4-FFF2-40B4-BE49-F238E27FC236}">
              <a16:creationId xmlns:a16="http://schemas.microsoft.com/office/drawing/2014/main" xmlns="" id="{00000000-0008-0000-0300-0000C2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3" name="Rectangle 981">
          <a:extLst>
            <a:ext uri="{FF2B5EF4-FFF2-40B4-BE49-F238E27FC236}">
              <a16:creationId xmlns:a16="http://schemas.microsoft.com/office/drawing/2014/main" xmlns="" id="{00000000-0008-0000-0300-0000C3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4" name="Rectangle 982">
          <a:extLst>
            <a:ext uri="{FF2B5EF4-FFF2-40B4-BE49-F238E27FC236}">
              <a16:creationId xmlns:a16="http://schemas.microsoft.com/office/drawing/2014/main" xmlns="" id="{00000000-0008-0000-0300-0000C4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5" name="Rectangle 983">
          <a:extLst>
            <a:ext uri="{FF2B5EF4-FFF2-40B4-BE49-F238E27FC236}">
              <a16:creationId xmlns:a16="http://schemas.microsoft.com/office/drawing/2014/main" xmlns="" id="{00000000-0008-0000-0300-0000C5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6" name="Rectangle 984">
          <a:extLst>
            <a:ext uri="{FF2B5EF4-FFF2-40B4-BE49-F238E27FC236}">
              <a16:creationId xmlns:a16="http://schemas.microsoft.com/office/drawing/2014/main" xmlns="" id="{00000000-0008-0000-0300-0000C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7" name="Rectangle 985">
          <a:extLst>
            <a:ext uri="{FF2B5EF4-FFF2-40B4-BE49-F238E27FC236}">
              <a16:creationId xmlns:a16="http://schemas.microsoft.com/office/drawing/2014/main" xmlns="" id="{00000000-0008-0000-0300-0000C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8" name="Rectangle 986">
          <a:extLst>
            <a:ext uri="{FF2B5EF4-FFF2-40B4-BE49-F238E27FC236}">
              <a16:creationId xmlns:a16="http://schemas.microsoft.com/office/drawing/2014/main" xmlns="" id="{00000000-0008-0000-0300-0000C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9" name="Rectangle 987">
          <a:extLst>
            <a:ext uri="{FF2B5EF4-FFF2-40B4-BE49-F238E27FC236}">
              <a16:creationId xmlns:a16="http://schemas.microsoft.com/office/drawing/2014/main" xmlns="" id="{00000000-0008-0000-0300-0000C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0" name="Rectangle 988">
          <a:extLst>
            <a:ext uri="{FF2B5EF4-FFF2-40B4-BE49-F238E27FC236}">
              <a16:creationId xmlns:a16="http://schemas.microsoft.com/office/drawing/2014/main" xmlns="" id="{00000000-0008-0000-0300-0000C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1" name="Rectangle 989">
          <a:extLst>
            <a:ext uri="{FF2B5EF4-FFF2-40B4-BE49-F238E27FC236}">
              <a16:creationId xmlns:a16="http://schemas.microsoft.com/office/drawing/2014/main" xmlns="" id="{00000000-0008-0000-0300-0000C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2" name="Rectangle 990">
          <a:extLst>
            <a:ext uri="{FF2B5EF4-FFF2-40B4-BE49-F238E27FC236}">
              <a16:creationId xmlns:a16="http://schemas.microsoft.com/office/drawing/2014/main" xmlns="" id="{00000000-0008-0000-0300-0000C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3" name="Rectangle 991">
          <a:extLst>
            <a:ext uri="{FF2B5EF4-FFF2-40B4-BE49-F238E27FC236}">
              <a16:creationId xmlns:a16="http://schemas.microsoft.com/office/drawing/2014/main" xmlns="" id="{00000000-0008-0000-0300-0000C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4" name="Rectangle 992">
          <a:extLst>
            <a:ext uri="{FF2B5EF4-FFF2-40B4-BE49-F238E27FC236}">
              <a16:creationId xmlns:a16="http://schemas.microsoft.com/office/drawing/2014/main" xmlns="" id="{00000000-0008-0000-0300-0000C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5" name="Rectangle 993">
          <a:extLst>
            <a:ext uri="{FF2B5EF4-FFF2-40B4-BE49-F238E27FC236}">
              <a16:creationId xmlns:a16="http://schemas.microsoft.com/office/drawing/2014/main" xmlns="" id="{00000000-0008-0000-0300-0000C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6" name="Rectangle 994">
          <a:extLst>
            <a:ext uri="{FF2B5EF4-FFF2-40B4-BE49-F238E27FC236}">
              <a16:creationId xmlns:a16="http://schemas.microsoft.com/office/drawing/2014/main" xmlns="" id="{00000000-0008-0000-0300-0000D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7" name="Rectangle 995">
          <a:extLst>
            <a:ext uri="{FF2B5EF4-FFF2-40B4-BE49-F238E27FC236}">
              <a16:creationId xmlns:a16="http://schemas.microsoft.com/office/drawing/2014/main" xmlns="" id="{00000000-0008-0000-0300-0000D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8" name="Rectangle 996">
          <a:extLst>
            <a:ext uri="{FF2B5EF4-FFF2-40B4-BE49-F238E27FC236}">
              <a16:creationId xmlns:a16="http://schemas.microsoft.com/office/drawing/2014/main" xmlns="" id="{00000000-0008-0000-0300-0000D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9" name="Rectangle 997">
          <a:extLst>
            <a:ext uri="{FF2B5EF4-FFF2-40B4-BE49-F238E27FC236}">
              <a16:creationId xmlns:a16="http://schemas.microsoft.com/office/drawing/2014/main" xmlns="" id="{00000000-0008-0000-0300-0000D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00" name="Rectangle 998">
          <a:extLst>
            <a:ext uri="{FF2B5EF4-FFF2-40B4-BE49-F238E27FC236}">
              <a16:creationId xmlns:a16="http://schemas.microsoft.com/office/drawing/2014/main" xmlns="" id="{00000000-0008-0000-0300-0000D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01" name="Rectangle 999">
          <a:extLst>
            <a:ext uri="{FF2B5EF4-FFF2-40B4-BE49-F238E27FC236}">
              <a16:creationId xmlns:a16="http://schemas.microsoft.com/office/drawing/2014/main" xmlns="" id="{00000000-0008-0000-0300-0000D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2" name="Rectangle 1000">
          <a:extLst>
            <a:ext uri="{FF2B5EF4-FFF2-40B4-BE49-F238E27FC236}">
              <a16:creationId xmlns:a16="http://schemas.microsoft.com/office/drawing/2014/main" xmlns="" id="{00000000-0008-0000-0300-0000D6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3" name="Rectangle 1001">
          <a:extLst>
            <a:ext uri="{FF2B5EF4-FFF2-40B4-BE49-F238E27FC236}">
              <a16:creationId xmlns:a16="http://schemas.microsoft.com/office/drawing/2014/main" xmlns="" id="{00000000-0008-0000-0300-0000D7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4" name="Rectangle 1002">
          <a:extLst>
            <a:ext uri="{FF2B5EF4-FFF2-40B4-BE49-F238E27FC236}">
              <a16:creationId xmlns:a16="http://schemas.microsoft.com/office/drawing/2014/main" xmlns="" id="{00000000-0008-0000-0300-0000D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5" name="Rectangle 1003">
          <a:extLst>
            <a:ext uri="{FF2B5EF4-FFF2-40B4-BE49-F238E27FC236}">
              <a16:creationId xmlns:a16="http://schemas.microsoft.com/office/drawing/2014/main" xmlns="" id="{00000000-0008-0000-0300-0000D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6" name="Rectangle 1004">
          <a:extLst>
            <a:ext uri="{FF2B5EF4-FFF2-40B4-BE49-F238E27FC236}">
              <a16:creationId xmlns:a16="http://schemas.microsoft.com/office/drawing/2014/main" xmlns="" id="{00000000-0008-0000-0300-0000D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7" name="Rectangle 1005">
          <a:extLst>
            <a:ext uri="{FF2B5EF4-FFF2-40B4-BE49-F238E27FC236}">
              <a16:creationId xmlns:a16="http://schemas.microsoft.com/office/drawing/2014/main" xmlns="" id="{00000000-0008-0000-0300-0000D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8" name="Rectangle 1006">
          <a:extLst>
            <a:ext uri="{FF2B5EF4-FFF2-40B4-BE49-F238E27FC236}">
              <a16:creationId xmlns:a16="http://schemas.microsoft.com/office/drawing/2014/main" xmlns="" id="{00000000-0008-0000-0300-0000D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9" name="Rectangle 1007">
          <a:extLst>
            <a:ext uri="{FF2B5EF4-FFF2-40B4-BE49-F238E27FC236}">
              <a16:creationId xmlns:a16="http://schemas.microsoft.com/office/drawing/2014/main" xmlns="" id="{00000000-0008-0000-0300-0000D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0" name="Rectangle 1008">
          <a:extLst>
            <a:ext uri="{FF2B5EF4-FFF2-40B4-BE49-F238E27FC236}">
              <a16:creationId xmlns:a16="http://schemas.microsoft.com/office/drawing/2014/main" xmlns="" id="{00000000-0008-0000-0300-0000D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1" name="Rectangle 1009">
          <a:extLst>
            <a:ext uri="{FF2B5EF4-FFF2-40B4-BE49-F238E27FC236}">
              <a16:creationId xmlns:a16="http://schemas.microsoft.com/office/drawing/2014/main" xmlns="" id="{00000000-0008-0000-0300-0000D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2" name="Rectangle 1010">
          <a:extLst>
            <a:ext uri="{FF2B5EF4-FFF2-40B4-BE49-F238E27FC236}">
              <a16:creationId xmlns:a16="http://schemas.microsoft.com/office/drawing/2014/main" xmlns="" id="{00000000-0008-0000-0300-0000E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3" name="Rectangle 1011">
          <a:extLst>
            <a:ext uri="{FF2B5EF4-FFF2-40B4-BE49-F238E27FC236}">
              <a16:creationId xmlns:a16="http://schemas.microsoft.com/office/drawing/2014/main" xmlns="" id="{00000000-0008-0000-0300-0000E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4" name="Rectangle 966">
          <a:extLst>
            <a:ext uri="{FF2B5EF4-FFF2-40B4-BE49-F238E27FC236}">
              <a16:creationId xmlns:a16="http://schemas.microsoft.com/office/drawing/2014/main" xmlns="" id="{00000000-0008-0000-0300-0000E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5" name="Rectangle 967">
          <a:extLst>
            <a:ext uri="{FF2B5EF4-FFF2-40B4-BE49-F238E27FC236}">
              <a16:creationId xmlns:a16="http://schemas.microsoft.com/office/drawing/2014/main" xmlns="" id="{00000000-0008-0000-0300-0000E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6" name="Rectangle 968">
          <a:extLst>
            <a:ext uri="{FF2B5EF4-FFF2-40B4-BE49-F238E27FC236}">
              <a16:creationId xmlns:a16="http://schemas.microsoft.com/office/drawing/2014/main" xmlns="" id="{00000000-0008-0000-0300-0000E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7" name="Rectangle 969">
          <a:extLst>
            <a:ext uri="{FF2B5EF4-FFF2-40B4-BE49-F238E27FC236}">
              <a16:creationId xmlns:a16="http://schemas.microsoft.com/office/drawing/2014/main" xmlns="" id="{00000000-0008-0000-0300-0000E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8" name="Rectangle 970">
          <a:extLst>
            <a:ext uri="{FF2B5EF4-FFF2-40B4-BE49-F238E27FC236}">
              <a16:creationId xmlns:a16="http://schemas.microsoft.com/office/drawing/2014/main" xmlns="" id="{00000000-0008-0000-0300-0000E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9" name="Rectangle 971">
          <a:extLst>
            <a:ext uri="{FF2B5EF4-FFF2-40B4-BE49-F238E27FC236}">
              <a16:creationId xmlns:a16="http://schemas.microsoft.com/office/drawing/2014/main" xmlns="" id="{00000000-0008-0000-0300-0000E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0" name="Rectangle 972">
          <a:extLst>
            <a:ext uri="{FF2B5EF4-FFF2-40B4-BE49-F238E27FC236}">
              <a16:creationId xmlns:a16="http://schemas.microsoft.com/office/drawing/2014/main" xmlns="" id="{00000000-0008-0000-0300-0000E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1" name="Rectangle 973">
          <a:extLst>
            <a:ext uri="{FF2B5EF4-FFF2-40B4-BE49-F238E27FC236}">
              <a16:creationId xmlns:a16="http://schemas.microsoft.com/office/drawing/2014/main" xmlns="" id="{00000000-0008-0000-0300-0000E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2" name="Rectangle 974">
          <a:extLst>
            <a:ext uri="{FF2B5EF4-FFF2-40B4-BE49-F238E27FC236}">
              <a16:creationId xmlns:a16="http://schemas.microsoft.com/office/drawing/2014/main" xmlns="" id="{00000000-0008-0000-0300-0000E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3" name="Rectangle 975">
          <a:extLst>
            <a:ext uri="{FF2B5EF4-FFF2-40B4-BE49-F238E27FC236}">
              <a16:creationId xmlns:a16="http://schemas.microsoft.com/office/drawing/2014/main" xmlns="" id="{00000000-0008-0000-0300-0000E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4" name="Rectangle 976">
          <a:extLst>
            <a:ext uri="{FF2B5EF4-FFF2-40B4-BE49-F238E27FC236}">
              <a16:creationId xmlns:a16="http://schemas.microsoft.com/office/drawing/2014/main" xmlns="" id="{00000000-0008-0000-0300-0000E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5" name="Rectangle 977">
          <a:extLst>
            <a:ext uri="{FF2B5EF4-FFF2-40B4-BE49-F238E27FC236}">
              <a16:creationId xmlns:a16="http://schemas.microsoft.com/office/drawing/2014/main" xmlns="" id="{00000000-0008-0000-0300-0000E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6" name="Rectangle 978">
          <a:extLst>
            <a:ext uri="{FF2B5EF4-FFF2-40B4-BE49-F238E27FC236}">
              <a16:creationId xmlns:a16="http://schemas.microsoft.com/office/drawing/2014/main" xmlns="" id="{00000000-0008-0000-0300-0000E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7" name="Rectangle 979">
          <a:extLst>
            <a:ext uri="{FF2B5EF4-FFF2-40B4-BE49-F238E27FC236}">
              <a16:creationId xmlns:a16="http://schemas.microsoft.com/office/drawing/2014/main" xmlns="" id="{00000000-0008-0000-0300-0000E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8" name="Rectangle 980">
          <a:extLst>
            <a:ext uri="{FF2B5EF4-FFF2-40B4-BE49-F238E27FC236}">
              <a16:creationId xmlns:a16="http://schemas.microsoft.com/office/drawing/2014/main" xmlns="" id="{00000000-0008-0000-0300-0000F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9" name="Rectangle 981">
          <a:extLst>
            <a:ext uri="{FF2B5EF4-FFF2-40B4-BE49-F238E27FC236}">
              <a16:creationId xmlns:a16="http://schemas.microsoft.com/office/drawing/2014/main" xmlns="" id="{00000000-0008-0000-0300-0000F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0" name="Rectangle 982">
          <a:extLst>
            <a:ext uri="{FF2B5EF4-FFF2-40B4-BE49-F238E27FC236}">
              <a16:creationId xmlns:a16="http://schemas.microsoft.com/office/drawing/2014/main" xmlns="" id="{00000000-0008-0000-0300-0000F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1" name="Rectangle 983">
          <a:extLst>
            <a:ext uri="{FF2B5EF4-FFF2-40B4-BE49-F238E27FC236}">
              <a16:creationId xmlns:a16="http://schemas.microsoft.com/office/drawing/2014/main" xmlns="" id="{00000000-0008-0000-0300-0000F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2" name="Rectangle 984">
          <a:extLst>
            <a:ext uri="{FF2B5EF4-FFF2-40B4-BE49-F238E27FC236}">
              <a16:creationId xmlns:a16="http://schemas.microsoft.com/office/drawing/2014/main" xmlns="" id="{00000000-0008-0000-0300-0000F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3" name="Rectangle 985">
          <a:extLst>
            <a:ext uri="{FF2B5EF4-FFF2-40B4-BE49-F238E27FC236}">
              <a16:creationId xmlns:a16="http://schemas.microsoft.com/office/drawing/2014/main" xmlns="" id="{00000000-0008-0000-0300-0000F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4" name="Rectangle 986">
          <a:extLst>
            <a:ext uri="{FF2B5EF4-FFF2-40B4-BE49-F238E27FC236}">
              <a16:creationId xmlns:a16="http://schemas.microsoft.com/office/drawing/2014/main" xmlns="" id="{00000000-0008-0000-0300-0000F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5" name="Rectangle 987">
          <a:extLst>
            <a:ext uri="{FF2B5EF4-FFF2-40B4-BE49-F238E27FC236}">
              <a16:creationId xmlns:a16="http://schemas.microsoft.com/office/drawing/2014/main" xmlns="" id="{00000000-0008-0000-0300-0000F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6" name="Rectangle 988">
          <a:extLst>
            <a:ext uri="{FF2B5EF4-FFF2-40B4-BE49-F238E27FC236}">
              <a16:creationId xmlns:a16="http://schemas.microsoft.com/office/drawing/2014/main" xmlns="" id="{00000000-0008-0000-0300-0000F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7" name="Rectangle 989">
          <a:extLst>
            <a:ext uri="{FF2B5EF4-FFF2-40B4-BE49-F238E27FC236}">
              <a16:creationId xmlns:a16="http://schemas.microsoft.com/office/drawing/2014/main" xmlns="" id="{00000000-0008-0000-0300-0000F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8" name="Rectangle 990">
          <a:extLst>
            <a:ext uri="{FF2B5EF4-FFF2-40B4-BE49-F238E27FC236}">
              <a16:creationId xmlns:a16="http://schemas.microsoft.com/office/drawing/2014/main" xmlns="" id="{00000000-0008-0000-0300-0000F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9" name="Rectangle 991">
          <a:extLst>
            <a:ext uri="{FF2B5EF4-FFF2-40B4-BE49-F238E27FC236}">
              <a16:creationId xmlns:a16="http://schemas.microsoft.com/office/drawing/2014/main" xmlns="" id="{00000000-0008-0000-0300-0000F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0" name="Rectangle 992">
          <a:extLst>
            <a:ext uri="{FF2B5EF4-FFF2-40B4-BE49-F238E27FC236}">
              <a16:creationId xmlns:a16="http://schemas.microsoft.com/office/drawing/2014/main" xmlns="" id="{00000000-0008-0000-0300-0000F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1" name="Rectangle 993">
          <a:extLst>
            <a:ext uri="{FF2B5EF4-FFF2-40B4-BE49-F238E27FC236}">
              <a16:creationId xmlns:a16="http://schemas.microsoft.com/office/drawing/2014/main" xmlns="" id="{00000000-0008-0000-0300-0000F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2" name="Rectangle 994">
          <a:extLst>
            <a:ext uri="{FF2B5EF4-FFF2-40B4-BE49-F238E27FC236}">
              <a16:creationId xmlns:a16="http://schemas.microsoft.com/office/drawing/2014/main" xmlns="" id="{00000000-0008-0000-0300-0000F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3" name="Rectangle 995">
          <a:extLst>
            <a:ext uri="{FF2B5EF4-FFF2-40B4-BE49-F238E27FC236}">
              <a16:creationId xmlns:a16="http://schemas.microsoft.com/office/drawing/2014/main" xmlns="" id="{00000000-0008-0000-0300-0000F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4" name="Rectangle 996">
          <a:extLst>
            <a:ext uri="{FF2B5EF4-FFF2-40B4-BE49-F238E27FC236}">
              <a16:creationId xmlns:a16="http://schemas.microsoft.com/office/drawing/2014/main" xmlns="" id="{00000000-0008-0000-0300-00000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5" name="Rectangle 997">
          <a:extLst>
            <a:ext uri="{FF2B5EF4-FFF2-40B4-BE49-F238E27FC236}">
              <a16:creationId xmlns:a16="http://schemas.microsoft.com/office/drawing/2014/main" xmlns="" id="{00000000-0008-0000-0300-00000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6" name="Rectangle 998">
          <a:extLst>
            <a:ext uri="{FF2B5EF4-FFF2-40B4-BE49-F238E27FC236}">
              <a16:creationId xmlns:a16="http://schemas.microsoft.com/office/drawing/2014/main" xmlns="" id="{00000000-0008-0000-0300-00000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7" name="Rectangle 999">
          <a:extLst>
            <a:ext uri="{FF2B5EF4-FFF2-40B4-BE49-F238E27FC236}">
              <a16:creationId xmlns:a16="http://schemas.microsoft.com/office/drawing/2014/main" xmlns="" id="{00000000-0008-0000-0300-00000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8" name="Rectangle 1000">
          <a:extLst>
            <a:ext uri="{FF2B5EF4-FFF2-40B4-BE49-F238E27FC236}">
              <a16:creationId xmlns:a16="http://schemas.microsoft.com/office/drawing/2014/main" xmlns="" id="{00000000-0008-0000-0300-00000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9" name="Rectangle 1001">
          <a:extLst>
            <a:ext uri="{FF2B5EF4-FFF2-40B4-BE49-F238E27FC236}">
              <a16:creationId xmlns:a16="http://schemas.microsoft.com/office/drawing/2014/main" xmlns="" id="{00000000-0008-0000-0300-00000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0" name="Rectangle 1002">
          <a:extLst>
            <a:ext uri="{FF2B5EF4-FFF2-40B4-BE49-F238E27FC236}">
              <a16:creationId xmlns:a16="http://schemas.microsoft.com/office/drawing/2014/main" xmlns="" id="{00000000-0008-0000-0300-00000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1" name="Rectangle 1003">
          <a:extLst>
            <a:ext uri="{FF2B5EF4-FFF2-40B4-BE49-F238E27FC236}">
              <a16:creationId xmlns:a16="http://schemas.microsoft.com/office/drawing/2014/main" xmlns="" id="{00000000-0008-0000-0300-00000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2" name="Rectangle 1004">
          <a:extLst>
            <a:ext uri="{FF2B5EF4-FFF2-40B4-BE49-F238E27FC236}">
              <a16:creationId xmlns:a16="http://schemas.microsoft.com/office/drawing/2014/main" xmlns="" id="{00000000-0008-0000-0300-00000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3" name="Rectangle 1005">
          <a:extLst>
            <a:ext uri="{FF2B5EF4-FFF2-40B4-BE49-F238E27FC236}">
              <a16:creationId xmlns:a16="http://schemas.microsoft.com/office/drawing/2014/main" xmlns="" id="{00000000-0008-0000-0300-00000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4" name="Rectangle 1006">
          <a:extLst>
            <a:ext uri="{FF2B5EF4-FFF2-40B4-BE49-F238E27FC236}">
              <a16:creationId xmlns:a16="http://schemas.microsoft.com/office/drawing/2014/main" xmlns="" id="{00000000-0008-0000-0300-00000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5" name="Rectangle 1007">
          <a:extLst>
            <a:ext uri="{FF2B5EF4-FFF2-40B4-BE49-F238E27FC236}">
              <a16:creationId xmlns:a16="http://schemas.microsoft.com/office/drawing/2014/main" xmlns="" id="{00000000-0008-0000-0300-00000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6" name="Rectangle 1008">
          <a:extLst>
            <a:ext uri="{FF2B5EF4-FFF2-40B4-BE49-F238E27FC236}">
              <a16:creationId xmlns:a16="http://schemas.microsoft.com/office/drawing/2014/main" xmlns="" id="{00000000-0008-0000-0300-00000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7" name="Rectangle 1009">
          <a:extLst>
            <a:ext uri="{FF2B5EF4-FFF2-40B4-BE49-F238E27FC236}">
              <a16:creationId xmlns:a16="http://schemas.microsoft.com/office/drawing/2014/main" xmlns="" id="{00000000-0008-0000-0300-00000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8" name="Rectangle 1010">
          <a:extLst>
            <a:ext uri="{FF2B5EF4-FFF2-40B4-BE49-F238E27FC236}">
              <a16:creationId xmlns:a16="http://schemas.microsoft.com/office/drawing/2014/main" xmlns="" id="{00000000-0008-0000-0300-00000E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9" name="Rectangle 1011">
          <a:extLst>
            <a:ext uri="{FF2B5EF4-FFF2-40B4-BE49-F238E27FC236}">
              <a16:creationId xmlns:a16="http://schemas.microsoft.com/office/drawing/2014/main" xmlns="" id="{00000000-0008-0000-0300-00000F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0" name="Rectangle 966">
          <a:extLst>
            <a:ext uri="{FF2B5EF4-FFF2-40B4-BE49-F238E27FC236}">
              <a16:creationId xmlns:a16="http://schemas.microsoft.com/office/drawing/2014/main" xmlns="" id="{00000000-0008-0000-0300-00001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1" name="Rectangle 967">
          <a:extLst>
            <a:ext uri="{FF2B5EF4-FFF2-40B4-BE49-F238E27FC236}">
              <a16:creationId xmlns:a16="http://schemas.microsoft.com/office/drawing/2014/main" xmlns="" id="{00000000-0008-0000-0300-00001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2" name="Rectangle 968">
          <a:extLst>
            <a:ext uri="{FF2B5EF4-FFF2-40B4-BE49-F238E27FC236}">
              <a16:creationId xmlns:a16="http://schemas.microsoft.com/office/drawing/2014/main" xmlns="" id="{00000000-0008-0000-0300-00001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3" name="Rectangle 969">
          <a:extLst>
            <a:ext uri="{FF2B5EF4-FFF2-40B4-BE49-F238E27FC236}">
              <a16:creationId xmlns:a16="http://schemas.microsoft.com/office/drawing/2014/main" xmlns="" id="{00000000-0008-0000-0300-000013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4" name="Rectangle 970">
          <a:extLst>
            <a:ext uri="{FF2B5EF4-FFF2-40B4-BE49-F238E27FC236}">
              <a16:creationId xmlns:a16="http://schemas.microsoft.com/office/drawing/2014/main" xmlns="" id="{00000000-0008-0000-0300-000014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5" name="Rectangle 971">
          <a:extLst>
            <a:ext uri="{FF2B5EF4-FFF2-40B4-BE49-F238E27FC236}">
              <a16:creationId xmlns:a16="http://schemas.microsoft.com/office/drawing/2014/main" xmlns="" id="{00000000-0008-0000-0300-000015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6" name="Rectangle 972">
          <a:extLst>
            <a:ext uri="{FF2B5EF4-FFF2-40B4-BE49-F238E27FC236}">
              <a16:creationId xmlns:a16="http://schemas.microsoft.com/office/drawing/2014/main" xmlns="" id="{00000000-0008-0000-0300-000016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7" name="Rectangle 973">
          <a:extLst>
            <a:ext uri="{FF2B5EF4-FFF2-40B4-BE49-F238E27FC236}">
              <a16:creationId xmlns:a16="http://schemas.microsoft.com/office/drawing/2014/main" xmlns="" id="{00000000-0008-0000-0300-000017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8" name="Rectangle 974">
          <a:extLst>
            <a:ext uri="{FF2B5EF4-FFF2-40B4-BE49-F238E27FC236}">
              <a16:creationId xmlns:a16="http://schemas.microsoft.com/office/drawing/2014/main" xmlns="" id="{00000000-0008-0000-0300-000018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9" name="Rectangle 975">
          <a:extLst>
            <a:ext uri="{FF2B5EF4-FFF2-40B4-BE49-F238E27FC236}">
              <a16:creationId xmlns:a16="http://schemas.microsoft.com/office/drawing/2014/main" xmlns="" id="{00000000-0008-0000-0300-000019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0" name="Rectangle 976">
          <a:extLst>
            <a:ext uri="{FF2B5EF4-FFF2-40B4-BE49-F238E27FC236}">
              <a16:creationId xmlns:a16="http://schemas.microsoft.com/office/drawing/2014/main" xmlns="" id="{00000000-0008-0000-0300-00001A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1" name="Rectangle 977">
          <a:extLst>
            <a:ext uri="{FF2B5EF4-FFF2-40B4-BE49-F238E27FC236}">
              <a16:creationId xmlns:a16="http://schemas.microsoft.com/office/drawing/2014/main" xmlns="" id="{00000000-0008-0000-0300-00001B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2" name="Rectangle 978">
          <a:extLst>
            <a:ext uri="{FF2B5EF4-FFF2-40B4-BE49-F238E27FC236}">
              <a16:creationId xmlns:a16="http://schemas.microsoft.com/office/drawing/2014/main" xmlns="" id="{00000000-0008-0000-0300-00001C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3" name="Rectangle 979">
          <a:extLst>
            <a:ext uri="{FF2B5EF4-FFF2-40B4-BE49-F238E27FC236}">
              <a16:creationId xmlns:a16="http://schemas.microsoft.com/office/drawing/2014/main" xmlns="" id="{00000000-0008-0000-0300-00001D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4" name="Rectangle 980">
          <a:extLst>
            <a:ext uri="{FF2B5EF4-FFF2-40B4-BE49-F238E27FC236}">
              <a16:creationId xmlns:a16="http://schemas.microsoft.com/office/drawing/2014/main" xmlns="" id="{00000000-0008-0000-0300-00001E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5" name="Rectangle 981">
          <a:extLst>
            <a:ext uri="{FF2B5EF4-FFF2-40B4-BE49-F238E27FC236}">
              <a16:creationId xmlns:a16="http://schemas.microsoft.com/office/drawing/2014/main" xmlns="" id="{00000000-0008-0000-0300-00001F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6" name="Rectangle 982">
          <a:extLst>
            <a:ext uri="{FF2B5EF4-FFF2-40B4-BE49-F238E27FC236}">
              <a16:creationId xmlns:a16="http://schemas.microsoft.com/office/drawing/2014/main" xmlns="" id="{00000000-0008-0000-0300-000020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7" name="Rectangle 983">
          <a:extLst>
            <a:ext uri="{FF2B5EF4-FFF2-40B4-BE49-F238E27FC236}">
              <a16:creationId xmlns:a16="http://schemas.microsoft.com/office/drawing/2014/main" xmlns="" id="{00000000-0008-0000-0300-000021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8" name="Rectangle 984">
          <a:extLst>
            <a:ext uri="{FF2B5EF4-FFF2-40B4-BE49-F238E27FC236}">
              <a16:creationId xmlns:a16="http://schemas.microsoft.com/office/drawing/2014/main" xmlns="" id="{00000000-0008-0000-0300-000022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9" name="Rectangle 985">
          <a:extLst>
            <a:ext uri="{FF2B5EF4-FFF2-40B4-BE49-F238E27FC236}">
              <a16:creationId xmlns:a16="http://schemas.microsoft.com/office/drawing/2014/main" xmlns="" id="{00000000-0008-0000-0300-00002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0" name="Rectangle 986">
          <a:extLst>
            <a:ext uri="{FF2B5EF4-FFF2-40B4-BE49-F238E27FC236}">
              <a16:creationId xmlns:a16="http://schemas.microsoft.com/office/drawing/2014/main" xmlns="" id="{00000000-0008-0000-0300-000024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1" name="Rectangle 987">
          <a:extLst>
            <a:ext uri="{FF2B5EF4-FFF2-40B4-BE49-F238E27FC236}">
              <a16:creationId xmlns:a16="http://schemas.microsoft.com/office/drawing/2014/main" xmlns="" id="{00000000-0008-0000-0300-000025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2" name="Rectangle 988">
          <a:extLst>
            <a:ext uri="{FF2B5EF4-FFF2-40B4-BE49-F238E27FC236}">
              <a16:creationId xmlns:a16="http://schemas.microsoft.com/office/drawing/2014/main" xmlns="" id="{00000000-0008-0000-0300-000026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3" name="Rectangle 989">
          <a:extLst>
            <a:ext uri="{FF2B5EF4-FFF2-40B4-BE49-F238E27FC236}">
              <a16:creationId xmlns:a16="http://schemas.microsoft.com/office/drawing/2014/main" xmlns="" id="{00000000-0008-0000-0300-000027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4" name="Rectangle 990">
          <a:extLst>
            <a:ext uri="{FF2B5EF4-FFF2-40B4-BE49-F238E27FC236}">
              <a16:creationId xmlns:a16="http://schemas.microsoft.com/office/drawing/2014/main" xmlns="" id="{00000000-0008-0000-0300-000028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5" name="Rectangle 991">
          <a:extLst>
            <a:ext uri="{FF2B5EF4-FFF2-40B4-BE49-F238E27FC236}">
              <a16:creationId xmlns:a16="http://schemas.microsoft.com/office/drawing/2014/main" xmlns="" id="{00000000-0008-0000-0300-000029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6" name="Rectangle 992">
          <a:extLst>
            <a:ext uri="{FF2B5EF4-FFF2-40B4-BE49-F238E27FC236}">
              <a16:creationId xmlns:a16="http://schemas.microsoft.com/office/drawing/2014/main" xmlns="" id="{00000000-0008-0000-0300-00002A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7" name="Rectangle 993">
          <a:extLst>
            <a:ext uri="{FF2B5EF4-FFF2-40B4-BE49-F238E27FC236}">
              <a16:creationId xmlns:a16="http://schemas.microsoft.com/office/drawing/2014/main" xmlns="" id="{00000000-0008-0000-0300-00002B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8" name="Rectangle 994">
          <a:extLst>
            <a:ext uri="{FF2B5EF4-FFF2-40B4-BE49-F238E27FC236}">
              <a16:creationId xmlns:a16="http://schemas.microsoft.com/office/drawing/2014/main" xmlns="" id="{00000000-0008-0000-0300-00002C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9" name="Rectangle 995">
          <a:extLst>
            <a:ext uri="{FF2B5EF4-FFF2-40B4-BE49-F238E27FC236}">
              <a16:creationId xmlns:a16="http://schemas.microsoft.com/office/drawing/2014/main" xmlns="" id="{00000000-0008-0000-0300-00002D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90" name="Rectangle 996">
          <a:extLst>
            <a:ext uri="{FF2B5EF4-FFF2-40B4-BE49-F238E27FC236}">
              <a16:creationId xmlns:a16="http://schemas.microsoft.com/office/drawing/2014/main" xmlns="" id="{00000000-0008-0000-0300-00002E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1" name="Rectangle 997">
          <a:extLst>
            <a:ext uri="{FF2B5EF4-FFF2-40B4-BE49-F238E27FC236}">
              <a16:creationId xmlns:a16="http://schemas.microsoft.com/office/drawing/2014/main" xmlns="" id="{00000000-0008-0000-0300-00002F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92" name="Rectangle 998">
          <a:extLst>
            <a:ext uri="{FF2B5EF4-FFF2-40B4-BE49-F238E27FC236}">
              <a16:creationId xmlns:a16="http://schemas.microsoft.com/office/drawing/2014/main" xmlns="" id="{00000000-0008-0000-0300-000030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3" name="Rectangle 999">
          <a:extLst>
            <a:ext uri="{FF2B5EF4-FFF2-40B4-BE49-F238E27FC236}">
              <a16:creationId xmlns:a16="http://schemas.microsoft.com/office/drawing/2014/main" xmlns="" id="{00000000-0008-0000-0300-00003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4" name="Rectangle 1000">
          <a:extLst>
            <a:ext uri="{FF2B5EF4-FFF2-40B4-BE49-F238E27FC236}">
              <a16:creationId xmlns:a16="http://schemas.microsoft.com/office/drawing/2014/main" xmlns="" id="{00000000-0008-0000-0300-000032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5" name="Rectangle 1001">
          <a:extLst>
            <a:ext uri="{FF2B5EF4-FFF2-40B4-BE49-F238E27FC236}">
              <a16:creationId xmlns:a16="http://schemas.microsoft.com/office/drawing/2014/main" xmlns="" id="{00000000-0008-0000-0300-000033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6" name="Rectangle 1002">
          <a:extLst>
            <a:ext uri="{FF2B5EF4-FFF2-40B4-BE49-F238E27FC236}">
              <a16:creationId xmlns:a16="http://schemas.microsoft.com/office/drawing/2014/main" xmlns="" id="{00000000-0008-0000-0300-00003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7" name="Rectangle 1003">
          <a:extLst>
            <a:ext uri="{FF2B5EF4-FFF2-40B4-BE49-F238E27FC236}">
              <a16:creationId xmlns:a16="http://schemas.microsoft.com/office/drawing/2014/main" xmlns="" id="{00000000-0008-0000-0300-00003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8" name="Rectangle 1004">
          <a:extLst>
            <a:ext uri="{FF2B5EF4-FFF2-40B4-BE49-F238E27FC236}">
              <a16:creationId xmlns:a16="http://schemas.microsoft.com/office/drawing/2014/main" xmlns="" id="{00000000-0008-0000-0300-00003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9" name="Rectangle 1005">
          <a:extLst>
            <a:ext uri="{FF2B5EF4-FFF2-40B4-BE49-F238E27FC236}">
              <a16:creationId xmlns:a16="http://schemas.microsoft.com/office/drawing/2014/main" xmlns="" id="{00000000-0008-0000-0300-00003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0" name="Rectangle 1006">
          <a:extLst>
            <a:ext uri="{FF2B5EF4-FFF2-40B4-BE49-F238E27FC236}">
              <a16:creationId xmlns:a16="http://schemas.microsoft.com/office/drawing/2014/main" xmlns="" id="{00000000-0008-0000-0300-00003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1" name="Rectangle 1007">
          <a:extLst>
            <a:ext uri="{FF2B5EF4-FFF2-40B4-BE49-F238E27FC236}">
              <a16:creationId xmlns:a16="http://schemas.microsoft.com/office/drawing/2014/main" xmlns="" id="{00000000-0008-0000-0300-00003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2" name="Rectangle 1008">
          <a:extLst>
            <a:ext uri="{FF2B5EF4-FFF2-40B4-BE49-F238E27FC236}">
              <a16:creationId xmlns:a16="http://schemas.microsoft.com/office/drawing/2014/main" xmlns="" id="{00000000-0008-0000-0300-00003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3" name="Rectangle 1009">
          <a:extLst>
            <a:ext uri="{FF2B5EF4-FFF2-40B4-BE49-F238E27FC236}">
              <a16:creationId xmlns:a16="http://schemas.microsoft.com/office/drawing/2014/main" xmlns="" id="{00000000-0008-0000-0300-00003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4" name="Rectangle 1010">
          <a:extLst>
            <a:ext uri="{FF2B5EF4-FFF2-40B4-BE49-F238E27FC236}">
              <a16:creationId xmlns:a16="http://schemas.microsoft.com/office/drawing/2014/main" xmlns="" id="{00000000-0008-0000-0300-00003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5" name="Rectangle 1011">
          <a:extLst>
            <a:ext uri="{FF2B5EF4-FFF2-40B4-BE49-F238E27FC236}">
              <a16:creationId xmlns:a16="http://schemas.microsoft.com/office/drawing/2014/main" xmlns="" id="{00000000-0008-0000-0300-00003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6" name="Rectangle 1012">
          <a:extLst>
            <a:ext uri="{FF2B5EF4-FFF2-40B4-BE49-F238E27FC236}">
              <a16:creationId xmlns:a16="http://schemas.microsoft.com/office/drawing/2014/main" xmlns="" id="{00000000-0008-0000-0300-00003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07" name="Rectangle 1013">
          <a:extLst>
            <a:ext uri="{FF2B5EF4-FFF2-40B4-BE49-F238E27FC236}">
              <a16:creationId xmlns:a16="http://schemas.microsoft.com/office/drawing/2014/main" xmlns="" id="{00000000-0008-0000-0300-00003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08" name="Rectangle 1014">
          <a:extLst>
            <a:ext uri="{FF2B5EF4-FFF2-40B4-BE49-F238E27FC236}">
              <a16:creationId xmlns:a16="http://schemas.microsoft.com/office/drawing/2014/main" xmlns="" id="{00000000-0008-0000-0300-00004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9" name="Rectangle 1015">
          <a:extLst>
            <a:ext uri="{FF2B5EF4-FFF2-40B4-BE49-F238E27FC236}">
              <a16:creationId xmlns:a16="http://schemas.microsoft.com/office/drawing/2014/main" xmlns="" id="{00000000-0008-0000-0300-00004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0" name="Rectangle 1016">
          <a:extLst>
            <a:ext uri="{FF2B5EF4-FFF2-40B4-BE49-F238E27FC236}">
              <a16:creationId xmlns:a16="http://schemas.microsoft.com/office/drawing/2014/main" xmlns="" id="{00000000-0008-0000-0300-00004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1" name="Rectangle 1017">
          <a:extLst>
            <a:ext uri="{FF2B5EF4-FFF2-40B4-BE49-F238E27FC236}">
              <a16:creationId xmlns:a16="http://schemas.microsoft.com/office/drawing/2014/main" xmlns="" id="{00000000-0008-0000-0300-00004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2" name="Rectangle 1018">
          <a:extLst>
            <a:ext uri="{FF2B5EF4-FFF2-40B4-BE49-F238E27FC236}">
              <a16:creationId xmlns:a16="http://schemas.microsoft.com/office/drawing/2014/main" xmlns="" id="{00000000-0008-0000-0300-00004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3" name="Rectangle 1019">
          <a:extLst>
            <a:ext uri="{FF2B5EF4-FFF2-40B4-BE49-F238E27FC236}">
              <a16:creationId xmlns:a16="http://schemas.microsoft.com/office/drawing/2014/main" xmlns="" id="{00000000-0008-0000-0300-00004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4" name="Rectangle 1020">
          <a:extLst>
            <a:ext uri="{FF2B5EF4-FFF2-40B4-BE49-F238E27FC236}">
              <a16:creationId xmlns:a16="http://schemas.microsoft.com/office/drawing/2014/main" xmlns="" id="{00000000-0008-0000-0300-00004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5" name="Rectangle 1021">
          <a:extLst>
            <a:ext uri="{FF2B5EF4-FFF2-40B4-BE49-F238E27FC236}">
              <a16:creationId xmlns:a16="http://schemas.microsoft.com/office/drawing/2014/main" xmlns="" id="{00000000-0008-0000-0300-00004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6" name="Rectangle 1022">
          <a:extLst>
            <a:ext uri="{FF2B5EF4-FFF2-40B4-BE49-F238E27FC236}">
              <a16:creationId xmlns:a16="http://schemas.microsoft.com/office/drawing/2014/main" xmlns="" id="{00000000-0008-0000-0300-00004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7" name="Rectangle 1023">
          <a:extLst>
            <a:ext uri="{FF2B5EF4-FFF2-40B4-BE49-F238E27FC236}">
              <a16:creationId xmlns:a16="http://schemas.microsoft.com/office/drawing/2014/main" xmlns="" id="{00000000-0008-0000-0300-00004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8" name="Rectangle 1024">
          <a:extLst>
            <a:ext uri="{FF2B5EF4-FFF2-40B4-BE49-F238E27FC236}">
              <a16:creationId xmlns:a16="http://schemas.microsoft.com/office/drawing/2014/main" xmlns="" id="{00000000-0008-0000-0300-00004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9" name="Rectangle 1025">
          <a:extLst>
            <a:ext uri="{FF2B5EF4-FFF2-40B4-BE49-F238E27FC236}">
              <a16:creationId xmlns:a16="http://schemas.microsoft.com/office/drawing/2014/main" xmlns="" id="{00000000-0008-0000-0300-00004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0" name="Rectangle 1026">
          <a:extLst>
            <a:ext uri="{FF2B5EF4-FFF2-40B4-BE49-F238E27FC236}">
              <a16:creationId xmlns:a16="http://schemas.microsoft.com/office/drawing/2014/main" xmlns="" id="{00000000-0008-0000-0300-00004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1" name="Rectangle 1027">
          <a:extLst>
            <a:ext uri="{FF2B5EF4-FFF2-40B4-BE49-F238E27FC236}">
              <a16:creationId xmlns:a16="http://schemas.microsoft.com/office/drawing/2014/main" xmlns="" id="{00000000-0008-0000-0300-00004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2" name="Rectangle 1028">
          <a:extLst>
            <a:ext uri="{FF2B5EF4-FFF2-40B4-BE49-F238E27FC236}">
              <a16:creationId xmlns:a16="http://schemas.microsoft.com/office/drawing/2014/main" xmlns="" id="{00000000-0008-0000-0300-00004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3" name="Rectangle 1029">
          <a:extLst>
            <a:ext uri="{FF2B5EF4-FFF2-40B4-BE49-F238E27FC236}">
              <a16:creationId xmlns:a16="http://schemas.microsoft.com/office/drawing/2014/main" xmlns="" id="{00000000-0008-0000-0300-00004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4" name="Rectangle 1030">
          <a:extLst>
            <a:ext uri="{FF2B5EF4-FFF2-40B4-BE49-F238E27FC236}">
              <a16:creationId xmlns:a16="http://schemas.microsoft.com/office/drawing/2014/main" xmlns="" id="{00000000-0008-0000-0300-00005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5" name="Rectangle 1031">
          <a:extLst>
            <a:ext uri="{FF2B5EF4-FFF2-40B4-BE49-F238E27FC236}">
              <a16:creationId xmlns:a16="http://schemas.microsoft.com/office/drawing/2014/main" xmlns="" id="{00000000-0008-0000-0300-00005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6" name="Rectangle 1032">
          <a:extLst>
            <a:ext uri="{FF2B5EF4-FFF2-40B4-BE49-F238E27FC236}">
              <a16:creationId xmlns:a16="http://schemas.microsoft.com/office/drawing/2014/main" xmlns="" id="{00000000-0008-0000-0300-00005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7" name="Rectangle 1033">
          <a:extLst>
            <a:ext uri="{FF2B5EF4-FFF2-40B4-BE49-F238E27FC236}">
              <a16:creationId xmlns:a16="http://schemas.microsoft.com/office/drawing/2014/main" xmlns="" id="{00000000-0008-0000-0300-00005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8" name="Rectangle 1034">
          <a:extLst>
            <a:ext uri="{FF2B5EF4-FFF2-40B4-BE49-F238E27FC236}">
              <a16:creationId xmlns:a16="http://schemas.microsoft.com/office/drawing/2014/main" xmlns="" id="{00000000-0008-0000-0300-00005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9" name="Rectangle 1035">
          <a:extLst>
            <a:ext uri="{FF2B5EF4-FFF2-40B4-BE49-F238E27FC236}">
              <a16:creationId xmlns:a16="http://schemas.microsoft.com/office/drawing/2014/main" xmlns="" id="{00000000-0008-0000-0300-00005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0" name="Rectangle 1036">
          <a:extLst>
            <a:ext uri="{FF2B5EF4-FFF2-40B4-BE49-F238E27FC236}">
              <a16:creationId xmlns:a16="http://schemas.microsoft.com/office/drawing/2014/main" xmlns="" id="{00000000-0008-0000-0300-00005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1" name="Rectangle 1037">
          <a:extLst>
            <a:ext uri="{FF2B5EF4-FFF2-40B4-BE49-F238E27FC236}">
              <a16:creationId xmlns:a16="http://schemas.microsoft.com/office/drawing/2014/main" xmlns="" id="{00000000-0008-0000-0300-00005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2" name="Rectangle 1038">
          <a:extLst>
            <a:ext uri="{FF2B5EF4-FFF2-40B4-BE49-F238E27FC236}">
              <a16:creationId xmlns:a16="http://schemas.microsoft.com/office/drawing/2014/main" xmlns="" id="{00000000-0008-0000-0300-00005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3" name="Rectangle 1039">
          <a:extLst>
            <a:ext uri="{FF2B5EF4-FFF2-40B4-BE49-F238E27FC236}">
              <a16:creationId xmlns:a16="http://schemas.microsoft.com/office/drawing/2014/main" xmlns="" id="{00000000-0008-0000-0300-00005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4" name="Rectangle 1040">
          <a:extLst>
            <a:ext uri="{FF2B5EF4-FFF2-40B4-BE49-F238E27FC236}">
              <a16:creationId xmlns:a16="http://schemas.microsoft.com/office/drawing/2014/main" xmlns="" id="{00000000-0008-0000-0300-00005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5" name="Rectangle 1041">
          <a:extLst>
            <a:ext uri="{FF2B5EF4-FFF2-40B4-BE49-F238E27FC236}">
              <a16:creationId xmlns:a16="http://schemas.microsoft.com/office/drawing/2014/main" xmlns="" id="{00000000-0008-0000-0300-00005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6" name="Rectangle 1042">
          <a:extLst>
            <a:ext uri="{FF2B5EF4-FFF2-40B4-BE49-F238E27FC236}">
              <a16:creationId xmlns:a16="http://schemas.microsoft.com/office/drawing/2014/main" xmlns="" id="{00000000-0008-0000-0300-00005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7" name="Rectangle 1043">
          <a:extLst>
            <a:ext uri="{FF2B5EF4-FFF2-40B4-BE49-F238E27FC236}">
              <a16:creationId xmlns:a16="http://schemas.microsoft.com/office/drawing/2014/main" xmlns="" id="{00000000-0008-0000-0300-00005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8" name="Rectangle 1044">
          <a:extLst>
            <a:ext uri="{FF2B5EF4-FFF2-40B4-BE49-F238E27FC236}">
              <a16:creationId xmlns:a16="http://schemas.microsoft.com/office/drawing/2014/main" xmlns="" id="{00000000-0008-0000-0300-00005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9" name="Rectangle 1045">
          <a:extLst>
            <a:ext uri="{FF2B5EF4-FFF2-40B4-BE49-F238E27FC236}">
              <a16:creationId xmlns:a16="http://schemas.microsoft.com/office/drawing/2014/main" xmlns="" id="{00000000-0008-0000-0300-00005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0" name="Rectangle 1046">
          <a:extLst>
            <a:ext uri="{FF2B5EF4-FFF2-40B4-BE49-F238E27FC236}">
              <a16:creationId xmlns:a16="http://schemas.microsoft.com/office/drawing/2014/main" xmlns="" id="{00000000-0008-0000-0300-000060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1" name="Rectangle 1047">
          <a:extLst>
            <a:ext uri="{FF2B5EF4-FFF2-40B4-BE49-F238E27FC236}">
              <a16:creationId xmlns:a16="http://schemas.microsoft.com/office/drawing/2014/main" xmlns="" id="{00000000-0008-0000-0300-000061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2" name="Rectangle 1048">
          <a:extLst>
            <a:ext uri="{FF2B5EF4-FFF2-40B4-BE49-F238E27FC236}">
              <a16:creationId xmlns:a16="http://schemas.microsoft.com/office/drawing/2014/main" xmlns="" id="{00000000-0008-0000-0300-000062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3" name="Rectangle 1049">
          <a:extLst>
            <a:ext uri="{FF2B5EF4-FFF2-40B4-BE49-F238E27FC236}">
              <a16:creationId xmlns:a16="http://schemas.microsoft.com/office/drawing/2014/main" xmlns="" id="{00000000-0008-0000-0300-000063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4" name="Rectangle 1050">
          <a:extLst>
            <a:ext uri="{FF2B5EF4-FFF2-40B4-BE49-F238E27FC236}">
              <a16:creationId xmlns:a16="http://schemas.microsoft.com/office/drawing/2014/main" xmlns="" id="{00000000-0008-0000-0300-000064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5" name="Rectangle 1051">
          <a:extLst>
            <a:ext uri="{FF2B5EF4-FFF2-40B4-BE49-F238E27FC236}">
              <a16:creationId xmlns:a16="http://schemas.microsoft.com/office/drawing/2014/main" xmlns="" id="{00000000-0008-0000-0300-000065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6" name="Rectangle 1052">
          <a:extLst>
            <a:ext uri="{FF2B5EF4-FFF2-40B4-BE49-F238E27FC236}">
              <a16:creationId xmlns:a16="http://schemas.microsoft.com/office/drawing/2014/main" xmlns="" id="{00000000-0008-0000-0300-000066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7" name="Rectangle 1053">
          <a:extLst>
            <a:ext uri="{FF2B5EF4-FFF2-40B4-BE49-F238E27FC236}">
              <a16:creationId xmlns:a16="http://schemas.microsoft.com/office/drawing/2014/main" xmlns="" id="{00000000-0008-0000-0300-000067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8" name="Rectangle 1054">
          <a:extLst>
            <a:ext uri="{FF2B5EF4-FFF2-40B4-BE49-F238E27FC236}">
              <a16:creationId xmlns:a16="http://schemas.microsoft.com/office/drawing/2014/main" xmlns="" id="{00000000-0008-0000-0300-000068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9" name="Rectangle 1055">
          <a:extLst>
            <a:ext uri="{FF2B5EF4-FFF2-40B4-BE49-F238E27FC236}">
              <a16:creationId xmlns:a16="http://schemas.microsoft.com/office/drawing/2014/main" xmlns="" id="{00000000-0008-0000-0300-000069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0" name="Rectangle 1056">
          <a:extLst>
            <a:ext uri="{FF2B5EF4-FFF2-40B4-BE49-F238E27FC236}">
              <a16:creationId xmlns:a16="http://schemas.microsoft.com/office/drawing/2014/main" xmlns="" id="{00000000-0008-0000-0300-00006A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1" name="Rectangle 1057">
          <a:extLst>
            <a:ext uri="{FF2B5EF4-FFF2-40B4-BE49-F238E27FC236}">
              <a16:creationId xmlns:a16="http://schemas.microsoft.com/office/drawing/2014/main" xmlns="" id="{00000000-0008-0000-0300-00006B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2" name="Rectangle 1121">
          <a:extLst>
            <a:ext uri="{FF2B5EF4-FFF2-40B4-BE49-F238E27FC236}">
              <a16:creationId xmlns:a16="http://schemas.microsoft.com/office/drawing/2014/main" xmlns="" id="{00000000-0008-0000-0300-00006C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3" name="Rectangle 1122">
          <a:extLst>
            <a:ext uri="{FF2B5EF4-FFF2-40B4-BE49-F238E27FC236}">
              <a16:creationId xmlns:a16="http://schemas.microsoft.com/office/drawing/2014/main" xmlns="" id="{00000000-0008-0000-0300-00006D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4" name="Rectangle 1123">
          <a:extLst>
            <a:ext uri="{FF2B5EF4-FFF2-40B4-BE49-F238E27FC236}">
              <a16:creationId xmlns:a16="http://schemas.microsoft.com/office/drawing/2014/main" xmlns="" id="{00000000-0008-0000-0300-00006E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5" name="Rectangle 1124">
          <a:extLst>
            <a:ext uri="{FF2B5EF4-FFF2-40B4-BE49-F238E27FC236}">
              <a16:creationId xmlns:a16="http://schemas.microsoft.com/office/drawing/2014/main" xmlns="" id="{00000000-0008-0000-0300-00006F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6" name="Rectangle 1125">
          <a:extLst>
            <a:ext uri="{FF2B5EF4-FFF2-40B4-BE49-F238E27FC236}">
              <a16:creationId xmlns:a16="http://schemas.microsoft.com/office/drawing/2014/main" xmlns="" id="{00000000-0008-0000-0300-000070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7" name="Rectangle 1126">
          <a:extLst>
            <a:ext uri="{FF2B5EF4-FFF2-40B4-BE49-F238E27FC236}">
              <a16:creationId xmlns:a16="http://schemas.microsoft.com/office/drawing/2014/main" xmlns="" id="{00000000-0008-0000-0300-000071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8" name="Rectangle 1127">
          <a:extLst>
            <a:ext uri="{FF2B5EF4-FFF2-40B4-BE49-F238E27FC236}">
              <a16:creationId xmlns:a16="http://schemas.microsoft.com/office/drawing/2014/main" xmlns="" id="{00000000-0008-0000-0300-000072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9" name="Rectangle 1128">
          <a:extLst>
            <a:ext uri="{FF2B5EF4-FFF2-40B4-BE49-F238E27FC236}">
              <a16:creationId xmlns:a16="http://schemas.microsoft.com/office/drawing/2014/main" xmlns="" id="{00000000-0008-0000-0300-000073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0" name="Rectangle 1129">
          <a:extLst>
            <a:ext uri="{FF2B5EF4-FFF2-40B4-BE49-F238E27FC236}">
              <a16:creationId xmlns:a16="http://schemas.microsoft.com/office/drawing/2014/main" xmlns="" id="{00000000-0008-0000-0300-000074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1" name="Rectangle 1130">
          <a:extLst>
            <a:ext uri="{FF2B5EF4-FFF2-40B4-BE49-F238E27FC236}">
              <a16:creationId xmlns:a16="http://schemas.microsoft.com/office/drawing/2014/main" xmlns="" id="{00000000-0008-0000-0300-000075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2" name="Rectangle 1131">
          <a:extLst>
            <a:ext uri="{FF2B5EF4-FFF2-40B4-BE49-F238E27FC236}">
              <a16:creationId xmlns:a16="http://schemas.microsoft.com/office/drawing/2014/main" xmlns="" id="{00000000-0008-0000-0300-000076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3" name="Rectangle 1132">
          <a:extLst>
            <a:ext uri="{FF2B5EF4-FFF2-40B4-BE49-F238E27FC236}">
              <a16:creationId xmlns:a16="http://schemas.microsoft.com/office/drawing/2014/main" xmlns="" id="{00000000-0008-0000-0300-000077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4" name="Rectangle 1133">
          <a:extLst>
            <a:ext uri="{FF2B5EF4-FFF2-40B4-BE49-F238E27FC236}">
              <a16:creationId xmlns:a16="http://schemas.microsoft.com/office/drawing/2014/main" xmlns="" id="{00000000-0008-0000-0300-000078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5" name="Rectangle 1134">
          <a:extLst>
            <a:ext uri="{FF2B5EF4-FFF2-40B4-BE49-F238E27FC236}">
              <a16:creationId xmlns:a16="http://schemas.microsoft.com/office/drawing/2014/main" xmlns="" id="{00000000-0008-0000-0300-00007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6" name="Rectangle 1135">
          <a:extLst>
            <a:ext uri="{FF2B5EF4-FFF2-40B4-BE49-F238E27FC236}">
              <a16:creationId xmlns:a16="http://schemas.microsoft.com/office/drawing/2014/main" xmlns="" id="{00000000-0008-0000-0300-00007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7" name="Rectangle 1136">
          <a:extLst>
            <a:ext uri="{FF2B5EF4-FFF2-40B4-BE49-F238E27FC236}">
              <a16:creationId xmlns:a16="http://schemas.microsoft.com/office/drawing/2014/main" xmlns="" id="{00000000-0008-0000-0300-00007B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8" name="Rectangle 1137">
          <a:extLst>
            <a:ext uri="{FF2B5EF4-FFF2-40B4-BE49-F238E27FC236}">
              <a16:creationId xmlns:a16="http://schemas.microsoft.com/office/drawing/2014/main" xmlns="" id="{00000000-0008-0000-0300-00007C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9" name="Rectangle 1138">
          <a:extLst>
            <a:ext uri="{FF2B5EF4-FFF2-40B4-BE49-F238E27FC236}">
              <a16:creationId xmlns:a16="http://schemas.microsoft.com/office/drawing/2014/main" xmlns="" id="{00000000-0008-0000-0300-00007D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0" name="Rectangle 1139">
          <a:extLst>
            <a:ext uri="{FF2B5EF4-FFF2-40B4-BE49-F238E27FC236}">
              <a16:creationId xmlns:a16="http://schemas.microsoft.com/office/drawing/2014/main" xmlns="" id="{00000000-0008-0000-0300-00007E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1" name="Rectangle 1140">
          <a:extLst>
            <a:ext uri="{FF2B5EF4-FFF2-40B4-BE49-F238E27FC236}">
              <a16:creationId xmlns:a16="http://schemas.microsoft.com/office/drawing/2014/main" xmlns="" id="{00000000-0008-0000-0300-00007F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2" name="Rectangle 1141">
          <a:extLst>
            <a:ext uri="{FF2B5EF4-FFF2-40B4-BE49-F238E27FC236}">
              <a16:creationId xmlns:a16="http://schemas.microsoft.com/office/drawing/2014/main" xmlns="" id="{00000000-0008-0000-0300-000080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3" name="Rectangle 1142">
          <a:extLst>
            <a:ext uri="{FF2B5EF4-FFF2-40B4-BE49-F238E27FC236}">
              <a16:creationId xmlns:a16="http://schemas.microsoft.com/office/drawing/2014/main" xmlns="" id="{00000000-0008-0000-0300-000081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4" name="Rectangle 1143">
          <a:extLst>
            <a:ext uri="{FF2B5EF4-FFF2-40B4-BE49-F238E27FC236}">
              <a16:creationId xmlns:a16="http://schemas.microsoft.com/office/drawing/2014/main" xmlns="" id="{00000000-0008-0000-0300-000082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5" name="Rectangle 1144">
          <a:extLst>
            <a:ext uri="{FF2B5EF4-FFF2-40B4-BE49-F238E27FC236}">
              <a16:creationId xmlns:a16="http://schemas.microsoft.com/office/drawing/2014/main" xmlns="" id="{00000000-0008-0000-0300-000083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6" name="Rectangle 1145">
          <a:extLst>
            <a:ext uri="{FF2B5EF4-FFF2-40B4-BE49-F238E27FC236}">
              <a16:creationId xmlns:a16="http://schemas.microsoft.com/office/drawing/2014/main" xmlns="" id="{00000000-0008-0000-0300-00008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7" name="Rectangle 1146">
          <a:extLst>
            <a:ext uri="{FF2B5EF4-FFF2-40B4-BE49-F238E27FC236}">
              <a16:creationId xmlns:a16="http://schemas.microsoft.com/office/drawing/2014/main" xmlns="" id="{00000000-0008-0000-0300-00008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8" name="Rectangle 1147">
          <a:extLst>
            <a:ext uri="{FF2B5EF4-FFF2-40B4-BE49-F238E27FC236}">
              <a16:creationId xmlns:a16="http://schemas.microsoft.com/office/drawing/2014/main" xmlns="" id="{00000000-0008-0000-0300-00008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9" name="Rectangle 1148">
          <a:extLst>
            <a:ext uri="{FF2B5EF4-FFF2-40B4-BE49-F238E27FC236}">
              <a16:creationId xmlns:a16="http://schemas.microsoft.com/office/drawing/2014/main" xmlns="" id="{00000000-0008-0000-0300-000087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0" name="Rectangle 1149">
          <a:extLst>
            <a:ext uri="{FF2B5EF4-FFF2-40B4-BE49-F238E27FC236}">
              <a16:creationId xmlns:a16="http://schemas.microsoft.com/office/drawing/2014/main" xmlns="" id="{00000000-0008-0000-0300-000088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1" name="Rectangle 1150">
          <a:extLst>
            <a:ext uri="{FF2B5EF4-FFF2-40B4-BE49-F238E27FC236}">
              <a16:creationId xmlns:a16="http://schemas.microsoft.com/office/drawing/2014/main" xmlns="" id="{00000000-0008-0000-0300-00008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2" name="Rectangle 1151">
          <a:extLst>
            <a:ext uri="{FF2B5EF4-FFF2-40B4-BE49-F238E27FC236}">
              <a16:creationId xmlns:a16="http://schemas.microsoft.com/office/drawing/2014/main" xmlns="" id="{00000000-0008-0000-0300-00008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3" name="Rectangle 1152">
          <a:extLst>
            <a:ext uri="{FF2B5EF4-FFF2-40B4-BE49-F238E27FC236}">
              <a16:creationId xmlns:a16="http://schemas.microsoft.com/office/drawing/2014/main" xmlns="" id="{00000000-0008-0000-0300-00008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4" name="Rectangle 1153">
          <a:extLst>
            <a:ext uri="{FF2B5EF4-FFF2-40B4-BE49-F238E27FC236}">
              <a16:creationId xmlns:a16="http://schemas.microsoft.com/office/drawing/2014/main" xmlns="" id="{00000000-0008-0000-0300-00008C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5" name="Rectangle 1154">
          <a:extLst>
            <a:ext uri="{FF2B5EF4-FFF2-40B4-BE49-F238E27FC236}">
              <a16:creationId xmlns:a16="http://schemas.microsoft.com/office/drawing/2014/main" xmlns="" id="{00000000-0008-0000-0300-00008D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6" name="Rectangle 1155">
          <a:extLst>
            <a:ext uri="{FF2B5EF4-FFF2-40B4-BE49-F238E27FC236}">
              <a16:creationId xmlns:a16="http://schemas.microsoft.com/office/drawing/2014/main" xmlns="" id="{00000000-0008-0000-0300-00008E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7" name="Rectangle 1156">
          <a:extLst>
            <a:ext uri="{FF2B5EF4-FFF2-40B4-BE49-F238E27FC236}">
              <a16:creationId xmlns:a16="http://schemas.microsoft.com/office/drawing/2014/main" xmlns="" id="{00000000-0008-0000-0300-00008F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8" name="Rectangle 1157">
          <a:extLst>
            <a:ext uri="{FF2B5EF4-FFF2-40B4-BE49-F238E27FC236}">
              <a16:creationId xmlns:a16="http://schemas.microsoft.com/office/drawing/2014/main" xmlns="" id="{00000000-0008-0000-0300-000090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9" name="Rectangle 1158">
          <a:extLst>
            <a:ext uri="{FF2B5EF4-FFF2-40B4-BE49-F238E27FC236}">
              <a16:creationId xmlns:a16="http://schemas.microsoft.com/office/drawing/2014/main" xmlns="" id="{00000000-0008-0000-0300-000091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0" name="Rectangle 1159">
          <a:extLst>
            <a:ext uri="{FF2B5EF4-FFF2-40B4-BE49-F238E27FC236}">
              <a16:creationId xmlns:a16="http://schemas.microsoft.com/office/drawing/2014/main" xmlns="" id="{00000000-0008-0000-0300-000092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1" name="Rectangle 1160">
          <a:extLst>
            <a:ext uri="{FF2B5EF4-FFF2-40B4-BE49-F238E27FC236}">
              <a16:creationId xmlns:a16="http://schemas.microsoft.com/office/drawing/2014/main" xmlns="" id="{00000000-0008-0000-0300-000093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2" name="Rectangle 1161">
          <a:extLst>
            <a:ext uri="{FF2B5EF4-FFF2-40B4-BE49-F238E27FC236}">
              <a16:creationId xmlns:a16="http://schemas.microsoft.com/office/drawing/2014/main" xmlns="" id="{00000000-0008-0000-0300-000094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3" name="Rectangle 1162">
          <a:extLst>
            <a:ext uri="{FF2B5EF4-FFF2-40B4-BE49-F238E27FC236}">
              <a16:creationId xmlns:a16="http://schemas.microsoft.com/office/drawing/2014/main" xmlns="" id="{00000000-0008-0000-0300-000095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4" name="Rectangle 1163">
          <a:extLst>
            <a:ext uri="{FF2B5EF4-FFF2-40B4-BE49-F238E27FC236}">
              <a16:creationId xmlns:a16="http://schemas.microsoft.com/office/drawing/2014/main" xmlns="" id="{00000000-0008-0000-0300-000096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5" name="Rectangle 1164">
          <a:extLst>
            <a:ext uri="{FF2B5EF4-FFF2-40B4-BE49-F238E27FC236}">
              <a16:creationId xmlns:a16="http://schemas.microsoft.com/office/drawing/2014/main" xmlns="" id="{00000000-0008-0000-0300-000097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6" name="Rectangle 93">
          <a:extLst>
            <a:ext uri="{FF2B5EF4-FFF2-40B4-BE49-F238E27FC236}">
              <a16:creationId xmlns:a16="http://schemas.microsoft.com/office/drawing/2014/main" xmlns="" id="{00000000-0008-0000-0300-00009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897" name="Rectangle 94">
          <a:extLst>
            <a:ext uri="{FF2B5EF4-FFF2-40B4-BE49-F238E27FC236}">
              <a16:creationId xmlns:a16="http://schemas.microsoft.com/office/drawing/2014/main" xmlns="" id="{00000000-0008-0000-0300-00009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98" name="Rectangle 95">
          <a:extLst>
            <a:ext uri="{FF2B5EF4-FFF2-40B4-BE49-F238E27FC236}">
              <a16:creationId xmlns:a16="http://schemas.microsoft.com/office/drawing/2014/main" xmlns="" id="{00000000-0008-0000-0300-00009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9" name="Rectangle 96">
          <a:extLst>
            <a:ext uri="{FF2B5EF4-FFF2-40B4-BE49-F238E27FC236}">
              <a16:creationId xmlns:a16="http://schemas.microsoft.com/office/drawing/2014/main" xmlns="" id="{00000000-0008-0000-0300-00009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0" name="Rectangle 97">
          <a:extLst>
            <a:ext uri="{FF2B5EF4-FFF2-40B4-BE49-F238E27FC236}">
              <a16:creationId xmlns:a16="http://schemas.microsoft.com/office/drawing/2014/main" xmlns="" id="{00000000-0008-0000-0300-00009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1" name="Rectangle 98">
          <a:extLst>
            <a:ext uri="{FF2B5EF4-FFF2-40B4-BE49-F238E27FC236}">
              <a16:creationId xmlns:a16="http://schemas.microsoft.com/office/drawing/2014/main" xmlns="" id="{00000000-0008-0000-0300-00009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2" name="Rectangle 99">
          <a:extLst>
            <a:ext uri="{FF2B5EF4-FFF2-40B4-BE49-F238E27FC236}">
              <a16:creationId xmlns:a16="http://schemas.microsoft.com/office/drawing/2014/main" xmlns="" id="{00000000-0008-0000-0300-00009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3" name="Rectangle 100">
          <a:extLst>
            <a:ext uri="{FF2B5EF4-FFF2-40B4-BE49-F238E27FC236}">
              <a16:creationId xmlns:a16="http://schemas.microsoft.com/office/drawing/2014/main" xmlns="" id="{00000000-0008-0000-0300-00009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4" name="Rectangle 101">
          <a:extLst>
            <a:ext uri="{FF2B5EF4-FFF2-40B4-BE49-F238E27FC236}">
              <a16:creationId xmlns:a16="http://schemas.microsoft.com/office/drawing/2014/main" xmlns="" id="{00000000-0008-0000-0300-0000A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5" name="Rectangle 102">
          <a:extLst>
            <a:ext uri="{FF2B5EF4-FFF2-40B4-BE49-F238E27FC236}">
              <a16:creationId xmlns:a16="http://schemas.microsoft.com/office/drawing/2014/main" xmlns="" id="{00000000-0008-0000-0300-0000A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6" name="Rectangle 103">
          <a:extLst>
            <a:ext uri="{FF2B5EF4-FFF2-40B4-BE49-F238E27FC236}">
              <a16:creationId xmlns:a16="http://schemas.microsoft.com/office/drawing/2014/main" xmlns="" id="{00000000-0008-0000-0300-0000A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7" name="Rectangle 104">
          <a:extLst>
            <a:ext uri="{FF2B5EF4-FFF2-40B4-BE49-F238E27FC236}">
              <a16:creationId xmlns:a16="http://schemas.microsoft.com/office/drawing/2014/main" xmlns="" id="{00000000-0008-0000-0300-0000A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8" name="Rectangle 105">
          <a:extLst>
            <a:ext uri="{FF2B5EF4-FFF2-40B4-BE49-F238E27FC236}">
              <a16:creationId xmlns:a16="http://schemas.microsoft.com/office/drawing/2014/main" xmlns="" id="{00000000-0008-0000-0300-0000A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9" name="Rectangle 106">
          <a:extLst>
            <a:ext uri="{FF2B5EF4-FFF2-40B4-BE49-F238E27FC236}">
              <a16:creationId xmlns:a16="http://schemas.microsoft.com/office/drawing/2014/main" xmlns="" id="{00000000-0008-0000-0300-0000A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0" name="Rectangle 107">
          <a:extLst>
            <a:ext uri="{FF2B5EF4-FFF2-40B4-BE49-F238E27FC236}">
              <a16:creationId xmlns:a16="http://schemas.microsoft.com/office/drawing/2014/main" xmlns="" id="{00000000-0008-0000-0300-0000A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1" name="Rectangle 108">
          <a:extLst>
            <a:ext uri="{FF2B5EF4-FFF2-40B4-BE49-F238E27FC236}">
              <a16:creationId xmlns:a16="http://schemas.microsoft.com/office/drawing/2014/main" xmlns="" id="{00000000-0008-0000-0300-0000A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2" name="Rectangle 109">
          <a:extLst>
            <a:ext uri="{FF2B5EF4-FFF2-40B4-BE49-F238E27FC236}">
              <a16:creationId xmlns:a16="http://schemas.microsoft.com/office/drawing/2014/main" xmlns="" id="{00000000-0008-0000-0300-0000A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3" name="Rectangle 110">
          <a:extLst>
            <a:ext uri="{FF2B5EF4-FFF2-40B4-BE49-F238E27FC236}">
              <a16:creationId xmlns:a16="http://schemas.microsoft.com/office/drawing/2014/main" xmlns="" id="{00000000-0008-0000-0300-0000A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4" name="Rectangle 111">
          <a:extLst>
            <a:ext uri="{FF2B5EF4-FFF2-40B4-BE49-F238E27FC236}">
              <a16:creationId xmlns:a16="http://schemas.microsoft.com/office/drawing/2014/main" xmlns="" id="{00000000-0008-0000-0300-0000A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5" name="Rectangle 112">
          <a:extLst>
            <a:ext uri="{FF2B5EF4-FFF2-40B4-BE49-F238E27FC236}">
              <a16:creationId xmlns:a16="http://schemas.microsoft.com/office/drawing/2014/main" xmlns="" id="{00000000-0008-0000-0300-0000A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6" name="Rectangle 113">
          <a:extLst>
            <a:ext uri="{FF2B5EF4-FFF2-40B4-BE49-F238E27FC236}">
              <a16:creationId xmlns:a16="http://schemas.microsoft.com/office/drawing/2014/main" xmlns="" id="{00000000-0008-0000-0300-0000A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7" name="Rectangle 114">
          <a:extLst>
            <a:ext uri="{FF2B5EF4-FFF2-40B4-BE49-F238E27FC236}">
              <a16:creationId xmlns:a16="http://schemas.microsoft.com/office/drawing/2014/main" xmlns="" id="{00000000-0008-0000-0300-0000A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8" name="Rectangle 115">
          <a:extLst>
            <a:ext uri="{FF2B5EF4-FFF2-40B4-BE49-F238E27FC236}">
              <a16:creationId xmlns:a16="http://schemas.microsoft.com/office/drawing/2014/main" xmlns="" id="{00000000-0008-0000-0300-0000A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9" name="Rectangle 116">
          <a:extLst>
            <a:ext uri="{FF2B5EF4-FFF2-40B4-BE49-F238E27FC236}">
              <a16:creationId xmlns:a16="http://schemas.microsoft.com/office/drawing/2014/main" xmlns="" id="{00000000-0008-0000-0300-0000A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0" name="Rectangle 117">
          <a:extLst>
            <a:ext uri="{FF2B5EF4-FFF2-40B4-BE49-F238E27FC236}">
              <a16:creationId xmlns:a16="http://schemas.microsoft.com/office/drawing/2014/main" xmlns="" id="{00000000-0008-0000-0300-0000B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1" name="Rectangle 118">
          <a:extLst>
            <a:ext uri="{FF2B5EF4-FFF2-40B4-BE49-F238E27FC236}">
              <a16:creationId xmlns:a16="http://schemas.microsoft.com/office/drawing/2014/main" xmlns="" id="{00000000-0008-0000-0300-0000B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2" name="Rectangle 119">
          <a:extLst>
            <a:ext uri="{FF2B5EF4-FFF2-40B4-BE49-F238E27FC236}">
              <a16:creationId xmlns:a16="http://schemas.microsoft.com/office/drawing/2014/main" xmlns="" id="{00000000-0008-0000-0300-0000B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3" name="Rectangle 120">
          <a:extLst>
            <a:ext uri="{FF2B5EF4-FFF2-40B4-BE49-F238E27FC236}">
              <a16:creationId xmlns:a16="http://schemas.microsoft.com/office/drawing/2014/main" xmlns="" id="{00000000-0008-0000-0300-0000B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4" name="Rectangle 121">
          <a:extLst>
            <a:ext uri="{FF2B5EF4-FFF2-40B4-BE49-F238E27FC236}">
              <a16:creationId xmlns:a16="http://schemas.microsoft.com/office/drawing/2014/main" xmlns="" id="{00000000-0008-0000-0300-0000B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5" name="Rectangle 122">
          <a:extLst>
            <a:ext uri="{FF2B5EF4-FFF2-40B4-BE49-F238E27FC236}">
              <a16:creationId xmlns:a16="http://schemas.microsoft.com/office/drawing/2014/main" xmlns="" id="{00000000-0008-0000-0300-0000B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6" name="Rectangle 123">
          <a:extLst>
            <a:ext uri="{FF2B5EF4-FFF2-40B4-BE49-F238E27FC236}">
              <a16:creationId xmlns:a16="http://schemas.microsoft.com/office/drawing/2014/main" xmlns="" id="{00000000-0008-0000-0300-0000B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7" name="Rectangle 124">
          <a:extLst>
            <a:ext uri="{FF2B5EF4-FFF2-40B4-BE49-F238E27FC236}">
              <a16:creationId xmlns:a16="http://schemas.microsoft.com/office/drawing/2014/main" xmlns="" id="{00000000-0008-0000-0300-0000B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8" name="Rectangle 125">
          <a:extLst>
            <a:ext uri="{FF2B5EF4-FFF2-40B4-BE49-F238E27FC236}">
              <a16:creationId xmlns:a16="http://schemas.microsoft.com/office/drawing/2014/main" xmlns="" id="{00000000-0008-0000-0300-0000B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9" name="Rectangle 126">
          <a:extLst>
            <a:ext uri="{FF2B5EF4-FFF2-40B4-BE49-F238E27FC236}">
              <a16:creationId xmlns:a16="http://schemas.microsoft.com/office/drawing/2014/main" xmlns="" id="{00000000-0008-0000-0300-0000B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0" name="Rectangle 127">
          <a:extLst>
            <a:ext uri="{FF2B5EF4-FFF2-40B4-BE49-F238E27FC236}">
              <a16:creationId xmlns:a16="http://schemas.microsoft.com/office/drawing/2014/main" xmlns="" id="{00000000-0008-0000-0300-0000B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1" name="Rectangle 128">
          <a:extLst>
            <a:ext uri="{FF2B5EF4-FFF2-40B4-BE49-F238E27FC236}">
              <a16:creationId xmlns:a16="http://schemas.microsoft.com/office/drawing/2014/main" xmlns="" id="{00000000-0008-0000-0300-0000B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2" name="Rectangle 129">
          <a:extLst>
            <a:ext uri="{FF2B5EF4-FFF2-40B4-BE49-F238E27FC236}">
              <a16:creationId xmlns:a16="http://schemas.microsoft.com/office/drawing/2014/main" xmlns="" id="{00000000-0008-0000-0300-0000B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3" name="Rectangle 130">
          <a:extLst>
            <a:ext uri="{FF2B5EF4-FFF2-40B4-BE49-F238E27FC236}">
              <a16:creationId xmlns:a16="http://schemas.microsoft.com/office/drawing/2014/main" xmlns="" id="{00000000-0008-0000-0300-0000B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4" name="Rectangle 131">
          <a:extLst>
            <a:ext uri="{FF2B5EF4-FFF2-40B4-BE49-F238E27FC236}">
              <a16:creationId xmlns:a16="http://schemas.microsoft.com/office/drawing/2014/main" xmlns="" id="{00000000-0008-0000-0300-0000B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5" name="Rectangle 132">
          <a:extLst>
            <a:ext uri="{FF2B5EF4-FFF2-40B4-BE49-F238E27FC236}">
              <a16:creationId xmlns:a16="http://schemas.microsoft.com/office/drawing/2014/main" xmlns="" id="{00000000-0008-0000-0300-0000B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6" name="Rectangle 133">
          <a:extLst>
            <a:ext uri="{FF2B5EF4-FFF2-40B4-BE49-F238E27FC236}">
              <a16:creationId xmlns:a16="http://schemas.microsoft.com/office/drawing/2014/main" xmlns="" id="{00000000-0008-0000-0300-0000C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7" name="Rectangle 134">
          <a:extLst>
            <a:ext uri="{FF2B5EF4-FFF2-40B4-BE49-F238E27FC236}">
              <a16:creationId xmlns:a16="http://schemas.microsoft.com/office/drawing/2014/main" xmlns="" id="{00000000-0008-0000-0300-0000C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8" name="Rectangle 135">
          <a:extLst>
            <a:ext uri="{FF2B5EF4-FFF2-40B4-BE49-F238E27FC236}">
              <a16:creationId xmlns:a16="http://schemas.microsoft.com/office/drawing/2014/main" xmlns="" id="{00000000-0008-0000-0300-0000C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9" name="Rectangle 136">
          <a:extLst>
            <a:ext uri="{FF2B5EF4-FFF2-40B4-BE49-F238E27FC236}">
              <a16:creationId xmlns:a16="http://schemas.microsoft.com/office/drawing/2014/main" xmlns="" id="{00000000-0008-0000-0300-0000C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0" name="Rectangle 137">
          <a:extLst>
            <a:ext uri="{FF2B5EF4-FFF2-40B4-BE49-F238E27FC236}">
              <a16:creationId xmlns:a16="http://schemas.microsoft.com/office/drawing/2014/main" xmlns="" id="{00000000-0008-0000-0300-0000C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1" name="Rectangle 138">
          <a:extLst>
            <a:ext uri="{FF2B5EF4-FFF2-40B4-BE49-F238E27FC236}">
              <a16:creationId xmlns:a16="http://schemas.microsoft.com/office/drawing/2014/main" xmlns="" id="{00000000-0008-0000-0300-0000C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2" name="Rectangle 139">
          <a:extLst>
            <a:ext uri="{FF2B5EF4-FFF2-40B4-BE49-F238E27FC236}">
              <a16:creationId xmlns:a16="http://schemas.microsoft.com/office/drawing/2014/main" xmlns="" id="{00000000-0008-0000-0300-0000C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3" name="Rectangle 140">
          <a:extLst>
            <a:ext uri="{FF2B5EF4-FFF2-40B4-BE49-F238E27FC236}">
              <a16:creationId xmlns:a16="http://schemas.microsoft.com/office/drawing/2014/main" xmlns="" id="{00000000-0008-0000-0300-0000C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4" name="Rectangle 141">
          <a:extLst>
            <a:ext uri="{FF2B5EF4-FFF2-40B4-BE49-F238E27FC236}">
              <a16:creationId xmlns:a16="http://schemas.microsoft.com/office/drawing/2014/main" xmlns="" id="{00000000-0008-0000-0300-0000C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5" name="Rectangle 142">
          <a:extLst>
            <a:ext uri="{FF2B5EF4-FFF2-40B4-BE49-F238E27FC236}">
              <a16:creationId xmlns:a16="http://schemas.microsoft.com/office/drawing/2014/main" xmlns="" id="{00000000-0008-0000-0300-0000C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6" name="Rectangle 143">
          <a:extLst>
            <a:ext uri="{FF2B5EF4-FFF2-40B4-BE49-F238E27FC236}">
              <a16:creationId xmlns:a16="http://schemas.microsoft.com/office/drawing/2014/main" xmlns="" id="{00000000-0008-0000-0300-0000C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7" name="Rectangle 144">
          <a:extLst>
            <a:ext uri="{FF2B5EF4-FFF2-40B4-BE49-F238E27FC236}">
              <a16:creationId xmlns:a16="http://schemas.microsoft.com/office/drawing/2014/main" xmlns="" id="{00000000-0008-0000-0300-0000C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8" name="Rectangle 145">
          <a:extLst>
            <a:ext uri="{FF2B5EF4-FFF2-40B4-BE49-F238E27FC236}">
              <a16:creationId xmlns:a16="http://schemas.microsoft.com/office/drawing/2014/main" xmlns="" id="{00000000-0008-0000-0300-0000C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9" name="Rectangle 146">
          <a:extLst>
            <a:ext uri="{FF2B5EF4-FFF2-40B4-BE49-F238E27FC236}">
              <a16:creationId xmlns:a16="http://schemas.microsoft.com/office/drawing/2014/main" xmlns="" id="{00000000-0008-0000-0300-0000C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0" name="Rectangle 147">
          <a:extLst>
            <a:ext uri="{FF2B5EF4-FFF2-40B4-BE49-F238E27FC236}">
              <a16:creationId xmlns:a16="http://schemas.microsoft.com/office/drawing/2014/main" xmlns="" id="{00000000-0008-0000-0300-0000C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1" name="Rectangle 148">
          <a:extLst>
            <a:ext uri="{FF2B5EF4-FFF2-40B4-BE49-F238E27FC236}">
              <a16:creationId xmlns:a16="http://schemas.microsoft.com/office/drawing/2014/main" xmlns="" id="{00000000-0008-0000-0300-0000CF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2" name="Rectangle 149">
          <a:extLst>
            <a:ext uri="{FF2B5EF4-FFF2-40B4-BE49-F238E27FC236}">
              <a16:creationId xmlns:a16="http://schemas.microsoft.com/office/drawing/2014/main" xmlns="" id="{00000000-0008-0000-0300-0000D0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3" name="Rectangle 150">
          <a:extLst>
            <a:ext uri="{FF2B5EF4-FFF2-40B4-BE49-F238E27FC236}">
              <a16:creationId xmlns:a16="http://schemas.microsoft.com/office/drawing/2014/main" xmlns="" id="{00000000-0008-0000-0300-0000D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4" name="Rectangle 151">
          <a:extLst>
            <a:ext uri="{FF2B5EF4-FFF2-40B4-BE49-F238E27FC236}">
              <a16:creationId xmlns:a16="http://schemas.microsoft.com/office/drawing/2014/main" xmlns="" id="{00000000-0008-0000-0300-0000D2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5" name="Rectangle 152">
          <a:extLst>
            <a:ext uri="{FF2B5EF4-FFF2-40B4-BE49-F238E27FC236}">
              <a16:creationId xmlns:a16="http://schemas.microsoft.com/office/drawing/2014/main" xmlns="" id="{00000000-0008-0000-0300-0000D3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6" name="Rectangle 153">
          <a:extLst>
            <a:ext uri="{FF2B5EF4-FFF2-40B4-BE49-F238E27FC236}">
              <a16:creationId xmlns:a16="http://schemas.microsoft.com/office/drawing/2014/main" xmlns="" id="{00000000-0008-0000-0300-0000D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7" name="Rectangle 154">
          <a:extLst>
            <a:ext uri="{FF2B5EF4-FFF2-40B4-BE49-F238E27FC236}">
              <a16:creationId xmlns:a16="http://schemas.microsoft.com/office/drawing/2014/main" xmlns="" id="{00000000-0008-0000-0300-0000D5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8" name="Rectangle 155">
          <a:extLst>
            <a:ext uri="{FF2B5EF4-FFF2-40B4-BE49-F238E27FC236}">
              <a16:creationId xmlns:a16="http://schemas.microsoft.com/office/drawing/2014/main" xmlns="" id="{00000000-0008-0000-0300-0000D6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9" name="Rectangle 156">
          <a:extLst>
            <a:ext uri="{FF2B5EF4-FFF2-40B4-BE49-F238E27FC236}">
              <a16:creationId xmlns:a16="http://schemas.microsoft.com/office/drawing/2014/main" xmlns="" id="{00000000-0008-0000-0300-0000D7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0" name="Rectangle 157">
          <a:extLst>
            <a:ext uri="{FF2B5EF4-FFF2-40B4-BE49-F238E27FC236}">
              <a16:creationId xmlns:a16="http://schemas.microsoft.com/office/drawing/2014/main" xmlns="" id="{00000000-0008-0000-0300-0000D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1" name="Rectangle 158">
          <a:extLst>
            <a:ext uri="{FF2B5EF4-FFF2-40B4-BE49-F238E27FC236}">
              <a16:creationId xmlns:a16="http://schemas.microsoft.com/office/drawing/2014/main" xmlns="" id="{00000000-0008-0000-0300-0000D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2" name="Rectangle 159">
          <a:extLst>
            <a:ext uri="{FF2B5EF4-FFF2-40B4-BE49-F238E27FC236}">
              <a16:creationId xmlns:a16="http://schemas.microsoft.com/office/drawing/2014/main" xmlns="" id="{00000000-0008-0000-0300-0000D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3" name="Rectangle 160">
          <a:extLst>
            <a:ext uri="{FF2B5EF4-FFF2-40B4-BE49-F238E27FC236}">
              <a16:creationId xmlns:a16="http://schemas.microsoft.com/office/drawing/2014/main" xmlns="" id="{00000000-0008-0000-0300-0000D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4" name="Rectangle 161">
          <a:extLst>
            <a:ext uri="{FF2B5EF4-FFF2-40B4-BE49-F238E27FC236}">
              <a16:creationId xmlns:a16="http://schemas.microsoft.com/office/drawing/2014/main" xmlns="" id="{00000000-0008-0000-0300-0000D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5" name="Rectangle 162">
          <a:extLst>
            <a:ext uri="{FF2B5EF4-FFF2-40B4-BE49-F238E27FC236}">
              <a16:creationId xmlns:a16="http://schemas.microsoft.com/office/drawing/2014/main" xmlns="" id="{00000000-0008-0000-0300-0000D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6" name="Rectangle 163">
          <a:extLst>
            <a:ext uri="{FF2B5EF4-FFF2-40B4-BE49-F238E27FC236}">
              <a16:creationId xmlns:a16="http://schemas.microsoft.com/office/drawing/2014/main" xmlns="" id="{00000000-0008-0000-0300-0000D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7" name="Rectangle 164">
          <a:extLst>
            <a:ext uri="{FF2B5EF4-FFF2-40B4-BE49-F238E27FC236}">
              <a16:creationId xmlns:a16="http://schemas.microsoft.com/office/drawing/2014/main" xmlns="" id="{00000000-0008-0000-0300-0000D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8" name="Rectangle 165">
          <a:extLst>
            <a:ext uri="{FF2B5EF4-FFF2-40B4-BE49-F238E27FC236}">
              <a16:creationId xmlns:a16="http://schemas.microsoft.com/office/drawing/2014/main" xmlns="" id="{00000000-0008-0000-0300-0000E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9" name="Rectangle 166">
          <a:extLst>
            <a:ext uri="{FF2B5EF4-FFF2-40B4-BE49-F238E27FC236}">
              <a16:creationId xmlns:a16="http://schemas.microsoft.com/office/drawing/2014/main" xmlns="" id="{00000000-0008-0000-0300-0000E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0" name="Rectangle 167">
          <a:extLst>
            <a:ext uri="{FF2B5EF4-FFF2-40B4-BE49-F238E27FC236}">
              <a16:creationId xmlns:a16="http://schemas.microsoft.com/office/drawing/2014/main" xmlns="" id="{00000000-0008-0000-0300-0000E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1" name="Rectangle 168">
          <a:extLst>
            <a:ext uri="{FF2B5EF4-FFF2-40B4-BE49-F238E27FC236}">
              <a16:creationId xmlns:a16="http://schemas.microsoft.com/office/drawing/2014/main" xmlns="" id="{00000000-0008-0000-0300-0000E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72" name="Rectangle 169">
          <a:extLst>
            <a:ext uri="{FF2B5EF4-FFF2-40B4-BE49-F238E27FC236}">
              <a16:creationId xmlns:a16="http://schemas.microsoft.com/office/drawing/2014/main" xmlns="" id="{00000000-0008-0000-0300-0000E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3" name="Rectangle 170">
          <a:extLst>
            <a:ext uri="{FF2B5EF4-FFF2-40B4-BE49-F238E27FC236}">
              <a16:creationId xmlns:a16="http://schemas.microsoft.com/office/drawing/2014/main" xmlns="" id="{00000000-0008-0000-0300-0000E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4" name="Rectangle 171">
          <a:extLst>
            <a:ext uri="{FF2B5EF4-FFF2-40B4-BE49-F238E27FC236}">
              <a16:creationId xmlns:a16="http://schemas.microsoft.com/office/drawing/2014/main" xmlns="" id="{00000000-0008-0000-0300-0000E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5" name="Rectangle 172">
          <a:extLst>
            <a:ext uri="{FF2B5EF4-FFF2-40B4-BE49-F238E27FC236}">
              <a16:creationId xmlns:a16="http://schemas.microsoft.com/office/drawing/2014/main" xmlns="" id="{00000000-0008-0000-0300-0000E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6" name="Rectangle 173">
          <a:extLst>
            <a:ext uri="{FF2B5EF4-FFF2-40B4-BE49-F238E27FC236}">
              <a16:creationId xmlns:a16="http://schemas.microsoft.com/office/drawing/2014/main" xmlns="" id="{00000000-0008-0000-0300-0000E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7" name="Rectangle 174">
          <a:extLst>
            <a:ext uri="{FF2B5EF4-FFF2-40B4-BE49-F238E27FC236}">
              <a16:creationId xmlns:a16="http://schemas.microsoft.com/office/drawing/2014/main" xmlns="" id="{00000000-0008-0000-0300-0000E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8" name="Rectangle 175">
          <a:extLst>
            <a:ext uri="{FF2B5EF4-FFF2-40B4-BE49-F238E27FC236}">
              <a16:creationId xmlns:a16="http://schemas.microsoft.com/office/drawing/2014/main" xmlns="" id="{00000000-0008-0000-0300-0000E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9" name="Rectangle 176">
          <a:extLst>
            <a:ext uri="{FF2B5EF4-FFF2-40B4-BE49-F238E27FC236}">
              <a16:creationId xmlns:a16="http://schemas.microsoft.com/office/drawing/2014/main" xmlns="" id="{00000000-0008-0000-0300-0000E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0" name="Rectangle 177">
          <a:extLst>
            <a:ext uri="{FF2B5EF4-FFF2-40B4-BE49-F238E27FC236}">
              <a16:creationId xmlns:a16="http://schemas.microsoft.com/office/drawing/2014/main" xmlns="" id="{00000000-0008-0000-0300-0000E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1" name="Rectangle 178">
          <a:extLst>
            <a:ext uri="{FF2B5EF4-FFF2-40B4-BE49-F238E27FC236}">
              <a16:creationId xmlns:a16="http://schemas.microsoft.com/office/drawing/2014/main" xmlns="" id="{00000000-0008-0000-0300-0000E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2" name="Rectangle 179">
          <a:extLst>
            <a:ext uri="{FF2B5EF4-FFF2-40B4-BE49-F238E27FC236}">
              <a16:creationId xmlns:a16="http://schemas.microsoft.com/office/drawing/2014/main" xmlns="" id="{00000000-0008-0000-0300-0000E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3" name="Rectangle 180">
          <a:extLst>
            <a:ext uri="{FF2B5EF4-FFF2-40B4-BE49-F238E27FC236}">
              <a16:creationId xmlns:a16="http://schemas.microsoft.com/office/drawing/2014/main" xmlns="" id="{00000000-0008-0000-0300-0000E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4" name="Rectangle 181">
          <a:extLst>
            <a:ext uri="{FF2B5EF4-FFF2-40B4-BE49-F238E27FC236}">
              <a16:creationId xmlns:a16="http://schemas.microsoft.com/office/drawing/2014/main" xmlns="" id="{00000000-0008-0000-0300-0000F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5" name="Rectangle 182">
          <a:extLst>
            <a:ext uri="{FF2B5EF4-FFF2-40B4-BE49-F238E27FC236}">
              <a16:creationId xmlns:a16="http://schemas.microsoft.com/office/drawing/2014/main" xmlns="" id="{00000000-0008-0000-0300-0000F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6" name="Rectangle 183">
          <a:extLst>
            <a:ext uri="{FF2B5EF4-FFF2-40B4-BE49-F238E27FC236}">
              <a16:creationId xmlns:a16="http://schemas.microsoft.com/office/drawing/2014/main" xmlns="" id="{00000000-0008-0000-0300-0000F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7" name="Rectangle 184">
          <a:extLst>
            <a:ext uri="{FF2B5EF4-FFF2-40B4-BE49-F238E27FC236}">
              <a16:creationId xmlns:a16="http://schemas.microsoft.com/office/drawing/2014/main" xmlns="" id="{00000000-0008-0000-0300-0000F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88" name="Rectangle 185">
          <a:extLst>
            <a:ext uri="{FF2B5EF4-FFF2-40B4-BE49-F238E27FC236}">
              <a16:creationId xmlns:a16="http://schemas.microsoft.com/office/drawing/2014/main" xmlns="" id="{00000000-0008-0000-0300-0000F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89" name="Rectangle 186">
          <a:extLst>
            <a:ext uri="{FF2B5EF4-FFF2-40B4-BE49-F238E27FC236}">
              <a16:creationId xmlns:a16="http://schemas.microsoft.com/office/drawing/2014/main" xmlns="" id="{00000000-0008-0000-0300-0000F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0" name="Rectangle 187">
          <a:extLst>
            <a:ext uri="{FF2B5EF4-FFF2-40B4-BE49-F238E27FC236}">
              <a16:creationId xmlns:a16="http://schemas.microsoft.com/office/drawing/2014/main" xmlns="" id="{00000000-0008-0000-0300-0000F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1" name="Rectangle 188">
          <a:extLst>
            <a:ext uri="{FF2B5EF4-FFF2-40B4-BE49-F238E27FC236}">
              <a16:creationId xmlns:a16="http://schemas.microsoft.com/office/drawing/2014/main" xmlns="" id="{00000000-0008-0000-0300-0000F7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2" name="Rectangle 189">
          <a:extLst>
            <a:ext uri="{FF2B5EF4-FFF2-40B4-BE49-F238E27FC236}">
              <a16:creationId xmlns:a16="http://schemas.microsoft.com/office/drawing/2014/main" xmlns="" id="{00000000-0008-0000-0300-0000F8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3" name="Rectangle 190">
          <a:extLst>
            <a:ext uri="{FF2B5EF4-FFF2-40B4-BE49-F238E27FC236}">
              <a16:creationId xmlns:a16="http://schemas.microsoft.com/office/drawing/2014/main" xmlns="" id="{00000000-0008-0000-0300-0000F9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4" name="Rectangle 191">
          <a:extLst>
            <a:ext uri="{FF2B5EF4-FFF2-40B4-BE49-F238E27FC236}">
              <a16:creationId xmlns:a16="http://schemas.microsoft.com/office/drawing/2014/main" xmlns="" id="{00000000-0008-0000-0300-0000FA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5" name="Rectangle 192">
          <a:extLst>
            <a:ext uri="{FF2B5EF4-FFF2-40B4-BE49-F238E27FC236}">
              <a16:creationId xmlns:a16="http://schemas.microsoft.com/office/drawing/2014/main" xmlns="" id="{00000000-0008-0000-0300-0000F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6" name="Rectangle 193">
          <a:extLst>
            <a:ext uri="{FF2B5EF4-FFF2-40B4-BE49-F238E27FC236}">
              <a16:creationId xmlns:a16="http://schemas.microsoft.com/office/drawing/2014/main" xmlns="" id="{00000000-0008-0000-0300-0000FC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7" name="Rectangle 194">
          <a:extLst>
            <a:ext uri="{FF2B5EF4-FFF2-40B4-BE49-F238E27FC236}">
              <a16:creationId xmlns:a16="http://schemas.microsoft.com/office/drawing/2014/main" xmlns="" id="{00000000-0008-0000-0300-0000FD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8" name="Rectangle 195">
          <a:extLst>
            <a:ext uri="{FF2B5EF4-FFF2-40B4-BE49-F238E27FC236}">
              <a16:creationId xmlns:a16="http://schemas.microsoft.com/office/drawing/2014/main" xmlns="" id="{00000000-0008-0000-0300-0000FE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9" name="Rectangle 196">
          <a:extLst>
            <a:ext uri="{FF2B5EF4-FFF2-40B4-BE49-F238E27FC236}">
              <a16:creationId xmlns:a16="http://schemas.microsoft.com/office/drawing/2014/main" xmlns="" id="{00000000-0008-0000-0300-0000FF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0" name="Rectangle 197">
          <a:extLst>
            <a:ext uri="{FF2B5EF4-FFF2-40B4-BE49-F238E27FC236}">
              <a16:creationId xmlns:a16="http://schemas.microsoft.com/office/drawing/2014/main" xmlns="" id="{00000000-0008-0000-0300-00000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1" name="Rectangle 198">
          <a:extLst>
            <a:ext uri="{FF2B5EF4-FFF2-40B4-BE49-F238E27FC236}">
              <a16:creationId xmlns:a16="http://schemas.microsoft.com/office/drawing/2014/main" xmlns="" id="{00000000-0008-0000-0300-00000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2" name="Rectangle 199">
          <a:extLst>
            <a:ext uri="{FF2B5EF4-FFF2-40B4-BE49-F238E27FC236}">
              <a16:creationId xmlns:a16="http://schemas.microsoft.com/office/drawing/2014/main" xmlns="" id="{00000000-0008-0000-0300-00000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3" name="Rectangle 200">
          <a:extLst>
            <a:ext uri="{FF2B5EF4-FFF2-40B4-BE49-F238E27FC236}">
              <a16:creationId xmlns:a16="http://schemas.microsoft.com/office/drawing/2014/main" xmlns="" id="{00000000-0008-0000-0300-00000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4" name="Rectangle 201">
          <a:extLst>
            <a:ext uri="{FF2B5EF4-FFF2-40B4-BE49-F238E27FC236}">
              <a16:creationId xmlns:a16="http://schemas.microsoft.com/office/drawing/2014/main" xmlns="" id="{00000000-0008-0000-0300-00000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5" name="Rectangle 202">
          <a:extLst>
            <a:ext uri="{FF2B5EF4-FFF2-40B4-BE49-F238E27FC236}">
              <a16:creationId xmlns:a16="http://schemas.microsoft.com/office/drawing/2014/main" xmlns="" id="{00000000-0008-0000-0300-00000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6" name="Rectangle 203">
          <a:extLst>
            <a:ext uri="{FF2B5EF4-FFF2-40B4-BE49-F238E27FC236}">
              <a16:creationId xmlns:a16="http://schemas.microsoft.com/office/drawing/2014/main" xmlns="" id="{00000000-0008-0000-0300-00000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7" name="Rectangle 204">
          <a:extLst>
            <a:ext uri="{FF2B5EF4-FFF2-40B4-BE49-F238E27FC236}">
              <a16:creationId xmlns:a16="http://schemas.microsoft.com/office/drawing/2014/main" xmlns="" id="{00000000-0008-0000-0300-00000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8" name="Rectangle 205">
          <a:extLst>
            <a:ext uri="{FF2B5EF4-FFF2-40B4-BE49-F238E27FC236}">
              <a16:creationId xmlns:a16="http://schemas.microsoft.com/office/drawing/2014/main" xmlns="" id="{00000000-0008-0000-0300-00000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9" name="Rectangle 206">
          <a:extLst>
            <a:ext uri="{FF2B5EF4-FFF2-40B4-BE49-F238E27FC236}">
              <a16:creationId xmlns:a16="http://schemas.microsoft.com/office/drawing/2014/main" xmlns="" id="{00000000-0008-0000-0300-000009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0" name="Rectangle 207">
          <a:extLst>
            <a:ext uri="{FF2B5EF4-FFF2-40B4-BE49-F238E27FC236}">
              <a16:creationId xmlns:a16="http://schemas.microsoft.com/office/drawing/2014/main" xmlns="" id="{00000000-0008-0000-0300-00000A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1" name="Rectangle 208">
          <a:extLst>
            <a:ext uri="{FF2B5EF4-FFF2-40B4-BE49-F238E27FC236}">
              <a16:creationId xmlns:a16="http://schemas.microsoft.com/office/drawing/2014/main" xmlns="" id="{00000000-0008-0000-0300-00000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12" name="Rectangle 209">
          <a:extLst>
            <a:ext uri="{FF2B5EF4-FFF2-40B4-BE49-F238E27FC236}">
              <a16:creationId xmlns:a16="http://schemas.microsoft.com/office/drawing/2014/main" xmlns="" id="{00000000-0008-0000-0300-00000C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3" name="Rectangle 210">
          <a:extLst>
            <a:ext uri="{FF2B5EF4-FFF2-40B4-BE49-F238E27FC236}">
              <a16:creationId xmlns:a16="http://schemas.microsoft.com/office/drawing/2014/main" xmlns="" id="{00000000-0008-0000-0300-00000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4" name="Rectangle 211">
          <a:extLst>
            <a:ext uri="{FF2B5EF4-FFF2-40B4-BE49-F238E27FC236}">
              <a16:creationId xmlns:a16="http://schemas.microsoft.com/office/drawing/2014/main" xmlns="" id="{00000000-0008-0000-0300-00000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5" name="Rectangle 212">
          <a:extLst>
            <a:ext uri="{FF2B5EF4-FFF2-40B4-BE49-F238E27FC236}">
              <a16:creationId xmlns:a16="http://schemas.microsoft.com/office/drawing/2014/main" xmlns="" id="{00000000-0008-0000-0300-00000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6" name="Rectangle 213">
          <a:extLst>
            <a:ext uri="{FF2B5EF4-FFF2-40B4-BE49-F238E27FC236}">
              <a16:creationId xmlns:a16="http://schemas.microsoft.com/office/drawing/2014/main" xmlns="" id="{00000000-0008-0000-0300-00001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7" name="Rectangle 214">
          <a:extLst>
            <a:ext uri="{FF2B5EF4-FFF2-40B4-BE49-F238E27FC236}">
              <a16:creationId xmlns:a16="http://schemas.microsoft.com/office/drawing/2014/main" xmlns="" id="{00000000-0008-0000-0300-00001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8" name="Rectangle 215">
          <a:extLst>
            <a:ext uri="{FF2B5EF4-FFF2-40B4-BE49-F238E27FC236}">
              <a16:creationId xmlns:a16="http://schemas.microsoft.com/office/drawing/2014/main" xmlns="" id="{00000000-0008-0000-0300-00001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9" name="Rectangle 216">
          <a:extLst>
            <a:ext uri="{FF2B5EF4-FFF2-40B4-BE49-F238E27FC236}">
              <a16:creationId xmlns:a16="http://schemas.microsoft.com/office/drawing/2014/main" xmlns="" id="{00000000-0008-0000-0300-00001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0" name="Rectangle 217">
          <a:extLst>
            <a:ext uri="{FF2B5EF4-FFF2-40B4-BE49-F238E27FC236}">
              <a16:creationId xmlns:a16="http://schemas.microsoft.com/office/drawing/2014/main" xmlns="" id="{00000000-0008-0000-0300-00001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1" name="Rectangle 218">
          <a:extLst>
            <a:ext uri="{FF2B5EF4-FFF2-40B4-BE49-F238E27FC236}">
              <a16:creationId xmlns:a16="http://schemas.microsoft.com/office/drawing/2014/main" xmlns="" id="{00000000-0008-0000-0300-00001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2" name="Rectangle 219">
          <a:extLst>
            <a:ext uri="{FF2B5EF4-FFF2-40B4-BE49-F238E27FC236}">
              <a16:creationId xmlns:a16="http://schemas.microsoft.com/office/drawing/2014/main" xmlns="" id="{00000000-0008-0000-0300-00001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3" name="Rectangle 220">
          <a:extLst>
            <a:ext uri="{FF2B5EF4-FFF2-40B4-BE49-F238E27FC236}">
              <a16:creationId xmlns:a16="http://schemas.microsoft.com/office/drawing/2014/main" xmlns="" id="{00000000-0008-0000-0300-000017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4" name="Rectangle 221">
          <a:extLst>
            <a:ext uri="{FF2B5EF4-FFF2-40B4-BE49-F238E27FC236}">
              <a16:creationId xmlns:a16="http://schemas.microsoft.com/office/drawing/2014/main" xmlns="" id="{00000000-0008-0000-0300-00001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5" name="Rectangle 222">
          <a:extLst>
            <a:ext uri="{FF2B5EF4-FFF2-40B4-BE49-F238E27FC236}">
              <a16:creationId xmlns:a16="http://schemas.microsoft.com/office/drawing/2014/main" xmlns="" id="{00000000-0008-0000-0300-00001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6" name="Rectangle 223">
          <a:extLst>
            <a:ext uri="{FF2B5EF4-FFF2-40B4-BE49-F238E27FC236}">
              <a16:creationId xmlns:a16="http://schemas.microsoft.com/office/drawing/2014/main" xmlns="" id="{00000000-0008-0000-0300-00001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7" name="Rectangle 224">
          <a:extLst>
            <a:ext uri="{FF2B5EF4-FFF2-40B4-BE49-F238E27FC236}">
              <a16:creationId xmlns:a16="http://schemas.microsoft.com/office/drawing/2014/main" xmlns="" id="{00000000-0008-0000-0300-00001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8" name="Rectangle 225">
          <a:extLst>
            <a:ext uri="{FF2B5EF4-FFF2-40B4-BE49-F238E27FC236}">
              <a16:creationId xmlns:a16="http://schemas.microsoft.com/office/drawing/2014/main" xmlns="" id="{00000000-0008-0000-0300-00001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9" name="Rectangle 226">
          <a:extLst>
            <a:ext uri="{FF2B5EF4-FFF2-40B4-BE49-F238E27FC236}">
              <a16:creationId xmlns:a16="http://schemas.microsoft.com/office/drawing/2014/main" xmlns="" id="{00000000-0008-0000-0300-00001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0" name="Rectangle 227">
          <a:extLst>
            <a:ext uri="{FF2B5EF4-FFF2-40B4-BE49-F238E27FC236}">
              <a16:creationId xmlns:a16="http://schemas.microsoft.com/office/drawing/2014/main" xmlns="" id="{00000000-0008-0000-0300-00001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1" name="Rectangle 228">
          <a:extLst>
            <a:ext uri="{FF2B5EF4-FFF2-40B4-BE49-F238E27FC236}">
              <a16:creationId xmlns:a16="http://schemas.microsoft.com/office/drawing/2014/main" xmlns="" id="{00000000-0008-0000-0300-00001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2" name="Rectangle 229">
          <a:extLst>
            <a:ext uri="{FF2B5EF4-FFF2-40B4-BE49-F238E27FC236}">
              <a16:creationId xmlns:a16="http://schemas.microsoft.com/office/drawing/2014/main" xmlns="" id="{00000000-0008-0000-0300-00002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3" name="Rectangle 230">
          <a:extLst>
            <a:ext uri="{FF2B5EF4-FFF2-40B4-BE49-F238E27FC236}">
              <a16:creationId xmlns:a16="http://schemas.microsoft.com/office/drawing/2014/main" xmlns="" id="{00000000-0008-0000-0300-00002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4" name="Rectangle 231">
          <a:extLst>
            <a:ext uri="{FF2B5EF4-FFF2-40B4-BE49-F238E27FC236}">
              <a16:creationId xmlns:a16="http://schemas.microsoft.com/office/drawing/2014/main" xmlns="" id="{00000000-0008-0000-0300-00002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5" name="Rectangle 232">
          <a:extLst>
            <a:ext uri="{FF2B5EF4-FFF2-40B4-BE49-F238E27FC236}">
              <a16:creationId xmlns:a16="http://schemas.microsoft.com/office/drawing/2014/main" xmlns="" id="{00000000-0008-0000-0300-00002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6" name="Rectangle 233">
          <a:extLst>
            <a:ext uri="{FF2B5EF4-FFF2-40B4-BE49-F238E27FC236}">
              <a16:creationId xmlns:a16="http://schemas.microsoft.com/office/drawing/2014/main" xmlns="" id="{00000000-0008-0000-0300-00002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7" name="Rectangle 234">
          <a:extLst>
            <a:ext uri="{FF2B5EF4-FFF2-40B4-BE49-F238E27FC236}">
              <a16:creationId xmlns:a16="http://schemas.microsoft.com/office/drawing/2014/main" xmlns="" id="{00000000-0008-0000-0300-00002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8" name="Rectangle 235">
          <a:extLst>
            <a:ext uri="{FF2B5EF4-FFF2-40B4-BE49-F238E27FC236}">
              <a16:creationId xmlns:a16="http://schemas.microsoft.com/office/drawing/2014/main" xmlns="" id="{00000000-0008-0000-0300-00002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9" name="Rectangle 236">
          <a:extLst>
            <a:ext uri="{FF2B5EF4-FFF2-40B4-BE49-F238E27FC236}">
              <a16:creationId xmlns:a16="http://schemas.microsoft.com/office/drawing/2014/main" xmlns="" id="{00000000-0008-0000-0300-00002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0" name="Rectangle 237">
          <a:extLst>
            <a:ext uri="{FF2B5EF4-FFF2-40B4-BE49-F238E27FC236}">
              <a16:creationId xmlns:a16="http://schemas.microsoft.com/office/drawing/2014/main" xmlns="" id="{00000000-0008-0000-0300-00002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1" name="Rectangle 238">
          <a:extLst>
            <a:ext uri="{FF2B5EF4-FFF2-40B4-BE49-F238E27FC236}">
              <a16:creationId xmlns:a16="http://schemas.microsoft.com/office/drawing/2014/main" xmlns="" id="{00000000-0008-0000-0300-00002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2" name="Rectangle 239">
          <a:extLst>
            <a:ext uri="{FF2B5EF4-FFF2-40B4-BE49-F238E27FC236}">
              <a16:creationId xmlns:a16="http://schemas.microsoft.com/office/drawing/2014/main" xmlns="" id="{00000000-0008-0000-0300-00002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3" name="Rectangle 240">
          <a:extLst>
            <a:ext uri="{FF2B5EF4-FFF2-40B4-BE49-F238E27FC236}">
              <a16:creationId xmlns:a16="http://schemas.microsoft.com/office/drawing/2014/main" xmlns="" id="{00000000-0008-0000-0300-00002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4" name="Rectangle 241">
          <a:extLst>
            <a:ext uri="{FF2B5EF4-FFF2-40B4-BE49-F238E27FC236}">
              <a16:creationId xmlns:a16="http://schemas.microsoft.com/office/drawing/2014/main" xmlns="" id="{00000000-0008-0000-0300-00002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5" name="Rectangle 242">
          <a:extLst>
            <a:ext uri="{FF2B5EF4-FFF2-40B4-BE49-F238E27FC236}">
              <a16:creationId xmlns:a16="http://schemas.microsoft.com/office/drawing/2014/main" xmlns="" id="{00000000-0008-0000-0300-00002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6" name="Rectangle 243">
          <a:extLst>
            <a:ext uri="{FF2B5EF4-FFF2-40B4-BE49-F238E27FC236}">
              <a16:creationId xmlns:a16="http://schemas.microsoft.com/office/drawing/2014/main" xmlns="" id="{00000000-0008-0000-0300-00002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7" name="Rectangle 244">
          <a:extLst>
            <a:ext uri="{FF2B5EF4-FFF2-40B4-BE49-F238E27FC236}">
              <a16:creationId xmlns:a16="http://schemas.microsoft.com/office/drawing/2014/main" xmlns="" id="{00000000-0008-0000-0300-00002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8" name="Rectangle 245">
          <a:extLst>
            <a:ext uri="{FF2B5EF4-FFF2-40B4-BE49-F238E27FC236}">
              <a16:creationId xmlns:a16="http://schemas.microsoft.com/office/drawing/2014/main" xmlns="" id="{00000000-0008-0000-0300-00003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9" name="Rectangle 246">
          <a:extLst>
            <a:ext uri="{FF2B5EF4-FFF2-40B4-BE49-F238E27FC236}">
              <a16:creationId xmlns:a16="http://schemas.microsoft.com/office/drawing/2014/main" xmlns="" id="{00000000-0008-0000-0300-00003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0" name="Rectangle 247">
          <a:extLst>
            <a:ext uri="{FF2B5EF4-FFF2-40B4-BE49-F238E27FC236}">
              <a16:creationId xmlns:a16="http://schemas.microsoft.com/office/drawing/2014/main" xmlns="" id="{00000000-0008-0000-0300-00003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1" name="Rectangle 248">
          <a:extLst>
            <a:ext uri="{FF2B5EF4-FFF2-40B4-BE49-F238E27FC236}">
              <a16:creationId xmlns:a16="http://schemas.microsoft.com/office/drawing/2014/main" xmlns="" id="{00000000-0008-0000-0300-00003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2" name="Rectangle 249">
          <a:extLst>
            <a:ext uri="{FF2B5EF4-FFF2-40B4-BE49-F238E27FC236}">
              <a16:creationId xmlns:a16="http://schemas.microsoft.com/office/drawing/2014/main" xmlns="" id="{00000000-0008-0000-0300-00003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3" name="Rectangle 250">
          <a:extLst>
            <a:ext uri="{FF2B5EF4-FFF2-40B4-BE49-F238E27FC236}">
              <a16:creationId xmlns:a16="http://schemas.microsoft.com/office/drawing/2014/main" xmlns="" id="{00000000-0008-0000-0300-00003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4" name="Rectangle 251">
          <a:extLst>
            <a:ext uri="{FF2B5EF4-FFF2-40B4-BE49-F238E27FC236}">
              <a16:creationId xmlns:a16="http://schemas.microsoft.com/office/drawing/2014/main" xmlns="" id="{00000000-0008-0000-0300-00003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5" name="Rectangle 252">
          <a:extLst>
            <a:ext uri="{FF2B5EF4-FFF2-40B4-BE49-F238E27FC236}">
              <a16:creationId xmlns:a16="http://schemas.microsoft.com/office/drawing/2014/main" xmlns="" id="{00000000-0008-0000-0300-00003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6" name="Rectangle 253">
          <a:extLst>
            <a:ext uri="{FF2B5EF4-FFF2-40B4-BE49-F238E27FC236}">
              <a16:creationId xmlns:a16="http://schemas.microsoft.com/office/drawing/2014/main" xmlns="" id="{00000000-0008-0000-0300-00003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7" name="Rectangle 254">
          <a:extLst>
            <a:ext uri="{FF2B5EF4-FFF2-40B4-BE49-F238E27FC236}">
              <a16:creationId xmlns:a16="http://schemas.microsoft.com/office/drawing/2014/main" xmlns="" id="{00000000-0008-0000-0300-00003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8" name="Rectangle 255">
          <a:extLst>
            <a:ext uri="{FF2B5EF4-FFF2-40B4-BE49-F238E27FC236}">
              <a16:creationId xmlns:a16="http://schemas.microsoft.com/office/drawing/2014/main" xmlns="" id="{00000000-0008-0000-0300-00003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9" name="Rectangle 256">
          <a:extLst>
            <a:ext uri="{FF2B5EF4-FFF2-40B4-BE49-F238E27FC236}">
              <a16:creationId xmlns:a16="http://schemas.microsoft.com/office/drawing/2014/main" xmlns="" id="{00000000-0008-0000-0300-00003B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0" name="Rectangle 257">
          <a:extLst>
            <a:ext uri="{FF2B5EF4-FFF2-40B4-BE49-F238E27FC236}">
              <a16:creationId xmlns:a16="http://schemas.microsoft.com/office/drawing/2014/main" xmlns="" id="{00000000-0008-0000-0300-00003C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1" name="Rectangle 258">
          <a:extLst>
            <a:ext uri="{FF2B5EF4-FFF2-40B4-BE49-F238E27FC236}">
              <a16:creationId xmlns:a16="http://schemas.microsoft.com/office/drawing/2014/main" xmlns="" id="{00000000-0008-0000-0300-00003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62" name="Rectangle 259">
          <a:extLst>
            <a:ext uri="{FF2B5EF4-FFF2-40B4-BE49-F238E27FC236}">
              <a16:creationId xmlns:a16="http://schemas.microsoft.com/office/drawing/2014/main" xmlns="" id="{00000000-0008-0000-0300-00003E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3" name="Rectangle 260">
          <a:extLst>
            <a:ext uri="{FF2B5EF4-FFF2-40B4-BE49-F238E27FC236}">
              <a16:creationId xmlns:a16="http://schemas.microsoft.com/office/drawing/2014/main" xmlns="" id="{00000000-0008-0000-0300-00003F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4" name="Rectangle 261">
          <a:extLst>
            <a:ext uri="{FF2B5EF4-FFF2-40B4-BE49-F238E27FC236}">
              <a16:creationId xmlns:a16="http://schemas.microsoft.com/office/drawing/2014/main" xmlns="" id="{00000000-0008-0000-0300-000040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5" name="Rectangle 262">
          <a:extLst>
            <a:ext uri="{FF2B5EF4-FFF2-40B4-BE49-F238E27FC236}">
              <a16:creationId xmlns:a16="http://schemas.microsoft.com/office/drawing/2014/main" xmlns="" id="{00000000-0008-0000-0300-00004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6" name="Rectangle 263">
          <a:extLst>
            <a:ext uri="{FF2B5EF4-FFF2-40B4-BE49-F238E27FC236}">
              <a16:creationId xmlns:a16="http://schemas.microsoft.com/office/drawing/2014/main" xmlns="" id="{00000000-0008-0000-0300-00004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7" name="Rectangle 264">
          <a:extLst>
            <a:ext uri="{FF2B5EF4-FFF2-40B4-BE49-F238E27FC236}">
              <a16:creationId xmlns:a16="http://schemas.microsoft.com/office/drawing/2014/main" xmlns="" id="{00000000-0008-0000-0300-00004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8" name="Rectangle 265">
          <a:extLst>
            <a:ext uri="{FF2B5EF4-FFF2-40B4-BE49-F238E27FC236}">
              <a16:creationId xmlns:a16="http://schemas.microsoft.com/office/drawing/2014/main" xmlns="" id="{00000000-0008-0000-0300-00004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9" name="Rectangle 266">
          <a:extLst>
            <a:ext uri="{FF2B5EF4-FFF2-40B4-BE49-F238E27FC236}">
              <a16:creationId xmlns:a16="http://schemas.microsoft.com/office/drawing/2014/main" xmlns="" id="{00000000-0008-0000-0300-00004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0" name="Rectangle 267">
          <a:extLst>
            <a:ext uri="{FF2B5EF4-FFF2-40B4-BE49-F238E27FC236}">
              <a16:creationId xmlns:a16="http://schemas.microsoft.com/office/drawing/2014/main" xmlns="" id="{00000000-0008-0000-0300-00004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1" name="Rectangle 268">
          <a:extLst>
            <a:ext uri="{FF2B5EF4-FFF2-40B4-BE49-F238E27FC236}">
              <a16:creationId xmlns:a16="http://schemas.microsoft.com/office/drawing/2014/main" xmlns="" id="{00000000-0008-0000-0300-00004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2" name="Rectangle 269">
          <a:extLst>
            <a:ext uri="{FF2B5EF4-FFF2-40B4-BE49-F238E27FC236}">
              <a16:creationId xmlns:a16="http://schemas.microsoft.com/office/drawing/2014/main" xmlns="" id="{00000000-0008-0000-0300-000048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3" name="Rectangle 270">
          <a:extLst>
            <a:ext uri="{FF2B5EF4-FFF2-40B4-BE49-F238E27FC236}">
              <a16:creationId xmlns:a16="http://schemas.microsoft.com/office/drawing/2014/main" xmlns="" id="{00000000-0008-0000-0300-000049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4" name="Rectangle 271">
          <a:extLst>
            <a:ext uri="{FF2B5EF4-FFF2-40B4-BE49-F238E27FC236}">
              <a16:creationId xmlns:a16="http://schemas.microsoft.com/office/drawing/2014/main" xmlns="" id="{00000000-0008-0000-0300-00004A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5" name="Rectangle 272">
          <a:extLst>
            <a:ext uri="{FF2B5EF4-FFF2-40B4-BE49-F238E27FC236}">
              <a16:creationId xmlns:a16="http://schemas.microsoft.com/office/drawing/2014/main" xmlns="" id="{00000000-0008-0000-0300-00004B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6" name="Rectangle 273">
          <a:extLst>
            <a:ext uri="{FF2B5EF4-FFF2-40B4-BE49-F238E27FC236}">
              <a16:creationId xmlns:a16="http://schemas.microsoft.com/office/drawing/2014/main" xmlns="" id="{00000000-0008-0000-0300-00004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7" name="Rectangle 274">
          <a:extLst>
            <a:ext uri="{FF2B5EF4-FFF2-40B4-BE49-F238E27FC236}">
              <a16:creationId xmlns:a16="http://schemas.microsoft.com/office/drawing/2014/main" xmlns="" id="{00000000-0008-0000-0300-00004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78" name="Rectangle 275">
          <a:extLst>
            <a:ext uri="{FF2B5EF4-FFF2-40B4-BE49-F238E27FC236}">
              <a16:creationId xmlns:a16="http://schemas.microsoft.com/office/drawing/2014/main" xmlns="" id="{00000000-0008-0000-0300-00004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79" name="Rectangle 276">
          <a:extLst>
            <a:ext uri="{FF2B5EF4-FFF2-40B4-BE49-F238E27FC236}">
              <a16:creationId xmlns:a16="http://schemas.microsoft.com/office/drawing/2014/main" xmlns="" id="{00000000-0008-0000-0300-00004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0" name="Rectangle 277">
          <a:extLst>
            <a:ext uri="{FF2B5EF4-FFF2-40B4-BE49-F238E27FC236}">
              <a16:creationId xmlns:a16="http://schemas.microsoft.com/office/drawing/2014/main" xmlns="" id="{00000000-0008-0000-0300-00005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1" name="Rectangle 278">
          <a:extLst>
            <a:ext uri="{FF2B5EF4-FFF2-40B4-BE49-F238E27FC236}">
              <a16:creationId xmlns:a16="http://schemas.microsoft.com/office/drawing/2014/main" xmlns="" id="{00000000-0008-0000-0300-00005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2" name="Rectangle 279">
          <a:extLst>
            <a:ext uri="{FF2B5EF4-FFF2-40B4-BE49-F238E27FC236}">
              <a16:creationId xmlns:a16="http://schemas.microsoft.com/office/drawing/2014/main" xmlns="" id="{00000000-0008-0000-0300-00005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3" name="Rectangle 280">
          <a:extLst>
            <a:ext uri="{FF2B5EF4-FFF2-40B4-BE49-F238E27FC236}">
              <a16:creationId xmlns:a16="http://schemas.microsoft.com/office/drawing/2014/main" xmlns="" id="{00000000-0008-0000-0300-00005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4" name="Rectangle 281">
          <a:extLst>
            <a:ext uri="{FF2B5EF4-FFF2-40B4-BE49-F238E27FC236}">
              <a16:creationId xmlns:a16="http://schemas.microsoft.com/office/drawing/2014/main" xmlns="" id="{00000000-0008-0000-0300-00005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5" name="Rectangle 282">
          <a:extLst>
            <a:ext uri="{FF2B5EF4-FFF2-40B4-BE49-F238E27FC236}">
              <a16:creationId xmlns:a16="http://schemas.microsoft.com/office/drawing/2014/main" xmlns="" id="{00000000-0008-0000-0300-00005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6" name="Rectangle 283">
          <a:extLst>
            <a:ext uri="{FF2B5EF4-FFF2-40B4-BE49-F238E27FC236}">
              <a16:creationId xmlns:a16="http://schemas.microsoft.com/office/drawing/2014/main" xmlns="" id="{00000000-0008-0000-0300-00005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7" name="Rectangle 284">
          <a:extLst>
            <a:ext uri="{FF2B5EF4-FFF2-40B4-BE49-F238E27FC236}">
              <a16:creationId xmlns:a16="http://schemas.microsoft.com/office/drawing/2014/main" xmlns="" id="{00000000-0008-0000-0300-00005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8" name="Rectangle 285">
          <a:extLst>
            <a:ext uri="{FF2B5EF4-FFF2-40B4-BE49-F238E27FC236}">
              <a16:creationId xmlns:a16="http://schemas.microsoft.com/office/drawing/2014/main" xmlns="" id="{00000000-0008-0000-0300-00005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9" name="Rectangle 286">
          <a:extLst>
            <a:ext uri="{FF2B5EF4-FFF2-40B4-BE49-F238E27FC236}">
              <a16:creationId xmlns:a16="http://schemas.microsoft.com/office/drawing/2014/main" xmlns="" id="{00000000-0008-0000-0300-00005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0" name="Rectangle 287">
          <a:extLst>
            <a:ext uri="{FF2B5EF4-FFF2-40B4-BE49-F238E27FC236}">
              <a16:creationId xmlns:a16="http://schemas.microsoft.com/office/drawing/2014/main" xmlns="" id="{00000000-0008-0000-0300-00005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1" name="Rectangle 288">
          <a:extLst>
            <a:ext uri="{FF2B5EF4-FFF2-40B4-BE49-F238E27FC236}">
              <a16:creationId xmlns:a16="http://schemas.microsoft.com/office/drawing/2014/main" xmlns="" id="{00000000-0008-0000-0300-00005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2" name="Rectangle 289">
          <a:extLst>
            <a:ext uri="{FF2B5EF4-FFF2-40B4-BE49-F238E27FC236}">
              <a16:creationId xmlns:a16="http://schemas.microsoft.com/office/drawing/2014/main" xmlns="" id="{00000000-0008-0000-0300-00005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3" name="Rectangle 290">
          <a:extLst>
            <a:ext uri="{FF2B5EF4-FFF2-40B4-BE49-F238E27FC236}">
              <a16:creationId xmlns:a16="http://schemas.microsoft.com/office/drawing/2014/main" xmlns="" id="{00000000-0008-0000-0300-00005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4" name="Rectangle 291">
          <a:extLst>
            <a:ext uri="{FF2B5EF4-FFF2-40B4-BE49-F238E27FC236}">
              <a16:creationId xmlns:a16="http://schemas.microsoft.com/office/drawing/2014/main" xmlns="" id="{00000000-0008-0000-0300-00005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5" name="Rectangle 292">
          <a:extLst>
            <a:ext uri="{FF2B5EF4-FFF2-40B4-BE49-F238E27FC236}">
              <a16:creationId xmlns:a16="http://schemas.microsoft.com/office/drawing/2014/main" xmlns="" id="{00000000-0008-0000-0300-00005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6" name="Rectangle 293">
          <a:extLst>
            <a:ext uri="{FF2B5EF4-FFF2-40B4-BE49-F238E27FC236}">
              <a16:creationId xmlns:a16="http://schemas.microsoft.com/office/drawing/2014/main" xmlns="" id="{00000000-0008-0000-0300-00006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7" name="Rectangle 294">
          <a:extLst>
            <a:ext uri="{FF2B5EF4-FFF2-40B4-BE49-F238E27FC236}">
              <a16:creationId xmlns:a16="http://schemas.microsoft.com/office/drawing/2014/main" xmlns="" id="{00000000-0008-0000-0300-00006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8" name="Rectangle 295">
          <a:extLst>
            <a:ext uri="{FF2B5EF4-FFF2-40B4-BE49-F238E27FC236}">
              <a16:creationId xmlns:a16="http://schemas.microsoft.com/office/drawing/2014/main" xmlns="" id="{00000000-0008-0000-0300-00006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9" name="Rectangle 296">
          <a:extLst>
            <a:ext uri="{FF2B5EF4-FFF2-40B4-BE49-F238E27FC236}">
              <a16:creationId xmlns:a16="http://schemas.microsoft.com/office/drawing/2014/main" xmlns="" id="{00000000-0008-0000-0300-00006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0" name="Rectangle 297">
          <a:extLst>
            <a:ext uri="{FF2B5EF4-FFF2-40B4-BE49-F238E27FC236}">
              <a16:creationId xmlns:a16="http://schemas.microsoft.com/office/drawing/2014/main" xmlns="" id="{00000000-0008-0000-0300-00006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1" name="Rectangle 298">
          <a:extLst>
            <a:ext uri="{FF2B5EF4-FFF2-40B4-BE49-F238E27FC236}">
              <a16:creationId xmlns:a16="http://schemas.microsoft.com/office/drawing/2014/main" xmlns="" id="{00000000-0008-0000-0300-00006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102" name="Rectangle 299">
          <a:extLst>
            <a:ext uri="{FF2B5EF4-FFF2-40B4-BE49-F238E27FC236}">
              <a16:creationId xmlns:a16="http://schemas.microsoft.com/office/drawing/2014/main" xmlns="" id="{00000000-0008-0000-0300-00006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3" name="Rectangle 300">
          <a:extLst>
            <a:ext uri="{FF2B5EF4-FFF2-40B4-BE49-F238E27FC236}">
              <a16:creationId xmlns:a16="http://schemas.microsoft.com/office/drawing/2014/main" xmlns="" id="{00000000-0008-0000-0300-00006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4" name="Rectangle 301">
          <a:extLst>
            <a:ext uri="{FF2B5EF4-FFF2-40B4-BE49-F238E27FC236}">
              <a16:creationId xmlns:a16="http://schemas.microsoft.com/office/drawing/2014/main" xmlns="" id="{00000000-0008-0000-0300-00006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5" name="Rectangle 302">
          <a:extLst>
            <a:ext uri="{FF2B5EF4-FFF2-40B4-BE49-F238E27FC236}">
              <a16:creationId xmlns:a16="http://schemas.microsoft.com/office/drawing/2014/main" xmlns="" id="{00000000-0008-0000-0300-00006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6" name="Rectangle 303">
          <a:extLst>
            <a:ext uri="{FF2B5EF4-FFF2-40B4-BE49-F238E27FC236}">
              <a16:creationId xmlns:a16="http://schemas.microsoft.com/office/drawing/2014/main" xmlns="" id="{00000000-0008-0000-0300-00006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7" name="Rectangle 304">
          <a:extLst>
            <a:ext uri="{FF2B5EF4-FFF2-40B4-BE49-F238E27FC236}">
              <a16:creationId xmlns:a16="http://schemas.microsoft.com/office/drawing/2014/main" xmlns="" id="{00000000-0008-0000-0300-00006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8" name="Rectangle 305">
          <a:extLst>
            <a:ext uri="{FF2B5EF4-FFF2-40B4-BE49-F238E27FC236}">
              <a16:creationId xmlns:a16="http://schemas.microsoft.com/office/drawing/2014/main" xmlns="" id="{00000000-0008-0000-0300-00006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9" name="Rectangle 306">
          <a:extLst>
            <a:ext uri="{FF2B5EF4-FFF2-40B4-BE49-F238E27FC236}">
              <a16:creationId xmlns:a16="http://schemas.microsoft.com/office/drawing/2014/main" xmlns="" id="{00000000-0008-0000-0300-00006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0" name="Rectangle 307">
          <a:extLst>
            <a:ext uri="{FF2B5EF4-FFF2-40B4-BE49-F238E27FC236}">
              <a16:creationId xmlns:a16="http://schemas.microsoft.com/office/drawing/2014/main" xmlns="" id="{00000000-0008-0000-0300-00006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1" name="Rectangle 308">
          <a:extLst>
            <a:ext uri="{FF2B5EF4-FFF2-40B4-BE49-F238E27FC236}">
              <a16:creationId xmlns:a16="http://schemas.microsoft.com/office/drawing/2014/main" xmlns="" id="{00000000-0008-0000-0300-00006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2" name="Rectangle 309">
          <a:extLst>
            <a:ext uri="{FF2B5EF4-FFF2-40B4-BE49-F238E27FC236}">
              <a16:creationId xmlns:a16="http://schemas.microsoft.com/office/drawing/2014/main" xmlns="" id="{00000000-0008-0000-0300-00007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3" name="Rectangle 310">
          <a:extLst>
            <a:ext uri="{FF2B5EF4-FFF2-40B4-BE49-F238E27FC236}">
              <a16:creationId xmlns:a16="http://schemas.microsoft.com/office/drawing/2014/main" xmlns="" id="{00000000-0008-0000-0300-00007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4" name="Rectangle 311">
          <a:extLst>
            <a:ext uri="{FF2B5EF4-FFF2-40B4-BE49-F238E27FC236}">
              <a16:creationId xmlns:a16="http://schemas.microsoft.com/office/drawing/2014/main" xmlns="" id="{00000000-0008-0000-0300-00007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5" name="Rectangle 312">
          <a:extLst>
            <a:ext uri="{FF2B5EF4-FFF2-40B4-BE49-F238E27FC236}">
              <a16:creationId xmlns:a16="http://schemas.microsoft.com/office/drawing/2014/main" xmlns="" id="{00000000-0008-0000-0300-00007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6" name="Rectangle 313">
          <a:extLst>
            <a:ext uri="{FF2B5EF4-FFF2-40B4-BE49-F238E27FC236}">
              <a16:creationId xmlns:a16="http://schemas.microsoft.com/office/drawing/2014/main" xmlns="" id="{00000000-0008-0000-0300-000074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7" name="Rectangle 314">
          <a:extLst>
            <a:ext uri="{FF2B5EF4-FFF2-40B4-BE49-F238E27FC236}">
              <a16:creationId xmlns:a16="http://schemas.microsoft.com/office/drawing/2014/main" xmlns="" id="{00000000-0008-0000-0300-000075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8" name="Rectangle 315">
          <a:extLst>
            <a:ext uri="{FF2B5EF4-FFF2-40B4-BE49-F238E27FC236}">
              <a16:creationId xmlns:a16="http://schemas.microsoft.com/office/drawing/2014/main" xmlns="" id="{00000000-0008-0000-0300-000076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9" name="Rectangle 316">
          <a:extLst>
            <a:ext uri="{FF2B5EF4-FFF2-40B4-BE49-F238E27FC236}">
              <a16:creationId xmlns:a16="http://schemas.microsoft.com/office/drawing/2014/main" xmlns="" id="{00000000-0008-0000-0300-000077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0" name="Rectangle 317">
          <a:extLst>
            <a:ext uri="{FF2B5EF4-FFF2-40B4-BE49-F238E27FC236}">
              <a16:creationId xmlns:a16="http://schemas.microsoft.com/office/drawing/2014/main" xmlns="" id="{00000000-0008-0000-0300-00007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1" name="Rectangle 318">
          <a:extLst>
            <a:ext uri="{FF2B5EF4-FFF2-40B4-BE49-F238E27FC236}">
              <a16:creationId xmlns:a16="http://schemas.microsoft.com/office/drawing/2014/main" xmlns="" id="{00000000-0008-0000-0300-00007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2" name="Rectangle 1012">
          <a:extLst>
            <a:ext uri="{FF2B5EF4-FFF2-40B4-BE49-F238E27FC236}">
              <a16:creationId xmlns:a16="http://schemas.microsoft.com/office/drawing/2014/main" xmlns="" id="{00000000-0008-0000-0300-00007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3" name="Rectangle 1013">
          <a:extLst>
            <a:ext uri="{FF2B5EF4-FFF2-40B4-BE49-F238E27FC236}">
              <a16:creationId xmlns:a16="http://schemas.microsoft.com/office/drawing/2014/main" xmlns="" id="{00000000-0008-0000-0300-00007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4" name="Rectangle 1014">
          <a:extLst>
            <a:ext uri="{FF2B5EF4-FFF2-40B4-BE49-F238E27FC236}">
              <a16:creationId xmlns:a16="http://schemas.microsoft.com/office/drawing/2014/main" xmlns="" id="{00000000-0008-0000-0300-00007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5" name="Rectangle 1015">
          <a:extLst>
            <a:ext uri="{FF2B5EF4-FFF2-40B4-BE49-F238E27FC236}">
              <a16:creationId xmlns:a16="http://schemas.microsoft.com/office/drawing/2014/main" xmlns="" id="{00000000-0008-0000-0300-00007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6" name="Rectangle 1016">
          <a:extLst>
            <a:ext uri="{FF2B5EF4-FFF2-40B4-BE49-F238E27FC236}">
              <a16:creationId xmlns:a16="http://schemas.microsoft.com/office/drawing/2014/main" xmlns="" id="{00000000-0008-0000-0300-00007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7" name="Rectangle 1017">
          <a:extLst>
            <a:ext uri="{FF2B5EF4-FFF2-40B4-BE49-F238E27FC236}">
              <a16:creationId xmlns:a16="http://schemas.microsoft.com/office/drawing/2014/main" xmlns="" id="{00000000-0008-0000-0300-00007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8" name="Rectangle 1018">
          <a:extLst>
            <a:ext uri="{FF2B5EF4-FFF2-40B4-BE49-F238E27FC236}">
              <a16:creationId xmlns:a16="http://schemas.microsoft.com/office/drawing/2014/main" xmlns="" id="{00000000-0008-0000-0300-00008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9" name="Rectangle 1019">
          <a:extLst>
            <a:ext uri="{FF2B5EF4-FFF2-40B4-BE49-F238E27FC236}">
              <a16:creationId xmlns:a16="http://schemas.microsoft.com/office/drawing/2014/main" xmlns="" id="{00000000-0008-0000-0300-00008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0" name="Rectangle 1020">
          <a:extLst>
            <a:ext uri="{FF2B5EF4-FFF2-40B4-BE49-F238E27FC236}">
              <a16:creationId xmlns:a16="http://schemas.microsoft.com/office/drawing/2014/main" xmlns="" id="{00000000-0008-0000-0300-00008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1" name="Rectangle 1021">
          <a:extLst>
            <a:ext uri="{FF2B5EF4-FFF2-40B4-BE49-F238E27FC236}">
              <a16:creationId xmlns:a16="http://schemas.microsoft.com/office/drawing/2014/main" xmlns="" id="{00000000-0008-0000-0300-00008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2" name="Rectangle 1022">
          <a:extLst>
            <a:ext uri="{FF2B5EF4-FFF2-40B4-BE49-F238E27FC236}">
              <a16:creationId xmlns:a16="http://schemas.microsoft.com/office/drawing/2014/main" xmlns="" id="{00000000-0008-0000-0300-00008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3" name="Rectangle 1023">
          <a:extLst>
            <a:ext uri="{FF2B5EF4-FFF2-40B4-BE49-F238E27FC236}">
              <a16:creationId xmlns:a16="http://schemas.microsoft.com/office/drawing/2014/main" xmlns="" id="{00000000-0008-0000-0300-00008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4" name="Rectangle 1024">
          <a:extLst>
            <a:ext uri="{FF2B5EF4-FFF2-40B4-BE49-F238E27FC236}">
              <a16:creationId xmlns:a16="http://schemas.microsoft.com/office/drawing/2014/main" xmlns="" id="{00000000-0008-0000-0300-00008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5" name="Rectangle 1025">
          <a:extLst>
            <a:ext uri="{FF2B5EF4-FFF2-40B4-BE49-F238E27FC236}">
              <a16:creationId xmlns:a16="http://schemas.microsoft.com/office/drawing/2014/main" xmlns="" id="{00000000-0008-0000-0300-00008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6" name="Rectangle 1026">
          <a:extLst>
            <a:ext uri="{FF2B5EF4-FFF2-40B4-BE49-F238E27FC236}">
              <a16:creationId xmlns:a16="http://schemas.microsoft.com/office/drawing/2014/main" xmlns="" id="{00000000-0008-0000-0300-00008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7" name="Rectangle 1027">
          <a:extLst>
            <a:ext uri="{FF2B5EF4-FFF2-40B4-BE49-F238E27FC236}">
              <a16:creationId xmlns:a16="http://schemas.microsoft.com/office/drawing/2014/main" xmlns="" id="{00000000-0008-0000-0300-00008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8" name="Rectangle 1028">
          <a:extLst>
            <a:ext uri="{FF2B5EF4-FFF2-40B4-BE49-F238E27FC236}">
              <a16:creationId xmlns:a16="http://schemas.microsoft.com/office/drawing/2014/main" xmlns="" id="{00000000-0008-0000-0300-00008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9" name="Rectangle 1029">
          <a:extLst>
            <a:ext uri="{FF2B5EF4-FFF2-40B4-BE49-F238E27FC236}">
              <a16:creationId xmlns:a16="http://schemas.microsoft.com/office/drawing/2014/main" xmlns="" id="{00000000-0008-0000-0300-00008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0" name="Rectangle 1030">
          <a:extLst>
            <a:ext uri="{FF2B5EF4-FFF2-40B4-BE49-F238E27FC236}">
              <a16:creationId xmlns:a16="http://schemas.microsoft.com/office/drawing/2014/main" xmlns="" id="{00000000-0008-0000-0300-00008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1" name="Rectangle 1031">
          <a:extLst>
            <a:ext uri="{FF2B5EF4-FFF2-40B4-BE49-F238E27FC236}">
              <a16:creationId xmlns:a16="http://schemas.microsoft.com/office/drawing/2014/main" xmlns="" id="{00000000-0008-0000-0300-00008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2" name="Rectangle 1032">
          <a:extLst>
            <a:ext uri="{FF2B5EF4-FFF2-40B4-BE49-F238E27FC236}">
              <a16:creationId xmlns:a16="http://schemas.microsoft.com/office/drawing/2014/main" xmlns="" id="{00000000-0008-0000-0300-00008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3" name="Rectangle 1033">
          <a:extLst>
            <a:ext uri="{FF2B5EF4-FFF2-40B4-BE49-F238E27FC236}">
              <a16:creationId xmlns:a16="http://schemas.microsoft.com/office/drawing/2014/main" xmlns="" id="{00000000-0008-0000-0300-00008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4" name="Rectangle 1034">
          <a:extLst>
            <a:ext uri="{FF2B5EF4-FFF2-40B4-BE49-F238E27FC236}">
              <a16:creationId xmlns:a16="http://schemas.microsoft.com/office/drawing/2014/main" xmlns="" id="{00000000-0008-0000-0300-00009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5" name="Rectangle 1035">
          <a:extLst>
            <a:ext uri="{FF2B5EF4-FFF2-40B4-BE49-F238E27FC236}">
              <a16:creationId xmlns:a16="http://schemas.microsoft.com/office/drawing/2014/main" xmlns="" id="{00000000-0008-0000-0300-00009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6" name="Rectangle 1036">
          <a:extLst>
            <a:ext uri="{FF2B5EF4-FFF2-40B4-BE49-F238E27FC236}">
              <a16:creationId xmlns:a16="http://schemas.microsoft.com/office/drawing/2014/main" xmlns="" id="{00000000-0008-0000-0300-00009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7" name="Rectangle 1037">
          <a:extLst>
            <a:ext uri="{FF2B5EF4-FFF2-40B4-BE49-F238E27FC236}">
              <a16:creationId xmlns:a16="http://schemas.microsoft.com/office/drawing/2014/main" xmlns="" id="{00000000-0008-0000-0300-00009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8" name="Rectangle 1038">
          <a:extLst>
            <a:ext uri="{FF2B5EF4-FFF2-40B4-BE49-F238E27FC236}">
              <a16:creationId xmlns:a16="http://schemas.microsoft.com/office/drawing/2014/main" xmlns="" id="{00000000-0008-0000-0300-00009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9" name="Rectangle 1039">
          <a:extLst>
            <a:ext uri="{FF2B5EF4-FFF2-40B4-BE49-F238E27FC236}">
              <a16:creationId xmlns:a16="http://schemas.microsoft.com/office/drawing/2014/main" xmlns="" id="{00000000-0008-0000-0300-00009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0" name="Rectangle 1040">
          <a:extLst>
            <a:ext uri="{FF2B5EF4-FFF2-40B4-BE49-F238E27FC236}">
              <a16:creationId xmlns:a16="http://schemas.microsoft.com/office/drawing/2014/main" xmlns="" id="{00000000-0008-0000-0300-00009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1" name="Rectangle 1041">
          <a:extLst>
            <a:ext uri="{FF2B5EF4-FFF2-40B4-BE49-F238E27FC236}">
              <a16:creationId xmlns:a16="http://schemas.microsoft.com/office/drawing/2014/main" xmlns="" id="{00000000-0008-0000-0300-00009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52" name="Rectangle 1042">
          <a:extLst>
            <a:ext uri="{FF2B5EF4-FFF2-40B4-BE49-F238E27FC236}">
              <a16:creationId xmlns:a16="http://schemas.microsoft.com/office/drawing/2014/main" xmlns="" id="{00000000-0008-0000-0300-00009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3" name="Rectangle 1043">
          <a:extLst>
            <a:ext uri="{FF2B5EF4-FFF2-40B4-BE49-F238E27FC236}">
              <a16:creationId xmlns:a16="http://schemas.microsoft.com/office/drawing/2014/main" xmlns="" id="{00000000-0008-0000-0300-00009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4" name="Rectangle 1044">
          <a:extLst>
            <a:ext uri="{FF2B5EF4-FFF2-40B4-BE49-F238E27FC236}">
              <a16:creationId xmlns:a16="http://schemas.microsoft.com/office/drawing/2014/main" xmlns="" id="{00000000-0008-0000-0300-00009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5" name="Rectangle 1045">
          <a:extLst>
            <a:ext uri="{FF2B5EF4-FFF2-40B4-BE49-F238E27FC236}">
              <a16:creationId xmlns:a16="http://schemas.microsoft.com/office/drawing/2014/main" xmlns="" id="{00000000-0008-0000-0300-00009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6" name="Rectangle 1046">
          <a:extLst>
            <a:ext uri="{FF2B5EF4-FFF2-40B4-BE49-F238E27FC236}">
              <a16:creationId xmlns:a16="http://schemas.microsoft.com/office/drawing/2014/main" xmlns="" id="{00000000-0008-0000-0300-00009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7" name="Rectangle 1047">
          <a:extLst>
            <a:ext uri="{FF2B5EF4-FFF2-40B4-BE49-F238E27FC236}">
              <a16:creationId xmlns:a16="http://schemas.microsoft.com/office/drawing/2014/main" xmlns="" id="{00000000-0008-0000-0300-00009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8" name="Rectangle 1048">
          <a:extLst>
            <a:ext uri="{FF2B5EF4-FFF2-40B4-BE49-F238E27FC236}">
              <a16:creationId xmlns:a16="http://schemas.microsoft.com/office/drawing/2014/main" xmlns="" id="{00000000-0008-0000-0300-00009E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9" name="Rectangle 1049">
          <a:extLst>
            <a:ext uri="{FF2B5EF4-FFF2-40B4-BE49-F238E27FC236}">
              <a16:creationId xmlns:a16="http://schemas.microsoft.com/office/drawing/2014/main" xmlns="" id="{00000000-0008-0000-0300-00009F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0" name="Rectangle 1050">
          <a:extLst>
            <a:ext uri="{FF2B5EF4-FFF2-40B4-BE49-F238E27FC236}">
              <a16:creationId xmlns:a16="http://schemas.microsoft.com/office/drawing/2014/main" xmlns="" id="{00000000-0008-0000-0300-0000A0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1" name="Rectangle 1051">
          <a:extLst>
            <a:ext uri="{FF2B5EF4-FFF2-40B4-BE49-F238E27FC236}">
              <a16:creationId xmlns:a16="http://schemas.microsoft.com/office/drawing/2014/main" xmlns="" id="{00000000-0008-0000-0300-0000A1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2" name="Rectangle 1052">
          <a:extLst>
            <a:ext uri="{FF2B5EF4-FFF2-40B4-BE49-F238E27FC236}">
              <a16:creationId xmlns:a16="http://schemas.microsoft.com/office/drawing/2014/main" xmlns="" id="{00000000-0008-0000-0300-0000A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3" name="Rectangle 1053">
          <a:extLst>
            <a:ext uri="{FF2B5EF4-FFF2-40B4-BE49-F238E27FC236}">
              <a16:creationId xmlns:a16="http://schemas.microsoft.com/office/drawing/2014/main" xmlns="" id="{00000000-0008-0000-0300-0000A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4" name="Rectangle 1054">
          <a:extLst>
            <a:ext uri="{FF2B5EF4-FFF2-40B4-BE49-F238E27FC236}">
              <a16:creationId xmlns:a16="http://schemas.microsoft.com/office/drawing/2014/main" xmlns="" id="{00000000-0008-0000-0300-0000A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5" name="Rectangle 1055">
          <a:extLst>
            <a:ext uri="{FF2B5EF4-FFF2-40B4-BE49-F238E27FC236}">
              <a16:creationId xmlns:a16="http://schemas.microsoft.com/office/drawing/2014/main" xmlns="" id="{00000000-0008-0000-0300-0000A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6" name="Rectangle 1056">
          <a:extLst>
            <a:ext uri="{FF2B5EF4-FFF2-40B4-BE49-F238E27FC236}">
              <a16:creationId xmlns:a16="http://schemas.microsoft.com/office/drawing/2014/main" xmlns="" id="{00000000-0008-0000-0300-0000A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7" name="Rectangle 1057">
          <a:extLst>
            <a:ext uri="{FF2B5EF4-FFF2-40B4-BE49-F238E27FC236}">
              <a16:creationId xmlns:a16="http://schemas.microsoft.com/office/drawing/2014/main" xmlns="" id="{00000000-0008-0000-0300-0000A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68" name="Rectangle 1121">
          <a:extLst>
            <a:ext uri="{FF2B5EF4-FFF2-40B4-BE49-F238E27FC236}">
              <a16:creationId xmlns:a16="http://schemas.microsoft.com/office/drawing/2014/main" xmlns="" id="{00000000-0008-0000-0300-0000A8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69" name="Rectangle 1122">
          <a:extLst>
            <a:ext uri="{FF2B5EF4-FFF2-40B4-BE49-F238E27FC236}">
              <a16:creationId xmlns:a16="http://schemas.microsoft.com/office/drawing/2014/main" xmlns="" id="{00000000-0008-0000-0300-0000A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0" name="Rectangle 1123">
          <a:extLst>
            <a:ext uri="{FF2B5EF4-FFF2-40B4-BE49-F238E27FC236}">
              <a16:creationId xmlns:a16="http://schemas.microsoft.com/office/drawing/2014/main" xmlns="" id="{00000000-0008-0000-0300-0000A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1" name="Rectangle 1124">
          <a:extLst>
            <a:ext uri="{FF2B5EF4-FFF2-40B4-BE49-F238E27FC236}">
              <a16:creationId xmlns:a16="http://schemas.microsoft.com/office/drawing/2014/main" xmlns="" id="{00000000-0008-0000-0300-0000AB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2" name="Rectangle 1125">
          <a:extLst>
            <a:ext uri="{FF2B5EF4-FFF2-40B4-BE49-F238E27FC236}">
              <a16:creationId xmlns:a16="http://schemas.microsoft.com/office/drawing/2014/main" xmlns="" id="{00000000-0008-0000-0300-0000AC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3" name="Rectangle 1126">
          <a:extLst>
            <a:ext uri="{FF2B5EF4-FFF2-40B4-BE49-F238E27FC236}">
              <a16:creationId xmlns:a16="http://schemas.microsoft.com/office/drawing/2014/main" xmlns="" id="{00000000-0008-0000-0300-0000A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4" name="Rectangle 1127">
          <a:extLst>
            <a:ext uri="{FF2B5EF4-FFF2-40B4-BE49-F238E27FC236}">
              <a16:creationId xmlns:a16="http://schemas.microsoft.com/office/drawing/2014/main" xmlns="" id="{00000000-0008-0000-0300-0000A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5" name="Rectangle 1128">
          <a:extLst>
            <a:ext uri="{FF2B5EF4-FFF2-40B4-BE49-F238E27FC236}">
              <a16:creationId xmlns:a16="http://schemas.microsoft.com/office/drawing/2014/main" xmlns="" id="{00000000-0008-0000-0300-0000A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6" name="Rectangle 1129">
          <a:extLst>
            <a:ext uri="{FF2B5EF4-FFF2-40B4-BE49-F238E27FC236}">
              <a16:creationId xmlns:a16="http://schemas.microsoft.com/office/drawing/2014/main" xmlns="" id="{00000000-0008-0000-0300-0000B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7" name="Rectangle 1130">
          <a:extLst>
            <a:ext uri="{FF2B5EF4-FFF2-40B4-BE49-F238E27FC236}">
              <a16:creationId xmlns:a16="http://schemas.microsoft.com/office/drawing/2014/main" xmlns="" id="{00000000-0008-0000-0300-0000B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8" name="Rectangle 1131">
          <a:extLst>
            <a:ext uri="{FF2B5EF4-FFF2-40B4-BE49-F238E27FC236}">
              <a16:creationId xmlns:a16="http://schemas.microsoft.com/office/drawing/2014/main" xmlns="" id="{00000000-0008-0000-0300-0000B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9" name="Rectangle 1132">
          <a:extLst>
            <a:ext uri="{FF2B5EF4-FFF2-40B4-BE49-F238E27FC236}">
              <a16:creationId xmlns:a16="http://schemas.microsoft.com/office/drawing/2014/main" xmlns="" id="{00000000-0008-0000-0300-0000B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0" name="Rectangle 1133">
          <a:extLst>
            <a:ext uri="{FF2B5EF4-FFF2-40B4-BE49-F238E27FC236}">
              <a16:creationId xmlns:a16="http://schemas.microsoft.com/office/drawing/2014/main" xmlns="" id="{00000000-0008-0000-0300-0000B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1" name="Rectangle 1134">
          <a:extLst>
            <a:ext uri="{FF2B5EF4-FFF2-40B4-BE49-F238E27FC236}">
              <a16:creationId xmlns:a16="http://schemas.microsoft.com/office/drawing/2014/main" xmlns="" id="{00000000-0008-0000-0300-0000B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2" name="Rectangle 1135">
          <a:extLst>
            <a:ext uri="{FF2B5EF4-FFF2-40B4-BE49-F238E27FC236}">
              <a16:creationId xmlns:a16="http://schemas.microsoft.com/office/drawing/2014/main" xmlns="" id="{00000000-0008-0000-0300-0000B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3" name="Rectangle 1136">
          <a:extLst>
            <a:ext uri="{FF2B5EF4-FFF2-40B4-BE49-F238E27FC236}">
              <a16:creationId xmlns:a16="http://schemas.microsoft.com/office/drawing/2014/main" xmlns="" id="{00000000-0008-0000-0300-0000B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4" name="Rectangle 1137">
          <a:extLst>
            <a:ext uri="{FF2B5EF4-FFF2-40B4-BE49-F238E27FC236}">
              <a16:creationId xmlns:a16="http://schemas.microsoft.com/office/drawing/2014/main" xmlns="" id="{00000000-0008-0000-0300-0000B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5" name="Rectangle 1138">
          <a:extLst>
            <a:ext uri="{FF2B5EF4-FFF2-40B4-BE49-F238E27FC236}">
              <a16:creationId xmlns:a16="http://schemas.microsoft.com/office/drawing/2014/main" xmlns="" id="{00000000-0008-0000-0300-0000B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6" name="Rectangle 1139">
          <a:extLst>
            <a:ext uri="{FF2B5EF4-FFF2-40B4-BE49-F238E27FC236}">
              <a16:creationId xmlns:a16="http://schemas.microsoft.com/office/drawing/2014/main" xmlns="" id="{00000000-0008-0000-0300-0000B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7" name="Rectangle 1140">
          <a:extLst>
            <a:ext uri="{FF2B5EF4-FFF2-40B4-BE49-F238E27FC236}">
              <a16:creationId xmlns:a16="http://schemas.microsoft.com/office/drawing/2014/main" xmlns="" id="{00000000-0008-0000-0300-0000B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8" name="Rectangle 1141">
          <a:extLst>
            <a:ext uri="{FF2B5EF4-FFF2-40B4-BE49-F238E27FC236}">
              <a16:creationId xmlns:a16="http://schemas.microsoft.com/office/drawing/2014/main" xmlns="" id="{00000000-0008-0000-0300-0000B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9" name="Rectangle 1142">
          <a:extLst>
            <a:ext uri="{FF2B5EF4-FFF2-40B4-BE49-F238E27FC236}">
              <a16:creationId xmlns:a16="http://schemas.microsoft.com/office/drawing/2014/main" xmlns="" id="{00000000-0008-0000-0300-0000B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0" name="Rectangle 1143">
          <a:extLst>
            <a:ext uri="{FF2B5EF4-FFF2-40B4-BE49-F238E27FC236}">
              <a16:creationId xmlns:a16="http://schemas.microsoft.com/office/drawing/2014/main" xmlns="" id="{00000000-0008-0000-0300-0000B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1" name="Rectangle 1144">
          <a:extLst>
            <a:ext uri="{FF2B5EF4-FFF2-40B4-BE49-F238E27FC236}">
              <a16:creationId xmlns:a16="http://schemas.microsoft.com/office/drawing/2014/main" xmlns="" id="{00000000-0008-0000-0300-0000B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92" name="Rectangle 1145">
          <a:extLst>
            <a:ext uri="{FF2B5EF4-FFF2-40B4-BE49-F238E27FC236}">
              <a16:creationId xmlns:a16="http://schemas.microsoft.com/office/drawing/2014/main" xmlns="" id="{00000000-0008-0000-0300-0000C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3" name="Rectangle 1146">
          <a:extLst>
            <a:ext uri="{FF2B5EF4-FFF2-40B4-BE49-F238E27FC236}">
              <a16:creationId xmlns:a16="http://schemas.microsoft.com/office/drawing/2014/main" xmlns="" id="{00000000-0008-0000-0300-0000C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4" name="Rectangle 1147">
          <a:extLst>
            <a:ext uri="{FF2B5EF4-FFF2-40B4-BE49-F238E27FC236}">
              <a16:creationId xmlns:a16="http://schemas.microsoft.com/office/drawing/2014/main" xmlns="" id="{00000000-0008-0000-0300-0000C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5" name="Rectangle 1148">
          <a:extLst>
            <a:ext uri="{FF2B5EF4-FFF2-40B4-BE49-F238E27FC236}">
              <a16:creationId xmlns:a16="http://schemas.microsoft.com/office/drawing/2014/main" xmlns="" id="{00000000-0008-0000-0300-0000C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6" name="Rectangle 1149">
          <a:extLst>
            <a:ext uri="{FF2B5EF4-FFF2-40B4-BE49-F238E27FC236}">
              <a16:creationId xmlns:a16="http://schemas.microsoft.com/office/drawing/2014/main" xmlns="" id="{00000000-0008-0000-0300-0000C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7" name="Rectangle 1150">
          <a:extLst>
            <a:ext uri="{FF2B5EF4-FFF2-40B4-BE49-F238E27FC236}">
              <a16:creationId xmlns:a16="http://schemas.microsoft.com/office/drawing/2014/main" xmlns="" id="{00000000-0008-0000-0300-0000C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8" name="Rectangle 1151">
          <a:extLst>
            <a:ext uri="{FF2B5EF4-FFF2-40B4-BE49-F238E27FC236}">
              <a16:creationId xmlns:a16="http://schemas.microsoft.com/office/drawing/2014/main" xmlns="" id="{00000000-0008-0000-0300-0000C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9" name="Rectangle 1152">
          <a:extLst>
            <a:ext uri="{FF2B5EF4-FFF2-40B4-BE49-F238E27FC236}">
              <a16:creationId xmlns:a16="http://schemas.microsoft.com/office/drawing/2014/main" xmlns="" id="{00000000-0008-0000-0300-0000C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0" name="Rectangle 1153">
          <a:extLst>
            <a:ext uri="{FF2B5EF4-FFF2-40B4-BE49-F238E27FC236}">
              <a16:creationId xmlns:a16="http://schemas.microsoft.com/office/drawing/2014/main" xmlns="" id="{00000000-0008-0000-0300-0000C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1" name="Rectangle 1154">
          <a:extLst>
            <a:ext uri="{FF2B5EF4-FFF2-40B4-BE49-F238E27FC236}">
              <a16:creationId xmlns:a16="http://schemas.microsoft.com/office/drawing/2014/main" xmlns="" id="{00000000-0008-0000-0300-0000C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2" name="Rectangle 1155">
          <a:extLst>
            <a:ext uri="{FF2B5EF4-FFF2-40B4-BE49-F238E27FC236}">
              <a16:creationId xmlns:a16="http://schemas.microsoft.com/office/drawing/2014/main" xmlns="" id="{00000000-0008-0000-0300-0000CA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3" name="Rectangle 1156">
          <a:extLst>
            <a:ext uri="{FF2B5EF4-FFF2-40B4-BE49-F238E27FC236}">
              <a16:creationId xmlns:a16="http://schemas.microsoft.com/office/drawing/2014/main" xmlns="" id="{00000000-0008-0000-0300-0000CB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4" name="Rectangle 1157">
          <a:extLst>
            <a:ext uri="{FF2B5EF4-FFF2-40B4-BE49-F238E27FC236}">
              <a16:creationId xmlns:a16="http://schemas.microsoft.com/office/drawing/2014/main" xmlns="" id="{00000000-0008-0000-0300-0000CC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5" name="Rectangle 1158">
          <a:extLst>
            <a:ext uri="{FF2B5EF4-FFF2-40B4-BE49-F238E27FC236}">
              <a16:creationId xmlns:a16="http://schemas.microsoft.com/office/drawing/2014/main" xmlns="" id="{00000000-0008-0000-0300-0000CD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6" name="Rectangle 1159">
          <a:extLst>
            <a:ext uri="{FF2B5EF4-FFF2-40B4-BE49-F238E27FC236}">
              <a16:creationId xmlns:a16="http://schemas.microsoft.com/office/drawing/2014/main" xmlns="" id="{00000000-0008-0000-0300-0000C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7" name="Rectangle 1160">
          <a:extLst>
            <a:ext uri="{FF2B5EF4-FFF2-40B4-BE49-F238E27FC236}">
              <a16:creationId xmlns:a16="http://schemas.microsoft.com/office/drawing/2014/main" xmlns="" id="{00000000-0008-0000-0300-0000C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8" name="Rectangle 1161">
          <a:extLst>
            <a:ext uri="{FF2B5EF4-FFF2-40B4-BE49-F238E27FC236}">
              <a16:creationId xmlns:a16="http://schemas.microsoft.com/office/drawing/2014/main" xmlns="" id="{00000000-0008-0000-0300-0000D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9" name="Rectangle 1162">
          <a:extLst>
            <a:ext uri="{FF2B5EF4-FFF2-40B4-BE49-F238E27FC236}">
              <a16:creationId xmlns:a16="http://schemas.microsoft.com/office/drawing/2014/main" xmlns="" id="{00000000-0008-0000-0300-0000D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0" name="Rectangle 1163">
          <a:extLst>
            <a:ext uri="{FF2B5EF4-FFF2-40B4-BE49-F238E27FC236}">
              <a16:creationId xmlns:a16="http://schemas.microsoft.com/office/drawing/2014/main" xmlns="" id="{00000000-0008-0000-0300-0000D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1" name="Rectangle 1164">
          <a:extLst>
            <a:ext uri="{FF2B5EF4-FFF2-40B4-BE49-F238E27FC236}">
              <a16:creationId xmlns:a16="http://schemas.microsoft.com/office/drawing/2014/main" xmlns="" id="{00000000-0008-0000-0300-0000D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2" name="Rectangle 93">
          <a:extLst>
            <a:ext uri="{FF2B5EF4-FFF2-40B4-BE49-F238E27FC236}">
              <a16:creationId xmlns:a16="http://schemas.microsoft.com/office/drawing/2014/main" xmlns="" id="{00000000-0008-0000-0300-0000D4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3" name="Rectangle 94">
          <a:extLst>
            <a:ext uri="{FF2B5EF4-FFF2-40B4-BE49-F238E27FC236}">
              <a16:creationId xmlns:a16="http://schemas.microsoft.com/office/drawing/2014/main" xmlns="" id="{00000000-0008-0000-0300-0000D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4" name="Rectangle 95">
          <a:extLst>
            <a:ext uri="{FF2B5EF4-FFF2-40B4-BE49-F238E27FC236}">
              <a16:creationId xmlns:a16="http://schemas.microsoft.com/office/drawing/2014/main" xmlns="" id="{00000000-0008-0000-0300-0000D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5" name="Rectangle 96">
          <a:extLst>
            <a:ext uri="{FF2B5EF4-FFF2-40B4-BE49-F238E27FC236}">
              <a16:creationId xmlns:a16="http://schemas.microsoft.com/office/drawing/2014/main" xmlns="" id="{00000000-0008-0000-0300-0000D7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6" name="Rectangle 97">
          <a:extLst>
            <a:ext uri="{FF2B5EF4-FFF2-40B4-BE49-F238E27FC236}">
              <a16:creationId xmlns:a16="http://schemas.microsoft.com/office/drawing/2014/main" xmlns="" id="{00000000-0008-0000-0300-0000D8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7" name="Rectangle 98">
          <a:extLst>
            <a:ext uri="{FF2B5EF4-FFF2-40B4-BE49-F238E27FC236}">
              <a16:creationId xmlns:a16="http://schemas.microsoft.com/office/drawing/2014/main" xmlns="" id="{00000000-0008-0000-0300-0000D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8" name="Rectangle 99">
          <a:extLst>
            <a:ext uri="{FF2B5EF4-FFF2-40B4-BE49-F238E27FC236}">
              <a16:creationId xmlns:a16="http://schemas.microsoft.com/office/drawing/2014/main" xmlns="" id="{00000000-0008-0000-0300-0000D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9" name="Rectangle 100">
          <a:extLst>
            <a:ext uri="{FF2B5EF4-FFF2-40B4-BE49-F238E27FC236}">
              <a16:creationId xmlns:a16="http://schemas.microsoft.com/office/drawing/2014/main" xmlns="" id="{00000000-0008-0000-0300-0000D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0" name="Rectangle 101">
          <a:extLst>
            <a:ext uri="{FF2B5EF4-FFF2-40B4-BE49-F238E27FC236}">
              <a16:creationId xmlns:a16="http://schemas.microsoft.com/office/drawing/2014/main" xmlns="" id="{00000000-0008-0000-0300-0000D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1" name="Rectangle 102">
          <a:extLst>
            <a:ext uri="{FF2B5EF4-FFF2-40B4-BE49-F238E27FC236}">
              <a16:creationId xmlns:a16="http://schemas.microsoft.com/office/drawing/2014/main" xmlns="" id="{00000000-0008-0000-0300-0000D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2" name="Rectangle 103">
          <a:extLst>
            <a:ext uri="{FF2B5EF4-FFF2-40B4-BE49-F238E27FC236}">
              <a16:creationId xmlns:a16="http://schemas.microsoft.com/office/drawing/2014/main" xmlns="" id="{00000000-0008-0000-0300-0000D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3" name="Rectangle 104">
          <a:extLst>
            <a:ext uri="{FF2B5EF4-FFF2-40B4-BE49-F238E27FC236}">
              <a16:creationId xmlns:a16="http://schemas.microsoft.com/office/drawing/2014/main" xmlns="" id="{00000000-0008-0000-0300-0000D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4" name="Rectangle 105">
          <a:extLst>
            <a:ext uri="{FF2B5EF4-FFF2-40B4-BE49-F238E27FC236}">
              <a16:creationId xmlns:a16="http://schemas.microsoft.com/office/drawing/2014/main" xmlns="" id="{00000000-0008-0000-0300-0000E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5" name="Rectangle 106">
          <a:extLst>
            <a:ext uri="{FF2B5EF4-FFF2-40B4-BE49-F238E27FC236}">
              <a16:creationId xmlns:a16="http://schemas.microsoft.com/office/drawing/2014/main" xmlns="" id="{00000000-0008-0000-0300-0000E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6" name="Rectangle 107">
          <a:extLst>
            <a:ext uri="{FF2B5EF4-FFF2-40B4-BE49-F238E27FC236}">
              <a16:creationId xmlns:a16="http://schemas.microsoft.com/office/drawing/2014/main" xmlns="" id="{00000000-0008-0000-0300-0000E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7" name="Rectangle 108">
          <a:extLst>
            <a:ext uri="{FF2B5EF4-FFF2-40B4-BE49-F238E27FC236}">
              <a16:creationId xmlns:a16="http://schemas.microsoft.com/office/drawing/2014/main" xmlns="" id="{00000000-0008-0000-0300-0000E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8" name="Rectangle 109">
          <a:extLst>
            <a:ext uri="{FF2B5EF4-FFF2-40B4-BE49-F238E27FC236}">
              <a16:creationId xmlns:a16="http://schemas.microsoft.com/office/drawing/2014/main" xmlns="" id="{00000000-0008-0000-0300-0000E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9" name="Rectangle 110">
          <a:extLst>
            <a:ext uri="{FF2B5EF4-FFF2-40B4-BE49-F238E27FC236}">
              <a16:creationId xmlns:a16="http://schemas.microsoft.com/office/drawing/2014/main" xmlns="" id="{00000000-0008-0000-0300-0000E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0" name="Rectangle 111">
          <a:extLst>
            <a:ext uri="{FF2B5EF4-FFF2-40B4-BE49-F238E27FC236}">
              <a16:creationId xmlns:a16="http://schemas.microsoft.com/office/drawing/2014/main" xmlns="" id="{00000000-0008-0000-0300-0000E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1" name="Rectangle 112">
          <a:extLst>
            <a:ext uri="{FF2B5EF4-FFF2-40B4-BE49-F238E27FC236}">
              <a16:creationId xmlns:a16="http://schemas.microsoft.com/office/drawing/2014/main" xmlns="" id="{00000000-0008-0000-0300-0000E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2" name="Rectangle 113">
          <a:extLst>
            <a:ext uri="{FF2B5EF4-FFF2-40B4-BE49-F238E27FC236}">
              <a16:creationId xmlns:a16="http://schemas.microsoft.com/office/drawing/2014/main" xmlns="" id="{00000000-0008-0000-0300-0000E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3" name="Rectangle 114">
          <a:extLst>
            <a:ext uri="{FF2B5EF4-FFF2-40B4-BE49-F238E27FC236}">
              <a16:creationId xmlns:a16="http://schemas.microsoft.com/office/drawing/2014/main" xmlns="" id="{00000000-0008-0000-0300-0000E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4" name="Rectangle 115">
          <a:extLst>
            <a:ext uri="{FF2B5EF4-FFF2-40B4-BE49-F238E27FC236}">
              <a16:creationId xmlns:a16="http://schemas.microsoft.com/office/drawing/2014/main" xmlns="" id="{00000000-0008-0000-0300-0000E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5" name="Rectangle 116">
          <a:extLst>
            <a:ext uri="{FF2B5EF4-FFF2-40B4-BE49-F238E27FC236}">
              <a16:creationId xmlns:a16="http://schemas.microsoft.com/office/drawing/2014/main" xmlns="" id="{00000000-0008-0000-0300-0000E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6" name="Rectangle 117">
          <a:extLst>
            <a:ext uri="{FF2B5EF4-FFF2-40B4-BE49-F238E27FC236}">
              <a16:creationId xmlns:a16="http://schemas.microsoft.com/office/drawing/2014/main" xmlns="" id="{00000000-0008-0000-0300-0000E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7" name="Rectangle 118">
          <a:extLst>
            <a:ext uri="{FF2B5EF4-FFF2-40B4-BE49-F238E27FC236}">
              <a16:creationId xmlns:a16="http://schemas.microsoft.com/office/drawing/2014/main" xmlns="" id="{00000000-0008-0000-0300-0000E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8" name="Rectangle 119">
          <a:extLst>
            <a:ext uri="{FF2B5EF4-FFF2-40B4-BE49-F238E27FC236}">
              <a16:creationId xmlns:a16="http://schemas.microsoft.com/office/drawing/2014/main" xmlns="" id="{00000000-0008-0000-0300-0000E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9" name="Rectangle 120">
          <a:extLst>
            <a:ext uri="{FF2B5EF4-FFF2-40B4-BE49-F238E27FC236}">
              <a16:creationId xmlns:a16="http://schemas.microsoft.com/office/drawing/2014/main" xmlns="" id="{00000000-0008-0000-0300-0000E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0" name="Rectangle 121">
          <a:extLst>
            <a:ext uri="{FF2B5EF4-FFF2-40B4-BE49-F238E27FC236}">
              <a16:creationId xmlns:a16="http://schemas.microsoft.com/office/drawing/2014/main" xmlns="" id="{00000000-0008-0000-0300-0000F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1" name="Rectangle 122">
          <a:extLst>
            <a:ext uri="{FF2B5EF4-FFF2-40B4-BE49-F238E27FC236}">
              <a16:creationId xmlns:a16="http://schemas.microsoft.com/office/drawing/2014/main" xmlns="" id="{00000000-0008-0000-0300-0000F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42" name="Rectangle 123">
          <a:extLst>
            <a:ext uri="{FF2B5EF4-FFF2-40B4-BE49-F238E27FC236}">
              <a16:creationId xmlns:a16="http://schemas.microsoft.com/office/drawing/2014/main" xmlns="" id="{00000000-0008-0000-0300-0000F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3" name="Rectangle 124">
          <a:extLst>
            <a:ext uri="{FF2B5EF4-FFF2-40B4-BE49-F238E27FC236}">
              <a16:creationId xmlns:a16="http://schemas.microsoft.com/office/drawing/2014/main" xmlns="" id="{00000000-0008-0000-0300-0000F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4" name="Rectangle 125">
          <a:extLst>
            <a:ext uri="{FF2B5EF4-FFF2-40B4-BE49-F238E27FC236}">
              <a16:creationId xmlns:a16="http://schemas.microsoft.com/office/drawing/2014/main" xmlns="" id="{00000000-0008-0000-0300-0000F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5" name="Rectangle 126">
          <a:extLst>
            <a:ext uri="{FF2B5EF4-FFF2-40B4-BE49-F238E27FC236}">
              <a16:creationId xmlns:a16="http://schemas.microsoft.com/office/drawing/2014/main" xmlns="" id="{00000000-0008-0000-0300-0000F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6" name="Rectangle 127">
          <a:extLst>
            <a:ext uri="{FF2B5EF4-FFF2-40B4-BE49-F238E27FC236}">
              <a16:creationId xmlns:a16="http://schemas.microsoft.com/office/drawing/2014/main" xmlns="" id="{00000000-0008-0000-0300-0000F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7" name="Rectangle 128">
          <a:extLst>
            <a:ext uri="{FF2B5EF4-FFF2-40B4-BE49-F238E27FC236}">
              <a16:creationId xmlns:a16="http://schemas.microsoft.com/office/drawing/2014/main" xmlns="" id="{00000000-0008-0000-0300-0000F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8" name="Rectangle 129">
          <a:extLst>
            <a:ext uri="{FF2B5EF4-FFF2-40B4-BE49-F238E27FC236}">
              <a16:creationId xmlns:a16="http://schemas.microsoft.com/office/drawing/2014/main" xmlns="" id="{00000000-0008-0000-0300-0000F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9" name="Rectangle 130">
          <a:extLst>
            <a:ext uri="{FF2B5EF4-FFF2-40B4-BE49-F238E27FC236}">
              <a16:creationId xmlns:a16="http://schemas.microsoft.com/office/drawing/2014/main" xmlns="" id="{00000000-0008-0000-0300-0000F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0" name="Rectangle 131">
          <a:extLst>
            <a:ext uri="{FF2B5EF4-FFF2-40B4-BE49-F238E27FC236}">
              <a16:creationId xmlns:a16="http://schemas.microsoft.com/office/drawing/2014/main" xmlns="" id="{00000000-0008-0000-0300-0000F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1" name="Rectangle 132">
          <a:extLst>
            <a:ext uri="{FF2B5EF4-FFF2-40B4-BE49-F238E27FC236}">
              <a16:creationId xmlns:a16="http://schemas.microsoft.com/office/drawing/2014/main" xmlns="" id="{00000000-0008-0000-0300-0000F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2" name="Rectangle 133">
          <a:extLst>
            <a:ext uri="{FF2B5EF4-FFF2-40B4-BE49-F238E27FC236}">
              <a16:creationId xmlns:a16="http://schemas.microsoft.com/office/drawing/2014/main" xmlns="" id="{00000000-0008-0000-0300-0000F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3" name="Rectangle 134">
          <a:extLst>
            <a:ext uri="{FF2B5EF4-FFF2-40B4-BE49-F238E27FC236}">
              <a16:creationId xmlns:a16="http://schemas.microsoft.com/office/drawing/2014/main" xmlns="" id="{00000000-0008-0000-0300-0000F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4" name="Rectangle 135">
          <a:extLst>
            <a:ext uri="{FF2B5EF4-FFF2-40B4-BE49-F238E27FC236}">
              <a16:creationId xmlns:a16="http://schemas.microsoft.com/office/drawing/2014/main" xmlns="" id="{00000000-0008-0000-0300-0000F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5" name="Rectangle 136">
          <a:extLst>
            <a:ext uri="{FF2B5EF4-FFF2-40B4-BE49-F238E27FC236}">
              <a16:creationId xmlns:a16="http://schemas.microsoft.com/office/drawing/2014/main" xmlns="" id="{00000000-0008-0000-0300-0000F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6" name="Rectangle 137">
          <a:extLst>
            <a:ext uri="{FF2B5EF4-FFF2-40B4-BE49-F238E27FC236}">
              <a16:creationId xmlns:a16="http://schemas.microsoft.com/office/drawing/2014/main" xmlns="" id="{00000000-0008-0000-0300-00000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7" name="Rectangle 138">
          <a:extLst>
            <a:ext uri="{FF2B5EF4-FFF2-40B4-BE49-F238E27FC236}">
              <a16:creationId xmlns:a16="http://schemas.microsoft.com/office/drawing/2014/main" xmlns="" id="{00000000-0008-0000-0300-00000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58" name="Rectangle 139">
          <a:extLst>
            <a:ext uri="{FF2B5EF4-FFF2-40B4-BE49-F238E27FC236}">
              <a16:creationId xmlns:a16="http://schemas.microsoft.com/office/drawing/2014/main" xmlns="" id="{00000000-0008-0000-0300-00000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59" name="Rectangle 140">
          <a:extLst>
            <a:ext uri="{FF2B5EF4-FFF2-40B4-BE49-F238E27FC236}">
              <a16:creationId xmlns:a16="http://schemas.microsoft.com/office/drawing/2014/main" xmlns="" id="{00000000-0008-0000-0300-00000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0" name="Rectangle 141">
          <a:extLst>
            <a:ext uri="{FF2B5EF4-FFF2-40B4-BE49-F238E27FC236}">
              <a16:creationId xmlns:a16="http://schemas.microsoft.com/office/drawing/2014/main" xmlns="" id="{00000000-0008-0000-0300-00000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1" name="Rectangle 142">
          <a:extLst>
            <a:ext uri="{FF2B5EF4-FFF2-40B4-BE49-F238E27FC236}">
              <a16:creationId xmlns:a16="http://schemas.microsoft.com/office/drawing/2014/main" xmlns="" id="{00000000-0008-0000-0300-00000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2" name="Rectangle 143">
          <a:extLst>
            <a:ext uri="{FF2B5EF4-FFF2-40B4-BE49-F238E27FC236}">
              <a16:creationId xmlns:a16="http://schemas.microsoft.com/office/drawing/2014/main" xmlns="" id="{00000000-0008-0000-0300-00000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3" name="Rectangle 144">
          <a:extLst>
            <a:ext uri="{FF2B5EF4-FFF2-40B4-BE49-F238E27FC236}">
              <a16:creationId xmlns:a16="http://schemas.microsoft.com/office/drawing/2014/main" xmlns="" id="{00000000-0008-0000-0300-00000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4" name="Rectangle 145">
          <a:extLst>
            <a:ext uri="{FF2B5EF4-FFF2-40B4-BE49-F238E27FC236}">
              <a16:creationId xmlns:a16="http://schemas.microsoft.com/office/drawing/2014/main" xmlns="" id="{00000000-0008-0000-0300-00000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5" name="Rectangle 146">
          <a:extLst>
            <a:ext uri="{FF2B5EF4-FFF2-40B4-BE49-F238E27FC236}">
              <a16:creationId xmlns:a16="http://schemas.microsoft.com/office/drawing/2014/main" xmlns="" id="{00000000-0008-0000-0300-00000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6" name="Rectangle 147">
          <a:extLst>
            <a:ext uri="{FF2B5EF4-FFF2-40B4-BE49-F238E27FC236}">
              <a16:creationId xmlns:a16="http://schemas.microsoft.com/office/drawing/2014/main" xmlns="" id="{00000000-0008-0000-0300-00000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7" name="Rectangle 148">
          <a:extLst>
            <a:ext uri="{FF2B5EF4-FFF2-40B4-BE49-F238E27FC236}">
              <a16:creationId xmlns:a16="http://schemas.microsoft.com/office/drawing/2014/main" xmlns="" id="{00000000-0008-0000-0300-00000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8" name="Rectangle 149">
          <a:extLst>
            <a:ext uri="{FF2B5EF4-FFF2-40B4-BE49-F238E27FC236}">
              <a16:creationId xmlns:a16="http://schemas.microsoft.com/office/drawing/2014/main" xmlns="" id="{00000000-0008-0000-0300-00000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9" name="Rectangle 150">
          <a:extLst>
            <a:ext uri="{FF2B5EF4-FFF2-40B4-BE49-F238E27FC236}">
              <a16:creationId xmlns:a16="http://schemas.microsoft.com/office/drawing/2014/main" xmlns="" id="{00000000-0008-0000-0300-00000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0" name="Rectangle 151">
          <a:extLst>
            <a:ext uri="{FF2B5EF4-FFF2-40B4-BE49-F238E27FC236}">
              <a16:creationId xmlns:a16="http://schemas.microsoft.com/office/drawing/2014/main" xmlns="" id="{00000000-0008-0000-0300-00000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1" name="Rectangle 152">
          <a:extLst>
            <a:ext uri="{FF2B5EF4-FFF2-40B4-BE49-F238E27FC236}">
              <a16:creationId xmlns:a16="http://schemas.microsoft.com/office/drawing/2014/main" xmlns="" id="{00000000-0008-0000-0300-00000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2" name="Rectangle 153">
          <a:extLst>
            <a:ext uri="{FF2B5EF4-FFF2-40B4-BE49-F238E27FC236}">
              <a16:creationId xmlns:a16="http://schemas.microsoft.com/office/drawing/2014/main" xmlns="" id="{00000000-0008-0000-0300-00001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3" name="Rectangle 154">
          <a:extLst>
            <a:ext uri="{FF2B5EF4-FFF2-40B4-BE49-F238E27FC236}">
              <a16:creationId xmlns:a16="http://schemas.microsoft.com/office/drawing/2014/main" xmlns="" id="{00000000-0008-0000-0300-00001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4" name="Rectangle 155">
          <a:extLst>
            <a:ext uri="{FF2B5EF4-FFF2-40B4-BE49-F238E27FC236}">
              <a16:creationId xmlns:a16="http://schemas.microsoft.com/office/drawing/2014/main" xmlns="" id="{00000000-0008-0000-0300-00001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5" name="Rectangle 156">
          <a:extLst>
            <a:ext uri="{FF2B5EF4-FFF2-40B4-BE49-F238E27FC236}">
              <a16:creationId xmlns:a16="http://schemas.microsoft.com/office/drawing/2014/main" xmlns="" id="{00000000-0008-0000-0300-00001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6" name="Rectangle 157">
          <a:extLst>
            <a:ext uri="{FF2B5EF4-FFF2-40B4-BE49-F238E27FC236}">
              <a16:creationId xmlns:a16="http://schemas.microsoft.com/office/drawing/2014/main" xmlns="" id="{00000000-0008-0000-0300-00001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7" name="Rectangle 158">
          <a:extLst>
            <a:ext uri="{FF2B5EF4-FFF2-40B4-BE49-F238E27FC236}">
              <a16:creationId xmlns:a16="http://schemas.microsoft.com/office/drawing/2014/main" xmlns="" id="{00000000-0008-0000-0300-00001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8" name="Rectangle 159">
          <a:extLst>
            <a:ext uri="{FF2B5EF4-FFF2-40B4-BE49-F238E27FC236}">
              <a16:creationId xmlns:a16="http://schemas.microsoft.com/office/drawing/2014/main" xmlns="" id="{00000000-0008-0000-0300-00001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9" name="Rectangle 160">
          <a:extLst>
            <a:ext uri="{FF2B5EF4-FFF2-40B4-BE49-F238E27FC236}">
              <a16:creationId xmlns:a16="http://schemas.microsoft.com/office/drawing/2014/main" xmlns="" id="{00000000-0008-0000-0300-00001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0" name="Rectangle 161">
          <a:extLst>
            <a:ext uri="{FF2B5EF4-FFF2-40B4-BE49-F238E27FC236}">
              <a16:creationId xmlns:a16="http://schemas.microsoft.com/office/drawing/2014/main" xmlns="" id="{00000000-0008-0000-0300-00001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1" name="Rectangle 162">
          <a:extLst>
            <a:ext uri="{FF2B5EF4-FFF2-40B4-BE49-F238E27FC236}">
              <a16:creationId xmlns:a16="http://schemas.microsoft.com/office/drawing/2014/main" xmlns="" id="{00000000-0008-0000-0300-00001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2" name="Rectangle 163">
          <a:extLst>
            <a:ext uri="{FF2B5EF4-FFF2-40B4-BE49-F238E27FC236}">
              <a16:creationId xmlns:a16="http://schemas.microsoft.com/office/drawing/2014/main" xmlns="" id="{00000000-0008-0000-0300-00001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3" name="Rectangle 164">
          <a:extLst>
            <a:ext uri="{FF2B5EF4-FFF2-40B4-BE49-F238E27FC236}">
              <a16:creationId xmlns:a16="http://schemas.microsoft.com/office/drawing/2014/main" xmlns="" id="{00000000-0008-0000-0300-00001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4" name="Rectangle 165">
          <a:extLst>
            <a:ext uri="{FF2B5EF4-FFF2-40B4-BE49-F238E27FC236}">
              <a16:creationId xmlns:a16="http://schemas.microsoft.com/office/drawing/2014/main" xmlns="" id="{00000000-0008-0000-0300-00001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5" name="Rectangle 166">
          <a:extLst>
            <a:ext uri="{FF2B5EF4-FFF2-40B4-BE49-F238E27FC236}">
              <a16:creationId xmlns:a16="http://schemas.microsoft.com/office/drawing/2014/main" xmlns="" id="{00000000-0008-0000-0300-00001D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6" name="Rectangle 167">
          <a:extLst>
            <a:ext uri="{FF2B5EF4-FFF2-40B4-BE49-F238E27FC236}">
              <a16:creationId xmlns:a16="http://schemas.microsoft.com/office/drawing/2014/main" xmlns="" id="{00000000-0008-0000-0300-00001E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7" name="Rectangle 168">
          <a:extLst>
            <a:ext uri="{FF2B5EF4-FFF2-40B4-BE49-F238E27FC236}">
              <a16:creationId xmlns:a16="http://schemas.microsoft.com/office/drawing/2014/main" xmlns="" id="{00000000-0008-0000-0300-00001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8" name="Rectangle 169">
          <a:extLst>
            <a:ext uri="{FF2B5EF4-FFF2-40B4-BE49-F238E27FC236}">
              <a16:creationId xmlns:a16="http://schemas.microsoft.com/office/drawing/2014/main" xmlns="" id="{00000000-0008-0000-0300-000020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9" name="Rectangle 170">
          <a:extLst>
            <a:ext uri="{FF2B5EF4-FFF2-40B4-BE49-F238E27FC236}">
              <a16:creationId xmlns:a16="http://schemas.microsoft.com/office/drawing/2014/main" xmlns="" id="{00000000-0008-0000-0300-000021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0" name="Rectangle 171">
          <a:extLst>
            <a:ext uri="{FF2B5EF4-FFF2-40B4-BE49-F238E27FC236}">
              <a16:creationId xmlns:a16="http://schemas.microsoft.com/office/drawing/2014/main" xmlns="" id="{00000000-0008-0000-0300-000022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91" name="Rectangle 172">
          <a:extLst>
            <a:ext uri="{FF2B5EF4-FFF2-40B4-BE49-F238E27FC236}">
              <a16:creationId xmlns:a16="http://schemas.microsoft.com/office/drawing/2014/main" xmlns="" id="{00000000-0008-0000-0300-00002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2" name="Rectangle 173">
          <a:extLst>
            <a:ext uri="{FF2B5EF4-FFF2-40B4-BE49-F238E27FC236}">
              <a16:creationId xmlns:a16="http://schemas.microsoft.com/office/drawing/2014/main" xmlns="" id="{00000000-0008-0000-0300-00002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3" name="Rectangle 174">
          <a:extLst>
            <a:ext uri="{FF2B5EF4-FFF2-40B4-BE49-F238E27FC236}">
              <a16:creationId xmlns:a16="http://schemas.microsoft.com/office/drawing/2014/main" xmlns="" id="{00000000-0008-0000-0300-000025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4" name="Rectangle 175">
          <a:extLst>
            <a:ext uri="{FF2B5EF4-FFF2-40B4-BE49-F238E27FC236}">
              <a16:creationId xmlns:a16="http://schemas.microsoft.com/office/drawing/2014/main" xmlns="" id="{00000000-0008-0000-0300-00002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5" name="Rectangle 176">
          <a:extLst>
            <a:ext uri="{FF2B5EF4-FFF2-40B4-BE49-F238E27FC236}">
              <a16:creationId xmlns:a16="http://schemas.microsoft.com/office/drawing/2014/main" xmlns="" id="{00000000-0008-0000-0300-00002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6" name="Rectangle 177">
          <a:extLst>
            <a:ext uri="{FF2B5EF4-FFF2-40B4-BE49-F238E27FC236}">
              <a16:creationId xmlns:a16="http://schemas.microsoft.com/office/drawing/2014/main" xmlns="" id="{00000000-0008-0000-0300-00002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7" name="Rectangle 178">
          <a:extLst>
            <a:ext uri="{FF2B5EF4-FFF2-40B4-BE49-F238E27FC236}">
              <a16:creationId xmlns:a16="http://schemas.microsoft.com/office/drawing/2014/main" xmlns="" id="{00000000-0008-0000-0300-00002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8" name="Rectangle 179">
          <a:extLst>
            <a:ext uri="{FF2B5EF4-FFF2-40B4-BE49-F238E27FC236}">
              <a16:creationId xmlns:a16="http://schemas.microsoft.com/office/drawing/2014/main" xmlns="" id="{00000000-0008-0000-0300-00002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9" name="Rectangle 180">
          <a:extLst>
            <a:ext uri="{FF2B5EF4-FFF2-40B4-BE49-F238E27FC236}">
              <a16:creationId xmlns:a16="http://schemas.microsoft.com/office/drawing/2014/main" xmlns="" id="{00000000-0008-0000-0300-00002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0" name="Rectangle 181">
          <a:extLst>
            <a:ext uri="{FF2B5EF4-FFF2-40B4-BE49-F238E27FC236}">
              <a16:creationId xmlns:a16="http://schemas.microsoft.com/office/drawing/2014/main" xmlns="" id="{00000000-0008-0000-0300-00002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1" name="Rectangle 182">
          <a:extLst>
            <a:ext uri="{FF2B5EF4-FFF2-40B4-BE49-F238E27FC236}">
              <a16:creationId xmlns:a16="http://schemas.microsoft.com/office/drawing/2014/main" xmlns="" id="{00000000-0008-0000-0300-00002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2" name="Rectangle 183">
          <a:extLst>
            <a:ext uri="{FF2B5EF4-FFF2-40B4-BE49-F238E27FC236}">
              <a16:creationId xmlns:a16="http://schemas.microsoft.com/office/drawing/2014/main" xmlns="" id="{00000000-0008-0000-0300-00002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3" name="Rectangle 184">
          <a:extLst>
            <a:ext uri="{FF2B5EF4-FFF2-40B4-BE49-F238E27FC236}">
              <a16:creationId xmlns:a16="http://schemas.microsoft.com/office/drawing/2014/main" xmlns="" id="{00000000-0008-0000-0300-00002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4" name="Rectangle 185">
          <a:extLst>
            <a:ext uri="{FF2B5EF4-FFF2-40B4-BE49-F238E27FC236}">
              <a16:creationId xmlns:a16="http://schemas.microsoft.com/office/drawing/2014/main" xmlns="" id="{00000000-0008-0000-0300-00003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5" name="Rectangle 186">
          <a:extLst>
            <a:ext uri="{FF2B5EF4-FFF2-40B4-BE49-F238E27FC236}">
              <a16:creationId xmlns:a16="http://schemas.microsoft.com/office/drawing/2014/main" xmlns="" id="{00000000-0008-0000-0300-00003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6" name="Rectangle 187">
          <a:extLst>
            <a:ext uri="{FF2B5EF4-FFF2-40B4-BE49-F238E27FC236}">
              <a16:creationId xmlns:a16="http://schemas.microsoft.com/office/drawing/2014/main" xmlns="" id="{00000000-0008-0000-0300-00003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7" name="Rectangle 188">
          <a:extLst>
            <a:ext uri="{FF2B5EF4-FFF2-40B4-BE49-F238E27FC236}">
              <a16:creationId xmlns:a16="http://schemas.microsoft.com/office/drawing/2014/main" xmlns="" id="{00000000-0008-0000-0300-00003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8" name="Rectangle 189">
          <a:extLst>
            <a:ext uri="{FF2B5EF4-FFF2-40B4-BE49-F238E27FC236}">
              <a16:creationId xmlns:a16="http://schemas.microsoft.com/office/drawing/2014/main" xmlns="" id="{00000000-0008-0000-0300-00003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9" name="Rectangle 190">
          <a:extLst>
            <a:ext uri="{FF2B5EF4-FFF2-40B4-BE49-F238E27FC236}">
              <a16:creationId xmlns:a16="http://schemas.microsoft.com/office/drawing/2014/main" xmlns="" id="{00000000-0008-0000-0300-00003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0" name="Rectangle 191">
          <a:extLst>
            <a:ext uri="{FF2B5EF4-FFF2-40B4-BE49-F238E27FC236}">
              <a16:creationId xmlns:a16="http://schemas.microsoft.com/office/drawing/2014/main" xmlns="" id="{00000000-0008-0000-0300-00003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1" name="Rectangle 192">
          <a:extLst>
            <a:ext uri="{FF2B5EF4-FFF2-40B4-BE49-F238E27FC236}">
              <a16:creationId xmlns:a16="http://schemas.microsoft.com/office/drawing/2014/main" xmlns="" id="{00000000-0008-0000-0300-00003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2" name="Rectangle 193">
          <a:extLst>
            <a:ext uri="{FF2B5EF4-FFF2-40B4-BE49-F238E27FC236}">
              <a16:creationId xmlns:a16="http://schemas.microsoft.com/office/drawing/2014/main" xmlns="" id="{00000000-0008-0000-0300-00003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3" name="Rectangle 194">
          <a:extLst>
            <a:ext uri="{FF2B5EF4-FFF2-40B4-BE49-F238E27FC236}">
              <a16:creationId xmlns:a16="http://schemas.microsoft.com/office/drawing/2014/main" xmlns="" id="{00000000-0008-0000-0300-00003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4" name="Rectangle 195">
          <a:extLst>
            <a:ext uri="{FF2B5EF4-FFF2-40B4-BE49-F238E27FC236}">
              <a16:creationId xmlns:a16="http://schemas.microsoft.com/office/drawing/2014/main" xmlns="" id="{00000000-0008-0000-0300-00003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5" name="Rectangle 196">
          <a:extLst>
            <a:ext uri="{FF2B5EF4-FFF2-40B4-BE49-F238E27FC236}">
              <a16:creationId xmlns:a16="http://schemas.microsoft.com/office/drawing/2014/main" xmlns="" id="{00000000-0008-0000-0300-00003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6" name="Rectangle 197">
          <a:extLst>
            <a:ext uri="{FF2B5EF4-FFF2-40B4-BE49-F238E27FC236}">
              <a16:creationId xmlns:a16="http://schemas.microsoft.com/office/drawing/2014/main" xmlns="" id="{00000000-0008-0000-0300-00003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7" name="Rectangle 198">
          <a:extLst>
            <a:ext uri="{FF2B5EF4-FFF2-40B4-BE49-F238E27FC236}">
              <a16:creationId xmlns:a16="http://schemas.microsoft.com/office/drawing/2014/main" xmlns="" id="{00000000-0008-0000-0300-00003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8" name="Rectangle 199">
          <a:extLst>
            <a:ext uri="{FF2B5EF4-FFF2-40B4-BE49-F238E27FC236}">
              <a16:creationId xmlns:a16="http://schemas.microsoft.com/office/drawing/2014/main" xmlns="" id="{00000000-0008-0000-0300-00003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9" name="Rectangle 200">
          <a:extLst>
            <a:ext uri="{FF2B5EF4-FFF2-40B4-BE49-F238E27FC236}">
              <a16:creationId xmlns:a16="http://schemas.microsoft.com/office/drawing/2014/main" xmlns="" id="{00000000-0008-0000-0300-00003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0" name="Rectangle 201">
          <a:extLst>
            <a:ext uri="{FF2B5EF4-FFF2-40B4-BE49-F238E27FC236}">
              <a16:creationId xmlns:a16="http://schemas.microsoft.com/office/drawing/2014/main" xmlns="" id="{00000000-0008-0000-0300-00004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1" name="Rectangle 202">
          <a:extLst>
            <a:ext uri="{FF2B5EF4-FFF2-40B4-BE49-F238E27FC236}">
              <a16:creationId xmlns:a16="http://schemas.microsoft.com/office/drawing/2014/main" xmlns="" id="{00000000-0008-0000-0300-00004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2" name="Rectangle 203">
          <a:extLst>
            <a:ext uri="{FF2B5EF4-FFF2-40B4-BE49-F238E27FC236}">
              <a16:creationId xmlns:a16="http://schemas.microsoft.com/office/drawing/2014/main" xmlns="" id="{00000000-0008-0000-0300-00004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3" name="Rectangle 204">
          <a:extLst>
            <a:ext uri="{FF2B5EF4-FFF2-40B4-BE49-F238E27FC236}">
              <a16:creationId xmlns:a16="http://schemas.microsoft.com/office/drawing/2014/main" xmlns="" id="{00000000-0008-0000-0300-00004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4" name="Rectangle 205">
          <a:extLst>
            <a:ext uri="{FF2B5EF4-FFF2-40B4-BE49-F238E27FC236}">
              <a16:creationId xmlns:a16="http://schemas.microsoft.com/office/drawing/2014/main" xmlns="" id="{00000000-0008-0000-0300-00004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5" name="Rectangle 206">
          <a:extLst>
            <a:ext uri="{FF2B5EF4-FFF2-40B4-BE49-F238E27FC236}">
              <a16:creationId xmlns:a16="http://schemas.microsoft.com/office/drawing/2014/main" xmlns="" id="{00000000-0008-0000-0300-000045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6" name="Rectangle 207">
          <a:extLst>
            <a:ext uri="{FF2B5EF4-FFF2-40B4-BE49-F238E27FC236}">
              <a16:creationId xmlns:a16="http://schemas.microsoft.com/office/drawing/2014/main" xmlns="" id="{00000000-0008-0000-0300-000046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7" name="Rectangle 208">
          <a:extLst>
            <a:ext uri="{FF2B5EF4-FFF2-40B4-BE49-F238E27FC236}">
              <a16:creationId xmlns:a16="http://schemas.microsoft.com/office/drawing/2014/main" xmlns="" id="{00000000-0008-0000-0300-00004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8" name="Rectangle 209">
          <a:extLst>
            <a:ext uri="{FF2B5EF4-FFF2-40B4-BE49-F238E27FC236}">
              <a16:creationId xmlns:a16="http://schemas.microsoft.com/office/drawing/2014/main" xmlns="" id="{00000000-0008-0000-0300-000048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9" name="Rectangle 210">
          <a:extLst>
            <a:ext uri="{FF2B5EF4-FFF2-40B4-BE49-F238E27FC236}">
              <a16:creationId xmlns:a16="http://schemas.microsoft.com/office/drawing/2014/main" xmlns="" id="{00000000-0008-0000-0300-00004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0" name="Rectangle 211">
          <a:extLst>
            <a:ext uri="{FF2B5EF4-FFF2-40B4-BE49-F238E27FC236}">
              <a16:creationId xmlns:a16="http://schemas.microsoft.com/office/drawing/2014/main" xmlns="" id="{00000000-0008-0000-0300-00004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1" name="Rectangle 212">
          <a:extLst>
            <a:ext uri="{FF2B5EF4-FFF2-40B4-BE49-F238E27FC236}">
              <a16:creationId xmlns:a16="http://schemas.microsoft.com/office/drawing/2014/main" xmlns="" id="{00000000-0008-0000-0300-00004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2" name="Rectangle 213">
          <a:extLst>
            <a:ext uri="{FF2B5EF4-FFF2-40B4-BE49-F238E27FC236}">
              <a16:creationId xmlns:a16="http://schemas.microsoft.com/office/drawing/2014/main" xmlns="" id="{00000000-0008-0000-0300-00004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3" name="Rectangle 214">
          <a:extLst>
            <a:ext uri="{FF2B5EF4-FFF2-40B4-BE49-F238E27FC236}">
              <a16:creationId xmlns:a16="http://schemas.microsoft.com/office/drawing/2014/main" xmlns="" id="{00000000-0008-0000-0300-00004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4" name="Rectangle 215">
          <a:extLst>
            <a:ext uri="{FF2B5EF4-FFF2-40B4-BE49-F238E27FC236}">
              <a16:creationId xmlns:a16="http://schemas.microsoft.com/office/drawing/2014/main" xmlns="" id="{00000000-0008-0000-0300-00004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5" name="Rectangle 216">
          <a:extLst>
            <a:ext uri="{FF2B5EF4-FFF2-40B4-BE49-F238E27FC236}">
              <a16:creationId xmlns:a16="http://schemas.microsoft.com/office/drawing/2014/main" xmlns="" id="{00000000-0008-0000-0300-00004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6" name="Rectangle 217">
          <a:extLst>
            <a:ext uri="{FF2B5EF4-FFF2-40B4-BE49-F238E27FC236}">
              <a16:creationId xmlns:a16="http://schemas.microsoft.com/office/drawing/2014/main" xmlns="" id="{00000000-0008-0000-0300-000050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7" name="Rectangle 218">
          <a:extLst>
            <a:ext uri="{FF2B5EF4-FFF2-40B4-BE49-F238E27FC236}">
              <a16:creationId xmlns:a16="http://schemas.microsoft.com/office/drawing/2014/main" xmlns="" id="{00000000-0008-0000-0300-00005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8" name="Rectangle 219">
          <a:extLst>
            <a:ext uri="{FF2B5EF4-FFF2-40B4-BE49-F238E27FC236}">
              <a16:creationId xmlns:a16="http://schemas.microsoft.com/office/drawing/2014/main" xmlns="" id="{00000000-0008-0000-0300-00005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9" name="Rectangle 220">
          <a:extLst>
            <a:ext uri="{FF2B5EF4-FFF2-40B4-BE49-F238E27FC236}">
              <a16:creationId xmlns:a16="http://schemas.microsoft.com/office/drawing/2014/main" xmlns="" id="{00000000-0008-0000-0300-000053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0" name="Rectangle 221">
          <a:extLst>
            <a:ext uri="{FF2B5EF4-FFF2-40B4-BE49-F238E27FC236}">
              <a16:creationId xmlns:a16="http://schemas.microsoft.com/office/drawing/2014/main" xmlns="" id="{00000000-0008-0000-0300-00005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1" name="Rectangle 222">
          <a:extLst>
            <a:ext uri="{FF2B5EF4-FFF2-40B4-BE49-F238E27FC236}">
              <a16:creationId xmlns:a16="http://schemas.microsoft.com/office/drawing/2014/main" xmlns="" id="{00000000-0008-0000-0300-00005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2" name="Rectangle 223">
          <a:extLst>
            <a:ext uri="{FF2B5EF4-FFF2-40B4-BE49-F238E27FC236}">
              <a16:creationId xmlns:a16="http://schemas.microsoft.com/office/drawing/2014/main" xmlns="" id="{00000000-0008-0000-0300-00005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3" name="Rectangle 224">
          <a:extLst>
            <a:ext uri="{FF2B5EF4-FFF2-40B4-BE49-F238E27FC236}">
              <a16:creationId xmlns:a16="http://schemas.microsoft.com/office/drawing/2014/main" xmlns="" id="{00000000-0008-0000-0300-00005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4" name="Rectangle 225">
          <a:extLst>
            <a:ext uri="{FF2B5EF4-FFF2-40B4-BE49-F238E27FC236}">
              <a16:creationId xmlns:a16="http://schemas.microsoft.com/office/drawing/2014/main" xmlns="" id="{00000000-0008-0000-0300-00005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5" name="Rectangle 226">
          <a:extLst>
            <a:ext uri="{FF2B5EF4-FFF2-40B4-BE49-F238E27FC236}">
              <a16:creationId xmlns:a16="http://schemas.microsoft.com/office/drawing/2014/main" xmlns="" id="{00000000-0008-0000-0300-00005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6" name="Rectangle 227">
          <a:extLst>
            <a:ext uri="{FF2B5EF4-FFF2-40B4-BE49-F238E27FC236}">
              <a16:creationId xmlns:a16="http://schemas.microsoft.com/office/drawing/2014/main" xmlns="" id="{00000000-0008-0000-0300-00005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7" name="Rectangle 228">
          <a:extLst>
            <a:ext uri="{FF2B5EF4-FFF2-40B4-BE49-F238E27FC236}">
              <a16:creationId xmlns:a16="http://schemas.microsoft.com/office/drawing/2014/main" xmlns="" id="{00000000-0008-0000-0300-00005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48" name="Rectangle 229">
          <a:extLst>
            <a:ext uri="{FF2B5EF4-FFF2-40B4-BE49-F238E27FC236}">
              <a16:creationId xmlns:a16="http://schemas.microsoft.com/office/drawing/2014/main" xmlns="" id="{00000000-0008-0000-0300-00005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49" name="Rectangle 230">
          <a:extLst>
            <a:ext uri="{FF2B5EF4-FFF2-40B4-BE49-F238E27FC236}">
              <a16:creationId xmlns:a16="http://schemas.microsoft.com/office/drawing/2014/main" xmlns="" id="{00000000-0008-0000-0300-00005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0" name="Rectangle 231">
          <a:extLst>
            <a:ext uri="{FF2B5EF4-FFF2-40B4-BE49-F238E27FC236}">
              <a16:creationId xmlns:a16="http://schemas.microsoft.com/office/drawing/2014/main" xmlns="" id="{00000000-0008-0000-0300-00005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1" name="Rectangle 232">
          <a:extLst>
            <a:ext uri="{FF2B5EF4-FFF2-40B4-BE49-F238E27FC236}">
              <a16:creationId xmlns:a16="http://schemas.microsoft.com/office/drawing/2014/main" xmlns="" id="{00000000-0008-0000-0300-00005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2" name="Rectangle 233">
          <a:extLst>
            <a:ext uri="{FF2B5EF4-FFF2-40B4-BE49-F238E27FC236}">
              <a16:creationId xmlns:a16="http://schemas.microsoft.com/office/drawing/2014/main" xmlns="" id="{00000000-0008-0000-0300-00006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3" name="Rectangle 234">
          <a:extLst>
            <a:ext uri="{FF2B5EF4-FFF2-40B4-BE49-F238E27FC236}">
              <a16:creationId xmlns:a16="http://schemas.microsoft.com/office/drawing/2014/main" xmlns="" id="{00000000-0008-0000-0300-00006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4" name="Rectangle 235">
          <a:extLst>
            <a:ext uri="{FF2B5EF4-FFF2-40B4-BE49-F238E27FC236}">
              <a16:creationId xmlns:a16="http://schemas.microsoft.com/office/drawing/2014/main" xmlns="" id="{00000000-0008-0000-0300-00006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5" name="Rectangle 236">
          <a:extLst>
            <a:ext uri="{FF2B5EF4-FFF2-40B4-BE49-F238E27FC236}">
              <a16:creationId xmlns:a16="http://schemas.microsoft.com/office/drawing/2014/main" xmlns="" id="{00000000-0008-0000-0300-00006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6" name="Rectangle 237">
          <a:extLst>
            <a:ext uri="{FF2B5EF4-FFF2-40B4-BE49-F238E27FC236}">
              <a16:creationId xmlns:a16="http://schemas.microsoft.com/office/drawing/2014/main" xmlns="" id="{00000000-0008-0000-0300-00006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7" name="Rectangle 238">
          <a:extLst>
            <a:ext uri="{FF2B5EF4-FFF2-40B4-BE49-F238E27FC236}">
              <a16:creationId xmlns:a16="http://schemas.microsoft.com/office/drawing/2014/main" xmlns="" id="{00000000-0008-0000-0300-00006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8" name="Rectangle 239">
          <a:extLst>
            <a:ext uri="{FF2B5EF4-FFF2-40B4-BE49-F238E27FC236}">
              <a16:creationId xmlns:a16="http://schemas.microsoft.com/office/drawing/2014/main" xmlns="" id="{00000000-0008-0000-0300-00006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9" name="Rectangle 240">
          <a:extLst>
            <a:ext uri="{FF2B5EF4-FFF2-40B4-BE49-F238E27FC236}">
              <a16:creationId xmlns:a16="http://schemas.microsoft.com/office/drawing/2014/main" xmlns="" id="{00000000-0008-0000-0300-00006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0" name="Rectangle 241">
          <a:extLst>
            <a:ext uri="{FF2B5EF4-FFF2-40B4-BE49-F238E27FC236}">
              <a16:creationId xmlns:a16="http://schemas.microsoft.com/office/drawing/2014/main" xmlns="" id="{00000000-0008-0000-0300-00006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1" name="Rectangle 242">
          <a:extLst>
            <a:ext uri="{FF2B5EF4-FFF2-40B4-BE49-F238E27FC236}">
              <a16:creationId xmlns:a16="http://schemas.microsoft.com/office/drawing/2014/main" xmlns="" id="{00000000-0008-0000-0300-00006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2" name="Rectangle 243">
          <a:extLst>
            <a:ext uri="{FF2B5EF4-FFF2-40B4-BE49-F238E27FC236}">
              <a16:creationId xmlns:a16="http://schemas.microsoft.com/office/drawing/2014/main" xmlns="" id="{00000000-0008-0000-0300-00006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3" name="Rectangle 244">
          <a:extLst>
            <a:ext uri="{FF2B5EF4-FFF2-40B4-BE49-F238E27FC236}">
              <a16:creationId xmlns:a16="http://schemas.microsoft.com/office/drawing/2014/main" xmlns="" id="{00000000-0008-0000-0300-00006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4" name="Rectangle 245">
          <a:extLst>
            <a:ext uri="{FF2B5EF4-FFF2-40B4-BE49-F238E27FC236}">
              <a16:creationId xmlns:a16="http://schemas.microsoft.com/office/drawing/2014/main" xmlns="" id="{00000000-0008-0000-0300-00006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5" name="Rectangle 246">
          <a:extLst>
            <a:ext uri="{FF2B5EF4-FFF2-40B4-BE49-F238E27FC236}">
              <a16:creationId xmlns:a16="http://schemas.microsoft.com/office/drawing/2014/main" xmlns="" id="{00000000-0008-0000-0300-00006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6" name="Rectangle 247">
          <a:extLst>
            <a:ext uri="{FF2B5EF4-FFF2-40B4-BE49-F238E27FC236}">
              <a16:creationId xmlns:a16="http://schemas.microsoft.com/office/drawing/2014/main" xmlns="" id="{00000000-0008-0000-0300-00006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7" name="Rectangle 248">
          <a:extLst>
            <a:ext uri="{FF2B5EF4-FFF2-40B4-BE49-F238E27FC236}">
              <a16:creationId xmlns:a16="http://schemas.microsoft.com/office/drawing/2014/main" xmlns="" id="{00000000-0008-0000-0300-00006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8" name="Rectangle 249">
          <a:extLst>
            <a:ext uri="{FF2B5EF4-FFF2-40B4-BE49-F238E27FC236}">
              <a16:creationId xmlns:a16="http://schemas.microsoft.com/office/drawing/2014/main" xmlns="" id="{00000000-0008-0000-0300-00007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9" name="Rectangle 250">
          <a:extLst>
            <a:ext uri="{FF2B5EF4-FFF2-40B4-BE49-F238E27FC236}">
              <a16:creationId xmlns:a16="http://schemas.microsoft.com/office/drawing/2014/main" xmlns="" id="{00000000-0008-0000-0300-00007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0" name="Rectangle 251">
          <a:extLst>
            <a:ext uri="{FF2B5EF4-FFF2-40B4-BE49-F238E27FC236}">
              <a16:creationId xmlns:a16="http://schemas.microsoft.com/office/drawing/2014/main" xmlns="" id="{00000000-0008-0000-0300-00007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1" name="Rectangle 252">
          <a:extLst>
            <a:ext uri="{FF2B5EF4-FFF2-40B4-BE49-F238E27FC236}">
              <a16:creationId xmlns:a16="http://schemas.microsoft.com/office/drawing/2014/main" xmlns="" id="{00000000-0008-0000-0300-00007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2" name="Rectangle 253">
          <a:extLst>
            <a:ext uri="{FF2B5EF4-FFF2-40B4-BE49-F238E27FC236}">
              <a16:creationId xmlns:a16="http://schemas.microsoft.com/office/drawing/2014/main" xmlns="" id="{00000000-0008-0000-0300-00007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3" name="Rectangle 254">
          <a:extLst>
            <a:ext uri="{FF2B5EF4-FFF2-40B4-BE49-F238E27FC236}">
              <a16:creationId xmlns:a16="http://schemas.microsoft.com/office/drawing/2014/main" xmlns="" id="{00000000-0008-0000-0300-00007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4" name="Rectangle 255">
          <a:extLst>
            <a:ext uri="{FF2B5EF4-FFF2-40B4-BE49-F238E27FC236}">
              <a16:creationId xmlns:a16="http://schemas.microsoft.com/office/drawing/2014/main" xmlns="" id="{00000000-0008-0000-0300-00007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5" name="Rectangle 256">
          <a:extLst>
            <a:ext uri="{FF2B5EF4-FFF2-40B4-BE49-F238E27FC236}">
              <a16:creationId xmlns:a16="http://schemas.microsoft.com/office/drawing/2014/main" xmlns="" id="{00000000-0008-0000-0300-00007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6" name="Rectangle 257">
          <a:extLst>
            <a:ext uri="{FF2B5EF4-FFF2-40B4-BE49-F238E27FC236}">
              <a16:creationId xmlns:a16="http://schemas.microsoft.com/office/drawing/2014/main" xmlns="" id="{00000000-0008-0000-0300-00007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7" name="Rectangle 258">
          <a:extLst>
            <a:ext uri="{FF2B5EF4-FFF2-40B4-BE49-F238E27FC236}">
              <a16:creationId xmlns:a16="http://schemas.microsoft.com/office/drawing/2014/main" xmlns="" id="{00000000-0008-0000-0300-00007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8" name="Rectangle 259">
          <a:extLst>
            <a:ext uri="{FF2B5EF4-FFF2-40B4-BE49-F238E27FC236}">
              <a16:creationId xmlns:a16="http://schemas.microsoft.com/office/drawing/2014/main" xmlns="" id="{00000000-0008-0000-0300-00007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9" name="Rectangle 260">
          <a:extLst>
            <a:ext uri="{FF2B5EF4-FFF2-40B4-BE49-F238E27FC236}">
              <a16:creationId xmlns:a16="http://schemas.microsoft.com/office/drawing/2014/main" xmlns="" id="{00000000-0008-0000-0300-00007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80" name="Rectangle 261">
          <a:extLst>
            <a:ext uri="{FF2B5EF4-FFF2-40B4-BE49-F238E27FC236}">
              <a16:creationId xmlns:a16="http://schemas.microsoft.com/office/drawing/2014/main" xmlns="" id="{00000000-0008-0000-0300-00007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81" name="Rectangle 262">
          <a:extLst>
            <a:ext uri="{FF2B5EF4-FFF2-40B4-BE49-F238E27FC236}">
              <a16:creationId xmlns:a16="http://schemas.microsoft.com/office/drawing/2014/main" xmlns="" id="{00000000-0008-0000-0300-00007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2" name="Rectangle 263">
          <a:extLst>
            <a:ext uri="{FF2B5EF4-FFF2-40B4-BE49-F238E27FC236}">
              <a16:creationId xmlns:a16="http://schemas.microsoft.com/office/drawing/2014/main" xmlns="" id="{00000000-0008-0000-0300-00007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3" name="Rectangle 264">
          <a:extLst>
            <a:ext uri="{FF2B5EF4-FFF2-40B4-BE49-F238E27FC236}">
              <a16:creationId xmlns:a16="http://schemas.microsoft.com/office/drawing/2014/main" xmlns="" id="{00000000-0008-0000-0300-00007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4" name="Rectangle 265">
          <a:extLst>
            <a:ext uri="{FF2B5EF4-FFF2-40B4-BE49-F238E27FC236}">
              <a16:creationId xmlns:a16="http://schemas.microsoft.com/office/drawing/2014/main" xmlns="" id="{00000000-0008-0000-0300-00008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5" name="Rectangle 266">
          <a:extLst>
            <a:ext uri="{FF2B5EF4-FFF2-40B4-BE49-F238E27FC236}">
              <a16:creationId xmlns:a16="http://schemas.microsoft.com/office/drawing/2014/main" xmlns="" id="{00000000-0008-0000-0300-00008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6" name="Rectangle 267">
          <a:extLst>
            <a:ext uri="{FF2B5EF4-FFF2-40B4-BE49-F238E27FC236}">
              <a16:creationId xmlns:a16="http://schemas.microsoft.com/office/drawing/2014/main" xmlns="" id="{00000000-0008-0000-0300-00008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7" name="Rectangle 268">
          <a:extLst>
            <a:ext uri="{FF2B5EF4-FFF2-40B4-BE49-F238E27FC236}">
              <a16:creationId xmlns:a16="http://schemas.microsoft.com/office/drawing/2014/main" xmlns="" id="{00000000-0008-0000-0300-00008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8" name="Rectangle 269">
          <a:extLst>
            <a:ext uri="{FF2B5EF4-FFF2-40B4-BE49-F238E27FC236}">
              <a16:creationId xmlns:a16="http://schemas.microsoft.com/office/drawing/2014/main" xmlns="" id="{00000000-0008-0000-0300-000084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9" name="Rectangle 270">
          <a:extLst>
            <a:ext uri="{FF2B5EF4-FFF2-40B4-BE49-F238E27FC236}">
              <a16:creationId xmlns:a16="http://schemas.microsoft.com/office/drawing/2014/main" xmlns="" id="{00000000-0008-0000-0300-000085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0" name="Rectangle 271">
          <a:extLst>
            <a:ext uri="{FF2B5EF4-FFF2-40B4-BE49-F238E27FC236}">
              <a16:creationId xmlns:a16="http://schemas.microsoft.com/office/drawing/2014/main" xmlns="" id="{00000000-0008-0000-0300-000086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1" name="Rectangle 272">
          <a:extLst>
            <a:ext uri="{FF2B5EF4-FFF2-40B4-BE49-F238E27FC236}">
              <a16:creationId xmlns:a16="http://schemas.microsoft.com/office/drawing/2014/main" xmlns="" id="{00000000-0008-0000-0300-000087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2" name="Rectangle 273">
          <a:extLst>
            <a:ext uri="{FF2B5EF4-FFF2-40B4-BE49-F238E27FC236}">
              <a16:creationId xmlns:a16="http://schemas.microsoft.com/office/drawing/2014/main" xmlns="" id="{00000000-0008-0000-0300-00008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3" name="Rectangle 274">
          <a:extLst>
            <a:ext uri="{FF2B5EF4-FFF2-40B4-BE49-F238E27FC236}">
              <a16:creationId xmlns:a16="http://schemas.microsoft.com/office/drawing/2014/main" xmlns="" id="{00000000-0008-0000-0300-00008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4" name="Rectangle 275">
          <a:extLst>
            <a:ext uri="{FF2B5EF4-FFF2-40B4-BE49-F238E27FC236}">
              <a16:creationId xmlns:a16="http://schemas.microsoft.com/office/drawing/2014/main" xmlns="" id="{00000000-0008-0000-0300-00008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5" name="Rectangle 276">
          <a:extLst>
            <a:ext uri="{FF2B5EF4-FFF2-40B4-BE49-F238E27FC236}">
              <a16:creationId xmlns:a16="http://schemas.microsoft.com/office/drawing/2014/main" xmlns="" id="{00000000-0008-0000-0300-00008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6" name="Rectangle 277">
          <a:extLst>
            <a:ext uri="{FF2B5EF4-FFF2-40B4-BE49-F238E27FC236}">
              <a16:creationId xmlns:a16="http://schemas.microsoft.com/office/drawing/2014/main" xmlns="" id="{00000000-0008-0000-0300-00008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7" name="Rectangle 278">
          <a:extLst>
            <a:ext uri="{FF2B5EF4-FFF2-40B4-BE49-F238E27FC236}">
              <a16:creationId xmlns:a16="http://schemas.microsoft.com/office/drawing/2014/main" xmlns="" id="{00000000-0008-0000-0300-00008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8" name="Rectangle 279">
          <a:extLst>
            <a:ext uri="{FF2B5EF4-FFF2-40B4-BE49-F238E27FC236}">
              <a16:creationId xmlns:a16="http://schemas.microsoft.com/office/drawing/2014/main" xmlns="" id="{00000000-0008-0000-0300-00008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9" name="Rectangle 280">
          <a:extLst>
            <a:ext uri="{FF2B5EF4-FFF2-40B4-BE49-F238E27FC236}">
              <a16:creationId xmlns:a16="http://schemas.microsoft.com/office/drawing/2014/main" xmlns="" id="{00000000-0008-0000-0300-00008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0" name="Rectangle 281">
          <a:extLst>
            <a:ext uri="{FF2B5EF4-FFF2-40B4-BE49-F238E27FC236}">
              <a16:creationId xmlns:a16="http://schemas.microsoft.com/office/drawing/2014/main" xmlns="" id="{00000000-0008-0000-0300-00009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1" name="Rectangle 282">
          <a:extLst>
            <a:ext uri="{FF2B5EF4-FFF2-40B4-BE49-F238E27FC236}">
              <a16:creationId xmlns:a16="http://schemas.microsoft.com/office/drawing/2014/main" xmlns="" id="{00000000-0008-0000-0300-00009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2" name="Rectangle 283">
          <a:extLst>
            <a:ext uri="{FF2B5EF4-FFF2-40B4-BE49-F238E27FC236}">
              <a16:creationId xmlns:a16="http://schemas.microsoft.com/office/drawing/2014/main" xmlns="" id="{00000000-0008-0000-0300-00009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3" name="Rectangle 284">
          <a:extLst>
            <a:ext uri="{FF2B5EF4-FFF2-40B4-BE49-F238E27FC236}">
              <a16:creationId xmlns:a16="http://schemas.microsoft.com/office/drawing/2014/main" xmlns="" id="{00000000-0008-0000-0300-00009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4" name="Rectangle 285">
          <a:extLst>
            <a:ext uri="{FF2B5EF4-FFF2-40B4-BE49-F238E27FC236}">
              <a16:creationId xmlns:a16="http://schemas.microsoft.com/office/drawing/2014/main" xmlns="" id="{00000000-0008-0000-0300-00009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5" name="Rectangle 286">
          <a:extLst>
            <a:ext uri="{FF2B5EF4-FFF2-40B4-BE49-F238E27FC236}">
              <a16:creationId xmlns:a16="http://schemas.microsoft.com/office/drawing/2014/main" xmlns="" id="{00000000-0008-0000-0300-00009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6" name="Rectangle 287">
          <a:extLst>
            <a:ext uri="{FF2B5EF4-FFF2-40B4-BE49-F238E27FC236}">
              <a16:creationId xmlns:a16="http://schemas.microsoft.com/office/drawing/2014/main" xmlns="" id="{00000000-0008-0000-0300-00009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7" name="Rectangle 288">
          <a:extLst>
            <a:ext uri="{FF2B5EF4-FFF2-40B4-BE49-F238E27FC236}">
              <a16:creationId xmlns:a16="http://schemas.microsoft.com/office/drawing/2014/main" xmlns="" id="{00000000-0008-0000-0300-00009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8" name="Rectangle 289">
          <a:extLst>
            <a:ext uri="{FF2B5EF4-FFF2-40B4-BE49-F238E27FC236}">
              <a16:creationId xmlns:a16="http://schemas.microsoft.com/office/drawing/2014/main" xmlns="" id="{00000000-0008-0000-0300-00009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9" name="Rectangle 290">
          <a:extLst>
            <a:ext uri="{FF2B5EF4-FFF2-40B4-BE49-F238E27FC236}">
              <a16:creationId xmlns:a16="http://schemas.microsoft.com/office/drawing/2014/main" xmlns="" id="{00000000-0008-0000-0300-00009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0" name="Rectangle 291">
          <a:extLst>
            <a:ext uri="{FF2B5EF4-FFF2-40B4-BE49-F238E27FC236}">
              <a16:creationId xmlns:a16="http://schemas.microsoft.com/office/drawing/2014/main" xmlns="" id="{00000000-0008-0000-0300-00009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1" name="Rectangle 292">
          <a:extLst>
            <a:ext uri="{FF2B5EF4-FFF2-40B4-BE49-F238E27FC236}">
              <a16:creationId xmlns:a16="http://schemas.microsoft.com/office/drawing/2014/main" xmlns="" id="{00000000-0008-0000-0300-00009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2" name="Rectangle 293">
          <a:extLst>
            <a:ext uri="{FF2B5EF4-FFF2-40B4-BE49-F238E27FC236}">
              <a16:creationId xmlns:a16="http://schemas.microsoft.com/office/drawing/2014/main" xmlns="" id="{00000000-0008-0000-0300-00009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3" name="Rectangle 294">
          <a:extLst>
            <a:ext uri="{FF2B5EF4-FFF2-40B4-BE49-F238E27FC236}">
              <a16:creationId xmlns:a16="http://schemas.microsoft.com/office/drawing/2014/main" xmlns="" id="{00000000-0008-0000-0300-00009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4" name="Rectangle 295">
          <a:extLst>
            <a:ext uri="{FF2B5EF4-FFF2-40B4-BE49-F238E27FC236}">
              <a16:creationId xmlns:a16="http://schemas.microsoft.com/office/drawing/2014/main" xmlns="" id="{00000000-0008-0000-0300-00009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5" name="Rectangle 296">
          <a:extLst>
            <a:ext uri="{FF2B5EF4-FFF2-40B4-BE49-F238E27FC236}">
              <a16:creationId xmlns:a16="http://schemas.microsoft.com/office/drawing/2014/main" xmlns="" id="{00000000-0008-0000-0300-00009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6" name="Rectangle 297">
          <a:extLst>
            <a:ext uri="{FF2B5EF4-FFF2-40B4-BE49-F238E27FC236}">
              <a16:creationId xmlns:a16="http://schemas.microsoft.com/office/drawing/2014/main" xmlns="" id="{00000000-0008-0000-0300-0000A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7" name="Rectangle 298">
          <a:extLst>
            <a:ext uri="{FF2B5EF4-FFF2-40B4-BE49-F238E27FC236}">
              <a16:creationId xmlns:a16="http://schemas.microsoft.com/office/drawing/2014/main" xmlns="" id="{00000000-0008-0000-0300-0000A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8" name="Rectangle 299">
          <a:extLst>
            <a:ext uri="{FF2B5EF4-FFF2-40B4-BE49-F238E27FC236}">
              <a16:creationId xmlns:a16="http://schemas.microsoft.com/office/drawing/2014/main" xmlns="" id="{00000000-0008-0000-0300-0000A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9" name="Rectangle 300">
          <a:extLst>
            <a:ext uri="{FF2B5EF4-FFF2-40B4-BE49-F238E27FC236}">
              <a16:creationId xmlns:a16="http://schemas.microsoft.com/office/drawing/2014/main" xmlns="" id="{00000000-0008-0000-0300-0000A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0" name="Rectangle 301">
          <a:extLst>
            <a:ext uri="{FF2B5EF4-FFF2-40B4-BE49-F238E27FC236}">
              <a16:creationId xmlns:a16="http://schemas.microsoft.com/office/drawing/2014/main" xmlns="" id="{00000000-0008-0000-0300-0000A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1" name="Rectangle 302">
          <a:extLst>
            <a:ext uri="{FF2B5EF4-FFF2-40B4-BE49-F238E27FC236}">
              <a16:creationId xmlns:a16="http://schemas.microsoft.com/office/drawing/2014/main" xmlns="" id="{00000000-0008-0000-0300-0000A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2" name="Rectangle 303">
          <a:extLst>
            <a:ext uri="{FF2B5EF4-FFF2-40B4-BE49-F238E27FC236}">
              <a16:creationId xmlns:a16="http://schemas.microsoft.com/office/drawing/2014/main" xmlns="" id="{00000000-0008-0000-0300-0000A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3" name="Rectangle 304">
          <a:extLst>
            <a:ext uri="{FF2B5EF4-FFF2-40B4-BE49-F238E27FC236}">
              <a16:creationId xmlns:a16="http://schemas.microsoft.com/office/drawing/2014/main" xmlns="" id="{00000000-0008-0000-0300-0000A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4" name="Rectangle 305">
          <a:extLst>
            <a:ext uri="{FF2B5EF4-FFF2-40B4-BE49-F238E27FC236}">
              <a16:creationId xmlns:a16="http://schemas.microsoft.com/office/drawing/2014/main" xmlns="" id="{00000000-0008-0000-0300-0000A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5" name="Rectangle 306">
          <a:extLst>
            <a:ext uri="{FF2B5EF4-FFF2-40B4-BE49-F238E27FC236}">
              <a16:creationId xmlns:a16="http://schemas.microsoft.com/office/drawing/2014/main" xmlns="" id="{00000000-0008-0000-0300-0000A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6" name="Rectangle 307">
          <a:extLst>
            <a:ext uri="{FF2B5EF4-FFF2-40B4-BE49-F238E27FC236}">
              <a16:creationId xmlns:a16="http://schemas.microsoft.com/office/drawing/2014/main" xmlns="" id="{00000000-0008-0000-0300-0000AA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7" name="Rectangle 308">
          <a:extLst>
            <a:ext uri="{FF2B5EF4-FFF2-40B4-BE49-F238E27FC236}">
              <a16:creationId xmlns:a16="http://schemas.microsoft.com/office/drawing/2014/main" xmlns="" id="{00000000-0008-0000-0300-0000AB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8" name="Rectangle 309">
          <a:extLst>
            <a:ext uri="{FF2B5EF4-FFF2-40B4-BE49-F238E27FC236}">
              <a16:creationId xmlns:a16="http://schemas.microsoft.com/office/drawing/2014/main" xmlns="" id="{00000000-0008-0000-0300-0000AC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9" name="Rectangle 310">
          <a:extLst>
            <a:ext uri="{FF2B5EF4-FFF2-40B4-BE49-F238E27FC236}">
              <a16:creationId xmlns:a16="http://schemas.microsoft.com/office/drawing/2014/main" xmlns="" id="{00000000-0008-0000-0300-0000AD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0" name="Rectangle 311">
          <a:extLst>
            <a:ext uri="{FF2B5EF4-FFF2-40B4-BE49-F238E27FC236}">
              <a16:creationId xmlns:a16="http://schemas.microsoft.com/office/drawing/2014/main" xmlns="" id="{00000000-0008-0000-0300-0000AE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1" name="Rectangle 312">
          <a:extLst>
            <a:ext uri="{FF2B5EF4-FFF2-40B4-BE49-F238E27FC236}">
              <a16:creationId xmlns:a16="http://schemas.microsoft.com/office/drawing/2014/main" xmlns="" id="{00000000-0008-0000-0300-0000AF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2" name="Rectangle 313">
          <a:extLst>
            <a:ext uri="{FF2B5EF4-FFF2-40B4-BE49-F238E27FC236}">
              <a16:creationId xmlns:a16="http://schemas.microsoft.com/office/drawing/2014/main" xmlns="" id="{00000000-0008-0000-0300-0000B0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3" name="Rectangle 314">
          <a:extLst>
            <a:ext uri="{FF2B5EF4-FFF2-40B4-BE49-F238E27FC236}">
              <a16:creationId xmlns:a16="http://schemas.microsoft.com/office/drawing/2014/main" xmlns="" id="{00000000-0008-0000-0300-0000B1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4" name="Rectangle 315">
          <a:extLst>
            <a:ext uri="{FF2B5EF4-FFF2-40B4-BE49-F238E27FC236}">
              <a16:creationId xmlns:a16="http://schemas.microsoft.com/office/drawing/2014/main" xmlns="" id="{00000000-0008-0000-0300-0000B2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5" name="Rectangle 316">
          <a:extLst>
            <a:ext uri="{FF2B5EF4-FFF2-40B4-BE49-F238E27FC236}">
              <a16:creationId xmlns:a16="http://schemas.microsoft.com/office/drawing/2014/main" xmlns="" id="{00000000-0008-0000-0300-0000B3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6" name="Rectangle 317">
          <a:extLst>
            <a:ext uri="{FF2B5EF4-FFF2-40B4-BE49-F238E27FC236}">
              <a16:creationId xmlns:a16="http://schemas.microsoft.com/office/drawing/2014/main" xmlns="" id="{00000000-0008-0000-0300-0000B4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7" name="Rectangle 318">
          <a:extLst>
            <a:ext uri="{FF2B5EF4-FFF2-40B4-BE49-F238E27FC236}">
              <a16:creationId xmlns:a16="http://schemas.microsoft.com/office/drawing/2014/main" xmlns="" id="{00000000-0008-0000-0300-0000B5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38" name="Rectangle 1012">
          <a:extLst>
            <a:ext uri="{FF2B5EF4-FFF2-40B4-BE49-F238E27FC236}">
              <a16:creationId xmlns:a16="http://schemas.microsoft.com/office/drawing/2014/main" xmlns="" id="{00000000-0008-0000-0300-0000B6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39" name="Rectangle 1013">
          <a:extLst>
            <a:ext uri="{FF2B5EF4-FFF2-40B4-BE49-F238E27FC236}">
              <a16:creationId xmlns:a16="http://schemas.microsoft.com/office/drawing/2014/main" xmlns="" id="{00000000-0008-0000-0300-0000B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0" name="Rectangle 1014">
          <a:extLst>
            <a:ext uri="{FF2B5EF4-FFF2-40B4-BE49-F238E27FC236}">
              <a16:creationId xmlns:a16="http://schemas.microsoft.com/office/drawing/2014/main" xmlns="" id="{00000000-0008-0000-0300-0000B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1" name="Rectangle 1015">
          <a:extLst>
            <a:ext uri="{FF2B5EF4-FFF2-40B4-BE49-F238E27FC236}">
              <a16:creationId xmlns:a16="http://schemas.microsoft.com/office/drawing/2014/main" xmlns="" id="{00000000-0008-0000-0300-0000B9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2" name="Rectangle 1016">
          <a:extLst>
            <a:ext uri="{FF2B5EF4-FFF2-40B4-BE49-F238E27FC236}">
              <a16:creationId xmlns:a16="http://schemas.microsoft.com/office/drawing/2014/main" xmlns="" id="{00000000-0008-0000-0300-0000BA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3" name="Rectangle 1017">
          <a:extLst>
            <a:ext uri="{FF2B5EF4-FFF2-40B4-BE49-F238E27FC236}">
              <a16:creationId xmlns:a16="http://schemas.microsoft.com/office/drawing/2014/main" xmlns="" id="{00000000-0008-0000-0300-0000B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4" name="Rectangle 1018">
          <a:extLst>
            <a:ext uri="{FF2B5EF4-FFF2-40B4-BE49-F238E27FC236}">
              <a16:creationId xmlns:a16="http://schemas.microsoft.com/office/drawing/2014/main" xmlns="" id="{00000000-0008-0000-0300-0000B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5" name="Rectangle 1019">
          <a:extLst>
            <a:ext uri="{FF2B5EF4-FFF2-40B4-BE49-F238E27FC236}">
              <a16:creationId xmlns:a16="http://schemas.microsoft.com/office/drawing/2014/main" xmlns="" id="{00000000-0008-0000-0300-0000B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6" name="Rectangle 1020">
          <a:extLst>
            <a:ext uri="{FF2B5EF4-FFF2-40B4-BE49-F238E27FC236}">
              <a16:creationId xmlns:a16="http://schemas.microsoft.com/office/drawing/2014/main" xmlns="" id="{00000000-0008-0000-0300-0000B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7" name="Rectangle 1021">
          <a:extLst>
            <a:ext uri="{FF2B5EF4-FFF2-40B4-BE49-F238E27FC236}">
              <a16:creationId xmlns:a16="http://schemas.microsoft.com/office/drawing/2014/main" xmlns="" id="{00000000-0008-0000-0300-0000B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8" name="Rectangle 1022">
          <a:extLst>
            <a:ext uri="{FF2B5EF4-FFF2-40B4-BE49-F238E27FC236}">
              <a16:creationId xmlns:a16="http://schemas.microsoft.com/office/drawing/2014/main" xmlns="" id="{00000000-0008-0000-0300-0000C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9" name="Rectangle 1023">
          <a:extLst>
            <a:ext uri="{FF2B5EF4-FFF2-40B4-BE49-F238E27FC236}">
              <a16:creationId xmlns:a16="http://schemas.microsoft.com/office/drawing/2014/main" xmlns="" id="{00000000-0008-0000-0300-0000C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0" name="Rectangle 1024">
          <a:extLst>
            <a:ext uri="{FF2B5EF4-FFF2-40B4-BE49-F238E27FC236}">
              <a16:creationId xmlns:a16="http://schemas.microsoft.com/office/drawing/2014/main" xmlns="" id="{00000000-0008-0000-0300-0000C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1" name="Rectangle 1025">
          <a:extLst>
            <a:ext uri="{FF2B5EF4-FFF2-40B4-BE49-F238E27FC236}">
              <a16:creationId xmlns:a16="http://schemas.microsoft.com/office/drawing/2014/main" xmlns="" id="{00000000-0008-0000-0300-0000C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2" name="Rectangle 1026">
          <a:extLst>
            <a:ext uri="{FF2B5EF4-FFF2-40B4-BE49-F238E27FC236}">
              <a16:creationId xmlns:a16="http://schemas.microsoft.com/office/drawing/2014/main" xmlns="" id="{00000000-0008-0000-0300-0000C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3" name="Rectangle 1027">
          <a:extLst>
            <a:ext uri="{FF2B5EF4-FFF2-40B4-BE49-F238E27FC236}">
              <a16:creationId xmlns:a16="http://schemas.microsoft.com/office/drawing/2014/main" xmlns="" id="{00000000-0008-0000-0300-0000C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4" name="Rectangle 1028">
          <a:extLst>
            <a:ext uri="{FF2B5EF4-FFF2-40B4-BE49-F238E27FC236}">
              <a16:creationId xmlns:a16="http://schemas.microsoft.com/office/drawing/2014/main" xmlns="" id="{00000000-0008-0000-0300-0000C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5" name="Rectangle 1029">
          <a:extLst>
            <a:ext uri="{FF2B5EF4-FFF2-40B4-BE49-F238E27FC236}">
              <a16:creationId xmlns:a16="http://schemas.microsoft.com/office/drawing/2014/main" xmlns="" id="{00000000-0008-0000-0300-0000C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6" name="Rectangle 1030">
          <a:extLst>
            <a:ext uri="{FF2B5EF4-FFF2-40B4-BE49-F238E27FC236}">
              <a16:creationId xmlns:a16="http://schemas.microsoft.com/office/drawing/2014/main" xmlns="" id="{00000000-0008-0000-0300-0000C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7" name="Rectangle 1031">
          <a:extLst>
            <a:ext uri="{FF2B5EF4-FFF2-40B4-BE49-F238E27FC236}">
              <a16:creationId xmlns:a16="http://schemas.microsoft.com/office/drawing/2014/main" xmlns="" id="{00000000-0008-0000-0300-0000C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8" name="Rectangle 1032">
          <a:extLst>
            <a:ext uri="{FF2B5EF4-FFF2-40B4-BE49-F238E27FC236}">
              <a16:creationId xmlns:a16="http://schemas.microsoft.com/office/drawing/2014/main" xmlns="" id="{00000000-0008-0000-0300-0000C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9" name="Rectangle 1033">
          <a:extLst>
            <a:ext uri="{FF2B5EF4-FFF2-40B4-BE49-F238E27FC236}">
              <a16:creationId xmlns:a16="http://schemas.microsoft.com/office/drawing/2014/main" xmlns="" id="{00000000-0008-0000-0300-0000C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0" name="Rectangle 1034">
          <a:extLst>
            <a:ext uri="{FF2B5EF4-FFF2-40B4-BE49-F238E27FC236}">
              <a16:creationId xmlns:a16="http://schemas.microsoft.com/office/drawing/2014/main" xmlns="" id="{00000000-0008-0000-0300-0000C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1" name="Rectangle 1035">
          <a:extLst>
            <a:ext uri="{FF2B5EF4-FFF2-40B4-BE49-F238E27FC236}">
              <a16:creationId xmlns:a16="http://schemas.microsoft.com/office/drawing/2014/main" xmlns="" id="{00000000-0008-0000-0300-0000C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2" name="Rectangle 1036">
          <a:extLst>
            <a:ext uri="{FF2B5EF4-FFF2-40B4-BE49-F238E27FC236}">
              <a16:creationId xmlns:a16="http://schemas.microsoft.com/office/drawing/2014/main" xmlns="" id="{00000000-0008-0000-0300-0000C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3" name="Rectangle 1037">
          <a:extLst>
            <a:ext uri="{FF2B5EF4-FFF2-40B4-BE49-F238E27FC236}">
              <a16:creationId xmlns:a16="http://schemas.microsoft.com/office/drawing/2014/main" xmlns="" id="{00000000-0008-0000-0300-0000C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4" name="Rectangle 1038">
          <a:extLst>
            <a:ext uri="{FF2B5EF4-FFF2-40B4-BE49-F238E27FC236}">
              <a16:creationId xmlns:a16="http://schemas.microsoft.com/office/drawing/2014/main" xmlns="" id="{00000000-0008-0000-0300-0000D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5" name="Rectangle 1039">
          <a:extLst>
            <a:ext uri="{FF2B5EF4-FFF2-40B4-BE49-F238E27FC236}">
              <a16:creationId xmlns:a16="http://schemas.microsoft.com/office/drawing/2014/main" xmlns="" id="{00000000-0008-0000-0300-0000D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6" name="Rectangle 1040">
          <a:extLst>
            <a:ext uri="{FF2B5EF4-FFF2-40B4-BE49-F238E27FC236}">
              <a16:creationId xmlns:a16="http://schemas.microsoft.com/office/drawing/2014/main" xmlns="" id="{00000000-0008-0000-0300-0000D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7" name="Rectangle 1041">
          <a:extLst>
            <a:ext uri="{FF2B5EF4-FFF2-40B4-BE49-F238E27FC236}">
              <a16:creationId xmlns:a16="http://schemas.microsoft.com/office/drawing/2014/main" xmlns="" id="{00000000-0008-0000-0300-0000D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8" name="Rectangle 1042">
          <a:extLst>
            <a:ext uri="{FF2B5EF4-FFF2-40B4-BE49-F238E27FC236}">
              <a16:creationId xmlns:a16="http://schemas.microsoft.com/office/drawing/2014/main" xmlns="" id="{00000000-0008-0000-0300-0000D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9" name="Rectangle 1043">
          <a:extLst>
            <a:ext uri="{FF2B5EF4-FFF2-40B4-BE49-F238E27FC236}">
              <a16:creationId xmlns:a16="http://schemas.microsoft.com/office/drawing/2014/main" xmlns="" id="{00000000-0008-0000-0300-0000D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70" name="Rectangle 1044">
          <a:extLst>
            <a:ext uri="{FF2B5EF4-FFF2-40B4-BE49-F238E27FC236}">
              <a16:creationId xmlns:a16="http://schemas.microsoft.com/office/drawing/2014/main" xmlns="" id="{00000000-0008-0000-0300-0000D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71" name="Rectangle 1045">
          <a:extLst>
            <a:ext uri="{FF2B5EF4-FFF2-40B4-BE49-F238E27FC236}">
              <a16:creationId xmlns:a16="http://schemas.microsoft.com/office/drawing/2014/main" xmlns="" id="{00000000-0008-0000-0300-0000D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2" name="Rectangle 1046">
          <a:extLst>
            <a:ext uri="{FF2B5EF4-FFF2-40B4-BE49-F238E27FC236}">
              <a16:creationId xmlns:a16="http://schemas.microsoft.com/office/drawing/2014/main" xmlns="" id="{00000000-0008-0000-0300-0000D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3" name="Rectangle 1047">
          <a:extLst>
            <a:ext uri="{FF2B5EF4-FFF2-40B4-BE49-F238E27FC236}">
              <a16:creationId xmlns:a16="http://schemas.microsoft.com/office/drawing/2014/main" xmlns="" id="{00000000-0008-0000-0300-0000D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4" name="Rectangle 1048">
          <a:extLst>
            <a:ext uri="{FF2B5EF4-FFF2-40B4-BE49-F238E27FC236}">
              <a16:creationId xmlns:a16="http://schemas.microsoft.com/office/drawing/2014/main" xmlns="" id="{00000000-0008-0000-0300-0000DA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5" name="Rectangle 1049">
          <a:extLst>
            <a:ext uri="{FF2B5EF4-FFF2-40B4-BE49-F238E27FC236}">
              <a16:creationId xmlns:a16="http://schemas.microsoft.com/office/drawing/2014/main" xmlns="" id="{00000000-0008-0000-0300-0000DB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6" name="Rectangle 1050">
          <a:extLst>
            <a:ext uri="{FF2B5EF4-FFF2-40B4-BE49-F238E27FC236}">
              <a16:creationId xmlns:a16="http://schemas.microsoft.com/office/drawing/2014/main" xmlns="" id="{00000000-0008-0000-0300-0000DC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7" name="Rectangle 1051">
          <a:extLst>
            <a:ext uri="{FF2B5EF4-FFF2-40B4-BE49-F238E27FC236}">
              <a16:creationId xmlns:a16="http://schemas.microsoft.com/office/drawing/2014/main" xmlns="" id="{00000000-0008-0000-0300-0000DD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8" name="Rectangle 1052">
          <a:extLst>
            <a:ext uri="{FF2B5EF4-FFF2-40B4-BE49-F238E27FC236}">
              <a16:creationId xmlns:a16="http://schemas.microsoft.com/office/drawing/2014/main" xmlns="" id="{00000000-0008-0000-0300-0000D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9" name="Rectangle 1053">
          <a:extLst>
            <a:ext uri="{FF2B5EF4-FFF2-40B4-BE49-F238E27FC236}">
              <a16:creationId xmlns:a16="http://schemas.microsoft.com/office/drawing/2014/main" xmlns="" id="{00000000-0008-0000-0300-0000D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0" name="Rectangle 1054">
          <a:extLst>
            <a:ext uri="{FF2B5EF4-FFF2-40B4-BE49-F238E27FC236}">
              <a16:creationId xmlns:a16="http://schemas.microsoft.com/office/drawing/2014/main" xmlns="" id="{00000000-0008-0000-0300-0000E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1" name="Rectangle 1055">
          <a:extLst>
            <a:ext uri="{FF2B5EF4-FFF2-40B4-BE49-F238E27FC236}">
              <a16:creationId xmlns:a16="http://schemas.microsoft.com/office/drawing/2014/main" xmlns="" id="{00000000-0008-0000-0300-0000E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2" name="Rectangle 1056">
          <a:extLst>
            <a:ext uri="{FF2B5EF4-FFF2-40B4-BE49-F238E27FC236}">
              <a16:creationId xmlns:a16="http://schemas.microsoft.com/office/drawing/2014/main" xmlns="" id="{00000000-0008-0000-0300-0000E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3" name="Rectangle 1057">
          <a:extLst>
            <a:ext uri="{FF2B5EF4-FFF2-40B4-BE49-F238E27FC236}">
              <a16:creationId xmlns:a16="http://schemas.microsoft.com/office/drawing/2014/main" xmlns="" id="{00000000-0008-0000-0300-0000E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4" name="Rectangle 1121">
          <a:extLst>
            <a:ext uri="{FF2B5EF4-FFF2-40B4-BE49-F238E27FC236}">
              <a16:creationId xmlns:a16="http://schemas.microsoft.com/office/drawing/2014/main" xmlns="" id="{00000000-0008-0000-0300-0000E4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5" name="Rectangle 1122">
          <a:extLst>
            <a:ext uri="{FF2B5EF4-FFF2-40B4-BE49-F238E27FC236}">
              <a16:creationId xmlns:a16="http://schemas.microsoft.com/office/drawing/2014/main" xmlns="" id="{00000000-0008-0000-0300-0000E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6" name="Rectangle 1123">
          <a:extLst>
            <a:ext uri="{FF2B5EF4-FFF2-40B4-BE49-F238E27FC236}">
              <a16:creationId xmlns:a16="http://schemas.microsoft.com/office/drawing/2014/main" xmlns="" id="{00000000-0008-0000-0300-0000E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7" name="Rectangle 1124">
          <a:extLst>
            <a:ext uri="{FF2B5EF4-FFF2-40B4-BE49-F238E27FC236}">
              <a16:creationId xmlns:a16="http://schemas.microsoft.com/office/drawing/2014/main" xmlns="" id="{00000000-0008-0000-0300-0000E7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8" name="Rectangle 1125">
          <a:extLst>
            <a:ext uri="{FF2B5EF4-FFF2-40B4-BE49-F238E27FC236}">
              <a16:creationId xmlns:a16="http://schemas.microsoft.com/office/drawing/2014/main" xmlns="" id="{00000000-0008-0000-0300-0000E8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9" name="Rectangle 1126">
          <a:extLst>
            <a:ext uri="{FF2B5EF4-FFF2-40B4-BE49-F238E27FC236}">
              <a16:creationId xmlns:a16="http://schemas.microsoft.com/office/drawing/2014/main" xmlns="" id="{00000000-0008-0000-0300-0000E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0" name="Rectangle 1127">
          <a:extLst>
            <a:ext uri="{FF2B5EF4-FFF2-40B4-BE49-F238E27FC236}">
              <a16:creationId xmlns:a16="http://schemas.microsoft.com/office/drawing/2014/main" xmlns="" id="{00000000-0008-0000-0300-0000E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1" name="Rectangle 1128">
          <a:extLst>
            <a:ext uri="{FF2B5EF4-FFF2-40B4-BE49-F238E27FC236}">
              <a16:creationId xmlns:a16="http://schemas.microsoft.com/office/drawing/2014/main" xmlns="" id="{00000000-0008-0000-0300-0000E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2" name="Rectangle 1129">
          <a:extLst>
            <a:ext uri="{FF2B5EF4-FFF2-40B4-BE49-F238E27FC236}">
              <a16:creationId xmlns:a16="http://schemas.microsoft.com/office/drawing/2014/main" xmlns="" id="{00000000-0008-0000-0300-0000E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3" name="Rectangle 1130">
          <a:extLst>
            <a:ext uri="{FF2B5EF4-FFF2-40B4-BE49-F238E27FC236}">
              <a16:creationId xmlns:a16="http://schemas.microsoft.com/office/drawing/2014/main" xmlns="" id="{00000000-0008-0000-0300-0000E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4" name="Rectangle 1131">
          <a:extLst>
            <a:ext uri="{FF2B5EF4-FFF2-40B4-BE49-F238E27FC236}">
              <a16:creationId xmlns:a16="http://schemas.microsoft.com/office/drawing/2014/main" xmlns="" id="{00000000-0008-0000-0300-0000E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5" name="Rectangle 1132">
          <a:extLst>
            <a:ext uri="{FF2B5EF4-FFF2-40B4-BE49-F238E27FC236}">
              <a16:creationId xmlns:a16="http://schemas.microsoft.com/office/drawing/2014/main" xmlns="" id="{00000000-0008-0000-0300-0000E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6" name="Rectangle 1133">
          <a:extLst>
            <a:ext uri="{FF2B5EF4-FFF2-40B4-BE49-F238E27FC236}">
              <a16:creationId xmlns:a16="http://schemas.microsoft.com/office/drawing/2014/main" xmlns="" id="{00000000-0008-0000-0300-0000F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7" name="Rectangle 1134">
          <a:extLst>
            <a:ext uri="{FF2B5EF4-FFF2-40B4-BE49-F238E27FC236}">
              <a16:creationId xmlns:a16="http://schemas.microsoft.com/office/drawing/2014/main" xmlns="" id="{00000000-0008-0000-0300-0000F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8" name="Rectangle 1135">
          <a:extLst>
            <a:ext uri="{FF2B5EF4-FFF2-40B4-BE49-F238E27FC236}">
              <a16:creationId xmlns:a16="http://schemas.microsoft.com/office/drawing/2014/main" xmlns="" id="{00000000-0008-0000-0300-0000F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9" name="Rectangle 1136">
          <a:extLst>
            <a:ext uri="{FF2B5EF4-FFF2-40B4-BE49-F238E27FC236}">
              <a16:creationId xmlns:a16="http://schemas.microsoft.com/office/drawing/2014/main" xmlns="" id="{00000000-0008-0000-0300-0000F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0" name="Rectangle 1137">
          <a:extLst>
            <a:ext uri="{FF2B5EF4-FFF2-40B4-BE49-F238E27FC236}">
              <a16:creationId xmlns:a16="http://schemas.microsoft.com/office/drawing/2014/main" xmlns="" id="{00000000-0008-0000-0300-0000F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1" name="Rectangle 1138">
          <a:extLst>
            <a:ext uri="{FF2B5EF4-FFF2-40B4-BE49-F238E27FC236}">
              <a16:creationId xmlns:a16="http://schemas.microsoft.com/office/drawing/2014/main" xmlns="" id="{00000000-0008-0000-0300-0000F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2" name="Rectangle 1139">
          <a:extLst>
            <a:ext uri="{FF2B5EF4-FFF2-40B4-BE49-F238E27FC236}">
              <a16:creationId xmlns:a16="http://schemas.microsoft.com/office/drawing/2014/main" xmlns="" id="{00000000-0008-0000-0300-0000F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3" name="Rectangle 1140">
          <a:extLst>
            <a:ext uri="{FF2B5EF4-FFF2-40B4-BE49-F238E27FC236}">
              <a16:creationId xmlns:a16="http://schemas.microsoft.com/office/drawing/2014/main" xmlns="" id="{00000000-0008-0000-0300-0000F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4" name="Rectangle 1141">
          <a:extLst>
            <a:ext uri="{FF2B5EF4-FFF2-40B4-BE49-F238E27FC236}">
              <a16:creationId xmlns:a16="http://schemas.microsoft.com/office/drawing/2014/main" xmlns="" id="{00000000-0008-0000-0300-0000F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5" name="Rectangle 1142">
          <a:extLst>
            <a:ext uri="{FF2B5EF4-FFF2-40B4-BE49-F238E27FC236}">
              <a16:creationId xmlns:a16="http://schemas.microsoft.com/office/drawing/2014/main" xmlns="" id="{00000000-0008-0000-0300-0000F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6" name="Rectangle 1143">
          <a:extLst>
            <a:ext uri="{FF2B5EF4-FFF2-40B4-BE49-F238E27FC236}">
              <a16:creationId xmlns:a16="http://schemas.microsoft.com/office/drawing/2014/main" xmlns="" id="{00000000-0008-0000-0300-0000F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7" name="Rectangle 1144">
          <a:extLst>
            <a:ext uri="{FF2B5EF4-FFF2-40B4-BE49-F238E27FC236}">
              <a16:creationId xmlns:a16="http://schemas.microsoft.com/office/drawing/2014/main" xmlns="" id="{00000000-0008-0000-0300-0000F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8" name="Rectangle 1145">
          <a:extLst>
            <a:ext uri="{FF2B5EF4-FFF2-40B4-BE49-F238E27FC236}">
              <a16:creationId xmlns:a16="http://schemas.microsoft.com/office/drawing/2014/main" xmlns="" id="{00000000-0008-0000-0300-0000F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9" name="Rectangle 1146">
          <a:extLst>
            <a:ext uri="{FF2B5EF4-FFF2-40B4-BE49-F238E27FC236}">
              <a16:creationId xmlns:a16="http://schemas.microsoft.com/office/drawing/2014/main" xmlns="" id="{00000000-0008-0000-0300-0000F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0" name="Rectangle 1147">
          <a:extLst>
            <a:ext uri="{FF2B5EF4-FFF2-40B4-BE49-F238E27FC236}">
              <a16:creationId xmlns:a16="http://schemas.microsoft.com/office/drawing/2014/main" xmlns="" id="{00000000-0008-0000-0300-0000F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1" name="Rectangle 1148">
          <a:extLst>
            <a:ext uri="{FF2B5EF4-FFF2-40B4-BE49-F238E27FC236}">
              <a16:creationId xmlns:a16="http://schemas.microsoft.com/office/drawing/2014/main" xmlns="" id="{00000000-0008-0000-0300-0000F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2" name="Rectangle 1149">
          <a:extLst>
            <a:ext uri="{FF2B5EF4-FFF2-40B4-BE49-F238E27FC236}">
              <a16:creationId xmlns:a16="http://schemas.microsoft.com/office/drawing/2014/main" xmlns="" id="{00000000-0008-0000-0300-00000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3" name="Rectangle 1150">
          <a:extLst>
            <a:ext uri="{FF2B5EF4-FFF2-40B4-BE49-F238E27FC236}">
              <a16:creationId xmlns:a16="http://schemas.microsoft.com/office/drawing/2014/main" xmlns="" id="{00000000-0008-0000-0300-00000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4" name="Rectangle 1151">
          <a:extLst>
            <a:ext uri="{FF2B5EF4-FFF2-40B4-BE49-F238E27FC236}">
              <a16:creationId xmlns:a16="http://schemas.microsoft.com/office/drawing/2014/main" xmlns="" id="{00000000-0008-0000-0300-00000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5" name="Rectangle 1152">
          <a:extLst>
            <a:ext uri="{FF2B5EF4-FFF2-40B4-BE49-F238E27FC236}">
              <a16:creationId xmlns:a16="http://schemas.microsoft.com/office/drawing/2014/main" xmlns="" id="{00000000-0008-0000-0300-00000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6" name="Rectangle 1153">
          <a:extLst>
            <a:ext uri="{FF2B5EF4-FFF2-40B4-BE49-F238E27FC236}">
              <a16:creationId xmlns:a16="http://schemas.microsoft.com/office/drawing/2014/main" xmlns="" id="{00000000-0008-0000-0300-000004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7" name="Rectangle 1154">
          <a:extLst>
            <a:ext uri="{FF2B5EF4-FFF2-40B4-BE49-F238E27FC236}">
              <a16:creationId xmlns:a16="http://schemas.microsoft.com/office/drawing/2014/main" xmlns="" id="{00000000-0008-0000-0300-000005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8" name="Rectangle 1155">
          <a:extLst>
            <a:ext uri="{FF2B5EF4-FFF2-40B4-BE49-F238E27FC236}">
              <a16:creationId xmlns:a16="http://schemas.microsoft.com/office/drawing/2014/main" xmlns="" id="{00000000-0008-0000-0300-00000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9" name="Rectangle 1156">
          <a:extLst>
            <a:ext uri="{FF2B5EF4-FFF2-40B4-BE49-F238E27FC236}">
              <a16:creationId xmlns:a16="http://schemas.microsoft.com/office/drawing/2014/main" xmlns="" id="{00000000-0008-0000-0300-00000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0" name="Rectangle 1157">
          <a:extLst>
            <a:ext uri="{FF2B5EF4-FFF2-40B4-BE49-F238E27FC236}">
              <a16:creationId xmlns:a16="http://schemas.microsoft.com/office/drawing/2014/main" xmlns="" id="{00000000-0008-0000-0300-00000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1" name="Rectangle 1158">
          <a:extLst>
            <a:ext uri="{FF2B5EF4-FFF2-40B4-BE49-F238E27FC236}">
              <a16:creationId xmlns:a16="http://schemas.microsoft.com/office/drawing/2014/main" xmlns="" id="{00000000-0008-0000-0300-00000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2" name="Rectangle 1159">
          <a:extLst>
            <a:ext uri="{FF2B5EF4-FFF2-40B4-BE49-F238E27FC236}">
              <a16:creationId xmlns:a16="http://schemas.microsoft.com/office/drawing/2014/main" xmlns="" id="{00000000-0008-0000-0300-00000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3" name="Rectangle 1160">
          <a:extLst>
            <a:ext uri="{FF2B5EF4-FFF2-40B4-BE49-F238E27FC236}">
              <a16:creationId xmlns:a16="http://schemas.microsoft.com/office/drawing/2014/main" xmlns="" id="{00000000-0008-0000-0300-00000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4" name="Rectangle 1161">
          <a:extLst>
            <a:ext uri="{FF2B5EF4-FFF2-40B4-BE49-F238E27FC236}">
              <a16:creationId xmlns:a16="http://schemas.microsoft.com/office/drawing/2014/main" xmlns="" id="{00000000-0008-0000-0300-00000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5" name="Rectangle 1162">
          <a:extLst>
            <a:ext uri="{FF2B5EF4-FFF2-40B4-BE49-F238E27FC236}">
              <a16:creationId xmlns:a16="http://schemas.microsoft.com/office/drawing/2014/main" xmlns="" id="{00000000-0008-0000-0300-00000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6" name="Rectangle 1163">
          <a:extLst>
            <a:ext uri="{FF2B5EF4-FFF2-40B4-BE49-F238E27FC236}">
              <a16:creationId xmlns:a16="http://schemas.microsoft.com/office/drawing/2014/main" xmlns="" id="{00000000-0008-0000-0300-00000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7" name="Rectangle 1164">
          <a:extLst>
            <a:ext uri="{FF2B5EF4-FFF2-40B4-BE49-F238E27FC236}">
              <a16:creationId xmlns:a16="http://schemas.microsoft.com/office/drawing/2014/main" xmlns="" id="{00000000-0008-0000-0300-00000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28" name="Rectangle 93">
          <a:extLst>
            <a:ext uri="{FF2B5EF4-FFF2-40B4-BE49-F238E27FC236}">
              <a16:creationId xmlns:a16="http://schemas.microsoft.com/office/drawing/2014/main" xmlns="" id="{00000000-0008-0000-0300-00001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29" name="Rectangle 94">
          <a:extLst>
            <a:ext uri="{FF2B5EF4-FFF2-40B4-BE49-F238E27FC236}">
              <a16:creationId xmlns:a16="http://schemas.microsoft.com/office/drawing/2014/main" xmlns="" id="{00000000-0008-0000-0300-00001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0" name="Rectangle 95">
          <a:extLst>
            <a:ext uri="{FF2B5EF4-FFF2-40B4-BE49-F238E27FC236}">
              <a16:creationId xmlns:a16="http://schemas.microsoft.com/office/drawing/2014/main" xmlns="" id="{00000000-0008-0000-0300-00001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1" name="Rectangle 96">
          <a:extLst>
            <a:ext uri="{FF2B5EF4-FFF2-40B4-BE49-F238E27FC236}">
              <a16:creationId xmlns:a16="http://schemas.microsoft.com/office/drawing/2014/main" xmlns="" id="{00000000-0008-0000-0300-00001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2" name="Rectangle 97">
          <a:extLst>
            <a:ext uri="{FF2B5EF4-FFF2-40B4-BE49-F238E27FC236}">
              <a16:creationId xmlns:a16="http://schemas.microsoft.com/office/drawing/2014/main" xmlns="" id="{00000000-0008-0000-0300-00001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3" name="Rectangle 98">
          <a:extLst>
            <a:ext uri="{FF2B5EF4-FFF2-40B4-BE49-F238E27FC236}">
              <a16:creationId xmlns:a16="http://schemas.microsoft.com/office/drawing/2014/main" xmlns="" id="{00000000-0008-0000-0300-00001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4" name="Rectangle 99">
          <a:extLst>
            <a:ext uri="{FF2B5EF4-FFF2-40B4-BE49-F238E27FC236}">
              <a16:creationId xmlns:a16="http://schemas.microsoft.com/office/drawing/2014/main" xmlns="" id="{00000000-0008-0000-0300-00001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5" name="Rectangle 100">
          <a:extLst>
            <a:ext uri="{FF2B5EF4-FFF2-40B4-BE49-F238E27FC236}">
              <a16:creationId xmlns:a16="http://schemas.microsoft.com/office/drawing/2014/main" xmlns="" id="{00000000-0008-0000-0300-00001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6" name="Rectangle 101">
          <a:extLst>
            <a:ext uri="{FF2B5EF4-FFF2-40B4-BE49-F238E27FC236}">
              <a16:creationId xmlns:a16="http://schemas.microsoft.com/office/drawing/2014/main" xmlns="" id="{00000000-0008-0000-0300-00001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7" name="Rectangle 102">
          <a:extLst>
            <a:ext uri="{FF2B5EF4-FFF2-40B4-BE49-F238E27FC236}">
              <a16:creationId xmlns:a16="http://schemas.microsoft.com/office/drawing/2014/main" xmlns="" id="{00000000-0008-0000-0300-00001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8" name="Rectangle 103">
          <a:extLst>
            <a:ext uri="{FF2B5EF4-FFF2-40B4-BE49-F238E27FC236}">
              <a16:creationId xmlns:a16="http://schemas.microsoft.com/office/drawing/2014/main" xmlns="" id="{00000000-0008-0000-0300-00001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9" name="Rectangle 104">
          <a:extLst>
            <a:ext uri="{FF2B5EF4-FFF2-40B4-BE49-F238E27FC236}">
              <a16:creationId xmlns:a16="http://schemas.microsoft.com/office/drawing/2014/main" xmlns="" id="{00000000-0008-0000-0300-00001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0" name="Rectangle 105">
          <a:extLst>
            <a:ext uri="{FF2B5EF4-FFF2-40B4-BE49-F238E27FC236}">
              <a16:creationId xmlns:a16="http://schemas.microsoft.com/office/drawing/2014/main" xmlns="" id="{00000000-0008-0000-0300-00001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1" name="Rectangle 106">
          <a:extLst>
            <a:ext uri="{FF2B5EF4-FFF2-40B4-BE49-F238E27FC236}">
              <a16:creationId xmlns:a16="http://schemas.microsoft.com/office/drawing/2014/main" xmlns="" id="{00000000-0008-0000-0300-00001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2" name="Rectangle 107">
          <a:extLst>
            <a:ext uri="{FF2B5EF4-FFF2-40B4-BE49-F238E27FC236}">
              <a16:creationId xmlns:a16="http://schemas.microsoft.com/office/drawing/2014/main" xmlns="" id="{00000000-0008-0000-0300-00001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3" name="Rectangle 108">
          <a:extLst>
            <a:ext uri="{FF2B5EF4-FFF2-40B4-BE49-F238E27FC236}">
              <a16:creationId xmlns:a16="http://schemas.microsoft.com/office/drawing/2014/main" xmlns="" id="{00000000-0008-0000-0300-00001F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4" name="Rectangle 109">
          <a:extLst>
            <a:ext uri="{FF2B5EF4-FFF2-40B4-BE49-F238E27FC236}">
              <a16:creationId xmlns:a16="http://schemas.microsoft.com/office/drawing/2014/main" xmlns="" id="{00000000-0008-0000-0300-000020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5" name="Rectangle 110">
          <a:extLst>
            <a:ext uri="{FF2B5EF4-FFF2-40B4-BE49-F238E27FC236}">
              <a16:creationId xmlns:a16="http://schemas.microsoft.com/office/drawing/2014/main" xmlns="" id="{00000000-0008-0000-0300-00002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6" name="Rectangle 111">
          <a:extLst>
            <a:ext uri="{FF2B5EF4-FFF2-40B4-BE49-F238E27FC236}">
              <a16:creationId xmlns:a16="http://schemas.microsoft.com/office/drawing/2014/main" xmlns="" id="{00000000-0008-0000-0300-00002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7" name="Rectangle 112">
          <a:extLst>
            <a:ext uri="{FF2B5EF4-FFF2-40B4-BE49-F238E27FC236}">
              <a16:creationId xmlns:a16="http://schemas.microsoft.com/office/drawing/2014/main" xmlns="" id="{00000000-0008-0000-0300-00002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8" name="Rectangle 113">
          <a:extLst>
            <a:ext uri="{FF2B5EF4-FFF2-40B4-BE49-F238E27FC236}">
              <a16:creationId xmlns:a16="http://schemas.microsoft.com/office/drawing/2014/main" xmlns="" id="{00000000-0008-0000-0300-00002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9" name="Rectangle 114">
          <a:extLst>
            <a:ext uri="{FF2B5EF4-FFF2-40B4-BE49-F238E27FC236}">
              <a16:creationId xmlns:a16="http://schemas.microsoft.com/office/drawing/2014/main" xmlns="" id="{00000000-0008-0000-0300-00002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0" name="Rectangle 115">
          <a:extLst>
            <a:ext uri="{FF2B5EF4-FFF2-40B4-BE49-F238E27FC236}">
              <a16:creationId xmlns:a16="http://schemas.microsoft.com/office/drawing/2014/main" xmlns="" id="{00000000-0008-0000-0300-00002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1" name="Rectangle 116">
          <a:extLst>
            <a:ext uri="{FF2B5EF4-FFF2-40B4-BE49-F238E27FC236}">
              <a16:creationId xmlns:a16="http://schemas.microsoft.com/office/drawing/2014/main" xmlns="" id="{00000000-0008-0000-0300-00002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2" name="Rectangle 117">
          <a:extLst>
            <a:ext uri="{FF2B5EF4-FFF2-40B4-BE49-F238E27FC236}">
              <a16:creationId xmlns:a16="http://schemas.microsoft.com/office/drawing/2014/main" xmlns="" id="{00000000-0008-0000-0300-00002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3" name="Rectangle 118">
          <a:extLst>
            <a:ext uri="{FF2B5EF4-FFF2-40B4-BE49-F238E27FC236}">
              <a16:creationId xmlns:a16="http://schemas.microsoft.com/office/drawing/2014/main" xmlns="" id="{00000000-0008-0000-0300-00002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4" name="Rectangle 119">
          <a:extLst>
            <a:ext uri="{FF2B5EF4-FFF2-40B4-BE49-F238E27FC236}">
              <a16:creationId xmlns:a16="http://schemas.microsoft.com/office/drawing/2014/main" xmlns="" id="{00000000-0008-0000-0300-00002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5" name="Rectangle 120">
          <a:extLst>
            <a:ext uri="{FF2B5EF4-FFF2-40B4-BE49-F238E27FC236}">
              <a16:creationId xmlns:a16="http://schemas.microsoft.com/office/drawing/2014/main" xmlns="" id="{00000000-0008-0000-0300-00002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6" name="Rectangle 121">
          <a:extLst>
            <a:ext uri="{FF2B5EF4-FFF2-40B4-BE49-F238E27FC236}">
              <a16:creationId xmlns:a16="http://schemas.microsoft.com/office/drawing/2014/main" xmlns="" id="{00000000-0008-0000-0300-00002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7" name="Rectangle 122">
          <a:extLst>
            <a:ext uri="{FF2B5EF4-FFF2-40B4-BE49-F238E27FC236}">
              <a16:creationId xmlns:a16="http://schemas.microsoft.com/office/drawing/2014/main" xmlns="" id="{00000000-0008-0000-0300-00002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8" name="Rectangle 123">
          <a:extLst>
            <a:ext uri="{FF2B5EF4-FFF2-40B4-BE49-F238E27FC236}">
              <a16:creationId xmlns:a16="http://schemas.microsoft.com/office/drawing/2014/main" xmlns="" id="{00000000-0008-0000-0300-00002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9" name="Rectangle 124">
          <a:extLst>
            <a:ext uri="{FF2B5EF4-FFF2-40B4-BE49-F238E27FC236}">
              <a16:creationId xmlns:a16="http://schemas.microsoft.com/office/drawing/2014/main" xmlns="" id="{00000000-0008-0000-0300-00002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0" name="Rectangle 125">
          <a:extLst>
            <a:ext uri="{FF2B5EF4-FFF2-40B4-BE49-F238E27FC236}">
              <a16:creationId xmlns:a16="http://schemas.microsoft.com/office/drawing/2014/main" xmlns="" id="{00000000-0008-0000-0300-00003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61" name="Rectangle 126">
          <a:extLst>
            <a:ext uri="{FF2B5EF4-FFF2-40B4-BE49-F238E27FC236}">
              <a16:creationId xmlns:a16="http://schemas.microsoft.com/office/drawing/2014/main" xmlns="" id="{00000000-0008-0000-0300-00003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2" name="Rectangle 127">
          <a:extLst>
            <a:ext uri="{FF2B5EF4-FFF2-40B4-BE49-F238E27FC236}">
              <a16:creationId xmlns:a16="http://schemas.microsoft.com/office/drawing/2014/main" xmlns="" id="{00000000-0008-0000-0300-00003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3" name="Rectangle 128">
          <a:extLst>
            <a:ext uri="{FF2B5EF4-FFF2-40B4-BE49-F238E27FC236}">
              <a16:creationId xmlns:a16="http://schemas.microsoft.com/office/drawing/2014/main" xmlns="" id="{00000000-0008-0000-0300-00003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4" name="Rectangle 129">
          <a:extLst>
            <a:ext uri="{FF2B5EF4-FFF2-40B4-BE49-F238E27FC236}">
              <a16:creationId xmlns:a16="http://schemas.microsoft.com/office/drawing/2014/main" xmlns="" id="{00000000-0008-0000-0300-00003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5" name="Rectangle 130">
          <a:extLst>
            <a:ext uri="{FF2B5EF4-FFF2-40B4-BE49-F238E27FC236}">
              <a16:creationId xmlns:a16="http://schemas.microsoft.com/office/drawing/2014/main" xmlns="" id="{00000000-0008-0000-0300-00003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6" name="Rectangle 131">
          <a:extLst>
            <a:ext uri="{FF2B5EF4-FFF2-40B4-BE49-F238E27FC236}">
              <a16:creationId xmlns:a16="http://schemas.microsoft.com/office/drawing/2014/main" xmlns="" id="{00000000-0008-0000-0300-00003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7" name="Rectangle 132">
          <a:extLst>
            <a:ext uri="{FF2B5EF4-FFF2-40B4-BE49-F238E27FC236}">
              <a16:creationId xmlns:a16="http://schemas.microsoft.com/office/drawing/2014/main" xmlns="" id="{00000000-0008-0000-0300-00003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8" name="Rectangle 133">
          <a:extLst>
            <a:ext uri="{FF2B5EF4-FFF2-40B4-BE49-F238E27FC236}">
              <a16:creationId xmlns:a16="http://schemas.microsoft.com/office/drawing/2014/main" xmlns="" id="{00000000-0008-0000-0300-00003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9" name="Rectangle 134">
          <a:extLst>
            <a:ext uri="{FF2B5EF4-FFF2-40B4-BE49-F238E27FC236}">
              <a16:creationId xmlns:a16="http://schemas.microsoft.com/office/drawing/2014/main" xmlns="" id="{00000000-0008-0000-0300-00003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0" name="Rectangle 135">
          <a:extLst>
            <a:ext uri="{FF2B5EF4-FFF2-40B4-BE49-F238E27FC236}">
              <a16:creationId xmlns:a16="http://schemas.microsoft.com/office/drawing/2014/main" xmlns="" id="{00000000-0008-0000-0300-00003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1" name="Rectangle 136">
          <a:extLst>
            <a:ext uri="{FF2B5EF4-FFF2-40B4-BE49-F238E27FC236}">
              <a16:creationId xmlns:a16="http://schemas.microsoft.com/office/drawing/2014/main" xmlns="" id="{00000000-0008-0000-0300-00003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2" name="Rectangle 137">
          <a:extLst>
            <a:ext uri="{FF2B5EF4-FFF2-40B4-BE49-F238E27FC236}">
              <a16:creationId xmlns:a16="http://schemas.microsoft.com/office/drawing/2014/main" xmlns="" id="{00000000-0008-0000-0300-00003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3" name="Rectangle 138">
          <a:extLst>
            <a:ext uri="{FF2B5EF4-FFF2-40B4-BE49-F238E27FC236}">
              <a16:creationId xmlns:a16="http://schemas.microsoft.com/office/drawing/2014/main" xmlns="" id="{00000000-0008-0000-0300-00003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4" name="Rectangle 139">
          <a:extLst>
            <a:ext uri="{FF2B5EF4-FFF2-40B4-BE49-F238E27FC236}">
              <a16:creationId xmlns:a16="http://schemas.microsoft.com/office/drawing/2014/main" xmlns="" id="{00000000-0008-0000-0300-00003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5" name="Rectangle 140">
          <a:extLst>
            <a:ext uri="{FF2B5EF4-FFF2-40B4-BE49-F238E27FC236}">
              <a16:creationId xmlns:a16="http://schemas.microsoft.com/office/drawing/2014/main" xmlns="" id="{00000000-0008-0000-0300-00003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6" name="Rectangle 141">
          <a:extLst>
            <a:ext uri="{FF2B5EF4-FFF2-40B4-BE49-F238E27FC236}">
              <a16:creationId xmlns:a16="http://schemas.microsoft.com/office/drawing/2014/main" xmlns="" id="{00000000-0008-0000-0300-00004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7" name="Rectangle 142">
          <a:extLst>
            <a:ext uri="{FF2B5EF4-FFF2-40B4-BE49-F238E27FC236}">
              <a16:creationId xmlns:a16="http://schemas.microsoft.com/office/drawing/2014/main" xmlns="" id="{00000000-0008-0000-0300-00004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8" name="Rectangle 143">
          <a:extLst>
            <a:ext uri="{FF2B5EF4-FFF2-40B4-BE49-F238E27FC236}">
              <a16:creationId xmlns:a16="http://schemas.microsoft.com/office/drawing/2014/main" xmlns="" id="{00000000-0008-0000-0300-00004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9" name="Rectangle 144">
          <a:extLst>
            <a:ext uri="{FF2B5EF4-FFF2-40B4-BE49-F238E27FC236}">
              <a16:creationId xmlns:a16="http://schemas.microsoft.com/office/drawing/2014/main" xmlns="" id="{00000000-0008-0000-0300-00004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0" name="Rectangle 145">
          <a:extLst>
            <a:ext uri="{FF2B5EF4-FFF2-40B4-BE49-F238E27FC236}">
              <a16:creationId xmlns:a16="http://schemas.microsoft.com/office/drawing/2014/main" xmlns="" id="{00000000-0008-0000-0300-00004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1" name="Rectangle 146">
          <a:extLst>
            <a:ext uri="{FF2B5EF4-FFF2-40B4-BE49-F238E27FC236}">
              <a16:creationId xmlns:a16="http://schemas.microsoft.com/office/drawing/2014/main" xmlns="" id="{00000000-0008-0000-0300-00004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2" name="Rectangle 147">
          <a:extLst>
            <a:ext uri="{FF2B5EF4-FFF2-40B4-BE49-F238E27FC236}">
              <a16:creationId xmlns:a16="http://schemas.microsoft.com/office/drawing/2014/main" xmlns="" id="{00000000-0008-0000-0300-00004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3" name="Rectangle 148">
          <a:extLst>
            <a:ext uri="{FF2B5EF4-FFF2-40B4-BE49-F238E27FC236}">
              <a16:creationId xmlns:a16="http://schemas.microsoft.com/office/drawing/2014/main" xmlns="" id="{00000000-0008-0000-0300-00004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4" name="Rectangle 149">
          <a:extLst>
            <a:ext uri="{FF2B5EF4-FFF2-40B4-BE49-F238E27FC236}">
              <a16:creationId xmlns:a16="http://schemas.microsoft.com/office/drawing/2014/main" xmlns="" id="{00000000-0008-0000-0300-00004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5" name="Rectangle 150">
          <a:extLst>
            <a:ext uri="{FF2B5EF4-FFF2-40B4-BE49-F238E27FC236}">
              <a16:creationId xmlns:a16="http://schemas.microsoft.com/office/drawing/2014/main" xmlns="" id="{00000000-0008-0000-0300-00004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6" name="Rectangle 151">
          <a:extLst>
            <a:ext uri="{FF2B5EF4-FFF2-40B4-BE49-F238E27FC236}">
              <a16:creationId xmlns:a16="http://schemas.microsoft.com/office/drawing/2014/main" xmlns="" id="{00000000-0008-0000-0300-00004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7" name="Rectangle 152">
          <a:extLst>
            <a:ext uri="{FF2B5EF4-FFF2-40B4-BE49-F238E27FC236}">
              <a16:creationId xmlns:a16="http://schemas.microsoft.com/office/drawing/2014/main" xmlns="" id="{00000000-0008-0000-0300-00004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8" name="Rectangle 153">
          <a:extLst>
            <a:ext uri="{FF2B5EF4-FFF2-40B4-BE49-F238E27FC236}">
              <a16:creationId xmlns:a16="http://schemas.microsoft.com/office/drawing/2014/main" xmlns="" id="{00000000-0008-0000-0300-00004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9" name="Rectangle 154">
          <a:extLst>
            <a:ext uri="{FF2B5EF4-FFF2-40B4-BE49-F238E27FC236}">
              <a16:creationId xmlns:a16="http://schemas.microsoft.com/office/drawing/2014/main" xmlns="" id="{00000000-0008-0000-0300-00004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0" name="Rectangle 155">
          <a:extLst>
            <a:ext uri="{FF2B5EF4-FFF2-40B4-BE49-F238E27FC236}">
              <a16:creationId xmlns:a16="http://schemas.microsoft.com/office/drawing/2014/main" xmlns="" id="{00000000-0008-0000-0300-00004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1" name="Rectangle 156">
          <a:extLst>
            <a:ext uri="{FF2B5EF4-FFF2-40B4-BE49-F238E27FC236}">
              <a16:creationId xmlns:a16="http://schemas.microsoft.com/office/drawing/2014/main" xmlns="" id="{00000000-0008-0000-0300-00004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2" name="Rectangle 157">
          <a:extLst>
            <a:ext uri="{FF2B5EF4-FFF2-40B4-BE49-F238E27FC236}">
              <a16:creationId xmlns:a16="http://schemas.microsoft.com/office/drawing/2014/main" xmlns="" id="{00000000-0008-0000-0300-00005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3" name="Rectangle 158">
          <a:extLst>
            <a:ext uri="{FF2B5EF4-FFF2-40B4-BE49-F238E27FC236}">
              <a16:creationId xmlns:a16="http://schemas.microsoft.com/office/drawing/2014/main" xmlns="" id="{00000000-0008-0000-0300-00005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4" name="Rectangle 159">
          <a:extLst>
            <a:ext uri="{FF2B5EF4-FFF2-40B4-BE49-F238E27FC236}">
              <a16:creationId xmlns:a16="http://schemas.microsoft.com/office/drawing/2014/main" xmlns="" id="{00000000-0008-0000-0300-00005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5" name="Rectangle 160">
          <a:extLst>
            <a:ext uri="{FF2B5EF4-FFF2-40B4-BE49-F238E27FC236}">
              <a16:creationId xmlns:a16="http://schemas.microsoft.com/office/drawing/2014/main" xmlns="" id="{00000000-0008-0000-0300-00005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6" name="Rectangle 161">
          <a:extLst>
            <a:ext uri="{FF2B5EF4-FFF2-40B4-BE49-F238E27FC236}">
              <a16:creationId xmlns:a16="http://schemas.microsoft.com/office/drawing/2014/main" xmlns="" id="{00000000-0008-0000-0300-00005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7" name="Rectangle 162">
          <a:extLst>
            <a:ext uri="{FF2B5EF4-FFF2-40B4-BE49-F238E27FC236}">
              <a16:creationId xmlns:a16="http://schemas.microsoft.com/office/drawing/2014/main" xmlns="" id="{00000000-0008-0000-0300-00005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8" name="Rectangle 163">
          <a:extLst>
            <a:ext uri="{FF2B5EF4-FFF2-40B4-BE49-F238E27FC236}">
              <a16:creationId xmlns:a16="http://schemas.microsoft.com/office/drawing/2014/main" xmlns="" id="{00000000-0008-0000-0300-00005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9" name="Rectangle 164">
          <a:extLst>
            <a:ext uri="{FF2B5EF4-FFF2-40B4-BE49-F238E27FC236}">
              <a16:creationId xmlns:a16="http://schemas.microsoft.com/office/drawing/2014/main" xmlns="" id="{00000000-0008-0000-0300-00005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0" name="Rectangle 165">
          <a:extLst>
            <a:ext uri="{FF2B5EF4-FFF2-40B4-BE49-F238E27FC236}">
              <a16:creationId xmlns:a16="http://schemas.microsoft.com/office/drawing/2014/main" xmlns="" id="{00000000-0008-0000-0300-00005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1" name="Rectangle 166">
          <a:extLst>
            <a:ext uri="{FF2B5EF4-FFF2-40B4-BE49-F238E27FC236}">
              <a16:creationId xmlns:a16="http://schemas.microsoft.com/office/drawing/2014/main" xmlns="" id="{00000000-0008-0000-0300-00005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2" name="Rectangle 167">
          <a:extLst>
            <a:ext uri="{FF2B5EF4-FFF2-40B4-BE49-F238E27FC236}">
              <a16:creationId xmlns:a16="http://schemas.microsoft.com/office/drawing/2014/main" xmlns="" id="{00000000-0008-0000-0300-00005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3" name="Rectangle 168">
          <a:extLst>
            <a:ext uri="{FF2B5EF4-FFF2-40B4-BE49-F238E27FC236}">
              <a16:creationId xmlns:a16="http://schemas.microsoft.com/office/drawing/2014/main" xmlns="" id="{00000000-0008-0000-0300-00005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4" name="Rectangle 169">
          <a:extLst>
            <a:ext uri="{FF2B5EF4-FFF2-40B4-BE49-F238E27FC236}">
              <a16:creationId xmlns:a16="http://schemas.microsoft.com/office/drawing/2014/main" xmlns="" id="{00000000-0008-0000-0300-00005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5" name="Rectangle 170">
          <a:extLst>
            <a:ext uri="{FF2B5EF4-FFF2-40B4-BE49-F238E27FC236}">
              <a16:creationId xmlns:a16="http://schemas.microsoft.com/office/drawing/2014/main" xmlns="" id="{00000000-0008-0000-0300-00005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6" name="Rectangle 171">
          <a:extLst>
            <a:ext uri="{FF2B5EF4-FFF2-40B4-BE49-F238E27FC236}">
              <a16:creationId xmlns:a16="http://schemas.microsoft.com/office/drawing/2014/main" xmlns="" id="{00000000-0008-0000-0300-00005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7" name="Rectangle 172">
          <a:extLst>
            <a:ext uri="{FF2B5EF4-FFF2-40B4-BE49-F238E27FC236}">
              <a16:creationId xmlns:a16="http://schemas.microsoft.com/office/drawing/2014/main" xmlns="" id="{00000000-0008-0000-0300-00005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8" name="Rectangle 173">
          <a:extLst>
            <a:ext uri="{FF2B5EF4-FFF2-40B4-BE49-F238E27FC236}">
              <a16:creationId xmlns:a16="http://schemas.microsoft.com/office/drawing/2014/main" xmlns="" id="{00000000-0008-0000-0300-00006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9" name="Rectangle 174">
          <a:extLst>
            <a:ext uri="{FF2B5EF4-FFF2-40B4-BE49-F238E27FC236}">
              <a16:creationId xmlns:a16="http://schemas.microsoft.com/office/drawing/2014/main" xmlns="" id="{00000000-0008-0000-0300-00006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0" name="Rectangle 175">
          <a:extLst>
            <a:ext uri="{FF2B5EF4-FFF2-40B4-BE49-F238E27FC236}">
              <a16:creationId xmlns:a16="http://schemas.microsoft.com/office/drawing/2014/main" xmlns="" id="{00000000-0008-0000-0300-00006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1" name="Rectangle 176">
          <a:extLst>
            <a:ext uri="{FF2B5EF4-FFF2-40B4-BE49-F238E27FC236}">
              <a16:creationId xmlns:a16="http://schemas.microsoft.com/office/drawing/2014/main" xmlns="" id="{00000000-0008-0000-0300-00006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2" name="Rectangle 177">
          <a:extLst>
            <a:ext uri="{FF2B5EF4-FFF2-40B4-BE49-F238E27FC236}">
              <a16:creationId xmlns:a16="http://schemas.microsoft.com/office/drawing/2014/main" xmlns="" id="{00000000-0008-0000-0300-00006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3" name="Rectangle 178">
          <a:extLst>
            <a:ext uri="{FF2B5EF4-FFF2-40B4-BE49-F238E27FC236}">
              <a16:creationId xmlns:a16="http://schemas.microsoft.com/office/drawing/2014/main" xmlns="" id="{00000000-0008-0000-0300-00006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4" name="Rectangle 179">
          <a:extLst>
            <a:ext uri="{FF2B5EF4-FFF2-40B4-BE49-F238E27FC236}">
              <a16:creationId xmlns:a16="http://schemas.microsoft.com/office/drawing/2014/main" xmlns="" id="{00000000-0008-0000-0300-00006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5" name="Rectangle 180">
          <a:extLst>
            <a:ext uri="{FF2B5EF4-FFF2-40B4-BE49-F238E27FC236}">
              <a16:creationId xmlns:a16="http://schemas.microsoft.com/office/drawing/2014/main" xmlns="" id="{00000000-0008-0000-0300-00006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6" name="Rectangle 181">
          <a:extLst>
            <a:ext uri="{FF2B5EF4-FFF2-40B4-BE49-F238E27FC236}">
              <a16:creationId xmlns:a16="http://schemas.microsoft.com/office/drawing/2014/main" xmlns="" id="{00000000-0008-0000-0300-00006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7" name="Rectangle 182">
          <a:extLst>
            <a:ext uri="{FF2B5EF4-FFF2-40B4-BE49-F238E27FC236}">
              <a16:creationId xmlns:a16="http://schemas.microsoft.com/office/drawing/2014/main" xmlns="" id="{00000000-0008-0000-0300-00006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8" name="Rectangle 183">
          <a:extLst>
            <a:ext uri="{FF2B5EF4-FFF2-40B4-BE49-F238E27FC236}">
              <a16:creationId xmlns:a16="http://schemas.microsoft.com/office/drawing/2014/main" xmlns="" id="{00000000-0008-0000-0300-00006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9" name="Rectangle 184">
          <a:extLst>
            <a:ext uri="{FF2B5EF4-FFF2-40B4-BE49-F238E27FC236}">
              <a16:creationId xmlns:a16="http://schemas.microsoft.com/office/drawing/2014/main" xmlns="" id="{00000000-0008-0000-0300-00006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0" name="Rectangle 185">
          <a:extLst>
            <a:ext uri="{FF2B5EF4-FFF2-40B4-BE49-F238E27FC236}">
              <a16:creationId xmlns:a16="http://schemas.microsoft.com/office/drawing/2014/main" xmlns="" id="{00000000-0008-0000-0300-00006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1" name="Rectangle 186">
          <a:extLst>
            <a:ext uri="{FF2B5EF4-FFF2-40B4-BE49-F238E27FC236}">
              <a16:creationId xmlns:a16="http://schemas.microsoft.com/office/drawing/2014/main" xmlns="" id="{00000000-0008-0000-0300-00006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2" name="Rectangle 187">
          <a:extLst>
            <a:ext uri="{FF2B5EF4-FFF2-40B4-BE49-F238E27FC236}">
              <a16:creationId xmlns:a16="http://schemas.microsoft.com/office/drawing/2014/main" xmlns="" id="{00000000-0008-0000-0300-00006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3" name="Rectangle 188">
          <a:extLst>
            <a:ext uri="{FF2B5EF4-FFF2-40B4-BE49-F238E27FC236}">
              <a16:creationId xmlns:a16="http://schemas.microsoft.com/office/drawing/2014/main" xmlns="" id="{00000000-0008-0000-0300-00006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4" name="Rectangle 189">
          <a:extLst>
            <a:ext uri="{FF2B5EF4-FFF2-40B4-BE49-F238E27FC236}">
              <a16:creationId xmlns:a16="http://schemas.microsoft.com/office/drawing/2014/main" xmlns="" id="{00000000-0008-0000-0300-00007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5" name="Rectangle 190">
          <a:extLst>
            <a:ext uri="{FF2B5EF4-FFF2-40B4-BE49-F238E27FC236}">
              <a16:creationId xmlns:a16="http://schemas.microsoft.com/office/drawing/2014/main" xmlns="" id="{00000000-0008-0000-0300-00007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6" name="Rectangle 191">
          <a:extLst>
            <a:ext uri="{FF2B5EF4-FFF2-40B4-BE49-F238E27FC236}">
              <a16:creationId xmlns:a16="http://schemas.microsoft.com/office/drawing/2014/main" xmlns="" id="{00000000-0008-0000-0300-00007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7" name="Rectangle 192">
          <a:extLst>
            <a:ext uri="{FF2B5EF4-FFF2-40B4-BE49-F238E27FC236}">
              <a16:creationId xmlns:a16="http://schemas.microsoft.com/office/drawing/2014/main" xmlns="" id="{00000000-0008-0000-0300-00007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8" name="Rectangle 193">
          <a:extLst>
            <a:ext uri="{FF2B5EF4-FFF2-40B4-BE49-F238E27FC236}">
              <a16:creationId xmlns:a16="http://schemas.microsoft.com/office/drawing/2014/main" xmlns="" id="{00000000-0008-0000-0300-00007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9" name="Rectangle 194">
          <a:extLst>
            <a:ext uri="{FF2B5EF4-FFF2-40B4-BE49-F238E27FC236}">
              <a16:creationId xmlns:a16="http://schemas.microsoft.com/office/drawing/2014/main" xmlns="" id="{00000000-0008-0000-0300-00007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0" name="Rectangle 195">
          <a:extLst>
            <a:ext uri="{FF2B5EF4-FFF2-40B4-BE49-F238E27FC236}">
              <a16:creationId xmlns:a16="http://schemas.microsoft.com/office/drawing/2014/main" xmlns="" id="{00000000-0008-0000-0300-00007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1" name="Rectangle 196">
          <a:extLst>
            <a:ext uri="{FF2B5EF4-FFF2-40B4-BE49-F238E27FC236}">
              <a16:creationId xmlns:a16="http://schemas.microsoft.com/office/drawing/2014/main" xmlns="" id="{00000000-0008-0000-0300-00007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2" name="Rectangle 197">
          <a:extLst>
            <a:ext uri="{FF2B5EF4-FFF2-40B4-BE49-F238E27FC236}">
              <a16:creationId xmlns:a16="http://schemas.microsoft.com/office/drawing/2014/main" xmlns="" id="{00000000-0008-0000-0300-00007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3" name="Rectangle 198">
          <a:extLst>
            <a:ext uri="{FF2B5EF4-FFF2-40B4-BE49-F238E27FC236}">
              <a16:creationId xmlns:a16="http://schemas.microsoft.com/office/drawing/2014/main" xmlns="" id="{00000000-0008-0000-0300-00007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4" name="Rectangle 199">
          <a:extLst>
            <a:ext uri="{FF2B5EF4-FFF2-40B4-BE49-F238E27FC236}">
              <a16:creationId xmlns:a16="http://schemas.microsoft.com/office/drawing/2014/main" xmlns="" id="{00000000-0008-0000-0300-00007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5" name="Rectangle 200">
          <a:extLst>
            <a:ext uri="{FF2B5EF4-FFF2-40B4-BE49-F238E27FC236}">
              <a16:creationId xmlns:a16="http://schemas.microsoft.com/office/drawing/2014/main" xmlns="" id="{00000000-0008-0000-0300-00007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6" name="Rectangle 201">
          <a:extLst>
            <a:ext uri="{FF2B5EF4-FFF2-40B4-BE49-F238E27FC236}">
              <a16:creationId xmlns:a16="http://schemas.microsoft.com/office/drawing/2014/main" xmlns="" id="{00000000-0008-0000-0300-00007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7" name="Rectangle 202">
          <a:extLst>
            <a:ext uri="{FF2B5EF4-FFF2-40B4-BE49-F238E27FC236}">
              <a16:creationId xmlns:a16="http://schemas.microsoft.com/office/drawing/2014/main" xmlns="" id="{00000000-0008-0000-0300-00007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8" name="Rectangle 203">
          <a:extLst>
            <a:ext uri="{FF2B5EF4-FFF2-40B4-BE49-F238E27FC236}">
              <a16:creationId xmlns:a16="http://schemas.microsoft.com/office/drawing/2014/main" xmlns="" id="{00000000-0008-0000-0300-00007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9" name="Rectangle 204">
          <a:extLst>
            <a:ext uri="{FF2B5EF4-FFF2-40B4-BE49-F238E27FC236}">
              <a16:creationId xmlns:a16="http://schemas.microsoft.com/office/drawing/2014/main" xmlns="" id="{00000000-0008-0000-0300-00007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0" name="Rectangle 205">
          <a:extLst>
            <a:ext uri="{FF2B5EF4-FFF2-40B4-BE49-F238E27FC236}">
              <a16:creationId xmlns:a16="http://schemas.microsoft.com/office/drawing/2014/main" xmlns="" id="{00000000-0008-0000-0300-00008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1" name="Rectangle 206">
          <a:extLst>
            <a:ext uri="{FF2B5EF4-FFF2-40B4-BE49-F238E27FC236}">
              <a16:creationId xmlns:a16="http://schemas.microsoft.com/office/drawing/2014/main" xmlns="" id="{00000000-0008-0000-0300-000081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2" name="Rectangle 207">
          <a:extLst>
            <a:ext uri="{FF2B5EF4-FFF2-40B4-BE49-F238E27FC236}">
              <a16:creationId xmlns:a16="http://schemas.microsoft.com/office/drawing/2014/main" xmlns="" id="{00000000-0008-0000-0300-000082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3" name="Rectangle 208">
          <a:extLst>
            <a:ext uri="{FF2B5EF4-FFF2-40B4-BE49-F238E27FC236}">
              <a16:creationId xmlns:a16="http://schemas.microsoft.com/office/drawing/2014/main" xmlns="" id="{00000000-0008-0000-0300-00008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4" name="Rectangle 209">
          <a:extLst>
            <a:ext uri="{FF2B5EF4-FFF2-40B4-BE49-F238E27FC236}">
              <a16:creationId xmlns:a16="http://schemas.microsoft.com/office/drawing/2014/main" xmlns="" id="{00000000-0008-0000-0300-000084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5" name="Rectangle 210">
          <a:extLst>
            <a:ext uri="{FF2B5EF4-FFF2-40B4-BE49-F238E27FC236}">
              <a16:creationId xmlns:a16="http://schemas.microsoft.com/office/drawing/2014/main" xmlns="" id="{00000000-0008-0000-0300-00008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6" name="Rectangle 211">
          <a:extLst>
            <a:ext uri="{FF2B5EF4-FFF2-40B4-BE49-F238E27FC236}">
              <a16:creationId xmlns:a16="http://schemas.microsoft.com/office/drawing/2014/main" xmlns="" id="{00000000-0008-0000-0300-00008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7" name="Rectangle 212">
          <a:extLst>
            <a:ext uri="{FF2B5EF4-FFF2-40B4-BE49-F238E27FC236}">
              <a16:creationId xmlns:a16="http://schemas.microsoft.com/office/drawing/2014/main" xmlns="" id="{00000000-0008-0000-0300-00008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8" name="Rectangle 213">
          <a:extLst>
            <a:ext uri="{FF2B5EF4-FFF2-40B4-BE49-F238E27FC236}">
              <a16:creationId xmlns:a16="http://schemas.microsoft.com/office/drawing/2014/main" xmlns="" id="{00000000-0008-0000-0300-00008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9" name="Rectangle 214">
          <a:extLst>
            <a:ext uri="{FF2B5EF4-FFF2-40B4-BE49-F238E27FC236}">
              <a16:creationId xmlns:a16="http://schemas.microsoft.com/office/drawing/2014/main" xmlns="" id="{00000000-0008-0000-0300-00008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0" name="Rectangle 215">
          <a:extLst>
            <a:ext uri="{FF2B5EF4-FFF2-40B4-BE49-F238E27FC236}">
              <a16:creationId xmlns:a16="http://schemas.microsoft.com/office/drawing/2014/main" xmlns="" id="{00000000-0008-0000-0300-00008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51" name="Rectangle 216">
          <a:extLst>
            <a:ext uri="{FF2B5EF4-FFF2-40B4-BE49-F238E27FC236}">
              <a16:creationId xmlns:a16="http://schemas.microsoft.com/office/drawing/2014/main" xmlns="" id="{00000000-0008-0000-0300-00008B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2" name="Rectangle 217">
          <a:extLst>
            <a:ext uri="{FF2B5EF4-FFF2-40B4-BE49-F238E27FC236}">
              <a16:creationId xmlns:a16="http://schemas.microsoft.com/office/drawing/2014/main" xmlns="" id="{00000000-0008-0000-0300-00008C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3" name="Rectangle 218">
          <a:extLst>
            <a:ext uri="{FF2B5EF4-FFF2-40B4-BE49-F238E27FC236}">
              <a16:creationId xmlns:a16="http://schemas.microsoft.com/office/drawing/2014/main" xmlns="" id="{00000000-0008-0000-0300-00008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4" name="Rectangle 219">
          <a:extLst>
            <a:ext uri="{FF2B5EF4-FFF2-40B4-BE49-F238E27FC236}">
              <a16:creationId xmlns:a16="http://schemas.microsoft.com/office/drawing/2014/main" xmlns="" id="{00000000-0008-0000-0300-00008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5" name="Rectangle 220">
          <a:extLst>
            <a:ext uri="{FF2B5EF4-FFF2-40B4-BE49-F238E27FC236}">
              <a16:creationId xmlns:a16="http://schemas.microsoft.com/office/drawing/2014/main" xmlns="" id="{00000000-0008-0000-0300-00008F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6" name="Rectangle 221">
          <a:extLst>
            <a:ext uri="{FF2B5EF4-FFF2-40B4-BE49-F238E27FC236}">
              <a16:creationId xmlns:a16="http://schemas.microsoft.com/office/drawing/2014/main" xmlns="" id="{00000000-0008-0000-0300-00009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7" name="Rectangle 222">
          <a:extLst>
            <a:ext uri="{FF2B5EF4-FFF2-40B4-BE49-F238E27FC236}">
              <a16:creationId xmlns:a16="http://schemas.microsoft.com/office/drawing/2014/main" xmlns="" id="{00000000-0008-0000-0300-00009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8" name="Rectangle 223">
          <a:extLst>
            <a:ext uri="{FF2B5EF4-FFF2-40B4-BE49-F238E27FC236}">
              <a16:creationId xmlns:a16="http://schemas.microsoft.com/office/drawing/2014/main" xmlns="" id="{00000000-0008-0000-0300-00009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9" name="Rectangle 224">
          <a:extLst>
            <a:ext uri="{FF2B5EF4-FFF2-40B4-BE49-F238E27FC236}">
              <a16:creationId xmlns:a16="http://schemas.microsoft.com/office/drawing/2014/main" xmlns="" id="{00000000-0008-0000-0300-00009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0" name="Rectangle 225">
          <a:extLst>
            <a:ext uri="{FF2B5EF4-FFF2-40B4-BE49-F238E27FC236}">
              <a16:creationId xmlns:a16="http://schemas.microsoft.com/office/drawing/2014/main" xmlns="" id="{00000000-0008-0000-0300-00009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1" name="Rectangle 226">
          <a:extLst>
            <a:ext uri="{FF2B5EF4-FFF2-40B4-BE49-F238E27FC236}">
              <a16:creationId xmlns:a16="http://schemas.microsoft.com/office/drawing/2014/main" xmlns="" id="{00000000-0008-0000-0300-000095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2" name="Rectangle 227">
          <a:extLst>
            <a:ext uri="{FF2B5EF4-FFF2-40B4-BE49-F238E27FC236}">
              <a16:creationId xmlns:a16="http://schemas.microsoft.com/office/drawing/2014/main" xmlns="" id="{00000000-0008-0000-0300-00009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3" name="Rectangle 228">
          <a:extLst>
            <a:ext uri="{FF2B5EF4-FFF2-40B4-BE49-F238E27FC236}">
              <a16:creationId xmlns:a16="http://schemas.microsoft.com/office/drawing/2014/main" xmlns="" id="{00000000-0008-0000-0300-00009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4" name="Rectangle 229">
          <a:extLst>
            <a:ext uri="{FF2B5EF4-FFF2-40B4-BE49-F238E27FC236}">
              <a16:creationId xmlns:a16="http://schemas.microsoft.com/office/drawing/2014/main" xmlns="" id="{00000000-0008-0000-0300-00009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5" name="Rectangle 230">
          <a:extLst>
            <a:ext uri="{FF2B5EF4-FFF2-40B4-BE49-F238E27FC236}">
              <a16:creationId xmlns:a16="http://schemas.microsoft.com/office/drawing/2014/main" xmlns="" id="{00000000-0008-0000-0300-00009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6" name="Rectangle 231">
          <a:extLst>
            <a:ext uri="{FF2B5EF4-FFF2-40B4-BE49-F238E27FC236}">
              <a16:creationId xmlns:a16="http://schemas.microsoft.com/office/drawing/2014/main" xmlns="" id="{00000000-0008-0000-0300-00009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7" name="Rectangle 232">
          <a:extLst>
            <a:ext uri="{FF2B5EF4-FFF2-40B4-BE49-F238E27FC236}">
              <a16:creationId xmlns:a16="http://schemas.microsoft.com/office/drawing/2014/main" xmlns="" id="{00000000-0008-0000-0300-00009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8" name="Rectangle 233">
          <a:extLst>
            <a:ext uri="{FF2B5EF4-FFF2-40B4-BE49-F238E27FC236}">
              <a16:creationId xmlns:a16="http://schemas.microsoft.com/office/drawing/2014/main" xmlns="" id="{00000000-0008-0000-0300-00009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9" name="Rectangle 234">
          <a:extLst>
            <a:ext uri="{FF2B5EF4-FFF2-40B4-BE49-F238E27FC236}">
              <a16:creationId xmlns:a16="http://schemas.microsoft.com/office/drawing/2014/main" xmlns="" id="{00000000-0008-0000-0300-00009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0" name="Rectangle 235">
          <a:extLst>
            <a:ext uri="{FF2B5EF4-FFF2-40B4-BE49-F238E27FC236}">
              <a16:creationId xmlns:a16="http://schemas.microsoft.com/office/drawing/2014/main" xmlns="" id="{00000000-0008-0000-0300-00009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1" name="Rectangle 236">
          <a:extLst>
            <a:ext uri="{FF2B5EF4-FFF2-40B4-BE49-F238E27FC236}">
              <a16:creationId xmlns:a16="http://schemas.microsoft.com/office/drawing/2014/main" xmlns="" id="{00000000-0008-0000-0300-00009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2" name="Rectangle 237">
          <a:extLst>
            <a:ext uri="{FF2B5EF4-FFF2-40B4-BE49-F238E27FC236}">
              <a16:creationId xmlns:a16="http://schemas.microsoft.com/office/drawing/2014/main" xmlns="" id="{00000000-0008-0000-0300-0000A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3" name="Rectangle 238">
          <a:extLst>
            <a:ext uri="{FF2B5EF4-FFF2-40B4-BE49-F238E27FC236}">
              <a16:creationId xmlns:a16="http://schemas.microsoft.com/office/drawing/2014/main" xmlns="" id="{00000000-0008-0000-0300-0000A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4" name="Rectangle 239">
          <a:extLst>
            <a:ext uri="{FF2B5EF4-FFF2-40B4-BE49-F238E27FC236}">
              <a16:creationId xmlns:a16="http://schemas.microsoft.com/office/drawing/2014/main" xmlns="" id="{00000000-0008-0000-0300-0000A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5" name="Rectangle 240">
          <a:extLst>
            <a:ext uri="{FF2B5EF4-FFF2-40B4-BE49-F238E27FC236}">
              <a16:creationId xmlns:a16="http://schemas.microsoft.com/office/drawing/2014/main" xmlns="" id="{00000000-0008-0000-0300-0000A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6" name="Rectangle 241">
          <a:extLst>
            <a:ext uri="{FF2B5EF4-FFF2-40B4-BE49-F238E27FC236}">
              <a16:creationId xmlns:a16="http://schemas.microsoft.com/office/drawing/2014/main" xmlns="" id="{00000000-0008-0000-0300-0000A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7" name="Rectangle 242">
          <a:extLst>
            <a:ext uri="{FF2B5EF4-FFF2-40B4-BE49-F238E27FC236}">
              <a16:creationId xmlns:a16="http://schemas.microsoft.com/office/drawing/2014/main" xmlns="" id="{00000000-0008-0000-0300-0000A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8" name="Rectangle 243">
          <a:extLst>
            <a:ext uri="{FF2B5EF4-FFF2-40B4-BE49-F238E27FC236}">
              <a16:creationId xmlns:a16="http://schemas.microsoft.com/office/drawing/2014/main" xmlns="" id="{00000000-0008-0000-0300-0000A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9" name="Rectangle 244">
          <a:extLst>
            <a:ext uri="{FF2B5EF4-FFF2-40B4-BE49-F238E27FC236}">
              <a16:creationId xmlns:a16="http://schemas.microsoft.com/office/drawing/2014/main" xmlns="" id="{00000000-0008-0000-0300-0000A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0" name="Rectangle 245">
          <a:extLst>
            <a:ext uri="{FF2B5EF4-FFF2-40B4-BE49-F238E27FC236}">
              <a16:creationId xmlns:a16="http://schemas.microsoft.com/office/drawing/2014/main" xmlns="" id="{00000000-0008-0000-0300-0000A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1" name="Rectangle 246">
          <a:extLst>
            <a:ext uri="{FF2B5EF4-FFF2-40B4-BE49-F238E27FC236}">
              <a16:creationId xmlns:a16="http://schemas.microsoft.com/office/drawing/2014/main" xmlns="" id="{00000000-0008-0000-0300-0000A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2" name="Rectangle 247">
          <a:extLst>
            <a:ext uri="{FF2B5EF4-FFF2-40B4-BE49-F238E27FC236}">
              <a16:creationId xmlns:a16="http://schemas.microsoft.com/office/drawing/2014/main" xmlns="" id="{00000000-0008-0000-0300-0000A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3" name="Rectangle 248">
          <a:extLst>
            <a:ext uri="{FF2B5EF4-FFF2-40B4-BE49-F238E27FC236}">
              <a16:creationId xmlns:a16="http://schemas.microsoft.com/office/drawing/2014/main" xmlns="" id="{00000000-0008-0000-0300-0000A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4" name="Rectangle 249">
          <a:extLst>
            <a:ext uri="{FF2B5EF4-FFF2-40B4-BE49-F238E27FC236}">
              <a16:creationId xmlns:a16="http://schemas.microsoft.com/office/drawing/2014/main" xmlns="" id="{00000000-0008-0000-0300-0000A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5" name="Rectangle 250">
          <a:extLst>
            <a:ext uri="{FF2B5EF4-FFF2-40B4-BE49-F238E27FC236}">
              <a16:creationId xmlns:a16="http://schemas.microsoft.com/office/drawing/2014/main" xmlns="" id="{00000000-0008-0000-0300-0000A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6" name="Rectangle 251">
          <a:extLst>
            <a:ext uri="{FF2B5EF4-FFF2-40B4-BE49-F238E27FC236}">
              <a16:creationId xmlns:a16="http://schemas.microsoft.com/office/drawing/2014/main" xmlns="" id="{00000000-0008-0000-0300-0000A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7" name="Rectangle 252">
          <a:extLst>
            <a:ext uri="{FF2B5EF4-FFF2-40B4-BE49-F238E27FC236}">
              <a16:creationId xmlns:a16="http://schemas.microsoft.com/office/drawing/2014/main" xmlns="" id="{00000000-0008-0000-0300-0000A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8" name="Rectangle 253">
          <a:extLst>
            <a:ext uri="{FF2B5EF4-FFF2-40B4-BE49-F238E27FC236}">
              <a16:creationId xmlns:a16="http://schemas.microsoft.com/office/drawing/2014/main" xmlns="" id="{00000000-0008-0000-0300-0000B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9" name="Rectangle 254">
          <a:extLst>
            <a:ext uri="{FF2B5EF4-FFF2-40B4-BE49-F238E27FC236}">
              <a16:creationId xmlns:a16="http://schemas.microsoft.com/office/drawing/2014/main" xmlns="" id="{00000000-0008-0000-0300-0000B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0" name="Rectangle 255">
          <a:extLst>
            <a:ext uri="{FF2B5EF4-FFF2-40B4-BE49-F238E27FC236}">
              <a16:creationId xmlns:a16="http://schemas.microsoft.com/office/drawing/2014/main" xmlns="" id="{00000000-0008-0000-0300-0000B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1" name="Rectangle 256">
          <a:extLst>
            <a:ext uri="{FF2B5EF4-FFF2-40B4-BE49-F238E27FC236}">
              <a16:creationId xmlns:a16="http://schemas.microsoft.com/office/drawing/2014/main" xmlns="" id="{00000000-0008-0000-0300-0000B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2" name="Rectangle 257">
          <a:extLst>
            <a:ext uri="{FF2B5EF4-FFF2-40B4-BE49-F238E27FC236}">
              <a16:creationId xmlns:a16="http://schemas.microsoft.com/office/drawing/2014/main" xmlns="" id="{00000000-0008-0000-0300-0000B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3" name="Rectangle 258">
          <a:extLst>
            <a:ext uri="{FF2B5EF4-FFF2-40B4-BE49-F238E27FC236}">
              <a16:creationId xmlns:a16="http://schemas.microsoft.com/office/drawing/2014/main" xmlns="" id="{00000000-0008-0000-0300-0000B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4" name="Rectangle 259">
          <a:extLst>
            <a:ext uri="{FF2B5EF4-FFF2-40B4-BE49-F238E27FC236}">
              <a16:creationId xmlns:a16="http://schemas.microsoft.com/office/drawing/2014/main" xmlns="" id="{00000000-0008-0000-0300-0000B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5" name="Rectangle 260">
          <a:extLst>
            <a:ext uri="{FF2B5EF4-FFF2-40B4-BE49-F238E27FC236}">
              <a16:creationId xmlns:a16="http://schemas.microsoft.com/office/drawing/2014/main" xmlns="" id="{00000000-0008-0000-0300-0000B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6" name="Rectangle 261">
          <a:extLst>
            <a:ext uri="{FF2B5EF4-FFF2-40B4-BE49-F238E27FC236}">
              <a16:creationId xmlns:a16="http://schemas.microsoft.com/office/drawing/2014/main" xmlns="" id="{00000000-0008-0000-0300-0000B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7" name="Rectangle 262">
          <a:extLst>
            <a:ext uri="{FF2B5EF4-FFF2-40B4-BE49-F238E27FC236}">
              <a16:creationId xmlns:a16="http://schemas.microsoft.com/office/drawing/2014/main" xmlns="" id="{00000000-0008-0000-0300-0000B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8" name="Rectangle 263">
          <a:extLst>
            <a:ext uri="{FF2B5EF4-FFF2-40B4-BE49-F238E27FC236}">
              <a16:creationId xmlns:a16="http://schemas.microsoft.com/office/drawing/2014/main" xmlns="" id="{00000000-0008-0000-0300-0000BA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9" name="Rectangle 264">
          <a:extLst>
            <a:ext uri="{FF2B5EF4-FFF2-40B4-BE49-F238E27FC236}">
              <a16:creationId xmlns:a16="http://schemas.microsoft.com/office/drawing/2014/main" xmlns="" id="{00000000-0008-0000-0300-0000BB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0" name="Rectangle 265">
          <a:extLst>
            <a:ext uri="{FF2B5EF4-FFF2-40B4-BE49-F238E27FC236}">
              <a16:creationId xmlns:a16="http://schemas.microsoft.com/office/drawing/2014/main" xmlns="" id="{00000000-0008-0000-0300-0000BC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1" name="Rectangle 266">
          <a:extLst>
            <a:ext uri="{FF2B5EF4-FFF2-40B4-BE49-F238E27FC236}">
              <a16:creationId xmlns:a16="http://schemas.microsoft.com/office/drawing/2014/main" xmlns="" id="{00000000-0008-0000-0300-0000BD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2" name="Rectangle 267">
          <a:extLst>
            <a:ext uri="{FF2B5EF4-FFF2-40B4-BE49-F238E27FC236}">
              <a16:creationId xmlns:a16="http://schemas.microsoft.com/office/drawing/2014/main" xmlns="" id="{00000000-0008-0000-0300-0000BE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3" name="Rectangle 268">
          <a:extLst>
            <a:ext uri="{FF2B5EF4-FFF2-40B4-BE49-F238E27FC236}">
              <a16:creationId xmlns:a16="http://schemas.microsoft.com/office/drawing/2014/main" xmlns="" id="{00000000-0008-0000-0300-0000BF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4" name="Rectangle 269">
          <a:extLst>
            <a:ext uri="{FF2B5EF4-FFF2-40B4-BE49-F238E27FC236}">
              <a16:creationId xmlns:a16="http://schemas.microsoft.com/office/drawing/2014/main" xmlns="" id="{00000000-0008-0000-0300-0000C0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5" name="Rectangle 270">
          <a:extLst>
            <a:ext uri="{FF2B5EF4-FFF2-40B4-BE49-F238E27FC236}">
              <a16:creationId xmlns:a16="http://schemas.microsoft.com/office/drawing/2014/main" xmlns="" id="{00000000-0008-0000-0300-0000C1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6" name="Rectangle 271">
          <a:extLst>
            <a:ext uri="{FF2B5EF4-FFF2-40B4-BE49-F238E27FC236}">
              <a16:creationId xmlns:a16="http://schemas.microsoft.com/office/drawing/2014/main" xmlns="" id="{00000000-0008-0000-0300-0000C2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7" name="Rectangle 272">
          <a:extLst>
            <a:ext uri="{FF2B5EF4-FFF2-40B4-BE49-F238E27FC236}">
              <a16:creationId xmlns:a16="http://schemas.microsoft.com/office/drawing/2014/main" xmlns="" id="{00000000-0008-0000-0300-0000C3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8" name="Rectangle 273">
          <a:extLst>
            <a:ext uri="{FF2B5EF4-FFF2-40B4-BE49-F238E27FC236}">
              <a16:creationId xmlns:a16="http://schemas.microsoft.com/office/drawing/2014/main" xmlns="" id="{00000000-0008-0000-0300-0000C4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9" name="Rectangle 274">
          <a:extLst>
            <a:ext uri="{FF2B5EF4-FFF2-40B4-BE49-F238E27FC236}">
              <a16:creationId xmlns:a16="http://schemas.microsoft.com/office/drawing/2014/main" xmlns="" id="{00000000-0008-0000-0300-0000C5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0" name="Rectangle 275">
          <a:extLst>
            <a:ext uri="{FF2B5EF4-FFF2-40B4-BE49-F238E27FC236}">
              <a16:creationId xmlns:a16="http://schemas.microsoft.com/office/drawing/2014/main" xmlns="" id="{00000000-0008-0000-0300-0000C6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1" name="Rectangle 276">
          <a:extLst>
            <a:ext uri="{FF2B5EF4-FFF2-40B4-BE49-F238E27FC236}">
              <a16:creationId xmlns:a16="http://schemas.microsoft.com/office/drawing/2014/main" xmlns="" id="{00000000-0008-0000-0300-0000C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2" name="Rectangle 277">
          <a:extLst>
            <a:ext uri="{FF2B5EF4-FFF2-40B4-BE49-F238E27FC236}">
              <a16:creationId xmlns:a16="http://schemas.microsoft.com/office/drawing/2014/main" xmlns="" id="{00000000-0008-0000-0300-0000C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3" name="Rectangle 278">
          <a:extLst>
            <a:ext uri="{FF2B5EF4-FFF2-40B4-BE49-F238E27FC236}">
              <a16:creationId xmlns:a16="http://schemas.microsoft.com/office/drawing/2014/main" xmlns="" id="{00000000-0008-0000-0300-0000C9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4" name="Rectangle 279">
          <a:extLst>
            <a:ext uri="{FF2B5EF4-FFF2-40B4-BE49-F238E27FC236}">
              <a16:creationId xmlns:a16="http://schemas.microsoft.com/office/drawing/2014/main" xmlns="" id="{00000000-0008-0000-0300-0000CA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5" name="Rectangle 280">
          <a:extLst>
            <a:ext uri="{FF2B5EF4-FFF2-40B4-BE49-F238E27FC236}">
              <a16:creationId xmlns:a16="http://schemas.microsoft.com/office/drawing/2014/main" xmlns="" id="{00000000-0008-0000-0300-0000CB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6" name="Rectangle 281">
          <a:extLst>
            <a:ext uri="{FF2B5EF4-FFF2-40B4-BE49-F238E27FC236}">
              <a16:creationId xmlns:a16="http://schemas.microsoft.com/office/drawing/2014/main" xmlns="" id="{00000000-0008-0000-0300-0000C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7" name="Rectangle 282">
          <a:extLst>
            <a:ext uri="{FF2B5EF4-FFF2-40B4-BE49-F238E27FC236}">
              <a16:creationId xmlns:a16="http://schemas.microsoft.com/office/drawing/2014/main" xmlns="" id="{00000000-0008-0000-0300-0000C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8" name="Rectangle 283">
          <a:extLst>
            <a:ext uri="{FF2B5EF4-FFF2-40B4-BE49-F238E27FC236}">
              <a16:creationId xmlns:a16="http://schemas.microsoft.com/office/drawing/2014/main" xmlns="" id="{00000000-0008-0000-0300-0000C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9" name="Rectangle 284">
          <a:extLst>
            <a:ext uri="{FF2B5EF4-FFF2-40B4-BE49-F238E27FC236}">
              <a16:creationId xmlns:a16="http://schemas.microsoft.com/office/drawing/2014/main" xmlns="" id="{00000000-0008-0000-0300-0000C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0" name="Rectangle 285">
          <a:extLst>
            <a:ext uri="{FF2B5EF4-FFF2-40B4-BE49-F238E27FC236}">
              <a16:creationId xmlns:a16="http://schemas.microsoft.com/office/drawing/2014/main" xmlns="" id="{00000000-0008-0000-0300-0000D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1" name="Rectangle 286">
          <a:extLst>
            <a:ext uri="{FF2B5EF4-FFF2-40B4-BE49-F238E27FC236}">
              <a16:creationId xmlns:a16="http://schemas.microsoft.com/office/drawing/2014/main" xmlns="" id="{00000000-0008-0000-0300-0000D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2" name="Rectangle 287">
          <a:extLst>
            <a:ext uri="{FF2B5EF4-FFF2-40B4-BE49-F238E27FC236}">
              <a16:creationId xmlns:a16="http://schemas.microsoft.com/office/drawing/2014/main" xmlns="" id="{00000000-0008-0000-0300-0000D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3" name="Rectangle 288">
          <a:extLst>
            <a:ext uri="{FF2B5EF4-FFF2-40B4-BE49-F238E27FC236}">
              <a16:creationId xmlns:a16="http://schemas.microsoft.com/office/drawing/2014/main" xmlns="" id="{00000000-0008-0000-0300-0000D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4" name="Rectangle 289">
          <a:extLst>
            <a:ext uri="{FF2B5EF4-FFF2-40B4-BE49-F238E27FC236}">
              <a16:creationId xmlns:a16="http://schemas.microsoft.com/office/drawing/2014/main" xmlns="" id="{00000000-0008-0000-0300-0000D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5" name="Rectangle 290">
          <a:extLst>
            <a:ext uri="{FF2B5EF4-FFF2-40B4-BE49-F238E27FC236}">
              <a16:creationId xmlns:a16="http://schemas.microsoft.com/office/drawing/2014/main" xmlns="" id="{00000000-0008-0000-0300-0000D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6" name="Rectangle 291">
          <a:extLst>
            <a:ext uri="{FF2B5EF4-FFF2-40B4-BE49-F238E27FC236}">
              <a16:creationId xmlns:a16="http://schemas.microsoft.com/office/drawing/2014/main" xmlns="" id="{00000000-0008-0000-0300-0000D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7" name="Rectangle 292">
          <a:extLst>
            <a:ext uri="{FF2B5EF4-FFF2-40B4-BE49-F238E27FC236}">
              <a16:creationId xmlns:a16="http://schemas.microsoft.com/office/drawing/2014/main" xmlns="" id="{00000000-0008-0000-0300-0000D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8" name="Rectangle 293">
          <a:extLst>
            <a:ext uri="{FF2B5EF4-FFF2-40B4-BE49-F238E27FC236}">
              <a16:creationId xmlns:a16="http://schemas.microsoft.com/office/drawing/2014/main" xmlns="" id="{00000000-0008-0000-0300-0000D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9" name="Rectangle 294">
          <a:extLst>
            <a:ext uri="{FF2B5EF4-FFF2-40B4-BE49-F238E27FC236}">
              <a16:creationId xmlns:a16="http://schemas.microsoft.com/office/drawing/2014/main" xmlns="" id="{00000000-0008-0000-0300-0000D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0" name="Rectangle 295">
          <a:extLst>
            <a:ext uri="{FF2B5EF4-FFF2-40B4-BE49-F238E27FC236}">
              <a16:creationId xmlns:a16="http://schemas.microsoft.com/office/drawing/2014/main" xmlns="" id="{00000000-0008-0000-0300-0000D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1" name="Rectangle 296">
          <a:extLst>
            <a:ext uri="{FF2B5EF4-FFF2-40B4-BE49-F238E27FC236}">
              <a16:creationId xmlns:a16="http://schemas.microsoft.com/office/drawing/2014/main" xmlns="" id="{00000000-0008-0000-0300-0000D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2" name="Rectangle 297">
          <a:extLst>
            <a:ext uri="{FF2B5EF4-FFF2-40B4-BE49-F238E27FC236}">
              <a16:creationId xmlns:a16="http://schemas.microsoft.com/office/drawing/2014/main" xmlns="" id="{00000000-0008-0000-0300-0000D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3" name="Rectangle 298">
          <a:extLst>
            <a:ext uri="{FF2B5EF4-FFF2-40B4-BE49-F238E27FC236}">
              <a16:creationId xmlns:a16="http://schemas.microsoft.com/office/drawing/2014/main" xmlns="" id="{00000000-0008-0000-0300-0000D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4" name="Rectangle 299">
          <a:extLst>
            <a:ext uri="{FF2B5EF4-FFF2-40B4-BE49-F238E27FC236}">
              <a16:creationId xmlns:a16="http://schemas.microsoft.com/office/drawing/2014/main" xmlns="" id="{00000000-0008-0000-0300-0000D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5" name="Rectangle 300">
          <a:extLst>
            <a:ext uri="{FF2B5EF4-FFF2-40B4-BE49-F238E27FC236}">
              <a16:creationId xmlns:a16="http://schemas.microsoft.com/office/drawing/2014/main" xmlns="" id="{00000000-0008-0000-0300-0000D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6" name="Rectangle 301">
          <a:extLst>
            <a:ext uri="{FF2B5EF4-FFF2-40B4-BE49-F238E27FC236}">
              <a16:creationId xmlns:a16="http://schemas.microsoft.com/office/drawing/2014/main" xmlns="" id="{00000000-0008-0000-0300-0000E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7" name="Rectangle 302">
          <a:extLst>
            <a:ext uri="{FF2B5EF4-FFF2-40B4-BE49-F238E27FC236}">
              <a16:creationId xmlns:a16="http://schemas.microsoft.com/office/drawing/2014/main" xmlns="" id="{00000000-0008-0000-0300-0000E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8" name="Rectangle 303">
          <a:extLst>
            <a:ext uri="{FF2B5EF4-FFF2-40B4-BE49-F238E27FC236}">
              <a16:creationId xmlns:a16="http://schemas.microsoft.com/office/drawing/2014/main" xmlns="" id="{00000000-0008-0000-0300-0000E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9" name="Rectangle 304">
          <a:extLst>
            <a:ext uri="{FF2B5EF4-FFF2-40B4-BE49-F238E27FC236}">
              <a16:creationId xmlns:a16="http://schemas.microsoft.com/office/drawing/2014/main" xmlns="" id="{00000000-0008-0000-0300-0000E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40" name="Rectangle 305">
          <a:extLst>
            <a:ext uri="{FF2B5EF4-FFF2-40B4-BE49-F238E27FC236}">
              <a16:creationId xmlns:a16="http://schemas.microsoft.com/office/drawing/2014/main" xmlns="" id="{00000000-0008-0000-0300-0000E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41" name="Rectangle 306">
          <a:extLst>
            <a:ext uri="{FF2B5EF4-FFF2-40B4-BE49-F238E27FC236}">
              <a16:creationId xmlns:a16="http://schemas.microsoft.com/office/drawing/2014/main" xmlns="" id="{00000000-0008-0000-0300-0000E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2" name="Rectangle 307">
          <a:extLst>
            <a:ext uri="{FF2B5EF4-FFF2-40B4-BE49-F238E27FC236}">
              <a16:creationId xmlns:a16="http://schemas.microsoft.com/office/drawing/2014/main" xmlns="" id="{00000000-0008-0000-0300-0000E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3" name="Rectangle 308">
          <a:extLst>
            <a:ext uri="{FF2B5EF4-FFF2-40B4-BE49-F238E27FC236}">
              <a16:creationId xmlns:a16="http://schemas.microsoft.com/office/drawing/2014/main" xmlns="" id="{00000000-0008-0000-0300-0000E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4" name="Rectangle 309">
          <a:extLst>
            <a:ext uri="{FF2B5EF4-FFF2-40B4-BE49-F238E27FC236}">
              <a16:creationId xmlns:a16="http://schemas.microsoft.com/office/drawing/2014/main" xmlns="" id="{00000000-0008-0000-0300-0000E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5" name="Rectangle 310">
          <a:extLst>
            <a:ext uri="{FF2B5EF4-FFF2-40B4-BE49-F238E27FC236}">
              <a16:creationId xmlns:a16="http://schemas.microsoft.com/office/drawing/2014/main" xmlns="" id="{00000000-0008-0000-0300-0000E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6" name="Rectangle 311">
          <a:extLst>
            <a:ext uri="{FF2B5EF4-FFF2-40B4-BE49-F238E27FC236}">
              <a16:creationId xmlns:a16="http://schemas.microsoft.com/office/drawing/2014/main" xmlns="" id="{00000000-0008-0000-0300-0000E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7" name="Rectangle 312">
          <a:extLst>
            <a:ext uri="{FF2B5EF4-FFF2-40B4-BE49-F238E27FC236}">
              <a16:creationId xmlns:a16="http://schemas.microsoft.com/office/drawing/2014/main" xmlns="" id="{00000000-0008-0000-0300-0000E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8" name="Rectangle 313">
          <a:extLst>
            <a:ext uri="{FF2B5EF4-FFF2-40B4-BE49-F238E27FC236}">
              <a16:creationId xmlns:a16="http://schemas.microsoft.com/office/drawing/2014/main" xmlns="" id="{00000000-0008-0000-0300-0000E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9" name="Rectangle 314">
          <a:extLst>
            <a:ext uri="{FF2B5EF4-FFF2-40B4-BE49-F238E27FC236}">
              <a16:creationId xmlns:a16="http://schemas.microsoft.com/office/drawing/2014/main" xmlns="" id="{00000000-0008-0000-0300-0000E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0" name="Rectangle 315">
          <a:extLst>
            <a:ext uri="{FF2B5EF4-FFF2-40B4-BE49-F238E27FC236}">
              <a16:creationId xmlns:a16="http://schemas.microsoft.com/office/drawing/2014/main" xmlns="" id="{00000000-0008-0000-0300-0000E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1" name="Rectangle 316">
          <a:extLst>
            <a:ext uri="{FF2B5EF4-FFF2-40B4-BE49-F238E27FC236}">
              <a16:creationId xmlns:a16="http://schemas.microsoft.com/office/drawing/2014/main" xmlns="" id="{00000000-0008-0000-0300-0000E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2" name="Rectangle 317">
          <a:extLst>
            <a:ext uri="{FF2B5EF4-FFF2-40B4-BE49-F238E27FC236}">
              <a16:creationId xmlns:a16="http://schemas.microsoft.com/office/drawing/2014/main" xmlns="" id="{00000000-0008-0000-0300-0000F0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3" name="Rectangle 318">
          <a:extLst>
            <a:ext uri="{FF2B5EF4-FFF2-40B4-BE49-F238E27FC236}">
              <a16:creationId xmlns:a16="http://schemas.microsoft.com/office/drawing/2014/main" xmlns="" id="{00000000-0008-0000-0300-0000F1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4" name="Rectangle 1012">
          <a:extLst>
            <a:ext uri="{FF2B5EF4-FFF2-40B4-BE49-F238E27FC236}">
              <a16:creationId xmlns:a16="http://schemas.microsoft.com/office/drawing/2014/main" xmlns="" id="{00000000-0008-0000-0300-0000F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5" name="Rectangle 1013">
          <a:extLst>
            <a:ext uri="{FF2B5EF4-FFF2-40B4-BE49-F238E27FC236}">
              <a16:creationId xmlns:a16="http://schemas.microsoft.com/office/drawing/2014/main" xmlns="" id="{00000000-0008-0000-0300-0000F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6" name="Rectangle 1014">
          <a:extLst>
            <a:ext uri="{FF2B5EF4-FFF2-40B4-BE49-F238E27FC236}">
              <a16:creationId xmlns:a16="http://schemas.microsoft.com/office/drawing/2014/main" xmlns="" id="{00000000-0008-0000-0300-0000F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7" name="Rectangle 1015">
          <a:extLst>
            <a:ext uri="{FF2B5EF4-FFF2-40B4-BE49-F238E27FC236}">
              <a16:creationId xmlns:a16="http://schemas.microsoft.com/office/drawing/2014/main" xmlns="" id="{00000000-0008-0000-0300-0000F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8" name="Rectangle 1016">
          <a:extLst>
            <a:ext uri="{FF2B5EF4-FFF2-40B4-BE49-F238E27FC236}">
              <a16:creationId xmlns:a16="http://schemas.microsoft.com/office/drawing/2014/main" xmlns="" id="{00000000-0008-0000-0300-0000F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9" name="Rectangle 1017">
          <a:extLst>
            <a:ext uri="{FF2B5EF4-FFF2-40B4-BE49-F238E27FC236}">
              <a16:creationId xmlns:a16="http://schemas.microsoft.com/office/drawing/2014/main" xmlns="" id="{00000000-0008-0000-0300-0000F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0" name="Rectangle 1018">
          <a:extLst>
            <a:ext uri="{FF2B5EF4-FFF2-40B4-BE49-F238E27FC236}">
              <a16:creationId xmlns:a16="http://schemas.microsoft.com/office/drawing/2014/main" xmlns="" id="{00000000-0008-0000-0300-0000F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1" name="Rectangle 1019">
          <a:extLst>
            <a:ext uri="{FF2B5EF4-FFF2-40B4-BE49-F238E27FC236}">
              <a16:creationId xmlns:a16="http://schemas.microsoft.com/office/drawing/2014/main" xmlns="" id="{00000000-0008-0000-0300-0000F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2" name="Rectangle 1020">
          <a:extLst>
            <a:ext uri="{FF2B5EF4-FFF2-40B4-BE49-F238E27FC236}">
              <a16:creationId xmlns:a16="http://schemas.microsoft.com/office/drawing/2014/main" xmlns="" id="{00000000-0008-0000-0300-0000F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3" name="Rectangle 1021">
          <a:extLst>
            <a:ext uri="{FF2B5EF4-FFF2-40B4-BE49-F238E27FC236}">
              <a16:creationId xmlns:a16="http://schemas.microsoft.com/office/drawing/2014/main" xmlns="" id="{00000000-0008-0000-0300-0000F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4" name="Rectangle 1022">
          <a:extLst>
            <a:ext uri="{FF2B5EF4-FFF2-40B4-BE49-F238E27FC236}">
              <a16:creationId xmlns:a16="http://schemas.microsoft.com/office/drawing/2014/main" xmlns="" id="{00000000-0008-0000-0300-0000F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5" name="Rectangle 1023">
          <a:extLst>
            <a:ext uri="{FF2B5EF4-FFF2-40B4-BE49-F238E27FC236}">
              <a16:creationId xmlns:a16="http://schemas.microsoft.com/office/drawing/2014/main" xmlns="" id="{00000000-0008-0000-0300-0000F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6" name="Rectangle 1024">
          <a:extLst>
            <a:ext uri="{FF2B5EF4-FFF2-40B4-BE49-F238E27FC236}">
              <a16:creationId xmlns:a16="http://schemas.microsoft.com/office/drawing/2014/main" xmlns="" id="{00000000-0008-0000-0300-0000F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7" name="Rectangle 1025">
          <a:extLst>
            <a:ext uri="{FF2B5EF4-FFF2-40B4-BE49-F238E27FC236}">
              <a16:creationId xmlns:a16="http://schemas.microsoft.com/office/drawing/2014/main" xmlns="" id="{00000000-0008-0000-0300-0000F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8" name="Rectangle 1026">
          <a:extLst>
            <a:ext uri="{FF2B5EF4-FFF2-40B4-BE49-F238E27FC236}">
              <a16:creationId xmlns:a16="http://schemas.microsoft.com/office/drawing/2014/main" xmlns="" id="{00000000-0008-0000-0300-00000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9" name="Rectangle 1027">
          <a:extLst>
            <a:ext uri="{FF2B5EF4-FFF2-40B4-BE49-F238E27FC236}">
              <a16:creationId xmlns:a16="http://schemas.microsoft.com/office/drawing/2014/main" xmlns="" id="{00000000-0008-0000-0300-00000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0" name="Rectangle 1028">
          <a:extLst>
            <a:ext uri="{FF2B5EF4-FFF2-40B4-BE49-F238E27FC236}">
              <a16:creationId xmlns:a16="http://schemas.microsoft.com/office/drawing/2014/main" xmlns="" id="{00000000-0008-0000-0300-00000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1" name="Rectangle 1029">
          <a:extLst>
            <a:ext uri="{FF2B5EF4-FFF2-40B4-BE49-F238E27FC236}">
              <a16:creationId xmlns:a16="http://schemas.microsoft.com/office/drawing/2014/main" xmlns="" id="{00000000-0008-0000-0300-00000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2" name="Rectangle 1030">
          <a:extLst>
            <a:ext uri="{FF2B5EF4-FFF2-40B4-BE49-F238E27FC236}">
              <a16:creationId xmlns:a16="http://schemas.microsoft.com/office/drawing/2014/main" xmlns="" id="{00000000-0008-0000-0300-00000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3" name="Rectangle 1031">
          <a:extLst>
            <a:ext uri="{FF2B5EF4-FFF2-40B4-BE49-F238E27FC236}">
              <a16:creationId xmlns:a16="http://schemas.microsoft.com/office/drawing/2014/main" xmlns="" id="{00000000-0008-0000-0300-00000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4" name="Rectangle 1032">
          <a:extLst>
            <a:ext uri="{FF2B5EF4-FFF2-40B4-BE49-F238E27FC236}">
              <a16:creationId xmlns:a16="http://schemas.microsoft.com/office/drawing/2014/main" xmlns="" id="{00000000-0008-0000-0300-00000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5" name="Rectangle 1033">
          <a:extLst>
            <a:ext uri="{FF2B5EF4-FFF2-40B4-BE49-F238E27FC236}">
              <a16:creationId xmlns:a16="http://schemas.microsoft.com/office/drawing/2014/main" xmlns="" id="{00000000-0008-0000-0300-00000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6" name="Rectangle 1034">
          <a:extLst>
            <a:ext uri="{FF2B5EF4-FFF2-40B4-BE49-F238E27FC236}">
              <a16:creationId xmlns:a16="http://schemas.microsoft.com/office/drawing/2014/main" xmlns="" id="{00000000-0008-0000-0300-00000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7" name="Rectangle 1035">
          <a:extLst>
            <a:ext uri="{FF2B5EF4-FFF2-40B4-BE49-F238E27FC236}">
              <a16:creationId xmlns:a16="http://schemas.microsoft.com/office/drawing/2014/main" xmlns="" id="{00000000-0008-0000-0300-00000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8" name="Rectangle 1036">
          <a:extLst>
            <a:ext uri="{FF2B5EF4-FFF2-40B4-BE49-F238E27FC236}">
              <a16:creationId xmlns:a16="http://schemas.microsoft.com/office/drawing/2014/main" xmlns="" id="{00000000-0008-0000-0300-00000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9" name="Rectangle 1037">
          <a:extLst>
            <a:ext uri="{FF2B5EF4-FFF2-40B4-BE49-F238E27FC236}">
              <a16:creationId xmlns:a16="http://schemas.microsoft.com/office/drawing/2014/main" xmlns="" id="{00000000-0008-0000-0300-00000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0" name="Rectangle 1038">
          <a:extLst>
            <a:ext uri="{FF2B5EF4-FFF2-40B4-BE49-F238E27FC236}">
              <a16:creationId xmlns:a16="http://schemas.microsoft.com/office/drawing/2014/main" xmlns="" id="{00000000-0008-0000-0300-00000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1" name="Rectangle 1039">
          <a:extLst>
            <a:ext uri="{FF2B5EF4-FFF2-40B4-BE49-F238E27FC236}">
              <a16:creationId xmlns:a16="http://schemas.microsoft.com/office/drawing/2014/main" xmlns="" id="{00000000-0008-0000-0300-00000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2" name="Rectangle 1040">
          <a:extLst>
            <a:ext uri="{FF2B5EF4-FFF2-40B4-BE49-F238E27FC236}">
              <a16:creationId xmlns:a16="http://schemas.microsoft.com/office/drawing/2014/main" xmlns="" id="{00000000-0008-0000-0300-00000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3" name="Rectangle 1041">
          <a:extLst>
            <a:ext uri="{FF2B5EF4-FFF2-40B4-BE49-F238E27FC236}">
              <a16:creationId xmlns:a16="http://schemas.microsoft.com/office/drawing/2014/main" xmlns="" id="{00000000-0008-0000-0300-00000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4" name="Rectangle 1042">
          <a:extLst>
            <a:ext uri="{FF2B5EF4-FFF2-40B4-BE49-F238E27FC236}">
              <a16:creationId xmlns:a16="http://schemas.microsoft.com/office/drawing/2014/main" xmlns="" id="{00000000-0008-0000-0300-00001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5" name="Rectangle 1043">
          <a:extLst>
            <a:ext uri="{FF2B5EF4-FFF2-40B4-BE49-F238E27FC236}">
              <a16:creationId xmlns:a16="http://schemas.microsoft.com/office/drawing/2014/main" xmlns="" id="{00000000-0008-0000-0300-00001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6" name="Rectangle 1044">
          <a:extLst>
            <a:ext uri="{FF2B5EF4-FFF2-40B4-BE49-F238E27FC236}">
              <a16:creationId xmlns:a16="http://schemas.microsoft.com/office/drawing/2014/main" xmlns="" id="{00000000-0008-0000-0300-00001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7" name="Rectangle 1045">
          <a:extLst>
            <a:ext uri="{FF2B5EF4-FFF2-40B4-BE49-F238E27FC236}">
              <a16:creationId xmlns:a16="http://schemas.microsoft.com/office/drawing/2014/main" xmlns="" id="{00000000-0008-0000-0300-00001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8" name="Rectangle 1046">
          <a:extLst>
            <a:ext uri="{FF2B5EF4-FFF2-40B4-BE49-F238E27FC236}">
              <a16:creationId xmlns:a16="http://schemas.microsoft.com/office/drawing/2014/main" xmlns="" id="{00000000-0008-0000-0300-000014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9" name="Rectangle 1047">
          <a:extLst>
            <a:ext uri="{FF2B5EF4-FFF2-40B4-BE49-F238E27FC236}">
              <a16:creationId xmlns:a16="http://schemas.microsoft.com/office/drawing/2014/main" xmlns="" id="{00000000-0008-0000-0300-000015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0" name="Rectangle 1048">
          <a:extLst>
            <a:ext uri="{FF2B5EF4-FFF2-40B4-BE49-F238E27FC236}">
              <a16:creationId xmlns:a16="http://schemas.microsoft.com/office/drawing/2014/main" xmlns="" id="{00000000-0008-0000-0300-00001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1" name="Rectangle 1049">
          <a:extLst>
            <a:ext uri="{FF2B5EF4-FFF2-40B4-BE49-F238E27FC236}">
              <a16:creationId xmlns:a16="http://schemas.microsoft.com/office/drawing/2014/main" xmlns="" id="{00000000-0008-0000-0300-00001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2" name="Rectangle 1050">
          <a:extLst>
            <a:ext uri="{FF2B5EF4-FFF2-40B4-BE49-F238E27FC236}">
              <a16:creationId xmlns:a16="http://schemas.microsoft.com/office/drawing/2014/main" xmlns="" id="{00000000-0008-0000-0300-00001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3" name="Rectangle 1051">
          <a:extLst>
            <a:ext uri="{FF2B5EF4-FFF2-40B4-BE49-F238E27FC236}">
              <a16:creationId xmlns:a16="http://schemas.microsoft.com/office/drawing/2014/main" xmlns="" id="{00000000-0008-0000-0300-00001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4" name="Rectangle 1052">
          <a:extLst>
            <a:ext uri="{FF2B5EF4-FFF2-40B4-BE49-F238E27FC236}">
              <a16:creationId xmlns:a16="http://schemas.microsoft.com/office/drawing/2014/main" xmlns="" id="{00000000-0008-0000-0300-00001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5" name="Rectangle 1053">
          <a:extLst>
            <a:ext uri="{FF2B5EF4-FFF2-40B4-BE49-F238E27FC236}">
              <a16:creationId xmlns:a16="http://schemas.microsoft.com/office/drawing/2014/main" xmlns="" id="{00000000-0008-0000-0300-00001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6" name="Rectangle 1054">
          <a:extLst>
            <a:ext uri="{FF2B5EF4-FFF2-40B4-BE49-F238E27FC236}">
              <a16:creationId xmlns:a16="http://schemas.microsoft.com/office/drawing/2014/main" xmlns="" id="{00000000-0008-0000-0300-00001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7" name="Rectangle 1055">
          <a:extLst>
            <a:ext uri="{FF2B5EF4-FFF2-40B4-BE49-F238E27FC236}">
              <a16:creationId xmlns:a16="http://schemas.microsoft.com/office/drawing/2014/main" xmlns="" id="{00000000-0008-0000-0300-00001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8" name="Rectangle 1056">
          <a:extLst>
            <a:ext uri="{FF2B5EF4-FFF2-40B4-BE49-F238E27FC236}">
              <a16:creationId xmlns:a16="http://schemas.microsoft.com/office/drawing/2014/main" xmlns="" id="{00000000-0008-0000-0300-00001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9" name="Rectangle 1057">
          <a:extLst>
            <a:ext uri="{FF2B5EF4-FFF2-40B4-BE49-F238E27FC236}">
              <a16:creationId xmlns:a16="http://schemas.microsoft.com/office/drawing/2014/main" xmlns="" id="{00000000-0008-0000-0300-00001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0" name="Rectangle 1121">
          <a:extLst>
            <a:ext uri="{FF2B5EF4-FFF2-40B4-BE49-F238E27FC236}">
              <a16:creationId xmlns:a16="http://schemas.microsoft.com/office/drawing/2014/main" xmlns="" id="{00000000-0008-0000-0300-00002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1" name="Rectangle 1122">
          <a:extLst>
            <a:ext uri="{FF2B5EF4-FFF2-40B4-BE49-F238E27FC236}">
              <a16:creationId xmlns:a16="http://schemas.microsoft.com/office/drawing/2014/main" xmlns="" id="{00000000-0008-0000-0300-00002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2" name="Rectangle 1123">
          <a:extLst>
            <a:ext uri="{FF2B5EF4-FFF2-40B4-BE49-F238E27FC236}">
              <a16:creationId xmlns:a16="http://schemas.microsoft.com/office/drawing/2014/main" xmlns="" id="{00000000-0008-0000-0300-00002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3" name="Rectangle 1124">
          <a:extLst>
            <a:ext uri="{FF2B5EF4-FFF2-40B4-BE49-F238E27FC236}">
              <a16:creationId xmlns:a16="http://schemas.microsoft.com/office/drawing/2014/main" xmlns="" id="{00000000-0008-0000-0300-000023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4" name="Rectangle 1125">
          <a:extLst>
            <a:ext uri="{FF2B5EF4-FFF2-40B4-BE49-F238E27FC236}">
              <a16:creationId xmlns:a16="http://schemas.microsoft.com/office/drawing/2014/main" xmlns="" id="{00000000-0008-0000-0300-000024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5" name="Rectangle 1126">
          <a:extLst>
            <a:ext uri="{FF2B5EF4-FFF2-40B4-BE49-F238E27FC236}">
              <a16:creationId xmlns:a16="http://schemas.microsoft.com/office/drawing/2014/main" xmlns="" id="{00000000-0008-0000-0300-000025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6" name="Rectangle 1127">
          <a:extLst>
            <a:ext uri="{FF2B5EF4-FFF2-40B4-BE49-F238E27FC236}">
              <a16:creationId xmlns:a16="http://schemas.microsoft.com/office/drawing/2014/main" xmlns="" id="{00000000-0008-0000-0300-000026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7" name="Rectangle 1128">
          <a:extLst>
            <a:ext uri="{FF2B5EF4-FFF2-40B4-BE49-F238E27FC236}">
              <a16:creationId xmlns:a16="http://schemas.microsoft.com/office/drawing/2014/main" xmlns="" id="{00000000-0008-0000-0300-00002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8" name="Rectangle 1129">
          <a:extLst>
            <a:ext uri="{FF2B5EF4-FFF2-40B4-BE49-F238E27FC236}">
              <a16:creationId xmlns:a16="http://schemas.microsoft.com/office/drawing/2014/main" xmlns="" id="{00000000-0008-0000-0300-00002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9" name="Rectangle 1130">
          <a:extLst>
            <a:ext uri="{FF2B5EF4-FFF2-40B4-BE49-F238E27FC236}">
              <a16:creationId xmlns:a16="http://schemas.microsoft.com/office/drawing/2014/main" xmlns="" id="{00000000-0008-0000-0300-000029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0" name="Rectangle 1131">
          <a:extLst>
            <a:ext uri="{FF2B5EF4-FFF2-40B4-BE49-F238E27FC236}">
              <a16:creationId xmlns:a16="http://schemas.microsoft.com/office/drawing/2014/main" xmlns="" id="{00000000-0008-0000-0300-00002A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1" name="Rectangle 1132">
          <a:extLst>
            <a:ext uri="{FF2B5EF4-FFF2-40B4-BE49-F238E27FC236}">
              <a16:creationId xmlns:a16="http://schemas.microsoft.com/office/drawing/2014/main" xmlns="" id="{00000000-0008-0000-0300-00002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2" name="Rectangle 1133">
          <a:extLst>
            <a:ext uri="{FF2B5EF4-FFF2-40B4-BE49-F238E27FC236}">
              <a16:creationId xmlns:a16="http://schemas.microsoft.com/office/drawing/2014/main" xmlns="" id="{00000000-0008-0000-0300-00002C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3" name="Rectangle 1134">
          <a:extLst>
            <a:ext uri="{FF2B5EF4-FFF2-40B4-BE49-F238E27FC236}">
              <a16:creationId xmlns:a16="http://schemas.microsoft.com/office/drawing/2014/main" xmlns="" id="{00000000-0008-0000-0300-00002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4" name="Rectangle 1135">
          <a:extLst>
            <a:ext uri="{FF2B5EF4-FFF2-40B4-BE49-F238E27FC236}">
              <a16:creationId xmlns:a16="http://schemas.microsoft.com/office/drawing/2014/main" xmlns="" id="{00000000-0008-0000-0300-00002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5" name="Rectangle 1136">
          <a:extLst>
            <a:ext uri="{FF2B5EF4-FFF2-40B4-BE49-F238E27FC236}">
              <a16:creationId xmlns:a16="http://schemas.microsoft.com/office/drawing/2014/main" xmlns="" id="{00000000-0008-0000-0300-00002F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6" name="Rectangle 1137">
          <a:extLst>
            <a:ext uri="{FF2B5EF4-FFF2-40B4-BE49-F238E27FC236}">
              <a16:creationId xmlns:a16="http://schemas.microsoft.com/office/drawing/2014/main" xmlns="" id="{00000000-0008-0000-0300-000030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7" name="Rectangle 1138">
          <a:extLst>
            <a:ext uri="{FF2B5EF4-FFF2-40B4-BE49-F238E27FC236}">
              <a16:creationId xmlns:a16="http://schemas.microsoft.com/office/drawing/2014/main" xmlns="" id="{00000000-0008-0000-0300-00003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8" name="Rectangle 1139">
          <a:extLst>
            <a:ext uri="{FF2B5EF4-FFF2-40B4-BE49-F238E27FC236}">
              <a16:creationId xmlns:a16="http://schemas.microsoft.com/office/drawing/2014/main" xmlns="" id="{00000000-0008-0000-0300-000032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9" name="Rectangle 1140">
          <a:extLst>
            <a:ext uri="{FF2B5EF4-FFF2-40B4-BE49-F238E27FC236}">
              <a16:creationId xmlns:a16="http://schemas.microsoft.com/office/drawing/2014/main" xmlns="" id="{00000000-0008-0000-0300-00003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0" name="Rectangle 1141">
          <a:extLst>
            <a:ext uri="{FF2B5EF4-FFF2-40B4-BE49-F238E27FC236}">
              <a16:creationId xmlns:a16="http://schemas.microsoft.com/office/drawing/2014/main" xmlns="" id="{00000000-0008-0000-0300-00003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1" name="Rectangle 1142">
          <a:extLst>
            <a:ext uri="{FF2B5EF4-FFF2-40B4-BE49-F238E27FC236}">
              <a16:creationId xmlns:a16="http://schemas.microsoft.com/office/drawing/2014/main" xmlns="" id="{00000000-0008-0000-0300-000035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2" name="Rectangle 1143">
          <a:extLst>
            <a:ext uri="{FF2B5EF4-FFF2-40B4-BE49-F238E27FC236}">
              <a16:creationId xmlns:a16="http://schemas.microsoft.com/office/drawing/2014/main" xmlns="" id="{00000000-0008-0000-0300-000036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3" name="Rectangle 1144">
          <a:extLst>
            <a:ext uri="{FF2B5EF4-FFF2-40B4-BE49-F238E27FC236}">
              <a16:creationId xmlns:a16="http://schemas.microsoft.com/office/drawing/2014/main" xmlns="" id="{00000000-0008-0000-0300-000037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4" name="Rectangle 1145">
          <a:extLst>
            <a:ext uri="{FF2B5EF4-FFF2-40B4-BE49-F238E27FC236}">
              <a16:creationId xmlns:a16="http://schemas.microsoft.com/office/drawing/2014/main" xmlns="" id="{00000000-0008-0000-0300-00003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5" name="Rectangle 1146">
          <a:extLst>
            <a:ext uri="{FF2B5EF4-FFF2-40B4-BE49-F238E27FC236}">
              <a16:creationId xmlns:a16="http://schemas.microsoft.com/office/drawing/2014/main" xmlns="" id="{00000000-0008-0000-0300-00003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6" name="Rectangle 1147">
          <a:extLst>
            <a:ext uri="{FF2B5EF4-FFF2-40B4-BE49-F238E27FC236}">
              <a16:creationId xmlns:a16="http://schemas.microsoft.com/office/drawing/2014/main" xmlns="" id="{00000000-0008-0000-0300-00003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7" name="Rectangle 1148">
          <a:extLst>
            <a:ext uri="{FF2B5EF4-FFF2-40B4-BE49-F238E27FC236}">
              <a16:creationId xmlns:a16="http://schemas.microsoft.com/office/drawing/2014/main" xmlns="" id="{00000000-0008-0000-0300-00003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8" name="Rectangle 1149">
          <a:extLst>
            <a:ext uri="{FF2B5EF4-FFF2-40B4-BE49-F238E27FC236}">
              <a16:creationId xmlns:a16="http://schemas.microsoft.com/office/drawing/2014/main" xmlns="" id="{00000000-0008-0000-0300-00003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9" name="Rectangle 1150">
          <a:extLst>
            <a:ext uri="{FF2B5EF4-FFF2-40B4-BE49-F238E27FC236}">
              <a16:creationId xmlns:a16="http://schemas.microsoft.com/office/drawing/2014/main" xmlns="" id="{00000000-0008-0000-0300-00003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30" name="Rectangle 1151">
          <a:extLst>
            <a:ext uri="{FF2B5EF4-FFF2-40B4-BE49-F238E27FC236}">
              <a16:creationId xmlns:a16="http://schemas.microsoft.com/office/drawing/2014/main" xmlns="" id="{00000000-0008-0000-0300-00003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31" name="Rectangle 1152">
          <a:extLst>
            <a:ext uri="{FF2B5EF4-FFF2-40B4-BE49-F238E27FC236}">
              <a16:creationId xmlns:a16="http://schemas.microsoft.com/office/drawing/2014/main" xmlns="" id="{00000000-0008-0000-0300-00003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2" name="Rectangle 1153">
          <a:extLst>
            <a:ext uri="{FF2B5EF4-FFF2-40B4-BE49-F238E27FC236}">
              <a16:creationId xmlns:a16="http://schemas.microsoft.com/office/drawing/2014/main" xmlns="" id="{00000000-0008-0000-0300-000040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3" name="Rectangle 1154">
          <a:extLst>
            <a:ext uri="{FF2B5EF4-FFF2-40B4-BE49-F238E27FC236}">
              <a16:creationId xmlns:a16="http://schemas.microsoft.com/office/drawing/2014/main" xmlns="" id="{00000000-0008-0000-0300-000041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4" name="Rectangle 1155">
          <a:extLst>
            <a:ext uri="{FF2B5EF4-FFF2-40B4-BE49-F238E27FC236}">
              <a16:creationId xmlns:a16="http://schemas.microsoft.com/office/drawing/2014/main" xmlns="" id="{00000000-0008-0000-0300-000042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5" name="Rectangle 1156">
          <a:extLst>
            <a:ext uri="{FF2B5EF4-FFF2-40B4-BE49-F238E27FC236}">
              <a16:creationId xmlns:a16="http://schemas.microsoft.com/office/drawing/2014/main" xmlns="" id="{00000000-0008-0000-0300-000043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6" name="Rectangle 1157">
          <a:extLst>
            <a:ext uri="{FF2B5EF4-FFF2-40B4-BE49-F238E27FC236}">
              <a16:creationId xmlns:a16="http://schemas.microsoft.com/office/drawing/2014/main" xmlns="" id="{00000000-0008-0000-0300-000044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7" name="Rectangle 1158">
          <a:extLst>
            <a:ext uri="{FF2B5EF4-FFF2-40B4-BE49-F238E27FC236}">
              <a16:creationId xmlns:a16="http://schemas.microsoft.com/office/drawing/2014/main" xmlns="" id="{00000000-0008-0000-0300-000045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8" name="Rectangle 1159">
          <a:extLst>
            <a:ext uri="{FF2B5EF4-FFF2-40B4-BE49-F238E27FC236}">
              <a16:creationId xmlns:a16="http://schemas.microsoft.com/office/drawing/2014/main" xmlns="" id="{00000000-0008-0000-0300-000046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9" name="Rectangle 1160">
          <a:extLst>
            <a:ext uri="{FF2B5EF4-FFF2-40B4-BE49-F238E27FC236}">
              <a16:creationId xmlns:a16="http://schemas.microsoft.com/office/drawing/2014/main" xmlns="" id="{00000000-0008-0000-0300-000047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0" name="Rectangle 1161">
          <a:extLst>
            <a:ext uri="{FF2B5EF4-FFF2-40B4-BE49-F238E27FC236}">
              <a16:creationId xmlns:a16="http://schemas.microsoft.com/office/drawing/2014/main" xmlns="" id="{00000000-0008-0000-0300-000048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1" name="Rectangle 1162">
          <a:extLst>
            <a:ext uri="{FF2B5EF4-FFF2-40B4-BE49-F238E27FC236}">
              <a16:creationId xmlns:a16="http://schemas.microsoft.com/office/drawing/2014/main" xmlns="" id="{00000000-0008-0000-0300-000049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2" name="Rectangle 1163">
          <a:extLst>
            <a:ext uri="{FF2B5EF4-FFF2-40B4-BE49-F238E27FC236}">
              <a16:creationId xmlns:a16="http://schemas.microsoft.com/office/drawing/2014/main" xmlns="" id="{00000000-0008-0000-0300-00004A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3" name="Rectangle 1164">
          <a:extLst>
            <a:ext uri="{FF2B5EF4-FFF2-40B4-BE49-F238E27FC236}">
              <a16:creationId xmlns:a16="http://schemas.microsoft.com/office/drawing/2014/main" xmlns="" id="{00000000-0008-0000-0300-00004B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4" name="Rectangle 93">
          <a:extLst>
            <a:ext uri="{FF2B5EF4-FFF2-40B4-BE49-F238E27FC236}">
              <a16:creationId xmlns:a16="http://schemas.microsoft.com/office/drawing/2014/main" xmlns="" id="{00000000-0008-0000-0300-00004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5" name="Rectangle 94">
          <a:extLst>
            <a:ext uri="{FF2B5EF4-FFF2-40B4-BE49-F238E27FC236}">
              <a16:creationId xmlns:a16="http://schemas.microsoft.com/office/drawing/2014/main" xmlns="" id="{00000000-0008-0000-0300-00004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6" name="Rectangle 95">
          <a:extLst>
            <a:ext uri="{FF2B5EF4-FFF2-40B4-BE49-F238E27FC236}">
              <a16:creationId xmlns:a16="http://schemas.microsoft.com/office/drawing/2014/main" xmlns="" id="{00000000-0008-0000-0300-00004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7" name="Rectangle 96">
          <a:extLst>
            <a:ext uri="{FF2B5EF4-FFF2-40B4-BE49-F238E27FC236}">
              <a16:creationId xmlns:a16="http://schemas.microsoft.com/office/drawing/2014/main" xmlns="" id="{00000000-0008-0000-0300-00004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8" name="Rectangle 97">
          <a:extLst>
            <a:ext uri="{FF2B5EF4-FFF2-40B4-BE49-F238E27FC236}">
              <a16:creationId xmlns:a16="http://schemas.microsoft.com/office/drawing/2014/main" xmlns="" id="{00000000-0008-0000-0300-00005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9" name="Rectangle 98">
          <a:extLst>
            <a:ext uri="{FF2B5EF4-FFF2-40B4-BE49-F238E27FC236}">
              <a16:creationId xmlns:a16="http://schemas.microsoft.com/office/drawing/2014/main" xmlns="" id="{00000000-0008-0000-0300-00005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0" name="Rectangle 99">
          <a:extLst>
            <a:ext uri="{FF2B5EF4-FFF2-40B4-BE49-F238E27FC236}">
              <a16:creationId xmlns:a16="http://schemas.microsoft.com/office/drawing/2014/main" xmlns="" id="{00000000-0008-0000-0300-00005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1" name="Rectangle 100">
          <a:extLst>
            <a:ext uri="{FF2B5EF4-FFF2-40B4-BE49-F238E27FC236}">
              <a16:creationId xmlns:a16="http://schemas.microsoft.com/office/drawing/2014/main" xmlns="" id="{00000000-0008-0000-0300-00005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2" name="Rectangle 101">
          <a:extLst>
            <a:ext uri="{FF2B5EF4-FFF2-40B4-BE49-F238E27FC236}">
              <a16:creationId xmlns:a16="http://schemas.microsoft.com/office/drawing/2014/main" xmlns="" id="{00000000-0008-0000-0300-00005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3" name="Rectangle 102">
          <a:extLst>
            <a:ext uri="{FF2B5EF4-FFF2-40B4-BE49-F238E27FC236}">
              <a16:creationId xmlns:a16="http://schemas.microsoft.com/office/drawing/2014/main" xmlns="" id="{00000000-0008-0000-0300-00005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4" name="Rectangle 103">
          <a:extLst>
            <a:ext uri="{FF2B5EF4-FFF2-40B4-BE49-F238E27FC236}">
              <a16:creationId xmlns:a16="http://schemas.microsoft.com/office/drawing/2014/main" xmlns="" id="{00000000-0008-0000-0300-00005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5" name="Rectangle 104">
          <a:extLst>
            <a:ext uri="{FF2B5EF4-FFF2-40B4-BE49-F238E27FC236}">
              <a16:creationId xmlns:a16="http://schemas.microsoft.com/office/drawing/2014/main" xmlns="" id="{00000000-0008-0000-0300-00005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6" name="Rectangle 105">
          <a:extLst>
            <a:ext uri="{FF2B5EF4-FFF2-40B4-BE49-F238E27FC236}">
              <a16:creationId xmlns:a16="http://schemas.microsoft.com/office/drawing/2014/main" xmlns="" id="{00000000-0008-0000-0300-00005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7" name="Rectangle 106">
          <a:extLst>
            <a:ext uri="{FF2B5EF4-FFF2-40B4-BE49-F238E27FC236}">
              <a16:creationId xmlns:a16="http://schemas.microsoft.com/office/drawing/2014/main" xmlns="" id="{00000000-0008-0000-0300-00005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8" name="Rectangle 107">
          <a:extLst>
            <a:ext uri="{FF2B5EF4-FFF2-40B4-BE49-F238E27FC236}">
              <a16:creationId xmlns:a16="http://schemas.microsoft.com/office/drawing/2014/main" xmlns="" id="{00000000-0008-0000-0300-00005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9" name="Rectangle 108">
          <a:extLst>
            <a:ext uri="{FF2B5EF4-FFF2-40B4-BE49-F238E27FC236}">
              <a16:creationId xmlns:a16="http://schemas.microsoft.com/office/drawing/2014/main" xmlns="" id="{00000000-0008-0000-0300-00005B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0" name="Rectangle 109">
          <a:extLst>
            <a:ext uri="{FF2B5EF4-FFF2-40B4-BE49-F238E27FC236}">
              <a16:creationId xmlns:a16="http://schemas.microsoft.com/office/drawing/2014/main" xmlns="" id="{00000000-0008-0000-0300-00005C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1" name="Rectangle 110">
          <a:extLst>
            <a:ext uri="{FF2B5EF4-FFF2-40B4-BE49-F238E27FC236}">
              <a16:creationId xmlns:a16="http://schemas.microsoft.com/office/drawing/2014/main" xmlns="" id="{00000000-0008-0000-0300-00005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2" name="Rectangle 111">
          <a:extLst>
            <a:ext uri="{FF2B5EF4-FFF2-40B4-BE49-F238E27FC236}">
              <a16:creationId xmlns:a16="http://schemas.microsoft.com/office/drawing/2014/main" xmlns="" id="{00000000-0008-0000-0300-00005E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3" name="Rectangle 112">
          <a:extLst>
            <a:ext uri="{FF2B5EF4-FFF2-40B4-BE49-F238E27FC236}">
              <a16:creationId xmlns:a16="http://schemas.microsoft.com/office/drawing/2014/main" xmlns="" id="{00000000-0008-0000-0300-00005F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4" name="Rectangle 113">
          <a:extLst>
            <a:ext uri="{FF2B5EF4-FFF2-40B4-BE49-F238E27FC236}">
              <a16:creationId xmlns:a16="http://schemas.microsoft.com/office/drawing/2014/main" xmlns="" id="{00000000-0008-0000-0300-00006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5" name="Rectangle 114">
          <a:extLst>
            <a:ext uri="{FF2B5EF4-FFF2-40B4-BE49-F238E27FC236}">
              <a16:creationId xmlns:a16="http://schemas.microsoft.com/office/drawing/2014/main" xmlns="" id="{00000000-0008-0000-0300-00006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6" name="Rectangle 115">
          <a:extLst>
            <a:ext uri="{FF2B5EF4-FFF2-40B4-BE49-F238E27FC236}">
              <a16:creationId xmlns:a16="http://schemas.microsoft.com/office/drawing/2014/main" xmlns="" id="{00000000-0008-0000-0300-00006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7" name="Rectangle 116">
          <a:extLst>
            <a:ext uri="{FF2B5EF4-FFF2-40B4-BE49-F238E27FC236}">
              <a16:creationId xmlns:a16="http://schemas.microsoft.com/office/drawing/2014/main" xmlns="" id="{00000000-0008-0000-0300-00006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8" name="Rectangle 117">
          <a:extLst>
            <a:ext uri="{FF2B5EF4-FFF2-40B4-BE49-F238E27FC236}">
              <a16:creationId xmlns:a16="http://schemas.microsoft.com/office/drawing/2014/main" xmlns="" id="{00000000-0008-0000-0300-00006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9" name="Rectangle 118">
          <a:extLst>
            <a:ext uri="{FF2B5EF4-FFF2-40B4-BE49-F238E27FC236}">
              <a16:creationId xmlns:a16="http://schemas.microsoft.com/office/drawing/2014/main" xmlns="" id="{00000000-0008-0000-0300-00006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0" name="Rectangle 119">
          <a:extLst>
            <a:ext uri="{FF2B5EF4-FFF2-40B4-BE49-F238E27FC236}">
              <a16:creationId xmlns:a16="http://schemas.microsoft.com/office/drawing/2014/main" xmlns="" id="{00000000-0008-0000-0300-00006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1" name="Rectangle 120">
          <a:extLst>
            <a:ext uri="{FF2B5EF4-FFF2-40B4-BE49-F238E27FC236}">
              <a16:creationId xmlns:a16="http://schemas.microsoft.com/office/drawing/2014/main" xmlns="" id="{00000000-0008-0000-0300-00006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2" name="Rectangle 121">
          <a:extLst>
            <a:ext uri="{FF2B5EF4-FFF2-40B4-BE49-F238E27FC236}">
              <a16:creationId xmlns:a16="http://schemas.microsoft.com/office/drawing/2014/main" xmlns="" id="{00000000-0008-0000-0300-00006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3" name="Rectangle 122">
          <a:extLst>
            <a:ext uri="{FF2B5EF4-FFF2-40B4-BE49-F238E27FC236}">
              <a16:creationId xmlns:a16="http://schemas.microsoft.com/office/drawing/2014/main" xmlns="" id="{00000000-0008-0000-0300-00006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4" name="Rectangle 123">
          <a:extLst>
            <a:ext uri="{FF2B5EF4-FFF2-40B4-BE49-F238E27FC236}">
              <a16:creationId xmlns:a16="http://schemas.microsoft.com/office/drawing/2014/main" xmlns="" id="{00000000-0008-0000-0300-00006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5" name="Rectangle 124">
          <a:extLst>
            <a:ext uri="{FF2B5EF4-FFF2-40B4-BE49-F238E27FC236}">
              <a16:creationId xmlns:a16="http://schemas.microsoft.com/office/drawing/2014/main" xmlns="" id="{00000000-0008-0000-0300-00006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6" name="Rectangle 125">
          <a:extLst>
            <a:ext uri="{FF2B5EF4-FFF2-40B4-BE49-F238E27FC236}">
              <a16:creationId xmlns:a16="http://schemas.microsoft.com/office/drawing/2014/main" xmlns="" id="{00000000-0008-0000-0300-00006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7" name="Rectangle 126">
          <a:extLst>
            <a:ext uri="{FF2B5EF4-FFF2-40B4-BE49-F238E27FC236}">
              <a16:creationId xmlns:a16="http://schemas.microsoft.com/office/drawing/2014/main" xmlns="" id="{00000000-0008-0000-0300-00006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8" name="Rectangle 127">
          <a:extLst>
            <a:ext uri="{FF2B5EF4-FFF2-40B4-BE49-F238E27FC236}">
              <a16:creationId xmlns:a16="http://schemas.microsoft.com/office/drawing/2014/main" xmlns="" id="{00000000-0008-0000-0300-00006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9" name="Rectangle 128">
          <a:extLst>
            <a:ext uri="{FF2B5EF4-FFF2-40B4-BE49-F238E27FC236}">
              <a16:creationId xmlns:a16="http://schemas.microsoft.com/office/drawing/2014/main" xmlns="" id="{00000000-0008-0000-0300-00006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0" name="Rectangle 129">
          <a:extLst>
            <a:ext uri="{FF2B5EF4-FFF2-40B4-BE49-F238E27FC236}">
              <a16:creationId xmlns:a16="http://schemas.microsoft.com/office/drawing/2014/main" xmlns="" id="{00000000-0008-0000-0300-00007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1" name="Rectangle 130">
          <a:extLst>
            <a:ext uri="{FF2B5EF4-FFF2-40B4-BE49-F238E27FC236}">
              <a16:creationId xmlns:a16="http://schemas.microsoft.com/office/drawing/2014/main" xmlns="" id="{00000000-0008-0000-0300-00007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2" name="Rectangle 131">
          <a:extLst>
            <a:ext uri="{FF2B5EF4-FFF2-40B4-BE49-F238E27FC236}">
              <a16:creationId xmlns:a16="http://schemas.microsoft.com/office/drawing/2014/main" xmlns="" id="{00000000-0008-0000-0300-00007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3" name="Rectangle 132">
          <a:extLst>
            <a:ext uri="{FF2B5EF4-FFF2-40B4-BE49-F238E27FC236}">
              <a16:creationId xmlns:a16="http://schemas.microsoft.com/office/drawing/2014/main" xmlns="" id="{00000000-0008-0000-0300-00007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4" name="Rectangle 133">
          <a:extLst>
            <a:ext uri="{FF2B5EF4-FFF2-40B4-BE49-F238E27FC236}">
              <a16:creationId xmlns:a16="http://schemas.microsoft.com/office/drawing/2014/main" xmlns="" id="{00000000-0008-0000-0300-00007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5" name="Rectangle 134">
          <a:extLst>
            <a:ext uri="{FF2B5EF4-FFF2-40B4-BE49-F238E27FC236}">
              <a16:creationId xmlns:a16="http://schemas.microsoft.com/office/drawing/2014/main" xmlns="" id="{00000000-0008-0000-0300-00007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6" name="Rectangle 135">
          <a:extLst>
            <a:ext uri="{FF2B5EF4-FFF2-40B4-BE49-F238E27FC236}">
              <a16:creationId xmlns:a16="http://schemas.microsoft.com/office/drawing/2014/main" xmlns="" id="{00000000-0008-0000-0300-00007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7" name="Rectangle 136">
          <a:extLst>
            <a:ext uri="{FF2B5EF4-FFF2-40B4-BE49-F238E27FC236}">
              <a16:creationId xmlns:a16="http://schemas.microsoft.com/office/drawing/2014/main" xmlns="" id="{00000000-0008-0000-0300-00007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8" name="Rectangle 137">
          <a:extLst>
            <a:ext uri="{FF2B5EF4-FFF2-40B4-BE49-F238E27FC236}">
              <a16:creationId xmlns:a16="http://schemas.microsoft.com/office/drawing/2014/main" xmlns="" id="{00000000-0008-0000-0300-00007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9" name="Rectangle 138">
          <a:extLst>
            <a:ext uri="{FF2B5EF4-FFF2-40B4-BE49-F238E27FC236}">
              <a16:creationId xmlns:a16="http://schemas.microsoft.com/office/drawing/2014/main" xmlns="" id="{00000000-0008-0000-0300-00007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0" name="Rectangle 139">
          <a:extLst>
            <a:ext uri="{FF2B5EF4-FFF2-40B4-BE49-F238E27FC236}">
              <a16:creationId xmlns:a16="http://schemas.microsoft.com/office/drawing/2014/main" xmlns="" id="{00000000-0008-0000-0300-00007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1" name="Rectangle 140">
          <a:extLst>
            <a:ext uri="{FF2B5EF4-FFF2-40B4-BE49-F238E27FC236}">
              <a16:creationId xmlns:a16="http://schemas.microsoft.com/office/drawing/2014/main" xmlns="" id="{00000000-0008-0000-0300-00007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2" name="Rectangle 141">
          <a:extLst>
            <a:ext uri="{FF2B5EF4-FFF2-40B4-BE49-F238E27FC236}">
              <a16:creationId xmlns:a16="http://schemas.microsoft.com/office/drawing/2014/main" xmlns="" id="{00000000-0008-0000-0300-00007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3" name="Rectangle 142">
          <a:extLst>
            <a:ext uri="{FF2B5EF4-FFF2-40B4-BE49-F238E27FC236}">
              <a16:creationId xmlns:a16="http://schemas.microsoft.com/office/drawing/2014/main" xmlns="" id="{00000000-0008-0000-0300-00007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4" name="Rectangle 143">
          <a:extLst>
            <a:ext uri="{FF2B5EF4-FFF2-40B4-BE49-F238E27FC236}">
              <a16:creationId xmlns:a16="http://schemas.microsoft.com/office/drawing/2014/main" xmlns="" id="{00000000-0008-0000-0300-00007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5" name="Rectangle 144">
          <a:extLst>
            <a:ext uri="{FF2B5EF4-FFF2-40B4-BE49-F238E27FC236}">
              <a16:creationId xmlns:a16="http://schemas.microsoft.com/office/drawing/2014/main" xmlns="" id="{00000000-0008-0000-0300-00007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6" name="Rectangle 145">
          <a:extLst>
            <a:ext uri="{FF2B5EF4-FFF2-40B4-BE49-F238E27FC236}">
              <a16:creationId xmlns:a16="http://schemas.microsoft.com/office/drawing/2014/main" xmlns="" id="{00000000-0008-0000-0300-00008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7" name="Rectangle 146">
          <a:extLst>
            <a:ext uri="{FF2B5EF4-FFF2-40B4-BE49-F238E27FC236}">
              <a16:creationId xmlns:a16="http://schemas.microsoft.com/office/drawing/2014/main" xmlns="" id="{00000000-0008-0000-0300-00008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8" name="Rectangle 147">
          <a:extLst>
            <a:ext uri="{FF2B5EF4-FFF2-40B4-BE49-F238E27FC236}">
              <a16:creationId xmlns:a16="http://schemas.microsoft.com/office/drawing/2014/main" xmlns="" id="{00000000-0008-0000-0300-00008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9" name="Rectangle 148">
          <a:extLst>
            <a:ext uri="{FF2B5EF4-FFF2-40B4-BE49-F238E27FC236}">
              <a16:creationId xmlns:a16="http://schemas.microsoft.com/office/drawing/2014/main" xmlns="" id="{00000000-0008-0000-0300-00008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0" name="Rectangle 149">
          <a:extLst>
            <a:ext uri="{FF2B5EF4-FFF2-40B4-BE49-F238E27FC236}">
              <a16:creationId xmlns:a16="http://schemas.microsoft.com/office/drawing/2014/main" xmlns="" id="{00000000-0008-0000-0300-00008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1" name="Rectangle 150">
          <a:extLst>
            <a:ext uri="{FF2B5EF4-FFF2-40B4-BE49-F238E27FC236}">
              <a16:creationId xmlns:a16="http://schemas.microsoft.com/office/drawing/2014/main" xmlns="" id="{00000000-0008-0000-0300-00008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2" name="Rectangle 151">
          <a:extLst>
            <a:ext uri="{FF2B5EF4-FFF2-40B4-BE49-F238E27FC236}">
              <a16:creationId xmlns:a16="http://schemas.microsoft.com/office/drawing/2014/main" xmlns="" id="{00000000-0008-0000-0300-00008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3" name="Rectangle 152">
          <a:extLst>
            <a:ext uri="{FF2B5EF4-FFF2-40B4-BE49-F238E27FC236}">
              <a16:creationId xmlns:a16="http://schemas.microsoft.com/office/drawing/2014/main" xmlns="" id="{00000000-0008-0000-0300-00008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4" name="Rectangle 153">
          <a:extLst>
            <a:ext uri="{FF2B5EF4-FFF2-40B4-BE49-F238E27FC236}">
              <a16:creationId xmlns:a16="http://schemas.microsoft.com/office/drawing/2014/main" xmlns="" id="{00000000-0008-0000-0300-00008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5" name="Rectangle 154">
          <a:extLst>
            <a:ext uri="{FF2B5EF4-FFF2-40B4-BE49-F238E27FC236}">
              <a16:creationId xmlns:a16="http://schemas.microsoft.com/office/drawing/2014/main" xmlns="" id="{00000000-0008-0000-0300-00008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6" name="Rectangle 155">
          <a:extLst>
            <a:ext uri="{FF2B5EF4-FFF2-40B4-BE49-F238E27FC236}">
              <a16:creationId xmlns:a16="http://schemas.microsoft.com/office/drawing/2014/main" xmlns="" id="{00000000-0008-0000-0300-00008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7" name="Rectangle 156">
          <a:extLst>
            <a:ext uri="{FF2B5EF4-FFF2-40B4-BE49-F238E27FC236}">
              <a16:creationId xmlns:a16="http://schemas.microsoft.com/office/drawing/2014/main" xmlns="" id="{00000000-0008-0000-0300-00008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8" name="Rectangle 157">
          <a:extLst>
            <a:ext uri="{FF2B5EF4-FFF2-40B4-BE49-F238E27FC236}">
              <a16:creationId xmlns:a16="http://schemas.microsoft.com/office/drawing/2014/main" xmlns="" id="{00000000-0008-0000-0300-00008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9" name="Rectangle 158">
          <a:extLst>
            <a:ext uri="{FF2B5EF4-FFF2-40B4-BE49-F238E27FC236}">
              <a16:creationId xmlns:a16="http://schemas.microsoft.com/office/drawing/2014/main" xmlns="" id="{00000000-0008-0000-0300-00008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0" name="Rectangle 159">
          <a:extLst>
            <a:ext uri="{FF2B5EF4-FFF2-40B4-BE49-F238E27FC236}">
              <a16:creationId xmlns:a16="http://schemas.microsoft.com/office/drawing/2014/main" xmlns="" id="{00000000-0008-0000-0300-00008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1" name="Rectangle 160">
          <a:extLst>
            <a:ext uri="{FF2B5EF4-FFF2-40B4-BE49-F238E27FC236}">
              <a16:creationId xmlns:a16="http://schemas.microsoft.com/office/drawing/2014/main" xmlns="" id="{00000000-0008-0000-0300-00008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2" name="Rectangle 161">
          <a:extLst>
            <a:ext uri="{FF2B5EF4-FFF2-40B4-BE49-F238E27FC236}">
              <a16:creationId xmlns:a16="http://schemas.microsoft.com/office/drawing/2014/main" xmlns="" id="{00000000-0008-0000-0300-00009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3" name="Rectangle 162">
          <a:extLst>
            <a:ext uri="{FF2B5EF4-FFF2-40B4-BE49-F238E27FC236}">
              <a16:creationId xmlns:a16="http://schemas.microsoft.com/office/drawing/2014/main" xmlns="" id="{00000000-0008-0000-0300-00009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4" name="Rectangle 163">
          <a:extLst>
            <a:ext uri="{FF2B5EF4-FFF2-40B4-BE49-F238E27FC236}">
              <a16:creationId xmlns:a16="http://schemas.microsoft.com/office/drawing/2014/main" xmlns="" id="{00000000-0008-0000-0300-00009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5" name="Rectangle 164">
          <a:extLst>
            <a:ext uri="{FF2B5EF4-FFF2-40B4-BE49-F238E27FC236}">
              <a16:creationId xmlns:a16="http://schemas.microsoft.com/office/drawing/2014/main" xmlns="" id="{00000000-0008-0000-0300-00009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6" name="Rectangle 165">
          <a:extLst>
            <a:ext uri="{FF2B5EF4-FFF2-40B4-BE49-F238E27FC236}">
              <a16:creationId xmlns:a16="http://schemas.microsoft.com/office/drawing/2014/main" xmlns="" id="{00000000-0008-0000-0300-00009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7" name="Rectangle 166">
          <a:extLst>
            <a:ext uri="{FF2B5EF4-FFF2-40B4-BE49-F238E27FC236}">
              <a16:creationId xmlns:a16="http://schemas.microsoft.com/office/drawing/2014/main" xmlns="" id="{00000000-0008-0000-0300-00009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8" name="Rectangle 167">
          <a:extLst>
            <a:ext uri="{FF2B5EF4-FFF2-40B4-BE49-F238E27FC236}">
              <a16:creationId xmlns:a16="http://schemas.microsoft.com/office/drawing/2014/main" xmlns="" id="{00000000-0008-0000-0300-00009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9" name="Rectangle 168">
          <a:extLst>
            <a:ext uri="{FF2B5EF4-FFF2-40B4-BE49-F238E27FC236}">
              <a16:creationId xmlns:a16="http://schemas.microsoft.com/office/drawing/2014/main" xmlns="" id="{00000000-0008-0000-0300-00009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20" name="Rectangle 169">
          <a:extLst>
            <a:ext uri="{FF2B5EF4-FFF2-40B4-BE49-F238E27FC236}">
              <a16:creationId xmlns:a16="http://schemas.microsoft.com/office/drawing/2014/main" xmlns="" id="{00000000-0008-0000-0300-00009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1" name="Rectangle 170">
          <a:extLst>
            <a:ext uri="{FF2B5EF4-FFF2-40B4-BE49-F238E27FC236}">
              <a16:creationId xmlns:a16="http://schemas.microsoft.com/office/drawing/2014/main" xmlns="" id="{00000000-0008-0000-0300-00009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2" name="Rectangle 171">
          <a:extLst>
            <a:ext uri="{FF2B5EF4-FFF2-40B4-BE49-F238E27FC236}">
              <a16:creationId xmlns:a16="http://schemas.microsoft.com/office/drawing/2014/main" xmlns="" id="{00000000-0008-0000-0300-00009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3" name="Rectangle 172">
          <a:extLst>
            <a:ext uri="{FF2B5EF4-FFF2-40B4-BE49-F238E27FC236}">
              <a16:creationId xmlns:a16="http://schemas.microsoft.com/office/drawing/2014/main" xmlns="" id="{00000000-0008-0000-0300-00009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4" name="Rectangle 173">
          <a:extLst>
            <a:ext uri="{FF2B5EF4-FFF2-40B4-BE49-F238E27FC236}">
              <a16:creationId xmlns:a16="http://schemas.microsoft.com/office/drawing/2014/main" xmlns="" id="{00000000-0008-0000-0300-00009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5" name="Rectangle 174">
          <a:extLst>
            <a:ext uri="{FF2B5EF4-FFF2-40B4-BE49-F238E27FC236}">
              <a16:creationId xmlns:a16="http://schemas.microsoft.com/office/drawing/2014/main" xmlns="" id="{00000000-0008-0000-0300-00009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6" name="Rectangle 175">
          <a:extLst>
            <a:ext uri="{FF2B5EF4-FFF2-40B4-BE49-F238E27FC236}">
              <a16:creationId xmlns:a16="http://schemas.microsoft.com/office/drawing/2014/main" xmlns="" id="{00000000-0008-0000-0300-00009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7" name="Rectangle 176">
          <a:extLst>
            <a:ext uri="{FF2B5EF4-FFF2-40B4-BE49-F238E27FC236}">
              <a16:creationId xmlns:a16="http://schemas.microsoft.com/office/drawing/2014/main" xmlns="" id="{00000000-0008-0000-0300-00009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8" name="Rectangle 177">
          <a:extLst>
            <a:ext uri="{FF2B5EF4-FFF2-40B4-BE49-F238E27FC236}">
              <a16:creationId xmlns:a16="http://schemas.microsoft.com/office/drawing/2014/main" xmlns="" id="{00000000-0008-0000-0300-0000A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9" name="Rectangle 178">
          <a:extLst>
            <a:ext uri="{FF2B5EF4-FFF2-40B4-BE49-F238E27FC236}">
              <a16:creationId xmlns:a16="http://schemas.microsoft.com/office/drawing/2014/main" xmlns="" id="{00000000-0008-0000-0300-0000A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0" name="Rectangle 179">
          <a:extLst>
            <a:ext uri="{FF2B5EF4-FFF2-40B4-BE49-F238E27FC236}">
              <a16:creationId xmlns:a16="http://schemas.microsoft.com/office/drawing/2014/main" xmlns="" id="{00000000-0008-0000-0300-0000A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1" name="Rectangle 180">
          <a:extLst>
            <a:ext uri="{FF2B5EF4-FFF2-40B4-BE49-F238E27FC236}">
              <a16:creationId xmlns:a16="http://schemas.microsoft.com/office/drawing/2014/main" xmlns="" id="{00000000-0008-0000-0300-0000A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2" name="Rectangle 181">
          <a:extLst>
            <a:ext uri="{FF2B5EF4-FFF2-40B4-BE49-F238E27FC236}">
              <a16:creationId xmlns:a16="http://schemas.microsoft.com/office/drawing/2014/main" xmlns="" id="{00000000-0008-0000-0300-0000A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3" name="Rectangle 182">
          <a:extLst>
            <a:ext uri="{FF2B5EF4-FFF2-40B4-BE49-F238E27FC236}">
              <a16:creationId xmlns:a16="http://schemas.microsoft.com/office/drawing/2014/main" xmlns="" id="{00000000-0008-0000-0300-0000A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4" name="Rectangle 183">
          <a:extLst>
            <a:ext uri="{FF2B5EF4-FFF2-40B4-BE49-F238E27FC236}">
              <a16:creationId xmlns:a16="http://schemas.microsoft.com/office/drawing/2014/main" xmlns="" id="{00000000-0008-0000-0300-0000A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5" name="Rectangle 184">
          <a:extLst>
            <a:ext uri="{FF2B5EF4-FFF2-40B4-BE49-F238E27FC236}">
              <a16:creationId xmlns:a16="http://schemas.microsoft.com/office/drawing/2014/main" xmlns="" id="{00000000-0008-0000-0300-0000A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6" name="Rectangle 185">
          <a:extLst>
            <a:ext uri="{FF2B5EF4-FFF2-40B4-BE49-F238E27FC236}">
              <a16:creationId xmlns:a16="http://schemas.microsoft.com/office/drawing/2014/main" xmlns="" id="{00000000-0008-0000-0300-0000A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37" name="Rectangle 186">
          <a:extLst>
            <a:ext uri="{FF2B5EF4-FFF2-40B4-BE49-F238E27FC236}">
              <a16:creationId xmlns:a16="http://schemas.microsoft.com/office/drawing/2014/main" xmlns="" id="{00000000-0008-0000-0300-0000A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38" name="Rectangle 187">
          <a:extLst>
            <a:ext uri="{FF2B5EF4-FFF2-40B4-BE49-F238E27FC236}">
              <a16:creationId xmlns:a16="http://schemas.microsoft.com/office/drawing/2014/main" xmlns="" id="{00000000-0008-0000-0300-0000A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9" name="Rectangle 188">
          <a:extLst>
            <a:ext uri="{FF2B5EF4-FFF2-40B4-BE49-F238E27FC236}">
              <a16:creationId xmlns:a16="http://schemas.microsoft.com/office/drawing/2014/main" xmlns="" id="{00000000-0008-0000-0300-0000AB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0" name="Rectangle 189">
          <a:extLst>
            <a:ext uri="{FF2B5EF4-FFF2-40B4-BE49-F238E27FC236}">
              <a16:creationId xmlns:a16="http://schemas.microsoft.com/office/drawing/2014/main" xmlns="" id="{00000000-0008-0000-0300-0000AC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1" name="Rectangle 190">
          <a:extLst>
            <a:ext uri="{FF2B5EF4-FFF2-40B4-BE49-F238E27FC236}">
              <a16:creationId xmlns:a16="http://schemas.microsoft.com/office/drawing/2014/main" xmlns="" id="{00000000-0008-0000-0300-0000A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2" name="Rectangle 191">
          <a:extLst>
            <a:ext uri="{FF2B5EF4-FFF2-40B4-BE49-F238E27FC236}">
              <a16:creationId xmlns:a16="http://schemas.microsoft.com/office/drawing/2014/main" xmlns="" id="{00000000-0008-0000-0300-0000AE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3" name="Rectangle 192">
          <a:extLst>
            <a:ext uri="{FF2B5EF4-FFF2-40B4-BE49-F238E27FC236}">
              <a16:creationId xmlns:a16="http://schemas.microsoft.com/office/drawing/2014/main" xmlns="" id="{00000000-0008-0000-0300-0000A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4" name="Rectangle 193">
          <a:extLst>
            <a:ext uri="{FF2B5EF4-FFF2-40B4-BE49-F238E27FC236}">
              <a16:creationId xmlns:a16="http://schemas.microsoft.com/office/drawing/2014/main" xmlns="" id="{00000000-0008-0000-0300-0000B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5" name="Rectangle 194">
          <a:extLst>
            <a:ext uri="{FF2B5EF4-FFF2-40B4-BE49-F238E27FC236}">
              <a16:creationId xmlns:a16="http://schemas.microsoft.com/office/drawing/2014/main" xmlns="" id="{00000000-0008-0000-0300-0000B1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6" name="Rectangle 195">
          <a:extLst>
            <a:ext uri="{FF2B5EF4-FFF2-40B4-BE49-F238E27FC236}">
              <a16:creationId xmlns:a16="http://schemas.microsoft.com/office/drawing/2014/main" xmlns="" id="{00000000-0008-0000-0300-0000B2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7" name="Rectangle 196">
          <a:extLst>
            <a:ext uri="{FF2B5EF4-FFF2-40B4-BE49-F238E27FC236}">
              <a16:creationId xmlns:a16="http://schemas.microsoft.com/office/drawing/2014/main" xmlns="" id="{00000000-0008-0000-0300-0000B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8" name="Rectangle 197">
          <a:extLst>
            <a:ext uri="{FF2B5EF4-FFF2-40B4-BE49-F238E27FC236}">
              <a16:creationId xmlns:a16="http://schemas.microsoft.com/office/drawing/2014/main" xmlns="" id="{00000000-0008-0000-0300-0000B4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9" name="Rectangle 198">
          <a:extLst>
            <a:ext uri="{FF2B5EF4-FFF2-40B4-BE49-F238E27FC236}">
              <a16:creationId xmlns:a16="http://schemas.microsoft.com/office/drawing/2014/main" xmlns="" id="{00000000-0008-0000-0300-0000B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0" name="Rectangle 199">
          <a:extLst>
            <a:ext uri="{FF2B5EF4-FFF2-40B4-BE49-F238E27FC236}">
              <a16:creationId xmlns:a16="http://schemas.microsoft.com/office/drawing/2014/main" xmlns="" id="{00000000-0008-0000-0300-0000B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1" name="Rectangle 200">
          <a:extLst>
            <a:ext uri="{FF2B5EF4-FFF2-40B4-BE49-F238E27FC236}">
              <a16:creationId xmlns:a16="http://schemas.microsoft.com/office/drawing/2014/main" xmlns="" id="{00000000-0008-0000-0300-0000B7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2" name="Rectangle 201">
          <a:extLst>
            <a:ext uri="{FF2B5EF4-FFF2-40B4-BE49-F238E27FC236}">
              <a16:creationId xmlns:a16="http://schemas.microsoft.com/office/drawing/2014/main" xmlns="" id="{00000000-0008-0000-0300-0000B8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3" name="Rectangle 202">
          <a:extLst>
            <a:ext uri="{FF2B5EF4-FFF2-40B4-BE49-F238E27FC236}">
              <a16:creationId xmlns:a16="http://schemas.microsoft.com/office/drawing/2014/main" xmlns="" id="{00000000-0008-0000-0300-0000B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4" name="Rectangle 203">
          <a:extLst>
            <a:ext uri="{FF2B5EF4-FFF2-40B4-BE49-F238E27FC236}">
              <a16:creationId xmlns:a16="http://schemas.microsoft.com/office/drawing/2014/main" xmlns="" id="{00000000-0008-0000-0300-0000BA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5" name="Rectangle 204">
          <a:extLst>
            <a:ext uri="{FF2B5EF4-FFF2-40B4-BE49-F238E27FC236}">
              <a16:creationId xmlns:a16="http://schemas.microsoft.com/office/drawing/2014/main" xmlns="" id="{00000000-0008-0000-0300-0000B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6" name="Rectangle 205">
          <a:extLst>
            <a:ext uri="{FF2B5EF4-FFF2-40B4-BE49-F238E27FC236}">
              <a16:creationId xmlns:a16="http://schemas.microsoft.com/office/drawing/2014/main" xmlns="" id="{00000000-0008-0000-0300-0000B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7" name="Rectangle 206">
          <a:extLst>
            <a:ext uri="{FF2B5EF4-FFF2-40B4-BE49-F238E27FC236}">
              <a16:creationId xmlns:a16="http://schemas.microsoft.com/office/drawing/2014/main" xmlns="" id="{00000000-0008-0000-0300-0000BD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8" name="Rectangle 207">
          <a:extLst>
            <a:ext uri="{FF2B5EF4-FFF2-40B4-BE49-F238E27FC236}">
              <a16:creationId xmlns:a16="http://schemas.microsoft.com/office/drawing/2014/main" xmlns="" id="{00000000-0008-0000-0300-0000BE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9" name="Rectangle 208">
          <a:extLst>
            <a:ext uri="{FF2B5EF4-FFF2-40B4-BE49-F238E27FC236}">
              <a16:creationId xmlns:a16="http://schemas.microsoft.com/office/drawing/2014/main" xmlns="" id="{00000000-0008-0000-0300-0000B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60" name="Rectangle 209">
          <a:extLst>
            <a:ext uri="{FF2B5EF4-FFF2-40B4-BE49-F238E27FC236}">
              <a16:creationId xmlns:a16="http://schemas.microsoft.com/office/drawing/2014/main" xmlns="" id="{00000000-0008-0000-0300-0000C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1" name="Rectangle 210">
          <a:extLst>
            <a:ext uri="{FF2B5EF4-FFF2-40B4-BE49-F238E27FC236}">
              <a16:creationId xmlns:a16="http://schemas.microsoft.com/office/drawing/2014/main" xmlns="" id="{00000000-0008-0000-0300-0000C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2" name="Rectangle 211">
          <a:extLst>
            <a:ext uri="{FF2B5EF4-FFF2-40B4-BE49-F238E27FC236}">
              <a16:creationId xmlns:a16="http://schemas.microsoft.com/office/drawing/2014/main" xmlns="" id="{00000000-0008-0000-0300-0000C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3" name="Rectangle 212">
          <a:extLst>
            <a:ext uri="{FF2B5EF4-FFF2-40B4-BE49-F238E27FC236}">
              <a16:creationId xmlns:a16="http://schemas.microsoft.com/office/drawing/2014/main" xmlns="" id="{00000000-0008-0000-0300-0000C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4" name="Rectangle 213">
          <a:extLst>
            <a:ext uri="{FF2B5EF4-FFF2-40B4-BE49-F238E27FC236}">
              <a16:creationId xmlns:a16="http://schemas.microsoft.com/office/drawing/2014/main" xmlns="" id="{00000000-0008-0000-0300-0000C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5" name="Rectangle 214">
          <a:extLst>
            <a:ext uri="{FF2B5EF4-FFF2-40B4-BE49-F238E27FC236}">
              <a16:creationId xmlns:a16="http://schemas.microsoft.com/office/drawing/2014/main" xmlns="" id="{00000000-0008-0000-0300-0000C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6" name="Rectangle 215">
          <a:extLst>
            <a:ext uri="{FF2B5EF4-FFF2-40B4-BE49-F238E27FC236}">
              <a16:creationId xmlns:a16="http://schemas.microsoft.com/office/drawing/2014/main" xmlns="" id="{00000000-0008-0000-0300-0000C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7" name="Rectangle 216">
          <a:extLst>
            <a:ext uri="{FF2B5EF4-FFF2-40B4-BE49-F238E27FC236}">
              <a16:creationId xmlns:a16="http://schemas.microsoft.com/office/drawing/2014/main" xmlns="" id="{00000000-0008-0000-0300-0000C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8" name="Rectangle 217">
          <a:extLst>
            <a:ext uri="{FF2B5EF4-FFF2-40B4-BE49-F238E27FC236}">
              <a16:creationId xmlns:a16="http://schemas.microsoft.com/office/drawing/2014/main" xmlns="" id="{00000000-0008-0000-0300-0000C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9" name="Rectangle 218">
          <a:extLst>
            <a:ext uri="{FF2B5EF4-FFF2-40B4-BE49-F238E27FC236}">
              <a16:creationId xmlns:a16="http://schemas.microsoft.com/office/drawing/2014/main" xmlns="" id="{00000000-0008-0000-0300-0000C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0" name="Rectangle 219">
          <a:extLst>
            <a:ext uri="{FF2B5EF4-FFF2-40B4-BE49-F238E27FC236}">
              <a16:creationId xmlns:a16="http://schemas.microsoft.com/office/drawing/2014/main" xmlns="" id="{00000000-0008-0000-0300-0000C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1" name="Rectangle 220">
          <a:extLst>
            <a:ext uri="{FF2B5EF4-FFF2-40B4-BE49-F238E27FC236}">
              <a16:creationId xmlns:a16="http://schemas.microsoft.com/office/drawing/2014/main" xmlns="" id="{00000000-0008-0000-0300-0000C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2" name="Rectangle 221">
          <a:extLst>
            <a:ext uri="{FF2B5EF4-FFF2-40B4-BE49-F238E27FC236}">
              <a16:creationId xmlns:a16="http://schemas.microsoft.com/office/drawing/2014/main" xmlns="" id="{00000000-0008-0000-0300-0000C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3" name="Rectangle 222">
          <a:extLst>
            <a:ext uri="{FF2B5EF4-FFF2-40B4-BE49-F238E27FC236}">
              <a16:creationId xmlns:a16="http://schemas.microsoft.com/office/drawing/2014/main" xmlns="" id="{00000000-0008-0000-0300-0000C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4" name="Rectangle 223">
          <a:extLst>
            <a:ext uri="{FF2B5EF4-FFF2-40B4-BE49-F238E27FC236}">
              <a16:creationId xmlns:a16="http://schemas.microsoft.com/office/drawing/2014/main" xmlns="" id="{00000000-0008-0000-0300-0000C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5" name="Rectangle 224">
          <a:extLst>
            <a:ext uri="{FF2B5EF4-FFF2-40B4-BE49-F238E27FC236}">
              <a16:creationId xmlns:a16="http://schemas.microsoft.com/office/drawing/2014/main" xmlns="" id="{00000000-0008-0000-0300-0000C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6" name="Rectangle 225">
          <a:extLst>
            <a:ext uri="{FF2B5EF4-FFF2-40B4-BE49-F238E27FC236}">
              <a16:creationId xmlns:a16="http://schemas.microsoft.com/office/drawing/2014/main" xmlns="" id="{00000000-0008-0000-0300-0000D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7" name="Rectangle 226">
          <a:extLst>
            <a:ext uri="{FF2B5EF4-FFF2-40B4-BE49-F238E27FC236}">
              <a16:creationId xmlns:a16="http://schemas.microsoft.com/office/drawing/2014/main" xmlns="" id="{00000000-0008-0000-0300-0000D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8" name="Rectangle 227">
          <a:extLst>
            <a:ext uri="{FF2B5EF4-FFF2-40B4-BE49-F238E27FC236}">
              <a16:creationId xmlns:a16="http://schemas.microsoft.com/office/drawing/2014/main" xmlns="" id="{00000000-0008-0000-0300-0000D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9" name="Rectangle 228">
          <a:extLst>
            <a:ext uri="{FF2B5EF4-FFF2-40B4-BE49-F238E27FC236}">
              <a16:creationId xmlns:a16="http://schemas.microsoft.com/office/drawing/2014/main" xmlns="" id="{00000000-0008-0000-0300-0000D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0" name="Rectangle 229">
          <a:extLst>
            <a:ext uri="{FF2B5EF4-FFF2-40B4-BE49-F238E27FC236}">
              <a16:creationId xmlns:a16="http://schemas.microsoft.com/office/drawing/2014/main" xmlns="" id="{00000000-0008-0000-0300-0000D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1" name="Rectangle 230">
          <a:extLst>
            <a:ext uri="{FF2B5EF4-FFF2-40B4-BE49-F238E27FC236}">
              <a16:creationId xmlns:a16="http://schemas.microsoft.com/office/drawing/2014/main" xmlns="" id="{00000000-0008-0000-0300-0000D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2" name="Rectangle 231">
          <a:extLst>
            <a:ext uri="{FF2B5EF4-FFF2-40B4-BE49-F238E27FC236}">
              <a16:creationId xmlns:a16="http://schemas.microsoft.com/office/drawing/2014/main" xmlns="" id="{00000000-0008-0000-0300-0000D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3" name="Rectangle 232">
          <a:extLst>
            <a:ext uri="{FF2B5EF4-FFF2-40B4-BE49-F238E27FC236}">
              <a16:creationId xmlns:a16="http://schemas.microsoft.com/office/drawing/2014/main" xmlns="" id="{00000000-0008-0000-0300-0000D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4" name="Rectangle 233">
          <a:extLst>
            <a:ext uri="{FF2B5EF4-FFF2-40B4-BE49-F238E27FC236}">
              <a16:creationId xmlns:a16="http://schemas.microsoft.com/office/drawing/2014/main" xmlns="" id="{00000000-0008-0000-0300-0000D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5" name="Rectangle 234">
          <a:extLst>
            <a:ext uri="{FF2B5EF4-FFF2-40B4-BE49-F238E27FC236}">
              <a16:creationId xmlns:a16="http://schemas.microsoft.com/office/drawing/2014/main" xmlns="" id="{00000000-0008-0000-0300-0000D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6" name="Rectangle 235">
          <a:extLst>
            <a:ext uri="{FF2B5EF4-FFF2-40B4-BE49-F238E27FC236}">
              <a16:creationId xmlns:a16="http://schemas.microsoft.com/office/drawing/2014/main" xmlns="" id="{00000000-0008-0000-0300-0000D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7" name="Rectangle 236">
          <a:extLst>
            <a:ext uri="{FF2B5EF4-FFF2-40B4-BE49-F238E27FC236}">
              <a16:creationId xmlns:a16="http://schemas.microsoft.com/office/drawing/2014/main" xmlns="" id="{00000000-0008-0000-0300-0000D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8" name="Rectangle 237">
          <a:extLst>
            <a:ext uri="{FF2B5EF4-FFF2-40B4-BE49-F238E27FC236}">
              <a16:creationId xmlns:a16="http://schemas.microsoft.com/office/drawing/2014/main" xmlns="" id="{00000000-0008-0000-0300-0000D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9" name="Rectangle 238">
          <a:extLst>
            <a:ext uri="{FF2B5EF4-FFF2-40B4-BE49-F238E27FC236}">
              <a16:creationId xmlns:a16="http://schemas.microsoft.com/office/drawing/2014/main" xmlns="" id="{00000000-0008-0000-0300-0000D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0" name="Rectangle 239">
          <a:extLst>
            <a:ext uri="{FF2B5EF4-FFF2-40B4-BE49-F238E27FC236}">
              <a16:creationId xmlns:a16="http://schemas.microsoft.com/office/drawing/2014/main" xmlns="" id="{00000000-0008-0000-0300-0000D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1" name="Rectangle 240">
          <a:extLst>
            <a:ext uri="{FF2B5EF4-FFF2-40B4-BE49-F238E27FC236}">
              <a16:creationId xmlns:a16="http://schemas.microsoft.com/office/drawing/2014/main" xmlns="" id="{00000000-0008-0000-0300-0000D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2" name="Rectangle 241">
          <a:extLst>
            <a:ext uri="{FF2B5EF4-FFF2-40B4-BE49-F238E27FC236}">
              <a16:creationId xmlns:a16="http://schemas.microsoft.com/office/drawing/2014/main" xmlns="" id="{00000000-0008-0000-0300-0000E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3" name="Rectangle 242">
          <a:extLst>
            <a:ext uri="{FF2B5EF4-FFF2-40B4-BE49-F238E27FC236}">
              <a16:creationId xmlns:a16="http://schemas.microsoft.com/office/drawing/2014/main" xmlns="" id="{00000000-0008-0000-0300-0000E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4" name="Rectangle 243">
          <a:extLst>
            <a:ext uri="{FF2B5EF4-FFF2-40B4-BE49-F238E27FC236}">
              <a16:creationId xmlns:a16="http://schemas.microsoft.com/office/drawing/2014/main" xmlns="" id="{00000000-0008-0000-0300-0000E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5" name="Rectangle 244">
          <a:extLst>
            <a:ext uri="{FF2B5EF4-FFF2-40B4-BE49-F238E27FC236}">
              <a16:creationId xmlns:a16="http://schemas.microsoft.com/office/drawing/2014/main" xmlns="" id="{00000000-0008-0000-0300-0000E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6" name="Rectangle 245">
          <a:extLst>
            <a:ext uri="{FF2B5EF4-FFF2-40B4-BE49-F238E27FC236}">
              <a16:creationId xmlns:a16="http://schemas.microsoft.com/office/drawing/2014/main" xmlns="" id="{00000000-0008-0000-0300-0000E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7" name="Rectangle 246">
          <a:extLst>
            <a:ext uri="{FF2B5EF4-FFF2-40B4-BE49-F238E27FC236}">
              <a16:creationId xmlns:a16="http://schemas.microsoft.com/office/drawing/2014/main" xmlns="" id="{00000000-0008-0000-0300-0000E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8" name="Rectangle 247">
          <a:extLst>
            <a:ext uri="{FF2B5EF4-FFF2-40B4-BE49-F238E27FC236}">
              <a16:creationId xmlns:a16="http://schemas.microsoft.com/office/drawing/2014/main" xmlns="" id="{00000000-0008-0000-0300-0000E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9" name="Rectangle 248">
          <a:extLst>
            <a:ext uri="{FF2B5EF4-FFF2-40B4-BE49-F238E27FC236}">
              <a16:creationId xmlns:a16="http://schemas.microsoft.com/office/drawing/2014/main" xmlns="" id="{00000000-0008-0000-0300-0000E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0" name="Rectangle 249">
          <a:extLst>
            <a:ext uri="{FF2B5EF4-FFF2-40B4-BE49-F238E27FC236}">
              <a16:creationId xmlns:a16="http://schemas.microsoft.com/office/drawing/2014/main" xmlns="" id="{00000000-0008-0000-0300-0000E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1" name="Rectangle 250">
          <a:extLst>
            <a:ext uri="{FF2B5EF4-FFF2-40B4-BE49-F238E27FC236}">
              <a16:creationId xmlns:a16="http://schemas.microsoft.com/office/drawing/2014/main" xmlns="" id="{00000000-0008-0000-0300-0000E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2" name="Rectangle 251">
          <a:extLst>
            <a:ext uri="{FF2B5EF4-FFF2-40B4-BE49-F238E27FC236}">
              <a16:creationId xmlns:a16="http://schemas.microsoft.com/office/drawing/2014/main" xmlns="" id="{00000000-0008-0000-0300-0000E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3" name="Rectangle 252">
          <a:extLst>
            <a:ext uri="{FF2B5EF4-FFF2-40B4-BE49-F238E27FC236}">
              <a16:creationId xmlns:a16="http://schemas.microsoft.com/office/drawing/2014/main" xmlns="" id="{00000000-0008-0000-0300-0000E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4" name="Rectangle 253">
          <a:extLst>
            <a:ext uri="{FF2B5EF4-FFF2-40B4-BE49-F238E27FC236}">
              <a16:creationId xmlns:a16="http://schemas.microsoft.com/office/drawing/2014/main" xmlns="" id="{00000000-0008-0000-0300-0000E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5" name="Rectangle 254">
          <a:extLst>
            <a:ext uri="{FF2B5EF4-FFF2-40B4-BE49-F238E27FC236}">
              <a16:creationId xmlns:a16="http://schemas.microsoft.com/office/drawing/2014/main" xmlns="" id="{00000000-0008-0000-0300-0000E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6" name="Rectangle 255">
          <a:extLst>
            <a:ext uri="{FF2B5EF4-FFF2-40B4-BE49-F238E27FC236}">
              <a16:creationId xmlns:a16="http://schemas.microsoft.com/office/drawing/2014/main" xmlns="" id="{00000000-0008-0000-0300-0000E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7" name="Rectangle 256">
          <a:extLst>
            <a:ext uri="{FF2B5EF4-FFF2-40B4-BE49-F238E27FC236}">
              <a16:creationId xmlns:a16="http://schemas.microsoft.com/office/drawing/2014/main" xmlns="" id="{00000000-0008-0000-0300-0000E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8" name="Rectangle 257">
          <a:extLst>
            <a:ext uri="{FF2B5EF4-FFF2-40B4-BE49-F238E27FC236}">
              <a16:creationId xmlns:a16="http://schemas.microsoft.com/office/drawing/2014/main" xmlns="" id="{00000000-0008-0000-0300-0000F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9" name="Rectangle 258">
          <a:extLst>
            <a:ext uri="{FF2B5EF4-FFF2-40B4-BE49-F238E27FC236}">
              <a16:creationId xmlns:a16="http://schemas.microsoft.com/office/drawing/2014/main" xmlns="" id="{00000000-0008-0000-0300-0000F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10" name="Rectangle 259">
          <a:extLst>
            <a:ext uri="{FF2B5EF4-FFF2-40B4-BE49-F238E27FC236}">
              <a16:creationId xmlns:a16="http://schemas.microsoft.com/office/drawing/2014/main" xmlns="" id="{00000000-0008-0000-0300-0000F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1" name="Rectangle 260">
          <a:extLst>
            <a:ext uri="{FF2B5EF4-FFF2-40B4-BE49-F238E27FC236}">
              <a16:creationId xmlns:a16="http://schemas.microsoft.com/office/drawing/2014/main" xmlns="" id="{00000000-0008-0000-0300-0000F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12" name="Rectangle 261">
          <a:extLst>
            <a:ext uri="{FF2B5EF4-FFF2-40B4-BE49-F238E27FC236}">
              <a16:creationId xmlns:a16="http://schemas.microsoft.com/office/drawing/2014/main" xmlns="" id="{00000000-0008-0000-0300-0000F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3" name="Rectangle 262">
          <a:extLst>
            <a:ext uri="{FF2B5EF4-FFF2-40B4-BE49-F238E27FC236}">
              <a16:creationId xmlns:a16="http://schemas.microsoft.com/office/drawing/2014/main" xmlns="" id="{00000000-0008-0000-0300-0000F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4" name="Rectangle 263">
          <a:extLst>
            <a:ext uri="{FF2B5EF4-FFF2-40B4-BE49-F238E27FC236}">
              <a16:creationId xmlns:a16="http://schemas.microsoft.com/office/drawing/2014/main" xmlns="" id="{00000000-0008-0000-0300-0000F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5" name="Rectangle 264">
          <a:extLst>
            <a:ext uri="{FF2B5EF4-FFF2-40B4-BE49-F238E27FC236}">
              <a16:creationId xmlns:a16="http://schemas.microsoft.com/office/drawing/2014/main" xmlns="" id="{00000000-0008-0000-0300-0000F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6" name="Rectangle 265">
          <a:extLst>
            <a:ext uri="{FF2B5EF4-FFF2-40B4-BE49-F238E27FC236}">
              <a16:creationId xmlns:a16="http://schemas.microsoft.com/office/drawing/2014/main" xmlns="" id="{00000000-0008-0000-0300-0000F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7" name="Rectangle 266">
          <a:extLst>
            <a:ext uri="{FF2B5EF4-FFF2-40B4-BE49-F238E27FC236}">
              <a16:creationId xmlns:a16="http://schemas.microsoft.com/office/drawing/2014/main" xmlns="" id="{00000000-0008-0000-0300-0000F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8" name="Rectangle 267">
          <a:extLst>
            <a:ext uri="{FF2B5EF4-FFF2-40B4-BE49-F238E27FC236}">
              <a16:creationId xmlns:a16="http://schemas.microsoft.com/office/drawing/2014/main" xmlns="" id="{00000000-0008-0000-0300-0000F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9" name="Rectangle 268">
          <a:extLst>
            <a:ext uri="{FF2B5EF4-FFF2-40B4-BE49-F238E27FC236}">
              <a16:creationId xmlns:a16="http://schemas.microsoft.com/office/drawing/2014/main" xmlns="" id="{00000000-0008-0000-0300-0000F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0" name="Rectangle 269">
          <a:extLst>
            <a:ext uri="{FF2B5EF4-FFF2-40B4-BE49-F238E27FC236}">
              <a16:creationId xmlns:a16="http://schemas.microsoft.com/office/drawing/2014/main" xmlns="" id="{00000000-0008-0000-0300-0000F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1" name="Rectangle 270">
          <a:extLst>
            <a:ext uri="{FF2B5EF4-FFF2-40B4-BE49-F238E27FC236}">
              <a16:creationId xmlns:a16="http://schemas.microsoft.com/office/drawing/2014/main" xmlns="" id="{00000000-0008-0000-0300-0000F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2" name="Rectangle 271">
          <a:extLst>
            <a:ext uri="{FF2B5EF4-FFF2-40B4-BE49-F238E27FC236}">
              <a16:creationId xmlns:a16="http://schemas.microsoft.com/office/drawing/2014/main" xmlns="" id="{00000000-0008-0000-0300-0000F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3" name="Rectangle 272">
          <a:extLst>
            <a:ext uri="{FF2B5EF4-FFF2-40B4-BE49-F238E27FC236}">
              <a16:creationId xmlns:a16="http://schemas.microsoft.com/office/drawing/2014/main" xmlns="" id="{00000000-0008-0000-0300-0000F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4" name="Rectangle 273">
          <a:extLst>
            <a:ext uri="{FF2B5EF4-FFF2-40B4-BE49-F238E27FC236}">
              <a16:creationId xmlns:a16="http://schemas.microsoft.com/office/drawing/2014/main" xmlns="" id="{00000000-0008-0000-0300-000000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5" name="Rectangle 274">
          <a:extLst>
            <a:ext uri="{FF2B5EF4-FFF2-40B4-BE49-F238E27FC236}">
              <a16:creationId xmlns:a16="http://schemas.microsoft.com/office/drawing/2014/main" xmlns="" id="{00000000-0008-0000-0300-000001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6" name="Rectangle 275">
          <a:extLst>
            <a:ext uri="{FF2B5EF4-FFF2-40B4-BE49-F238E27FC236}">
              <a16:creationId xmlns:a16="http://schemas.microsoft.com/office/drawing/2014/main" xmlns="" id="{00000000-0008-0000-0300-000002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27" name="Rectangle 276">
          <a:extLst>
            <a:ext uri="{FF2B5EF4-FFF2-40B4-BE49-F238E27FC236}">
              <a16:creationId xmlns:a16="http://schemas.microsoft.com/office/drawing/2014/main" xmlns="" id="{00000000-0008-0000-0300-000003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28" name="Rectangle 277">
          <a:extLst>
            <a:ext uri="{FF2B5EF4-FFF2-40B4-BE49-F238E27FC236}">
              <a16:creationId xmlns:a16="http://schemas.microsoft.com/office/drawing/2014/main" xmlns="" id="{00000000-0008-0000-0300-000004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9" name="Rectangle 278">
          <a:extLst>
            <a:ext uri="{FF2B5EF4-FFF2-40B4-BE49-F238E27FC236}">
              <a16:creationId xmlns:a16="http://schemas.microsoft.com/office/drawing/2014/main" xmlns="" id="{00000000-0008-0000-0300-000005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0" name="Rectangle 279">
          <a:extLst>
            <a:ext uri="{FF2B5EF4-FFF2-40B4-BE49-F238E27FC236}">
              <a16:creationId xmlns:a16="http://schemas.microsoft.com/office/drawing/2014/main" xmlns="" id="{00000000-0008-0000-0300-000006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1" name="Rectangle 280">
          <a:extLst>
            <a:ext uri="{FF2B5EF4-FFF2-40B4-BE49-F238E27FC236}">
              <a16:creationId xmlns:a16="http://schemas.microsoft.com/office/drawing/2014/main" xmlns="" id="{00000000-0008-0000-0300-000007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2" name="Rectangle 281">
          <a:extLst>
            <a:ext uri="{FF2B5EF4-FFF2-40B4-BE49-F238E27FC236}">
              <a16:creationId xmlns:a16="http://schemas.microsoft.com/office/drawing/2014/main" xmlns="" id="{00000000-0008-0000-0300-000008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3" name="Rectangle 282">
          <a:extLst>
            <a:ext uri="{FF2B5EF4-FFF2-40B4-BE49-F238E27FC236}">
              <a16:creationId xmlns:a16="http://schemas.microsoft.com/office/drawing/2014/main" xmlns="" id="{00000000-0008-0000-0300-000009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4" name="Rectangle 283">
          <a:extLst>
            <a:ext uri="{FF2B5EF4-FFF2-40B4-BE49-F238E27FC236}">
              <a16:creationId xmlns:a16="http://schemas.microsoft.com/office/drawing/2014/main" xmlns="" id="{00000000-0008-0000-0300-00000A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5" name="Rectangle 284">
          <a:extLst>
            <a:ext uri="{FF2B5EF4-FFF2-40B4-BE49-F238E27FC236}">
              <a16:creationId xmlns:a16="http://schemas.microsoft.com/office/drawing/2014/main" xmlns="" id="{00000000-0008-0000-0300-00000B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6" name="Rectangle 285">
          <a:extLst>
            <a:ext uri="{FF2B5EF4-FFF2-40B4-BE49-F238E27FC236}">
              <a16:creationId xmlns:a16="http://schemas.microsoft.com/office/drawing/2014/main" xmlns="" id="{00000000-0008-0000-0300-00000C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7" name="Rectangle 286">
          <a:extLst>
            <a:ext uri="{FF2B5EF4-FFF2-40B4-BE49-F238E27FC236}">
              <a16:creationId xmlns:a16="http://schemas.microsoft.com/office/drawing/2014/main" xmlns="" id="{00000000-0008-0000-0300-00000D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8" name="Rectangle 287">
          <a:extLst>
            <a:ext uri="{FF2B5EF4-FFF2-40B4-BE49-F238E27FC236}">
              <a16:creationId xmlns:a16="http://schemas.microsoft.com/office/drawing/2014/main" xmlns="" id="{00000000-0008-0000-0300-00000E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9" name="Rectangle 288">
          <a:extLst>
            <a:ext uri="{FF2B5EF4-FFF2-40B4-BE49-F238E27FC236}">
              <a16:creationId xmlns:a16="http://schemas.microsoft.com/office/drawing/2014/main" xmlns="" id="{00000000-0008-0000-0300-00000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0" name="Rectangle 289">
          <a:extLst>
            <a:ext uri="{FF2B5EF4-FFF2-40B4-BE49-F238E27FC236}">
              <a16:creationId xmlns:a16="http://schemas.microsoft.com/office/drawing/2014/main" xmlns="" id="{00000000-0008-0000-0300-00001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1" name="Rectangle 290">
          <a:extLst>
            <a:ext uri="{FF2B5EF4-FFF2-40B4-BE49-F238E27FC236}">
              <a16:creationId xmlns:a16="http://schemas.microsoft.com/office/drawing/2014/main" xmlns="" id="{00000000-0008-0000-0300-000011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2" name="Rectangle 291">
          <a:extLst>
            <a:ext uri="{FF2B5EF4-FFF2-40B4-BE49-F238E27FC236}">
              <a16:creationId xmlns:a16="http://schemas.microsoft.com/office/drawing/2014/main" xmlns="" id="{00000000-0008-0000-0300-000012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3" name="Rectangle 292">
          <a:extLst>
            <a:ext uri="{FF2B5EF4-FFF2-40B4-BE49-F238E27FC236}">
              <a16:creationId xmlns:a16="http://schemas.microsoft.com/office/drawing/2014/main" xmlns="" id="{00000000-0008-0000-0300-000013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4" name="Rectangle 293">
          <a:extLst>
            <a:ext uri="{FF2B5EF4-FFF2-40B4-BE49-F238E27FC236}">
              <a16:creationId xmlns:a16="http://schemas.microsoft.com/office/drawing/2014/main" xmlns="" id="{00000000-0008-0000-0300-000014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5" name="Rectangle 294">
          <a:extLst>
            <a:ext uri="{FF2B5EF4-FFF2-40B4-BE49-F238E27FC236}">
              <a16:creationId xmlns:a16="http://schemas.microsoft.com/office/drawing/2014/main" xmlns="" id="{00000000-0008-0000-0300-000015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6" name="Rectangle 295">
          <a:extLst>
            <a:ext uri="{FF2B5EF4-FFF2-40B4-BE49-F238E27FC236}">
              <a16:creationId xmlns:a16="http://schemas.microsoft.com/office/drawing/2014/main" xmlns="" id="{00000000-0008-0000-0300-000016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7" name="Rectangle 296">
          <a:extLst>
            <a:ext uri="{FF2B5EF4-FFF2-40B4-BE49-F238E27FC236}">
              <a16:creationId xmlns:a16="http://schemas.microsoft.com/office/drawing/2014/main" xmlns="" id="{00000000-0008-0000-0300-000017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8" name="Rectangle 297">
          <a:extLst>
            <a:ext uri="{FF2B5EF4-FFF2-40B4-BE49-F238E27FC236}">
              <a16:creationId xmlns:a16="http://schemas.microsoft.com/office/drawing/2014/main" xmlns="" id="{00000000-0008-0000-0300-000018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9" name="Rectangle 298">
          <a:extLst>
            <a:ext uri="{FF2B5EF4-FFF2-40B4-BE49-F238E27FC236}">
              <a16:creationId xmlns:a16="http://schemas.microsoft.com/office/drawing/2014/main" xmlns="" id="{00000000-0008-0000-0300-000019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50" name="Rectangle 299">
          <a:extLst>
            <a:ext uri="{FF2B5EF4-FFF2-40B4-BE49-F238E27FC236}">
              <a16:creationId xmlns:a16="http://schemas.microsoft.com/office/drawing/2014/main" xmlns="" id="{00000000-0008-0000-0300-00001A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1" name="Rectangle 300">
          <a:extLst>
            <a:ext uri="{FF2B5EF4-FFF2-40B4-BE49-F238E27FC236}">
              <a16:creationId xmlns:a16="http://schemas.microsoft.com/office/drawing/2014/main" xmlns="" id="{00000000-0008-0000-0300-00001B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2" name="Rectangle 301">
          <a:extLst>
            <a:ext uri="{FF2B5EF4-FFF2-40B4-BE49-F238E27FC236}">
              <a16:creationId xmlns:a16="http://schemas.microsoft.com/office/drawing/2014/main" xmlns="" id="{00000000-0008-0000-0300-00001C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3" name="Rectangle 302">
          <a:extLst>
            <a:ext uri="{FF2B5EF4-FFF2-40B4-BE49-F238E27FC236}">
              <a16:creationId xmlns:a16="http://schemas.microsoft.com/office/drawing/2014/main" xmlns="" id="{00000000-0008-0000-0300-00001D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4" name="Rectangle 303">
          <a:extLst>
            <a:ext uri="{FF2B5EF4-FFF2-40B4-BE49-F238E27FC236}">
              <a16:creationId xmlns:a16="http://schemas.microsoft.com/office/drawing/2014/main" xmlns="" id="{00000000-0008-0000-0300-00001E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5" name="Rectangle 304">
          <a:extLst>
            <a:ext uri="{FF2B5EF4-FFF2-40B4-BE49-F238E27FC236}">
              <a16:creationId xmlns:a16="http://schemas.microsoft.com/office/drawing/2014/main" xmlns="" id="{00000000-0008-0000-0300-00001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6" name="Rectangle 305">
          <a:extLst>
            <a:ext uri="{FF2B5EF4-FFF2-40B4-BE49-F238E27FC236}">
              <a16:creationId xmlns:a16="http://schemas.microsoft.com/office/drawing/2014/main" xmlns="" id="{00000000-0008-0000-0300-00002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7" name="Rectangle 306">
          <a:extLst>
            <a:ext uri="{FF2B5EF4-FFF2-40B4-BE49-F238E27FC236}">
              <a16:creationId xmlns:a16="http://schemas.microsoft.com/office/drawing/2014/main" xmlns="" id="{00000000-0008-0000-0300-000021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8" name="Rectangle 307">
          <a:extLst>
            <a:ext uri="{FF2B5EF4-FFF2-40B4-BE49-F238E27FC236}">
              <a16:creationId xmlns:a16="http://schemas.microsoft.com/office/drawing/2014/main" xmlns="" id="{00000000-0008-0000-0300-000022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9" name="Rectangle 308">
          <a:extLst>
            <a:ext uri="{FF2B5EF4-FFF2-40B4-BE49-F238E27FC236}">
              <a16:creationId xmlns:a16="http://schemas.microsoft.com/office/drawing/2014/main" xmlns="" id="{00000000-0008-0000-0300-000023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0" name="Rectangle 309">
          <a:extLst>
            <a:ext uri="{FF2B5EF4-FFF2-40B4-BE49-F238E27FC236}">
              <a16:creationId xmlns:a16="http://schemas.microsoft.com/office/drawing/2014/main" xmlns="" id="{00000000-0008-0000-0300-000024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1" name="Rectangle 310">
          <a:extLst>
            <a:ext uri="{FF2B5EF4-FFF2-40B4-BE49-F238E27FC236}">
              <a16:creationId xmlns:a16="http://schemas.microsoft.com/office/drawing/2014/main" xmlns="" id="{00000000-0008-0000-0300-000025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2" name="Rectangle 311">
          <a:extLst>
            <a:ext uri="{FF2B5EF4-FFF2-40B4-BE49-F238E27FC236}">
              <a16:creationId xmlns:a16="http://schemas.microsoft.com/office/drawing/2014/main" xmlns="" id="{00000000-0008-0000-0300-000026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3" name="Rectangle 312">
          <a:extLst>
            <a:ext uri="{FF2B5EF4-FFF2-40B4-BE49-F238E27FC236}">
              <a16:creationId xmlns:a16="http://schemas.microsoft.com/office/drawing/2014/main" xmlns="" id="{00000000-0008-0000-0300-000027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4" name="Rectangle 313">
          <a:extLst>
            <a:ext uri="{FF2B5EF4-FFF2-40B4-BE49-F238E27FC236}">
              <a16:creationId xmlns:a16="http://schemas.microsoft.com/office/drawing/2014/main" xmlns="" id="{00000000-0008-0000-0300-000028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5" name="Rectangle 314">
          <a:extLst>
            <a:ext uri="{FF2B5EF4-FFF2-40B4-BE49-F238E27FC236}">
              <a16:creationId xmlns:a16="http://schemas.microsoft.com/office/drawing/2014/main" xmlns="" id="{00000000-0008-0000-0300-000029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6" name="Rectangle 315">
          <a:extLst>
            <a:ext uri="{FF2B5EF4-FFF2-40B4-BE49-F238E27FC236}">
              <a16:creationId xmlns:a16="http://schemas.microsoft.com/office/drawing/2014/main" xmlns="" id="{00000000-0008-0000-0300-00002A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7" name="Rectangle 316">
          <a:extLst>
            <a:ext uri="{FF2B5EF4-FFF2-40B4-BE49-F238E27FC236}">
              <a16:creationId xmlns:a16="http://schemas.microsoft.com/office/drawing/2014/main" xmlns="" id="{00000000-0008-0000-0300-00002B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8" name="Rectangle 317">
          <a:extLst>
            <a:ext uri="{FF2B5EF4-FFF2-40B4-BE49-F238E27FC236}">
              <a16:creationId xmlns:a16="http://schemas.microsoft.com/office/drawing/2014/main" xmlns="" id="{00000000-0008-0000-0300-00002C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9" name="Rectangle 318">
          <a:extLst>
            <a:ext uri="{FF2B5EF4-FFF2-40B4-BE49-F238E27FC236}">
              <a16:creationId xmlns:a16="http://schemas.microsoft.com/office/drawing/2014/main" xmlns="" id="{00000000-0008-0000-0300-00002D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0" name="Rectangle 1058">
          <a:extLst>
            <a:ext uri="{FF2B5EF4-FFF2-40B4-BE49-F238E27FC236}">
              <a16:creationId xmlns:a16="http://schemas.microsoft.com/office/drawing/2014/main" xmlns="" id="{00000000-0008-0000-0300-00002E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1" name="Rectangle 1059">
          <a:extLst>
            <a:ext uri="{FF2B5EF4-FFF2-40B4-BE49-F238E27FC236}">
              <a16:creationId xmlns:a16="http://schemas.microsoft.com/office/drawing/2014/main" xmlns="" id="{00000000-0008-0000-0300-00002F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2" name="Rectangle 1060">
          <a:extLst>
            <a:ext uri="{FF2B5EF4-FFF2-40B4-BE49-F238E27FC236}">
              <a16:creationId xmlns:a16="http://schemas.microsoft.com/office/drawing/2014/main" xmlns="" id="{00000000-0008-0000-0300-000030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3" name="Rectangle 1061">
          <a:extLst>
            <a:ext uri="{FF2B5EF4-FFF2-40B4-BE49-F238E27FC236}">
              <a16:creationId xmlns:a16="http://schemas.microsoft.com/office/drawing/2014/main" xmlns="" id="{00000000-0008-0000-0300-000031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4" name="Rectangle 1062">
          <a:extLst>
            <a:ext uri="{FF2B5EF4-FFF2-40B4-BE49-F238E27FC236}">
              <a16:creationId xmlns:a16="http://schemas.microsoft.com/office/drawing/2014/main" xmlns="" id="{00000000-0008-0000-0300-00003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5" name="Rectangle 1063">
          <a:extLst>
            <a:ext uri="{FF2B5EF4-FFF2-40B4-BE49-F238E27FC236}">
              <a16:creationId xmlns:a16="http://schemas.microsoft.com/office/drawing/2014/main" xmlns="" id="{00000000-0008-0000-0300-00003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6" name="Rectangle 1064">
          <a:extLst>
            <a:ext uri="{FF2B5EF4-FFF2-40B4-BE49-F238E27FC236}">
              <a16:creationId xmlns:a16="http://schemas.microsoft.com/office/drawing/2014/main" xmlns="" id="{00000000-0008-0000-0300-00003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7" name="Rectangle 1065">
          <a:extLst>
            <a:ext uri="{FF2B5EF4-FFF2-40B4-BE49-F238E27FC236}">
              <a16:creationId xmlns:a16="http://schemas.microsoft.com/office/drawing/2014/main" xmlns="" id="{00000000-0008-0000-0300-00003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8" name="Rectangle 1066">
          <a:extLst>
            <a:ext uri="{FF2B5EF4-FFF2-40B4-BE49-F238E27FC236}">
              <a16:creationId xmlns:a16="http://schemas.microsoft.com/office/drawing/2014/main" xmlns="" id="{00000000-0008-0000-0300-00003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9" name="Rectangle 1067">
          <a:extLst>
            <a:ext uri="{FF2B5EF4-FFF2-40B4-BE49-F238E27FC236}">
              <a16:creationId xmlns:a16="http://schemas.microsoft.com/office/drawing/2014/main" xmlns="" id="{00000000-0008-0000-0300-00003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0" name="Rectangle 1068">
          <a:extLst>
            <a:ext uri="{FF2B5EF4-FFF2-40B4-BE49-F238E27FC236}">
              <a16:creationId xmlns:a16="http://schemas.microsoft.com/office/drawing/2014/main" xmlns="" id="{00000000-0008-0000-0300-00003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81" name="Rectangle 1069">
          <a:extLst>
            <a:ext uri="{FF2B5EF4-FFF2-40B4-BE49-F238E27FC236}">
              <a16:creationId xmlns:a16="http://schemas.microsoft.com/office/drawing/2014/main" xmlns="" id="{00000000-0008-0000-0300-000039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2" name="Rectangle 1070">
          <a:extLst>
            <a:ext uri="{FF2B5EF4-FFF2-40B4-BE49-F238E27FC236}">
              <a16:creationId xmlns:a16="http://schemas.microsoft.com/office/drawing/2014/main" xmlns="" id="{00000000-0008-0000-0300-00003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3" name="Rectangle 1071">
          <a:extLst>
            <a:ext uri="{FF2B5EF4-FFF2-40B4-BE49-F238E27FC236}">
              <a16:creationId xmlns:a16="http://schemas.microsoft.com/office/drawing/2014/main" xmlns="" id="{00000000-0008-0000-0300-00003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4" name="Rectangle 1072">
          <a:extLst>
            <a:ext uri="{FF2B5EF4-FFF2-40B4-BE49-F238E27FC236}">
              <a16:creationId xmlns:a16="http://schemas.microsoft.com/office/drawing/2014/main" xmlns="" id="{00000000-0008-0000-0300-00003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5" name="Rectangle 1073">
          <a:extLst>
            <a:ext uri="{FF2B5EF4-FFF2-40B4-BE49-F238E27FC236}">
              <a16:creationId xmlns:a16="http://schemas.microsoft.com/office/drawing/2014/main" xmlns="" id="{00000000-0008-0000-0300-00003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6" name="Rectangle 1074">
          <a:extLst>
            <a:ext uri="{FF2B5EF4-FFF2-40B4-BE49-F238E27FC236}">
              <a16:creationId xmlns:a16="http://schemas.microsoft.com/office/drawing/2014/main" xmlns="" id="{00000000-0008-0000-0300-00003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7" name="Rectangle 1075">
          <a:extLst>
            <a:ext uri="{FF2B5EF4-FFF2-40B4-BE49-F238E27FC236}">
              <a16:creationId xmlns:a16="http://schemas.microsoft.com/office/drawing/2014/main" xmlns="" id="{00000000-0008-0000-0300-00003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8" name="Rectangle 1076">
          <a:extLst>
            <a:ext uri="{FF2B5EF4-FFF2-40B4-BE49-F238E27FC236}">
              <a16:creationId xmlns:a16="http://schemas.microsoft.com/office/drawing/2014/main" xmlns="" id="{00000000-0008-0000-0300-00004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9" name="Rectangle 1077">
          <a:extLst>
            <a:ext uri="{FF2B5EF4-FFF2-40B4-BE49-F238E27FC236}">
              <a16:creationId xmlns:a16="http://schemas.microsoft.com/office/drawing/2014/main" xmlns="" id="{00000000-0008-0000-0300-00004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0" name="Rectangle 1078">
          <a:extLst>
            <a:ext uri="{FF2B5EF4-FFF2-40B4-BE49-F238E27FC236}">
              <a16:creationId xmlns:a16="http://schemas.microsoft.com/office/drawing/2014/main" xmlns="" id="{00000000-0008-0000-0300-00004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1" name="Rectangle 1079">
          <a:extLst>
            <a:ext uri="{FF2B5EF4-FFF2-40B4-BE49-F238E27FC236}">
              <a16:creationId xmlns:a16="http://schemas.microsoft.com/office/drawing/2014/main" xmlns="" id="{00000000-0008-0000-0300-00004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2" name="Rectangle 1080">
          <a:extLst>
            <a:ext uri="{FF2B5EF4-FFF2-40B4-BE49-F238E27FC236}">
              <a16:creationId xmlns:a16="http://schemas.microsoft.com/office/drawing/2014/main" xmlns="" id="{00000000-0008-0000-0300-00004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3" name="Rectangle 1081">
          <a:extLst>
            <a:ext uri="{FF2B5EF4-FFF2-40B4-BE49-F238E27FC236}">
              <a16:creationId xmlns:a16="http://schemas.microsoft.com/office/drawing/2014/main" xmlns="" id="{00000000-0008-0000-0300-00004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4" name="Rectangle 1082">
          <a:extLst>
            <a:ext uri="{FF2B5EF4-FFF2-40B4-BE49-F238E27FC236}">
              <a16:creationId xmlns:a16="http://schemas.microsoft.com/office/drawing/2014/main" xmlns="" id="{00000000-0008-0000-0300-00004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5" name="Rectangle 1083">
          <a:extLst>
            <a:ext uri="{FF2B5EF4-FFF2-40B4-BE49-F238E27FC236}">
              <a16:creationId xmlns:a16="http://schemas.microsoft.com/office/drawing/2014/main" xmlns="" id="{00000000-0008-0000-0300-00004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6" name="Rectangle 1084">
          <a:extLst>
            <a:ext uri="{FF2B5EF4-FFF2-40B4-BE49-F238E27FC236}">
              <a16:creationId xmlns:a16="http://schemas.microsoft.com/office/drawing/2014/main" xmlns="" id="{00000000-0008-0000-0300-00004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7" name="Rectangle 1085">
          <a:extLst>
            <a:ext uri="{FF2B5EF4-FFF2-40B4-BE49-F238E27FC236}">
              <a16:creationId xmlns:a16="http://schemas.microsoft.com/office/drawing/2014/main" xmlns="" id="{00000000-0008-0000-0300-00004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8" name="Rectangle 1086">
          <a:extLst>
            <a:ext uri="{FF2B5EF4-FFF2-40B4-BE49-F238E27FC236}">
              <a16:creationId xmlns:a16="http://schemas.microsoft.com/office/drawing/2014/main" xmlns="" id="{00000000-0008-0000-0300-00004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9" name="Rectangle 1087">
          <a:extLst>
            <a:ext uri="{FF2B5EF4-FFF2-40B4-BE49-F238E27FC236}">
              <a16:creationId xmlns:a16="http://schemas.microsoft.com/office/drawing/2014/main" xmlns="" id="{00000000-0008-0000-0300-00004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0" name="Rectangle 1088">
          <a:extLst>
            <a:ext uri="{FF2B5EF4-FFF2-40B4-BE49-F238E27FC236}">
              <a16:creationId xmlns:a16="http://schemas.microsoft.com/office/drawing/2014/main" xmlns="" id="{00000000-0008-0000-0300-00004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1" name="Rectangle 1089">
          <a:extLst>
            <a:ext uri="{FF2B5EF4-FFF2-40B4-BE49-F238E27FC236}">
              <a16:creationId xmlns:a16="http://schemas.microsoft.com/office/drawing/2014/main" xmlns="" id="{00000000-0008-0000-0300-00004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2" name="Rectangle 1090">
          <a:extLst>
            <a:ext uri="{FF2B5EF4-FFF2-40B4-BE49-F238E27FC236}">
              <a16:creationId xmlns:a16="http://schemas.microsoft.com/office/drawing/2014/main" xmlns="" id="{00000000-0008-0000-0300-00004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3" name="Rectangle 1091">
          <a:extLst>
            <a:ext uri="{FF2B5EF4-FFF2-40B4-BE49-F238E27FC236}">
              <a16:creationId xmlns:a16="http://schemas.microsoft.com/office/drawing/2014/main" xmlns="" id="{00000000-0008-0000-0300-00004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4" name="Rectangle 1092">
          <a:extLst>
            <a:ext uri="{FF2B5EF4-FFF2-40B4-BE49-F238E27FC236}">
              <a16:creationId xmlns:a16="http://schemas.microsoft.com/office/drawing/2014/main" xmlns="" id="{00000000-0008-0000-0300-00005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5" name="Rectangle 1093">
          <a:extLst>
            <a:ext uri="{FF2B5EF4-FFF2-40B4-BE49-F238E27FC236}">
              <a16:creationId xmlns:a16="http://schemas.microsoft.com/office/drawing/2014/main" xmlns="" id="{00000000-0008-0000-0300-00005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6" name="Rectangle 1094">
          <a:extLst>
            <a:ext uri="{FF2B5EF4-FFF2-40B4-BE49-F238E27FC236}">
              <a16:creationId xmlns:a16="http://schemas.microsoft.com/office/drawing/2014/main" xmlns="" id="{00000000-0008-0000-0300-00005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7" name="Rectangle 1095">
          <a:extLst>
            <a:ext uri="{FF2B5EF4-FFF2-40B4-BE49-F238E27FC236}">
              <a16:creationId xmlns:a16="http://schemas.microsoft.com/office/drawing/2014/main" xmlns="" id="{00000000-0008-0000-0300-00005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08" name="Rectangle 1058">
          <a:extLst>
            <a:ext uri="{FF2B5EF4-FFF2-40B4-BE49-F238E27FC236}">
              <a16:creationId xmlns:a16="http://schemas.microsoft.com/office/drawing/2014/main" xmlns="" id="{00000000-0008-0000-0300-00005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09" name="Rectangle 1059">
          <a:extLst>
            <a:ext uri="{FF2B5EF4-FFF2-40B4-BE49-F238E27FC236}">
              <a16:creationId xmlns:a16="http://schemas.microsoft.com/office/drawing/2014/main" xmlns="" id="{00000000-0008-0000-0300-00005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0" name="Rectangle 1060">
          <a:extLst>
            <a:ext uri="{FF2B5EF4-FFF2-40B4-BE49-F238E27FC236}">
              <a16:creationId xmlns:a16="http://schemas.microsoft.com/office/drawing/2014/main" xmlns="" id="{00000000-0008-0000-0300-00005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1" name="Rectangle 1061">
          <a:extLst>
            <a:ext uri="{FF2B5EF4-FFF2-40B4-BE49-F238E27FC236}">
              <a16:creationId xmlns:a16="http://schemas.microsoft.com/office/drawing/2014/main" xmlns="" id="{00000000-0008-0000-0300-000057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2" name="Rectangle 1062">
          <a:extLst>
            <a:ext uri="{FF2B5EF4-FFF2-40B4-BE49-F238E27FC236}">
              <a16:creationId xmlns:a16="http://schemas.microsoft.com/office/drawing/2014/main" xmlns="" id="{00000000-0008-0000-0300-00005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3" name="Rectangle 1063">
          <a:extLst>
            <a:ext uri="{FF2B5EF4-FFF2-40B4-BE49-F238E27FC236}">
              <a16:creationId xmlns:a16="http://schemas.microsoft.com/office/drawing/2014/main" xmlns="" id="{00000000-0008-0000-0300-00005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4" name="Rectangle 1064">
          <a:extLst>
            <a:ext uri="{FF2B5EF4-FFF2-40B4-BE49-F238E27FC236}">
              <a16:creationId xmlns:a16="http://schemas.microsoft.com/office/drawing/2014/main" xmlns="" id="{00000000-0008-0000-0300-00005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5" name="Rectangle 1065">
          <a:extLst>
            <a:ext uri="{FF2B5EF4-FFF2-40B4-BE49-F238E27FC236}">
              <a16:creationId xmlns:a16="http://schemas.microsoft.com/office/drawing/2014/main" xmlns="" id="{00000000-0008-0000-0300-00005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6" name="Rectangle 1066">
          <a:extLst>
            <a:ext uri="{FF2B5EF4-FFF2-40B4-BE49-F238E27FC236}">
              <a16:creationId xmlns:a16="http://schemas.microsoft.com/office/drawing/2014/main" xmlns="" id="{00000000-0008-0000-0300-00005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7" name="Rectangle 1067">
          <a:extLst>
            <a:ext uri="{FF2B5EF4-FFF2-40B4-BE49-F238E27FC236}">
              <a16:creationId xmlns:a16="http://schemas.microsoft.com/office/drawing/2014/main" xmlns="" id="{00000000-0008-0000-0300-00005D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8" name="Rectangle 1068">
          <a:extLst>
            <a:ext uri="{FF2B5EF4-FFF2-40B4-BE49-F238E27FC236}">
              <a16:creationId xmlns:a16="http://schemas.microsoft.com/office/drawing/2014/main" xmlns="" id="{00000000-0008-0000-0300-00005E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9" name="Rectangle 1069">
          <a:extLst>
            <a:ext uri="{FF2B5EF4-FFF2-40B4-BE49-F238E27FC236}">
              <a16:creationId xmlns:a16="http://schemas.microsoft.com/office/drawing/2014/main" xmlns="" id="{00000000-0008-0000-0300-00005F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0" name="Rectangle 1070">
          <a:extLst>
            <a:ext uri="{FF2B5EF4-FFF2-40B4-BE49-F238E27FC236}">
              <a16:creationId xmlns:a16="http://schemas.microsoft.com/office/drawing/2014/main" xmlns="" id="{00000000-0008-0000-0300-00006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1" name="Rectangle 1071">
          <a:extLst>
            <a:ext uri="{FF2B5EF4-FFF2-40B4-BE49-F238E27FC236}">
              <a16:creationId xmlns:a16="http://schemas.microsoft.com/office/drawing/2014/main" xmlns="" id="{00000000-0008-0000-0300-00006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2" name="Rectangle 1072">
          <a:extLst>
            <a:ext uri="{FF2B5EF4-FFF2-40B4-BE49-F238E27FC236}">
              <a16:creationId xmlns:a16="http://schemas.microsoft.com/office/drawing/2014/main" xmlns="" id="{00000000-0008-0000-0300-00006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3" name="Rectangle 1073">
          <a:extLst>
            <a:ext uri="{FF2B5EF4-FFF2-40B4-BE49-F238E27FC236}">
              <a16:creationId xmlns:a16="http://schemas.microsoft.com/office/drawing/2014/main" xmlns="" id="{00000000-0008-0000-0300-00006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4" name="Rectangle 1074">
          <a:extLst>
            <a:ext uri="{FF2B5EF4-FFF2-40B4-BE49-F238E27FC236}">
              <a16:creationId xmlns:a16="http://schemas.microsoft.com/office/drawing/2014/main" xmlns="" id="{00000000-0008-0000-0300-00006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5" name="Rectangle 1075">
          <a:extLst>
            <a:ext uri="{FF2B5EF4-FFF2-40B4-BE49-F238E27FC236}">
              <a16:creationId xmlns:a16="http://schemas.microsoft.com/office/drawing/2014/main" xmlns="" id="{00000000-0008-0000-0300-00006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6" name="Rectangle 1076">
          <a:extLst>
            <a:ext uri="{FF2B5EF4-FFF2-40B4-BE49-F238E27FC236}">
              <a16:creationId xmlns:a16="http://schemas.microsoft.com/office/drawing/2014/main" xmlns="" id="{00000000-0008-0000-0300-00006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7" name="Rectangle 1077">
          <a:extLst>
            <a:ext uri="{FF2B5EF4-FFF2-40B4-BE49-F238E27FC236}">
              <a16:creationId xmlns:a16="http://schemas.microsoft.com/office/drawing/2014/main" xmlns="" id="{00000000-0008-0000-0300-00006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8" name="Rectangle 1078">
          <a:extLst>
            <a:ext uri="{FF2B5EF4-FFF2-40B4-BE49-F238E27FC236}">
              <a16:creationId xmlns:a16="http://schemas.microsoft.com/office/drawing/2014/main" xmlns="" id="{00000000-0008-0000-0300-00006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9" name="Rectangle 1079">
          <a:extLst>
            <a:ext uri="{FF2B5EF4-FFF2-40B4-BE49-F238E27FC236}">
              <a16:creationId xmlns:a16="http://schemas.microsoft.com/office/drawing/2014/main" xmlns="" id="{00000000-0008-0000-0300-00006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0" name="Rectangle 1080">
          <a:extLst>
            <a:ext uri="{FF2B5EF4-FFF2-40B4-BE49-F238E27FC236}">
              <a16:creationId xmlns:a16="http://schemas.microsoft.com/office/drawing/2014/main" xmlns="" id="{00000000-0008-0000-0300-00006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1" name="Rectangle 1081">
          <a:extLst>
            <a:ext uri="{FF2B5EF4-FFF2-40B4-BE49-F238E27FC236}">
              <a16:creationId xmlns:a16="http://schemas.microsoft.com/office/drawing/2014/main" xmlns="" id="{00000000-0008-0000-0300-00006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2" name="Rectangle 1082">
          <a:extLst>
            <a:ext uri="{FF2B5EF4-FFF2-40B4-BE49-F238E27FC236}">
              <a16:creationId xmlns:a16="http://schemas.microsoft.com/office/drawing/2014/main" xmlns="" id="{00000000-0008-0000-0300-00006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3" name="Rectangle 1083">
          <a:extLst>
            <a:ext uri="{FF2B5EF4-FFF2-40B4-BE49-F238E27FC236}">
              <a16:creationId xmlns:a16="http://schemas.microsoft.com/office/drawing/2014/main" xmlns="" id="{00000000-0008-0000-0300-00006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4" name="Rectangle 1084">
          <a:extLst>
            <a:ext uri="{FF2B5EF4-FFF2-40B4-BE49-F238E27FC236}">
              <a16:creationId xmlns:a16="http://schemas.microsoft.com/office/drawing/2014/main" xmlns="" id="{00000000-0008-0000-0300-00006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5" name="Rectangle 1085">
          <a:extLst>
            <a:ext uri="{FF2B5EF4-FFF2-40B4-BE49-F238E27FC236}">
              <a16:creationId xmlns:a16="http://schemas.microsoft.com/office/drawing/2014/main" xmlns="" id="{00000000-0008-0000-0300-00006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6" name="Rectangle 1086">
          <a:extLst>
            <a:ext uri="{FF2B5EF4-FFF2-40B4-BE49-F238E27FC236}">
              <a16:creationId xmlns:a16="http://schemas.microsoft.com/office/drawing/2014/main" xmlns="" id="{00000000-0008-0000-0300-00007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7" name="Rectangle 1087">
          <a:extLst>
            <a:ext uri="{FF2B5EF4-FFF2-40B4-BE49-F238E27FC236}">
              <a16:creationId xmlns:a16="http://schemas.microsoft.com/office/drawing/2014/main" xmlns="" id="{00000000-0008-0000-0300-00007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8" name="Rectangle 1088">
          <a:extLst>
            <a:ext uri="{FF2B5EF4-FFF2-40B4-BE49-F238E27FC236}">
              <a16:creationId xmlns:a16="http://schemas.microsoft.com/office/drawing/2014/main" xmlns="" id="{00000000-0008-0000-0300-00007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9" name="Rectangle 1089">
          <a:extLst>
            <a:ext uri="{FF2B5EF4-FFF2-40B4-BE49-F238E27FC236}">
              <a16:creationId xmlns:a16="http://schemas.microsoft.com/office/drawing/2014/main" xmlns="" id="{00000000-0008-0000-0300-00007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0" name="Rectangle 1090">
          <a:extLst>
            <a:ext uri="{FF2B5EF4-FFF2-40B4-BE49-F238E27FC236}">
              <a16:creationId xmlns:a16="http://schemas.microsoft.com/office/drawing/2014/main" xmlns="" id="{00000000-0008-0000-0300-00007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1" name="Rectangle 1091">
          <a:extLst>
            <a:ext uri="{FF2B5EF4-FFF2-40B4-BE49-F238E27FC236}">
              <a16:creationId xmlns:a16="http://schemas.microsoft.com/office/drawing/2014/main" xmlns="" id="{00000000-0008-0000-0300-00007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2" name="Rectangle 1092">
          <a:extLst>
            <a:ext uri="{FF2B5EF4-FFF2-40B4-BE49-F238E27FC236}">
              <a16:creationId xmlns:a16="http://schemas.microsoft.com/office/drawing/2014/main" xmlns="" id="{00000000-0008-0000-0300-00007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3" name="Rectangle 1093">
          <a:extLst>
            <a:ext uri="{FF2B5EF4-FFF2-40B4-BE49-F238E27FC236}">
              <a16:creationId xmlns:a16="http://schemas.microsoft.com/office/drawing/2014/main" xmlns="" id="{00000000-0008-0000-0300-00007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4" name="Rectangle 1094">
          <a:extLst>
            <a:ext uri="{FF2B5EF4-FFF2-40B4-BE49-F238E27FC236}">
              <a16:creationId xmlns:a16="http://schemas.microsoft.com/office/drawing/2014/main" xmlns="" id="{00000000-0008-0000-0300-00007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5" name="Rectangle 1095">
          <a:extLst>
            <a:ext uri="{FF2B5EF4-FFF2-40B4-BE49-F238E27FC236}">
              <a16:creationId xmlns:a16="http://schemas.microsoft.com/office/drawing/2014/main" xmlns="" id="{00000000-0008-0000-0300-00007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6" name="Rectangle 1058">
          <a:extLst>
            <a:ext uri="{FF2B5EF4-FFF2-40B4-BE49-F238E27FC236}">
              <a16:creationId xmlns:a16="http://schemas.microsoft.com/office/drawing/2014/main" xmlns="" id="{00000000-0008-0000-0300-00007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47" name="Rectangle 1059">
          <a:extLst>
            <a:ext uri="{FF2B5EF4-FFF2-40B4-BE49-F238E27FC236}">
              <a16:creationId xmlns:a16="http://schemas.microsoft.com/office/drawing/2014/main" xmlns="" id="{00000000-0008-0000-0300-00007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48" name="Rectangle 1060">
          <a:extLst>
            <a:ext uri="{FF2B5EF4-FFF2-40B4-BE49-F238E27FC236}">
              <a16:creationId xmlns:a16="http://schemas.microsoft.com/office/drawing/2014/main" xmlns="" id="{00000000-0008-0000-0300-00007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9" name="Rectangle 1061">
          <a:extLst>
            <a:ext uri="{FF2B5EF4-FFF2-40B4-BE49-F238E27FC236}">
              <a16:creationId xmlns:a16="http://schemas.microsoft.com/office/drawing/2014/main" xmlns="" id="{00000000-0008-0000-0300-00007D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0" name="Rectangle 1062">
          <a:extLst>
            <a:ext uri="{FF2B5EF4-FFF2-40B4-BE49-F238E27FC236}">
              <a16:creationId xmlns:a16="http://schemas.microsoft.com/office/drawing/2014/main" xmlns="" id="{00000000-0008-0000-0300-00007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1" name="Rectangle 1063">
          <a:extLst>
            <a:ext uri="{FF2B5EF4-FFF2-40B4-BE49-F238E27FC236}">
              <a16:creationId xmlns:a16="http://schemas.microsoft.com/office/drawing/2014/main" xmlns="" id="{00000000-0008-0000-0300-00007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2" name="Rectangle 1064">
          <a:extLst>
            <a:ext uri="{FF2B5EF4-FFF2-40B4-BE49-F238E27FC236}">
              <a16:creationId xmlns:a16="http://schemas.microsoft.com/office/drawing/2014/main" xmlns="" id="{00000000-0008-0000-0300-00008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3" name="Rectangle 1065">
          <a:extLst>
            <a:ext uri="{FF2B5EF4-FFF2-40B4-BE49-F238E27FC236}">
              <a16:creationId xmlns:a16="http://schemas.microsoft.com/office/drawing/2014/main" xmlns="" id="{00000000-0008-0000-0300-00008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4" name="Rectangle 1066">
          <a:extLst>
            <a:ext uri="{FF2B5EF4-FFF2-40B4-BE49-F238E27FC236}">
              <a16:creationId xmlns:a16="http://schemas.microsoft.com/office/drawing/2014/main" xmlns="" id="{00000000-0008-0000-0300-00008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5" name="Rectangle 1067">
          <a:extLst>
            <a:ext uri="{FF2B5EF4-FFF2-40B4-BE49-F238E27FC236}">
              <a16:creationId xmlns:a16="http://schemas.microsoft.com/office/drawing/2014/main" xmlns="" id="{00000000-0008-0000-0300-000083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6" name="Rectangle 1068">
          <a:extLst>
            <a:ext uri="{FF2B5EF4-FFF2-40B4-BE49-F238E27FC236}">
              <a16:creationId xmlns:a16="http://schemas.microsoft.com/office/drawing/2014/main" xmlns="" id="{00000000-0008-0000-0300-000084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7" name="Rectangle 1069">
          <a:extLst>
            <a:ext uri="{FF2B5EF4-FFF2-40B4-BE49-F238E27FC236}">
              <a16:creationId xmlns:a16="http://schemas.microsoft.com/office/drawing/2014/main" xmlns="" id="{00000000-0008-0000-0300-000085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8" name="Rectangle 1070">
          <a:extLst>
            <a:ext uri="{FF2B5EF4-FFF2-40B4-BE49-F238E27FC236}">
              <a16:creationId xmlns:a16="http://schemas.microsoft.com/office/drawing/2014/main" xmlns="" id="{00000000-0008-0000-0300-00008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9" name="Rectangle 1071">
          <a:extLst>
            <a:ext uri="{FF2B5EF4-FFF2-40B4-BE49-F238E27FC236}">
              <a16:creationId xmlns:a16="http://schemas.microsoft.com/office/drawing/2014/main" xmlns="" id="{00000000-0008-0000-0300-00008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0" name="Rectangle 1072">
          <a:extLst>
            <a:ext uri="{FF2B5EF4-FFF2-40B4-BE49-F238E27FC236}">
              <a16:creationId xmlns:a16="http://schemas.microsoft.com/office/drawing/2014/main" xmlns="" id="{00000000-0008-0000-0300-00008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1" name="Rectangle 1073">
          <a:extLst>
            <a:ext uri="{FF2B5EF4-FFF2-40B4-BE49-F238E27FC236}">
              <a16:creationId xmlns:a16="http://schemas.microsoft.com/office/drawing/2014/main" xmlns="" id="{00000000-0008-0000-0300-00008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2" name="Rectangle 1074">
          <a:extLst>
            <a:ext uri="{FF2B5EF4-FFF2-40B4-BE49-F238E27FC236}">
              <a16:creationId xmlns:a16="http://schemas.microsoft.com/office/drawing/2014/main" xmlns="" id="{00000000-0008-0000-0300-00008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3" name="Rectangle 1075">
          <a:extLst>
            <a:ext uri="{FF2B5EF4-FFF2-40B4-BE49-F238E27FC236}">
              <a16:creationId xmlns:a16="http://schemas.microsoft.com/office/drawing/2014/main" xmlns="" id="{00000000-0008-0000-0300-00008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4" name="Rectangle 1076">
          <a:extLst>
            <a:ext uri="{FF2B5EF4-FFF2-40B4-BE49-F238E27FC236}">
              <a16:creationId xmlns:a16="http://schemas.microsoft.com/office/drawing/2014/main" xmlns="" id="{00000000-0008-0000-0300-00008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5" name="Rectangle 1077">
          <a:extLst>
            <a:ext uri="{FF2B5EF4-FFF2-40B4-BE49-F238E27FC236}">
              <a16:creationId xmlns:a16="http://schemas.microsoft.com/office/drawing/2014/main" xmlns="" id="{00000000-0008-0000-0300-00008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6" name="Rectangle 1078">
          <a:extLst>
            <a:ext uri="{FF2B5EF4-FFF2-40B4-BE49-F238E27FC236}">
              <a16:creationId xmlns:a16="http://schemas.microsoft.com/office/drawing/2014/main" xmlns="" id="{00000000-0008-0000-0300-00008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7" name="Rectangle 1079">
          <a:extLst>
            <a:ext uri="{FF2B5EF4-FFF2-40B4-BE49-F238E27FC236}">
              <a16:creationId xmlns:a16="http://schemas.microsoft.com/office/drawing/2014/main" xmlns="" id="{00000000-0008-0000-0300-00008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8" name="Rectangle 1080">
          <a:extLst>
            <a:ext uri="{FF2B5EF4-FFF2-40B4-BE49-F238E27FC236}">
              <a16:creationId xmlns:a16="http://schemas.microsoft.com/office/drawing/2014/main" xmlns="" id="{00000000-0008-0000-0300-00009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9" name="Rectangle 1081">
          <a:extLst>
            <a:ext uri="{FF2B5EF4-FFF2-40B4-BE49-F238E27FC236}">
              <a16:creationId xmlns:a16="http://schemas.microsoft.com/office/drawing/2014/main" xmlns="" id="{00000000-0008-0000-0300-00009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70" name="Rectangle 1082">
          <a:extLst>
            <a:ext uri="{FF2B5EF4-FFF2-40B4-BE49-F238E27FC236}">
              <a16:creationId xmlns:a16="http://schemas.microsoft.com/office/drawing/2014/main" xmlns="" id="{00000000-0008-0000-0300-00009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71" name="Rectangle 1083">
          <a:extLst>
            <a:ext uri="{FF2B5EF4-FFF2-40B4-BE49-F238E27FC236}">
              <a16:creationId xmlns:a16="http://schemas.microsoft.com/office/drawing/2014/main" xmlns="" id="{00000000-0008-0000-0300-00009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2" name="Rectangle 1084">
          <a:extLst>
            <a:ext uri="{FF2B5EF4-FFF2-40B4-BE49-F238E27FC236}">
              <a16:creationId xmlns:a16="http://schemas.microsoft.com/office/drawing/2014/main" xmlns="" id="{00000000-0008-0000-0300-00009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3" name="Rectangle 1085">
          <a:extLst>
            <a:ext uri="{FF2B5EF4-FFF2-40B4-BE49-F238E27FC236}">
              <a16:creationId xmlns:a16="http://schemas.microsoft.com/office/drawing/2014/main" xmlns="" id="{00000000-0008-0000-0300-00009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4" name="Rectangle 1086">
          <a:extLst>
            <a:ext uri="{FF2B5EF4-FFF2-40B4-BE49-F238E27FC236}">
              <a16:creationId xmlns:a16="http://schemas.microsoft.com/office/drawing/2014/main" xmlns="" id="{00000000-0008-0000-0300-00009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5" name="Rectangle 1087">
          <a:extLst>
            <a:ext uri="{FF2B5EF4-FFF2-40B4-BE49-F238E27FC236}">
              <a16:creationId xmlns:a16="http://schemas.microsoft.com/office/drawing/2014/main" xmlns="" id="{00000000-0008-0000-0300-00009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6" name="Rectangle 1088">
          <a:extLst>
            <a:ext uri="{FF2B5EF4-FFF2-40B4-BE49-F238E27FC236}">
              <a16:creationId xmlns:a16="http://schemas.microsoft.com/office/drawing/2014/main" xmlns="" id="{00000000-0008-0000-0300-00009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7" name="Rectangle 1089">
          <a:extLst>
            <a:ext uri="{FF2B5EF4-FFF2-40B4-BE49-F238E27FC236}">
              <a16:creationId xmlns:a16="http://schemas.microsoft.com/office/drawing/2014/main" xmlns="" id="{00000000-0008-0000-0300-00009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8" name="Rectangle 1090">
          <a:extLst>
            <a:ext uri="{FF2B5EF4-FFF2-40B4-BE49-F238E27FC236}">
              <a16:creationId xmlns:a16="http://schemas.microsoft.com/office/drawing/2014/main" xmlns="" id="{00000000-0008-0000-0300-00009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9" name="Rectangle 1091">
          <a:extLst>
            <a:ext uri="{FF2B5EF4-FFF2-40B4-BE49-F238E27FC236}">
              <a16:creationId xmlns:a16="http://schemas.microsoft.com/office/drawing/2014/main" xmlns="" id="{00000000-0008-0000-0300-00009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0" name="Rectangle 1092">
          <a:extLst>
            <a:ext uri="{FF2B5EF4-FFF2-40B4-BE49-F238E27FC236}">
              <a16:creationId xmlns:a16="http://schemas.microsoft.com/office/drawing/2014/main" xmlns="" id="{00000000-0008-0000-0300-00009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1" name="Rectangle 1093">
          <a:extLst>
            <a:ext uri="{FF2B5EF4-FFF2-40B4-BE49-F238E27FC236}">
              <a16:creationId xmlns:a16="http://schemas.microsoft.com/office/drawing/2014/main" xmlns="" id="{00000000-0008-0000-0300-00009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2" name="Rectangle 1094">
          <a:extLst>
            <a:ext uri="{FF2B5EF4-FFF2-40B4-BE49-F238E27FC236}">
              <a16:creationId xmlns:a16="http://schemas.microsoft.com/office/drawing/2014/main" xmlns="" id="{00000000-0008-0000-0300-00009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3" name="Rectangle 1095">
          <a:extLst>
            <a:ext uri="{FF2B5EF4-FFF2-40B4-BE49-F238E27FC236}">
              <a16:creationId xmlns:a16="http://schemas.microsoft.com/office/drawing/2014/main" xmlns="" id="{00000000-0008-0000-0300-00009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4" name="Rectangle 1058">
          <a:extLst>
            <a:ext uri="{FF2B5EF4-FFF2-40B4-BE49-F238E27FC236}">
              <a16:creationId xmlns:a16="http://schemas.microsoft.com/office/drawing/2014/main" xmlns="" id="{00000000-0008-0000-0300-0000A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5" name="Rectangle 1059">
          <a:extLst>
            <a:ext uri="{FF2B5EF4-FFF2-40B4-BE49-F238E27FC236}">
              <a16:creationId xmlns:a16="http://schemas.microsoft.com/office/drawing/2014/main" xmlns="" id="{00000000-0008-0000-0300-0000A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6" name="Rectangle 1060">
          <a:extLst>
            <a:ext uri="{FF2B5EF4-FFF2-40B4-BE49-F238E27FC236}">
              <a16:creationId xmlns:a16="http://schemas.microsoft.com/office/drawing/2014/main" xmlns="" id="{00000000-0008-0000-0300-0000A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7" name="Rectangle 1061">
          <a:extLst>
            <a:ext uri="{FF2B5EF4-FFF2-40B4-BE49-F238E27FC236}">
              <a16:creationId xmlns:a16="http://schemas.microsoft.com/office/drawing/2014/main" xmlns="" id="{00000000-0008-0000-0300-0000A3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8" name="Rectangle 1062">
          <a:extLst>
            <a:ext uri="{FF2B5EF4-FFF2-40B4-BE49-F238E27FC236}">
              <a16:creationId xmlns:a16="http://schemas.microsoft.com/office/drawing/2014/main" xmlns="" id="{00000000-0008-0000-0300-0000A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9" name="Rectangle 1063">
          <a:extLst>
            <a:ext uri="{FF2B5EF4-FFF2-40B4-BE49-F238E27FC236}">
              <a16:creationId xmlns:a16="http://schemas.microsoft.com/office/drawing/2014/main" xmlns="" id="{00000000-0008-0000-0300-0000A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0" name="Rectangle 1064">
          <a:extLst>
            <a:ext uri="{FF2B5EF4-FFF2-40B4-BE49-F238E27FC236}">
              <a16:creationId xmlns:a16="http://schemas.microsoft.com/office/drawing/2014/main" xmlns="" id="{00000000-0008-0000-0300-0000A6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1" name="Rectangle 1065">
          <a:extLst>
            <a:ext uri="{FF2B5EF4-FFF2-40B4-BE49-F238E27FC236}">
              <a16:creationId xmlns:a16="http://schemas.microsoft.com/office/drawing/2014/main" xmlns="" id="{00000000-0008-0000-0300-0000A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2" name="Rectangle 1066">
          <a:extLst>
            <a:ext uri="{FF2B5EF4-FFF2-40B4-BE49-F238E27FC236}">
              <a16:creationId xmlns:a16="http://schemas.microsoft.com/office/drawing/2014/main" xmlns="" id="{00000000-0008-0000-0300-0000A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3" name="Rectangle 1067">
          <a:extLst>
            <a:ext uri="{FF2B5EF4-FFF2-40B4-BE49-F238E27FC236}">
              <a16:creationId xmlns:a16="http://schemas.microsoft.com/office/drawing/2014/main" xmlns="" id="{00000000-0008-0000-0300-0000A9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4" name="Rectangle 1068">
          <a:extLst>
            <a:ext uri="{FF2B5EF4-FFF2-40B4-BE49-F238E27FC236}">
              <a16:creationId xmlns:a16="http://schemas.microsoft.com/office/drawing/2014/main" xmlns="" id="{00000000-0008-0000-0300-0000AA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5" name="Rectangle 1069">
          <a:extLst>
            <a:ext uri="{FF2B5EF4-FFF2-40B4-BE49-F238E27FC236}">
              <a16:creationId xmlns:a16="http://schemas.microsoft.com/office/drawing/2014/main" xmlns="" id="{00000000-0008-0000-0300-0000AB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6" name="Rectangle 1070">
          <a:extLst>
            <a:ext uri="{FF2B5EF4-FFF2-40B4-BE49-F238E27FC236}">
              <a16:creationId xmlns:a16="http://schemas.microsoft.com/office/drawing/2014/main" xmlns="" id="{00000000-0008-0000-0300-0000A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7" name="Rectangle 1071">
          <a:extLst>
            <a:ext uri="{FF2B5EF4-FFF2-40B4-BE49-F238E27FC236}">
              <a16:creationId xmlns:a16="http://schemas.microsoft.com/office/drawing/2014/main" xmlns="" id="{00000000-0008-0000-0300-0000A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8" name="Rectangle 1072">
          <a:extLst>
            <a:ext uri="{FF2B5EF4-FFF2-40B4-BE49-F238E27FC236}">
              <a16:creationId xmlns:a16="http://schemas.microsoft.com/office/drawing/2014/main" xmlns="" id="{00000000-0008-0000-0300-0000A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9" name="Rectangle 1073">
          <a:extLst>
            <a:ext uri="{FF2B5EF4-FFF2-40B4-BE49-F238E27FC236}">
              <a16:creationId xmlns:a16="http://schemas.microsoft.com/office/drawing/2014/main" xmlns="" id="{00000000-0008-0000-0300-0000A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0" name="Rectangle 1074">
          <a:extLst>
            <a:ext uri="{FF2B5EF4-FFF2-40B4-BE49-F238E27FC236}">
              <a16:creationId xmlns:a16="http://schemas.microsoft.com/office/drawing/2014/main" xmlns="" id="{00000000-0008-0000-0300-0000B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1" name="Rectangle 1075">
          <a:extLst>
            <a:ext uri="{FF2B5EF4-FFF2-40B4-BE49-F238E27FC236}">
              <a16:creationId xmlns:a16="http://schemas.microsoft.com/office/drawing/2014/main" xmlns="" id="{00000000-0008-0000-0300-0000B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2" name="Rectangle 1076">
          <a:extLst>
            <a:ext uri="{FF2B5EF4-FFF2-40B4-BE49-F238E27FC236}">
              <a16:creationId xmlns:a16="http://schemas.microsoft.com/office/drawing/2014/main" xmlns="" id="{00000000-0008-0000-0300-0000B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3" name="Rectangle 1077">
          <a:extLst>
            <a:ext uri="{FF2B5EF4-FFF2-40B4-BE49-F238E27FC236}">
              <a16:creationId xmlns:a16="http://schemas.microsoft.com/office/drawing/2014/main" xmlns="" id="{00000000-0008-0000-0300-0000B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4" name="Rectangle 1078">
          <a:extLst>
            <a:ext uri="{FF2B5EF4-FFF2-40B4-BE49-F238E27FC236}">
              <a16:creationId xmlns:a16="http://schemas.microsoft.com/office/drawing/2014/main" xmlns="" id="{00000000-0008-0000-0300-0000B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5" name="Rectangle 1079">
          <a:extLst>
            <a:ext uri="{FF2B5EF4-FFF2-40B4-BE49-F238E27FC236}">
              <a16:creationId xmlns:a16="http://schemas.microsoft.com/office/drawing/2014/main" xmlns="" id="{00000000-0008-0000-0300-0000B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6" name="Rectangle 1080">
          <a:extLst>
            <a:ext uri="{FF2B5EF4-FFF2-40B4-BE49-F238E27FC236}">
              <a16:creationId xmlns:a16="http://schemas.microsoft.com/office/drawing/2014/main" xmlns="" id="{00000000-0008-0000-0300-0000B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7" name="Rectangle 1081">
          <a:extLst>
            <a:ext uri="{FF2B5EF4-FFF2-40B4-BE49-F238E27FC236}">
              <a16:creationId xmlns:a16="http://schemas.microsoft.com/office/drawing/2014/main" xmlns="" id="{00000000-0008-0000-0300-0000B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8" name="Rectangle 1082">
          <a:extLst>
            <a:ext uri="{FF2B5EF4-FFF2-40B4-BE49-F238E27FC236}">
              <a16:creationId xmlns:a16="http://schemas.microsoft.com/office/drawing/2014/main" xmlns="" id="{00000000-0008-0000-0300-0000B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0" name="Rectangle 1084">
          <a:extLst>
            <a:ext uri="{FF2B5EF4-FFF2-40B4-BE49-F238E27FC236}">
              <a16:creationId xmlns:a16="http://schemas.microsoft.com/office/drawing/2014/main" xmlns="" id="{00000000-0008-0000-0300-0000B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1" name="Rectangle 1085">
          <a:extLst>
            <a:ext uri="{FF2B5EF4-FFF2-40B4-BE49-F238E27FC236}">
              <a16:creationId xmlns:a16="http://schemas.microsoft.com/office/drawing/2014/main" xmlns="" id="{00000000-0008-0000-0300-0000B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2" name="Rectangle 1086">
          <a:extLst>
            <a:ext uri="{FF2B5EF4-FFF2-40B4-BE49-F238E27FC236}">
              <a16:creationId xmlns:a16="http://schemas.microsoft.com/office/drawing/2014/main" xmlns="" id="{00000000-0008-0000-0300-0000B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3" name="Rectangle 1087">
          <a:extLst>
            <a:ext uri="{FF2B5EF4-FFF2-40B4-BE49-F238E27FC236}">
              <a16:creationId xmlns:a16="http://schemas.microsoft.com/office/drawing/2014/main" xmlns="" id="{00000000-0008-0000-0300-0000B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4" name="Rectangle 1088">
          <a:extLst>
            <a:ext uri="{FF2B5EF4-FFF2-40B4-BE49-F238E27FC236}">
              <a16:creationId xmlns:a16="http://schemas.microsoft.com/office/drawing/2014/main" xmlns="" id="{00000000-0008-0000-0300-0000B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5" name="Rectangle 1089">
          <a:extLst>
            <a:ext uri="{FF2B5EF4-FFF2-40B4-BE49-F238E27FC236}">
              <a16:creationId xmlns:a16="http://schemas.microsoft.com/office/drawing/2014/main" xmlns="" id="{00000000-0008-0000-0300-0000B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6" name="Rectangle 1090">
          <a:extLst>
            <a:ext uri="{FF2B5EF4-FFF2-40B4-BE49-F238E27FC236}">
              <a16:creationId xmlns:a16="http://schemas.microsoft.com/office/drawing/2014/main" xmlns="" id="{00000000-0008-0000-0300-0000C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7" name="Rectangle 1091">
          <a:extLst>
            <a:ext uri="{FF2B5EF4-FFF2-40B4-BE49-F238E27FC236}">
              <a16:creationId xmlns:a16="http://schemas.microsoft.com/office/drawing/2014/main" xmlns="" id="{00000000-0008-0000-0300-0000C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8" name="Rectangle 1092">
          <a:extLst>
            <a:ext uri="{FF2B5EF4-FFF2-40B4-BE49-F238E27FC236}">
              <a16:creationId xmlns:a16="http://schemas.microsoft.com/office/drawing/2014/main" xmlns="" id="{00000000-0008-0000-0300-0000C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9" name="Rectangle 1093">
          <a:extLst>
            <a:ext uri="{FF2B5EF4-FFF2-40B4-BE49-F238E27FC236}">
              <a16:creationId xmlns:a16="http://schemas.microsoft.com/office/drawing/2014/main" xmlns="" id="{00000000-0008-0000-0300-0000C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0" name="Rectangle 1094">
          <a:extLst>
            <a:ext uri="{FF2B5EF4-FFF2-40B4-BE49-F238E27FC236}">
              <a16:creationId xmlns:a16="http://schemas.microsoft.com/office/drawing/2014/main" xmlns="" id="{00000000-0008-0000-0300-0000C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1" name="Rectangle 1095">
          <a:extLst>
            <a:ext uri="{FF2B5EF4-FFF2-40B4-BE49-F238E27FC236}">
              <a16:creationId xmlns:a16="http://schemas.microsoft.com/office/drawing/2014/main" xmlns="" id="{00000000-0008-0000-0300-0000C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1" name="Rectangle 1058">
          <a:extLst>
            <a:ext uri="{FF2B5EF4-FFF2-40B4-BE49-F238E27FC236}">
              <a16:creationId xmlns:a16="http://schemas.microsoft.com/office/drawing/2014/main" xmlns="" id="{00000000-0008-0000-0300-0000B9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2" name="Rectangle 1059">
          <a:extLst>
            <a:ext uri="{FF2B5EF4-FFF2-40B4-BE49-F238E27FC236}">
              <a16:creationId xmlns:a16="http://schemas.microsoft.com/office/drawing/2014/main" xmlns="" id="{00000000-0008-0000-0300-0000BA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3" name="Rectangle 1060">
          <a:extLst>
            <a:ext uri="{FF2B5EF4-FFF2-40B4-BE49-F238E27FC236}">
              <a16:creationId xmlns:a16="http://schemas.microsoft.com/office/drawing/2014/main" xmlns="" id="{00000000-0008-0000-0300-0000BB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4" name="Rectangle 1061">
          <a:extLst>
            <a:ext uri="{FF2B5EF4-FFF2-40B4-BE49-F238E27FC236}">
              <a16:creationId xmlns:a16="http://schemas.microsoft.com/office/drawing/2014/main" xmlns="" id="{00000000-0008-0000-0300-0000BC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5" name="Rectangle 1062">
          <a:extLst>
            <a:ext uri="{FF2B5EF4-FFF2-40B4-BE49-F238E27FC236}">
              <a16:creationId xmlns:a16="http://schemas.microsoft.com/office/drawing/2014/main" xmlns="" id="{00000000-0008-0000-0300-0000B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6" name="Rectangle 1063">
          <a:extLst>
            <a:ext uri="{FF2B5EF4-FFF2-40B4-BE49-F238E27FC236}">
              <a16:creationId xmlns:a16="http://schemas.microsoft.com/office/drawing/2014/main" xmlns="" id="{00000000-0008-0000-0300-0000B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7" name="Rectangle 1064">
          <a:extLst>
            <a:ext uri="{FF2B5EF4-FFF2-40B4-BE49-F238E27FC236}">
              <a16:creationId xmlns:a16="http://schemas.microsoft.com/office/drawing/2014/main" xmlns="" id="{00000000-0008-0000-0300-0000B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8" name="Rectangle 1065">
          <a:extLst>
            <a:ext uri="{FF2B5EF4-FFF2-40B4-BE49-F238E27FC236}">
              <a16:creationId xmlns:a16="http://schemas.microsoft.com/office/drawing/2014/main" xmlns="" id="{00000000-0008-0000-0300-0000C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9" name="Rectangle 1066">
          <a:extLst>
            <a:ext uri="{FF2B5EF4-FFF2-40B4-BE49-F238E27FC236}">
              <a16:creationId xmlns:a16="http://schemas.microsoft.com/office/drawing/2014/main" xmlns="" id="{00000000-0008-0000-0300-0000C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0" name="Rectangle 1067">
          <a:extLst>
            <a:ext uri="{FF2B5EF4-FFF2-40B4-BE49-F238E27FC236}">
              <a16:creationId xmlns:a16="http://schemas.microsoft.com/office/drawing/2014/main" xmlns="" id="{00000000-0008-0000-0300-0000C2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1" name="Rectangle 1068">
          <a:extLst>
            <a:ext uri="{FF2B5EF4-FFF2-40B4-BE49-F238E27FC236}">
              <a16:creationId xmlns:a16="http://schemas.microsoft.com/office/drawing/2014/main" xmlns="" id="{00000000-0008-0000-0300-0000C3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52" name="Rectangle 1069">
          <a:extLst>
            <a:ext uri="{FF2B5EF4-FFF2-40B4-BE49-F238E27FC236}">
              <a16:creationId xmlns:a16="http://schemas.microsoft.com/office/drawing/2014/main" xmlns="" id="{00000000-0008-0000-0300-0000C4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3" name="Rectangle 1070">
          <a:extLst>
            <a:ext uri="{FF2B5EF4-FFF2-40B4-BE49-F238E27FC236}">
              <a16:creationId xmlns:a16="http://schemas.microsoft.com/office/drawing/2014/main" xmlns="" id="{00000000-0008-0000-0300-0000C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4" name="Rectangle 1071">
          <a:extLst>
            <a:ext uri="{FF2B5EF4-FFF2-40B4-BE49-F238E27FC236}">
              <a16:creationId xmlns:a16="http://schemas.microsoft.com/office/drawing/2014/main" xmlns="" id="{00000000-0008-0000-0300-0000C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5" name="Rectangle 1072">
          <a:extLst>
            <a:ext uri="{FF2B5EF4-FFF2-40B4-BE49-F238E27FC236}">
              <a16:creationId xmlns:a16="http://schemas.microsoft.com/office/drawing/2014/main" xmlns="" id="{00000000-0008-0000-0300-0000C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6" name="Rectangle 1073">
          <a:extLst>
            <a:ext uri="{FF2B5EF4-FFF2-40B4-BE49-F238E27FC236}">
              <a16:creationId xmlns:a16="http://schemas.microsoft.com/office/drawing/2014/main" xmlns="" id="{00000000-0008-0000-0300-0000C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7" name="Rectangle 1074">
          <a:extLst>
            <a:ext uri="{FF2B5EF4-FFF2-40B4-BE49-F238E27FC236}">
              <a16:creationId xmlns:a16="http://schemas.microsoft.com/office/drawing/2014/main" xmlns="" id="{00000000-0008-0000-0300-0000C9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8" name="Rectangle 1075">
          <a:extLst>
            <a:ext uri="{FF2B5EF4-FFF2-40B4-BE49-F238E27FC236}">
              <a16:creationId xmlns:a16="http://schemas.microsoft.com/office/drawing/2014/main" xmlns="" id="{00000000-0008-0000-0300-0000CA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9" name="Rectangle 1076">
          <a:extLst>
            <a:ext uri="{FF2B5EF4-FFF2-40B4-BE49-F238E27FC236}">
              <a16:creationId xmlns:a16="http://schemas.microsoft.com/office/drawing/2014/main" xmlns="" id="{00000000-0008-0000-0300-0000C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0" name="Rectangle 1077">
          <a:extLst>
            <a:ext uri="{FF2B5EF4-FFF2-40B4-BE49-F238E27FC236}">
              <a16:creationId xmlns:a16="http://schemas.microsoft.com/office/drawing/2014/main" xmlns="" id="{00000000-0008-0000-0300-0000C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1" name="Rectangle 1078">
          <a:extLst>
            <a:ext uri="{FF2B5EF4-FFF2-40B4-BE49-F238E27FC236}">
              <a16:creationId xmlns:a16="http://schemas.microsoft.com/office/drawing/2014/main" xmlns="" id="{00000000-0008-0000-0300-0000C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2" name="Rectangle 1079">
          <a:extLst>
            <a:ext uri="{FF2B5EF4-FFF2-40B4-BE49-F238E27FC236}">
              <a16:creationId xmlns:a16="http://schemas.microsoft.com/office/drawing/2014/main" xmlns="" id="{00000000-0008-0000-0300-0000C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3" name="Rectangle 1080">
          <a:extLst>
            <a:ext uri="{FF2B5EF4-FFF2-40B4-BE49-F238E27FC236}">
              <a16:creationId xmlns:a16="http://schemas.microsoft.com/office/drawing/2014/main" xmlns="" id="{00000000-0008-0000-0300-0000C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4" name="Rectangle 1081">
          <a:extLst>
            <a:ext uri="{FF2B5EF4-FFF2-40B4-BE49-F238E27FC236}">
              <a16:creationId xmlns:a16="http://schemas.microsoft.com/office/drawing/2014/main" xmlns="" id="{00000000-0008-0000-0300-0000D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5" name="Rectangle 1082">
          <a:extLst>
            <a:ext uri="{FF2B5EF4-FFF2-40B4-BE49-F238E27FC236}">
              <a16:creationId xmlns:a16="http://schemas.microsoft.com/office/drawing/2014/main" xmlns="" id="{00000000-0008-0000-0300-0000D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6" name="Rectangle 1083">
          <a:extLst>
            <a:ext uri="{FF2B5EF4-FFF2-40B4-BE49-F238E27FC236}">
              <a16:creationId xmlns:a16="http://schemas.microsoft.com/office/drawing/2014/main" xmlns="" id="{00000000-0008-0000-0300-0000D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7" name="Rectangle 1084">
          <a:extLst>
            <a:ext uri="{FF2B5EF4-FFF2-40B4-BE49-F238E27FC236}">
              <a16:creationId xmlns:a16="http://schemas.microsoft.com/office/drawing/2014/main" xmlns="" id="{00000000-0008-0000-0300-0000D3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8" name="Rectangle 1085">
          <a:extLst>
            <a:ext uri="{FF2B5EF4-FFF2-40B4-BE49-F238E27FC236}">
              <a16:creationId xmlns:a16="http://schemas.microsoft.com/office/drawing/2014/main" xmlns="" id="{00000000-0008-0000-0300-0000D4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9" name="Rectangle 1086">
          <a:extLst>
            <a:ext uri="{FF2B5EF4-FFF2-40B4-BE49-F238E27FC236}">
              <a16:creationId xmlns:a16="http://schemas.microsoft.com/office/drawing/2014/main" xmlns="" id="{00000000-0008-0000-0300-0000D5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0" name="Rectangle 1087">
          <a:extLst>
            <a:ext uri="{FF2B5EF4-FFF2-40B4-BE49-F238E27FC236}">
              <a16:creationId xmlns:a16="http://schemas.microsoft.com/office/drawing/2014/main" xmlns="" id="{00000000-0008-0000-0300-0000D6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1" name="Rectangle 1088">
          <a:extLst>
            <a:ext uri="{FF2B5EF4-FFF2-40B4-BE49-F238E27FC236}">
              <a16:creationId xmlns:a16="http://schemas.microsoft.com/office/drawing/2014/main" xmlns="" id="{00000000-0008-0000-0300-0000D7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2" name="Rectangle 1089">
          <a:extLst>
            <a:ext uri="{FF2B5EF4-FFF2-40B4-BE49-F238E27FC236}">
              <a16:creationId xmlns:a16="http://schemas.microsoft.com/office/drawing/2014/main" xmlns="" id="{00000000-0008-0000-0300-0000D8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3" name="Rectangle 1090">
          <a:extLst>
            <a:ext uri="{FF2B5EF4-FFF2-40B4-BE49-F238E27FC236}">
              <a16:creationId xmlns:a16="http://schemas.microsoft.com/office/drawing/2014/main" xmlns="" id="{00000000-0008-0000-0300-0000D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4" name="Rectangle 1091">
          <a:extLst>
            <a:ext uri="{FF2B5EF4-FFF2-40B4-BE49-F238E27FC236}">
              <a16:creationId xmlns:a16="http://schemas.microsoft.com/office/drawing/2014/main" xmlns="" id="{00000000-0008-0000-0300-0000D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5" name="Rectangle 1092">
          <a:extLst>
            <a:ext uri="{FF2B5EF4-FFF2-40B4-BE49-F238E27FC236}">
              <a16:creationId xmlns:a16="http://schemas.microsoft.com/office/drawing/2014/main" xmlns="" id="{00000000-0008-0000-0300-0000D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6" name="Rectangle 1093">
          <a:extLst>
            <a:ext uri="{FF2B5EF4-FFF2-40B4-BE49-F238E27FC236}">
              <a16:creationId xmlns:a16="http://schemas.microsoft.com/office/drawing/2014/main" xmlns="" id="{00000000-0008-0000-0300-0000D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7" name="Rectangle 1094">
          <a:extLst>
            <a:ext uri="{FF2B5EF4-FFF2-40B4-BE49-F238E27FC236}">
              <a16:creationId xmlns:a16="http://schemas.microsoft.com/office/drawing/2014/main" xmlns="" id="{00000000-0008-0000-0300-0000D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8" name="Rectangle 1095">
          <a:extLst>
            <a:ext uri="{FF2B5EF4-FFF2-40B4-BE49-F238E27FC236}">
              <a16:creationId xmlns:a16="http://schemas.microsoft.com/office/drawing/2014/main" xmlns="" id="{00000000-0008-0000-0300-0000D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79" name="Rectangle 1058">
          <a:extLst>
            <a:ext uri="{FF2B5EF4-FFF2-40B4-BE49-F238E27FC236}">
              <a16:creationId xmlns:a16="http://schemas.microsoft.com/office/drawing/2014/main" xmlns="" id="{00000000-0008-0000-0300-0000D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0" name="Rectangle 1059">
          <a:extLst>
            <a:ext uri="{FF2B5EF4-FFF2-40B4-BE49-F238E27FC236}">
              <a16:creationId xmlns:a16="http://schemas.microsoft.com/office/drawing/2014/main" xmlns="" id="{00000000-0008-0000-0300-0000E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1" name="Rectangle 1060">
          <a:extLst>
            <a:ext uri="{FF2B5EF4-FFF2-40B4-BE49-F238E27FC236}">
              <a16:creationId xmlns:a16="http://schemas.microsoft.com/office/drawing/2014/main" xmlns="" id="{00000000-0008-0000-0300-0000E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2" name="Rectangle 1061">
          <a:extLst>
            <a:ext uri="{FF2B5EF4-FFF2-40B4-BE49-F238E27FC236}">
              <a16:creationId xmlns:a16="http://schemas.microsoft.com/office/drawing/2014/main" xmlns="" id="{00000000-0008-0000-0300-0000E2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3" name="Rectangle 1062">
          <a:extLst>
            <a:ext uri="{FF2B5EF4-FFF2-40B4-BE49-F238E27FC236}">
              <a16:creationId xmlns:a16="http://schemas.microsoft.com/office/drawing/2014/main" xmlns="" id="{00000000-0008-0000-0300-0000E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4" name="Rectangle 1063">
          <a:extLst>
            <a:ext uri="{FF2B5EF4-FFF2-40B4-BE49-F238E27FC236}">
              <a16:creationId xmlns:a16="http://schemas.microsoft.com/office/drawing/2014/main" xmlns="" id="{00000000-0008-0000-0300-0000E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5" name="Rectangle 1064">
          <a:extLst>
            <a:ext uri="{FF2B5EF4-FFF2-40B4-BE49-F238E27FC236}">
              <a16:creationId xmlns:a16="http://schemas.microsoft.com/office/drawing/2014/main" xmlns="" id="{00000000-0008-0000-0300-0000E5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6" name="Rectangle 1065">
          <a:extLst>
            <a:ext uri="{FF2B5EF4-FFF2-40B4-BE49-F238E27FC236}">
              <a16:creationId xmlns:a16="http://schemas.microsoft.com/office/drawing/2014/main" xmlns="" id="{00000000-0008-0000-0300-0000E6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7" name="Rectangle 1066">
          <a:extLst>
            <a:ext uri="{FF2B5EF4-FFF2-40B4-BE49-F238E27FC236}">
              <a16:creationId xmlns:a16="http://schemas.microsoft.com/office/drawing/2014/main" xmlns="" id="{00000000-0008-0000-0300-0000E7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8" name="Rectangle 1067">
          <a:extLst>
            <a:ext uri="{FF2B5EF4-FFF2-40B4-BE49-F238E27FC236}">
              <a16:creationId xmlns:a16="http://schemas.microsoft.com/office/drawing/2014/main" xmlns="" id="{00000000-0008-0000-0300-0000E8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9" name="Rectangle 1068">
          <a:extLst>
            <a:ext uri="{FF2B5EF4-FFF2-40B4-BE49-F238E27FC236}">
              <a16:creationId xmlns:a16="http://schemas.microsoft.com/office/drawing/2014/main" xmlns="" id="{00000000-0008-0000-0300-0000E9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90" name="Rectangle 1069">
          <a:extLst>
            <a:ext uri="{FF2B5EF4-FFF2-40B4-BE49-F238E27FC236}">
              <a16:creationId xmlns:a16="http://schemas.microsoft.com/office/drawing/2014/main" xmlns="" id="{00000000-0008-0000-0300-0000EA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1" name="Rectangle 1070">
          <a:extLst>
            <a:ext uri="{FF2B5EF4-FFF2-40B4-BE49-F238E27FC236}">
              <a16:creationId xmlns:a16="http://schemas.microsoft.com/office/drawing/2014/main" xmlns="" id="{00000000-0008-0000-0300-0000E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2" name="Rectangle 1071">
          <a:extLst>
            <a:ext uri="{FF2B5EF4-FFF2-40B4-BE49-F238E27FC236}">
              <a16:creationId xmlns:a16="http://schemas.microsoft.com/office/drawing/2014/main" xmlns="" id="{00000000-0008-0000-0300-0000E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3" name="Rectangle 1072">
          <a:extLst>
            <a:ext uri="{FF2B5EF4-FFF2-40B4-BE49-F238E27FC236}">
              <a16:creationId xmlns:a16="http://schemas.microsoft.com/office/drawing/2014/main" xmlns="" id="{00000000-0008-0000-0300-0000E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4" name="Rectangle 1073">
          <a:extLst>
            <a:ext uri="{FF2B5EF4-FFF2-40B4-BE49-F238E27FC236}">
              <a16:creationId xmlns:a16="http://schemas.microsoft.com/office/drawing/2014/main" xmlns="" id="{00000000-0008-0000-0300-0000E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5" name="Rectangle 1074">
          <a:extLst>
            <a:ext uri="{FF2B5EF4-FFF2-40B4-BE49-F238E27FC236}">
              <a16:creationId xmlns:a16="http://schemas.microsoft.com/office/drawing/2014/main" xmlns="" id="{00000000-0008-0000-0300-0000E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6" name="Rectangle 1075">
          <a:extLst>
            <a:ext uri="{FF2B5EF4-FFF2-40B4-BE49-F238E27FC236}">
              <a16:creationId xmlns:a16="http://schemas.microsoft.com/office/drawing/2014/main" xmlns="" id="{00000000-0008-0000-0300-0000F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7" name="Rectangle 1076">
          <a:extLst>
            <a:ext uri="{FF2B5EF4-FFF2-40B4-BE49-F238E27FC236}">
              <a16:creationId xmlns:a16="http://schemas.microsoft.com/office/drawing/2014/main" xmlns="" id="{00000000-0008-0000-0300-0000F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8" name="Rectangle 1077">
          <a:extLst>
            <a:ext uri="{FF2B5EF4-FFF2-40B4-BE49-F238E27FC236}">
              <a16:creationId xmlns:a16="http://schemas.microsoft.com/office/drawing/2014/main" xmlns="" id="{00000000-0008-0000-0300-0000F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9" name="Rectangle 1078">
          <a:extLst>
            <a:ext uri="{FF2B5EF4-FFF2-40B4-BE49-F238E27FC236}">
              <a16:creationId xmlns:a16="http://schemas.microsoft.com/office/drawing/2014/main" xmlns="" id="{00000000-0008-0000-0300-0000F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0" name="Rectangle 1079">
          <a:extLst>
            <a:ext uri="{FF2B5EF4-FFF2-40B4-BE49-F238E27FC236}">
              <a16:creationId xmlns:a16="http://schemas.microsoft.com/office/drawing/2014/main" xmlns="" id="{00000000-0008-0000-0300-0000F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1" name="Rectangle 1080">
          <a:extLst>
            <a:ext uri="{FF2B5EF4-FFF2-40B4-BE49-F238E27FC236}">
              <a16:creationId xmlns:a16="http://schemas.microsoft.com/office/drawing/2014/main" xmlns="" id="{00000000-0008-0000-0300-0000F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2" name="Rectangle 1081">
          <a:extLst>
            <a:ext uri="{FF2B5EF4-FFF2-40B4-BE49-F238E27FC236}">
              <a16:creationId xmlns:a16="http://schemas.microsoft.com/office/drawing/2014/main" xmlns="" id="{00000000-0008-0000-0300-0000F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3" name="Rectangle 1082">
          <a:extLst>
            <a:ext uri="{FF2B5EF4-FFF2-40B4-BE49-F238E27FC236}">
              <a16:creationId xmlns:a16="http://schemas.microsoft.com/office/drawing/2014/main" xmlns="" id="{00000000-0008-0000-0300-0000F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4" name="Rectangle 1083">
          <a:extLst>
            <a:ext uri="{FF2B5EF4-FFF2-40B4-BE49-F238E27FC236}">
              <a16:creationId xmlns:a16="http://schemas.microsoft.com/office/drawing/2014/main" xmlns="" id="{00000000-0008-0000-0300-0000F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5" name="Rectangle 1084">
          <a:extLst>
            <a:ext uri="{FF2B5EF4-FFF2-40B4-BE49-F238E27FC236}">
              <a16:creationId xmlns:a16="http://schemas.microsoft.com/office/drawing/2014/main" xmlns="" id="{00000000-0008-0000-0300-0000F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6" name="Rectangle 1085">
          <a:extLst>
            <a:ext uri="{FF2B5EF4-FFF2-40B4-BE49-F238E27FC236}">
              <a16:creationId xmlns:a16="http://schemas.microsoft.com/office/drawing/2014/main" xmlns="" id="{00000000-0008-0000-0300-0000F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7" name="Rectangle 1086">
          <a:extLst>
            <a:ext uri="{FF2B5EF4-FFF2-40B4-BE49-F238E27FC236}">
              <a16:creationId xmlns:a16="http://schemas.microsoft.com/office/drawing/2014/main" xmlns="" id="{00000000-0008-0000-0300-0000F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8" name="Rectangle 1087">
          <a:extLst>
            <a:ext uri="{FF2B5EF4-FFF2-40B4-BE49-F238E27FC236}">
              <a16:creationId xmlns:a16="http://schemas.microsoft.com/office/drawing/2014/main" xmlns="" id="{00000000-0008-0000-0300-0000F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9" name="Rectangle 1088">
          <a:extLst>
            <a:ext uri="{FF2B5EF4-FFF2-40B4-BE49-F238E27FC236}">
              <a16:creationId xmlns:a16="http://schemas.microsoft.com/office/drawing/2014/main" xmlns="" id="{00000000-0008-0000-0300-0000F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0" name="Rectangle 1089">
          <a:extLst>
            <a:ext uri="{FF2B5EF4-FFF2-40B4-BE49-F238E27FC236}">
              <a16:creationId xmlns:a16="http://schemas.microsoft.com/office/drawing/2014/main" xmlns="" id="{00000000-0008-0000-0300-0000F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1" name="Rectangle 1090">
          <a:extLst>
            <a:ext uri="{FF2B5EF4-FFF2-40B4-BE49-F238E27FC236}">
              <a16:creationId xmlns:a16="http://schemas.microsoft.com/office/drawing/2014/main" xmlns="" id="{00000000-0008-0000-0300-0000FF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2" name="Rectangle 1091">
          <a:extLst>
            <a:ext uri="{FF2B5EF4-FFF2-40B4-BE49-F238E27FC236}">
              <a16:creationId xmlns:a16="http://schemas.microsoft.com/office/drawing/2014/main" xmlns="" id="{00000000-0008-0000-0300-00000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3" name="Rectangle 1092">
          <a:extLst>
            <a:ext uri="{FF2B5EF4-FFF2-40B4-BE49-F238E27FC236}">
              <a16:creationId xmlns:a16="http://schemas.microsoft.com/office/drawing/2014/main" xmlns="" id="{00000000-0008-0000-0300-00000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4" name="Rectangle 1093">
          <a:extLst>
            <a:ext uri="{FF2B5EF4-FFF2-40B4-BE49-F238E27FC236}">
              <a16:creationId xmlns:a16="http://schemas.microsoft.com/office/drawing/2014/main" xmlns="" id="{00000000-0008-0000-0300-00000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5" name="Rectangle 1094">
          <a:extLst>
            <a:ext uri="{FF2B5EF4-FFF2-40B4-BE49-F238E27FC236}">
              <a16:creationId xmlns:a16="http://schemas.microsoft.com/office/drawing/2014/main" xmlns="" id="{00000000-0008-0000-0300-00000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6" name="Rectangle 1095">
          <a:extLst>
            <a:ext uri="{FF2B5EF4-FFF2-40B4-BE49-F238E27FC236}">
              <a16:creationId xmlns:a16="http://schemas.microsoft.com/office/drawing/2014/main" xmlns="" id="{00000000-0008-0000-0300-00000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17" name="Rectangle 1058">
          <a:extLst>
            <a:ext uri="{FF2B5EF4-FFF2-40B4-BE49-F238E27FC236}">
              <a16:creationId xmlns:a16="http://schemas.microsoft.com/office/drawing/2014/main" xmlns="" id="{00000000-0008-0000-0300-000005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18" name="Rectangle 1059">
          <a:extLst>
            <a:ext uri="{FF2B5EF4-FFF2-40B4-BE49-F238E27FC236}">
              <a16:creationId xmlns:a16="http://schemas.microsoft.com/office/drawing/2014/main" xmlns="" id="{00000000-0008-0000-0300-00000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19" name="Rectangle 1060">
          <a:extLst>
            <a:ext uri="{FF2B5EF4-FFF2-40B4-BE49-F238E27FC236}">
              <a16:creationId xmlns:a16="http://schemas.microsoft.com/office/drawing/2014/main" xmlns="" id="{00000000-0008-0000-0300-00000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0" name="Rectangle 1061">
          <a:extLst>
            <a:ext uri="{FF2B5EF4-FFF2-40B4-BE49-F238E27FC236}">
              <a16:creationId xmlns:a16="http://schemas.microsoft.com/office/drawing/2014/main" xmlns="" id="{00000000-0008-0000-0300-00000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1" name="Rectangle 1062">
          <a:extLst>
            <a:ext uri="{FF2B5EF4-FFF2-40B4-BE49-F238E27FC236}">
              <a16:creationId xmlns:a16="http://schemas.microsoft.com/office/drawing/2014/main" xmlns="" id="{00000000-0008-0000-0300-00000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2" name="Rectangle 1063">
          <a:extLst>
            <a:ext uri="{FF2B5EF4-FFF2-40B4-BE49-F238E27FC236}">
              <a16:creationId xmlns:a16="http://schemas.microsoft.com/office/drawing/2014/main" xmlns="" id="{00000000-0008-0000-0300-00000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3" name="Rectangle 1064">
          <a:extLst>
            <a:ext uri="{FF2B5EF4-FFF2-40B4-BE49-F238E27FC236}">
              <a16:creationId xmlns:a16="http://schemas.microsoft.com/office/drawing/2014/main" xmlns="" id="{00000000-0008-0000-0300-00000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4" name="Rectangle 1065">
          <a:extLst>
            <a:ext uri="{FF2B5EF4-FFF2-40B4-BE49-F238E27FC236}">
              <a16:creationId xmlns:a16="http://schemas.microsoft.com/office/drawing/2014/main" xmlns="" id="{00000000-0008-0000-0300-00000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5" name="Rectangle 1066">
          <a:extLst>
            <a:ext uri="{FF2B5EF4-FFF2-40B4-BE49-F238E27FC236}">
              <a16:creationId xmlns:a16="http://schemas.microsoft.com/office/drawing/2014/main" xmlns="" id="{00000000-0008-0000-0300-00000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6" name="Rectangle 1067">
          <a:extLst>
            <a:ext uri="{FF2B5EF4-FFF2-40B4-BE49-F238E27FC236}">
              <a16:creationId xmlns:a16="http://schemas.microsoft.com/office/drawing/2014/main" xmlns="" id="{00000000-0008-0000-0300-00000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7" name="Rectangle 1068">
          <a:extLst>
            <a:ext uri="{FF2B5EF4-FFF2-40B4-BE49-F238E27FC236}">
              <a16:creationId xmlns:a16="http://schemas.microsoft.com/office/drawing/2014/main" xmlns="" id="{00000000-0008-0000-0300-00000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8" name="Rectangle 1069">
          <a:extLst>
            <a:ext uri="{FF2B5EF4-FFF2-40B4-BE49-F238E27FC236}">
              <a16:creationId xmlns:a16="http://schemas.microsoft.com/office/drawing/2014/main" xmlns="" id="{00000000-0008-0000-0300-00001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9" name="Rectangle 1070">
          <a:extLst>
            <a:ext uri="{FF2B5EF4-FFF2-40B4-BE49-F238E27FC236}">
              <a16:creationId xmlns:a16="http://schemas.microsoft.com/office/drawing/2014/main" xmlns="" id="{00000000-0008-0000-0300-00001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0" name="Rectangle 1071">
          <a:extLst>
            <a:ext uri="{FF2B5EF4-FFF2-40B4-BE49-F238E27FC236}">
              <a16:creationId xmlns:a16="http://schemas.microsoft.com/office/drawing/2014/main" xmlns="" id="{00000000-0008-0000-0300-00001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1" name="Rectangle 1072">
          <a:extLst>
            <a:ext uri="{FF2B5EF4-FFF2-40B4-BE49-F238E27FC236}">
              <a16:creationId xmlns:a16="http://schemas.microsoft.com/office/drawing/2014/main" xmlns="" id="{00000000-0008-0000-0300-00001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2" name="Rectangle 1073">
          <a:extLst>
            <a:ext uri="{FF2B5EF4-FFF2-40B4-BE49-F238E27FC236}">
              <a16:creationId xmlns:a16="http://schemas.microsoft.com/office/drawing/2014/main" xmlns="" id="{00000000-0008-0000-0300-00001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3" name="Rectangle 1074">
          <a:extLst>
            <a:ext uri="{FF2B5EF4-FFF2-40B4-BE49-F238E27FC236}">
              <a16:creationId xmlns:a16="http://schemas.microsoft.com/office/drawing/2014/main" xmlns="" id="{00000000-0008-0000-0300-00001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4" name="Rectangle 1075">
          <a:extLst>
            <a:ext uri="{FF2B5EF4-FFF2-40B4-BE49-F238E27FC236}">
              <a16:creationId xmlns:a16="http://schemas.microsoft.com/office/drawing/2014/main" xmlns="" id="{00000000-0008-0000-0300-00001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5" name="Rectangle 1076">
          <a:extLst>
            <a:ext uri="{FF2B5EF4-FFF2-40B4-BE49-F238E27FC236}">
              <a16:creationId xmlns:a16="http://schemas.microsoft.com/office/drawing/2014/main" xmlns="" id="{00000000-0008-0000-0300-00001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6" name="Rectangle 1077">
          <a:extLst>
            <a:ext uri="{FF2B5EF4-FFF2-40B4-BE49-F238E27FC236}">
              <a16:creationId xmlns:a16="http://schemas.microsoft.com/office/drawing/2014/main" xmlns="" id="{00000000-0008-0000-0300-00001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7" name="Rectangle 1078">
          <a:extLst>
            <a:ext uri="{FF2B5EF4-FFF2-40B4-BE49-F238E27FC236}">
              <a16:creationId xmlns:a16="http://schemas.microsoft.com/office/drawing/2014/main" xmlns="" id="{00000000-0008-0000-0300-00001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8" name="Rectangle 1079">
          <a:extLst>
            <a:ext uri="{FF2B5EF4-FFF2-40B4-BE49-F238E27FC236}">
              <a16:creationId xmlns:a16="http://schemas.microsoft.com/office/drawing/2014/main" xmlns="" id="{00000000-0008-0000-0300-00001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9" name="Rectangle 1080">
          <a:extLst>
            <a:ext uri="{FF2B5EF4-FFF2-40B4-BE49-F238E27FC236}">
              <a16:creationId xmlns:a16="http://schemas.microsoft.com/office/drawing/2014/main" xmlns="" id="{00000000-0008-0000-0300-00001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0" name="Rectangle 1081">
          <a:extLst>
            <a:ext uri="{FF2B5EF4-FFF2-40B4-BE49-F238E27FC236}">
              <a16:creationId xmlns:a16="http://schemas.microsoft.com/office/drawing/2014/main" xmlns="" id="{00000000-0008-0000-0300-00001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41" name="Rectangle 1082">
          <a:extLst>
            <a:ext uri="{FF2B5EF4-FFF2-40B4-BE49-F238E27FC236}">
              <a16:creationId xmlns:a16="http://schemas.microsoft.com/office/drawing/2014/main" xmlns="" id="{00000000-0008-0000-0300-00001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2" name="Rectangle 1083">
          <a:extLst>
            <a:ext uri="{FF2B5EF4-FFF2-40B4-BE49-F238E27FC236}">
              <a16:creationId xmlns:a16="http://schemas.microsoft.com/office/drawing/2014/main" xmlns="" id="{00000000-0008-0000-0300-00001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3" name="Rectangle 1084">
          <a:extLst>
            <a:ext uri="{FF2B5EF4-FFF2-40B4-BE49-F238E27FC236}">
              <a16:creationId xmlns:a16="http://schemas.microsoft.com/office/drawing/2014/main" xmlns="" id="{00000000-0008-0000-0300-00001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4" name="Rectangle 1085">
          <a:extLst>
            <a:ext uri="{FF2B5EF4-FFF2-40B4-BE49-F238E27FC236}">
              <a16:creationId xmlns:a16="http://schemas.microsoft.com/office/drawing/2014/main" xmlns="" id="{00000000-0008-0000-0300-00002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5" name="Rectangle 1086">
          <a:extLst>
            <a:ext uri="{FF2B5EF4-FFF2-40B4-BE49-F238E27FC236}">
              <a16:creationId xmlns:a16="http://schemas.microsoft.com/office/drawing/2014/main" xmlns="" id="{00000000-0008-0000-0300-00002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6" name="Rectangle 1087">
          <a:extLst>
            <a:ext uri="{FF2B5EF4-FFF2-40B4-BE49-F238E27FC236}">
              <a16:creationId xmlns:a16="http://schemas.microsoft.com/office/drawing/2014/main" xmlns="" id="{00000000-0008-0000-0300-00002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7" name="Rectangle 1088">
          <a:extLst>
            <a:ext uri="{FF2B5EF4-FFF2-40B4-BE49-F238E27FC236}">
              <a16:creationId xmlns:a16="http://schemas.microsoft.com/office/drawing/2014/main" xmlns="" id="{00000000-0008-0000-0300-00002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8" name="Rectangle 1089">
          <a:extLst>
            <a:ext uri="{FF2B5EF4-FFF2-40B4-BE49-F238E27FC236}">
              <a16:creationId xmlns:a16="http://schemas.microsoft.com/office/drawing/2014/main" xmlns="" id="{00000000-0008-0000-0300-00002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9" name="Rectangle 1090">
          <a:extLst>
            <a:ext uri="{FF2B5EF4-FFF2-40B4-BE49-F238E27FC236}">
              <a16:creationId xmlns:a16="http://schemas.microsoft.com/office/drawing/2014/main" xmlns="" id="{00000000-0008-0000-0300-00002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0" name="Rectangle 1091">
          <a:extLst>
            <a:ext uri="{FF2B5EF4-FFF2-40B4-BE49-F238E27FC236}">
              <a16:creationId xmlns:a16="http://schemas.microsoft.com/office/drawing/2014/main" xmlns="" id="{00000000-0008-0000-0300-00002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1" name="Rectangle 1092">
          <a:extLst>
            <a:ext uri="{FF2B5EF4-FFF2-40B4-BE49-F238E27FC236}">
              <a16:creationId xmlns:a16="http://schemas.microsoft.com/office/drawing/2014/main" xmlns="" id="{00000000-0008-0000-0300-00002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2" name="Rectangle 1093">
          <a:extLst>
            <a:ext uri="{FF2B5EF4-FFF2-40B4-BE49-F238E27FC236}">
              <a16:creationId xmlns:a16="http://schemas.microsoft.com/office/drawing/2014/main" xmlns="" id="{00000000-0008-0000-0300-00002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3" name="Rectangle 1094">
          <a:extLst>
            <a:ext uri="{FF2B5EF4-FFF2-40B4-BE49-F238E27FC236}">
              <a16:creationId xmlns:a16="http://schemas.microsoft.com/office/drawing/2014/main" xmlns="" id="{00000000-0008-0000-0300-00002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4" name="Rectangle 1095">
          <a:extLst>
            <a:ext uri="{FF2B5EF4-FFF2-40B4-BE49-F238E27FC236}">
              <a16:creationId xmlns:a16="http://schemas.microsoft.com/office/drawing/2014/main" xmlns="" id="{00000000-0008-0000-0300-00002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5" name="Rectangle 1058">
          <a:extLst>
            <a:ext uri="{FF2B5EF4-FFF2-40B4-BE49-F238E27FC236}">
              <a16:creationId xmlns:a16="http://schemas.microsoft.com/office/drawing/2014/main" xmlns="" id="{00000000-0008-0000-0300-00002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6" name="Rectangle 1059">
          <a:extLst>
            <a:ext uri="{FF2B5EF4-FFF2-40B4-BE49-F238E27FC236}">
              <a16:creationId xmlns:a16="http://schemas.microsoft.com/office/drawing/2014/main" xmlns="" id="{00000000-0008-0000-0300-00002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57" name="Rectangle 1060">
          <a:extLst>
            <a:ext uri="{FF2B5EF4-FFF2-40B4-BE49-F238E27FC236}">
              <a16:creationId xmlns:a16="http://schemas.microsoft.com/office/drawing/2014/main" xmlns="" id="{00000000-0008-0000-0300-00002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8" name="Rectangle 1061">
          <a:extLst>
            <a:ext uri="{FF2B5EF4-FFF2-40B4-BE49-F238E27FC236}">
              <a16:creationId xmlns:a16="http://schemas.microsoft.com/office/drawing/2014/main" xmlns="" id="{00000000-0008-0000-0300-00002E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9" name="Rectangle 1062">
          <a:extLst>
            <a:ext uri="{FF2B5EF4-FFF2-40B4-BE49-F238E27FC236}">
              <a16:creationId xmlns:a16="http://schemas.microsoft.com/office/drawing/2014/main" xmlns="" id="{00000000-0008-0000-0300-00002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0" name="Rectangle 1063">
          <a:extLst>
            <a:ext uri="{FF2B5EF4-FFF2-40B4-BE49-F238E27FC236}">
              <a16:creationId xmlns:a16="http://schemas.microsoft.com/office/drawing/2014/main" xmlns="" id="{00000000-0008-0000-0300-00003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1" name="Rectangle 1064">
          <a:extLst>
            <a:ext uri="{FF2B5EF4-FFF2-40B4-BE49-F238E27FC236}">
              <a16:creationId xmlns:a16="http://schemas.microsoft.com/office/drawing/2014/main" xmlns="" id="{00000000-0008-0000-0300-00003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2" name="Rectangle 1065">
          <a:extLst>
            <a:ext uri="{FF2B5EF4-FFF2-40B4-BE49-F238E27FC236}">
              <a16:creationId xmlns:a16="http://schemas.microsoft.com/office/drawing/2014/main" xmlns="" id="{00000000-0008-0000-0300-00003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3" name="Rectangle 1066">
          <a:extLst>
            <a:ext uri="{FF2B5EF4-FFF2-40B4-BE49-F238E27FC236}">
              <a16:creationId xmlns:a16="http://schemas.microsoft.com/office/drawing/2014/main" xmlns="" id="{00000000-0008-0000-0300-00003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4" name="Rectangle 1067">
          <a:extLst>
            <a:ext uri="{FF2B5EF4-FFF2-40B4-BE49-F238E27FC236}">
              <a16:creationId xmlns:a16="http://schemas.microsoft.com/office/drawing/2014/main" xmlns="" id="{00000000-0008-0000-0300-00003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5" name="Rectangle 1068">
          <a:extLst>
            <a:ext uri="{FF2B5EF4-FFF2-40B4-BE49-F238E27FC236}">
              <a16:creationId xmlns:a16="http://schemas.microsoft.com/office/drawing/2014/main" xmlns="" id="{00000000-0008-0000-0300-00003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6" name="Rectangle 1069">
          <a:extLst>
            <a:ext uri="{FF2B5EF4-FFF2-40B4-BE49-F238E27FC236}">
              <a16:creationId xmlns:a16="http://schemas.microsoft.com/office/drawing/2014/main" xmlns="" id="{00000000-0008-0000-0300-000036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7" name="Rectangle 1070">
          <a:extLst>
            <a:ext uri="{FF2B5EF4-FFF2-40B4-BE49-F238E27FC236}">
              <a16:creationId xmlns:a16="http://schemas.microsoft.com/office/drawing/2014/main" xmlns="" id="{00000000-0008-0000-0300-00003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8" name="Rectangle 1071">
          <a:extLst>
            <a:ext uri="{FF2B5EF4-FFF2-40B4-BE49-F238E27FC236}">
              <a16:creationId xmlns:a16="http://schemas.microsoft.com/office/drawing/2014/main" xmlns="" id="{00000000-0008-0000-0300-00003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9" name="Rectangle 1072">
          <a:extLst>
            <a:ext uri="{FF2B5EF4-FFF2-40B4-BE49-F238E27FC236}">
              <a16:creationId xmlns:a16="http://schemas.microsoft.com/office/drawing/2014/main" xmlns="" id="{00000000-0008-0000-0300-00003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0" name="Rectangle 1073">
          <a:extLst>
            <a:ext uri="{FF2B5EF4-FFF2-40B4-BE49-F238E27FC236}">
              <a16:creationId xmlns:a16="http://schemas.microsoft.com/office/drawing/2014/main" xmlns="" id="{00000000-0008-0000-0300-00003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1" name="Rectangle 1074">
          <a:extLst>
            <a:ext uri="{FF2B5EF4-FFF2-40B4-BE49-F238E27FC236}">
              <a16:creationId xmlns:a16="http://schemas.microsoft.com/office/drawing/2014/main" xmlns="" id="{00000000-0008-0000-0300-00003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2" name="Rectangle 1075">
          <a:extLst>
            <a:ext uri="{FF2B5EF4-FFF2-40B4-BE49-F238E27FC236}">
              <a16:creationId xmlns:a16="http://schemas.microsoft.com/office/drawing/2014/main" xmlns="" id="{00000000-0008-0000-0300-00003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3" name="Rectangle 1076">
          <a:extLst>
            <a:ext uri="{FF2B5EF4-FFF2-40B4-BE49-F238E27FC236}">
              <a16:creationId xmlns:a16="http://schemas.microsoft.com/office/drawing/2014/main" xmlns="" id="{00000000-0008-0000-0300-00003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4" name="Rectangle 1077">
          <a:extLst>
            <a:ext uri="{FF2B5EF4-FFF2-40B4-BE49-F238E27FC236}">
              <a16:creationId xmlns:a16="http://schemas.microsoft.com/office/drawing/2014/main" xmlns="" id="{00000000-0008-0000-0300-00003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5" name="Rectangle 1078">
          <a:extLst>
            <a:ext uri="{FF2B5EF4-FFF2-40B4-BE49-F238E27FC236}">
              <a16:creationId xmlns:a16="http://schemas.microsoft.com/office/drawing/2014/main" xmlns="" id="{00000000-0008-0000-0300-00003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6" name="Rectangle 1079">
          <a:extLst>
            <a:ext uri="{FF2B5EF4-FFF2-40B4-BE49-F238E27FC236}">
              <a16:creationId xmlns:a16="http://schemas.microsoft.com/office/drawing/2014/main" xmlns="" id="{00000000-0008-0000-0300-00004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7" name="Rectangle 1080">
          <a:extLst>
            <a:ext uri="{FF2B5EF4-FFF2-40B4-BE49-F238E27FC236}">
              <a16:creationId xmlns:a16="http://schemas.microsoft.com/office/drawing/2014/main" xmlns="" id="{00000000-0008-0000-0300-00004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8" name="Rectangle 1081">
          <a:extLst>
            <a:ext uri="{FF2B5EF4-FFF2-40B4-BE49-F238E27FC236}">
              <a16:creationId xmlns:a16="http://schemas.microsoft.com/office/drawing/2014/main" xmlns="" id="{00000000-0008-0000-0300-00004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9" name="Rectangle 1082">
          <a:extLst>
            <a:ext uri="{FF2B5EF4-FFF2-40B4-BE49-F238E27FC236}">
              <a16:creationId xmlns:a16="http://schemas.microsoft.com/office/drawing/2014/main" xmlns="" id="{00000000-0008-0000-0300-00004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80" name="Rectangle 1083">
          <a:extLst>
            <a:ext uri="{FF2B5EF4-FFF2-40B4-BE49-F238E27FC236}">
              <a16:creationId xmlns:a16="http://schemas.microsoft.com/office/drawing/2014/main" xmlns="" id="{00000000-0008-0000-0300-00004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1" name="Rectangle 1084">
          <a:extLst>
            <a:ext uri="{FF2B5EF4-FFF2-40B4-BE49-F238E27FC236}">
              <a16:creationId xmlns:a16="http://schemas.microsoft.com/office/drawing/2014/main" xmlns="" id="{00000000-0008-0000-0300-00004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2" name="Rectangle 1085">
          <a:extLst>
            <a:ext uri="{FF2B5EF4-FFF2-40B4-BE49-F238E27FC236}">
              <a16:creationId xmlns:a16="http://schemas.microsoft.com/office/drawing/2014/main" xmlns="" id="{00000000-0008-0000-0300-00004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3" name="Rectangle 1086">
          <a:extLst>
            <a:ext uri="{FF2B5EF4-FFF2-40B4-BE49-F238E27FC236}">
              <a16:creationId xmlns:a16="http://schemas.microsoft.com/office/drawing/2014/main" xmlns="" id="{00000000-0008-0000-0300-00004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4" name="Rectangle 1087">
          <a:extLst>
            <a:ext uri="{FF2B5EF4-FFF2-40B4-BE49-F238E27FC236}">
              <a16:creationId xmlns:a16="http://schemas.microsoft.com/office/drawing/2014/main" xmlns="" id="{00000000-0008-0000-0300-00004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5" name="Rectangle 1088">
          <a:extLst>
            <a:ext uri="{FF2B5EF4-FFF2-40B4-BE49-F238E27FC236}">
              <a16:creationId xmlns:a16="http://schemas.microsoft.com/office/drawing/2014/main" xmlns="" id="{00000000-0008-0000-0300-00004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6" name="Rectangle 1089">
          <a:extLst>
            <a:ext uri="{FF2B5EF4-FFF2-40B4-BE49-F238E27FC236}">
              <a16:creationId xmlns:a16="http://schemas.microsoft.com/office/drawing/2014/main" xmlns="" id="{00000000-0008-0000-0300-00004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7" name="Rectangle 1090">
          <a:extLst>
            <a:ext uri="{FF2B5EF4-FFF2-40B4-BE49-F238E27FC236}">
              <a16:creationId xmlns:a16="http://schemas.microsoft.com/office/drawing/2014/main" xmlns="" id="{00000000-0008-0000-0300-00004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8" name="Rectangle 1091">
          <a:extLst>
            <a:ext uri="{FF2B5EF4-FFF2-40B4-BE49-F238E27FC236}">
              <a16:creationId xmlns:a16="http://schemas.microsoft.com/office/drawing/2014/main" xmlns="" id="{00000000-0008-0000-0300-00004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9" name="Rectangle 1092">
          <a:extLst>
            <a:ext uri="{FF2B5EF4-FFF2-40B4-BE49-F238E27FC236}">
              <a16:creationId xmlns:a16="http://schemas.microsoft.com/office/drawing/2014/main" xmlns="" id="{00000000-0008-0000-0300-00004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0" name="Rectangle 1093">
          <a:extLst>
            <a:ext uri="{FF2B5EF4-FFF2-40B4-BE49-F238E27FC236}">
              <a16:creationId xmlns:a16="http://schemas.microsoft.com/office/drawing/2014/main" xmlns="" id="{00000000-0008-0000-0300-00004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1" name="Rectangle 1094">
          <a:extLst>
            <a:ext uri="{FF2B5EF4-FFF2-40B4-BE49-F238E27FC236}">
              <a16:creationId xmlns:a16="http://schemas.microsoft.com/office/drawing/2014/main" xmlns="" id="{00000000-0008-0000-0300-00004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2" name="Rectangle 1095">
          <a:extLst>
            <a:ext uri="{FF2B5EF4-FFF2-40B4-BE49-F238E27FC236}">
              <a16:creationId xmlns:a16="http://schemas.microsoft.com/office/drawing/2014/main" xmlns="" id="{00000000-0008-0000-0300-00005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3" name="Rectangle 1058">
          <a:extLst>
            <a:ext uri="{FF2B5EF4-FFF2-40B4-BE49-F238E27FC236}">
              <a16:creationId xmlns:a16="http://schemas.microsoft.com/office/drawing/2014/main" xmlns="" id="{00000000-0008-0000-0300-00005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4" name="Rectangle 1059">
          <a:extLst>
            <a:ext uri="{FF2B5EF4-FFF2-40B4-BE49-F238E27FC236}">
              <a16:creationId xmlns:a16="http://schemas.microsoft.com/office/drawing/2014/main" xmlns="" id="{00000000-0008-0000-0300-00005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5" name="Rectangle 1060">
          <a:extLst>
            <a:ext uri="{FF2B5EF4-FFF2-40B4-BE49-F238E27FC236}">
              <a16:creationId xmlns:a16="http://schemas.microsoft.com/office/drawing/2014/main" xmlns="" id="{00000000-0008-0000-0300-00005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6" name="Rectangle 1061">
          <a:extLst>
            <a:ext uri="{FF2B5EF4-FFF2-40B4-BE49-F238E27FC236}">
              <a16:creationId xmlns:a16="http://schemas.microsoft.com/office/drawing/2014/main" xmlns="" id="{00000000-0008-0000-0300-000054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7" name="Rectangle 1062">
          <a:extLst>
            <a:ext uri="{FF2B5EF4-FFF2-40B4-BE49-F238E27FC236}">
              <a16:creationId xmlns:a16="http://schemas.microsoft.com/office/drawing/2014/main" xmlns="" id="{00000000-0008-0000-0300-00005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8" name="Rectangle 1063">
          <a:extLst>
            <a:ext uri="{FF2B5EF4-FFF2-40B4-BE49-F238E27FC236}">
              <a16:creationId xmlns:a16="http://schemas.microsoft.com/office/drawing/2014/main" xmlns="" id="{00000000-0008-0000-0300-00005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9" name="Rectangle 1064">
          <a:extLst>
            <a:ext uri="{FF2B5EF4-FFF2-40B4-BE49-F238E27FC236}">
              <a16:creationId xmlns:a16="http://schemas.microsoft.com/office/drawing/2014/main" xmlns="" id="{00000000-0008-0000-0300-00005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0" name="Rectangle 1065">
          <a:extLst>
            <a:ext uri="{FF2B5EF4-FFF2-40B4-BE49-F238E27FC236}">
              <a16:creationId xmlns:a16="http://schemas.microsoft.com/office/drawing/2014/main" xmlns="" id="{00000000-0008-0000-0300-00005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1" name="Rectangle 1066">
          <a:extLst>
            <a:ext uri="{FF2B5EF4-FFF2-40B4-BE49-F238E27FC236}">
              <a16:creationId xmlns:a16="http://schemas.microsoft.com/office/drawing/2014/main" xmlns="" id="{00000000-0008-0000-0300-00005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2" name="Rectangle 1067">
          <a:extLst>
            <a:ext uri="{FF2B5EF4-FFF2-40B4-BE49-F238E27FC236}">
              <a16:creationId xmlns:a16="http://schemas.microsoft.com/office/drawing/2014/main" xmlns="" id="{00000000-0008-0000-0300-00005A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3" name="Rectangle 1068">
          <a:extLst>
            <a:ext uri="{FF2B5EF4-FFF2-40B4-BE49-F238E27FC236}">
              <a16:creationId xmlns:a16="http://schemas.microsoft.com/office/drawing/2014/main" xmlns="" id="{00000000-0008-0000-0300-00005B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04" name="Rectangle 1069">
          <a:extLst>
            <a:ext uri="{FF2B5EF4-FFF2-40B4-BE49-F238E27FC236}">
              <a16:creationId xmlns:a16="http://schemas.microsoft.com/office/drawing/2014/main" xmlns="" id="{00000000-0008-0000-0300-00005C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5" name="Rectangle 1070">
          <a:extLst>
            <a:ext uri="{FF2B5EF4-FFF2-40B4-BE49-F238E27FC236}">
              <a16:creationId xmlns:a16="http://schemas.microsoft.com/office/drawing/2014/main" xmlns="" id="{00000000-0008-0000-0300-00005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6" name="Rectangle 1071">
          <a:extLst>
            <a:ext uri="{FF2B5EF4-FFF2-40B4-BE49-F238E27FC236}">
              <a16:creationId xmlns:a16="http://schemas.microsoft.com/office/drawing/2014/main" xmlns="" id="{00000000-0008-0000-0300-00005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7" name="Rectangle 1072">
          <a:extLst>
            <a:ext uri="{FF2B5EF4-FFF2-40B4-BE49-F238E27FC236}">
              <a16:creationId xmlns:a16="http://schemas.microsoft.com/office/drawing/2014/main" xmlns="" id="{00000000-0008-0000-0300-00005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8" name="Rectangle 1073">
          <a:extLst>
            <a:ext uri="{FF2B5EF4-FFF2-40B4-BE49-F238E27FC236}">
              <a16:creationId xmlns:a16="http://schemas.microsoft.com/office/drawing/2014/main" xmlns="" id="{00000000-0008-0000-0300-00006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9" name="Rectangle 1074">
          <a:extLst>
            <a:ext uri="{FF2B5EF4-FFF2-40B4-BE49-F238E27FC236}">
              <a16:creationId xmlns:a16="http://schemas.microsoft.com/office/drawing/2014/main" xmlns="" id="{00000000-0008-0000-0300-00006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0" name="Rectangle 1075">
          <a:extLst>
            <a:ext uri="{FF2B5EF4-FFF2-40B4-BE49-F238E27FC236}">
              <a16:creationId xmlns:a16="http://schemas.microsoft.com/office/drawing/2014/main" xmlns="" id="{00000000-0008-0000-0300-00006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1" name="Rectangle 1076">
          <a:extLst>
            <a:ext uri="{FF2B5EF4-FFF2-40B4-BE49-F238E27FC236}">
              <a16:creationId xmlns:a16="http://schemas.microsoft.com/office/drawing/2014/main" xmlns="" id="{00000000-0008-0000-0300-00006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2" name="Rectangle 1077">
          <a:extLst>
            <a:ext uri="{FF2B5EF4-FFF2-40B4-BE49-F238E27FC236}">
              <a16:creationId xmlns:a16="http://schemas.microsoft.com/office/drawing/2014/main" xmlns="" id="{00000000-0008-0000-0300-00006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3" name="Rectangle 1078">
          <a:extLst>
            <a:ext uri="{FF2B5EF4-FFF2-40B4-BE49-F238E27FC236}">
              <a16:creationId xmlns:a16="http://schemas.microsoft.com/office/drawing/2014/main" xmlns="" id="{00000000-0008-0000-0300-00006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4" name="Rectangle 1079">
          <a:extLst>
            <a:ext uri="{FF2B5EF4-FFF2-40B4-BE49-F238E27FC236}">
              <a16:creationId xmlns:a16="http://schemas.microsoft.com/office/drawing/2014/main" xmlns="" id="{00000000-0008-0000-0300-00006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5" name="Rectangle 1080">
          <a:extLst>
            <a:ext uri="{FF2B5EF4-FFF2-40B4-BE49-F238E27FC236}">
              <a16:creationId xmlns:a16="http://schemas.microsoft.com/office/drawing/2014/main" xmlns="" id="{00000000-0008-0000-0300-00006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6" name="Rectangle 1081">
          <a:extLst>
            <a:ext uri="{FF2B5EF4-FFF2-40B4-BE49-F238E27FC236}">
              <a16:creationId xmlns:a16="http://schemas.microsoft.com/office/drawing/2014/main" xmlns="" id="{00000000-0008-0000-0300-00006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7" name="Rectangle 1082">
          <a:extLst>
            <a:ext uri="{FF2B5EF4-FFF2-40B4-BE49-F238E27FC236}">
              <a16:creationId xmlns:a16="http://schemas.microsoft.com/office/drawing/2014/main" xmlns="" id="{00000000-0008-0000-0300-00006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8" name="Rectangle 1083">
          <a:extLst>
            <a:ext uri="{FF2B5EF4-FFF2-40B4-BE49-F238E27FC236}">
              <a16:creationId xmlns:a16="http://schemas.microsoft.com/office/drawing/2014/main" xmlns="" id="{00000000-0008-0000-0300-00006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19" name="Rectangle 1084">
          <a:extLst>
            <a:ext uri="{FF2B5EF4-FFF2-40B4-BE49-F238E27FC236}">
              <a16:creationId xmlns:a16="http://schemas.microsoft.com/office/drawing/2014/main" xmlns="" id="{00000000-0008-0000-0300-00006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0" name="Rectangle 1085">
          <a:extLst>
            <a:ext uri="{FF2B5EF4-FFF2-40B4-BE49-F238E27FC236}">
              <a16:creationId xmlns:a16="http://schemas.microsoft.com/office/drawing/2014/main" xmlns="" id="{00000000-0008-0000-0300-00006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1" name="Rectangle 1086">
          <a:extLst>
            <a:ext uri="{FF2B5EF4-FFF2-40B4-BE49-F238E27FC236}">
              <a16:creationId xmlns:a16="http://schemas.microsoft.com/office/drawing/2014/main" xmlns="" id="{00000000-0008-0000-0300-00006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2" name="Rectangle 1087">
          <a:extLst>
            <a:ext uri="{FF2B5EF4-FFF2-40B4-BE49-F238E27FC236}">
              <a16:creationId xmlns:a16="http://schemas.microsoft.com/office/drawing/2014/main" xmlns="" id="{00000000-0008-0000-0300-00006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3" name="Rectangle 1088">
          <a:extLst>
            <a:ext uri="{FF2B5EF4-FFF2-40B4-BE49-F238E27FC236}">
              <a16:creationId xmlns:a16="http://schemas.microsoft.com/office/drawing/2014/main" xmlns="" id="{00000000-0008-0000-0300-00006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4" name="Rectangle 1089">
          <a:extLst>
            <a:ext uri="{FF2B5EF4-FFF2-40B4-BE49-F238E27FC236}">
              <a16:creationId xmlns:a16="http://schemas.microsoft.com/office/drawing/2014/main" xmlns="" id="{00000000-0008-0000-0300-00007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5" name="Rectangle 1090">
          <a:extLst>
            <a:ext uri="{FF2B5EF4-FFF2-40B4-BE49-F238E27FC236}">
              <a16:creationId xmlns:a16="http://schemas.microsoft.com/office/drawing/2014/main" xmlns="" id="{00000000-0008-0000-0300-00007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6" name="Rectangle 1091">
          <a:extLst>
            <a:ext uri="{FF2B5EF4-FFF2-40B4-BE49-F238E27FC236}">
              <a16:creationId xmlns:a16="http://schemas.microsoft.com/office/drawing/2014/main" xmlns="" id="{00000000-0008-0000-0300-00007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7" name="Rectangle 1092">
          <a:extLst>
            <a:ext uri="{FF2B5EF4-FFF2-40B4-BE49-F238E27FC236}">
              <a16:creationId xmlns:a16="http://schemas.microsoft.com/office/drawing/2014/main" xmlns="" id="{00000000-0008-0000-0300-00007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8" name="Rectangle 1093">
          <a:extLst>
            <a:ext uri="{FF2B5EF4-FFF2-40B4-BE49-F238E27FC236}">
              <a16:creationId xmlns:a16="http://schemas.microsoft.com/office/drawing/2014/main" xmlns="" id="{00000000-0008-0000-0300-00007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9" name="Rectangle 1094">
          <a:extLst>
            <a:ext uri="{FF2B5EF4-FFF2-40B4-BE49-F238E27FC236}">
              <a16:creationId xmlns:a16="http://schemas.microsoft.com/office/drawing/2014/main" xmlns="" id="{00000000-0008-0000-0300-00007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30" name="Rectangle 1095">
          <a:extLst>
            <a:ext uri="{FF2B5EF4-FFF2-40B4-BE49-F238E27FC236}">
              <a16:creationId xmlns:a16="http://schemas.microsoft.com/office/drawing/2014/main" xmlns="" id="{00000000-0008-0000-0300-00007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1" name="Rectangle 1058">
          <a:extLst>
            <a:ext uri="{FF2B5EF4-FFF2-40B4-BE49-F238E27FC236}">
              <a16:creationId xmlns:a16="http://schemas.microsoft.com/office/drawing/2014/main" xmlns="" id="{00000000-0008-0000-0300-00007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2" name="Rectangle 1059">
          <a:extLst>
            <a:ext uri="{FF2B5EF4-FFF2-40B4-BE49-F238E27FC236}">
              <a16:creationId xmlns:a16="http://schemas.microsoft.com/office/drawing/2014/main" xmlns="" id="{00000000-0008-0000-0300-00007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3" name="Rectangle 1060">
          <a:extLst>
            <a:ext uri="{FF2B5EF4-FFF2-40B4-BE49-F238E27FC236}">
              <a16:creationId xmlns:a16="http://schemas.microsoft.com/office/drawing/2014/main" xmlns="" id="{00000000-0008-0000-0300-00007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4" name="Rectangle 1061">
          <a:extLst>
            <a:ext uri="{FF2B5EF4-FFF2-40B4-BE49-F238E27FC236}">
              <a16:creationId xmlns:a16="http://schemas.microsoft.com/office/drawing/2014/main" xmlns="" id="{00000000-0008-0000-0300-00007A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5" name="Rectangle 1062">
          <a:extLst>
            <a:ext uri="{FF2B5EF4-FFF2-40B4-BE49-F238E27FC236}">
              <a16:creationId xmlns:a16="http://schemas.microsoft.com/office/drawing/2014/main" xmlns="" id="{00000000-0008-0000-0300-00007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6" name="Rectangle 1063">
          <a:extLst>
            <a:ext uri="{FF2B5EF4-FFF2-40B4-BE49-F238E27FC236}">
              <a16:creationId xmlns:a16="http://schemas.microsoft.com/office/drawing/2014/main" xmlns="" id="{00000000-0008-0000-0300-00007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7" name="Rectangle 1064">
          <a:extLst>
            <a:ext uri="{FF2B5EF4-FFF2-40B4-BE49-F238E27FC236}">
              <a16:creationId xmlns:a16="http://schemas.microsoft.com/office/drawing/2014/main" xmlns="" id="{00000000-0008-0000-0300-00007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8" name="Rectangle 1065">
          <a:extLst>
            <a:ext uri="{FF2B5EF4-FFF2-40B4-BE49-F238E27FC236}">
              <a16:creationId xmlns:a16="http://schemas.microsoft.com/office/drawing/2014/main" xmlns="" id="{00000000-0008-0000-0300-00007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9" name="Rectangle 1066">
          <a:extLst>
            <a:ext uri="{FF2B5EF4-FFF2-40B4-BE49-F238E27FC236}">
              <a16:creationId xmlns:a16="http://schemas.microsoft.com/office/drawing/2014/main" xmlns="" id="{00000000-0008-0000-0300-00007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0" name="Rectangle 1067">
          <a:extLst>
            <a:ext uri="{FF2B5EF4-FFF2-40B4-BE49-F238E27FC236}">
              <a16:creationId xmlns:a16="http://schemas.microsoft.com/office/drawing/2014/main" xmlns="" id="{00000000-0008-0000-0300-000080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1" name="Rectangle 1068">
          <a:extLst>
            <a:ext uri="{FF2B5EF4-FFF2-40B4-BE49-F238E27FC236}">
              <a16:creationId xmlns:a16="http://schemas.microsoft.com/office/drawing/2014/main" xmlns="" id="{00000000-0008-0000-0300-000081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42" name="Rectangle 1069">
          <a:extLst>
            <a:ext uri="{FF2B5EF4-FFF2-40B4-BE49-F238E27FC236}">
              <a16:creationId xmlns:a16="http://schemas.microsoft.com/office/drawing/2014/main" xmlns="" id="{00000000-0008-0000-0300-000082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3" name="Rectangle 1070">
          <a:extLst>
            <a:ext uri="{FF2B5EF4-FFF2-40B4-BE49-F238E27FC236}">
              <a16:creationId xmlns:a16="http://schemas.microsoft.com/office/drawing/2014/main" xmlns="" id="{00000000-0008-0000-0300-00008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4" name="Rectangle 1071">
          <a:extLst>
            <a:ext uri="{FF2B5EF4-FFF2-40B4-BE49-F238E27FC236}">
              <a16:creationId xmlns:a16="http://schemas.microsoft.com/office/drawing/2014/main" xmlns="" id="{00000000-0008-0000-0300-00008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5" name="Rectangle 1072">
          <a:extLst>
            <a:ext uri="{FF2B5EF4-FFF2-40B4-BE49-F238E27FC236}">
              <a16:creationId xmlns:a16="http://schemas.microsoft.com/office/drawing/2014/main" xmlns="" id="{00000000-0008-0000-0300-00008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6" name="Rectangle 1073">
          <a:extLst>
            <a:ext uri="{FF2B5EF4-FFF2-40B4-BE49-F238E27FC236}">
              <a16:creationId xmlns:a16="http://schemas.microsoft.com/office/drawing/2014/main" xmlns="" id="{00000000-0008-0000-0300-00008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7" name="Rectangle 1074">
          <a:extLst>
            <a:ext uri="{FF2B5EF4-FFF2-40B4-BE49-F238E27FC236}">
              <a16:creationId xmlns:a16="http://schemas.microsoft.com/office/drawing/2014/main" xmlns="" id="{00000000-0008-0000-0300-00008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8" name="Rectangle 1075">
          <a:extLst>
            <a:ext uri="{FF2B5EF4-FFF2-40B4-BE49-F238E27FC236}">
              <a16:creationId xmlns:a16="http://schemas.microsoft.com/office/drawing/2014/main" xmlns="" id="{00000000-0008-0000-0300-00008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9" name="Rectangle 1076">
          <a:extLst>
            <a:ext uri="{FF2B5EF4-FFF2-40B4-BE49-F238E27FC236}">
              <a16:creationId xmlns:a16="http://schemas.microsoft.com/office/drawing/2014/main" xmlns="" id="{00000000-0008-0000-0300-00008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0" name="Rectangle 1077">
          <a:extLst>
            <a:ext uri="{FF2B5EF4-FFF2-40B4-BE49-F238E27FC236}">
              <a16:creationId xmlns:a16="http://schemas.microsoft.com/office/drawing/2014/main" xmlns="" id="{00000000-0008-0000-0300-00008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1" name="Rectangle 1078">
          <a:extLst>
            <a:ext uri="{FF2B5EF4-FFF2-40B4-BE49-F238E27FC236}">
              <a16:creationId xmlns:a16="http://schemas.microsoft.com/office/drawing/2014/main" xmlns="" id="{00000000-0008-0000-0300-00008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2" name="Rectangle 1079">
          <a:extLst>
            <a:ext uri="{FF2B5EF4-FFF2-40B4-BE49-F238E27FC236}">
              <a16:creationId xmlns:a16="http://schemas.microsoft.com/office/drawing/2014/main" xmlns="" id="{00000000-0008-0000-0300-00008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3" name="Rectangle 1080">
          <a:extLst>
            <a:ext uri="{FF2B5EF4-FFF2-40B4-BE49-F238E27FC236}">
              <a16:creationId xmlns:a16="http://schemas.microsoft.com/office/drawing/2014/main" xmlns="" id="{00000000-0008-0000-0300-00008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4" name="Rectangle 1081">
          <a:extLst>
            <a:ext uri="{FF2B5EF4-FFF2-40B4-BE49-F238E27FC236}">
              <a16:creationId xmlns:a16="http://schemas.microsoft.com/office/drawing/2014/main" xmlns="" id="{00000000-0008-0000-0300-00008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5" name="Rectangle 1082">
          <a:extLst>
            <a:ext uri="{FF2B5EF4-FFF2-40B4-BE49-F238E27FC236}">
              <a16:creationId xmlns:a16="http://schemas.microsoft.com/office/drawing/2014/main" xmlns="" id="{00000000-0008-0000-0300-00008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6" name="Rectangle 1083">
          <a:extLst>
            <a:ext uri="{FF2B5EF4-FFF2-40B4-BE49-F238E27FC236}">
              <a16:creationId xmlns:a16="http://schemas.microsoft.com/office/drawing/2014/main" xmlns="" id="{00000000-0008-0000-0300-00009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7" name="Rectangle 1084">
          <a:extLst>
            <a:ext uri="{FF2B5EF4-FFF2-40B4-BE49-F238E27FC236}">
              <a16:creationId xmlns:a16="http://schemas.microsoft.com/office/drawing/2014/main" xmlns="" id="{00000000-0008-0000-0300-00009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8" name="Rectangle 1085">
          <a:extLst>
            <a:ext uri="{FF2B5EF4-FFF2-40B4-BE49-F238E27FC236}">
              <a16:creationId xmlns:a16="http://schemas.microsoft.com/office/drawing/2014/main" xmlns="" id="{00000000-0008-0000-0300-00009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9" name="Rectangle 1086">
          <a:extLst>
            <a:ext uri="{FF2B5EF4-FFF2-40B4-BE49-F238E27FC236}">
              <a16:creationId xmlns:a16="http://schemas.microsoft.com/office/drawing/2014/main" xmlns="" id="{00000000-0008-0000-0300-00009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0" name="Rectangle 1087">
          <a:extLst>
            <a:ext uri="{FF2B5EF4-FFF2-40B4-BE49-F238E27FC236}">
              <a16:creationId xmlns:a16="http://schemas.microsoft.com/office/drawing/2014/main" xmlns="" id="{00000000-0008-0000-0300-00009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1" name="Rectangle 1088">
          <a:extLst>
            <a:ext uri="{FF2B5EF4-FFF2-40B4-BE49-F238E27FC236}">
              <a16:creationId xmlns:a16="http://schemas.microsoft.com/office/drawing/2014/main" xmlns="" id="{00000000-0008-0000-0300-00009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2" name="Rectangle 1089">
          <a:extLst>
            <a:ext uri="{FF2B5EF4-FFF2-40B4-BE49-F238E27FC236}">
              <a16:creationId xmlns:a16="http://schemas.microsoft.com/office/drawing/2014/main" xmlns="" id="{00000000-0008-0000-0300-00009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3" name="Rectangle 1090">
          <a:extLst>
            <a:ext uri="{FF2B5EF4-FFF2-40B4-BE49-F238E27FC236}">
              <a16:creationId xmlns:a16="http://schemas.microsoft.com/office/drawing/2014/main" xmlns="" id="{00000000-0008-0000-0300-00009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4" name="Rectangle 1091">
          <a:extLst>
            <a:ext uri="{FF2B5EF4-FFF2-40B4-BE49-F238E27FC236}">
              <a16:creationId xmlns:a16="http://schemas.microsoft.com/office/drawing/2014/main" xmlns="" id="{00000000-0008-0000-0300-00009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5" name="Rectangle 1092">
          <a:extLst>
            <a:ext uri="{FF2B5EF4-FFF2-40B4-BE49-F238E27FC236}">
              <a16:creationId xmlns:a16="http://schemas.microsoft.com/office/drawing/2014/main" xmlns="" id="{00000000-0008-0000-0300-00009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6" name="Rectangle 1093">
          <a:extLst>
            <a:ext uri="{FF2B5EF4-FFF2-40B4-BE49-F238E27FC236}">
              <a16:creationId xmlns:a16="http://schemas.microsoft.com/office/drawing/2014/main" xmlns="" id="{00000000-0008-0000-0300-00009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7" name="Rectangle 1094">
          <a:extLst>
            <a:ext uri="{FF2B5EF4-FFF2-40B4-BE49-F238E27FC236}">
              <a16:creationId xmlns:a16="http://schemas.microsoft.com/office/drawing/2014/main" xmlns="" id="{00000000-0008-0000-0300-00009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8" name="Rectangle 1095">
          <a:extLst>
            <a:ext uri="{FF2B5EF4-FFF2-40B4-BE49-F238E27FC236}">
              <a16:creationId xmlns:a16="http://schemas.microsoft.com/office/drawing/2014/main" xmlns="" id="{00000000-0008-0000-0300-00009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69" name="Rectangle 1058">
          <a:extLst>
            <a:ext uri="{FF2B5EF4-FFF2-40B4-BE49-F238E27FC236}">
              <a16:creationId xmlns:a16="http://schemas.microsoft.com/office/drawing/2014/main" xmlns="" id="{00000000-0008-0000-0300-00009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0" name="Rectangle 1059">
          <a:extLst>
            <a:ext uri="{FF2B5EF4-FFF2-40B4-BE49-F238E27FC236}">
              <a16:creationId xmlns:a16="http://schemas.microsoft.com/office/drawing/2014/main" xmlns="" id="{00000000-0008-0000-0300-00009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1" name="Rectangle 1060">
          <a:extLst>
            <a:ext uri="{FF2B5EF4-FFF2-40B4-BE49-F238E27FC236}">
              <a16:creationId xmlns:a16="http://schemas.microsoft.com/office/drawing/2014/main" xmlns="" id="{00000000-0008-0000-0300-00009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2" name="Rectangle 1061">
          <a:extLst>
            <a:ext uri="{FF2B5EF4-FFF2-40B4-BE49-F238E27FC236}">
              <a16:creationId xmlns:a16="http://schemas.microsoft.com/office/drawing/2014/main" xmlns="" id="{00000000-0008-0000-0300-0000A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3" name="Rectangle 1062">
          <a:extLst>
            <a:ext uri="{FF2B5EF4-FFF2-40B4-BE49-F238E27FC236}">
              <a16:creationId xmlns:a16="http://schemas.microsoft.com/office/drawing/2014/main" xmlns="" id="{00000000-0008-0000-0300-0000A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4" name="Rectangle 1063">
          <a:extLst>
            <a:ext uri="{FF2B5EF4-FFF2-40B4-BE49-F238E27FC236}">
              <a16:creationId xmlns:a16="http://schemas.microsoft.com/office/drawing/2014/main" xmlns="" id="{00000000-0008-0000-0300-0000A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5" name="Rectangle 1064">
          <a:extLst>
            <a:ext uri="{FF2B5EF4-FFF2-40B4-BE49-F238E27FC236}">
              <a16:creationId xmlns:a16="http://schemas.microsoft.com/office/drawing/2014/main" xmlns="" id="{00000000-0008-0000-0300-0000A3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6" name="Rectangle 1065">
          <a:extLst>
            <a:ext uri="{FF2B5EF4-FFF2-40B4-BE49-F238E27FC236}">
              <a16:creationId xmlns:a16="http://schemas.microsoft.com/office/drawing/2014/main" xmlns="" id="{00000000-0008-0000-0300-0000A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7" name="Rectangle 1066">
          <a:extLst>
            <a:ext uri="{FF2B5EF4-FFF2-40B4-BE49-F238E27FC236}">
              <a16:creationId xmlns:a16="http://schemas.microsoft.com/office/drawing/2014/main" xmlns="" id="{00000000-0008-0000-0300-0000A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8" name="Rectangle 1067">
          <a:extLst>
            <a:ext uri="{FF2B5EF4-FFF2-40B4-BE49-F238E27FC236}">
              <a16:creationId xmlns:a16="http://schemas.microsoft.com/office/drawing/2014/main" xmlns="" id="{00000000-0008-0000-0300-0000A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9" name="Rectangle 1068">
          <a:extLst>
            <a:ext uri="{FF2B5EF4-FFF2-40B4-BE49-F238E27FC236}">
              <a16:creationId xmlns:a16="http://schemas.microsoft.com/office/drawing/2014/main" xmlns="" id="{00000000-0008-0000-0300-0000A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80" name="Rectangle 1069">
          <a:extLst>
            <a:ext uri="{FF2B5EF4-FFF2-40B4-BE49-F238E27FC236}">
              <a16:creationId xmlns:a16="http://schemas.microsoft.com/office/drawing/2014/main" xmlns="" id="{00000000-0008-0000-0300-0000A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1" name="Rectangle 1070">
          <a:extLst>
            <a:ext uri="{FF2B5EF4-FFF2-40B4-BE49-F238E27FC236}">
              <a16:creationId xmlns:a16="http://schemas.microsoft.com/office/drawing/2014/main" xmlns="" id="{00000000-0008-0000-0300-0000A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2" name="Rectangle 1071">
          <a:extLst>
            <a:ext uri="{FF2B5EF4-FFF2-40B4-BE49-F238E27FC236}">
              <a16:creationId xmlns:a16="http://schemas.microsoft.com/office/drawing/2014/main" xmlns="" id="{00000000-0008-0000-0300-0000A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3" name="Rectangle 1072">
          <a:extLst>
            <a:ext uri="{FF2B5EF4-FFF2-40B4-BE49-F238E27FC236}">
              <a16:creationId xmlns:a16="http://schemas.microsoft.com/office/drawing/2014/main" xmlns="" id="{00000000-0008-0000-0300-0000A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4" name="Rectangle 1073">
          <a:extLst>
            <a:ext uri="{FF2B5EF4-FFF2-40B4-BE49-F238E27FC236}">
              <a16:creationId xmlns:a16="http://schemas.microsoft.com/office/drawing/2014/main" xmlns="" id="{00000000-0008-0000-0300-0000A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5" name="Rectangle 1074">
          <a:extLst>
            <a:ext uri="{FF2B5EF4-FFF2-40B4-BE49-F238E27FC236}">
              <a16:creationId xmlns:a16="http://schemas.microsoft.com/office/drawing/2014/main" xmlns="" id="{00000000-0008-0000-0300-0000A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6" name="Rectangle 1075">
          <a:extLst>
            <a:ext uri="{FF2B5EF4-FFF2-40B4-BE49-F238E27FC236}">
              <a16:creationId xmlns:a16="http://schemas.microsoft.com/office/drawing/2014/main" xmlns="" id="{00000000-0008-0000-0300-0000A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7" name="Rectangle 1076">
          <a:extLst>
            <a:ext uri="{FF2B5EF4-FFF2-40B4-BE49-F238E27FC236}">
              <a16:creationId xmlns:a16="http://schemas.microsoft.com/office/drawing/2014/main" xmlns="" id="{00000000-0008-0000-0300-0000A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8" name="Rectangle 1077">
          <a:extLst>
            <a:ext uri="{FF2B5EF4-FFF2-40B4-BE49-F238E27FC236}">
              <a16:creationId xmlns:a16="http://schemas.microsoft.com/office/drawing/2014/main" xmlns="" id="{00000000-0008-0000-0300-0000B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9" name="Rectangle 1078">
          <a:extLst>
            <a:ext uri="{FF2B5EF4-FFF2-40B4-BE49-F238E27FC236}">
              <a16:creationId xmlns:a16="http://schemas.microsoft.com/office/drawing/2014/main" xmlns="" id="{00000000-0008-0000-0300-0000B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0" name="Rectangle 1079">
          <a:extLst>
            <a:ext uri="{FF2B5EF4-FFF2-40B4-BE49-F238E27FC236}">
              <a16:creationId xmlns:a16="http://schemas.microsoft.com/office/drawing/2014/main" xmlns="" id="{00000000-0008-0000-0300-0000B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1" name="Rectangle 1080">
          <a:extLst>
            <a:ext uri="{FF2B5EF4-FFF2-40B4-BE49-F238E27FC236}">
              <a16:creationId xmlns:a16="http://schemas.microsoft.com/office/drawing/2014/main" xmlns="" id="{00000000-0008-0000-0300-0000B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2" name="Rectangle 1081">
          <a:extLst>
            <a:ext uri="{FF2B5EF4-FFF2-40B4-BE49-F238E27FC236}">
              <a16:creationId xmlns:a16="http://schemas.microsoft.com/office/drawing/2014/main" xmlns="" id="{00000000-0008-0000-0300-0000B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3" name="Rectangle 1082">
          <a:extLst>
            <a:ext uri="{FF2B5EF4-FFF2-40B4-BE49-F238E27FC236}">
              <a16:creationId xmlns:a16="http://schemas.microsoft.com/office/drawing/2014/main" xmlns="" id="{00000000-0008-0000-0300-0000B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4" name="Rectangle 1083">
          <a:extLst>
            <a:ext uri="{FF2B5EF4-FFF2-40B4-BE49-F238E27FC236}">
              <a16:creationId xmlns:a16="http://schemas.microsoft.com/office/drawing/2014/main" xmlns="" id="{00000000-0008-0000-0300-0000B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5" name="Rectangle 1084">
          <a:extLst>
            <a:ext uri="{FF2B5EF4-FFF2-40B4-BE49-F238E27FC236}">
              <a16:creationId xmlns:a16="http://schemas.microsoft.com/office/drawing/2014/main" xmlns="" id="{00000000-0008-0000-0300-0000B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6" name="Rectangle 1085">
          <a:extLst>
            <a:ext uri="{FF2B5EF4-FFF2-40B4-BE49-F238E27FC236}">
              <a16:creationId xmlns:a16="http://schemas.microsoft.com/office/drawing/2014/main" xmlns="" id="{00000000-0008-0000-0300-0000B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7" name="Rectangle 1086">
          <a:extLst>
            <a:ext uri="{FF2B5EF4-FFF2-40B4-BE49-F238E27FC236}">
              <a16:creationId xmlns:a16="http://schemas.microsoft.com/office/drawing/2014/main" xmlns="" id="{00000000-0008-0000-0300-0000B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8" name="Rectangle 1087">
          <a:extLst>
            <a:ext uri="{FF2B5EF4-FFF2-40B4-BE49-F238E27FC236}">
              <a16:creationId xmlns:a16="http://schemas.microsoft.com/office/drawing/2014/main" xmlns="" id="{00000000-0008-0000-0300-0000B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9" name="Rectangle 1088">
          <a:extLst>
            <a:ext uri="{FF2B5EF4-FFF2-40B4-BE49-F238E27FC236}">
              <a16:creationId xmlns:a16="http://schemas.microsoft.com/office/drawing/2014/main" xmlns="" id="{00000000-0008-0000-0300-0000B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0" name="Rectangle 1089">
          <a:extLst>
            <a:ext uri="{FF2B5EF4-FFF2-40B4-BE49-F238E27FC236}">
              <a16:creationId xmlns:a16="http://schemas.microsoft.com/office/drawing/2014/main" xmlns="" id="{00000000-0008-0000-0300-0000B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1" name="Rectangle 1090">
          <a:extLst>
            <a:ext uri="{FF2B5EF4-FFF2-40B4-BE49-F238E27FC236}">
              <a16:creationId xmlns:a16="http://schemas.microsoft.com/office/drawing/2014/main" xmlns="" id="{00000000-0008-0000-0300-0000B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2" name="Rectangle 1091">
          <a:extLst>
            <a:ext uri="{FF2B5EF4-FFF2-40B4-BE49-F238E27FC236}">
              <a16:creationId xmlns:a16="http://schemas.microsoft.com/office/drawing/2014/main" xmlns="" id="{00000000-0008-0000-0300-0000B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3" name="Rectangle 1092">
          <a:extLst>
            <a:ext uri="{FF2B5EF4-FFF2-40B4-BE49-F238E27FC236}">
              <a16:creationId xmlns:a16="http://schemas.microsoft.com/office/drawing/2014/main" xmlns="" id="{00000000-0008-0000-0300-0000B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4" name="Rectangle 1093">
          <a:extLst>
            <a:ext uri="{FF2B5EF4-FFF2-40B4-BE49-F238E27FC236}">
              <a16:creationId xmlns:a16="http://schemas.microsoft.com/office/drawing/2014/main" xmlns="" id="{00000000-0008-0000-0300-0000C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5" name="Rectangle 1094">
          <a:extLst>
            <a:ext uri="{FF2B5EF4-FFF2-40B4-BE49-F238E27FC236}">
              <a16:creationId xmlns:a16="http://schemas.microsoft.com/office/drawing/2014/main" xmlns="" id="{00000000-0008-0000-0300-0000C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6" name="Rectangle 1095">
          <a:extLst>
            <a:ext uri="{FF2B5EF4-FFF2-40B4-BE49-F238E27FC236}">
              <a16:creationId xmlns:a16="http://schemas.microsoft.com/office/drawing/2014/main" xmlns="" id="{00000000-0008-0000-0300-0000C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186</xdr:row>
      <xdr:rowOff>0</xdr:rowOff>
    </xdr:from>
    <xdr:to>
      <xdr:col>6</xdr:col>
      <xdr:colOff>114300</xdr:colOff>
      <xdr:row>186</xdr:row>
      <xdr:rowOff>0</xdr:rowOff>
    </xdr:to>
    <xdr:sp macro="" textlink="">
      <xdr:nvSpPr>
        <xdr:cNvPr id="7108" name="Rectangle 128">
          <a:extLst>
            <a:ext uri="{FF2B5EF4-FFF2-40B4-BE49-F238E27FC236}">
              <a16:creationId xmlns:a16="http://schemas.microsoft.com/office/drawing/2014/main" xmlns="" id="{00000000-0008-0000-0300-00008E954900}"/>
            </a:ext>
          </a:extLst>
        </xdr:cNvPr>
        <xdr:cNvSpPr>
          <a:spLocks noChangeArrowheads="1"/>
        </xdr:cNvSpPr>
      </xdr:nvSpPr>
      <xdr:spPr bwMode="auto">
        <a:xfrm>
          <a:off x="4789714" y="3735160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sp macro="" textlink="">
      <xdr:nvSpPr>
        <xdr:cNvPr id="7169" name="Object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5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8EDADD78-4F87-43DD-8D62-FC7D05E6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66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2" name="Rectangle 1">
          <a:extLst>
            <a:ext uri="{FF2B5EF4-FFF2-40B4-BE49-F238E27FC236}">
              <a16:creationId xmlns:a16="http://schemas.microsoft.com/office/drawing/2014/main" xmlns="" id="{00000000-0008-0000-0600-0000EE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3" name="Rectangle 2">
          <a:extLst>
            <a:ext uri="{FF2B5EF4-FFF2-40B4-BE49-F238E27FC236}">
              <a16:creationId xmlns:a16="http://schemas.microsoft.com/office/drawing/2014/main" xmlns="" id="{00000000-0008-0000-0600-0000EF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4" name="Rectangle 3">
          <a:extLst>
            <a:ext uri="{FF2B5EF4-FFF2-40B4-BE49-F238E27FC236}">
              <a16:creationId xmlns:a16="http://schemas.microsoft.com/office/drawing/2014/main" xmlns="" id="{00000000-0008-0000-0600-0000F0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5" name="Rectangle 4">
          <a:extLst>
            <a:ext uri="{FF2B5EF4-FFF2-40B4-BE49-F238E27FC236}">
              <a16:creationId xmlns:a16="http://schemas.microsoft.com/office/drawing/2014/main" xmlns="" id="{00000000-0008-0000-0600-0000F1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6" name="Rectangle 5">
          <a:extLst>
            <a:ext uri="{FF2B5EF4-FFF2-40B4-BE49-F238E27FC236}">
              <a16:creationId xmlns:a16="http://schemas.microsoft.com/office/drawing/2014/main" xmlns="" id="{00000000-0008-0000-0600-0000F2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7" name="Rectangle 6">
          <a:extLst>
            <a:ext uri="{FF2B5EF4-FFF2-40B4-BE49-F238E27FC236}">
              <a16:creationId xmlns:a16="http://schemas.microsoft.com/office/drawing/2014/main" xmlns="" id="{00000000-0008-0000-0600-0000F3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8" name="Rectangle 7">
          <a:extLst>
            <a:ext uri="{FF2B5EF4-FFF2-40B4-BE49-F238E27FC236}">
              <a16:creationId xmlns:a16="http://schemas.microsoft.com/office/drawing/2014/main" xmlns="" id="{00000000-0008-0000-0600-0000F4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9" name="Rectangle 8">
          <a:extLst>
            <a:ext uri="{FF2B5EF4-FFF2-40B4-BE49-F238E27FC236}">
              <a16:creationId xmlns:a16="http://schemas.microsoft.com/office/drawing/2014/main" xmlns="" id="{00000000-0008-0000-0600-0000F5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0" name="Rectangle 9">
          <a:extLst>
            <a:ext uri="{FF2B5EF4-FFF2-40B4-BE49-F238E27FC236}">
              <a16:creationId xmlns:a16="http://schemas.microsoft.com/office/drawing/2014/main" xmlns="" id="{00000000-0008-0000-0600-0000F6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1" name="Rectangle 10">
          <a:extLst>
            <a:ext uri="{FF2B5EF4-FFF2-40B4-BE49-F238E27FC236}">
              <a16:creationId xmlns:a16="http://schemas.microsoft.com/office/drawing/2014/main" xmlns="" id="{00000000-0008-0000-0600-0000F7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2" name="Rectangle 11">
          <a:extLst>
            <a:ext uri="{FF2B5EF4-FFF2-40B4-BE49-F238E27FC236}">
              <a16:creationId xmlns:a16="http://schemas.microsoft.com/office/drawing/2014/main" xmlns="" id="{00000000-0008-0000-0600-0000F8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3" name="Rectangle 12">
          <a:extLst>
            <a:ext uri="{FF2B5EF4-FFF2-40B4-BE49-F238E27FC236}">
              <a16:creationId xmlns:a16="http://schemas.microsoft.com/office/drawing/2014/main" xmlns="" id="{00000000-0008-0000-0600-0000F9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4" name="Rectangle 13">
          <a:extLst>
            <a:ext uri="{FF2B5EF4-FFF2-40B4-BE49-F238E27FC236}">
              <a16:creationId xmlns:a16="http://schemas.microsoft.com/office/drawing/2014/main" xmlns="" id="{00000000-0008-0000-0600-0000FA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5" name="Rectangle 14">
          <a:extLst>
            <a:ext uri="{FF2B5EF4-FFF2-40B4-BE49-F238E27FC236}">
              <a16:creationId xmlns:a16="http://schemas.microsoft.com/office/drawing/2014/main" xmlns="" id="{00000000-0008-0000-0600-0000FB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6" name="Rectangle 15">
          <a:extLst>
            <a:ext uri="{FF2B5EF4-FFF2-40B4-BE49-F238E27FC236}">
              <a16:creationId xmlns:a16="http://schemas.microsoft.com/office/drawing/2014/main" xmlns="" id="{00000000-0008-0000-0600-0000FC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7" name="Rectangle 16">
          <a:extLst>
            <a:ext uri="{FF2B5EF4-FFF2-40B4-BE49-F238E27FC236}">
              <a16:creationId xmlns:a16="http://schemas.microsoft.com/office/drawing/2014/main" xmlns="" id="{00000000-0008-0000-0600-0000FD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8" name="Rectangle 17">
          <a:extLst>
            <a:ext uri="{FF2B5EF4-FFF2-40B4-BE49-F238E27FC236}">
              <a16:creationId xmlns:a16="http://schemas.microsoft.com/office/drawing/2014/main" xmlns="" id="{00000000-0008-0000-0600-0000FE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9" name="Rectangle 18">
          <a:extLst>
            <a:ext uri="{FF2B5EF4-FFF2-40B4-BE49-F238E27FC236}">
              <a16:creationId xmlns:a16="http://schemas.microsoft.com/office/drawing/2014/main" xmlns="" id="{00000000-0008-0000-0600-0000FF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0" name="Rectangle 19">
          <a:extLst>
            <a:ext uri="{FF2B5EF4-FFF2-40B4-BE49-F238E27FC236}">
              <a16:creationId xmlns:a16="http://schemas.microsoft.com/office/drawing/2014/main" xmlns="" id="{00000000-0008-0000-0600-000000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1" name="Rectangle 20">
          <a:extLst>
            <a:ext uri="{FF2B5EF4-FFF2-40B4-BE49-F238E27FC236}">
              <a16:creationId xmlns:a16="http://schemas.microsoft.com/office/drawing/2014/main" xmlns="" id="{00000000-0008-0000-0600-000001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2" name="Rectangle 21">
          <a:extLst>
            <a:ext uri="{FF2B5EF4-FFF2-40B4-BE49-F238E27FC236}">
              <a16:creationId xmlns:a16="http://schemas.microsoft.com/office/drawing/2014/main" xmlns="" id="{00000000-0008-0000-0600-000002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3" name="Rectangle 22">
          <a:extLst>
            <a:ext uri="{FF2B5EF4-FFF2-40B4-BE49-F238E27FC236}">
              <a16:creationId xmlns:a16="http://schemas.microsoft.com/office/drawing/2014/main" xmlns="" id="{00000000-0008-0000-0600-000003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4" name="Rectangle 23">
          <a:extLst>
            <a:ext uri="{FF2B5EF4-FFF2-40B4-BE49-F238E27FC236}">
              <a16:creationId xmlns:a16="http://schemas.microsoft.com/office/drawing/2014/main" xmlns="" id="{00000000-0008-0000-0600-000004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5" name="Rectangle 24">
          <a:extLst>
            <a:ext uri="{FF2B5EF4-FFF2-40B4-BE49-F238E27FC236}">
              <a16:creationId xmlns:a16="http://schemas.microsoft.com/office/drawing/2014/main" xmlns="" id="{00000000-0008-0000-0600-000005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6" name="Rectangle 25">
          <a:extLst>
            <a:ext uri="{FF2B5EF4-FFF2-40B4-BE49-F238E27FC236}">
              <a16:creationId xmlns:a16="http://schemas.microsoft.com/office/drawing/2014/main" xmlns="" id="{00000000-0008-0000-0600-000006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7" name="Rectangle 26">
          <a:extLst>
            <a:ext uri="{FF2B5EF4-FFF2-40B4-BE49-F238E27FC236}">
              <a16:creationId xmlns:a16="http://schemas.microsoft.com/office/drawing/2014/main" xmlns="" id="{00000000-0008-0000-0600-000007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8" name="Rectangle 27">
          <a:extLst>
            <a:ext uri="{FF2B5EF4-FFF2-40B4-BE49-F238E27FC236}">
              <a16:creationId xmlns:a16="http://schemas.microsoft.com/office/drawing/2014/main" xmlns="" id="{00000000-0008-0000-0600-000008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9" name="Rectangle 28">
          <a:extLst>
            <a:ext uri="{FF2B5EF4-FFF2-40B4-BE49-F238E27FC236}">
              <a16:creationId xmlns:a16="http://schemas.microsoft.com/office/drawing/2014/main" xmlns="" id="{00000000-0008-0000-0600-000009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0" name="Rectangle 29">
          <a:extLst>
            <a:ext uri="{FF2B5EF4-FFF2-40B4-BE49-F238E27FC236}">
              <a16:creationId xmlns:a16="http://schemas.microsoft.com/office/drawing/2014/main" xmlns="" id="{00000000-0008-0000-0600-00000A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1" name="Rectangle 30">
          <a:extLst>
            <a:ext uri="{FF2B5EF4-FFF2-40B4-BE49-F238E27FC236}">
              <a16:creationId xmlns:a16="http://schemas.microsoft.com/office/drawing/2014/main" xmlns="" id="{00000000-0008-0000-0600-00000B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2" name="Rectangle 31">
          <a:extLst>
            <a:ext uri="{FF2B5EF4-FFF2-40B4-BE49-F238E27FC236}">
              <a16:creationId xmlns:a16="http://schemas.microsoft.com/office/drawing/2014/main" xmlns="" id="{00000000-0008-0000-0600-00000C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3" name="Rectangle 32">
          <a:extLst>
            <a:ext uri="{FF2B5EF4-FFF2-40B4-BE49-F238E27FC236}">
              <a16:creationId xmlns:a16="http://schemas.microsoft.com/office/drawing/2014/main" xmlns="" id="{00000000-0008-0000-0600-00000D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4" name="Rectangle 33">
          <a:extLst>
            <a:ext uri="{FF2B5EF4-FFF2-40B4-BE49-F238E27FC236}">
              <a16:creationId xmlns:a16="http://schemas.microsoft.com/office/drawing/2014/main" xmlns="" id="{00000000-0008-0000-0600-00000E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5" name="Rectangle 34">
          <a:extLst>
            <a:ext uri="{FF2B5EF4-FFF2-40B4-BE49-F238E27FC236}">
              <a16:creationId xmlns:a16="http://schemas.microsoft.com/office/drawing/2014/main" xmlns="" id="{00000000-0008-0000-0600-00000F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6" name="Rectangle 35">
          <a:extLst>
            <a:ext uri="{FF2B5EF4-FFF2-40B4-BE49-F238E27FC236}">
              <a16:creationId xmlns:a16="http://schemas.microsoft.com/office/drawing/2014/main" xmlns="" id="{00000000-0008-0000-0600-000010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1</xdr:row>
      <xdr:rowOff>104775</xdr:rowOff>
    </xdr:from>
    <xdr:to>
      <xdr:col>4</xdr:col>
      <xdr:colOff>609599</xdr:colOff>
      <xdr:row>4</xdr:row>
      <xdr:rowOff>50205</xdr:rowOff>
    </xdr:to>
    <xdr:pic>
      <xdr:nvPicPr>
        <xdr:cNvPr id="9860" name="Picture 1">
          <a:extLst>
            <a:ext uri="{FF2B5EF4-FFF2-40B4-BE49-F238E27FC236}">
              <a16:creationId xmlns:a16="http://schemas.microsoft.com/office/drawing/2014/main" xmlns="" id="{00000000-0008-0000-08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49" y="266700"/>
          <a:ext cx="581025" cy="593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0" name="Rectangle 1">
          <a:extLst>
            <a:ext uri="{FF2B5EF4-FFF2-40B4-BE49-F238E27FC236}">
              <a16:creationId xmlns:a16="http://schemas.microsoft.com/office/drawing/2014/main" xmlns="" id="{00000000-0008-0000-0A00-0000F2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1" name="Rectangle 2">
          <a:extLst>
            <a:ext uri="{FF2B5EF4-FFF2-40B4-BE49-F238E27FC236}">
              <a16:creationId xmlns:a16="http://schemas.microsoft.com/office/drawing/2014/main" xmlns="" id="{00000000-0008-0000-0A00-0000F3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2" name="Rectangle 3">
          <a:extLst>
            <a:ext uri="{FF2B5EF4-FFF2-40B4-BE49-F238E27FC236}">
              <a16:creationId xmlns:a16="http://schemas.microsoft.com/office/drawing/2014/main" xmlns="" id="{00000000-0008-0000-0A00-0000F4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3" name="Rectangle 4">
          <a:extLst>
            <a:ext uri="{FF2B5EF4-FFF2-40B4-BE49-F238E27FC236}">
              <a16:creationId xmlns:a16="http://schemas.microsoft.com/office/drawing/2014/main" xmlns="" id="{00000000-0008-0000-0A00-0000F5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4" name="Rectangle 5">
          <a:extLst>
            <a:ext uri="{FF2B5EF4-FFF2-40B4-BE49-F238E27FC236}">
              <a16:creationId xmlns:a16="http://schemas.microsoft.com/office/drawing/2014/main" xmlns="" id="{00000000-0008-0000-0A00-0000F6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5" name="Rectangle 6">
          <a:extLst>
            <a:ext uri="{FF2B5EF4-FFF2-40B4-BE49-F238E27FC236}">
              <a16:creationId xmlns:a16="http://schemas.microsoft.com/office/drawing/2014/main" xmlns="" id="{00000000-0008-0000-0A00-0000F7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6" name="Rectangle 7">
          <a:extLst>
            <a:ext uri="{FF2B5EF4-FFF2-40B4-BE49-F238E27FC236}">
              <a16:creationId xmlns:a16="http://schemas.microsoft.com/office/drawing/2014/main" xmlns="" id="{00000000-0008-0000-0A00-0000F8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7" name="Rectangle 8">
          <a:extLst>
            <a:ext uri="{FF2B5EF4-FFF2-40B4-BE49-F238E27FC236}">
              <a16:creationId xmlns:a16="http://schemas.microsoft.com/office/drawing/2014/main" xmlns="" id="{00000000-0008-0000-0A00-0000F9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8" name="Rectangle 9">
          <a:extLst>
            <a:ext uri="{FF2B5EF4-FFF2-40B4-BE49-F238E27FC236}">
              <a16:creationId xmlns:a16="http://schemas.microsoft.com/office/drawing/2014/main" xmlns="" id="{00000000-0008-0000-0A00-0000FA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9" name="Rectangle 10">
          <a:extLst>
            <a:ext uri="{FF2B5EF4-FFF2-40B4-BE49-F238E27FC236}">
              <a16:creationId xmlns:a16="http://schemas.microsoft.com/office/drawing/2014/main" xmlns="" id="{00000000-0008-0000-0A00-0000FB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0" name="Rectangle 11">
          <a:extLst>
            <a:ext uri="{FF2B5EF4-FFF2-40B4-BE49-F238E27FC236}">
              <a16:creationId xmlns:a16="http://schemas.microsoft.com/office/drawing/2014/main" xmlns="" id="{00000000-0008-0000-0A00-0000FC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61" name="Rectangle 12">
          <a:extLst>
            <a:ext uri="{FF2B5EF4-FFF2-40B4-BE49-F238E27FC236}">
              <a16:creationId xmlns:a16="http://schemas.microsoft.com/office/drawing/2014/main" xmlns="" id="{00000000-0008-0000-0A00-0000FD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62" name="Rectangle 13">
          <a:extLst>
            <a:ext uri="{FF2B5EF4-FFF2-40B4-BE49-F238E27FC236}">
              <a16:creationId xmlns:a16="http://schemas.microsoft.com/office/drawing/2014/main" xmlns="" id="{00000000-0008-0000-0A00-0000FE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3" name="Rectangle 14">
          <a:extLst>
            <a:ext uri="{FF2B5EF4-FFF2-40B4-BE49-F238E27FC236}">
              <a16:creationId xmlns:a16="http://schemas.microsoft.com/office/drawing/2014/main" xmlns="" id="{00000000-0008-0000-0A00-0000FF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4" name="Rectangle 15">
          <a:extLst>
            <a:ext uri="{FF2B5EF4-FFF2-40B4-BE49-F238E27FC236}">
              <a16:creationId xmlns:a16="http://schemas.microsoft.com/office/drawing/2014/main" xmlns="" id="{00000000-0008-0000-0A00-000000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5" name="Rectangle 16">
          <a:extLst>
            <a:ext uri="{FF2B5EF4-FFF2-40B4-BE49-F238E27FC236}">
              <a16:creationId xmlns:a16="http://schemas.microsoft.com/office/drawing/2014/main" xmlns="" id="{00000000-0008-0000-0A00-000001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6" name="Rectangle 17">
          <a:extLst>
            <a:ext uri="{FF2B5EF4-FFF2-40B4-BE49-F238E27FC236}">
              <a16:creationId xmlns:a16="http://schemas.microsoft.com/office/drawing/2014/main" xmlns="" id="{00000000-0008-0000-0A00-000002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7" name="Rectangle 18">
          <a:extLst>
            <a:ext uri="{FF2B5EF4-FFF2-40B4-BE49-F238E27FC236}">
              <a16:creationId xmlns:a16="http://schemas.microsoft.com/office/drawing/2014/main" xmlns="" id="{00000000-0008-0000-0A00-000003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8" name="Rectangle 19">
          <a:extLst>
            <a:ext uri="{FF2B5EF4-FFF2-40B4-BE49-F238E27FC236}">
              <a16:creationId xmlns:a16="http://schemas.microsoft.com/office/drawing/2014/main" xmlns="" id="{00000000-0008-0000-0A00-000004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9" name="Rectangle 20">
          <a:extLst>
            <a:ext uri="{FF2B5EF4-FFF2-40B4-BE49-F238E27FC236}">
              <a16:creationId xmlns:a16="http://schemas.microsoft.com/office/drawing/2014/main" xmlns="" id="{00000000-0008-0000-0A00-000005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0" name="Rectangle 21">
          <a:extLst>
            <a:ext uri="{FF2B5EF4-FFF2-40B4-BE49-F238E27FC236}">
              <a16:creationId xmlns:a16="http://schemas.microsoft.com/office/drawing/2014/main" xmlns="" id="{00000000-0008-0000-0A00-000006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1" name="Rectangle 22">
          <a:extLst>
            <a:ext uri="{FF2B5EF4-FFF2-40B4-BE49-F238E27FC236}">
              <a16:creationId xmlns:a16="http://schemas.microsoft.com/office/drawing/2014/main" xmlns="" id="{00000000-0008-0000-0A00-000007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2" name="Rectangle 23">
          <a:extLst>
            <a:ext uri="{FF2B5EF4-FFF2-40B4-BE49-F238E27FC236}">
              <a16:creationId xmlns:a16="http://schemas.microsoft.com/office/drawing/2014/main" xmlns="" id="{00000000-0008-0000-0A00-000008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3" name="Rectangle 24">
          <a:extLst>
            <a:ext uri="{FF2B5EF4-FFF2-40B4-BE49-F238E27FC236}">
              <a16:creationId xmlns:a16="http://schemas.microsoft.com/office/drawing/2014/main" xmlns="" id="{00000000-0008-0000-0A00-000009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4" name="Rectangle 25">
          <a:extLst>
            <a:ext uri="{FF2B5EF4-FFF2-40B4-BE49-F238E27FC236}">
              <a16:creationId xmlns:a16="http://schemas.microsoft.com/office/drawing/2014/main" xmlns="" id="{00000000-0008-0000-0A00-00000A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5" name="Rectangle 26">
          <a:extLst>
            <a:ext uri="{FF2B5EF4-FFF2-40B4-BE49-F238E27FC236}">
              <a16:creationId xmlns:a16="http://schemas.microsoft.com/office/drawing/2014/main" xmlns="" id="{00000000-0008-0000-0A00-00000B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6" name="Rectangle 27">
          <a:extLst>
            <a:ext uri="{FF2B5EF4-FFF2-40B4-BE49-F238E27FC236}">
              <a16:creationId xmlns:a16="http://schemas.microsoft.com/office/drawing/2014/main" xmlns="" id="{00000000-0008-0000-0A00-00000C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7" name="Rectangle 28">
          <a:extLst>
            <a:ext uri="{FF2B5EF4-FFF2-40B4-BE49-F238E27FC236}">
              <a16:creationId xmlns:a16="http://schemas.microsoft.com/office/drawing/2014/main" xmlns="" id="{00000000-0008-0000-0A00-00000D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8" name="Rectangle 29">
          <a:extLst>
            <a:ext uri="{FF2B5EF4-FFF2-40B4-BE49-F238E27FC236}">
              <a16:creationId xmlns:a16="http://schemas.microsoft.com/office/drawing/2014/main" xmlns="" id="{00000000-0008-0000-0A00-00000E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9" name="Rectangle 30">
          <a:extLst>
            <a:ext uri="{FF2B5EF4-FFF2-40B4-BE49-F238E27FC236}">
              <a16:creationId xmlns:a16="http://schemas.microsoft.com/office/drawing/2014/main" xmlns="" id="{00000000-0008-0000-0A00-00000F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0" name="Rectangle 31">
          <a:extLst>
            <a:ext uri="{FF2B5EF4-FFF2-40B4-BE49-F238E27FC236}">
              <a16:creationId xmlns:a16="http://schemas.microsoft.com/office/drawing/2014/main" xmlns="" id="{00000000-0008-0000-0A00-000010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1" name="Rectangle 32">
          <a:extLst>
            <a:ext uri="{FF2B5EF4-FFF2-40B4-BE49-F238E27FC236}">
              <a16:creationId xmlns:a16="http://schemas.microsoft.com/office/drawing/2014/main" xmlns="" id="{00000000-0008-0000-0A00-000011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22" name="Rectangle 33">
          <a:extLst>
            <a:ext uri="{FF2B5EF4-FFF2-40B4-BE49-F238E27FC236}">
              <a16:creationId xmlns:a16="http://schemas.microsoft.com/office/drawing/2014/main" xmlns="" id="{00000000-0008-0000-0A00-000012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3" name="Rectangle 34">
          <a:extLst>
            <a:ext uri="{FF2B5EF4-FFF2-40B4-BE49-F238E27FC236}">
              <a16:creationId xmlns:a16="http://schemas.microsoft.com/office/drawing/2014/main" xmlns="" id="{00000000-0008-0000-0A00-000013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4" name="Rectangle 35">
          <a:extLst>
            <a:ext uri="{FF2B5EF4-FFF2-40B4-BE49-F238E27FC236}">
              <a16:creationId xmlns:a16="http://schemas.microsoft.com/office/drawing/2014/main" xmlns="" id="{00000000-0008-0000-0A00-000014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5" name="Rectangle 1">
          <a:extLst>
            <a:ext uri="{FF2B5EF4-FFF2-40B4-BE49-F238E27FC236}">
              <a16:creationId xmlns:a16="http://schemas.microsoft.com/office/drawing/2014/main" xmlns="" id="{00000000-0008-0000-0A00-000015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6" name="Rectangle 2">
          <a:extLst>
            <a:ext uri="{FF2B5EF4-FFF2-40B4-BE49-F238E27FC236}">
              <a16:creationId xmlns:a16="http://schemas.microsoft.com/office/drawing/2014/main" xmlns="" id="{00000000-0008-0000-0A00-000016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27" name="Rectangle 3">
          <a:extLst>
            <a:ext uri="{FF2B5EF4-FFF2-40B4-BE49-F238E27FC236}">
              <a16:creationId xmlns:a16="http://schemas.microsoft.com/office/drawing/2014/main" xmlns="" id="{00000000-0008-0000-0A00-000017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8" name="Rectangle 4">
          <a:extLst>
            <a:ext uri="{FF2B5EF4-FFF2-40B4-BE49-F238E27FC236}">
              <a16:creationId xmlns:a16="http://schemas.microsoft.com/office/drawing/2014/main" xmlns="" id="{00000000-0008-0000-0A00-000018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9" name="Rectangle 5">
          <a:extLst>
            <a:ext uri="{FF2B5EF4-FFF2-40B4-BE49-F238E27FC236}">
              <a16:creationId xmlns:a16="http://schemas.microsoft.com/office/drawing/2014/main" xmlns="" id="{00000000-0008-0000-0A00-000019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0" name="Rectangle 6">
          <a:extLst>
            <a:ext uri="{FF2B5EF4-FFF2-40B4-BE49-F238E27FC236}">
              <a16:creationId xmlns:a16="http://schemas.microsoft.com/office/drawing/2014/main" xmlns="" id="{00000000-0008-0000-0A00-00001A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1" name="Rectangle 7">
          <a:extLst>
            <a:ext uri="{FF2B5EF4-FFF2-40B4-BE49-F238E27FC236}">
              <a16:creationId xmlns:a16="http://schemas.microsoft.com/office/drawing/2014/main" xmlns="" id="{00000000-0008-0000-0A00-00001B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2" name="Rectangle 8">
          <a:extLst>
            <a:ext uri="{FF2B5EF4-FFF2-40B4-BE49-F238E27FC236}">
              <a16:creationId xmlns:a16="http://schemas.microsoft.com/office/drawing/2014/main" xmlns="" id="{00000000-0008-0000-0A00-00001C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3" name="Rectangle 9">
          <a:extLst>
            <a:ext uri="{FF2B5EF4-FFF2-40B4-BE49-F238E27FC236}">
              <a16:creationId xmlns:a16="http://schemas.microsoft.com/office/drawing/2014/main" xmlns="" id="{00000000-0008-0000-0A00-00001D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4" name="Rectangle 10">
          <a:extLst>
            <a:ext uri="{FF2B5EF4-FFF2-40B4-BE49-F238E27FC236}">
              <a16:creationId xmlns:a16="http://schemas.microsoft.com/office/drawing/2014/main" xmlns="" id="{00000000-0008-0000-0A00-00001E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5" name="Rectangle 11">
          <a:extLst>
            <a:ext uri="{FF2B5EF4-FFF2-40B4-BE49-F238E27FC236}">
              <a16:creationId xmlns:a16="http://schemas.microsoft.com/office/drawing/2014/main" xmlns="" id="{00000000-0008-0000-0A00-00001F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6" name="Rectangle 12">
          <a:extLst>
            <a:ext uri="{FF2B5EF4-FFF2-40B4-BE49-F238E27FC236}">
              <a16:creationId xmlns:a16="http://schemas.microsoft.com/office/drawing/2014/main" xmlns="" id="{00000000-0008-0000-0A00-000020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7" name="Rectangle 13">
          <a:extLst>
            <a:ext uri="{FF2B5EF4-FFF2-40B4-BE49-F238E27FC236}">
              <a16:creationId xmlns:a16="http://schemas.microsoft.com/office/drawing/2014/main" xmlns="" id="{00000000-0008-0000-0A00-000021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8" name="Rectangle 14">
          <a:extLst>
            <a:ext uri="{FF2B5EF4-FFF2-40B4-BE49-F238E27FC236}">
              <a16:creationId xmlns:a16="http://schemas.microsoft.com/office/drawing/2014/main" xmlns="" id="{00000000-0008-0000-0A00-000022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9" name="Rectangle 15">
          <a:extLst>
            <a:ext uri="{FF2B5EF4-FFF2-40B4-BE49-F238E27FC236}">
              <a16:creationId xmlns:a16="http://schemas.microsoft.com/office/drawing/2014/main" xmlns="" id="{00000000-0008-0000-0A00-000023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0" name="Rectangle 16">
          <a:extLst>
            <a:ext uri="{FF2B5EF4-FFF2-40B4-BE49-F238E27FC236}">
              <a16:creationId xmlns:a16="http://schemas.microsoft.com/office/drawing/2014/main" xmlns="" id="{00000000-0008-0000-0A00-000024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1" name="Rectangle 17">
          <a:extLst>
            <a:ext uri="{FF2B5EF4-FFF2-40B4-BE49-F238E27FC236}">
              <a16:creationId xmlns:a16="http://schemas.microsoft.com/office/drawing/2014/main" xmlns="" id="{00000000-0008-0000-0A00-000025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2" name="Rectangle 18">
          <a:extLst>
            <a:ext uri="{FF2B5EF4-FFF2-40B4-BE49-F238E27FC236}">
              <a16:creationId xmlns:a16="http://schemas.microsoft.com/office/drawing/2014/main" xmlns="" id="{00000000-0008-0000-0A00-000026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3" name="Rectangle 19">
          <a:extLst>
            <a:ext uri="{FF2B5EF4-FFF2-40B4-BE49-F238E27FC236}">
              <a16:creationId xmlns:a16="http://schemas.microsoft.com/office/drawing/2014/main" xmlns="" id="{00000000-0008-0000-0A00-000027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4" name="Rectangle 20">
          <a:extLst>
            <a:ext uri="{FF2B5EF4-FFF2-40B4-BE49-F238E27FC236}">
              <a16:creationId xmlns:a16="http://schemas.microsoft.com/office/drawing/2014/main" xmlns="" id="{00000000-0008-0000-0A00-000028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5" name="Rectangle 21">
          <a:extLst>
            <a:ext uri="{FF2B5EF4-FFF2-40B4-BE49-F238E27FC236}">
              <a16:creationId xmlns:a16="http://schemas.microsoft.com/office/drawing/2014/main" xmlns="" id="{00000000-0008-0000-0A00-000029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6" name="Rectangle 22">
          <a:extLst>
            <a:ext uri="{FF2B5EF4-FFF2-40B4-BE49-F238E27FC236}">
              <a16:creationId xmlns:a16="http://schemas.microsoft.com/office/drawing/2014/main" xmlns="" id="{00000000-0008-0000-0A00-00002A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7" name="Rectangle 23">
          <a:extLst>
            <a:ext uri="{FF2B5EF4-FFF2-40B4-BE49-F238E27FC236}">
              <a16:creationId xmlns:a16="http://schemas.microsoft.com/office/drawing/2014/main" xmlns="" id="{00000000-0008-0000-0A00-00002B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8" name="Rectangle 24">
          <a:extLst>
            <a:ext uri="{FF2B5EF4-FFF2-40B4-BE49-F238E27FC236}">
              <a16:creationId xmlns:a16="http://schemas.microsoft.com/office/drawing/2014/main" xmlns="" id="{00000000-0008-0000-0A00-00002C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9" name="Rectangle 25">
          <a:extLst>
            <a:ext uri="{FF2B5EF4-FFF2-40B4-BE49-F238E27FC236}">
              <a16:creationId xmlns:a16="http://schemas.microsoft.com/office/drawing/2014/main" xmlns="" id="{00000000-0008-0000-0A00-00002D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0" name="Rectangle 26">
          <a:extLst>
            <a:ext uri="{FF2B5EF4-FFF2-40B4-BE49-F238E27FC236}">
              <a16:creationId xmlns:a16="http://schemas.microsoft.com/office/drawing/2014/main" xmlns="" id="{00000000-0008-0000-0A00-00002E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1" name="Rectangle 27">
          <a:extLst>
            <a:ext uri="{FF2B5EF4-FFF2-40B4-BE49-F238E27FC236}">
              <a16:creationId xmlns:a16="http://schemas.microsoft.com/office/drawing/2014/main" xmlns="" id="{00000000-0008-0000-0A00-00002F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2" name="Rectangle 28">
          <a:extLst>
            <a:ext uri="{FF2B5EF4-FFF2-40B4-BE49-F238E27FC236}">
              <a16:creationId xmlns:a16="http://schemas.microsoft.com/office/drawing/2014/main" xmlns="" id="{00000000-0008-0000-0A00-000030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3" name="Rectangle 29">
          <a:extLst>
            <a:ext uri="{FF2B5EF4-FFF2-40B4-BE49-F238E27FC236}">
              <a16:creationId xmlns:a16="http://schemas.microsoft.com/office/drawing/2014/main" xmlns="" id="{00000000-0008-0000-0A00-000031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4" name="Rectangle 30">
          <a:extLst>
            <a:ext uri="{FF2B5EF4-FFF2-40B4-BE49-F238E27FC236}">
              <a16:creationId xmlns:a16="http://schemas.microsoft.com/office/drawing/2014/main" xmlns="" id="{00000000-0008-0000-0A00-000032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5" name="Rectangle 31">
          <a:extLst>
            <a:ext uri="{FF2B5EF4-FFF2-40B4-BE49-F238E27FC236}">
              <a16:creationId xmlns:a16="http://schemas.microsoft.com/office/drawing/2014/main" xmlns="" id="{00000000-0008-0000-0A00-000033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6" name="Rectangle 32">
          <a:extLst>
            <a:ext uri="{FF2B5EF4-FFF2-40B4-BE49-F238E27FC236}">
              <a16:creationId xmlns:a16="http://schemas.microsoft.com/office/drawing/2014/main" xmlns="" id="{00000000-0008-0000-0A00-000034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7" name="Rectangle 33">
          <a:extLst>
            <a:ext uri="{FF2B5EF4-FFF2-40B4-BE49-F238E27FC236}">
              <a16:creationId xmlns:a16="http://schemas.microsoft.com/office/drawing/2014/main" xmlns="" id="{00000000-0008-0000-0A00-000035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8" name="Rectangle 34">
          <a:extLst>
            <a:ext uri="{FF2B5EF4-FFF2-40B4-BE49-F238E27FC236}">
              <a16:creationId xmlns:a16="http://schemas.microsoft.com/office/drawing/2014/main" xmlns="" id="{00000000-0008-0000-0A00-000036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9" name="Rectangle 35">
          <a:extLst>
            <a:ext uri="{FF2B5EF4-FFF2-40B4-BE49-F238E27FC236}">
              <a16:creationId xmlns:a16="http://schemas.microsoft.com/office/drawing/2014/main" xmlns="" id="{00000000-0008-0000-0A00-000037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152400</xdr:rowOff>
    </xdr:from>
    <xdr:to>
      <xdr:col>2</xdr:col>
      <xdr:colOff>742950</xdr:colOff>
      <xdr:row>41</xdr:row>
      <xdr:rowOff>133350</xdr:rowOff>
    </xdr:to>
    <xdr:graphicFrame macro="">
      <xdr:nvGraphicFramePr>
        <xdr:cNvPr id="3819785" name="Chart 3">
          <a:extLst>
            <a:ext uri="{FF2B5EF4-FFF2-40B4-BE49-F238E27FC236}">
              <a16:creationId xmlns:a16="http://schemas.microsoft.com/office/drawing/2014/main" xmlns="" id="{00000000-0008-0000-1E00-000009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762000</xdr:colOff>
      <xdr:row>18</xdr:row>
      <xdr:rowOff>152400</xdr:rowOff>
    </xdr:from>
    <xdr:to>
      <xdr:col>8</xdr:col>
      <xdr:colOff>600075</xdr:colOff>
      <xdr:row>41</xdr:row>
      <xdr:rowOff>118110</xdr:rowOff>
    </xdr:to>
    <xdr:graphicFrame macro="">
      <xdr:nvGraphicFramePr>
        <xdr:cNvPr id="3819786" name="Chart 4">
          <a:extLst>
            <a:ext uri="{FF2B5EF4-FFF2-40B4-BE49-F238E27FC236}">
              <a16:creationId xmlns:a16="http://schemas.microsoft.com/office/drawing/2014/main" xmlns="" id="{00000000-0008-0000-1E00-00000A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29</xdr:row>
      <xdr:rowOff>34290</xdr:rowOff>
    </xdr:from>
    <xdr:to>
      <xdr:col>4</xdr:col>
      <xdr:colOff>981075</xdr:colOff>
      <xdr:row>48</xdr:row>
      <xdr:rowOff>144780</xdr:rowOff>
    </xdr:to>
    <xdr:graphicFrame macro="">
      <xdr:nvGraphicFramePr>
        <xdr:cNvPr id="21126" name="Chart 2">
          <a:extLst>
            <a:ext uri="{FF2B5EF4-FFF2-40B4-BE49-F238E27FC236}">
              <a16:creationId xmlns:a16="http://schemas.microsoft.com/office/drawing/2014/main" xmlns="" id="{00000000-0008-0000-1F00-000086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18</xdr:row>
      <xdr:rowOff>36195</xdr:rowOff>
    </xdr:from>
    <xdr:to>
      <xdr:col>3</xdr:col>
      <xdr:colOff>1152525</xdr:colOff>
      <xdr:row>46</xdr:row>
      <xdr:rowOff>80010</xdr:rowOff>
    </xdr:to>
    <xdr:graphicFrame macro="">
      <xdr:nvGraphicFramePr>
        <xdr:cNvPr id="22149" name="Chart 2">
          <a:extLst>
            <a:ext uri="{FF2B5EF4-FFF2-40B4-BE49-F238E27FC236}">
              <a16:creationId xmlns:a16="http://schemas.microsoft.com/office/drawing/2014/main" xmlns="" id="{00000000-0008-0000-2000-0000855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../../../../../../../../../../GOBERNACION/EVALUACIONES/EVAL%202008/EVALUACION%202007.xls" TargetMode="External"/><Relationship Id="rId18" Type="http://schemas.openxmlformats.org/officeDocument/2006/relationships/hyperlink" Target="../../../../../../../../../../GOBERNACION/EVALUACIONES/EVAL%202008/EVALUACION%202007.xls" TargetMode="External"/><Relationship Id="rId26" Type="http://schemas.openxmlformats.org/officeDocument/2006/relationships/hyperlink" Target="../../../../../../../../../../GOBERNACION/EVALUACIONES/EVAL%202008/EVALUACION%202007.xls" TargetMode="External"/><Relationship Id="rId3" Type="http://schemas.openxmlformats.org/officeDocument/2006/relationships/hyperlink" Target="../../../../../../../../../../GOBERNACION/EVALUACIONES/EVAL%202008/EVALUACION%202007.xls" TargetMode="External"/><Relationship Id="rId21" Type="http://schemas.openxmlformats.org/officeDocument/2006/relationships/hyperlink" Target="../../../../../../../../../../GOBERNACION/EVALUACIONES/EVAL%202008/EVALUACION%202007.xls" TargetMode="External"/><Relationship Id="rId34" Type="http://schemas.openxmlformats.org/officeDocument/2006/relationships/hyperlink" Target="../../../../../../../../../JHON%20GARAY%20SUAZA/AppData/Local/Temp/EVALUACION%202010%20(Version%20preliminar).xls" TargetMode="External"/><Relationship Id="rId7" Type="http://schemas.openxmlformats.org/officeDocument/2006/relationships/hyperlink" Target="../../../../../../../../../../GOBERNACION/EVALUACIONES/EVAL%202008/EVALUACION%202007.xls" TargetMode="External"/><Relationship Id="rId12" Type="http://schemas.openxmlformats.org/officeDocument/2006/relationships/hyperlink" Target="../../../../../../../../../../GOBERNACION/EVALUACIONES/EVAL%202008/EVALUACION%202007.xls" TargetMode="External"/><Relationship Id="rId17" Type="http://schemas.openxmlformats.org/officeDocument/2006/relationships/hyperlink" Target="../../../../../../../../../../GOBERNACION/EVALUACIONES/EVAL%202008/EVALUACION%202007.xls" TargetMode="External"/><Relationship Id="rId25" Type="http://schemas.openxmlformats.org/officeDocument/2006/relationships/hyperlink" Target="../../../../../../../../../../GOBERNACION/EVALUACIONES/EVAL%202008/EVALUACION%202008.xls" TargetMode="External"/><Relationship Id="rId33" Type="http://schemas.openxmlformats.org/officeDocument/2006/relationships/hyperlink" Target="../../../../../../../../../../GOBERNACION/EVALUACIONES/EVAL%202008/EVALUACION%202007.xls" TargetMode="External"/><Relationship Id="rId2" Type="http://schemas.openxmlformats.org/officeDocument/2006/relationships/hyperlink" Target="../../../../../../../../../../GOBERNACION/EVALUACIONES/EVAL%202008/EVALUACION%202007.xls" TargetMode="External"/><Relationship Id="rId16" Type="http://schemas.openxmlformats.org/officeDocument/2006/relationships/hyperlink" Target="../../../../../../../../../../GOBERNACION/EVALUACIONES/EVAL%202008/EVALUACION%202007.xls" TargetMode="External"/><Relationship Id="rId20" Type="http://schemas.openxmlformats.org/officeDocument/2006/relationships/hyperlink" Target="../../../../../../../../../../GOBERNACION/EVALUACIONES/EVAL%202008/EVALUACION%202007.xls" TargetMode="External"/><Relationship Id="rId29" Type="http://schemas.openxmlformats.org/officeDocument/2006/relationships/hyperlink" Target="../../../../../../../../../../GOBERNACION/EVALUACIONES/EVAL%202008/EVALUACION%202007.xls" TargetMode="External"/><Relationship Id="rId1" Type="http://schemas.openxmlformats.org/officeDocument/2006/relationships/hyperlink" Target="../../../../../../../../../../GOBERNACION/EVALUACIONES/EVAL%202008/EVALUACION%202007.xls" TargetMode="External"/><Relationship Id="rId6" Type="http://schemas.openxmlformats.org/officeDocument/2006/relationships/hyperlink" Target="../../../../../../../../../../GOBERNACION/EVALUACIONES/EVAL%202008/EVALUACION%202007.xls" TargetMode="External"/><Relationship Id="rId11" Type="http://schemas.openxmlformats.org/officeDocument/2006/relationships/hyperlink" Target="../../../../../../../../../../GOBERNACION/EVALUACIONES/EVAL%202008/EVALUACION%202007.xls" TargetMode="External"/><Relationship Id="rId24" Type="http://schemas.openxmlformats.org/officeDocument/2006/relationships/hyperlink" Target="../../../../../../../../../../GOBERNACION/EVALUACIONES/EVAL%202008/EVALUACION%202007.xls" TargetMode="External"/><Relationship Id="rId32" Type="http://schemas.openxmlformats.org/officeDocument/2006/relationships/hyperlink" Target="../../../../../../../../../../GOBERNACION/EVALUACIONES/EVAL%202008/EVALUACION%202007.xls" TargetMode="External"/><Relationship Id="rId5" Type="http://schemas.openxmlformats.org/officeDocument/2006/relationships/hyperlink" Target="../../../../../../../../../../GOBERNACION/EVALUACIONES/EVAL%202008/EVALUACION%202007.xls" TargetMode="External"/><Relationship Id="rId15" Type="http://schemas.openxmlformats.org/officeDocument/2006/relationships/hyperlink" Target="../../../../../../../../../../GOBERNACION/EVALUACIONES/EVAL%202008/EVALUACION%202007.xls" TargetMode="External"/><Relationship Id="rId23" Type="http://schemas.openxmlformats.org/officeDocument/2006/relationships/hyperlink" Target="../../../../../../../../../../GOBERNACION/EVALUACIONES/EVAL%202008/EVALUACION%202007.xls" TargetMode="External"/><Relationship Id="rId28" Type="http://schemas.openxmlformats.org/officeDocument/2006/relationships/hyperlink" Target="../../../../../../../../../../GOBERNACION/EVALUACIONES/EVAL%202008/EVALUACION%202007.xls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../../../../../../../../../../GOBERNACION/EVALUACIONES/EVAL%202008/EVALUACION%202007.xls" TargetMode="External"/><Relationship Id="rId19" Type="http://schemas.openxmlformats.org/officeDocument/2006/relationships/hyperlink" Target="../../../../../../../../../../GOBERNACION/EVALUACIONES/EVAL%202008/EVALUACION%202007.xls" TargetMode="External"/><Relationship Id="rId31" Type="http://schemas.openxmlformats.org/officeDocument/2006/relationships/hyperlink" Target="../../../../../../../../../../GOBERNACION/EVALUACIONES/EVAL%202008/EVALUACION%202007.xls" TargetMode="External"/><Relationship Id="rId4" Type="http://schemas.openxmlformats.org/officeDocument/2006/relationships/hyperlink" Target="../../../../../../../../../../GOBERNACION/EVALUACIONES/EVAL%202008/EVALUACION%202007.xls" TargetMode="External"/><Relationship Id="rId9" Type="http://schemas.openxmlformats.org/officeDocument/2006/relationships/hyperlink" Target="../../../../../../../../../../GOBERNACION/EVALUACIONES/EVAL%202008/EVALUACION%202007.xls" TargetMode="External"/><Relationship Id="rId14" Type="http://schemas.openxmlformats.org/officeDocument/2006/relationships/hyperlink" Target="../../../../../../../../../../GOBERNACION/EVALUACIONES/EVAL%202008/EVALUACION%202007.xls" TargetMode="External"/><Relationship Id="rId22" Type="http://schemas.openxmlformats.org/officeDocument/2006/relationships/hyperlink" Target="../../../../../../../../../../GOBERNACION/EVALUACIONES/EVAL%202008/EVALUACION%202007.xls" TargetMode="External"/><Relationship Id="rId27" Type="http://schemas.openxmlformats.org/officeDocument/2006/relationships/hyperlink" Target="../../../../../../../../../../GOBERNACION/EVALUACIONES/EVAL%202008/EVALUACION%202007.xls" TargetMode="External"/><Relationship Id="rId30" Type="http://schemas.openxmlformats.org/officeDocument/2006/relationships/hyperlink" Target="../../../../../../../../../../GOBERNACION/EVALUACIONES/EVAL%202008/EVALUACION%202007.xls" TargetMode="External"/><Relationship Id="rId35" Type="http://schemas.openxmlformats.org/officeDocument/2006/relationships/hyperlink" Target="../../../../../../../../../../GOBERNACION/EVALUACIONES/EVAL%202008/EVALUACION%202007.xls" TargetMode="External"/><Relationship Id="rId8" Type="http://schemas.openxmlformats.org/officeDocument/2006/relationships/hyperlink" Target="../../../../../../../../../../GOBERNACION/EVALUACIONES/EVAL%202008/EVALUACION%202007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../../../../../../../../../../GOBERNACION/EVALUACIONES/EVAL%202008/EVALUACION%202007.xls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../../../../../../../../../../GOBERNACION/EVALUACIONES/EVAL%202008/EVALUACION%202007.xls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../../../../../../../../../../GOBERNACION/EVALUACIONES/EVAL%202008/EVALUACION%202007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61"/>
  <sheetViews>
    <sheetView tabSelected="1" zoomScale="90" zoomScaleNormal="90" workbookViewId="0">
      <selection sqref="A1:I1"/>
    </sheetView>
  </sheetViews>
  <sheetFormatPr baseColWidth="10" defaultColWidth="11.42578125" defaultRowHeight="12.75" x14ac:dyDescent="0.2"/>
  <cols>
    <col min="1" max="1" width="11.7109375" customWidth="1"/>
    <col min="9" max="9" width="14.5703125" customWidth="1"/>
  </cols>
  <sheetData>
    <row r="1" spans="1:9" x14ac:dyDescent="0.2">
      <c r="A1" s="2508" t="s">
        <v>832</v>
      </c>
      <c r="B1" s="2508"/>
      <c r="C1" s="2508"/>
      <c r="D1" s="2508"/>
      <c r="E1" s="2508"/>
      <c r="F1" s="2508"/>
      <c r="G1" s="2508"/>
      <c r="H1" s="2508"/>
      <c r="I1" s="2508"/>
    </row>
    <row r="2" spans="1:9" x14ac:dyDescent="0.2">
      <c r="A2" s="2508" t="s">
        <v>434</v>
      </c>
      <c r="B2" s="2508"/>
      <c r="C2" s="2508"/>
      <c r="D2" s="2508"/>
      <c r="E2" s="2508"/>
      <c r="F2" s="2508"/>
      <c r="G2" s="2508"/>
      <c r="H2" s="2508"/>
      <c r="I2" s="2508"/>
    </row>
    <row r="3" spans="1:9" x14ac:dyDescent="0.2">
      <c r="A3" s="2508" t="s">
        <v>919</v>
      </c>
      <c r="B3" s="2508"/>
      <c r="C3" s="2508"/>
      <c r="D3" s="2508"/>
      <c r="E3" s="2508"/>
      <c r="F3" s="2508"/>
      <c r="G3" s="2508"/>
      <c r="H3" s="2508"/>
      <c r="I3" s="2508"/>
    </row>
    <row r="5" spans="1:9" ht="18" x14ac:dyDescent="0.25">
      <c r="A5" s="2509" t="s">
        <v>1928</v>
      </c>
      <c r="B5" s="2509"/>
      <c r="C5" s="2509"/>
      <c r="D5" s="2509"/>
      <c r="E5" s="2509"/>
      <c r="F5" s="2509"/>
      <c r="G5" s="2509"/>
      <c r="H5" s="2509"/>
      <c r="I5" s="2509"/>
    </row>
    <row r="7" spans="1:9" x14ac:dyDescent="0.2">
      <c r="A7" s="2508" t="s">
        <v>1414</v>
      </c>
      <c r="B7" s="2508"/>
      <c r="C7" s="2508"/>
      <c r="D7" s="2508"/>
      <c r="E7" s="2508"/>
      <c r="F7" s="2508"/>
      <c r="G7" s="2508"/>
      <c r="H7" s="2508"/>
      <c r="I7" s="2508"/>
    </row>
    <row r="8" spans="1:9" x14ac:dyDescent="0.2">
      <c r="A8" s="1" t="s">
        <v>1440</v>
      </c>
    </row>
    <row r="9" spans="1:9" x14ac:dyDescent="0.2">
      <c r="A9" s="2510" t="s">
        <v>1274</v>
      </c>
      <c r="B9" s="2506" t="s">
        <v>1415</v>
      </c>
      <c r="C9" s="2506"/>
      <c r="D9" s="2506"/>
      <c r="E9" s="2506"/>
      <c r="F9" s="2506"/>
      <c r="G9" s="2506"/>
      <c r="H9" s="2506"/>
      <c r="I9" s="2506"/>
    </row>
    <row r="10" spans="1:9" x14ac:dyDescent="0.2">
      <c r="A10" s="2510"/>
      <c r="B10" s="2506" t="s">
        <v>1416</v>
      </c>
      <c r="C10" s="2506"/>
      <c r="D10" s="2506"/>
      <c r="E10" s="2506"/>
      <c r="F10" s="2506"/>
      <c r="G10" s="2506"/>
      <c r="H10" s="2506"/>
      <c r="I10" s="2506"/>
    </row>
    <row r="11" spans="1:9" x14ac:dyDescent="0.2">
      <c r="A11" s="2510"/>
      <c r="B11" s="2506" t="s">
        <v>1417</v>
      </c>
      <c r="C11" s="2506"/>
      <c r="D11" s="2506"/>
      <c r="E11" s="2506"/>
      <c r="F11" s="2506"/>
      <c r="G11" s="2506"/>
      <c r="H11" s="2506"/>
      <c r="I11" s="2506"/>
    </row>
    <row r="12" spans="1:9" x14ac:dyDescent="0.2">
      <c r="A12" s="2510"/>
      <c r="B12" s="2506" t="s">
        <v>1421</v>
      </c>
      <c r="C12" s="2506"/>
      <c r="D12" s="2506"/>
      <c r="E12" s="2506"/>
      <c r="F12" s="2506"/>
      <c r="G12" s="2506"/>
      <c r="H12" s="2506"/>
      <c r="I12" s="2506"/>
    </row>
    <row r="13" spans="1:9" x14ac:dyDescent="0.2">
      <c r="A13" s="2510"/>
      <c r="B13" s="2506" t="s">
        <v>1418</v>
      </c>
      <c r="C13" s="2506"/>
      <c r="D13" s="2506"/>
      <c r="E13" s="2506"/>
      <c r="F13" s="2506"/>
      <c r="G13" s="2506"/>
      <c r="H13" s="2506"/>
      <c r="I13" s="2506"/>
    </row>
    <row r="14" spans="1:9" x14ac:dyDescent="0.2">
      <c r="A14" s="2510"/>
      <c r="B14" s="2506" t="s">
        <v>1419</v>
      </c>
      <c r="C14" s="2506"/>
      <c r="D14" s="2506"/>
      <c r="E14" s="2506"/>
      <c r="F14" s="2506"/>
      <c r="G14" s="2506"/>
      <c r="H14" s="2506"/>
      <c r="I14" s="2506"/>
    </row>
    <row r="15" spans="1:9" x14ac:dyDescent="0.2">
      <c r="A15" s="2510"/>
      <c r="B15" s="2503" t="s">
        <v>1420</v>
      </c>
      <c r="C15" s="2503"/>
      <c r="D15" s="2503"/>
      <c r="E15" s="2503"/>
      <c r="F15" s="2503"/>
      <c r="G15" s="2503"/>
      <c r="H15" s="2503"/>
      <c r="I15" s="2503"/>
    </row>
    <row r="16" spans="1:9" x14ac:dyDescent="0.2">
      <c r="A16" s="2510"/>
      <c r="B16" s="2503" t="s">
        <v>1422</v>
      </c>
      <c r="C16" s="2503"/>
      <c r="D16" s="2503"/>
      <c r="E16" s="2503"/>
      <c r="F16" s="2503"/>
      <c r="G16" s="2503"/>
      <c r="H16" s="2503"/>
      <c r="I16" s="2503"/>
    </row>
    <row r="17" spans="1:9" x14ac:dyDescent="0.2">
      <c r="A17" s="2510"/>
      <c r="B17" s="2503" t="s">
        <v>708</v>
      </c>
      <c r="C17" s="2503"/>
      <c r="D17" s="2503"/>
      <c r="E17" s="2503"/>
      <c r="F17" s="2503"/>
      <c r="G17" s="2503"/>
      <c r="H17" s="2503"/>
      <c r="I17" s="2503"/>
    </row>
    <row r="18" spans="1:9" x14ac:dyDescent="0.2">
      <c r="A18" s="2510"/>
      <c r="B18" s="2503" t="s">
        <v>1423</v>
      </c>
      <c r="C18" s="2503"/>
      <c r="D18" s="2503"/>
      <c r="E18" s="2503"/>
      <c r="F18" s="2503"/>
      <c r="G18" s="2503"/>
      <c r="H18" s="2503"/>
      <c r="I18" s="2503"/>
    </row>
    <row r="19" spans="1:9" x14ac:dyDescent="0.2">
      <c r="A19" s="2495" t="s">
        <v>1441</v>
      </c>
      <c r="B19" s="2504" t="s">
        <v>1424</v>
      </c>
      <c r="C19" s="2504"/>
      <c r="D19" s="2504"/>
      <c r="E19" s="2504"/>
      <c r="F19" s="2504"/>
      <c r="G19" s="2504"/>
      <c r="H19" s="2504"/>
      <c r="I19" s="2504"/>
    </row>
    <row r="20" spans="1:9" x14ac:dyDescent="0.2">
      <c r="A20" s="2495"/>
      <c r="B20" s="2511" t="s">
        <v>1517</v>
      </c>
      <c r="C20" s="2511"/>
      <c r="D20" s="2511"/>
      <c r="E20" s="2511"/>
      <c r="F20" s="2511"/>
      <c r="G20" s="2511"/>
      <c r="H20" s="2511"/>
      <c r="I20" s="2511"/>
    </row>
    <row r="21" spans="1:9" x14ac:dyDescent="0.2">
      <c r="A21" s="2495"/>
      <c r="B21" s="2504" t="s">
        <v>1425</v>
      </c>
      <c r="C21" s="2504"/>
      <c r="D21" s="2504"/>
      <c r="E21" s="2504"/>
      <c r="F21" s="2504"/>
      <c r="G21" s="2504"/>
      <c r="H21" s="2504"/>
      <c r="I21" s="2504"/>
    </row>
    <row r="22" spans="1:9" x14ac:dyDescent="0.2">
      <c r="A22" s="2495"/>
      <c r="B22" s="2504" t="s">
        <v>1426</v>
      </c>
      <c r="C22" s="2504"/>
      <c r="D22" s="2504"/>
      <c r="E22" s="2504"/>
      <c r="F22" s="2504"/>
      <c r="G22" s="2504"/>
      <c r="H22" s="2504"/>
      <c r="I22" s="2504"/>
    </row>
    <row r="23" spans="1:9" x14ac:dyDescent="0.2">
      <c r="A23" s="2495"/>
      <c r="B23" s="2504" t="s">
        <v>1445</v>
      </c>
      <c r="C23" s="2504"/>
      <c r="D23" s="2504"/>
      <c r="E23" s="2504"/>
      <c r="F23" s="2504"/>
      <c r="G23" s="2504"/>
      <c r="H23" s="2504"/>
      <c r="I23" s="2504"/>
    </row>
    <row r="24" spans="1:9" x14ac:dyDescent="0.2">
      <c r="A24" s="2495"/>
      <c r="B24" s="2504" t="s">
        <v>1446</v>
      </c>
      <c r="C24" s="2504"/>
      <c r="D24" s="2504"/>
      <c r="E24" s="2504"/>
      <c r="F24" s="2504"/>
      <c r="G24" s="2504"/>
      <c r="H24" s="2504"/>
      <c r="I24" s="2504"/>
    </row>
    <row r="25" spans="1:9" x14ac:dyDescent="0.2">
      <c r="A25" s="2495"/>
      <c r="B25" s="2504" t="s">
        <v>1427</v>
      </c>
      <c r="C25" s="2504"/>
      <c r="D25" s="2504"/>
      <c r="E25" s="2504"/>
      <c r="F25" s="2504"/>
      <c r="G25" s="2504"/>
      <c r="H25" s="2504"/>
      <c r="I25" s="2504"/>
    </row>
    <row r="26" spans="1:9" x14ac:dyDescent="0.2">
      <c r="A26" s="2495"/>
      <c r="B26" s="2504" t="s">
        <v>1428</v>
      </c>
      <c r="C26" s="2504"/>
      <c r="D26" s="2504"/>
      <c r="E26" s="2504"/>
      <c r="F26" s="2504"/>
      <c r="G26" s="2504"/>
      <c r="H26" s="2504"/>
      <c r="I26" s="2504"/>
    </row>
    <row r="27" spans="1:9" x14ac:dyDescent="0.2">
      <c r="A27" s="2496" t="s">
        <v>1442</v>
      </c>
      <c r="B27" s="2506" t="s">
        <v>1429</v>
      </c>
      <c r="C27" s="2506"/>
      <c r="D27" s="2506"/>
      <c r="E27" s="2506"/>
      <c r="F27" s="2506"/>
      <c r="G27" s="2506"/>
      <c r="H27" s="2506"/>
      <c r="I27" s="2506"/>
    </row>
    <row r="28" spans="1:9" x14ac:dyDescent="0.2">
      <c r="A28" s="2496"/>
      <c r="B28" s="2506" t="s">
        <v>1430</v>
      </c>
      <c r="C28" s="2506"/>
      <c r="D28" s="2506"/>
      <c r="E28" s="2506"/>
      <c r="F28" s="2506"/>
      <c r="G28" s="2506"/>
      <c r="H28" s="2506"/>
      <c r="I28" s="2506"/>
    </row>
    <row r="29" spans="1:9" x14ac:dyDescent="0.2">
      <c r="A29" s="2496"/>
      <c r="B29" s="2506" t="s">
        <v>1431</v>
      </c>
      <c r="C29" s="2506"/>
      <c r="D29" s="2506"/>
      <c r="E29" s="2506"/>
      <c r="F29" s="2506"/>
      <c r="G29" s="2506"/>
      <c r="H29" s="2506"/>
      <c r="I29" s="2506"/>
    </row>
    <row r="30" spans="1:9" x14ac:dyDescent="0.2">
      <c r="A30" s="2497" t="s">
        <v>1443</v>
      </c>
      <c r="B30" s="2502" t="s">
        <v>1590</v>
      </c>
      <c r="C30" s="2502"/>
      <c r="D30" s="2502"/>
      <c r="E30" s="2502"/>
      <c r="F30" s="2502"/>
      <c r="G30" s="2502"/>
      <c r="H30" s="2502"/>
      <c r="I30" s="2502"/>
    </row>
    <row r="31" spans="1:9" x14ac:dyDescent="0.2">
      <c r="A31" s="2497"/>
      <c r="B31" s="2502" t="s">
        <v>1432</v>
      </c>
      <c r="C31" s="2502"/>
      <c r="D31" s="2502"/>
      <c r="E31" s="2502"/>
      <c r="F31" s="2502"/>
      <c r="G31" s="2502"/>
      <c r="H31" s="2502"/>
      <c r="I31" s="2502"/>
    </row>
    <row r="32" spans="1:9" x14ac:dyDescent="0.2">
      <c r="A32" s="2497"/>
      <c r="B32" s="2502" t="s">
        <v>1591</v>
      </c>
      <c r="C32" s="2502"/>
      <c r="D32" s="2502"/>
      <c r="E32" s="2502"/>
      <c r="F32" s="2502"/>
      <c r="G32" s="2502"/>
      <c r="H32" s="2502"/>
      <c r="I32" s="2502"/>
    </row>
    <row r="33" spans="1:9" x14ac:dyDescent="0.2">
      <c r="A33" s="2497"/>
      <c r="B33" s="2502" t="s">
        <v>1592</v>
      </c>
      <c r="C33" s="2502"/>
      <c r="D33" s="2502"/>
      <c r="E33" s="2502"/>
      <c r="F33" s="2502"/>
      <c r="G33" s="2502"/>
      <c r="H33" s="2502"/>
      <c r="I33" s="2502"/>
    </row>
    <row r="34" spans="1:9" x14ac:dyDescent="0.2">
      <c r="A34" s="2497"/>
      <c r="B34" s="2502" t="s">
        <v>1593</v>
      </c>
      <c r="C34" s="2502"/>
      <c r="D34" s="2502"/>
      <c r="E34" s="2502"/>
      <c r="F34" s="2502"/>
      <c r="G34" s="2502"/>
      <c r="H34" s="2502"/>
      <c r="I34" s="2502"/>
    </row>
    <row r="35" spans="1:9" x14ac:dyDescent="0.2">
      <c r="A35" s="2498" t="s">
        <v>1444</v>
      </c>
      <c r="B35" s="2501" t="s">
        <v>1435</v>
      </c>
      <c r="C35" s="2501"/>
      <c r="D35" s="2501"/>
      <c r="E35" s="2501"/>
      <c r="F35" s="2501"/>
      <c r="G35" s="2501"/>
      <c r="H35" s="2501"/>
      <c r="I35" s="2501"/>
    </row>
    <row r="36" spans="1:9" x14ac:dyDescent="0.2">
      <c r="A36" s="2498"/>
      <c r="B36" s="2507" t="s">
        <v>1433</v>
      </c>
      <c r="C36" s="2507"/>
      <c r="D36" s="2507"/>
      <c r="E36" s="2507"/>
      <c r="F36" s="2507"/>
      <c r="G36" s="2507"/>
      <c r="H36" s="2507"/>
      <c r="I36" s="2507"/>
    </row>
    <row r="37" spans="1:9" x14ac:dyDescent="0.2">
      <c r="A37" s="2498"/>
      <c r="B37" s="2501" t="s">
        <v>1434</v>
      </c>
      <c r="C37" s="2501"/>
      <c r="D37" s="2501"/>
      <c r="E37" s="2501"/>
      <c r="F37" s="2501"/>
      <c r="G37" s="2501"/>
      <c r="H37" s="2501"/>
      <c r="I37" s="2501"/>
    </row>
    <row r="38" spans="1:9" x14ac:dyDescent="0.2">
      <c r="A38" s="2498"/>
      <c r="B38" s="2501" t="s">
        <v>1436</v>
      </c>
      <c r="C38" s="2501"/>
      <c r="D38" s="2501"/>
      <c r="E38" s="2501"/>
      <c r="F38" s="2501"/>
      <c r="G38" s="2501"/>
      <c r="H38" s="2501"/>
      <c r="I38" s="2501"/>
    </row>
    <row r="39" spans="1:9" x14ac:dyDescent="0.2">
      <c r="A39" s="2498"/>
      <c r="B39" s="2501" t="s">
        <v>1437</v>
      </c>
      <c r="C39" s="2501"/>
      <c r="D39" s="2501"/>
      <c r="E39" s="2501"/>
      <c r="F39" s="2501"/>
      <c r="G39" s="2501"/>
      <c r="H39" s="2501"/>
      <c r="I39" s="2501"/>
    </row>
    <row r="40" spans="1:9" x14ac:dyDescent="0.2">
      <c r="A40" s="2498"/>
      <c r="B40" s="2501" t="s">
        <v>1438</v>
      </c>
      <c r="C40" s="2501"/>
      <c r="D40" s="2501"/>
      <c r="E40" s="2501"/>
      <c r="F40" s="2501"/>
      <c r="G40" s="2501"/>
      <c r="H40" s="2501"/>
      <c r="I40" s="2501"/>
    </row>
    <row r="41" spans="1:9" x14ac:dyDescent="0.2">
      <c r="A41" s="2498"/>
      <c r="B41" s="2501" t="s">
        <v>262</v>
      </c>
      <c r="C41" s="2501"/>
      <c r="D41" s="2501"/>
      <c r="E41" s="2501"/>
      <c r="F41" s="2501"/>
      <c r="G41" s="2501"/>
      <c r="H41" s="2501"/>
      <c r="I41" s="2501"/>
    </row>
    <row r="42" spans="1:9" x14ac:dyDescent="0.2">
      <c r="A42" s="2498"/>
      <c r="B42" s="2501" t="s">
        <v>1439</v>
      </c>
      <c r="C42" s="2501"/>
      <c r="D42" s="2501"/>
      <c r="E42" s="2501"/>
      <c r="F42" s="2501"/>
      <c r="G42" s="2501"/>
      <c r="H42" s="2501"/>
      <c r="I42" s="2501"/>
    </row>
    <row r="43" spans="1:9" ht="12.75" customHeight="1" x14ac:dyDescent="0.2">
      <c r="A43" s="2499" t="s">
        <v>1817</v>
      </c>
      <c r="B43" s="2505" t="s">
        <v>1589</v>
      </c>
      <c r="C43" s="2505"/>
      <c r="D43" s="2505"/>
      <c r="E43" s="2505"/>
      <c r="F43" s="2505"/>
      <c r="G43" s="2505"/>
      <c r="H43" s="2505"/>
      <c r="I43" s="2505"/>
    </row>
    <row r="44" spans="1:9" ht="27.75" customHeight="1" x14ac:dyDescent="0.2">
      <c r="A44" s="2499"/>
      <c r="B44" s="2500" t="s">
        <v>1818</v>
      </c>
      <c r="C44" s="2500"/>
      <c r="D44" s="2500"/>
      <c r="E44" s="2500"/>
      <c r="F44" s="2500"/>
      <c r="G44" s="2500"/>
      <c r="H44" s="2500"/>
      <c r="I44" s="2500"/>
    </row>
    <row r="45" spans="1:9" ht="27.75" customHeight="1" x14ac:dyDescent="0.2">
      <c r="A45" s="2499"/>
      <c r="B45" s="2500" t="s">
        <v>1819</v>
      </c>
      <c r="C45" s="2500"/>
      <c r="D45" s="2500"/>
      <c r="E45" s="2500"/>
      <c r="F45" s="2500"/>
      <c r="G45" s="2500"/>
      <c r="H45" s="2500"/>
      <c r="I45" s="2500"/>
    </row>
    <row r="46" spans="1:9" x14ac:dyDescent="0.2">
      <c r="A46" s="2499"/>
      <c r="B46" s="2271" t="s">
        <v>1861</v>
      </c>
      <c r="C46" s="2271"/>
      <c r="D46" s="2271"/>
      <c r="E46" s="2271"/>
      <c r="F46" s="2271"/>
      <c r="G46" s="2271"/>
      <c r="H46" s="2271"/>
      <c r="I46" s="2271"/>
    </row>
    <row r="47" spans="1:9" ht="14.25" customHeight="1" x14ac:dyDescent="0.2">
      <c r="A47" s="2270"/>
      <c r="B47" s="2271"/>
      <c r="C47" s="2271"/>
      <c r="D47" s="2271"/>
      <c r="E47" s="2271"/>
      <c r="F47" s="2271"/>
      <c r="G47" s="2271"/>
      <c r="H47" s="2271"/>
      <c r="I47" s="2271"/>
    </row>
    <row r="48" spans="1:9" x14ac:dyDescent="0.2">
      <c r="D48" s="2493" t="s">
        <v>1152</v>
      </c>
      <c r="E48" s="2493"/>
      <c r="F48" s="2493"/>
      <c r="G48" s="2493"/>
      <c r="H48" s="2493"/>
      <c r="I48" s="2493"/>
    </row>
    <row r="49" spans="3:9" x14ac:dyDescent="0.2">
      <c r="D49" s="2492" t="s">
        <v>2033</v>
      </c>
      <c r="E49" s="2494"/>
      <c r="F49" s="2494"/>
      <c r="G49" s="2494"/>
      <c r="H49" s="2494"/>
      <c r="I49" s="2494"/>
    </row>
    <row r="50" spans="3:9" x14ac:dyDescent="0.2">
      <c r="D50" s="2494" t="s">
        <v>635</v>
      </c>
      <c r="E50" s="2494"/>
      <c r="F50" s="2494"/>
      <c r="G50" s="2494"/>
      <c r="H50" s="2494"/>
      <c r="I50" s="2494"/>
    </row>
    <row r="51" spans="3:9" x14ac:dyDescent="0.2">
      <c r="D51" s="2490" t="s">
        <v>1153</v>
      </c>
      <c r="E51" s="2490"/>
      <c r="F51" s="2490"/>
      <c r="G51" s="2490"/>
      <c r="H51" s="2490"/>
      <c r="I51" s="2490"/>
    </row>
    <row r="52" spans="3:9" x14ac:dyDescent="0.2">
      <c r="D52" s="2490" t="s">
        <v>1685</v>
      </c>
      <c r="E52" s="2490"/>
      <c r="F52" s="2490"/>
      <c r="G52" s="2490"/>
      <c r="H52" s="2490"/>
      <c r="I52" s="2490"/>
    </row>
    <row r="53" spans="3:9" x14ac:dyDescent="0.2">
      <c r="D53" s="2490" t="s">
        <v>1495</v>
      </c>
      <c r="E53" s="2490"/>
      <c r="F53" s="2490"/>
      <c r="G53" s="2490"/>
      <c r="H53" s="2490"/>
      <c r="I53" s="2490"/>
    </row>
    <row r="56" spans="3:9" x14ac:dyDescent="0.2">
      <c r="C56" s="2491" t="s">
        <v>1901</v>
      </c>
      <c r="D56" s="2491"/>
      <c r="E56" s="2491"/>
      <c r="F56" s="2491"/>
      <c r="G56" s="2491"/>
      <c r="H56" s="2491"/>
      <c r="I56" s="2491"/>
    </row>
    <row r="57" spans="3:9" x14ac:dyDescent="0.2">
      <c r="C57" s="2492" t="s">
        <v>2034</v>
      </c>
      <c r="D57" s="2492"/>
      <c r="E57" s="2492"/>
      <c r="F57" s="2492"/>
      <c r="G57" s="2492"/>
      <c r="H57" s="2492"/>
      <c r="I57" s="2492"/>
    </row>
    <row r="58" spans="3:9" x14ac:dyDescent="0.2">
      <c r="C58" s="2492" t="s">
        <v>2035</v>
      </c>
      <c r="D58" s="2492"/>
      <c r="E58" s="2492"/>
      <c r="F58" s="2492"/>
      <c r="G58" s="2492"/>
      <c r="H58" s="2492"/>
      <c r="I58" s="2492"/>
    </row>
    <row r="59" spans="3:9" x14ac:dyDescent="0.2">
      <c r="F59" s="9"/>
    </row>
    <row r="60" spans="3:9" x14ac:dyDescent="0.2">
      <c r="F60" s="9"/>
    </row>
    <row r="61" spans="3:9" x14ac:dyDescent="0.2">
      <c r="F61" s="9"/>
    </row>
  </sheetData>
  <mergeCells count="57">
    <mergeCell ref="B20:I20"/>
    <mergeCell ref="B9:I9"/>
    <mergeCell ref="B15:I15"/>
    <mergeCell ref="B16:I16"/>
    <mergeCell ref="B12:I12"/>
    <mergeCell ref="B17:I17"/>
    <mergeCell ref="B11:I11"/>
    <mergeCell ref="B13:I13"/>
    <mergeCell ref="B14:I14"/>
    <mergeCell ref="A1:I1"/>
    <mergeCell ref="A2:I2"/>
    <mergeCell ref="B10:I10"/>
    <mergeCell ref="A5:I5"/>
    <mergeCell ref="A7:I7"/>
    <mergeCell ref="A3:I3"/>
    <mergeCell ref="A9:A18"/>
    <mergeCell ref="B42:I42"/>
    <mergeCell ref="B23:I23"/>
    <mergeCell ref="B24:I24"/>
    <mergeCell ref="B39:I39"/>
    <mergeCell ref="B26:I26"/>
    <mergeCell ref="B27:I27"/>
    <mergeCell ref="B37:I37"/>
    <mergeCell ref="B34:I34"/>
    <mergeCell ref="B25:I25"/>
    <mergeCell ref="B32:I32"/>
    <mergeCell ref="B41:I41"/>
    <mergeCell ref="B44:I44"/>
    <mergeCell ref="B45:I45"/>
    <mergeCell ref="B40:I40"/>
    <mergeCell ref="B30:I30"/>
    <mergeCell ref="B18:I18"/>
    <mergeCell ref="B19:I19"/>
    <mergeCell ref="B43:I43"/>
    <mergeCell ref="B21:I21"/>
    <mergeCell ref="B38:I38"/>
    <mergeCell ref="B29:I29"/>
    <mergeCell ref="B31:I31"/>
    <mergeCell ref="B33:I33"/>
    <mergeCell ref="B35:I35"/>
    <mergeCell ref="B36:I36"/>
    <mergeCell ref="B28:I28"/>
    <mergeCell ref="B22:I22"/>
    <mergeCell ref="A19:A26"/>
    <mergeCell ref="A27:A29"/>
    <mergeCell ref="A30:A34"/>
    <mergeCell ref="A35:A42"/>
    <mergeCell ref="A43:A46"/>
    <mergeCell ref="D53:I53"/>
    <mergeCell ref="C56:I56"/>
    <mergeCell ref="C57:I57"/>
    <mergeCell ref="C58:I58"/>
    <mergeCell ref="D48:I48"/>
    <mergeCell ref="D49:I49"/>
    <mergeCell ref="D50:I50"/>
    <mergeCell ref="D51:I51"/>
    <mergeCell ref="D52:I52"/>
  </mergeCells>
  <phoneticPr fontId="13" type="noConversion"/>
  <hyperlinks>
    <hyperlink ref="B9:I9" r:id="rId1" location="TRANSITORIOS!A1" display="CULTIVOS TRANSITORIOS POR MUNICIPIOS"/>
    <hyperlink ref="B11:I11" r:id="rId2" location="'CP TRANSITORIOS'!A1" display="COSTOS DE PRODUCCIÓN CULTIVOS TRANSITORIOS"/>
    <hyperlink ref="B12:I12" r:id="rId3" location="ANUALES!A1" display="CULTIVOS ANUALES POR MUNICIPIOS"/>
    <hyperlink ref="B13:I13" r:id="rId4" location="'TOTAL ANUALES'!A1" display="CONSOLIDADO CULTIVOS ANUALES DEPARTAMENTAL"/>
    <hyperlink ref="B14:I14" r:id="rId5" location="'CP ANUALES'!A1" display="COSTOS DE PRODUCCIÓN CULTIVOS ANUALES"/>
    <hyperlink ref="B15:I15" r:id="rId6" location="PERMANENTES!A1" display="CULTIVOS PERMANENTES Y SEMIPERMANENTES POR MUNICIPIOS"/>
    <hyperlink ref="B16:I16" r:id="rId7" location="'TOTAL PERMANENTES'!A1" display="CONSOLIDADO CULTIVOS PERMANENTES Y SEMIPERMANENTES  DEPARTAMENTAL"/>
    <hyperlink ref="B18:I18" r:id="rId8" location="'CP PERMANENTES'!A1" display="COSTOS DE PRODUCCIÓN CULTIVOS PERMANENTES Y SEMIPERMANENTES"/>
    <hyperlink ref="B19:I19" r:id="rId9" location="BOVINOS!A1" display="INVENTARIO BOVINO"/>
    <hyperlink ref="B21:I21" r:id="rId10" location="PASTOS!A1" display="INVENTARIO DE ÁREAS DE PASTOS"/>
    <hyperlink ref="B22:I22" r:id="rId11" location="'SACRI-LECHE'!A1" display="SACRIFICIO Y PRODUCCIÓN DE LECHE PARA BOVINOS"/>
    <hyperlink ref="B23:I23" r:id="rId12" location="PORCINOS!A1" display="INVENTARIO PORCINOS"/>
    <hyperlink ref="B24:I24" r:id="rId13" location="'SACR-PORCINOS'!A1" display="SACRIFICIO PORCINOS"/>
    <hyperlink ref="B25:I25" r:id="rId14" location="OTRAS!A1" display="OTRAS ESPECIES PECUARIAS"/>
    <hyperlink ref="B26:I26" r:id="rId15" location="PISCÍCOLA!A1" display="INVENTARIO Y PRODUCCIÓN PISCÍCOLA"/>
    <hyperlink ref="B27:I27" r:id="rId16" location="'REPORTES CONSTANTES'!A1" display="REPORTES "/>
    <hyperlink ref="B28:I28" r:id="rId17" location="'COMPORTAMIENTO CULTIVOS'!A1" display="COMPORTAMIENTO DE CULTIVOS DEPARTAMENTAL"/>
    <hyperlink ref="B29:I29" r:id="rId18" location="'PRECIOS-COSTOS'!A1" display="COMPORTAMIENTO DE PRECIOS Y COSTOS DE PRODUCCIÓN"/>
    <hyperlink ref="B30:I30" r:id="rId19" location="'CRECIMIENTO AGRICOLA'!A1" display="VALORACIÓN DEL CRECIMIENTO AGRÍCOLA DEPARTAMENTAL (Precios Constantes 1994)"/>
    <hyperlink ref="B31:I31" r:id="rId20" location="'COMPORTAMIENTO PECUARIO'!A1" display="COMPORTAMIENTO PECUARIO Y PISCÍCOLA DEPARTAMENTAL"/>
    <hyperlink ref="B32:I32" r:id="rId21" location="'CRECIMIENTO PECUARIO'!A1" display="VALORACIÓN DEL CRECIMIENTO PECUARIO Y PISCÍCOLA DEPARTAMENTAL (Precios Constantes 1994)"/>
    <hyperlink ref="B33:I33" r:id="rId22" location="'CRECIMIENTO TOTAL'!A1" display="VALORACIÓN DEL CRECIMIENTO TOTAL DEPARTAMENTAL (Precios Constantes 1994)"/>
    <hyperlink ref="B34:I34" r:id="rId23" location="'PP CONSTANTES'!A1" display="TABLA PRECIOS AL PRODUCTOR CONSTANTRES DE 1994"/>
    <hyperlink ref="B35:I35" r:id="rId24" location="'REPORTE CORRIENTES'!A1" display="REPORTES A PRECIOS  CORRIENTES"/>
    <hyperlink ref="B36:I36" r:id="rId25" location="JORNALES!A1" display="JORNALES REQUERIDOS PARA LA PRODUCCIÓN AGRÍCOLA"/>
    <hyperlink ref="B37:I37" r:id="rId26" location="'VR PROD AGRICOLA'!A1" display="VALOR DE LA PRODUCCIÓN AGRÍCOLA (Precios Corrientes)"/>
    <hyperlink ref="B38:I38" r:id="rId27" location="'RESUMEN AGRICOLA'!A1" display="RESUMEN DEL VALOR DE LA PRODUCCIÓN AGRÍCOLA (Precios Corrientes)"/>
    <hyperlink ref="B39:I39" r:id="rId28" location="'VR PROD PECUARIA'!A1" display="VALOR DE LA PRODUCCIÓN PECUARIA (Precios Corrientes)"/>
    <hyperlink ref="B40:I40" r:id="rId29" location="'VR PROD PISCÍCOLA'!A1" display="VALOR DE LA PRODUCCIÓN PISCÍCOLA (Precios Corrientes)"/>
    <hyperlink ref="B42:I42" r:id="rId30" location="'VR PROD TOTAL'!A1" display="VALOR DE LA PRODUCCIÓN TOTAL DEPARTAMENTAL (Precios Corrientes)"/>
    <hyperlink ref="B10:I10" r:id="rId31" location="'TOTAL TRANSITORIOS'!A1" display="CONSOLIDADO CULTIVOS TRANSITORIOS DEPARTAMENTAL"/>
    <hyperlink ref="B41:I41" r:id="rId32" location="'RESUMEN POR GRUPOS'!A1" display="RESUMEN POR GRUPOS AGROPECUARIO Y PISCÍCOLA (Precios corrientes)"/>
    <hyperlink ref="B17:I17" r:id="rId33" location="'CP CAFE'!A1" display="COSTOS DE PRODUCCIÓN CAFÉ"/>
    <hyperlink ref="B20:I20" r:id="rId34" location="VACUNACION!A1" display="COBERTURA DE VACUNACIÓN POR PREDIOS Y BOVINOS"/>
    <hyperlink ref="B43:I43" r:id="rId35" location="'VR PROD TOTAL'!A1" display="VALOR DE LA PRODUCCIÓN TOTAL DEPARTAMENTAL (Precios Corrientes)"/>
  </hyperlinks>
  <pageMargins left="0.39370078740157483" right="0.39370078740157483" top="0.78740157480314965" bottom="0.78740157480314965" header="0" footer="0"/>
  <pageSetup scale="90" orientation="portrait" horizontalDpi="4294967293" r:id="rId3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73"/>
  <sheetViews>
    <sheetView workbookViewId="0"/>
  </sheetViews>
  <sheetFormatPr baseColWidth="10" defaultColWidth="11.42578125" defaultRowHeight="12.75" x14ac:dyDescent="0.2"/>
  <cols>
    <col min="1" max="1" width="41.85546875" customWidth="1"/>
    <col min="2" max="2" width="16.85546875" bestFit="1" customWidth="1"/>
    <col min="3" max="3" width="16.140625" bestFit="1" customWidth="1"/>
    <col min="5" max="5" width="8" bestFit="1" customWidth="1"/>
    <col min="8" max="8" width="12.7109375" bestFit="1" customWidth="1"/>
  </cols>
  <sheetData>
    <row r="3" spans="1:9" ht="18" x14ac:dyDescent="0.25">
      <c r="A3" s="2869" t="s">
        <v>706</v>
      </c>
      <c r="B3" s="2869"/>
      <c r="C3" s="2869"/>
      <c r="D3" s="2869"/>
      <c r="E3" s="2869"/>
      <c r="F3" s="2869"/>
      <c r="G3" s="2869"/>
      <c r="H3" s="2869"/>
    </row>
    <row r="4" spans="1:9" ht="18" x14ac:dyDescent="0.25">
      <c r="A4" s="2869" t="s">
        <v>1944</v>
      </c>
      <c r="B4" s="2869"/>
      <c r="C4" s="2869"/>
      <c r="D4" s="2869"/>
      <c r="E4" s="2869"/>
      <c r="F4" s="2869"/>
      <c r="G4" s="2869"/>
      <c r="H4" s="2869"/>
    </row>
    <row r="5" spans="1:9" ht="13.5" thickBot="1" x14ac:dyDescent="0.25"/>
    <row r="6" spans="1:9" ht="14.25" thickTop="1" thickBot="1" x14ac:dyDescent="0.25">
      <c r="A6" s="2874" t="s">
        <v>435</v>
      </c>
      <c r="B6" s="2876" t="s">
        <v>620</v>
      </c>
      <c r="C6" s="2877"/>
      <c r="D6" s="848" t="s">
        <v>621</v>
      </c>
      <c r="E6" s="2878" t="s">
        <v>442</v>
      </c>
      <c r="F6" s="2878" t="s">
        <v>443</v>
      </c>
      <c r="G6" s="848" t="s">
        <v>272</v>
      </c>
      <c r="H6" s="881" t="s">
        <v>622</v>
      </c>
    </row>
    <row r="7" spans="1:9" ht="13.5" thickBot="1" x14ac:dyDescent="0.25">
      <c r="A7" s="2875"/>
      <c r="B7" s="1548" t="s">
        <v>623</v>
      </c>
      <c r="C7" s="1548" t="s">
        <v>624</v>
      </c>
      <c r="D7" s="1931" t="s">
        <v>1712</v>
      </c>
      <c r="E7" s="2879"/>
      <c r="F7" s="2879"/>
      <c r="G7" s="882" t="s">
        <v>625</v>
      </c>
      <c r="H7" s="883" t="s">
        <v>626</v>
      </c>
    </row>
    <row r="8" spans="1:9" x14ac:dyDescent="0.2">
      <c r="A8" s="1549" t="s">
        <v>627</v>
      </c>
      <c r="B8" s="400"/>
      <c r="C8" s="400"/>
      <c r="D8" s="400"/>
      <c r="E8" s="400"/>
      <c r="F8" s="400"/>
      <c r="G8" s="400"/>
      <c r="H8" s="864"/>
    </row>
    <row r="9" spans="1:9" x14ac:dyDescent="0.2">
      <c r="A9" s="1468" t="s">
        <v>632</v>
      </c>
      <c r="B9" s="1550"/>
      <c r="C9" s="1550"/>
      <c r="D9" s="1550"/>
      <c r="E9" s="1550"/>
      <c r="F9" s="1550"/>
      <c r="G9" s="426"/>
      <c r="H9" s="1551">
        <f>SUM(H10:H18)</f>
        <v>4650012.0000000009</v>
      </c>
      <c r="I9" s="176"/>
    </row>
    <row r="10" spans="1:9" x14ac:dyDescent="0.2">
      <c r="A10" s="862" t="s">
        <v>639</v>
      </c>
      <c r="B10" s="1552"/>
      <c r="C10" s="1552" t="s">
        <v>640</v>
      </c>
      <c r="D10" s="1552">
        <v>1</v>
      </c>
      <c r="E10" s="1552" t="s">
        <v>496</v>
      </c>
      <c r="F10" s="1553">
        <v>4</v>
      </c>
      <c r="G10" s="866">
        <f>44000*1.11</f>
        <v>48840.000000000007</v>
      </c>
      <c r="H10" s="1554">
        <f t="shared" ref="H10:H18" si="0">F10*G10</f>
        <v>195360.00000000003</v>
      </c>
    </row>
    <row r="11" spans="1:9" x14ac:dyDescent="0.2">
      <c r="A11" s="862" t="s">
        <v>641</v>
      </c>
      <c r="B11" s="1552" t="s">
        <v>642</v>
      </c>
      <c r="C11" s="1552" t="s">
        <v>642</v>
      </c>
      <c r="D11" s="1552">
        <v>1</v>
      </c>
      <c r="E11" s="1552" t="s">
        <v>496</v>
      </c>
      <c r="F11" s="1553">
        <v>7.2</v>
      </c>
      <c r="G11" s="866">
        <f>44000*1.11</f>
        <v>48840.000000000007</v>
      </c>
      <c r="H11" s="1554">
        <f t="shared" si="0"/>
        <v>351648.00000000006</v>
      </c>
    </row>
    <row r="12" spans="1:9" x14ac:dyDescent="0.2">
      <c r="A12" s="862" t="s">
        <v>648</v>
      </c>
      <c r="B12" s="1552"/>
      <c r="C12" s="1552" t="s">
        <v>649</v>
      </c>
      <c r="D12" s="1552">
        <v>1</v>
      </c>
      <c r="E12" s="2046" t="s">
        <v>1602</v>
      </c>
      <c r="F12" s="1553">
        <v>3</v>
      </c>
      <c r="G12" s="866">
        <f>160000*1.11</f>
        <v>177600.00000000003</v>
      </c>
      <c r="H12" s="1554">
        <f t="shared" si="0"/>
        <v>532800.00000000012</v>
      </c>
    </row>
    <row r="13" spans="1:9" x14ac:dyDescent="0.2">
      <c r="A13" s="862" t="s">
        <v>650</v>
      </c>
      <c r="B13" s="1552" t="s">
        <v>642</v>
      </c>
      <c r="C13" s="1552" t="s">
        <v>651</v>
      </c>
      <c r="D13" s="1552">
        <v>1</v>
      </c>
      <c r="E13" s="1552" t="s">
        <v>496</v>
      </c>
      <c r="F13" s="1553">
        <v>8</v>
      </c>
      <c r="G13" s="866">
        <f t="shared" ref="G13:G31" si="1">44000*1.11</f>
        <v>48840.000000000007</v>
      </c>
      <c r="H13" s="1554">
        <f t="shared" si="0"/>
        <v>390720.00000000006</v>
      </c>
    </row>
    <row r="14" spans="1:9" x14ac:dyDescent="0.2">
      <c r="A14" s="862" t="s">
        <v>652</v>
      </c>
      <c r="B14" s="1552" t="s">
        <v>653</v>
      </c>
      <c r="C14" s="1552" t="s">
        <v>653</v>
      </c>
      <c r="D14" s="1552">
        <v>1</v>
      </c>
      <c r="E14" s="1552" t="s">
        <v>496</v>
      </c>
      <c r="F14" s="1553">
        <v>6.5</v>
      </c>
      <c r="G14" s="866">
        <f t="shared" si="1"/>
        <v>48840.000000000007</v>
      </c>
      <c r="H14" s="1554">
        <f t="shared" si="0"/>
        <v>317460.00000000006</v>
      </c>
    </row>
    <row r="15" spans="1:9" x14ac:dyDescent="0.2">
      <c r="A15" s="862" t="s">
        <v>654</v>
      </c>
      <c r="B15" s="1552" t="s">
        <v>653</v>
      </c>
      <c r="C15" s="1552" t="s">
        <v>653</v>
      </c>
      <c r="D15" s="1552">
        <v>1</v>
      </c>
      <c r="E15" s="1552" t="s">
        <v>496</v>
      </c>
      <c r="F15" s="1553">
        <v>6.5</v>
      </c>
      <c r="G15" s="866">
        <f t="shared" si="1"/>
        <v>48840.000000000007</v>
      </c>
      <c r="H15" s="1554">
        <f t="shared" si="0"/>
        <v>317460.00000000006</v>
      </c>
    </row>
    <row r="16" spans="1:9" x14ac:dyDescent="0.2">
      <c r="A16" s="862" t="s">
        <v>655</v>
      </c>
      <c r="B16" s="1552" t="s">
        <v>656</v>
      </c>
      <c r="C16" s="1552" t="s">
        <v>657</v>
      </c>
      <c r="D16" s="1552">
        <v>1</v>
      </c>
      <c r="E16" s="1552" t="s">
        <v>496</v>
      </c>
      <c r="F16" s="1553">
        <v>25</v>
      </c>
      <c r="G16" s="866">
        <f t="shared" si="1"/>
        <v>48840.000000000007</v>
      </c>
      <c r="H16" s="1554">
        <f t="shared" si="0"/>
        <v>1221000.0000000002</v>
      </c>
    </row>
    <row r="17" spans="1:10" x14ac:dyDescent="0.2">
      <c r="A17" s="862" t="s">
        <v>658</v>
      </c>
      <c r="B17" s="1552" t="s">
        <v>653</v>
      </c>
      <c r="C17" s="1552" t="s">
        <v>653</v>
      </c>
      <c r="D17" s="1552">
        <v>1</v>
      </c>
      <c r="E17" s="1552" t="s">
        <v>496</v>
      </c>
      <c r="F17" s="1553">
        <v>6.5</v>
      </c>
      <c r="G17" s="866">
        <f t="shared" si="1"/>
        <v>48840.000000000007</v>
      </c>
      <c r="H17" s="1554">
        <f t="shared" si="0"/>
        <v>317460.00000000006</v>
      </c>
    </row>
    <row r="18" spans="1:10" x14ac:dyDescent="0.2">
      <c r="A18" s="862" t="s">
        <v>659</v>
      </c>
      <c r="B18" s="2046" t="s">
        <v>496</v>
      </c>
      <c r="C18" s="2046" t="s">
        <v>496</v>
      </c>
      <c r="D18" s="1552">
        <v>1</v>
      </c>
      <c r="E18" s="1552" t="s">
        <v>496</v>
      </c>
      <c r="F18" s="1553">
        <v>20.6</v>
      </c>
      <c r="G18" s="866">
        <f t="shared" si="1"/>
        <v>48840.000000000007</v>
      </c>
      <c r="H18" s="1554">
        <f t="shared" si="0"/>
        <v>1006104.0000000002</v>
      </c>
    </row>
    <row r="19" spans="1:10" x14ac:dyDescent="0.2">
      <c r="A19" s="1468" t="s">
        <v>660</v>
      </c>
      <c r="B19" s="1550"/>
      <c r="C19" s="1550"/>
      <c r="D19" s="1550"/>
      <c r="E19" s="1550"/>
      <c r="F19" s="1555"/>
      <c r="G19" s="426"/>
      <c r="H19" s="1551">
        <f>SUM(H20:H23)</f>
        <v>4287264.0000000009</v>
      </c>
      <c r="I19" s="176"/>
    </row>
    <row r="20" spans="1:10" x14ac:dyDescent="0.2">
      <c r="A20" s="862" t="s">
        <v>661</v>
      </c>
      <c r="B20" s="2046" t="s">
        <v>496</v>
      </c>
      <c r="C20" s="2046" t="s">
        <v>496</v>
      </c>
      <c r="D20" s="1552">
        <v>2</v>
      </c>
      <c r="E20" s="1552" t="s">
        <v>496</v>
      </c>
      <c r="F20" s="1553">
        <v>35</v>
      </c>
      <c r="G20" s="866">
        <f t="shared" si="1"/>
        <v>48840.000000000007</v>
      </c>
      <c r="H20" s="1554">
        <f>F20*G20</f>
        <v>1709400.0000000002</v>
      </c>
    </row>
    <row r="21" spans="1:10" x14ac:dyDescent="0.2">
      <c r="A21" s="862" t="s">
        <v>662</v>
      </c>
      <c r="B21" s="2046" t="s">
        <v>496</v>
      </c>
      <c r="C21" s="2046" t="s">
        <v>496</v>
      </c>
      <c r="D21" s="1552">
        <v>2</v>
      </c>
      <c r="E21" s="1552" t="s">
        <v>496</v>
      </c>
      <c r="F21" s="1553">
        <v>31</v>
      </c>
      <c r="G21" s="866">
        <f t="shared" si="1"/>
        <v>48840.000000000007</v>
      </c>
      <c r="H21" s="1554">
        <f>F21*G21</f>
        <v>1514040.0000000002</v>
      </c>
    </row>
    <row r="22" spans="1:10" x14ac:dyDescent="0.2">
      <c r="A22" s="862" t="s">
        <v>663</v>
      </c>
      <c r="B22" s="1552"/>
      <c r="C22" s="1552" t="s">
        <v>664</v>
      </c>
      <c r="D22" s="1552">
        <v>2</v>
      </c>
      <c r="E22" s="2046" t="s">
        <v>1602</v>
      </c>
      <c r="F22" s="1553">
        <v>5</v>
      </c>
      <c r="G22" s="866">
        <f>160000*1.11</f>
        <v>177600.00000000003</v>
      </c>
      <c r="H22" s="1554">
        <f>F22*G22</f>
        <v>888000.00000000012</v>
      </c>
    </row>
    <row r="23" spans="1:10" x14ac:dyDescent="0.2">
      <c r="A23" s="862" t="s">
        <v>665</v>
      </c>
      <c r="B23" s="1552" t="s">
        <v>496</v>
      </c>
      <c r="C23" s="1552" t="s">
        <v>496</v>
      </c>
      <c r="D23" s="1552">
        <v>2</v>
      </c>
      <c r="E23" s="1552" t="s">
        <v>496</v>
      </c>
      <c r="F23" s="1553">
        <v>3.6</v>
      </c>
      <c r="G23" s="866">
        <f t="shared" si="1"/>
        <v>48840.000000000007</v>
      </c>
      <c r="H23" s="1554">
        <f>F23*G23</f>
        <v>175824.00000000003</v>
      </c>
    </row>
    <row r="24" spans="1:10" x14ac:dyDescent="0.2">
      <c r="A24" s="1468" t="s">
        <v>666</v>
      </c>
      <c r="B24" s="1550"/>
      <c r="C24" s="1550"/>
      <c r="D24" s="1550"/>
      <c r="E24" s="1550"/>
      <c r="F24" s="1555"/>
      <c r="G24" s="426"/>
      <c r="H24" s="1551">
        <f>H25</f>
        <v>249084.00000000003</v>
      </c>
      <c r="I24" s="176"/>
    </row>
    <row r="25" spans="1:10" x14ac:dyDescent="0.2">
      <c r="A25" s="862" t="s">
        <v>667</v>
      </c>
      <c r="B25" s="1552" t="s">
        <v>668</v>
      </c>
      <c r="C25" s="1552" t="s">
        <v>669</v>
      </c>
      <c r="D25" s="1552">
        <v>4</v>
      </c>
      <c r="E25" s="1552" t="s">
        <v>496</v>
      </c>
      <c r="F25" s="1553">
        <v>5.0999999999999996</v>
      </c>
      <c r="G25" s="866">
        <f t="shared" si="1"/>
        <v>48840.000000000007</v>
      </c>
      <c r="H25" s="1554">
        <f>F25*G25</f>
        <v>249084.00000000003</v>
      </c>
      <c r="J25" s="176"/>
    </row>
    <row r="26" spans="1:10" x14ac:dyDescent="0.2">
      <c r="A26" s="1468" t="s">
        <v>670</v>
      </c>
      <c r="B26" s="1550"/>
      <c r="C26" s="1550"/>
      <c r="D26" s="1550"/>
      <c r="E26" s="1550"/>
      <c r="F26" s="1555"/>
      <c r="G26" s="426"/>
      <c r="H26" s="1551">
        <f>H27</f>
        <v>293040.00000000006</v>
      </c>
      <c r="I26" s="176"/>
    </row>
    <row r="27" spans="1:10" x14ac:dyDescent="0.2">
      <c r="A27" s="862" t="s">
        <v>671</v>
      </c>
      <c r="B27" s="1552"/>
      <c r="C27" s="1552"/>
      <c r="D27" s="1552">
        <v>3</v>
      </c>
      <c r="E27" s="1552" t="s">
        <v>496</v>
      </c>
      <c r="F27" s="1553">
        <v>6</v>
      </c>
      <c r="G27" s="866">
        <f t="shared" si="1"/>
        <v>48840.000000000007</v>
      </c>
      <c r="H27" s="1554">
        <f>F27*G27</f>
        <v>293040.00000000006</v>
      </c>
    </row>
    <row r="28" spans="1:10" x14ac:dyDescent="0.2">
      <c r="A28" s="1468" t="s">
        <v>672</v>
      </c>
      <c r="B28" s="1550"/>
      <c r="C28" s="1550"/>
      <c r="D28" s="1550"/>
      <c r="E28" s="1550"/>
      <c r="F28" s="1555"/>
      <c r="G28" s="426"/>
      <c r="H28" s="1551">
        <f>SUM(H29:H31)</f>
        <v>879120.00000000012</v>
      </c>
      <c r="I28" s="176"/>
    </row>
    <row r="29" spans="1:10" x14ac:dyDescent="0.2">
      <c r="A29" s="862" t="s">
        <v>733</v>
      </c>
      <c r="B29" s="1552" t="s">
        <v>673</v>
      </c>
      <c r="C29" s="1552" t="s">
        <v>673</v>
      </c>
      <c r="D29" s="1552">
        <v>1</v>
      </c>
      <c r="E29" s="1552" t="s">
        <v>496</v>
      </c>
      <c r="F29" s="1553">
        <v>2</v>
      </c>
      <c r="G29" s="866">
        <f t="shared" si="1"/>
        <v>48840.000000000007</v>
      </c>
      <c r="H29" s="1554">
        <f>F29*G29</f>
        <v>97680.000000000015</v>
      </c>
    </row>
    <row r="30" spans="1:10" x14ac:dyDescent="0.2">
      <c r="A30" s="862" t="s">
        <v>674</v>
      </c>
      <c r="B30" s="2046" t="s">
        <v>496</v>
      </c>
      <c r="C30" s="2046" t="s">
        <v>496</v>
      </c>
      <c r="D30" s="1552">
        <v>2</v>
      </c>
      <c r="E30" s="1552" t="s">
        <v>496</v>
      </c>
      <c r="F30" s="1553">
        <v>8</v>
      </c>
      <c r="G30" s="866">
        <f t="shared" si="1"/>
        <v>48840.000000000007</v>
      </c>
      <c r="H30" s="1554">
        <f>F30*G30</f>
        <v>390720.00000000006</v>
      </c>
    </row>
    <row r="31" spans="1:10" ht="13.5" thickBot="1" x14ac:dyDescent="0.25">
      <c r="A31" s="862" t="s">
        <v>675</v>
      </c>
      <c r="B31" s="1552"/>
      <c r="C31" s="1552"/>
      <c r="D31" s="1552">
        <v>2</v>
      </c>
      <c r="E31" s="1552" t="s">
        <v>496</v>
      </c>
      <c r="F31" s="1553">
        <v>8</v>
      </c>
      <c r="G31" s="866">
        <f t="shared" si="1"/>
        <v>48840.000000000007</v>
      </c>
      <c r="H31" s="1554">
        <f>F31*G31</f>
        <v>390720.00000000006</v>
      </c>
      <c r="J31" s="10"/>
    </row>
    <row r="32" spans="1:10" ht="13.5" thickBot="1" x14ac:dyDescent="0.25">
      <c r="A32" s="895" t="s">
        <v>676</v>
      </c>
      <c r="B32" s="1556"/>
      <c r="C32" s="1557"/>
      <c r="D32" s="1557"/>
      <c r="E32" s="1557"/>
      <c r="F32" s="1558">
        <f>F10+F11+F13+F14+F15+F16+F17+F18+F20+F21+F22+F25+F27+F29+F30+F31</f>
        <v>184.4</v>
      </c>
      <c r="G32" s="1559"/>
      <c r="H32" s="1560">
        <f>SUM(H9+H19+H24+H28+H26)</f>
        <v>10358520.000000002</v>
      </c>
      <c r="I32" s="176"/>
    </row>
    <row r="33" spans="1:15" x14ac:dyDescent="0.2">
      <c r="A33" s="1549" t="s">
        <v>677</v>
      </c>
      <c r="B33" s="1561"/>
      <c r="C33" s="1561"/>
      <c r="D33" s="1561"/>
      <c r="E33" s="1561"/>
      <c r="F33" s="1561"/>
      <c r="G33" s="1562"/>
      <c r="H33" s="1563"/>
    </row>
    <row r="34" spans="1:15" x14ac:dyDescent="0.2">
      <c r="A34" s="862" t="s">
        <v>678</v>
      </c>
      <c r="B34" s="1552"/>
      <c r="C34" s="1552"/>
      <c r="D34" s="1552"/>
      <c r="E34" s="1552" t="s">
        <v>679</v>
      </c>
      <c r="F34" s="2116">
        <v>6000</v>
      </c>
      <c r="G34" s="866">
        <v>400</v>
      </c>
      <c r="H34" s="1554">
        <f>F34*G34</f>
        <v>2400000</v>
      </c>
    </row>
    <row r="35" spans="1:15" x14ac:dyDescent="0.2">
      <c r="A35" s="2045" t="s">
        <v>1601</v>
      </c>
      <c r="B35" s="1552"/>
      <c r="C35" s="1552"/>
      <c r="D35" s="1552"/>
      <c r="E35" s="1552"/>
      <c r="F35" s="2116"/>
      <c r="G35" s="866"/>
      <c r="H35" s="1554">
        <v>550000</v>
      </c>
    </row>
    <row r="36" spans="1:15" x14ac:dyDescent="0.2">
      <c r="A36" s="2045" t="s">
        <v>805</v>
      </c>
      <c r="B36" s="1552"/>
      <c r="C36" s="1552"/>
      <c r="D36" s="1552"/>
      <c r="E36" s="2046" t="s">
        <v>794</v>
      </c>
      <c r="F36" s="2116"/>
      <c r="G36" s="866"/>
      <c r="H36" s="1554">
        <v>150000</v>
      </c>
    </row>
    <row r="37" spans="1:15" x14ac:dyDescent="0.2">
      <c r="A37" s="862" t="s">
        <v>1660</v>
      </c>
      <c r="B37" s="1552"/>
      <c r="C37" s="1552"/>
      <c r="D37" s="1552"/>
      <c r="E37" s="1552" t="s">
        <v>740</v>
      </c>
      <c r="F37" s="2116">
        <v>800</v>
      </c>
      <c r="G37" s="866">
        <v>3000</v>
      </c>
      <c r="H37" s="1554">
        <f t="shared" ref="H37:H43" si="2">F37*G37</f>
        <v>2400000</v>
      </c>
      <c r="I37" s="176"/>
      <c r="J37" s="176"/>
    </row>
    <row r="38" spans="1:15" x14ac:dyDescent="0.2">
      <c r="A38" s="862" t="s">
        <v>1659</v>
      </c>
      <c r="B38" s="1552"/>
      <c r="C38" s="1552"/>
      <c r="D38" s="1552"/>
      <c r="E38" s="1552" t="s">
        <v>740</v>
      </c>
      <c r="F38" s="2116">
        <v>220</v>
      </c>
      <c r="G38" s="866">
        <v>4030</v>
      </c>
      <c r="H38" s="1554">
        <f t="shared" si="2"/>
        <v>886600</v>
      </c>
      <c r="I38" s="176"/>
      <c r="J38" s="176"/>
    </row>
    <row r="39" spans="1:15" x14ac:dyDescent="0.2">
      <c r="A39" s="862" t="s">
        <v>1661</v>
      </c>
      <c r="B39" s="1552"/>
      <c r="C39" s="1552"/>
      <c r="D39" s="1552"/>
      <c r="E39" s="1552" t="s">
        <v>740</v>
      </c>
      <c r="F39" s="2116">
        <v>220</v>
      </c>
      <c r="G39" s="866">
        <v>3300</v>
      </c>
      <c r="H39" s="1554">
        <f t="shared" si="2"/>
        <v>726000</v>
      </c>
      <c r="I39" s="176"/>
      <c r="J39" s="176"/>
    </row>
    <row r="40" spans="1:15" x14ac:dyDescent="0.2">
      <c r="A40" s="862" t="s">
        <v>1662</v>
      </c>
      <c r="B40" s="1552"/>
      <c r="C40" s="1552"/>
      <c r="D40" s="1552"/>
      <c r="E40" s="1552" t="s">
        <v>740</v>
      </c>
      <c r="F40" s="2116">
        <v>160</v>
      </c>
      <c r="G40" s="866">
        <v>1600</v>
      </c>
      <c r="H40" s="1554">
        <f t="shared" si="2"/>
        <v>256000</v>
      </c>
      <c r="I40" s="176"/>
      <c r="J40" s="176"/>
    </row>
    <row r="41" spans="1:15" x14ac:dyDescent="0.2">
      <c r="A41" s="2045" t="s">
        <v>1603</v>
      </c>
      <c r="B41" s="1552"/>
      <c r="C41" s="1552"/>
      <c r="D41" s="1552"/>
      <c r="E41" s="2046" t="s">
        <v>740</v>
      </c>
      <c r="F41" s="2116">
        <v>1650</v>
      </c>
      <c r="G41" s="866">
        <v>500</v>
      </c>
      <c r="H41" s="1554">
        <f t="shared" si="2"/>
        <v>825000</v>
      </c>
      <c r="I41" s="176"/>
      <c r="J41" s="176"/>
    </row>
    <row r="42" spans="1:15" x14ac:dyDescent="0.2">
      <c r="A42" s="862" t="s">
        <v>866</v>
      </c>
      <c r="B42" s="1552"/>
      <c r="C42" s="1552"/>
      <c r="D42" s="1552"/>
      <c r="E42" s="1552" t="s">
        <v>680</v>
      </c>
      <c r="F42" s="2116">
        <v>60</v>
      </c>
      <c r="G42" s="866">
        <v>600</v>
      </c>
      <c r="H42" s="1554">
        <f t="shared" si="2"/>
        <v>36000</v>
      </c>
      <c r="I42" s="176"/>
      <c r="J42" s="176"/>
      <c r="O42" s="1646"/>
    </row>
    <row r="43" spans="1:15" ht="13.5" thickBot="1" x14ac:dyDescent="0.25">
      <c r="A43" s="862" t="s">
        <v>681</v>
      </c>
      <c r="B43" s="1552"/>
      <c r="C43" s="1552"/>
      <c r="D43" s="1552"/>
      <c r="E43" s="1552" t="s">
        <v>760</v>
      </c>
      <c r="F43" s="2116">
        <v>2</v>
      </c>
      <c r="G43" s="866">
        <v>125000</v>
      </c>
      <c r="H43" s="1554">
        <f t="shared" si="2"/>
        <v>250000</v>
      </c>
      <c r="I43" s="176"/>
      <c r="J43" s="176"/>
    </row>
    <row r="44" spans="1:15" ht="13.5" thickBot="1" x14ac:dyDescent="0.25">
      <c r="A44" s="1564" t="s">
        <v>682</v>
      </c>
      <c r="B44" s="1565"/>
      <c r="C44" s="1565"/>
      <c r="D44" s="1565"/>
      <c r="E44" s="1565"/>
      <c r="F44" s="1565"/>
      <c r="G44" s="1566"/>
      <c r="H44" s="1567">
        <f>SUM(H34:H43)</f>
        <v>8479600</v>
      </c>
    </row>
    <row r="45" spans="1:15" ht="13.5" thickBot="1" x14ac:dyDescent="0.25">
      <c r="A45" s="394" t="s">
        <v>683</v>
      </c>
      <c r="B45" s="1557"/>
      <c r="C45" s="1557"/>
      <c r="D45" s="1557"/>
      <c r="E45" s="1557"/>
      <c r="F45" s="1557"/>
      <c r="G45" s="1559"/>
      <c r="H45" s="1560">
        <f>SUM(H32+H44)</f>
        <v>18838120</v>
      </c>
      <c r="J45" s="176"/>
      <c r="K45" s="176"/>
    </row>
    <row r="46" spans="1:15" ht="13.5" thickTop="1" x14ac:dyDescent="0.2">
      <c r="A46" s="7" t="s">
        <v>1943</v>
      </c>
      <c r="B46" s="1569"/>
      <c r="C46" s="1569"/>
      <c r="D46" s="1569"/>
      <c r="E46" s="1569"/>
      <c r="F46" s="1569"/>
      <c r="G46" s="1569"/>
      <c r="H46" s="1569"/>
    </row>
    <row r="47" spans="1:15" x14ac:dyDescent="0.2">
      <c r="A47" s="7"/>
    </row>
    <row r="50" spans="1:8" ht="18" x14ac:dyDescent="0.25">
      <c r="A50" s="2869" t="s">
        <v>707</v>
      </c>
      <c r="B50" s="2869"/>
      <c r="C50" s="2869"/>
      <c r="D50" s="2869"/>
      <c r="E50" s="2869"/>
      <c r="F50" s="2869"/>
      <c r="G50" s="2869"/>
      <c r="H50" s="2869"/>
    </row>
    <row r="51" spans="1:8" ht="18" x14ac:dyDescent="0.25">
      <c r="A51" s="2869" t="s">
        <v>1945</v>
      </c>
      <c r="B51" s="2869"/>
      <c r="C51" s="2869"/>
      <c r="D51" s="2869"/>
      <c r="E51" s="2869"/>
      <c r="F51" s="2869"/>
      <c r="G51" s="2869"/>
      <c r="H51" s="2869"/>
    </row>
    <row r="52" spans="1:8" ht="13.5" thickBot="1" x14ac:dyDescent="0.25"/>
    <row r="53" spans="1:8" ht="13.5" thickTop="1" x14ac:dyDescent="0.2">
      <c r="A53" s="1570"/>
      <c r="B53" s="1571"/>
      <c r="C53" s="1571"/>
      <c r="D53" s="1572"/>
      <c r="E53" s="1573"/>
      <c r="F53" s="848" t="s">
        <v>622</v>
      </c>
      <c r="G53" s="848" t="s">
        <v>274</v>
      </c>
      <c r="H53" s="881" t="s">
        <v>274</v>
      </c>
    </row>
    <row r="54" spans="1:8" x14ac:dyDescent="0.2">
      <c r="A54" s="1574" t="s">
        <v>684</v>
      </c>
      <c r="B54" s="353" t="s">
        <v>620</v>
      </c>
      <c r="C54" s="353" t="s">
        <v>442</v>
      </c>
      <c r="D54" s="2870" t="s">
        <v>685</v>
      </c>
      <c r="E54" s="2871"/>
      <c r="F54" s="353" t="s">
        <v>686</v>
      </c>
      <c r="G54" s="353" t="s">
        <v>687</v>
      </c>
      <c r="H54" s="470" t="s">
        <v>688</v>
      </c>
    </row>
    <row r="55" spans="1:8" ht="13.5" thickBot="1" x14ac:dyDescent="0.25">
      <c r="A55" s="1575"/>
      <c r="B55" s="1576"/>
      <c r="C55" s="1576"/>
      <c r="D55" s="1577"/>
      <c r="E55" s="1578"/>
      <c r="F55" s="1576"/>
      <c r="G55" s="1576"/>
      <c r="H55" s="1579"/>
    </row>
    <row r="56" spans="1:8" x14ac:dyDescent="0.2">
      <c r="A56" s="391"/>
      <c r="B56" s="360"/>
      <c r="C56" s="360"/>
      <c r="D56" s="863"/>
      <c r="F56" s="360"/>
      <c r="G56" s="360"/>
      <c r="H56" s="864"/>
    </row>
    <row r="57" spans="1:8" x14ac:dyDescent="0.2">
      <c r="A57" s="391" t="s">
        <v>689</v>
      </c>
      <c r="B57" s="1552" t="s">
        <v>690</v>
      </c>
      <c r="C57" s="1552" t="s">
        <v>691</v>
      </c>
      <c r="D57" s="2872">
        <v>171000</v>
      </c>
      <c r="E57" s="2873"/>
      <c r="F57" s="426">
        <f>D57*15</f>
        <v>2565000</v>
      </c>
      <c r="G57" s="426">
        <f>D57*22</f>
        <v>3762000</v>
      </c>
      <c r="H57" s="1581">
        <f>D57*30</f>
        <v>5130000</v>
      </c>
    </row>
    <row r="58" spans="1:8" x14ac:dyDescent="0.2">
      <c r="A58" s="423" t="s">
        <v>692</v>
      </c>
      <c r="B58" s="1550" t="s">
        <v>693</v>
      </c>
      <c r="C58" s="1550" t="s">
        <v>694</v>
      </c>
      <c r="D58" s="2867">
        <v>48840</v>
      </c>
      <c r="E58" s="2868"/>
      <c r="F58" s="426">
        <f>D58*3</f>
        <v>146520</v>
      </c>
      <c r="G58" s="426">
        <f>D58*4.5</f>
        <v>219780</v>
      </c>
      <c r="H58" s="1581">
        <f>D58*6</f>
        <v>293040</v>
      </c>
    </row>
    <row r="59" spans="1:8" x14ac:dyDescent="0.2">
      <c r="A59" s="423" t="s">
        <v>579</v>
      </c>
      <c r="B59" s="1550" t="s">
        <v>693</v>
      </c>
      <c r="C59" s="1550">
        <v>24</v>
      </c>
      <c r="D59" s="2867">
        <v>48840</v>
      </c>
      <c r="E59" s="2868"/>
      <c r="F59" s="426">
        <f>D59*24</f>
        <v>1172160</v>
      </c>
      <c r="G59" s="426">
        <f>D59*24</f>
        <v>1172160</v>
      </c>
      <c r="H59" s="1581">
        <f>D59*24</f>
        <v>1172160</v>
      </c>
    </row>
    <row r="60" spans="1:8" x14ac:dyDescent="0.2">
      <c r="A60" s="423" t="s">
        <v>695</v>
      </c>
      <c r="B60" s="1550" t="s">
        <v>693</v>
      </c>
      <c r="C60" s="1550">
        <v>10</v>
      </c>
      <c r="D60" s="2867">
        <v>48840</v>
      </c>
      <c r="E60" s="2868"/>
      <c r="F60" s="426">
        <f>D60*10</f>
        <v>488400</v>
      </c>
      <c r="G60" s="426">
        <f>D60*10</f>
        <v>488400</v>
      </c>
      <c r="H60" s="1581">
        <f>D60*10</f>
        <v>488400</v>
      </c>
    </row>
    <row r="61" spans="1:8" x14ac:dyDescent="0.2">
      <c r="A61" s="862" t="s">
        <v>696</v>
      </c>
      <c r="B61" s="1552" t="s">
        <v>697</v>
      </c>
      <c r="C61" s="1582" t="s">
        <v>698</v>
      </c>
      <c r="D61" s="2867">
        <v>2800</v>
      </c>
      <c r="E61" s="2868"/>
      <c r="F61" s="426">
        <f>D61*750</f>
        <v>2100000</v>
      </c>
      <c r="G61" s="426">
        <f>D61*1000</f>
        <v>2800000</v>
      </c>
      <c r="H61" s="1581">
        <f>D61*2500</f>
        <v>7000000</v>
      </c>
    </row>
    <row r="62" spans="1:8" x14ac:dyDescent="0.2">
      <c r="A62" s="1583" t="s">
        <v>699</v>
      </c>
      <c r="B62" s="1550" t="s">
        <v>700</v>
      </c>
      <c r="C62" s="1584" t="s">
        <v>701</v>
      </c>
      <c r="D62" s="2867">
        <v>48840</v>
      </c>
      <c r="E62" s="2868"/>
      <c r="F62" s="426">
        <f>D62*46</f>
        <v>2246640</v>
      </c>
      <c r="G62" s="426">
        <f>D62*66</f>
        <v>3223440</v>
      </c>
      <c r="H62" s="1581"/>
    </row>
    <row r="63" spans="1:8" x14ac:dyDescent="0.2">
      <c r="A63" s="423" t="s">
        <v>702</v>
      </c>
      <c r="B63" s="1550"/>
      <c r="C63" s="1550"/>
      <c r="D63" s="1580"/>
      <c r="E63" s="1585"/>
      <c r="F63" s="426">
        <f>137500*1.03</f>
        <v>141625</v>
      </c>
      <c r="G63" s="426">
        <f>250000*1.03</f>
        <v>257500</v>
      </c>
      <c r="H63" s="1581">
        <f>415000*1.03</f>
        <v>427450</v>
      </c>
    </row>
    <row r="64" spans="1:8" ht="13.5" thickBot="1" x14ac:dyDescent="0.25">
      <c r="A64" s="1586" t="s">
        <v>703</v>
      </c>
      <c r="B64" s="1587"/>
      <c r="C64" s="1587"/>
      <c r="D64" s="463"/>
      <c r="E64" s="1588"/>
      <c r="F64" s="889">
        <f>170000*1.03</f>
        <v>175100</v>
      </c>
      <c r="G64" s="889">
        <f>218000*1.03</f>
        <v>224540</v>
      </c>
      <c r="H64" s="1589">
        <f>485000*1.03</f>
        <v>499550</v>
      </c>
    </row>
    <row r="65" spans="1:10" x14ac:dyDescent="0.2">
      <c r="A65" s="1590"/>
      <c r="B65" s="872"/>
      <c r="C65" s="352"/>
      <c r="D65" s="1591"/>
      <c r="E65" s="1559"/>
      <c r="F65" s="873"/>
      <c r="G65" s="873"/>
      <c r="H65" s="1592"/>
    </row>
    <row r="66" spans="1:10" x14ac:dyDescent="0.2">
      <c r="A66" s="1211" t="s">
        <v>705</v>
      </c>
      <c r="B66" s="1593"/>
      <c r="C66" s="357"/>
      <c r="D66" s="1594"/>
      <c r="E66" s="1595"/>
      <c r="F66" s="1596">
        <f>SUM(F57:F65)</f>
        <v>9035445</v>
      </c>
      <c r="G66" s="1596">
        <f>SUM(G57:G65)</f>
        <v>12147820</v>
      </c>
      <c r="H66" s="1597">
        <f>SUM(H57:H65)</f>
        <v>15010600</v>
      </c>
    </row>
    <row r="67" spans="1:10" ht="13.5" thickBot="1" x14ac:dyDescent="0.25">
      <c r="A67" s="1598"/>
      <c r="B67" s="878"/>
      <c r="C67" s="1599"/>
      <c r="D67" s="875"/>
      <c r="E67" s="1600"/>
      <c r="F67" s="1599"/>
      <c r="G67" s="1599"/>
      <c r="H67" s="1601"/>
    </row>
    <row r="68" spans="1:10" ht="14.25" thickTop="1" thickBot="1" x14ac:dyDescent="0.25">
      <c r="A68" s="1568"/>
      <c r="B68" s="1569"/>
      <c r="C68" s="1569"/>
      <c r="D68" s="1569"/>
      <c r="F68" s="2864">
        <f>(F66+G66+H66)/3</f>
        <v>12064621.666666666</v>
      </c>
      <c r="G68" s="2865"/>
      <c r="H68" s="2866"/>
      <c r="J68" s="176"/>
    </row>
    <row r="69" spans="1:10" x14ac:dyDescent="0.2">
      <c r="A69" s="7" t="s">
        <v>1943</v>
      </c>
    </row>
    <row r="71" spans="1:10" x14ac:dyDescent="0.2">
      <c r="G71" s="176"/>
    </row>
    <row r="73" spans="1:10" x14ac:dyDescent="0.2">
      <c r="F73" s="176"/>
    </row>
  </sheetData>
  <mergeCells count="16">
    <mergeCell ref="A50:H50"/>
    <mergeCell ref="A51:H51"/>
    <mergeCell ref="D54:E54"/>
    <mergeCell ref="D57:E57"/>
    <mergeCell ref="A3:H3"/>
    <mergeCell ref="A4:H4"/>
    <mergeCell ref="A6:A7"/>
    <mergeCell ref="B6:C6"/>
    <mergeCell ref="E6:E7"/>
    <mergeCell ref="F6:F7"/>
    <mergeCell ref="F68:H68"/>
    <mergeCell ref="D62:E62"/>
    <mergeCell ref="D58:E58"/>
    <mergeCell ref="D59:E59"/>
    <mergeCell ref="D60:E60"/>
    <mergeCell ref="D61:E61"/>
  </mergeCells>
  <phoneticPr fontId="13" type="noConversion"/>
  <pageMargins left="0.78740157480314965" right="0.59055118110236227" top="0.78740157480314965" bottom="0.78740157480314965" header="0" footer="0"/>
  <pageSetup scale="70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Q1170"/>
  <sheetViews>
    <sheetView zoomScale="70" zoomScaleNormal="70" workbookViewId="0">
      <selection activeCell="A2" sqref="A2"/>
    </sheetView>
  </sheetViews>
  <sheetFormatPr baseColWidth="10" defaultColWidth="11.42578125" defaultRowHeight="12.75" x14ac:dyDescent="0.2"/>
  <cols>
    <col min="1" max="1" width="14.42578125" customWidth="1"/>
    <col min="2" max="2" width="26.140625" customWidth="1"/>
    <col min="3" max="3" width="13.5703125" customWidth="1"/>
    <col min="5" max="5" width="7.7109375" customWidth="1"/>
    <col min="6" max="6" width="7.42578125" customWidth="1"/>
    <col min="7" max="7" width="7.85546875" customWidth="1"/>
    <col min="8" max="8" width="9.140625" customWidth="1"/>
    <col min="9" max="9" width="7" customWidth="1"/>
    <col min="10" max="10" width="9.140625" customWidth="1"/>
    <col min="11" max="11" width="2.7109375" customWidth="1"/>
    <col min="12" max="12" width="28" customWidth="1"/>
    <col min="13" max="13" width="14.28515625" customWidth="1"/>
    <col min="15" max="15" width="6.28515625" customWidth="1"/>
    <col min="16" max="16" width="11.140625" customWidth="1"/>
    <col min="17" max="17" width="7.28515625" customWidth="1"/>
    <col min="18" max="18" width="8.140625" customWidth="1"/>
    <col min="19" max="19" width="5.5703125" customWidth="1"/>
    <col min="20" max="20" width="11.7109375" customWidth="1"/>
    <col min="21" max="21" width="3" customWidth="1"/>
    <col min="23" max="23" width="25" customWidth="1"/>
    <col min="24" max="24" width="14.42578125" customWidth="1"/>
    <col min="26" max="26" width="8.42578125" customWidth="1"/>
    <col min="27" max="28" width="8.140625" customWidth="1"/>
    <col min="29" max="29" width="7.42578125" customWidth="1"/>
    <col min="30" max="30" width="8.42578125" customWidth="1"/>
    <col min="31" max="31" width="8.5703125" customWidth="1"/>
    <col min="32" max="32" width="2.42578125" customWidth="1"/>
    <col min="33" max="33" width="27.7109375" customWidth="1"/>
    <col min="34" max="34" width="14.140625" customWidth="1"/>
    <col min="36" max="36" width="9.140625" customWidth="1"/>
    <col min="37" max="37" width="5.140625" customWidth="1"/>
    <col min="38" max="38" width="8.140625" customWidth="1"/>
    <col min="39" max="39" width="6.7109375" customWidth="1"/>
    <col min="40" max="40" width="8.140625" customWidth="1"/>
    <col min="41" max="41" width="8.85546875" customWidth="1"/>
  </cols>
  <sheetData>
    <row r="1" spans="1:41" x14ac:dyDescent="0.2">
      <c r="A1" s="2367"/>
    </row>
    <row r="3" spans="1:41" ht="15.95" customHeight="1" x14ac:dyDescent="0.2">
      <c r="A3" s="2611" t="s">
        <v>1925</v>
      </c>
      <c r="B3" s="2611"/>
      <c r="C3" s="2611"/>
      <c r="D3" s="2611"/>
      <c r="E3" s="2611"/>
      <c r="F3" s="2611"/>
      <c r="G3" s="2611"/>
      <c r="H3" s="2611"/>
      <c r="I3" s="2611"/>
      <c r="J3" s="2611"/>
      <c r="K3" s="2611"/>
      <c r="L3" s="2611"/>
      <c r="M3" s="2611"/>
      <c r="N3" s="2611"/>
      <c r="O3" s="2611"/>
      <c r="P3" s="2611"/>
      <c r="Q3" s="2611"/>
      <c r="R3" s="2611"/>
      <c r="S3" s="2611"/>
      <c r="T3" s="2611"/>
      <c r="U3" s="293"/>
      <c r="V3" s="2611" t="s">
        <v>1924</v>
      </c>
      <c r="W3" s="2611"/>
      <c r="X3" s="2611"/>
      <c r="Y3" s="2611"/>
      <c r="Z3" s="2611"/>
      <c r="AA3" s="2611"/>
      <c r="AB3" s="2611"/>
      <c r="AC3" s="2611"/>
      <c r="AD3" s="2611"/>
      <c r="AE3" s="2611"/>
      <c r="AF3" s="2611"/>
      <c r="AG3" s="2611"/>
      <c r="AH3" s="2611"/>
      <c r="AI3" s="2611"/>
      <c r="AJ3" s="2611"/>
      <c r="AK3" s="2611"/>
      <c r="AL3" s="2611"/>
      <c r="AM3" s="2611"/>
      <c r="AN3" s="2611"/>
      <c r="AO3" s="2611"/>
    </row>
    <row r="4" spans="1:41" ht="15.95" customHeight="1" thickBot="1" x14ac:dyDescent="0.25">
      <c r="A4" s="2611"/>
      <c r="B4" s="2611"/>
      <c r="C4" s="2611"/>
      <c r="D4" s="2611"/>
      <c r="E4" s="2611"/>
      <c r="F4" s="2611"/>
      <c r="G4" s="2611"/>
      <c r="H4" s="2611"/>
      <c r="I4" s="2611"/>
      <c r="J4" s="2611"/>
      <c r="K4" s="2611"/>
      <c r="L4" s="2611"/>
      <c r="M4" s="2611"/>
      <c r="N4" s="2611"/>
      <c r="O4" s="2611"/>
      <c r="P4" s="2611"/>
      <c r="Q4" s="2611"/>
      <c r="R4" s="2611"/>
      <c r="S4" s="2611"/>
      <c r="T4" s="2611"/>
      <c r="U4" s="45"/>
      <c r="V4" s="2611"/>
      <c r="W4" s="2611"/>
      <c r="X4" s="2611"/>
      <c r="Y4" s="2611"/>
      <c r="Z4" s="2611"/>
      <c r="AA4" s="2611"/>
      <c r="AB4" s="2611"/>
      <c r="AC4" s="2611"/>
      <c r="AD4" s="2611"/>
      <c r="AE4" s="2611"/>
      <c r="AF4" s="2611"/>
      <c r="AG4" s="2611"/>
      <c r="AH4" s="2611"/>
      <c r="AI4" s="2611"/>
      <c r="AJ4" s="2611"/>
      <c r="AK4" s="2611"/>
      <c r="AL4" s="2611"/>
      <c r="AM4" s="2611"/>
      <c r="AN4" s="2611"/>
      <c r="AO4" s="2611"/>
    </row>
    <row r="5" spans="1:41" ht="15.95" customHeight="1" x14ac:dyDescent="0.2">
      <c r="A5" s="2954" t="s">
        <v>435</v>
      </c>
      <c r="B5" s="2955"/>
      <c r="C5" s="2954" t="s">
        <v>436</v>
      </c>
      <c r="D5" s="2960"/>
      <c r="E5" s="2960"/>
      <c r="F5" s="2955"/>
      <c r="G5" s="2954" t="s">
        <v>437</v>
      </c>
      <c r="H5" s="2955"/>
      <c r="I5" s="2954" t="s">
        <v>438</v>
      </c>
      <c r="J5" s="2955"/>
      <c r="K5" s="266"/>
      <c r="L5" s="2962" t="s">
        <v>435</v>
      </c>
      <c r="M5" s="2954" t="s">
        <v>436</v>
      </c>
      <c r="N5" s="2960"/>
      <c r="O5" s="2960"/>
      <c r="P5" s="2955"/>
      <c r="Q5" s="2954" t="s">
        <v>437</v>
      </c>
      <c r="R5" s="2955"/>
      <c r="S5" s="2954"/>
      <c r="T5" s="2955"/>
      <c r="U5" s="224"/>
      <c r="V5" s="2954" t="s">
        <v>435</v>
      </c>
      <c r="W5" s="2955"/>
      <c r="X5" s="2954" t="s">
        <v>436</v>
      </c>
      <c r="Y5" s="2960"/>
      <c r="Z5" s="2960"/>
      <c r="AA5" s="2955"/>
      <c r="AB5" s="2954" t="s">
        <v>437</v>
      </c>
      <c r="AC5" s="2955"/>
      <c r="AD5" s="2954" t="s">
        <v>438</v>
      </c>
      <c r="AE5" s="2955"/>
      <c r="AF5" s="266"/>
      <c r="AG5" s="2962" t="s">
        <v>435</v>
      </c>
      <c r="AH5" s="2954" t="s">
        <v>436</v>
      </c>
      <c r="AI5" s="2960"/>
      <c r="AJ5" s="2960"/>
      <c r="AK5" s="2955"/>
      <c r="AL5" s="2954" t="s">
        <v>437</v>
      </c>
      <c r="AM5" s="2955"/>
      <c r="AN5" s="2954"/>
      <c r="AO5" s="2965"/>
    </row>
    <row r="6" spans="1:41" ht="16.5" customHeight="1" thickBot="1" x14ac:dyDescent="0.25">
      <c r="A6" s="2956"/>
      <c r="B6" s="2957"/>
      <c r="C6" s="2958"/>
      <c r="D6" s="2961"/>
      <c r="E6" s="2961"/>
      <c r="F6" s="2959"/>
      <c r="G6" s="2956" t="s">
        <v>440</v>
      </c>
      <c r="H6" s="2957"/>
      <c r="I6" s="2956"/>
      <c r="J6" s="2957"/>
      <c r="K6" s="266"/>
      <c r="L6" s="2963"/>
      <c r="M6" s="2958"/>
      <c r="N6" s="2961"/>
      <c r="O6" s="2961"/>
      <c r="P6" s="2959"/>
      <c r="Q6" s="2956" t="s">
        <v>440</v>
      </c>
      <c r="R6" s="2957"/>
      <c r="S6" s="2956" t="s">
        <v>274</v>
      </c>
      <c r="T6" s="2957"/>
      <c r="U6" s="224"/>
      <c r="V6" s="2956"/>
      <c r="W6" s="2957"/>
      <c r="X6" s="2958"/>
      <c r="Y6" s="2961"/>
      <c r="Z6" s="2961"/>
      <c r="AA6" s="2959"/>
      <c r="AB6" s="2956" t="s">
        <v>440</v>
      </c>
      <c r="AC6" s="2957"/>
      <c r="AD6" s="2956"/>
      <c r="AE6" s="2957"/>
      <c r="AF6" s="266"/>
      <c r="AG6" s="2963"/>
      <c r="AH6" s="2958"/>
      <c r="AI6" s="2961"/>
      <c r="AJ6" s="2961"/>
      <c r="AK6" s="2959"/>
      <c r="AL6" s="2956" t="s">
        <v>440</v>
      </c>
      <c r="AM6" s="2957"/>
      <c r="AN6" s="2956" t="s">
        <v>274</v>
      </c>
      <c r="AO6" s="2926"/>
    </row>
    <row r="7" spans="1:41" ht="15.95" customHeight="1" x14ac:dyDescent="0.2">
      <c r="A7" s="2956"/>
      <c r="B7" s="2957"/>
      <c r="C7" s="1744" t="s">
        <v>441</v>
      </c>
      <c r="D7" s="2963" t="s">
        <v>442</v>
      </c>
      <c r="E7" s="2956" t="s">
        <v>443</v>
      </c>
      <c r="F7" s="2957"/>
      <c r="G7" s="2956" t="s">
        <v>444</v>
      </c>
      <c r="H7" s="2957"/>
      <c r="I7" s="2956" t="s">
        <v>348</v>
      </c>
      <c r="J7" s="2957"/>
      <c r="K7" s="266"/>
      <c r="L7" s="2963"/>
      <c r="M7" s="1742" t="s">
        <v>441</v>
      </c>
      <c r="N7" s="2962" t="s">
        <v>442</v>
      </c>
      <c r="O7" s="2954" t="s">
        <v>443</v>
      </c>
      <c r="P7" s="2955"/>
      <c r="Q7" s="2956" t="s">
        <v>444</v>
      </c>
      <c r="R7" s="2957"/>
      <c r="S7" s="2956" t="s">
        <v>348</v>
      </c>
      <c r="T7" s="2957"/>
      <c r="U7" s="224"/>
      <c r="V7" s="2956"/>
      <c r="W7" s="2957"/>
      <c r="X7" s="1744" t="s">
        <v>441</v>
      </c>
      <c r="Y7" s="2963" t="s">
        <v>442</v>
      </c>
      <c r="Z7" s="2956" t="s">
        <v>443</v>
      </c>
      <c r="AA7" s="2957"/>
      <c r="AB7" s="2956" t="s">
        <v>444</v>
      </c>
      <c r="AC7" s="2957"/>
      <c r="AD7" s="2956" t="s">
        <v>348</v>
      </c>
      <c r="AE7" s="2957"/>
      <c r="AF7" s="266"/>
      <c r="AG7" s="2963"/>
      <c r="AH7" s="1742" t="s">
        <v>441</v>
      </c>
      <c r="AI7" s="2963" t="s">
        <v>442</v>
      </c>
      <c r="AJ7" s="2956" t="s">
        <v>443</v>
      </c>
      <c r="AK7" s="2957"/>
      <c r="AL7" s="2956" t="s">
        <v>444</v>
      </c>
      <c r="AM7" s="2957"/>
      <c r="AN7" s="2956" t="s">
        <v>348</v>
      </c>
      <c r="AO7" s="2926"/>
    </row>
    <row r="8" spans="1:41" ht="15.95" customHeight="1" thickBot="1" x14ac:dyDescent="0.25">
      <c r="A8" s="2958"/>
      <c r="B8" s="2959"/>
      <c r="C8" s="1745" t="s">
        <v>445</v>
      </c>
      <c r="D8" s="2964"/>
      <c r="E8" s="2958"/>
      <c r="F8" s="2959"/>
      <c r="G8" s="2958"/>
      <c r="H8" s="2959"/>
      <c r="I8" s="2958"/>
      <c r="J8" s="2959"/>
      <c r="K8" s="266"/>
      <c r="L8" s="2964"/>
      <c r="M8" s="1743" t="s">
        <v>445</v>
      </c>
      <c r="N8" s="2964"/>
      <c r="O8" s="2958"/>
      <c r="P8" s="2959"/>
      <c r="Q8" s="2958"/>
      <c r="R8" s="2959"/>
      <c r="S8" s="2958"/>
      <c r="T8" s="2959"/>
      <c r="U8" s="224"/>
      <c r="V8" s="2958"/>
      <c r="W8" s="2959"/>
      <c r="X8" s="1745" t="s">
        <v>445</v>
      </c>
      <c r="Y8" s="2964"/>
      <c r="Z8" s="2958"/>
      <c r="AA8" s="2959"/>
      <c r="AB8" s="2958"/>
      <c r="AC8" s="2959"/>
      <c r="AD8" s="2958"/>
      <c r="AE8" s="2959"/>
      <c r="AF8" s="266"/>
      <c r="AG8" s="2964"/>
      <c r="AH8" s="1743" t="s">
        <v>445</v>
      </c>
      <c r="AI8" s="2964"/>
      <c r="AJ8" s="2958"/>
      <c r="AK8" s="2959"/>
      <c r="AL8" s="2958"/>
      <c r="AM8" s="2959"/>
      <c r="AN8" s="2966"/>
      <c r="AO8" s="2967"/>
    </row>
    <row r="9" spans="1:41" ht="15.95" customHeight="1" x14ac:dyDescent="0.2">
      <c r="A9" s="2927" t="s">
        <v>446</v>
      </c>
      <c r="B9" s="2928"/>
      <c r="C9" s="1746"/>
      <c r="D9" s="1747"/>
      <c r="E9" s="2925"/>
      <c r="F9" s="2926"/>
      <c r="G9" s="2925"/>
      <c r="H9" s="2926"/>
      <c r="I9" s="2925"/>
      <c r="J9" s="2926"/>
      <c r="K9" s="266"/>
      <c r="L9" s="1748" t="s">
        <v>447</v>
      </c>
      <c r="M9" s="1749"/>
      <c r="N9" s="1750"/>
      <c r="O9" s="2923"/>
      <c r="P9" s="2924"/>
      <c r="Q9" s="2923"/>
      <c r="R9" s="2924"/>
      <c r="S9" s="2923"/>
      <c r="T9" s="2924"/>
      <c r="U9" s="1751"/>
      <c r="V9" s="2927" t="s">
        <v>446</v>
      </c>
      <c r="W9" s="2928"/>
      <c r="X9" s="1746"/>
      <c r="Y9" s="1747"/>
      <c r="Z9" s="2925"/>
      <c r="AA9" s="2926"/>
      <c r="AB9" s="2925"/>
      <c r="AC9" s="2926"/>
      <c r="AD9" s="2925"/>
      <c r="AE9" s="2926"/>
      <c r="AF9" s="266"/>
      <c r="AG9" s="1748" t="s">
        <v>447</v>
      </c>
      <c r="AH9" s="1749"/>
      <c r="AI9" s="1750"/>
      <c r="AJ9" s="2923"/>
      <c r="AK9" s="2924"/>
      <c r="AL9" s="2923"/>
      <c r="AM9" s="2924"/>
      <c r="AN9" s="2923"/>
      <c r="AO9" s="2924"/>
    </row>
    <row r="10" spans="1:41" ht="15.95" customHeight="1" x14ac:dyDescent="0.2">
      <c r="A10" s="2934" t="s">
        <v>979</v>
      </c>
      <c r="B10" s="2935"/>
      <c r="C10" s="1752"/>
      <c r="D10" s="1747"/>
      <c r="E10" s="2925"/>
      <c r="F10" s="2926"/>
      <c r="G10" s="2925"/>
      <c r="H10" s="2926"/>
      <c r="I10" s="2938">
        <f>SUM(I11:J12)</f>
        <v>0</v>
      </c>
      <c r="J10" s="2939"/>
      <c r="K10" s="266"/>
      <c r="L10" s="1753"/>
      <c r="M10" s="1754"/>
      <c r="N10" s="1747"/>
      <c r="O10" s="2883"/>
      <c r="P10" s="2884"/>
      <c r="Q10" s="2883"/>
      <c r="R10" s="2884"/>
      <c r="S10" s="2883"/>
      <c r="T10" s="2884"/>
      <c r="U10" s="1751"/>
      <c r="V10" s="2934" t="s">
        <v>979</v>
      </c>
      <c r="W10" s="2935"/>
      <c r="X10" s="1752"/>
      <c r="Y10" s="1747"/>
      <c r="Z10" s="2925"/>
      <c r="AA10" s="2926"/>
      <c r="AB10" s="2925"/>
      <c r="AC10" s="2926"/>
      <c r="AD10" s="2938">
        <f>SUM(AD11:AE12)</f>
        <v>0</v>
      </c>
      <c r="AE10" s="2939"/>
      <c r="AF10" s="266"/>
      <c r="AG10" s="1753"/>
      <c r="AH10" s="1754"/>
      <c r="AI10" s="1747"/>
      <c r="AJ10" s="2883"/>
      <c r="AK10" s="2884"/>
      <c r="AL10" s="2883"/>
      <c r="AM10" s="2884"/>
      <c r="AN10" s="2883"/>
      <c r="AO10" s="2884"/>
    </row>
    <row r="11" spans="1:41" ht="15.95" customHeight="1" x14ac:dyDescent="0.2">
      <c r="A11" s="2940" t="s">
        <v>980</v>
      </c>
      <c r="B11" s="2941"/>
      <c r="C11" s="1752"/>
      <c r="D11" s="1747"/>
      <c r="E11" s="2925"/>
      <c r="F11" s="2926"/>
      <c r="G11" s="2925"/>
      <c r="H11" s="2926"/>
      <c r="I11" s="2925"/>
      <c r="J11" s="2926"/>
      <c r="K11" s="266"/>
      <c r="L11" s="1753" t="s">
        <v>450</v>
      </c>
      <c r="M11" s="1747" t="s">
        <v>574</v>
      </c>
      <c r="N11" s="1747" t="s">
        <v>452</v>
      </c>
      <c r="O11" s="2883">
        <v>7200</v>
      </c>
      <c r="P11" s="2884"/>
      <c r="Q11" s="2883">
        <f>569*1.0928</f>
        <v>621.80319999999995</v>
      </c>
      <c r="R11" s="2884"/>
      <c r="S11" s="2883">
        <f>O11*Q11</f>
        <v>4476983.04</v>
      </c>
      <c r="T11" s="2884"/>
      <c r="U11" s="1751"/>
      <c r="V11" s="2940" t="s">
        <v>980</v>
      </c>
      <c r="W11" s="2941"/>
      <c r="X11" s="1752"/>
      <c r="Y11" s="1747"/>
      <c r="Z11" s="2925"/>
      <c r="AA11" s="2926"/>
      <c r="AB11" s="2925"/>
      <c r="AC11" s="2926"/>
      <c r="AD11" s="2925"/>
      <c r="AE11" s="2926"/>
      <c r="AF11" s="266"/>
      <c r="AG11" s="1753" t="s">
        <v>450</v>
      </c>
      <c r="AH11" s="1747"/>
      <c r="AI11" s="1747"/>
      <c r="AJ11" s="2883"/>
      <c r="AK11" s="2884"/>
      <c r="AL11" s="2883"/>
      <c r="AM11" s="2884"/>
      <c r="AN11" s="2883"/>
      <c r="AO11" s="2884"/>
    </row>
    <row r="12" spans="1:41" ht="15.95" customHeight="1" x14ac:dyDescent="0.2">
      <c r="A12" s="2940" t="s">
        <v>981</v>
      </c>
      <c r="B12" s="2941"/>
      <c r="C12" s="1752"/>
      <c r="D12" s="1747"/>
      <c r="E12" s="2925"/>
      <c r="F12" s="2926"/>
      <c r="G12" s="2925"/>
      <c r="H12" s="2926"/>
      <c r="I12" s="2925"/>
      <c r="J12" s="2926"/>
      <c r="K12" s="266"/>
      <c r="L12" s="1753" t="s">
        <v>853</v>
      </c>
      <c r="M12" s="1754"/>
      <c r="N12" s="1747"/>
      <c r="O12" s="2883"/>
      <c r="P12" s="2884"/>
      <c r="Q12" s="2883"/>
      <c r="R12" s="2884"/>
      <c r="S12" s="2883">
        <f t="shared" ref="S12:S27" si="0">O12*Q12</f>
        <v>0</v>
      </c>
      <c r="T12" s="2884"/>
      <c r="U12" s="1751"/>
      <c r="V12" s="2940" t="s">
        <v>981</v>
      </c>
      <c r="W12" s="2941"/>
      <c r="X12" s="1752"/>
      <c r="Y12" s="1747"/>
      <c r="Z12" s="2925"/>
      <c r="AA12" s="2926"/>
      <c r="AB12" s="2925"/>
      <c r="AC12" s="2926"/>
      <c r="AD12" s="2925"/>
      <c r="AE12" s="2926"/>
      <c r="AF12" s="266"/>
      <c r="AG12" s="1753" t="s">
        <v>853</v>
      </c>
      <c r="AH12" s="1754"/>
      <c r="AI12" s="1747"/>
      <c r="AJ12" s="2883"/>
      <c r="AK12" s="2884"/>
      <c r="AL12" s="2883"/>
      <c r="AM12" s="2884"/>
      <c r="AN12" s="2883">
        <f t="shared" ref="AN12:AN27" si="1">AJ12*AL12</f>
        <v>0</v>
      </c>
      <c r="AO12" s="2884"/>
    </row>
    <row r="13" spans="1:41" ht="15.95" customHeight="1" x14ac:dyDescent="0.2">
      <c r="A13" s="2934" t="s">
        <v>990</v>
      </c>
      <c r="B13" s="2935"/>
      <c r="C13" s="1752"/>
      <c r="D13" s="1747"/>
      <c r="E13" s="2925"/>
      <c r="F13" s="2926"/>
      <c r="G13" s="2925"/>
      <c r="H13" s="2926"/>
      <c r="I13" s="2938">
        <f>SUM(I14:J15)</f>
        <v>0</v>
      </c>
      <c r="J13" s="2939"/>
      <c r="K13" s="266"/>
      <c r="L13" s="1753" t="s">
        <v>859</v>
      </c>
      <c r="M13" s="1754"/>
      <c r="N13" s="1747"/>
      <c r="O13" s="2883"/>
      <c r="P13" s="2884"/>
      <c r="Q13" s="2883"/>
      <c r="R13" s="2884"/>
      <c r="S13" s="2883">
        <f t="shared" si="0"/>
        <v>0</v>
      </c>
      <c r="T13" s="2884"/>
      <c r="U13" s="1751"/>
      <c r="V13" s="2934" t="s">
        <v>990</v>
      </c>
      <c r="W13" s="2935"/>
      <c r="X13" s="1752"/>
      <c r="Y13" s="1747"/>
      <c r="Z13" s="2925"/>
      <c r="AA13" s="2926"/>
      <c r="AB13" s="2925"/>
      <c r="AC13" s="2926"/>
      <c r="AD13" s="2938">
        <f>SUM(AD14:AE16)</f>
        <v>0</v>
      </c>
      <c r="AE13" s="2939"/>
      <c r="AF13" s="266"/>
      <c r="AG13" s="1753" t="s">
        <v>859</v>
      </c>
      <c r="AH13" s="1754"/>
      <c r="AI13" s="1747"/>
      <c r="AJ13" s="2883"/>
      <c r="AK13" s="2884"/>
      <c r="AL13" s="2883"/>
      <c r="AM13" s="2884"/>
      <c r="AN13" s="2883">
        <f t="shared" si="1"/>
        <v>0</v>
      </c>
      <c r="AO13" s="2884"/>
    </row>
    <row r="14" spans="1:41" ht="15.95" customHeight="1" x14ac:dyDescent="0.2">
      <c r="A14" s="2940" t="s">
        <v>991</v>
      </c>
      <c r="B14" s="2941"/>
      <c r="C14" s="1752"/>
      <c r="D14" s="1747"/>
      <c r="E14" s="2925"/>
      <c r="F14" s="2926"/>
      <c r="G14" s="2925"/>
      <c r="H14" s="2926"/>
      <c r="I14" s="2925"/>
      <c r="J14" s="2926"/>
      <c r="K14" s="266"/>
      <c r="L14" s="1753" t="s">
        <v>861</v>
      </c>
      <c r="M14" s="1747"/>
      <c r="N14" s="1747"/>
      <c r="O14" s="2883"/>
      <c r="P14" s="2884"/>
      <c r="Q14" s="2883"/>
      <c r="R14" s="2884"/>
      <c r="S14" s="2883">
        <f t="shared" si="0"/>
        <v>0</v>
      </c>
      <c r="T14" s="2884"/>
      <c r="U14" s="1751"/>
      <c r="V14" s="2940" t="s">
        <v>991</v>
      </c>
      <c r="W14" s="2941"/>
      <c r="X14" s="1752"/>
      <c r="Y14" s="1747"/>
      <c r="Z14" s="2925"/>
      <c r="AA14" s="2926"/>
      <c r="AB14" s="2925"/>
      <c r="AC14" s="2926"/>
      <c r="AD14" s="2925"/>
      <c r="AE14" s="2926"/>
      <c r="AF14" s="266"/>
      <c r="AG14" s="1753" t="s">
        <v>861</v>
      </c>
      <c r="AH14" s="1747"/>
      <c r="AI14" s="1747"/>
      <c r="AJ14" s="2883"/>
      <c r="AK14" s="2884"/>
      <c r="AL14" s="2883"/>
      <c r="AM14" s="2884"/>
      <c r="AN14" s="2883">
        <f t="shared" si="1"/>
        <v>0</v>
      </c>
      <c r="AO14" s="2884"/>
    </row>
    <row r="15" spans="1:41" ht="15.95" customHeight="1" x14ac:dyDescent="0.2">
      <c r="A15" s="2940" t="s">
        <v>981</v>
      </c>
      <c r="B15" s="2941"/>
      <c r="C15" s="1752"/>
      <c r="D15" s="1747"/>
      <c r="E15" s="2925"/>
      <c r="F15" s="2926"/>
      <c r="G15" s="2925"/>
      <c r="H15" s="2926"/>
      <c r="I15" s="2925"/>
      <c r="J15" s="2926"/>
      <c r="K15" s="266"/>
      <c r="L15" s="1753" t="s">
        <v>863</v>
      </c>
      <c r="M15" s="1747"/>
      <c r="N15" s="1747"/>
      <c r="O15" s="2883"/>
      <c r="P15" s="2884"/>
      <c r="Q15" s="2883"/>
      <c r="R15" s="2884"/>
      <c r="S15" s="2883">
        <f t="shared" si="0"/>
        <v>0</v>
      </c>
      <c r="T15" s="2884"/>
      <c r="U15" s="1751"/>
      <c r="V15" s="2940" t="s">
        <v>981</v>
      </c>
      <c r="W15" s="2941"/>
      <c r="X15" s="1752"/>
      <c r="Y15" s="1747"/>
      <c r="Z15" s="2925"/>
      <c r="AA15" s="2926"/>
      <c r="AB15" s="2925"/>
      <c r="AC15" s="2926"/>
      <c r="AD15" s="2925"/>
      <c r="AE15" s="2926"/>
      <c r="AF15" s="266"/>
      <c r="AG15" s="1753" t="s">
        <v>863</v>
      </c>
      <c r="AH15" s="1747"/>
      <c r="AI15" s="1747"/>
      <c r="AJ15" s="2883"/>
      <c r="AK15" s="2884"/>
      <c r="AL15" s="2883"/>
      <c r="AM15" s="2884"/>
      <c r="AN15" s="2883">
        <f t="shared" si="1"/>
        <v>0</v>
      </c>
      <c r="AO15" s="2884"/>
    </row>
    <row r="16" spans="1:41" ht="15.95" customHeight="1" x14ac:dyDescent="0.2">
      <c r="A16" s="2940" t="s">
        <v>992</v>
      </c>
      <c r="B16" s="2941"/>
      <c r="C16" s="1752"/>
      <c r="D16" s="1747"/>
      <c r="E16" s="2925"/>
      <c r="F16" s="2926"/>
      <c r="G16" s="2925"/>
      <c r="H16" s="2926"/>
      <c r="I16" s="2925"/>
      <c r="J16" s="2926"/>
      <c r="K16" s="266"/>
      <c r="L16" s="1753" t="s">
        <v>534</v>
      </c>
      <c r="M16" s="1754"/>
      <c r="N16" s="1747"/>
      <c r="O16" s="2883"/>
      <c r="P16" s="2884"/>
      <c r="Q16" s="2883"/>
      <c r="R16" s="2884"/>
      <c r="S16" s="2883">
        <f t="shared" si="0"/>
        <v>0</v>
      </c>
      <c r="T16" s="2884"/>
      <c r="U16" s="1751"/>
      <c r="V16" s="2940" t="s">
        <v>992</v>
      </c>
      <c r="W16" s="2941"/>
      <c r="X16" s="1752"/>
      <c r="Y16" s="1747"/>
      <c r="Z16" s="2925"/>
      <c r="AA16" s="2926"/>
      <c r="AB16" s="2925"/>
      <c r="AC16" s="2926"/>
      <c r="AD16" s="2925"/>
      <c r="AE16" s="2926"/>
      <c r="AF16" s="266"/>
      <c r="AG16" s="1753" t="s">
        <v>534</v>
      </c>
      <c r="AH16" s="1754"/>
      <c r="AI16" s="1747"/>
      <c r="AJ16" s="2883"/>
      <c r="AK16" s="2884"/>
      <c r="AL16" s="2883"/>
      <c r="AM16" s="2884"/>
      <c r="AN16" s="2883">
        <f t="shared" si="1"/>
        <v>0</v>
      </c>
      <c r="AO16" s="2884"/>
    </row>
    <row r="17" spans="1:41" ht="15.95" customHeight="1" x14ac:dyDescent="0.2">
      <c r="A17" s="2934" t="s">
        <v>993</v>
      </c>
      <c r="B17" s="2935"/>
      <c r="C17" s="1752"/>
      <c r="D17" s="1747"/>
      <c r="E17" s="2925"/>
      <c r="F17" s="2926"/>
      <c r="G17" s="2925"/>
      <c r="H17" s="2926"/>
      <c r="I17" s="2936">
        <f>SUM(I18:J27)</f>
        <v>2350000</v>
      </c>
      <c r="J17" s="2939"/>
      <c r="K17" s="266"/>
      <c r="L17" s="1753" t="s">
        <v>535</v>
      </c>
      <c r="M17" s="2018" t="s">
        <v>590</v>
      </c>
      <c r="N17" s="1747" t="s">
        <v>851</v>
      </c>
      <c r="O17" s="2883">
        <v>8</v>
      </c>
      <c r="P17" s="2884"/>
      <c r="Q17" s="2883">
        <v>223254</v>
      </c>
      <c r="R17" s="2884"/>
      <c r="S17" s="2883">
        <f t="shared" si="0"/>
        <v>1786032</v>
      </c>
      <c r="T17" s="2884"/>
      <c r="U17" s="1751"/>
      <c r="V17" s="2934" t="s">
        <v>994</v>
      </c>
      <c r="W17" s="2935"/>
      <c r="X17" s="1752"/>
      <c r="Y17" s="1747"/>
      <c r="Z17" s="2925"/>
      <c r="AA17" s="2926"/>
      <c r="AB17" s="2925"/>
      <c r="AC17" s="2926"/>
      <c r="AD17" s="2936">
        <f>SUM(AD18:AE27)</f>
        <v>0</v>
      </c>
      <c r="AE17" s="2939"/>
      <c r="AF17" s="266"/>
      <c r="AG17" s="1753" t="s">
        <v>535</v>
      </c>
      <c r="AH17" s="1747" t="s">
        <v>753</v>
      </c>
      <c r="AI17" s="1747" t="s">
        <v>460</v>
      </c>
      <c r="AJ17" s="2883">
        <v>5</v>
      </c>
      <c r="AK17" s="2884"/>
      <c r="AL17" s="2883">
        <v>188974</v>
      </c>
      <c r="AM17" s="2884"/>
      <c r="AN17" s="2883">
        <f t="shared" si="1"/>
        <v>944870</v>
      </c>
      <c r="AO17" s="2884"/>
    </row>
    <row r="18" spans="1:41" ht="15.95" customHeight="1" x14ac:dyDescent="0.2">
      <c r="A18" s="2968" t="s">
        <v>995</v>
      </c>
      <c r="B18" s="2969"/>
      <c r="C18" s="1758" t="s">
        <v>496</v>
      </c>
      <c r="D18" s="1747" t="s">
        <v>497</v>
      </c>
      <c r="E18" s="2883">
        <v>20</v>
      </c>
      <c r="F18" s="2884"/>
      <c r="G18" s="2921">
        <v>47000</v>
      </c>
      <c r="H18" s="2970"/>
      <c r="I18" s="2883">
        <f t="shared" ref="I18:I27" si="2">E18*G18</f>
        <v>940000</v>
      </c>
      <c r="J18" s="2884"/>
      <c r="K18" s="266"/>
      <c r="L18" s="1753" t="s">
        <v>535</v>
      </c>
      <c r="M18" s="2018" t="s">
        <v>753</v>
      </c>
      <c r="N18" s="1747" t="s">
        <v>851</v>
      </c>
      <c r="O18" s="2883">
        <v>8</v>
      </c>
      <c r="P18" s="2884"/>
      <c r="Q18" s="2883">
        <v>188974</v>
      </c>
      <c r="R18" s="2884"/>
      <c r="S18" s="2883">
        <f t="shared" si="0"/>
        <v>1511792</v>
      </c>
      <c r="T18" s="2884"/>
      <c r="U18" s="1751"/>
      <c r="V18" s="2968" t="s">
        <v>995</v>
      </c>
      <c r="W18" s="2969"/>
      <c r="X18" s="1752"/>
      <c r="Y18" s="1747"/>
      <c r="Z18" s="2883"/>
      <c r="AA18" s="2884"/>
      <c r="AB18" s="2883"/>
      <c r="AC18" s="2884"/>
      <c r="AD18" s="2883"/>
      <c r="AE18" s="2884"/>
      <c r="AF18" s="266"/>
      <c r="AG18" s="1753" t="s">
        <v>537</v>
      </c>
      <c r="AH18" s="1747"/>
      <c r="AI18" s="1747"/>
      <c r="AJ18" s="2883"/>
      <c r="AK18" s="2884"/>
      <c r="AL18" s="2883"/>
      <c r="AM18" s="2884"/>
      <c r="AN18" s="2883">
        <f t="shared" si="1"/>
        <v>0</v>
      </c>
      <c r="AO18" s="2884"/>
    </row>
    <row r="19" spans="1:41" ht="15.95" customHeight="1" x14ac:dyDescent="0.2">
      <c r="A19" s="2968" t="s">
        <v>996</v>
      </c>
      <c r="B19" s="2969"/>
      <c r="C19" s="1758"/>
      <c r="D19" s="1747"/>
      <c r="E19" s="2883"/>
      <c r="F19" s="2884"/>
      <c r="G19" s="2883"/>
      <c r="H19" s="2884"/>
      <c r="I19" s="2883">
        <f t="shared" si="2"/>
        <v>0</v>
      </c>
      <c r="J19" s="2884"/>
      <c r="K19" s="266"/>
      <c r="L19" s="1753" t="s">
        <v>866</v>
      </c>
      <c r="M19" s="2018" t="s">
        <v>997</v>
      </c>
      <c r="N19" s="1747" t="s">
        <v>851</v>
      </c>
      <c r="O19" s="2883">
        <v>8</v>
      </c>
      <c r="P19" s="2884"/>
      <c r="Q19" s="2883">
        <f>20667*1.0928</f>
        <v>22584.8976</v>
      </c>
      <c r="R19" s="2884"/>
      <c r="S19" s="2883">
        <f t="shared" si="0"/>
        <v>180679.1808</v>
      </c>
      <c r="T19" s="2884"/>
      <c r="U19" s="1751"/>
      <c r="V19" s="2968" t="s">
        <v>996</v>
      </c>
      <c r="W19" s="2969"/>
      <c r="X19" s="1758"/>
      <c r="Y19" s="1747"/>
      <c r="Z19" s="2883"/>
      <c r="AA19" s="2884"/>
      <c r="AB19" s="2883"/>
      <c r="AC19" s="2884"/>
      <c r="AD19" s="2883">
        <f>Z19*AB19</f>
        <v>0</v>
      </c>
      <c r="AE19" s="2884"/>
      <c r="AF19" s="266"/>
      <c r="AG19" s="1753" t="s">
        <v>866</v>
      </c>
      <c r="AH19" s="1747"/>
      <c r="AI19" s="1747"/>
      <c r="AJ19" s="2883"/>
      <c r="AK19" s="2884"/>
      <c r="AL19" s="2883"/>
      <c r="AM19" s="2884"/>
      <c r="AN19" s="2883"/>
      <c r="AO19" s="2884"/>
    </row>
    <row r="20" spans="1:41" ht="15.95" customHeight="1" x14ac:dyDescent="0.2">
      <c r="A20" s="2968" t="s">
        <v>469</v>
      </c>
      <c r="B20" s="2969"/>
      <c r="C20" s="1752"/>
      <c r="D20" s="1747"/>
      <c r="E20" s="2883"/>
      <c r="F20" s="2884"/>
      <c r="G20" s="2883"/>
      <c r="H20" s="2884"/>
      <c r="I20" s="2883">
        <f t="shared" si="2"/>
        <v>0</v>
      </c>
      <c r="J20" s="2884"/>
      <c r="K20" s="266"/>
      <c r="L20" s="1753" t="s">
        <v>456</v>
      </c>
      <c r="M20" s="1747"/>
      <c r="N20" s="1747"/>
      <c r="O20" s="2883"/>
      <c r="P20" s="2884"/>
      <c r="Q20" s="2883"/>
      <c r="R20" s="2884"/>
      <c r="S20" s="2883">
        <f t="shared" si="0"/>
        <v>0</v>
      </c>
      <c r="T20" s="2884"/>
      <c r="U20" s="1751"/>
      <c r="V20" s="2968" t="s">
        <v>469</v>
      </c>
      <c r="W20" s="2969"/>
      <c r="X20" s="1752"/>
      <c r="Y20" s="1747"/>
      <c r="Z20" s="2883"/>
      <c r="AA20" s="2884"/>
      <c r="AB20" s="2883"/>
      <c r="AC20" s="2884"/>
      <c r="AD20" s="2883"/>
      <c r="AE20" s="2884"/>
      <c r="AF20" s="266"/>
      <c r="AG20" s="1753" t="s">
        <v>456</v>
      </c>
      <c r="AH20" s="1747"/>
      <c r="AI20" s="1747"/>
      <c r="AJ20" s="2883"/>
      <c r="AK20" s="2884"/>
      <c r="AL20" s="2883"/>
      <c r="AM20" s="2884"/>
      <c r="AN20" s="2883">
        <f t="shared" si="1"/>
        <v>0</v>
      </c>
      <c r="AO20" s="2884"/>
    </row>
    <row r="21" spans="1:41" ht="15.95" customHeight="1" x14ac:dyDescent="0.2">
      <c r="A21" s="2968" t="s">
        <v>470</v>
      </c>
      <c r="B21" s="2969"/>
      <c r="C21" s="1752"/>
      <c r="D21" s="1747"/>
      <c r="E21" s="2883"/>
      <c r="F21" s="2884"/>
      <c r="G21" s="2883"/>
      <c r="H21" s="2884"/>
      <c r="I21" s="2883">
        <f t="shared" si="2"/>
        <v>0</v>
      </c>
      <c r="J21" s="2884"/>
      <c r="K21" s="266"/>
      <c r="L21" s="1753" t="s">
        <v>871</v>
      </c>
      <c r="M21" s="1754"/>
      <c r="N21" s="1747"/>
      <c r="O21" s="2883"/>
      <c r="P21" s="2884"/>
      <c r="Q21" s="2883"/>
      <c r="R21" s="2884"/>
      <c r="S21" s="2883">
        <f t="shared" si="0"/>
        <v>0</v>
      </c>
      <c r="T21" s="2884"/>
      <c r="U21" s="1751"/>
      <c r="V21" s="2968" t="s">
        <v>470</v>
      </c>
      <c r="W21" s="2969"/>
      <c r="X21" s="224"/>
      <c r="Y21" s="1758"/>
      <c r="Z21" s="2883"/>
      <c r="AA21" s="2884"/>
      <c r="AB21" s="2883"/>
      <c r="AC21" s="2884"/>
      <c r="AD21" s="2883"/>
      <c r="AE21" s="2884"/>
      <c r="AF21" s="266"/>
      <c r="AG21" s="1753" t="s">
        <v>871</v>
      </c>
      <c r="AH21" s="1754"/>
      <c r="AI21" s="1747"/>
      <c r="AJ21" s="2883"/>
      <c r="AK21" s="2884"/>
      <c r="AL21" s="2883"/>
      <c r="AM21" s="2884"/>
      <c r="AN21" s="2883">
        <f t="shared" si="1"/>
        <v>0</v>
      </c>
      <c r="AO21" s="2884"/>
    </row>
    <row r="22" spans="1:41" ht="15.95" customHeight="1" x14ac:dyDescent="0.2">
      <c r="A22" s="2968" t="s">
        <v>1113</v>
      </c>
      <c r="B22" s="2969"/>
      <c r="C22" s="1758" t="s">
        <v>496</v>
      </c>
      <c r="D22" s="1747" t="s">
        <v>497</v>
      </c>
      <c r="E22" s="2883">
        <v>25</v>
      </c>
      <c r="F22" s="2884"/>
      <c r="G22" s="2921">
        <v>47000</v>
      </c>
      <c r="H22" s="2970"/>
      <c r="I22" s="2883">
        <f t="shared" si="2"/>
        <v>1175000</v>
      </c>
      <c r="J22" s="2884"/>
      <c r="K22" s="266"/>
      <c r="L22" s="1753" t="s">
        <v>595</v>
      </c>
      <c r="M22" s="1754"/>
      <c r="N22" s="1747"/>
      <c r="O22" s="2883"/>
      <c r="P22" s="2884"/>
      <c r="Q22" s="2883"/>
      <c r="R22" s="2884"/>
      <c r="S22" s="2883">
        <f t="shared" si="0"/>
        <v>0</v>
      </c>
      <c r="T22" s="2884"/>
      <c r="U22" s="1751"/>
      <c r="V22" s="2968" t="s">
        <v>902</v>
      </c>
      <c r="W22" s="2969"/>
      <c r="X22" s="1752"/>
      <c r="Y22" s="1747"/>
      <c r="Z22" s="2883"/>
      <c r="AA22" s="2884"/>
      <c r="AB22" s="2883"/>
      <c r="AC22" s="2926"/>
      <c r="AD22" s="2883"/>
      <c r="AE22" s="2884"/>
      <c r="AF22" s="266"/>
      <c r="AG22" s="1753" t="s">
        <v>595</v>
      </c>
      <c r="AH22" s="1754"/>
      <c r="AI22" s="1747"/>
      <c r="AJ22" s="2883"/>
      <c r="AK22" s="2884"/>
      <c r="AL22" s="2883"/>
      <c r="AM22" s="2884"/>
      <c r="AN22" s="2883">
        <f t="shared" si="1"/>
        <v>0</v>
      </c>
      <c r="AO22" s="2884"/>
    </row>
    <row r="23" spans="1:41" ht="15.95" customHeight="1" x14ac:dyDescent="0.2">
      <c r="A23" s="2968" t="s">
        <v>998</v>
      </c>
      <c r="B23" s="2969"/>
      <c r="C23" s="1758"/>
      <c r="D23" s="1747"/>
      <c r="E23" s="2925"/>
      <c r="F23" s="2926"/>
      <c r="G23" s="2883"/>
      <c r="H23" s="2884"/>
      <c r="I23" s="2883">
        <f t="shared" si="2"/>
        <v>0</v>
      </c>
      <c r="J23" s="2884"/>
      <c r="K23" s="266"/>
      <c r="L23" s="1753" t="s">
        <v>507</v>
      </c>
      <c r="M23" s="1747"/>
      <c r="N23" s="1747"/>
      <c r="O23" s="2883"/>
      <c r="P23" s="2884"/>
      <c r="Q23" s="2883"/>
      <c r="R23" s="2884"/>
      <c r="S23" s="2883">
        <f>O23*Q23</f>
        <v>0</v>
      </c>
      <c r="T23" s="2884"/>
      <c r="U23" s="1751"/>
      <c r="V23" s="2968" t="s">
        <v>998</v>
      </c>
      <c r="W23" s="2969"/>
      <c r="X23" s="1752"/>
      <c r="Y23" s="1747"/>
      <c r="Z23" s="2925"/>
      <c r="AA23" s="2926"/>
      <c r="AB23" s="2925"/>
      <c r="AC23" s="2926"/>
      <c r="AD23" s="2883"/>
      <c r="AE23" s="2884"/>
      <c r="AF23" s="266"/>
      <c r="AG23" s="1753" t="s">
        <v>507</v>
      </c>
      <c r="AH23" s="1747"/>
      <c r="AI23" s="2018" t="s">
        <v>794</v>
      </c>
      <c r="AJ23" s="2883"/>
      <c r="AK23" s="2884"/>
      <c r="AL23" s="2883"/>
      <c r="AM23" s="2884"/>
      <c r="AN23" s="2883">
        <v>250000</v>
      </c>
      <c r="AO23" s="2884"/>
    </row>
    <row r="24" spans="1:41" ht="15.95" customHeight="1" x14ac:dyDescent="0.2">
      <c r="A24" s="2968" t="s">
        <v>999</v>
      </c>
      <c r="B24" s="2969"/>
      <c r="C24" s="1758" t="s">
        <v>496</v>
      </c>
      <c r="D24" s="1747" t="s">
        <v>497</v>
      </c>
      <c r="E24" s="2925">
        <v>5</v>
      </c>
      <c r="F24" s="2926"/>
      <c r="G24" s="2921">
        <v>47000</v>
      </c>
      <c r="H24" s="2970"/>
      <c r="I24" s="2883">
        <f t="shared" si="2"/>
        <v>235000</v>
      </c>
      <c r="J24" s="2884"/>
      <c r="K24" s="266"/>
      <c r="L24" s="1753" t="s">
        <v>801</v>
      </c>
      <c r="M24" s="1747"/>
      <c r="N24" s="1747"/>
      <c r="O24" s="2883"/>
      <c r="P24" s="2884"/>
      <c r="Q24" s="2883"/>
      <c r="R24" s="2884"/>
      <c r="S24" s="2883">
        <f t="shared" si="0"/>
        <v>0</v>
      </c>
      <c r="T24" s="2884"/>
      <c r="U24" s="1751"/>
      <c r="V24" s="2968" t="s">
        <v>999</v>
      </c>
      <c r="W24" s="2969"/>
      <c r="X24" s="1752"/>
      <c r="Y24" s="1747"/>
      <c r="Z24" s="2925"/>
      <c r="AA24" s="2926"/>
      <c r="AB24" s="2925"/>
      <c r="AC24" s="2926"/>
      <c r="AD24" s="2883"/>
      <c r="AE24" s="2884"/>
      <c r="AF24" s="266"/>
      <c r="AG24" s="1753" t="s">
        <v>145</v>
      </c>
      <c r="AH24" s="1747" t="s">
        <v>146</v>
      </c>
      <c r="AI24" s="1747" t="s">
        <v>147</v>
      </c>
      <c r="AJ24" s="2883">
        <v>85</v>
      </c>
      <c r="AK24" s="2884"/>
      <c r="AL24" s="2883">
        <f>10250*1.0928</f>
        <v>11201.2</v>
      </c>
      <c r="AM24" s="2884"/>
      <c r="AN24" s="2883">
        <f>+AL24*AJ24</f>
        <v>952102.00000000012</v>
      </c>
      <c r="AO24" s="2884"/>
    </row>
    <row r="25" spans="1:41" ht="15.95" customHeight="1" x14ac:dyDescent="0.2">
      <c r="A25" s="2968" t="s">
        <v>873</v>
      </c>
      <c r="B25" s="2969"/>
      <c r="C25" s="1752"/>
      <c r="D25" s="1747"/>
      <c r="E25" s="2925"/>
      <c r="F25" s="2926"/>
      <c r="G25" s="2925"/>
      <c r="H25" s="2926"/>
      <c r="I25" s="2883">
        <f t="shared" si="2"/>
        <v>0</v>
      </c>
      <c r="J25" s="2884"/>
      <c r="K25" s="266"/>
      <c r="L25" s="1753" t="s">
        <v>575</v>
      </c>
      <c r="M25" s="1754"/>
      <c r="N25" s="1747"/>
      <c r="O25" s="2883"/>
      <c r="P25" s="2884"/>
      <c r="Q25" s="2883"/>
      <c r="R25" s="2884"/>
      <c r="S25" s="2883">
        <f t="shared" si="0"/>
        <v>0</v>
      </c>
      <c r="T25" s="2884"/>
      <c r="U25" s="1751"/>
      <c r="V25" s="2968" t="s">
        <v>873</v>
      </c>
      <c r="W25" s="2969"/>
      <c r="X25" s="1752"/>
      <c r="Y25" s="1747"/>
      <c r="Z25" s="2925"/>
      <c r="AA25" s="2926"/>
      <c r="AB25" s="2925"/>
      <c r="AC25" s="2926"/>
      <c r="AD25" s="2883"/>
      <c r="AE25" s="2884"/>
      <c r="AF25" s="266"/>
      <c r="AG25" s="1753" t="s">
        <v>148</v>
      </c>
      <c r="AH25" s="1754"/>
      <c r="AI25" s="1747" t="s">
        <v>794</v>
      </c>
      <c r="AJ25" s="2883"/>
      <c r="AK25" s="2884"/>
      <c r="AL25" s="2883"/>
      <c r="AM25" s="2884"/>
      <c r="AN25" s="2883">
        <v>150000</v>
      </c>
      <c r="AO25" s="2884"/>
    </row>
    <row r="26" spans="1:41" ht="15.95" customHeight="1" x14ac:dyDescent="0.2">
      <c r="A26" s="2968" t="s">
        <v>1000</v>
      </c>
      <c r="B26" s="2969"/>
      <c r="C26" s="1752"/>
      <c r="D26" s="1747"/>
      <c r="E26" s="2925"/>
      <c r="F26" s="2926"/>
      <c r="G26" s="2925"/>
      <c r="H26" s="2926"/>
      <c r="I26" s="2883">
        <f t="shared" si="2"/>
        <v>0</v>
      </c>
      <c r="J26" s="2884"/>
      <c r="K26" s="266"/>
      <c r="L26" s="1753" t="s">
        <v>805</v>
      </c>
      <c r="M26" s="1754"/>
      <c r="N26" s="1747" t="s">
        <v>794</v>
      </c>
      <c r="O26" s="2883">
        <v>1</v>
      </c>
      <c r="P26" s="2884"/>
      <c r="Q26" s="2883">
        <f>284095*1.0928</f>
        <v>310459.016</v>
      </c>
      <c r="R26" s="2884"/>
      <c r="S26" s="2883">
        <f t="shared" si="0"/>
        <v>310459.016</v>
      </c>
      <c r="T26" s="2884"/>
      <c r="U26" s="1751"/>
      <c r="V26" s="2968" t="s">
        <v>1000</v>
      </c>
      <c r="W26" s="2969"/>
      <c r="X26" s="1752"/>
      <c r="Y26" s="1747"/>
      <c r="Z26" s="2925"/>
      <c r="AA26" s="2926"/>
      <c r="AB26" s="2925"/>
      <c r="AC26" s="2926"/>
      <c r="AD26" s="2883"/>
      <c r="AE26" s="2884"/>
      <c r="AF26" s="266"/>
      <c r="AG26" s="1753" t="s">
        <v>874</v>
      </c>
      <c r="AH26" s="1754"/>
      <c r="AI26" s="1747"/>
      <c r="AJ26" s="2883"/>
      <c r="AK26" s="2884"/>
      <c r="AL26" s="2883"/>
      <c r="AM26" s="2884"/>
      <c r="AN26" s="2883">
        <f t="shared" si="1"/>
        <v>0</v>
      </c>
      <c r="AO26" s="2884"/>
    </row>
    <row r="27" spans="1:41" ht="15.95" customHeight="1" x14ac:dyDescent="0.2">
      <c r="A27" s="2968" t="s">
        <v>504</v>
      </c>
      <c r="B27" s="2969"/>
      <c r="C27" s="1752"/>
      <c r="D27" s="1747"/>
      <c r="E27" s="2925"/>
      <c r="F27" s="2926"/>
      <c r="G27" s="2925"/>
      <c r="H27" s="2926"/>
      <c r="I27" s="2883">
        <f t="shared" si="2"/>
        <v>0</v>
      </c>
      <c r="J27" s="2884"/>
      <c r="K27" s="266"/>
      <c r="L27" s="1756" t="s">
        <v>515</v>
      </c>
      <c r="M27" s="1759"/>
      <c r="N27" s="1758"/>
      <c r="O27" s="2971"/>
      <c r="P27" s="2971"/>
      <c r="Q27" s="2971"/>
      <c r="R27" s="2971"/>
      <c r="S27" s="2883">
        <f t="shared" si="0"/>
        <v>0</v>
      </c>
      <c r="T27" s="2884"/>
      <c r="U27" s="1751"/>
      <c r="V27" s="2968" t="s">
        <v>504</v>
      </c>
      <c r="W27" s="2969"/>
      <c r="X27" s="1752"/>
      <c r="Y27" s="1747"/>
      <c r="Z27" s="2925"/>
      <c r="AA27" s="2926"/>
      <c r="AB27" s="2925"/>
      <c r="AC27" s="2926"/>
      <c r="AD27" s="2883"/>
      <c r="AE27" s="2884"/>
      <c r="AF27" s="266"/>
      <c r="AG27" s="1756" t="s">
        <v>515</v>
      </c>
      <c r="AH27" s="1759"/>
      <c r="AI27" s="1758"/>
      <c r="AJ27" s="2971"/>
      <c r="AK27" s="2971"/>
      <c r="AL27" s="2971"/>
      <c r="AM27" s="2971"/>
      <c r="AN27" s="2883">
        <f t="shared" si="1"/>
        <v>0</v>
      </c>
      <c r="AO27" s="2884"/>
    </row>
    <row r="28" spans="1:41" ht="15.95" customHeight="1" x14ac:dyDescent="0.2">
      <c r="A28" s="2934" t="s">
        <v>1001</v>
      </c>
      <c r="B28" s="2935"/>
      <c r="C28" s="1752"/>
      <c r="D28" s="1747"/>
      <c r="E28" s="2925"/>
      <c r="F28" s="2926"/>
      <c r="G28" s="2925"/>
      <c r="H28" s="2926"/>
      <c r="I28" s="2936">
        <f>SUM(I29:J46)</f>
        <v>3525000</v>
      </c>
      <c r="J28" s="2939"/>
      <c r="K28" s="266"/>
      <c r="L28" s="1756"/>
      <c r="M28" s="1759"/>
      <c r="N28" s="1758"/>
      <c r="O28" s="2971"/>
      <c r="P28" s="2971"/>
      <c r="Q28" s="2971"/>
      <c r="R28" s="2971"/>
      <c r="S28" s="2971"/>
      <c r="T28" s="2971"/>
      <c r="U28" s="1760"/>
      <c r="V28" s="2934" t="s">
        <v>1002</v>
      </c>
      <c r="W28" s="2935"/>
      <c r="X28" s="1752"/>
      <c r="Y28" s="1747"/>
      <c r="Z28" s="2925"/>
      <c r="AA28" s="2926"/>
      <c r="AB28" s="2925"/>
      <c r="AC28" s="2926"/>
      <c r="AD28" s="2936">
        <f>SUM(AD29:AE46)</f>
        <v>2068000</v>
      </c>
      <c r="AE28" s="2939"/>
      <c r="AF28" s="266"/>
      <c r="AG28" s="1756"/>
      <c r="AH28" s="1759"/>
      <c r="AI28" s="1758"/>
      <c r="AJ28" s="2971"/>
      <c r="AK28" s="2971"/>
      <c r="AL28" s="2971"/>
      <c r="AM28" s="2971"/>
      <c r="AN28" s="2971"/>
      <c r="AO28" s="2971"/>
    </row>
    <row r="29" spans="1:41" ht="15.95" customHeight="1" x14ac:dyDescent="0.2">
      <c r="A29" s="2968" t="s">
        <v>852</v>
      </c>
      <c r="B29" s="2969"/>
      <c r="C29" s="1758" t="s">
        <v>496</v>
      </c>
      <c r="D29" s="1747" t="s">
        <v>497</v>
      </c>
      <c r="E29" s="2883">
        <v>12</v>
      </c>
      <c r="F29" s="2884"/>
      <c r="G29" s="2921">
        <v>47000</v>
      </c>
      <c r="H29" s="2970"/>
      <c r="I29" s="2883">
        <f t="shared" ref="I29:I46" si="3">E29*G29</f>
        <v>564000</v>
      </c>
      <c r="J29" s="2884"/>
      <c r="K29" s="266"/>
      <c r="L29" s="1761" t="s">
        <v>876</v>
      </c>
      <c r="M29" s="1744"/>
      <c r="N29" s="1762"/>
      <c r="O29" s="2972"/>
      <c r="P29" s="2972"/>
      <c r="Q29" s="2972"/>
      <c r="R29" s="2972"/>
      <c r="S29" s="2973">
        <f>SUM(S11:T27)</f>
        <v>8265945.2368000001</v>
      </c>
      <c r="T29" s="2973"/>
      <c r="U29" s="1763"/>
      <c r="V29" s="2968"/>
      <c r="W29" s="2969"/>
      <c r="X29" s="1752"/>
      <c r="Y29" s="1747"/>
      <c r="Z29" s="2883"/>
      <c r="AA29" s="2884"/>
      <c r="AB29" s="2883"/>
      <c r="AC29" s="2884"/>
      <c r="AD29" s="2883"/>
      <c r="AE29" s="2884"/>
      <c r="AF29" s="266"/>
      <c r="AG29" s="1761" t="s">
        <v>876</v>
      </c>
      <c r="AH29" s="1744"/>
      <c r="AI29" s="1762"/>
      <c r="AJ29" s="2972"/>
      <c r="AK29" s="2972"/>
      <c r="AL29" s="2972"/>
      <c r="AM29" s="2972"/>
      <c r="AN29" s="2973">
        <f>SUM(AN11:AO27)</f>
        <v>2296972</v>
      </c>
      <c r="AO29" s="2973"/>
    </row>
    <row r="30" spans="1:41" ht="15.95" customHeight="1" x14ac:dyDescent="0.2">
      <c r="A30" s="2968" t="s">
        <v>495</v>
      </c>
      <c r="B30" s="2969"/>
      <c r="C30" s="1758" t="s">
        <v>496</v>
      </c>
      <c r="D30" s="1747" t="s">
        <v>497</v>
      </c>
      <c r="E30" s="2883">
        <v>6</v>
      </c>
      <c r="F30" s="2884"/>
      <c r="G30" s="2921">
        <v>47000</v>
      </c>
      <c r="H30" s="2970"/>
      <c r="I30" s="2883">
        <f t="shared" si="3"/>
        <v>282000</v>
      </c>
      <c r="J30" s="2884"/>
      <c r="K30" s="266"/>
      <c r="L30" s="1755"/>
      <c r="M30" s="1759"/>
      <c r="N30" s="1758"/>
      <c r="O30" s="2971"/>
      <c r="P30" s="2971"/>
      <c r="Q30" s="2971"/>
      <c r="R30" s="2971"/>
      <c r="S30" s="2971"/>
      <c r="T30" s="2971"/>
      <c r="U30" s="1760"/>
      <c r="V30" s="2968" t="s">
        <v>495</v>
      </c>
      <c r="W30" s="2969"/>
      <c r="X30" s="1752"/>
      <c r="Y30" s="1747"/>
      <c r="Z30" s="2883"/>
      <c r="AA30" s="2884"/>
      <c r="AB30" s="2883"/>
      <c r="AC30" s="2884"/>
      <c r="AD30" s="2883"/>
      <c r="AE30" s="2884"/>
      <c r="AF30" s="266"/>
      <c r="AG30" s="1755"/>
      <c r="AH30" s="1759"/>
      <c r="AI30" s="1758"/>
      <c r="AJ30" s="2971"/>
      <c r="AK30" s="2971"/>
      <c r="AL30" s="2971"/>
      <c r="AM30" s="2971"/>
      <c r="AN30" s="2971"/>
      <c r="AO30" s="2971"/>
    </row>
    <row r="31" spans="1:41" ht="15.95" customHeight="1" x14ac:dyDescent="0.2">
      <c r="A31" s="2968" t="s">
        <v>149</v>
      </c>
      <c r="B31" s="2969"/>
      <c r="C31" s="1758" t="s">
        <v>496</v>
      </c>
      <c r="D31" s="1747" t="s">
        <v>497</v>
      </c>
      <c r="E31" s="2925">
        <v>7</v>
      </c>
      <c r="F31" s="2926"/>
      <c r="G31" s="2921">
        <v>47000</v>
      </c>
      <c r="H31" s="2970"/>
      <c r="I31" s="2883">
        <f t="shared" si="3"/>
        <v>329000</v>
      </c>
      <c r="J31" s="2884"/>
      <c r="K31" s="266"/>
      <c r="L31" s="1764" t="s">
        <v>150</v>
      </c>
      <c r="M31" s="1765"/>
      <c r="N31" s="1765"/>
      <c r="O31" s="2974"/>
      <c r="P31" s="2974"/>
      <c r="Q31" s="2974"/>
      <c r="R31" s="2974"/>
      <c r="S31" s="2974"/>
      <c r="T31" s="2975"/>
      <c r="U31" s="1751"/>
      <c r="V31" s="2968" t="s">
        <v>1003</v>
      </c>
      <c r="W31" s="2969"/>
      <c r="X31" s="1752"/>
      <c r="Y31" s="1747"/>
      <c r="Z31" s="2925"/>
      <c r="AA31" s="2926"/>
      <c r="AB31" s="2925"/>
      <c r="AC31" s="2926"/>
      <c r="AD31" s="2883"/>
      <c r="AE31" s="2884"/>
      <c r="AF31" s="266"/>
      <c r="AG31" s="1764" t="s">
        <v>150</v>
      </c>
      <c r="AH31" s="1765"/>
      <c r="AI31" s="1765"/>
      <c r="AJ31" s="2974"/>
      <c r="AK31" s="2974"/>
      <c r="AL31" s="2974"/>
      <c r="AM31" s="2974"/>
      <c r="AN31" s="2974"/>
      <c r="AO31" s="2975"/>
    </row>
    <row r="32" spans="1:41" ht="15.95" customHeight="1" x14ac:dyDescent="0.2">
      <c r="A32" s="2968" t="s">
        <v>1004</v>
      </c>
      <c r="B32" s="2969"/>
      <c r="C32" s="1752"/>
      <c r="D32" s="1747"/>
      <c r="E32" s="2925"/>
      <c r="F32" s="2926"/>
      <c r="G32" s="2925"/>
      <c r="H32" s="2926"/>
      <c r="I32" s="2883">
        <f t="shared" si="3"/>
        <v>0</v>
      </c>
      <c r="J32" s="2884"/>
      <c r="K32" s="266"/>
      <c r="L32" s="1755" t="s">
        <v>1005</v>
      </c>
      <c r="M32" s="1766">
        <v>0.05</v>
      </c>
      <c r="N32" s="266"/>
      <c r="O32" s="2976"/>
      <c r="P32" s="2976"/>
      <c r="Q32" s="2976"/>
      <c r="R32" s="2976"/>
      <c r="S32" s="2976">
        <f>+(S29+I54)*0.05</f>
        <v>732047.26184000005</v>
      </c>
      <c r="T32" s="2884"/>
      <c r="U32" s="1751"/>
      <c r="V32" s="2968" t="s">
        <v>1004</v>
      </c>
      <c r="W32" s="2969"/>
      <c r="X32" s="1752"/>
      <c r="Y32" s="1747"/>
      <c r="Z32" s="2925"/>
      <c r="AA32" s="2926"/>
      <c r="AB32" s="2925"/>
      <c r="AC32" s="2926"/>
      <c r="AD32" s="2883"/>
      <c r="AE32" s="2884"/>
      <c r="AF32" s="266"/>
      <c r="AG32" s="1755" t="s">
        <v>1005</v>
      </c>
      <c r="AH32" s="1766">
        <v>0.05</v>
      </c>
      <c r="AI32" s="266"/>
      <c r="AJ32" s="2976"/>
      <c r="AK32" s="2976"/>
      <c r="AL32" s="2976"/>
      <c r="AM32" s="2976"/>
      <c r="AN32" s="2976">
        <f>+(AN29+AD54)*0.05</f>
        <v>743798.60000000009</v>
      </c>
      <c r="AO32" s="2884"/>
    </row>
    <row r="33" spans="1:41" ht="15.95" customHeight="1" x14ac:dyDescent="0.2">
      <c r="A33" s="2968" t="s">
        <v>1006</v>
      </c>
      <c r="B33" s="2969"/>
      <c r="C33" s="1752"/>
      <c r="D33" s="1747"/>
      <c r="E33" s="2925"/>
      <c r="F33" s="2926"/>
      <c r="G33" s="2925"/>
      <c r="H33" s="2926"/>
      <c r="I33" s="2883">
        <f t="shared" si="3"/>
        <v>0</v>
      </c>
      <c r="J33" s="2884"/>
      <c r="K33" s="266"/>
      <c r="L33" s="1767" t="s">
        <v>527</v>
      </c>
      <c r="M33" s="266"/>
      <c r="N33" s="266"/>
      <c r="O33" s="2976"/>
      <c r="P33" s="2976"/>
      <c r="Q33" s="2976"/>
      <c r="R33" s="2976"/>
      <c r="S33" s="2976">
        <f>120000*1.0928</f>
        <v>131136</v>
      </c>
      <c r="T33" s="2884"/>
      <c r="U33" s="1751"/>
      <c r="V33" s="2968" t="s">
        <v>1006</v>
      </c>
      <c r="W33" s="2969"/>
      <c r="X33" s="1752"/>
      <c r="Y33" s="1747"/>
      <c r="Z33" s="2925"/>
      <c r="AA33" s="2926"/>
      <c r="AB33" s="2925"/>
      <c r="AC33" s="2926"/>
      <c r="AD33" s="2883"/>
      <c r="AE33" s="2884"/>
      <c r="AF33" s="266"/>
      <c r="AG33" s="1767" t="s">
        <v>527</v>
      </c>
      <c r="AH33" s="266"/>
      <c r="AI33" s="266"/>
      <c r="AJ33" s="2976"/>
      <c r="AK33" s="2976"/>
      <c r="AL33" s="2976"/>
      <c r="AM33" s="2976"/>
      <c r="AN33" s="2976">
        <f>120000*1.0928</f>
        <v>131136</v>
      </c>
      <c r="AO33" s="2884"/>
    </row>
    <row r="34" spans="1:41" ht="15.95" customHeight="1" x14ac:dyDescent="0.2">
      <c r="A34" s="2968" t="s">
        <v>1007</v>
      </c>
      <c r="B34" s="2969"/>
      <c r="C34" s="1752"/>
      <c r="D34" s="1747"/>
      <c r="E34" s="2925"/>
      <c r="F34" s="2926"/>
      <c r="G34" s="2925"/>
      <c r="H34" s="2926"/>
      <c r="I34" s="2883">
        <f t="shared" si="3"/>
        <v>0</v>
      </c>
      <c r="J34" s="2884"/>
      <c r="K34" s="266"/>
      <c r="L34" s="1768" t="s">
        <v>529</v>
      </c>
      <c r="M34" s="266"/>
      <c r="N34" s="266"/>
      <c r="O34" s="2976"/>
      <c r="P34" s="2976"/>
      <c r="Q34" s="2976"/>
      <c r="R34" s="2976"/>
      <c r="S34" s="2976">
        <f>500000*1.0928</f>
        <v>546400</v>
      </c>
      <c r="T34" s="2884"/>
      <c r="U34" s="1751"/>
      <c r="V34" s="2968" t="s">
        <v>1007</v>
      </c>
      <c r="W34" s="2969"/>
      <c r="X34" s="1752"/>
      <c r="Y34" s="1747"/>
      <c r="Z34" s="2925"/>
      <c r="AA34" s="2926"/>
      <c r="AB34" s="2925"/>
      <c r="AC34" s="2926"/>
      <c r="AD34" s="2883"/>
      <c r="AE34" s="2884"/>
      <c r="AF34" s="266"/>
      <c r="AG34" s="1768" t="s">
        <v>529</v>
      </c>
      <c r="AH34" s="266"/>
      <c r="AI34" s="266"/>
      <c r="AJ34" s="2976"/>
      <c r="AK34" s="2976"/>
      <c r="AL34" s="2976"/>
      <c r="AM34" s="2976"/>
      <c r="AN34" s="2976">
        <f>500000*1.0928</f>
        <v>546400</v>
      </c>
      <c r="AO34" s="2884"/>
    </row>
    <row r="35" spans="1:41" ht="15.95" customHeight="1" x14ac:dyDescent="0.2">
      <c r="A35" s="2968" t="s">
        <v>1008</v>
      </c>
      <c r="B35" s="2969"/>
      <c r="C35" s="1752"/>
      <c r="D35" s="1747"/>
      <c r="E35" s="2925"/>
      <c r="F35" s="2926"/>
      <c r="G35" s="2925"/>
      <c r="H35" s="2926"/>
      <c r="I35" s="2883">
        <f t="shared" si="3"/>
        <v>0</v>
      </c>
      <c r="J35" s="2884"/>
      <c r="K35" s="266"/>
      <c r="L35" s="1768" t="s">
        <v>726</v>
      </c>
      <c r="M35" s="266"/>
      <c r="N35" s="266"/>
      <c r="O35" s="2976"/>
      <c r="P35" s="2976"/>
      <c r="Q35" s="2976"/>
      <c r="R35" s="2976"/>
      <c r="S35" s="2976">
        <f>(I54+S29)*5%</f>
        <v>732047.26184000005</v>
      </c>
      <c r="T35" s="2884"/>
      <c r="U35" s="1751"/>
      <c r="V35" s="2968" t="s">
        <v>1008</v>
      </c>
      <c r="W35" s="2969"/>
      <c r="X35" s="1752"/>
      <c r="Y35" s="1747"/>
      <c r="Z35" s="2925"/>
      <c r="AA35" s="2926"/>
      <c r="AB35" s="2925"/>
      <c r="AC35" s="2926"/>
      <c r="AD35" s="2883"/>
      <c r="AE35" s="2884"/>
      <c r="AF35" s="266"/>
      <c r="AG35" s="1768" t="s">
        <v>726</v>
      </c>
      <c r="AH35" s="266"/>
      <c r="AI35" s="266"/>
      <c r="AJ35" s="2976"/>
      <c r="AK35" s="2976"/>
      <c r="AL35" s="2976"/>
      <c r="AM35" s="2976"/>
      <c r="AN35" s="2976">
        <f>(AN29+AD54)*5%</f>
        <v>743798.60000000009</v>
      </c>
      <c r="AO35" s="2884"/>
    </row>
    <row r="36" spans="1:41" ht="15.95" customHeight="1" x14ac:dyDescent="0.2">
      <c r="A36" s="2968" t="s">
        <v>1009</v>
      </c>
      <c r="B36" s="2969"/>
      <c r="C36" s="1752"/>
      <c r="D36" s="1747"/>
      <c r="E36" s="2925"/>
      <c r="F36" s="2926"/>
      <c r="G36" s="2925"/>
      <c r="H36" s="2926"/>
      <c r="I36" s="2883">
        <f t="shared" si="3"/>
        <v>0</v>
      </c>
      <c r="J36" s="2884"/>
      <c r="K36" s="266"/>
      <c r="L36" s="1769" t="s">
        <v>504</v>
      </c>
      <c r="M36" s="1770"/>
      <c r="N36" s="1770"/>
      <c r="O36" s="2977"/>
      <c r="P36" s="2977"/>
      <c r="Q36" s="2977"/>
      <c r="R36" s="2977"/>
      <c r="S36" s="2977">
        <f>150000*1.0928</f>
        <v>163920</v>
      </c>
      <c r="T36" s="2978"/>
      <c r="U36" s="1751"/>
      <c r="V36" s="2968" t="s">
        <v>1009</v>
      </c>
      <c r="W36" s="2969"/>
      <c r="X36" s="1752"/>
      <c r="Y36" s="1747"/>
      <c r="Z36" s="2925"/>
      <c r="AA36" s="2926"/>
      <c r="AB36" s="2925"/>
      <c r="AC36" s="2926"/>
      <c r="AD36" s="2883"/>
      <c r="AE36" s="2884"/>
      <c r="AF36" s="266"/>
      <c r="AG36" s="2368" t="s">
        <v>1927</v>
      </c>
      <c r="AH36" s="1770"/>
      <c r="AI36" s="1770"/>
      <c r="AJ36" s="2977"/>
      <c r="AK36" s="2977"/>
      <c r="AL36" s="2977"/>
      <c r="AM36" s="2977"/>
      <c r="AN36" s="2977">
        <f>('TOTAL PERMANENTES'!K16*1000)*16</f>
        <v>137185.54995552922</v>
      </c>
      <c r="AO36" s="2978"/>
    </row>
    <row r="37" spans="1:41" ht="15.95" customHeight="1" x14ac:dyDescent="0.2">
      <c r="A37" s="2968" t="s">
        <v>1010</v>
      </c>
      <c r="B37" s="2969"/>
      <c r="C37" s="1752"/>
      <c r="D37" s="1747"/>
      <c r="E37" s="2925"/>
      <c r="F37" s="2926"/>
      <c r="G37" s="2925"/>
      <c r="H37" s="2926"/>
      <c r="I37" s="2883">
        <f t="shared" si="3"/>
        <v>0</v>
      </c>
      <c r="J37" s="2884"/>
      <c r="K37" s="266"/>
      <c r="L37" s="1771" t="s">
        <v>533</v>
      </c>
      <c r="M37" s="1772"/>
      <c r="N37" s="1772"/>
      <c r="O37" s="2979"/>
      <c r="P37" s="2979"/>
      <c r="Q37" s="2980"/>
      <c r="R37" s="2980"/>
      <c r="S37" s="2981">
        <f>SUM(S32:T36)</f>
        <v>2305550.5236800001</v>
      </c>
      <c r="T37" s="2981"/>
      <c r="U37" s="1773"/>
      <c r="V37" s="2968" t="s">
        <v>1010</v>
      </c>
      <c r="W37" s="2969"/>
      <c r="X37" s="1752"/>
      <c r="Y37" s="1747"/>
      <c r="Z37" s="2925"/>
      <c r="AA37" s="2926"/>
      <c r="AB37" s="2925"/>
      <c r="AC37" s="2926"/>
      <c r="AD37" s="2883"/>
      <c r="AE37" s="2884"/>
      <c r="AF37" s="266"/>
      <c r="AG37" s="1771" t="s">
        <v>533</v>
      </c>
      <c r="AH37" s="1772"/>
      <c r="AI37" s="1772"/>
      <c r="AJ37" s="2979"/>
      <c r="AK37" s="2979"/>
      <c r="AL37" s="2980"/>
      <c r="AM37" s="2980"/>
      <c r="AN37" s="2981">
        <f>SUM(AN32:AO36)</f>
        <v>2302318.7499555293</v>
      </c>
      <c r="AO37" s="2981"/>
    </row>
    <row r="38" spans="1:41" ht="15.95" customHeight="1" x14ac:dyDescent="0.2">
      <c r="A38" s="2968" t="s">
        <v>151</v>
      </c>
      <c r="B38" s="2969"/>
      <c r="C38" s="1758"/>
      <c r="D38" s="1747"/>
      <c r="E38" s="2925"/>
      <c r="F38" s="2926"/>
      <c r="G38" s="2925"/>
      <c r="H38" s="2926"/>
      <c r="I38" s="2883">
        <f t="shared" si="3"/>
        <v>0</v>
      </c>
      <c r="J38" s="2884"/>
      <c r="K38" s="266"/>
      <c r="L38" s="1774"/>
      <c r="M38" s="266"/>
      <c r="N38" s="266"/>
      <c r="O38" s="2976"/>
      <c r="P38" s="2976"/>
      <c r="Q38" s="2976"/>
      <c r="R38" s="2976"/>
      <c r="S38" s="2976"/>
      <c r="T38" s="2884"/>
      <c r="U38" s="1751"/>
      <c r="V38" s="2968" t="s">
        <v>151</v>
      </c>
      <c r="W38" s="2969"/>
      <c r="X38" s="1758" t="s">
        <v>496</v>
      </c>
      <c r="Y38" s="1747" t="s">
        <v>497</v>
      </c>
      <c r="Z38" s="2925">
        <v>5</v>
      </c>
      <c r="AA38" s="2926"/>
      <c r="AB38" s="2921">
        <v>47000</v>
      </c>
      <c r="AC38" s="2970"/>
      <c r="AD38" s="2883">
        <f>Z38*AB38</f>
        <v>235000</v>
      </c>
      <c r="AE38" s="2884"/>
      <c r="AF38" s="266"/>
      <c r="AG38" s="1774"/>
      <c r="AH38" s="266"/>
      <c r="AI38" s="266"/>
      <c r="AJ38" s="2976"/>
      <c r="AK38" s="2976"/>
      <c r="AL38" s="2976"/>
      <c r="AM38" s="2976"/>
      <c r="AN38" s="2976"/>
      <c r="AO38" s="2884"/>
    </row>
    <row r="39" spans="1:41" ht="15.95" customHeight="1" thickBot="1" x14ac:dyDescent="0.25">
      <c r="A39" s="2968" t="s">
        <v>1012</v>
      </c>
      <c r="B39" s="2969"/>
      <c r="C39" s="1752"/>
      <c r="D39" s="1747"/>
      <c r="E39" s="2925"/>
      <c r="F39" s="2926"/>
      <c r="G39" s="2925"/>
      <c r="H39" s="2926"/>
      <c r="I39" s="2883">
        <f t="shared" si="3"/>
        <v>0</v>
      </c>
      <c r="J39" s="2884"/>
      <c r="K39" s="266"/>
      <c r="L39" s="1775" t="s">
        <v>152</v>
      </c>
      <c r="M39" s="1776"/>
      <c r="N39" s="1776"/>
      <c r="O39" s="1776"/>
      <c r="P39" s="1776"/>
      <c r="Q39" s="1777"/>
      <c r="R39" s="1777"/>
      <c r="S39" s="2995">
        <f>SUM(S37+S29+I54)</f>
        <v>16946495.760480002</v>
      </c>
      <c r="T39" s="2996"/>
      <c r="U39" s="1773"/>
      <c r="V39" s="2968" t="s">
        <v>1012</v>
      </c>
      <c r="W39" s="2969"/>
      <c r="X39" s="1752"/>
      <c r="Y39" s="1747"/>
      <c r="Z39" s="2925"/>
      <c r="AA39" s="2926"/>
      <c r="AB39" s="2925"/>
      <c r="AC39" s="2926"/>
      <c r="AD39" s="2883"/>
      <c r="AE39" s="2884"/>
      <c r="AF39" s="266"/>
      <c r="AG39" s="1775" t="s">
        <v>152</v>
      </c>
      <c r="AH39" s="1776"/>
      <c r="AI39" s="1776"/>
      <c r="AJ39" s="1776"/>
      <c r="AK39" s="1776"/>
      <c r="AL39" s="1777"/>
      <c r="AM39" s="1777"/>
      <c r="AN39" s="2995">
        <f>SUM(AN37+AN29+AD54)</f>
        <v>17178290.749955527</v>
      </c>
      <c r="AO39" s="2996"/>
    </row>
    <row r="40" spans="1:41" ht="15.95" customHeight="1" x14ac:dyDescent="0.2">
      <c r="A40" s="2968" t="s">
        <v>1018</v>
      </c>
      <c r="B40" s="2969"/>
      <c r="C40" s="1758" t="s">
        <v>496</v>
      </c>
      <c r="D40" s="1747" t="s">
        <v>497</v>
      </c>
      <c r="E40" s="2883">
        <v>40</v>
      </c>
      <c r="F40" s="2884"/>
      <c r="G40" s="2921">
        <v>47000</v>
      </c>
      <c r="H40" s="2970"/>
      <c r="I40" s="2883">
        <f t="shared" si="3"/>
        <v>1880000</v>
      </c>
      <c r="J40" s="2884"/>
      <c r="K40" s="1778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968" t="s">
        <v>1018</v>
      </c>
      <c r="W40" s="2969"/>
      <c r="X40" s="1758" t="s">
        <v>496</v>
      </c>
      <c r="Y40" s="1747" t="s">
        <v>497</v>
      </c>
      <c r="Z40" s="2883">
        <v>35</v>
      </c>
      <c r="AA40" s="2884"/>
      <c r="AB40" s="2921">
        <v>47000</v>
      </c>
      <c r="AC40" s="2970"/>
      <c r="AD40" s="2883">
        <f>Z40*AB40</f>
        <v>1645000</v>
      </c>
      <c r="AE40" s="2884"/>
      <c r="AF40" s="1778"/>
      <c r="AG40" s="266"/>
      <c r="AH40" s="266"/>
      <c r="AI40" s="266"/>
      <c r="AJ40" s="266"/>
      <c r="AK40" s="266"/>
      <c r="AL40" s="266"/>
      <c r="AM40" s="266"/>
      <c r="AN40" s="266"/>
      <c r="AO40" s="266"/>
    </row>
    <row r="41" spans="1:41" ht="15.95" customHeight="1" x14ac:dyDescent="0.2">
      <c r="A41" s="2968" t="s">
        <v>1019</v>
      </c>
      <c r="B41" s="2969"/>
      <c r="C41" s="1752"/>
      <c r="D41" s="1747"/>
      <c r="E41" s="2925"/>
      <c r="F41" s="2926"/>
      <c r="G41" s="2925"/>
      <c r="H41" s="2926"/>
      <c r="I41" s="2883">
        <f t="shared" si="3"/>
        <v>0</v>
      </c>
      <c r="J41" s="2884"/>
      <c r="K41" s="266"/>
      <c r="L41" s="7" t="s">
        <v>1528</v>
      </c>
      <c r="M41" s="8"/>
      <c r="N41" s="8"/>
      <c r="O41" s="8"/>
      <c r="P41" s="4"/>
      <c r="Q41" s="5"/>
      <c r="R41" s="9"/>
      <c r="S41" s="266"/>
      <c r="T41" s="266"/>
      <c r="U41" s="266"/>
      <c r="V41" s="2968" t="s">
        <v>1019</v>
      </c>
      <c r="W41" s="2969"/>
      <c r="X41" s="1752"/>
      <c r="Y41" s="1747"/>
      <c r="Z41" s="2925"/>
      <c r="AA41" s="2926"/>
      <c r="AB41" s="2925"/>
      <c r="AC41" s="2926"/>
      <c r="AD41" s="2883">
        <f>Z41*AB41</f>
        <v>0</v>
      </c>
      <c r="AE41" s="2884"/>
      <c r="AF41" s="266"/>
      <c r="AG41" s="7" t="s">
        <v>1585</v>
      </c>
      <c r="AH41" s="266"/>
      <c r="AI41" s="266"/>
      <c r="AJ41" s="266"/>
      <c r="AK41" s="266"/>
      <c r="AL41" s="266"/>
      <c r="AM41" s="266"/>
      <c r="AN41" s="266"/>
      <c r="AO41" s="266"/>
    </row>
    <row r="42" spans="1:41" ht="15.95" customHeight="1" x14ac:dyDescent="0.2">
      <c r="A42" s="2968" t="s">
        <v>1020</v>
      </c>
      <c r="B42" s="2969"/>
      <c r="C42" s="1752"/>
      <c r="D42" s="1747"/>
      <c r="E42" s="2925"/>
      <c r="F42" s="2926"/>
      <c r="G42" s="2925"/>
      <c r="H42" s="2926"/>
      <c r="I42" s="2883">
        <f t="shared" si="3"/>
        <v>0</v>
      </c>
      <c r="J42" s="2884"/>
      <c r="K42" s="266"/>
      <c r="L42" s="266" t="s">
        <v>153</v>
      </c>
      <c r="M42" s="1779"/>
      <c r="N42" s="1779"/>
      <c r="O42" s="1779"/>
      <c r="P42" s="1779"/>
      <c r="Q42" s="1779"/>
      <c r="R42" s="1779"/>
      <c r="S42" s="266"/>
      <c r="T42" s="266"/>
      <c r="U42" s="266"/>
      <c r="V42" s="2968" t="s">
        <v>1020</v>
      </c>
      <c r="W42" s="2969"/>
      <c r="X42" s="1752"/>
      <c r="Y42" s="1747"/>
      <c r="Z42" s="2925"/>
      <c r="AA42" s="2926"/>
      <c r="AB42" s="2925"/>
      <c r="AC42" s="2926"/>
      <c r="AD42" s="2883">
        <f>Z42*AB42</f>
        <v>0</v>
      </c>
      <c r="AE42" s="2884"/>
      <c r="AF42" s="266"/>
      <c r="AG42" s="266" t="s">
        <v>153</v>
      </c>
      <c r="AH42" s="1780"/>
      <c r="AI42" s="1779"/>
      <c r="AJ42" s="1779"/>
      <c r="AK42" s="1779"/>
      <c r="AL42" s="1779"/>
      <c r="AM42" s="1779"/>
      <c r="AN42" s="266"/>
      <c r="AO42" s="266"/>
    </row>
    <row r="43" spans="1:41" ht="15.95" customHeight="1" x14ac:dyDescent="0.2">
      <c r="A43" s="2968" t="s">
        <v>1021</v>
      </c>
      <c r="B43" s="2969"/>
      <c r="C43" s="1752"/>
      <c r="D43" s="1747"/>
      <c r="E43" s="2925"/>
      <c r="F43" s="2926"/>
      <c r="G43" s="2925"/>
      <c r="H43" s="2926"/>
      <c r="I43" s="2883">
        <f t="shared" si="3"/>
        <v>0</v>
      </c>
      <c r="J43" s="2884"/>
      <c r="K43" s="266"/>
      <c r="L43" s="597" t="s">
        <v>1583</v>
      </c>
      <c r="M43" s="266"/>
      <c r="N43" s="266"/>
      <c r="O43" s="266"/>
      <c r="P43" s="266"/>
      <c r="Q43" s="1782"/>
      <c r="R43" s="1783"/>
      <c r="S43" s="266"/>
      <c r="T43" s="266"/>
      <c r="U43" s="266"/>
      <c r="V43" s="2968" t="s">
        <v>1021</v>
      </c>
      <c r="W43" s="2969"/>
      <c r="X43" s="1752"/>
      <c r="Y43" s="1747"/>
      <c r="Z43" s="2925"/>
      <c r="AA43" s="2926"/>
      <c r="AB43" s="2925"/>
      <c r="AC43" s="2926"/>
      <c r="AD43" s="2883">
        <f>Z43*AB43</f>
        <v>0</v>
      </c>
      <c r="AE43" s="2884"/>
      <c r="AF43" s="266"/>
      <c r="AG43" s="597" t="s">
        <v>1584</v>
      </c>
      <c r="AH43" s="266"/>
      <c r="AI43" s="266"/>
      <c r="AJ43" s="266"/>
      <c r="AK43" s="266"/>
      <c r="AL43" s="1783"/>
      <c r="AM43" s="266"/>
      <c r="AN43" s="266"/>
      <c r="AO43" s="266"/>
    </row>
    <row r="44" spans="1:41" ht="15.95" customHeight="1" x14ac:dyDescent="0.2">
      <c r="A44" s="2968" t="s">
        <v>1022</v>
      </c>
      <c r="B44" s="2969"/>
      <c r="C44" s="1758" t="s">
        <v>496</v>
      </c>
      <c r="D44" s="1747" t="s">
        <v>497</v>
      </c>
      <c r="E44" s="2883">
        <v>10</v>
      </c>
      <c r="F44" s="2884"/>
      <c r="G44" s="2921">
        <v>47000</v>
      </c>
      <c r="H44" s="2970"/>
      <c r="I44" s="2883">
        <f t="shared" si="3"/>
        <v>470000</v>
      </c>
      <c r="J44" s="2884"/>
      <c r="K44" s="266"/>
      <c r="L44" s="266"/>
      <c r="M44" s="1781"/>
      <c r="N44" s="1781"/>
      <c r="O44" s="1781"/>
      <c r="P44" s="1781"/>
      <c r="Q44" s="1783"/>
      <c r="R44" s="1783"/>
      <c r="S44" s="266"/>
      <c r="T44" s="266"/>
      <c r="U44" s="266"/>
      <c r="V44" s="2968" t="s">
        <v>1022</v>
      </c>
      <c r="W44" s="2969"/>
      <c r="X44" s="1758" t="s">
        <v>496</v>
      </c>
      <c r="Y44" s="1747" t="s">
        <v>497</v>
      </c>
      <c r="Z44" s="2883">
        <v>4</v>
      </c>
      <c r="AA44" s="2884"/>
      <c r="AB44" s="2921">
        <v>47000</v>
      </c>
      <c r="AC44" s="2970"/>
      <c r="AD44" s="2883">
        <f>Z44*AB44</f>
        <v>188000</v>
      </c>
      <c r="AE44" s="2884"/>
      <c r="AF44" s="266"/>
      <c r="AG44" s="266"/>
      <c r="AH44" s="1781"/>
      <c r="AI44" s="1781"/>
      <c r="AJ44" s="1781"/>
      <c r="AK44" s="1781"/>
      <c r="AL44" s="1783"/>
      <c r="AM44" s="1783"/>
      <c r="AN44" s="266"/>
      <c r="AO44" s="266"/>
    </row>
    <row r="45" spans="1:41" ht="15.95" customHeight="1" x14ac:dyDescent="0.2">
      <c r="A45" s="2968" t="s">
        <v>881</v>
      </c>
      <c r="B45" s="2969"/>
      <c r="C45" s="1752"/>
      <c r="D45" s="1747"/>
      <c r="E45" s="2883"/>
      <c r="F45" s="2884"/>
      <c r="G45" s="2883"/>
      <c r="H45" s="2884"/>
      <c r="I45" s="2883">
        <f t="shared" si="3"/>
        <v>0</v>
      </c>
      <c r="J45" s="2884"/>
      <c r="K45" s="266"/>
      <c r="L45" s="266"/>
      <c r="M45" s="1781"/>
      <c r="N45" s="1781"/>
      <c r="O45" s="1781"/>
      <c r="P45" s="1781"/>
      <c r="Q45" s="1783"/>
      <c r="R45" s="266"/>
      <c r="S45" s="1783"/>
      <c r="T45" s="266"/>
      <c r="U45" s="266"/>
      <c r="V45" s="2968" t="s">
        <v>881</v>
      </c>
      <c r="W45" s="2969"/>
      <c r="X45" s="1752"/>
      <c r="Y45" s="1747"/>
      <c r="Z45" s="2883"/>
      <c r="AA45" s="2884"/>
      <c r="AB45" s="2925"/>
      <c r="AC45" s="2926"/>
      <c r="AD45" s="2883"/>
      <c r="AE45" s="2884"/>
      <c r="AF45" s="266"/>
      <c r="AG45" s="266"/>
      <c r="AH45" s="1781"/>
      <c r="AI45" s="1781"/>
      <c r="AJ45" s="1781"/>
      <c r="AK45" s="1781"/>
      <c r="AL45" s="1783"/>
      <c r="AM45" s="266"/>
      <c r="AN45" s="1783"/>
      <c r="AO45" s="266"/>
    </row>
    <row r="46" spans="1:41" ht="15.95" customHeight="1" x14ac:dyDescent="0.2">
      <c r="A46" s="2968" t="s">
        <v>882</v>
      </c>
      <c r="B46" s="2969"/>
      <c r="C46" s="1752"/>
      <c r="D46" s="1747"/>
      <c r="E46" s="2925"/>
      <c r="F46" s="2926"/>
      <c r="G46" s="2925"/>
      <c r="H46" s="2926"/>
      <c r="I46" s="2883">
        <f t="shared" si="3"/>
        <v>0</v>
      </c>
      <c r="J46" s="2884"/>
      <c r="K46" s="266"/>
      <c r="L46" s="266"/>
      <c r="M46" s="2953"/>
      <c r="N46" s="2953"/>
      <c r="O46" s="2953"/>
      <c r="P46" s="2953"/>
      <c r="Q46" s="1783"/>
      <c r="R46" s="1783"/>
      <c r="S46" s="1783"/>
      <c r="T46" s="266"/>
      <c r="U46" s="266"/>
      <c r="V46" s="2968" t="s">
        <v>882</v>
      </c>
      <c r="W46" s="2969"/>
      <c r="X46" s="1758"/>
      <c r="Y46" s="1747"/>
      <c r="Z46" s="2925"/>
      <c r="AA46" s="2926"/>
      <c r="AB46" s="2925"/>
      <c r="AC46" s="2926"/>
      <c r="AD46" s="2883">
        <f>Z46*AB46</f>
        <v>0</v>
      </c>
      <c r="AE46" s="2884"/>
      <c r="AF46" s="266"/>
      <c r="AG46" s="266"/>
      <c r="AH46" s="2953"/>
      <c r="AI46" s="2953"/>
      <c r="AJ46" s="2953"/>
      <c r="AK46" s="2953"/>
      <c r="AL46" s="1783"/>
      <c r="AM46" s="1783"/>
      <c r="AN46" s="266"/>
      <c r="AO46" s="266"/>
    </row>
    <row r="47" spans="1:41" ht="15.95" customHeight="1" x14ac:dyDescent="0.2">
      <c r="A47" s="2934" t="s">
        <v>1023</v>
      </c>
      <c r="B47" s="2935"/>
      <c r="C47" s="1752"/>
      <c r="D47" s="1747"/>
      <c r="E47" s="2925"/>
      <c r="F47" s="2926"/>
      <c r="G47" s="2925"/>
      <c r="H47" s="2926"/>
      <c r="I47" s="2936">
        <f>SUM(I48:J53)</f>
        <v>500000</v>
      </c>
      <c r="J47" s="2937"/>
      <c r="K47" s="266"/>
      <c r="L47" s="266"/>
      <c r="M47" s="2953"/>
      <c r="N47" s="2953"/>
      <c r="O47" s="2953"/>
      <c r="P47" s="2953"/>
      <c r="Q47" s="1783"/>
      <c r="R47" s="1783"/>
      <c r="S47" s="266"/>
      <c r="T47" s="266"/>
      <c r="U47" s="266"/>
      <c r="V47" s="2934" t="s">
        <v>1023</v>
      </c>
      <c r="W47" s="2935"/>
      <c r="X47" s="1752"/>
      <c r="Y47" s="1747"/>
      <c r="Z47" s="2925"/>
      <c r="AA47" s="2926"/>
      <c r="AB47" s="2925"/>
      <c r="AC47" s="2926"/>
      <c r="AD47" s="2936">
        <f>SUM(AD48:AE53)</f>
        <v>10511000</v>
      </c>
      <c r="AE47" s="2937"/>
      <c r="AF47" s="266"/>
      <c r="AG47" s="266"/>
      <c r="AH47" s="2953"/>
      <c r="AI47" s="2953"/>
      <c r="AJ47" s="2953"/>
      <c r="AK47" s="2953"/>
      <c r="AL47" s="1783"/>
      <c r="AM47" s="1783"/>
      <c r="AN47" s="266"/>
      <c r="AO47" s="266"/>
    </row>
    <row r="48" spans="1:41" ht="15.95" customHeight="1" x14ac:dyDescent="0.2">
      <c r="A48" s="2968" t="s">
        <v>884</v>
      </c>
      <c r="B48" s="2969"/>
      <c r="C48" s="1752"/>
      <c r="D48" s="1747"/>
      <c r="E48" s="2925"/>
      <c r="F48" s="2926"/>
      <c r="G48" s="2925"/>
      <c r="H48" s="2926"/>
      <c r="I48" s="2883">
        <f>E48*G48</f>
        <v>0</v>
      </c>
      <c r="J48" s="2884"/>
      <c r="K48" s="266"/>
      <c r="L48" s="266"/>
      <c r="M48" s="2953"/>
      <c r="N48" s="2953"/>
      <c r="O48" s="2953"/>
      <c r="P48" s="2953"/>
      <c r="Q48" s="1783"/>
      <c r="R48" s="1783"/>
      <c r="S48" s="266"/>
      <c r="T48" s="266"/>
      <c r="U48" s="266"/>
      <c r="V48" s="2968" t="s">
        <v>884</v>
      </c>
      <c r="W48" s="2969"/>
      <c r="X48" s="1758" t="s">
        <v>496</v>
      </c>
      <c r="Y48" s="1747" t="s">
        <v>497</v>
      </c>
      <c r="Z48" s="2925">
        <v>65</v>
      </c>
      <c r="AA48" s="2926"/>
      <c r="AB48" s="2921">
        <v>47000</v>
      </c>
      <c r="AC48" s="2970"/>
      <c r="AD48" s="2883">
        <f>Z48*AB48</f>
        <v>3055000</v>
      </c>
      <c r="AE48" s="2884"/>
      <c r="AF48" s="266"/>
      <c r="AG48" s="266"/>
      <c r="AH48" s="2953"/>
      <c r="AI48" s="2953"/>
      <c r="AJ48" s="2953"/>
      <c r="AK48" s="2953"/>
      <c r="AL48" s="1783"/>
      <c r="AM48" s="1783"/>
      <c r="AN48" s="266"/>
      <c r="AO48" s="266"/>
    </row>
    <row r="49" spans="1:41" ht="15.95" customHeight="1" x14ac:dyDescent="0.2">
      <c r="A49" s="2968" t="s">
        <v>1024</v>
      </c>
      <c r="B49" s="2969"/>
      <c r="C49" s="1752"/>
      <c r="D49" s="1747"/>
      <c r="E49" s="2925"/>
      <c r="F49" s="2926"/>
      <c r="G49" s="2925"/>
      <c r="H49" s="2926"/>
      <c r="I49" s="2883">
        <f>E49*G49</f>
        <v>0</v>
      </c>
      <c r="J49" s="2884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968" t="s">
        <v>154</v>
      </c>
      <c r="W49" s="2969"/>
      <c r="X49" s="1758" t="s">
        <v>496</v>
      </c>
      <c r="Y49" s="1747" t="s">
        <v>497</v>
      </c>
      <c r="Z49" s="2925">
        <v>30</v>
      </c>
      <c r="AA49" s="2926"/>
      <c r="AB49" s="2921">
        <v>47000</v>
      </c>
      <c r="AC49" s="2970"/>
      <c r="AD49" s="2883">
        <f>Z49*AB49</f>
        <v>1410000</v>
      </c>
      <c r="AE49" s="2884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</row>
    <row r="50" spans="1:41" ht="15.95" customHeight="1" x14ac:dyDescent="0.2">
      <c r="A50" s="2968" t="s">
        <v>893</v>
      </c>
      <c r="B50" s="2969"/>
      <c r="C50" s="1752"/>
      <c r="D50" s="1747"/>
      <c r="E50" s="2925"/>
      <c r="F50" s="2926"/>
      <c r="G50" s="2925"/>
      <c r="H50" s="2926"/>
      <c r="I50" s="2883">
        <f>E50*G50</f>
        <v>0</v>
      </c>
      <c r="J50" s="2884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968" t="s">
        <v>1025</v>
      </c>
      <c r="W50" s="2969"/>
      <c r="X50" s="1758" t="s">
        <v>496</v>
      </c>
      <c r="Y50" s="1747" t="s">
        <v>497</v>
      </c>
      <c r="Z50" s="2925">
        <v>100</v>
      </c>
      <c r="AA50" s="2926"/>
      <c r="AB50" s="2921">
        <v>47000</v>
      </c>
      <c r="AC50" s="2970"/>
      <c r="AD50" s="2883">
        <f>Z50*AB50</f>
        <v>4700000</v>
      </c>
      <c r="AE50" s="2884"/>
      <c r="AF50" s="266"/>
      <c r="AG50" s="266"/>
      <c r="AH50" s="266"/>
      <c r="AI50" s="266"/>
      <c r="AJ50" s="266"/>
      <c r="AK50" s="266"/>
      <c r="AL50" s="266"/>
      <c r="AM50" s="266"/>
      <c r="AN50" s="266"/>
      <c r="AO50" s="266"/>
    </row>
    <row r="51" spans="1:41" ht="15.95" customHeight="1" x14ac:dyDescent="0.2">
      <c r="A51" s="2968" t="s">
        <v>728</v>
      </c>
      <c r="B51" s="2969"/>
      <c r="C51" s="1752"/>
      <c r="D51" s="1747"/>
      <c r="E51" s="2925"/>
      <c r="F51" s="2926"/>
      <c r="G51" s="2925"/>
      <c r="H51" s="2926"/>
      <c r="I51" s="2883">
        <f>E51*G51</f>
        <v>0</v>
      </c>
      <c r="J51" s="2884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982" t="s">
        <v>1024</v>
      </c>
      <c r="W51" s="2983"/>
      <c r="X51" s="1758" t="s">
        <v>496</v>
      </c>
      <c r="Y51" s="1747" t="s">
        <v>497</v>
      </c>
      <c r="Z51" s="2925">
        <v>8</v>
      </c>
      <c r="AA51" s="2929"/>
      <c r="AB51" s="2921">
        <v>47000</v>
      </c>
      <c r="AC51" s="2970"/>
      <c r="AD51" s="2883">
        <f>Z51*AB51</f>
        <v>376000</v>
      </c>
      <c r="AE51" s="2884"/>
      <c r="AF51" s="266"/>
      <c r="AG51" s="266"/>
      <c r="AH51" s="266"/>
      <c r="AI51" s="266"/>
      <c r="AJ51" s="266"/>
      <c r="AK51" s="266"/>
      <c r="AL51" s="266"/>
      <c r="AM51" s="266"/>
      <c r="AN51" s="266"/>
      <c r="AO51" s="266"/>
    </row>
    <row r="52" spans="1:41" ht="15.95" customHeight="1" x14ac:dyDescent="0.2">
      <c r="A52" s="2968" t="s">
        <v>886</v>
      </c>
      <c r="B52" s="2969"/>
      <c r="C52" s="1752"/>
      <c r="D52" s="1747"/>
      <c r="E52" s="2925"/>
      <c r="F52" s="2926"/>
      <c r="G52" s="2925"/>
      <c r="H52" s="2926"/>
      <c r="I52" s="2883">
        <f>E52*G52</f>
        <v>0</v>
      </c>
      <c r="J52" s="2884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982" t="s">
        <v>724</v>
      </c>
      <c r="W52" s="2983"/>
      <c r="X52" s="1758" t="s">
        <v>496</v>
      </c>
      <c r="Y52" s="1747" t="s">
        <v>497</v>
      </c>
      <c r="Z52" s="2925">
        <v>10</v>
      </c>
      <c r="AA52" s="2929"/>
      <c r="AB52" s="2921">
        <v>47000</v>
      </c>
      <c r="AC52" s="2970"/>
      <c r="AD52" s="2883">
        <f>Z52*AB52</f>
        <v>470000</v>
      </c>
      <c r="AE52" s="2884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</row>
    <row r="53" spans="1:41" ht="15.95" customHeight="1" x14ac:dyDescent="0.2">
      <c r="A53" s="2968" t="s">
        <v>155</v>
      </c>
      <c r="B53" s="2969"/>
      <c r="C53" s="1752"/>
      <c r="D53" s="1747" t="s">
        <v>794</v>
      </c>
      <c r="E53" s="2925"/>
      <c r="F53" s="2926"/>
      <c r="G53" s="2925"/>
      <c r="H53" s="2926"/>
      <c r="I53" s="2883">
        <v>500000</v>
      </c>
      <c r="J53" s="2884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968" t="s">
        <v>615</v>
      </c>
      <c r="W53" s="2969"/>
      <c r="X53" s="1752"/>
      <c r="Y53" s="1747" t="s">
        <v>794</v>
      </c>
      <c r="Z53" s="2925"/>
      <c r="AA53" s="2926"/>
      <c r="AB53" s="2925"/>
      <c r="AC53" s="2926"/>
      <c r="AD53" s="2883">
        <v>500000</v>
      </c>
      <c r="AE53" s="2884"/>
      <c r="AF53" s="266"/>
      <c r="AG53" s="266"/>
      <c r="AH53" s="266"/>
      <c r="AI53" s="266"/>
      <c r="AJ53" s="266"/>
      <c r="AK53" s="266"/>
      <c r="AL53" s="266"/>
      <c r="AM53" s="266"/>
      <c r="AN53" s="266"/>
      <c r="AO53" s="266"/>
    </row>
    <row r="54" spans="1:41" ht="15.95" customHeight="1" thickBot="1" x14ac:dyDescent="0.25">
      <c r="A54" s="1784" t="s">
        <v>558</v>
      </c>
      <c r="B54" s="1785"/>
      <c r="C54" s="1786"/>
      <c r="D54" s="1787"/>
      <c r="E54" s="2932">
        <f>E18+E19+E22+E24+E29+E30+E31+E40</f>
        <v>115</v>
      </c>
      <c r="F54" s="2933"/>
      <c r="G54" s="2930"/>
      <c r="H54" s="2931"/>
      <c r="I54" s="2932">
        <f>SUM(I47+I28+I17+I13+I10)</f>
        <v>6375000</v>
      </c>
      <c r="J54" s="2933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1784" t="s">
        <v>558</v>
      </c>
      <c r="W54" s="1785"/>
      <c r="X54" s="1786"/>
      <c r="Y54" s="1787"/>
      <c r="Z54" s="2932">
        <f>SUM(Z19:AA51)</f>
        <v>247</v>
      </c>
      <c r="AA54" s="2933"/>
      <c r="AB54" s="2930"/>
      <c r="AC54" s="2931"/>
      <c r="AD54" s="2932">
        <f>SUM(AD47+AD28+AD17+AD13+AD10)</f>
        <v>12579000</v>
      </c>
      <c r="AE54" s="2933"/>
      <c r="AF54" s="266"/>
      <c r="AG54" s="266"/>
      <c r="AH54" s="266"/>
      <c r="AI54" s="266"/>
      <c r="AJ54" s="266"/>
      <c r="AK54" s="266"/>
      <c r="AL54" s="266"/>
      <c r="AM54" s="266"/>
      <c r="AN54" s="266"/>
      <c r="AO54" s="266"/>
    </row>
    <row r="55" spans="1:41" ht="15.95" customHeight="1" x14ac:dyDescent="0.2">
      <c r="A55" s="45"/>
      <c r="B55" s="45"/>
      <c r="C55" s="45"/>
      <c r="D55" s="45"/>
      <c r="E55" s="45"/>
      <c r="F55" s="45"/>
      <c r="G55" s="45"/>
      <c r="H55" s="274"/>
      <c r="I55" s="275"/>
      <c r="J55" s="275"/>
      <c r="K55" s="276"/>
      <c r="L55" s="45"/>
      <c r="M55" s="45"/>
      <c r="N55" s="45"/>
      <c r="O55" s="45"/>
      <c r="P55" s="45"/>
      <c r="Q55" s="45"/>
      <c r="R55" s="45"/>
      <c r="S55" s="276"/>
      <c r="T55" s="276"/>
      <c r="U55" s="276"/>
      <c r="V55" s="45"/>
      <c r="W55" s="45"/>
      <c r="X55" s="45"/>
      <c r="Y55" s="45"/>
      <c r="Z55" s="45"/>
      <c r="AA55" s="45"/>
      <c r="AB55" s="45"/>
      <c r="AC55" s="274"/>
      <c r="AD55" s="275"/>
      <c r="AE55" s="275"/>
      <c r="AF55" s="276"/>
      <c r="AG55" s="45"/>
      <c r="AH55" s="45"/>
      <c r="AI55" s="45"/>
      <c r="AJ55" s="45"/>
      <c r="AK55" s="45"/>
      <c r="AL55" s="45"/>
      <c r="AM55" s="45"/>
      <c r="AN55" s="276"/>
      <c r="AO55" s="276"/>
    </row>
    <row r="56" spans="1:41" ht="15.95" customHeight="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2909"/>
      <c r="T56" s="2909"/>
      <c r="U56" s="45"/>
      <c r="V56" s="45"/>
      <c r="W56" s="44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2909"/>
      <c r="AO56" s="2909"/>
    </row>
    <row r="57" spans="1:41" ht="15.95" customHeight="1" x14ac:dyDescent="0.2">
      <c r="A57" s="2654"/>
      <c r="B57" s="2654"/>
      <c r="C57" s="2654"/>
      <c r="D57" s="2654"/>
      <c r="E57" s="2654"/>
      <c r="F57" s="2654"/>
      <c r="G57" s="2654"/>
      <c r="H57" s="2654"/>
      <c r="I57" s="2654"/>
      <c r="J57" s="2654"/>
      <c r="K57" s="2654"/>
      <c r="L57" s="2654"/>
      <c r="M57" s="2654"/>
      <c r="N57" s="2654"/>
      <c r="O57" s="2654"/>
      <c r="P57" s="2654"/>
      <c r="Q57" s="2654"/>
      <c r="R57" s="2654"/>
      <c r="S57" s="2654"/>
      <c r="T57" s="2654"/>
      <c r="U57" s="2654"/>
      <c r="V57" s="2654"/>
      <c r="W57" s="2654"/>
      <c r="X57" s="2654"/>
      <c r="Y57" s="2654"/>
      <c r="Z57" s="2654"/>
      <c r="AA57" s="2654"/>
      <c r="AB57" s="2654"/>
      <c r="AC57" s="2654"/>
      <c r="AD57" s="2654"/>
      <c r="AE57" s="2654"/>
      <c r="AF57" s="2654"/>
      <c r="AG57" s="2654"/>
      <c r="AH57" s="2654"/>
      <c r="AI57" s="2654"/>
      <c r="AJ57" s="2654"/>
      <c r="AK57" s="2654"/>
      <c r="AL57" s="2654"/>
      <c r="AM57" s="2654"/>
      <c r="AN57" s="2654"/>
      <c r="AO57" s="2654"/>
    </row>
    <row r="58" spans="1:41" ht="15.95" customHeight="1" x14ac:dyDescent="0.2">
      <c r="A58" s="2611"/>
      <c r="B58" s="2611"/>
      <c r="C58" s="2611"/>
      <c r="D58" s="2611"/>
      <c r="E58" s="2611"/>
      <c r="F58" s="2611"/>
      <c r="G58" s="2611"/>
      <c r="H58" s="2611"/>
      <c r="I58" s="2611"/>
      <c r="J58" s="2611"/>
      <c r="K58" s="2611"/>
      <c r="L58" s="2611"/>
      <c r="M58" s="2611"/>
      <c r="N58" s="2611"/>
      <c r="O58" s="2611"/>
      <c r="P58" s="2611"/>
      <c r="Q58" s="2611"/>
      <c r="R58" s="2611"/>
      <c r="S58" s="2611"/>
      <c r="T58" s="2611"/>
      <c r="U58" s="2611"/>
      <c r="V58" s="2611"/>
      <c r="W58" s="2611"/>
      <c r="X58" s="2611"/>
      <c r="Y58" s="2611"/>
      <c r="Z58" s="2611"/>
      <c r="AA58" s="2611"/>
      <c r="AB58" s="2611"/>
      <c r="AC58" s="2611"/>
      <c r="AD58" s="2611"/>
      <c r="AE58" s="2611"/>
      <c r="AF58" s="2611"/>
      <c r="AG58" s="2611"/>
      <c r="AH58" s="2611"/>
      <c r="AI58" s="2611"/>
      <c r="AJ58" s="2611"/>
      <c r="AK58" s="2611"/>
      <c r="AL58" s="2611"/>
      <c r="AM58" s="2611"/>
      <c r="AN58" s="2611"/>
      <c r="AO58" s="2611"/>
    </row>
    <row r="59" spans="1:41" ht="15.95" customHeight="1" x14ac:dyDescent="0.2">
      <c r="A59" s="2611" t="s">
        <v>1926</v>
      </c>
      <c r="B59" s="2611"/>
      <c r="C59" s="2611"/>
      <c r="D59" s="2611"/>
      <c r="E59" s="2611"/>
      <c r="F59" s="2611"/>
      <c r="G59" s="2611"/>
      <c r="H59" s="2611"/>
      <c r="I59" s="2611"/>
      <c r="J59" s="2611"/>
      <c r="K59" s="2611"/>
      <c r="L59" s="2611"/>
      <c r="M59" s="2611"/>
      <c r="N59" s="2611"/>
      <c r="O59" s="2611"/>
      <c r="P59" s="2611"/>
      <c r="Q59" s="2611"/>
      <c r="R59" s="2611"/>
      <c r="S59" s="2611"/>
      <c r="T59" s="2611"/>
      <c r="U59" s="47"/>
      <c r="V59" s="2611" t="s">
        <v>1947</v>
      </c>
      <c r="W59" s="2611"/>
      <c r="X59" s="2611"/>
      <c r="Y59" s="2611"/>
      <c r="Z59" s="2611"/>
      <c r="AA59" s="2611"/>
      <c r="AB59" s="2611"/>
      <c r="AC59" s="2611"/>
      <c r="AD59" s="2611"/>
      <c r="AE59" s="2611"/>
      <c r="AF59" s="2611"/>
      <c r="AG59" s="2611"/>
      <c r="AH59" s="2611"/>
      <c r="AI59" s="2611"/>
      <c r="AJ59" s="2611"/>
      <c r="AK59" s="2611"/>
      <c r="AL59" s="2611"/>
      <c r="AM59" s="2611"/>
      <c r="AN59" s="2611"/>
      <c r="AO59" s="2611"/>
    </row>
    <row r="60" spans="1:41" ht="15.95" customHeight="1" thickBot="1" x14ac:dyDescent="0.25">
      <c r="A60" s="2611"/>
      <c r="B60" s="2611"/>
      <c r="C60" s="2611"/>
      <c r="D60" s="2611"/>
      <c r="E60" s="2611"/>
      <c r="F60" s="2611"/>
      <c r="G60" s="2611"/>
      <c r="H60" s="2611"/>
      <c r="I60" s="2611"/>
      <c r="J60" s="2611"/>
      <c r="K60" s="2611"/>
      <c r="L60" s="2611"/>
      <c r="M60" s="2611"/>
      <c r="N60" s="2611"/>
      <c r="O60" s="2611"/>
      <c r="P60" s="2611"/>
      <c r="Q60" s="2611"/>
      <c r="R60" s="2611"/>
      <c r="S60" s="2611"/>
      <c r="T60" s="2611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279"/>
      <c r="AG60" s="45"/>
      <c r="AH60" s="45"/>
      <c r="AI60" s="45"/>
      <c r="AJ60" s="45"/>
      <c r="AK60" s="45"/>
      <c r="AL60" s="45"/>
      <c r="AM60" s="45"/>
      <c r="AN60" s="45"/>
      <c r="AO60" s="45"/>
    </row>
    <row r="61" spans="1:41" ht="15.95" customHeight="1" x14ac:dyDescent="0.3">
      <c r="A61" s="2949" t="s">
        <v>435</v>
      </c>
      <c r="B61" s="2951"/>
      <c r="C61" s="2949" t="s">
        <v>436</v>
      </c>
      <c r="D61" s="2950"/>
      <c r="E61" s="2950"/>
      <c r="F61" s="2951"/>
      <c r="G61" s="2949" t="s">
        <v>437</v>
      </c>
      <c r="H61" s="2951"/>
      <c r="I61" s="2949" t="s">
        <v>438</v>
      </c>
      <c r="J61" s="2951"/>
      <c r="K61" s="261"/>
      <c r="L61" s="2946" t="s">
        <v>435</v>
      </c>
      <c r="M61" s="2949" t="s">
        <v>436</v>
      </c>
      <c r="N61" s="2950"/>
      <c r="O61" s="2950"/>
      <c r="P61" s="2951"/>
      <c r="Q61" s="2949" t="s">
        <v>437</v>
      </c>
      <c r="R61" s="2951"/>
      <c r="S61" s="2949"/>
      <c r="T61" s="2951"/>
      <c r="U61" s="268"/>
      <c r="V61" s="2618" t="s">
        <v>435</v>
      </c>
      <c r="W61" s="2620"/>
      <c r="X61" s="2618" t="s">
        <v>436</v>
      </c>
      <c r="Y61" s="2619"/>
      <c r="Z61" s="2619"/>
      <c r="AA61" s="2620"/>
      <c r="AB61" s="2618" t="s">
        <v>437</v>
      </c>
      <c r="AC61" s="2620"/>
      <c r="AD61" s="2618" t="s">
        <v>438</v>
      </c>
      <c r="AE61" s="2620"/>
      <c r="AF61" s="45"/>
      <c r="AG61" s="2633" t="s">
        <v>435</v>
      </c>
      <c r="AH61" s="2618" t="s">
        <v>436</v>
      </c>
      <c r="AI61" s="2619"/>
      <c r="AJ61" s="2619"/>
      <c r="AK61" s="2620"/>
      <c r="AL61" s="2618" t="s">
        <v>437</v>
      </c>
      <c r="AM61" s="2620"/>
      <c r="AN61" s="2618"/>
      <c r="AO61" s="2900"/>
    </row>
    <row r="62" spans="1:41" ht="15.95" customHeight="1" thickBot="1" x14ac:dyDescent="0.35">
      <c r="A62" s="2942"/>
      <c r="B62" s="2943"/>
      <c r="C62" s="2944"/>
      <c r="D62" s="2952"/>
      <c r="E62" s="2952"/>
      <c r="F62" s="2945"/>
      <c r="G62" s="2942" t="s">
        <v>440</v>
      </c>
      <c r="H62" s="2943"/>
      <c r="I62" s="2942"/>
      <c r="J62" s="2943"/>
      <c r="K62" s="261"/>
      <c r="L62" s="2947"/>
      <c r="M62" s="2944"/>
      <c r="N62" s="2952"/>
      <c r="O62" s="2952"/>
      <c r="P62" s="2945"/>
      <c r="Q62" s="2942" t="s">
        <v>440</v>
      </c>
      <c r="R62" s="2943"/>
      <c r="S62" s="2942" t="s">
        <v>274</v>
      </c>
      <c r="T62" s="2943"/>
      <c r="U62" s="268"/>
      <c r="V62" s="2631"/>
      <c r="W62" s="2632"/>
      <c r="X62" s="2621"/>
      <c r="Y62" s="2622"/>
      <c r="Z62" s="2622"/>
      <c r="AA62" s="2623"/>
      <c r="AB62" s="2631" t="s">
        <v>440</v>
      </c>
      <c r="AC62" s="2632"/>
      <c r="AD62" s="2631"/>
      <c r="AE62" s="2632"/>
      <c r="AF62" s="45"/>
      <c r="AG62" s="2670"/>
      <c r="AH62" s="2621"/>
      <c r="AI62" s="2622"/>
      <c r="AJ62" s="2622"/>
      <c r="AK62" s="2623"/>
      <c r="AL62" s="2631" t="s">
        <v>440</v>
      </c>
      <c r="AM62" s="2632"/>
      <c r="AN62" s="2631" t="s">
        <v>274</v>
      </c>
      <c r="AO62" s="2880"/>
    </row>
    <row r="63" spans="1:41" ht="15.95" customHeight="1" x14ac:dyDescent="0.3">
      <c r="A63" s="2942"/>
      <c r="B63" s="2943"/>
      <c r="C63" s="1790" t="s">
        <v>441</v>
      </c>
      <c r="D63" s="2947" t="s">
        <v>442</v>
      </c>
      <c r="E63" s="2942" t="s">
        <v>443</v>
      </c>
      <c r="F63" s="2943"/>
      <c r="G63" s="2942" t="s">
        <v>444</v>
      </c>
      <c r="H63" s="2943"/>
      <c r="I63" s="2942" t="s">
        <v>348</v>
      </c>
      <c r="J63" s="2943"/>
      <c r="K63" s="261"/>
      <c r="L63" s="2947"/>
      <c r="M63" s="1788" t="s">
        <v>441</v>
      </c>
      <c r="N63" s="2946" t="s">
        <v>442</v>
      </c>
      <c r="O63" s="2949" t="s">
        <v>443</v>
      </c>
      <c r="P63" s="2951"/>
      <c r="Q63" s="2942" t="s">
        <v>444</v>
      </c>
      <c r="R63" s="2943"/>
      <c r="S63" s="2942" t="s">
        <v>348</v>
      </c>
      <c r="T63" s="2943"/>
      <c r="U63" s="268"/>
      <c r="V63" s="2631"/>
      <c r="W63" s="2632"/>
      <c r="X63" s="53" t="s">
        <v>441</v>
      </c>
      <c r="Y63" s="2670" t="s">
        <v>442</v>
      </c>
      <c r="Z63" s="2631" t="s">
        <v>443</v>
      </c>
      <c r="AA63" s="2632"/>
      <c r="AB63" s="2631" t="s">
        <v>444</v>
      </c>
      <c r="AC63" s="2632"/>
      <c r="AD63" s="2631" t="s">
        <v>348</v>
      </c>
      <c r="AE63" s="2632"/>
      <c r="AF63" s="45"/>
      <c r="AG63" s="2670"/>
      <c r="AH63" s="51" t="s">
        <v>441</v>
      </c>
      <c r="AI63" s="2670" t="s">
        <v>442</v>
      </c>
      <c r="AJ63" s="2631" t="s">
        <v>443</v>
      </c>
      <c r="AK63" s="2632"/>
      <c r="AL63" s="2631" t="s">
        <v>444</v>
      </c>
      <c r="AM63" s="2632"/>
      <c r="AN63" s="2631" t="s">
        <v>348</v>
      </c>
      <c r="AO63" s="2880"/>
    </row>
    <row r="64" spans="1:41" ht="15.95" customHeight="1" thickBot="1" x14ac:dyDescent="0.35">
      <c r="A64" s="2944"/>
      <c r="B64" s="2945"/>
      <c r="C64" s="1791" t="s">
        <v>445</v>
      </c>
      <c r="D64" s="2948"/>
      <c r="E64" s="2944"/>
      <c r="F64" s="2945"/>
      <c r="G64" s="2944"/>
      <c r="H64" s="2945"/>
      <c r="I64" s="2944"/>
      <c r="J64" s="2945"/>
      <c r="K64" s="261"/>
      <c r="L64" s="2948"/>
      <c r="M64" s="1789" t="s">
        <v>445</v>
      </c>
      <c r="N64" s="2948"/>
      <c r="O64" s="2944"/>
      <c r="P64" s="2945"/>
      <c r="Q64" s="2944"/>
      <c r="R64" s="2945"/>
      <c r="S64" s="2944"/>
      <c r="T64" s="2945"/>
      <c r="U64" s="268"/>
      <c r="V64" s="2621"/>
      <c r="W64" s="2623"/>
      <c r="X64" s="54" t="s">
        <v>445</v>
      </c>
      <c r="Y64" s="2634"/>
      <c r="Z64" s="2621"/>
      <c r="AA64" s="2623"/>
      <c r="AB64" s="2621"/>
      <c r="AC64" s="2623"/>
      <c r="AD64" s="2621"/>
      <c r="AE64" s="2623"/>
      <c r="AF64" s="45"/>
      <c r="AG64" s="2634"/>
      <c r="AH64" s="50" t="s">
        <v>445</v>
      </c>
      <c r="AI64" s="2634"/>
      <c r="AJ64" s="2621"/>
      <c r="AK64" s="2623"/>
      <c r="AL64" s="2621"/>
      <c r="AM64" s="2623"/>
      <c r="AN64" s="2901"/>
      <c r="AO64" s="2902"/>
    </row>
    <row r="65" spans="1:41" ht="15.95" customHeight="1" x14ac:dyDescent="0.2">
      <c r="A65" s="2927" t="s">
        <v>446</v>
      </c>
      <c r="B65" s="2928"/>
      <c r="C65" s="1746"/>
      <c r="D65" s="1747"/>
      <c r="E65" s="2925"/>
      <c r="F65" s="2929"/>
      <c r="G65" s="2925"/>
      <c r="H65" s="2929"/>
      <c r="I65" s="2883"/>
      <c r="J65" s="2884"/>
      <c r="K65" s="1793"/>
      <c r="L65" s="1748" t="s">
        <v>447</v>
      </c>
      <c r="M65" s="1749"/>
      <c r="N65" s="1750"/>
      <c r="O65" s="2923"/>
      <c r="P65" s="2924"/>
      <c r="Q65" s="2923"/>
      <c r="R65" s="2924"/>
      <c r="S65" s="2923"/>
      <c r="T65" s="2924"/>
      <c r="U65" s="26"/>
      <c r="V65" s="2927" t="s">
        <v>446</v>
      </c>
      <c r="W65" s="2928"/>
      <c r="X65" s="1746"/>
      <c r="Y65" s="1747"/>
      <c r="Z65" s="2925"/>
      <c r="AA65" s="2926"/>
      <c r="AB65" s="2925"/>
      <c r="AC65" s="2926"/>
      <c r="AD65" s="2925"/>
      <c r="AE65" s="2926"/>
      <c r="AF65" s="1793"/>
      <c r="AG65" s="1748" t="s">
        <v>447</v>
      </c>
      <c r="AH65" s="1749"/>
      <c r="AI65" s="1750"/>
      <c r="AJ65" s="2923"/>
      <c r="AK65" s="2924"/>
      <c r="AL65" s="2923"/>
      <c r="AM65" s="2924"/>
      <c r="AN65" s="2923"/>
      <c r="AO65" s="2924"/>
    </row>
    <row r="66" spans="1:41" ht="15.95" customHeight="1" x14ac:dyDescent="0.2">
      <c r="A66" s="2934" t="s">
        <v>1026</v>
      </c>
      <c r="B66" s="2935"/>
      <c r="C66" s="1752"/>
      <c r="D66" s="1747"/>
      <c r="E66" s="2925"/>
      <c r="F66" s="2929"/>
      <c r="G66" s="2925"/>
      <c r="H66" s="2929"/>
      <c r="I66" s="2936">
        <f>SUM(I67:I68)</f>
        <v>147459.15359999999</v>
      </c>
      <c r="J66" s="2937"/>
      <c r="K66" s="1793"/>
      <c r="L66" s="1753"/>
      <c r="M66" s="1754"/>
      <c r="N66" s="1747"/>
      <c r="O66" s="2883"/>
      <c r="P66" s="2884"/>
      <c r="Q66" s="2883"/>
      <c r="R66" s="2884"/>
      <c r="S66" s="2883"/>
      <c r="T66" s="2884"/>
      <c r="U66" s="26"/>
      <c r="V66" s="2934" t="s">
        <v>979</v>
      </c>
      <c r="W66" s="2935"/>
      <c r="X66" s="1759"/>
      <c r="Y66" s="1747"/>
      <c r="Z66" s="2925"/>
      <c r="AA66" s="2926"/>
      <c r="AB66" s="2925"/>
      <c r="AC66" s="2926"/>
      <c r="AD66" s="2938">
        <f>SUM(AD67:AD68)</f>
        <v>0</v>
      </c>
      <c r="AE66" s="2939"/>
      <c r="AF66" s="1793"/>
      <c r="AG66" s="1753"/>
      <c r="AH66" s="1754"/>
      <c r="AI66" s="1747"/>
      <c r="AJ66" s="2883"/>
      <c r="AK66" s="2884"/>
      <c r="AL66" s="2883"/>
      <c r="AM66" s="2884"/>
      <c r="AN66" s="2883"/>
      <c r="AO66" s="2884"/>
    </row>
    <row r="67" spans="1:41" ht="15.95" customHeight="1" x14ac:dyDescent="0.2">
      <c r="A67" s="2940" t="s">
        <v>1027</v>
      </c>
      <c r="B67" s="2941"/>
      <c r="C67" s="1747"/>
      <c r="D67" s="1747" t="s">
        <v>497</v>
      </c>
      <c r="E67" s="2925">
        <v>1</v>
      </c>
      <c r="F67" s="2929"/>
      <c r="G67" s="2883">
        <f>134937*1.0928</f>
        <v>147459.15359999999</v>
      </c>
      <c r="H67" s="2884">
        <f t="shared" ref="H67" si="4">(113155*6%)+113155</f>
        <v>119944.3</v>
      </c>
      <c r="I67" s="2883">
        <f>E67*G67</f>
        <v>147459.15359999999</v>
      </c>
      <c r="J67" s="2884"/>
      <c r="K67" s="1793"/>
      <c r="L67" s="1753" t="s">
        <v>450</v>
      </c>
      <c r="M67" s="1747" t="s">
        <v>1028</v>
      </c>
      <c r="N67" s="1747" t="s">
        <v>1029</v>
      </c>
      <c r="O67" s="2883">
        <v>1200</v>
      </c>
      <c r="P67" s="2884"/>
      <c r="Q67" s="2883">
        <f>3034*1.0928</f>
        <v>3315.5551999999998</v>
      </c>
      <c r="R67" s="2884"/>
      <c r="S67" s="2883">
        <f t="shared" ref="S67:S80" si="5">O67*Q67</f>
        <v>3978666.2399999998</v>
      </c>
      <c r="T67" s="2884"/>
      <c r="U67" s="26"/>
      <c r="V67" s="2940" t="s">
        <v>980</v>
      </c>
      <c r="W67" s="2941"/>
      <c r="X67" s="1759"/>
      <c r="Y67" s="1747"/>
      <c r="Z67" s="2925"/>
      <c r="AA67" s="2926"/>
      <c r="AB67" s="2925"/>
      <c r="AC67" s="2926"/>
      <c r="AD67" s="2925"/>
      <c r="AE67" s="2926"/>
      <c r="AF67" s="1793"/>
      <c r="AG67" s="1753" t="s">
        <v>450</v>
      </c>
      <c r="AH67" s="1747"/>
      <c r="AI67" s="1747"/>
      <c r="AJ67" s="2883"/>
      <c r="AK67" s="2884"/>
      <c r="AL67" s="2883"/>
      <c r="AM67" s="2884"/>
      <c r="AN67" s="2883"/>
      <c r="AO67" s="2884"/>
    </row>
    <row r="68" spans="1:41" ht="15.95" customHeight="1" x14ac:dyDescent="0.2">
      <c r="A68" s="2940"/>
      <c r="B68" s="2941"/>
      <c r="C68" s="1747"/>
      <c r="D68" s="1747"/>
      <c r="E68" s="2925"/>
      <c r="F68" s="2929"/>
      <c r="G68" s="2883"/>
      <c r="H68" s="2884"/>
      <c r="I68" s="2925"/>
      <c r="J68" s="2929"/>
      <c r="K68" s="1793"/>
      <c r="L68" s="1753" t="s">
        <v>853</v>
      </c>
      <c r="M68" s="1747" t="s">
        <v>1030</v>
      </c>
      <c r="N68" s="1747" t="s">
        <v>1031</v>
      </c>
      <c r="O68" s="2883">
        <v>1200</v>
      </c>
      <c r="P68" s="2884"/>
      <c r="Q68" s="2883">
        <f>2907*1.0928</f>
        <v>3176.7696000000001</v>
      </c>
      <c r="R68" s="2884"/>
      <c r="S68" s="2883">
        <f t="shared" si="5"/>
        <v>3812123.52</v>
      </c>
      <c r="T68" s="2884"/>
      <c r="U68" s="26"/>
      <c r="V68" s="2940" t="s">
        <v>733</v>
      </c>
      <c r="W68" s="2941"/>
      <c r="X68" s="1758"/>
      <c r="Y68" s="1747"/>
      <c r="Z68" s="2925"/>
      <c r="AA68" s="2926"/>
      <c r="AB68" s="2883"/>
      <c r="AC68" s="2926"/>
      <c r="AD68" s="2883">
        <f>+AB68*Z68</f>
        <v>0</v>
      </c>
      <c r="AE68" s="2884"/>
      <c r="AF68" s="1793"/>
      <c r="AG68" s="1753" t="s">
        <v>853</v>
      </c>
      <c r="AH68" s="1747"/>
      <c r="AI68" s="1747"/>
      <c r="AJ68" s="2883"/>
      <c r="AK68" s="2884"/>
      <c r="AL68" s="2883"/>
      <c r="AM68" s="2884"/>
      <c r="AN68" s="2883">
        <f t="shared" ref="AN68:AN74" si="6">AJ68*AL68</f>
        <v>0</v>
      </c>
      <c r="AO68" s="2884"/>
    </row>
    <row r="69" spans="1:41" ht="15.95" customHeight="1" x14ac:dyDescent="0.2">
      <c r="A69" s="2934" t="s">
        <v>990</v>
      </c>
      <c r="B69" s="2935"/>
      <c r="C69" s="1752"/>
      <c r="D69" s="1747"/>
      <c r="E69" s="2925"/>
      <c r="F69" s="2929"/>
      <c r="G69" s="2883"/>
      <c r="H69" s="2884"/>
      <c r="I69" s="2938">
        <f>SUM(I70:J72)</f>
        <v>0</v>
      </c>
      <c r="J69" s="2984"/>
      <c r="K69" s="1793"/>
      <c r="L69" s="1753" t="s">
        <v>859</v>
      </c>
      <c r="M69" s="2018" t="s">
        <v>1032</v>
      </c>
      <c r="N69" s="1747" t="s">
        <v>591</v>
      </c>
      <c r="O69" s="2883">
        <v>2</v>
      </c>
      <c r="P69" s="2884"/>
      <c r="Q69" s="2883">
        <f>18771*1.0928</f>
        <v>20512.948799999998</v>
      </c>
      <c r="R69" s="2884"/>
      <c r="S69" s="2883">
        <f t="shared" si="5"/>
        <v>41025.897599999997</v>
      </c>
      <c r="T69" s="2884"/>
      <c r="U69" s="26"/>
      <c r="V69" s="2934" t="s">
        <v>990</v>
      </c>
      <c r="W69" s="2935"/>
      <c r="X69" s="1759"/>
      <c r="Y69" s="1747"/>
      <c r="Z69" s="2925"/>
      <c r="AA69" s="2926"/>
      <c r="AB69" s="2925"/>
      <c r="AC69" s="2926"/>
      <c r="AD69" s="2938">
        <f>SUM(AD70:AE72)</f>
        <v>0</v>
      </c>
      <c r="AE69" s="2939"/>
      <c r="AF69" s="1793"/>
      <c r="AG69" s="1753" t="s">
        <v>859</v>
      </c>
      <c r="AH69" s="1754"/>
      <c r="AI69" s="1747"/>
      <c r="AJ69" s="2883"/>
      <c r="AK69" s="2884"/>
      <c r="AL69" s="2883"/>
      <c r="AM69" s="2884"/>
      <c r="AN69" s="2883">
        <f t="shared" si="6"/>
        <v>0</v>
      </c>
      <c r="AO69" s="2884"/>
    </row>
    <row r="70" spans="1:41" ht="15.95" customHeight="1" x14ac:dyDescent="0.2">
      <c r="A70" s="2940" t="s">
        <v>991</v>
      </c>
      <c r="B70" s="2941"/>
      <c r="C70" s="1747"/>
      <c r="D70" s="1747"/>
      <c r="E70" s="2925"/>
      <c r="F70" s="2929"/>
      <c r="G70" s="2883"/>
      <c r="H70" s="2884"/>
      <c r="I70" s="2925"/>
      <c r="J70" s="2929"/>
      <c r="K70" s="1793"/>
      <c r="L70" s="1753" t="s">
        <v>156</v>
      </c>
      <c r="M70" s="2018" t="s">
        <v>748</v>
      </c>
      <c r="N70" s="1747" t="s">
        <v>452</v>
      </c>
      <c r="O70" s="2883">
        <v>2</v>
      </c>
      <c r="P70" s="2884"/>
      <c r="Q70" s="2985">
        <v>9373</v>
      </c>
      <c r="R70" s="2986"/>
      <c r="S70" s="2883">
        <f t="shared" si="5"/>
        <v>18746</v>
      </c>
      <c r="T70" s="2884"/>
      <c r="U70" s="26"/>
      <c r="V70" s="2940" t="s">
        <v>991</v>
      </c>
      <c r="W70" s="2941"/>
      <c r="X70" s="1759"/>
      <c r="Y70" s="1747"/>
      <c r="Z70" s="2925"/>
      <c r="AA70" s="2926"/>
      <c r="AB70" s="2925"/>
      <c r="AC70" s="2926"/>
      <c r="AD70" s="2925"/>
      <c r="AE70" s="2926"/>
      <c r="AF70" s="1793"/>
      <c r="AG70" s="1753" t="s">
        <v>861</v>
      </c>
      <c r="AH70" s="2018" t="s">
        <v>754</v>
      </c>
      <c r="AI70" s="1747" t="s">
        <v>452</v>
      </c>
      <c r="AJ70" s="2883">
        <v>3</v>
      </c>
      <c r="AK70" s="2884"/>
      <c r="AL70" s="2985">
        <v>9373</v>
      </c>
      <c r="AM70" s="2986"/>
      <c r="AN70" s="2883">
        <f t="shared" si="6"/>
        <v>28119</v>
      </c>
      <c r="AO70" s="2884"/>
    </row>
    <row r="71" spans="1:41" ht="15.95" customHeight="1" x14ac:dyDescent="0.2">
      <c r="A71" s="2940" t="s">
        <v>981</v>
      </c>
      <c r="B71" s="2941"/>
      <c r="C71" s="1752"/>
      <c r="D71" s="1747"/>
      <c r="E71" s="2925"/>
      <c r="F71" s="2929"/>
      <c r="G71" s="2883"/>
      <c r="H71" s="2884"/>
      <c r="I71" s="2925"/>
      <c r="J71" s="2929"/>
      <c r="K71" s="1793"/>
      <c r="L71" s="1753" t="s">
        <v>157</v>
      </c>
      <c r="M71" s="1794" t="s">
        <v>158</v>
      </c>
      <c r="N71" s="1747" t="s">
        <v>452</v>
      </c>
      <c r="O71" s="2883">
        <v>1</v>
      </c>
      <c r="P71" s="2884"/>
      <c r="Q71" s="2883">
        <f>53975*1.0928</f>
        <v>58983.88</v>
      </c>
      <c r="R71" s="2884"/>
      <c r="S71" s="2883">
        <f t="shared" si="5"/>
        <v>58983.88</v>
      </c>
      <c r="T71" s="2884"/>
      <c r="U71" s="26"/>
      <c r="V71" s="2940" t="s">
        <v>981</v>
      </c>
      <c r="W71" s="2941"/>
      <c r="X71" s="1759"/>
      <c r="Y71" s="1747"/>
      <c r="Z71" s="2925"/>
      <c r="AA71" s="2926"/>
      <c r="AB71" s="2925"/>
      <c r="AC71" s="2926"/>
      <c r="AD71" s="2925"/>
      <c r="AE71" s="2926"/>
      <c r="AF71" s="1793"/>
      <c r="AG71" s="1753" t="s">
        <v>863</v>
      </c>
      <c r="AH71" s="2018" t="s">
        <v>762</v>
      </c>
      <c r="AI71" s="1747" t="s">
        <v>452</v>
      </c>
      <c r="AJ71" s="2883">
        <v>1</v>
      </c>
      <c r="AK71" s="2884"/>
      <c r="AL71" s="2883">
        <f>69381*1.0928</f>
        <v>75819.556800000006</v>
      </c>
      <c r="AM71" s="2884"/>
      <c r="AN71" s="2883">
        <f t="shared" si="6"/>
        <v>75819.556800000006</v>
      </c>
      <c r="AO71" s="2884"/>
    </row>
    <row r="72" spans="1:41" ht="15.95" customHeight="1" x14ac:dyDescent="0.2">
      <c r="A72" s="2940" t="s">
        <v>992</v>
      </c>
      <c r="B72" s="2941"/>
      <c r="C72" s="1752"/>
      <c r="D72" s="1747"/>
      <c r="E72" s="2925"/>
      <c r="F72" s="2929"/>
      <c r="G72" s="2883"/>
      <c r="H72" s="2884"/>
      <c r="I72" s="2925"/>
      <c r="J72" s="2929"/>
      <c r="K72" s="1793"/>
      <c r="L72" s="1795" t="s">
        <v>573</v>
      </c>
      <c r="M72" s="2117" t="s">
        <v>159</v>
      </c>
      <c r="N72" s="1747" t="s">
        <v>1101</v>
      </c>
      <c r="O72" s="2883">
        <v>1</v>
      </c>
      <c r="P72" s="2884"/>
      <c r="Q72" s="2883">
        <v>14732</v>
      </c>
      <c r="R72" s="2884"/>
      <c r="S72" s="2883">
        <f t="shared" si="5"/>
        <v>14732</v>
      </c>
      <c r="T72" s="2884"/>
      <c r="U72" s="26"/>
      <c r="V72" s="2940" t="s">
        <v>992</v>
      </c>
      <c r="W72" s="2941"/>
      <c r="X72" s="1759"/>
      <c r="Y72" s="1747"/>
      <c r="Z72" s="2925"/>
      <c r="AA72" s="2926"/>
      <c r="AB72" s="2925"/>
      <c r="AC72" s="2926"/>
      <c r="AD72" s="2925"/>
      <c r="AE72" s="2926"/>
      <c r="AF72" s="1793"/>
      <c r="AG72" s="1753" t="s">
        <v>534</v>
      </c>
      <c r="AH72" s="1754"/>
      <c r="AI72" s="1747"/>
      <c r="AJ72" s="2883"/>
      <c r="AK72" s="2884"/>
      <c r="AL72" s="2883"/>
      <c r="AM72" s="2884"/>
      <c r="AN72" s="2883">
        <f t="shared" si="6"/>
        <v>0</v>
      </c>
      <c r="AO72" s="2884"/>
    </row>
    <row r="73" spans="1:41" ht="15.95" customHeight="1" x14ac:dyDescent="0.2">
      <c r="A73" s="2934" t="s">
        <v>993</v>
      </c>
      <c r="B73" s="2935"/>
      <c r="C73" s="1752"/>
      <c r="D73" s="1747"/>
      <c r="E73" s="2925"/>
      <c r="F73" s="2929"/>
      <c r="G73" s="2883"/>
      <c r="H73" s="2884"/>
      <c r="I73" s="2936">
        <f>SUM(I74:J83)</f>
        <v>3619000</v>
      </c>
      <c r="J73" s="2937"/>
      <c r="K73" s="1793"/>
      <c r="L73" s="1795" t="s">
        <v>570</v>
      </c>
      <c r="M73" s="2117" t="s">
        <v>761</v>
      </c>
      <c r="N73" s="1747" t="s">
        <v>591</v>
      </c>
      <c r="O73" s="2883">
        <v>1</v>
      </c>
      <c r="P73" s="2884"/>
      <c r="Q73" s="2883">
        <v>43883</v>
      </c>
      <c r="R73" s="2884"/>
      <c r="S73" s="2883">
        <f t="shared" si="5"/>
        <v>43883</v>
      </c>
      <c r="T73" s="2884"/>
      <c r="U73" s="26"/>
      <c r="V73" s="2934" t="s">
        <v>1035</v>
      </c>
      <c r="W73" s="2935"/>
      <c r="X73" s="1759"/>
      <c r="Y73" s="1747"/>
      <c r="Z73" s="2925"/>
      <c r="AA73" s="2926"/>
      <c r="AB73" s="2925"/>
      <c r="AC73" s="2926"/>
      <c r="AD73" s="2936">
        <f>SUM(AD74:AE83)</f>
        <v>376000</v>
      </c>
      <c r="AE73" s="2939"/>
      <c r="AF73" s="1793"/>
      <c r="AG73" s="1753" t="s">
        <v>535</v>
      </c>
      <c r="AH73" s="2019" t="s">
        <v>1586</v>
      </c>
      <c r="AI73" s="1747" t="s">
        <v>460</v>
      </c>
      <c r="AJ73" s="2883">
        <v>3</v>
      </c>
      <c r="AK73" s="2884"/>
      <c r="AL73" s="2883">
        <v>188974</v>
      </c>
      <c r="AM73" s="2884"/>
      <c r="AN73" s="2883">
        <f t="shared" si="6"/>
        <v>566922</v>
      </c>
      <c r="AO73" s="2884"/>
    </row>
    <row r="74" spans="1:41" ht="15.95" customHeight="1" x14ac:dyDescent="0.2">
      <c r="A74" s="2968" t="s">
        <v>160</v>
      </c>
      <c r="B74" s="2969"/>
      <c r="C74" s="1747" t="s">
        <v>496</v>
      </c>
      <c r="D74" s="1747" t="s">
        <v>497</v>
      </c>
      <c r="E74" s="2883">
        <v>12</v>
      </c>
      <c r="F74" s="2884"/>
      <c r="G74" s="2883">
        <v>47000</v>
      </c>
      <c r="H74" s="2884">
        <f t="shared" ref="H74:H100" si="7">(36040*6%)+36040</f>
        <v>38202.400000000001</v>
      </c>
      <c r="I74" s="2883">
        <f t="shared" ref="I74:I83" si="8">E74*G74</f>
        <v>564000</v>
      </c>
      <c r="J74" s="2884"/>
      <c r="K74" s="1793"/>
      <c r="L74" s="1753" t="s">
        <v>534</v>
      </c>
      <c r="M74" s="2018" t="s">
        <v>459</v>
      </c>
      <c r="N74" s="1747" t="s">
        <v>851</v>
      </c>
      <c r="O74" s="2883">
        <v>4</v>
      </c>
      <c r="P74" s="2884"/>
      <c r="Q74" s="2883">
        <v>149734</v>
      </c>
      <c r="R74" s="2884"/>
      <c r="S74" s="2883">
        <f t="shared" si="5"/>
        <v>598936</v>
      </c>
      <c r="T74" s="2884"/>
      <c r="U74" s="26"/>
      <c r="V74" s="2968" t="s">
        <v>995</v>
      </c>
      <c r="W74" s="2969"/>
      <c r="X74" s="1759"/>
      <c r="Y74" s="1747"/>
      <c r="Z74" s="2883"/>
      <c r="AA74" s="2884"/>
      <c r="AB74" s="2883"/>
      <c r="AC74" s="2884"/>
      <c r="AD74" s="2883"/>
      <c r="AE74" s="2884"/>
      <c r="AF74" s="1793"/>
      <c r="AG74" s="1753" t="s">
        <v>537</v>
      </c>
      <c r="AH74" s="1747"/>
      <c r="AI74" s="1747"/>
      <c r="AJ74" s="2883"/>
      <c r="AK74" s="2884"/>
      <c r="AL74" s="2883"/>
      <c r="AM74" s="2884"/>
      <c r="AN74" s="2883">
        <f t="shared" si="6"/>
        <v>0</v>
      </c>
      <c r="AO74" s="2884"/>
    </row>
    <row r="75" spans="1:41" ht="15.95" customHeight="1" x14ac:dyDescent="0.2">
      <c r="A75" s="2968" t="s">
        <v>161</v>
      </c>
      <c r="B75" s="2969"/>
      <c r="C75" s="1747" t="s">
        <v>496</v>
      </c>
      <c r="D75" s="1747" t="s">
        <v>497</v>
      </c>
      <c r="E75" s="2883">
        <v>15</v>
      </c>
      <c r="F75" s="2884"/>
      <c r="G75" s="2883">
        <v>47000</v>
      </c>
      <c r="H75" s="2884">
        <f t="shared" si="7"/>
        <v>38202.400000000001</v>
      </c>
      <c r="I75" s="2883">
        <f t="shared" si="8"/>
        <v>705000</v>
      </c>
      <c r="J75" s="2884"/>
      <c r="K75" s="1793"/>
      <c r="L75" s="1753" t="s">
        <v>535</v>
      </c>
      <c r="M75" s="2018" t="s">
        <v>1034</v>
      </c>
      <c r="N75" s="1747" t="s">
        <v>851</v>
      </c>
      <c r="O75" s="2883">
        <v>4</v>
      </c>
      <c r="P75" s="2884"/>
      <c r="Q75" s="2883">
        <v>179798</v>
      </c>
      <c r="R75" s="2884"/>
      <c r="S75" s="2883">
        <f t="shared" si="5"/>
        <v>719192</v>
      </c>
      <c r="T75" s="2884"/>
      <c r="U75" s="26"/>
      <c r="V75" s="2968" t="s">
        <v>996</v>
      </c>
      <c r="W75" s="2969"/>
      <c r="X75" s="1758"/>
      <c r="Y75" s="1747"/>
      <c r="Z75" s="2883"/>
      <c r="AA75" s="2884"/>
      <c r="AB75" s="2883"/>
      <c r="AC75" s="2884"/>
      <c r="AD75" s="2883">
        <f>Z75*AB75</f>
        <v>0</v>
      </c>
      <c r="AE75" s="2884"/>
      <c r="AF75" s="1793"/>
      <c r="AG75" s="1753" t="s">
        <v>866</v>
      </c>
      <c r="AH75" s="1747"/>
      <c r="AI75" s="1747"/>
      <c r="AJ75" s="2883"/>
      <c r="AK75" s="2884"/>
      <c r="AL75" s="2883"/>
      <c r="AM75" s="2884"/>
      <c r="AN75" s="2883"/>
      <c r="AO75" s="2884"/>
    </row>
    <row r="76" spans="1:41" ht="15.95" customHeight="1" x14ac:dyDescent="0.2">
      <c r="A76" s="2968" t="s">
        <v>469</v>
      </c>
      <c r="B76" s="2969"/>
      <c r="C76" s="1752"/>
      <c r="D76" s="1747"/>
      <c r="E76" s="2883"/>
      <c r="F76" s="2884"/>
      <c r="G76" s="2883"/>
      <c r="H76" s="2884"/>
      <c r="I76" s="2883">
        <f t="shared" si="8"/>
        <v>0</v>
      </c>
      <c r="J76" s="2884"/>
      <c r="K76" s="1793"/>
      <c r="L76" s="1795" t="s">
        <v>537</v>
      </c>
      <c r="M76" s="2018" t="s">
        <v>566</v>
      </c>
      <c r="N76" s="1747" t="s">
        <v>591</v>
      </c>
      <c r="O76" s="2883">
        <v>1</v>
      </c>
      <c r="P76" s="2884"/>
      <c r="Q76" s="2883">
        <v>28583</v>
      </c>
      <c r="R76" s="2884"/>
      <c r="S76" s="2883">
        <f t="shared" si="5"/>
        <v>28583</v>
      </c>
      <c r="T76" s="2884"/>
      <c r="U76" s="26"/>
      <c r="V76" s="2968" t="s">
        <v>469</v>
      </c>
      <c r="W76" s="2969"/>
      <c r="X76" s="1759"/>
      <c r="Y76" s="1747"/>
      <c r="Z76" s="2883"/>
      <c r="AA76" s="2884"/>
      <c r="AB76" s="2883"/>
      <c r="AC76" s="2884"/>
      <c r="AD76" s="2883"/>
      <c r="AE76" s="2884"/>
      <c r="AF76" s="1793"/>
      <c r="AG76" s="1753" t="s">
        <v>456</v>
      </c>
      <c r="AH76" s="1747"/>
      <c r="AI76" s="1747"/>
      <c r="AJ76" s="2883"/>
      <c r="AK76" s="2884"/>
      <c r="AL76" s="2883"/>
      <c r="AM76" s="2884"/>
      <c r="AN76" s="2883">
        <f t="shared" ref="AN76:AN83" si="9">AJ76*AL76</f>
        <v>0</v>
      </c>
      <c r="AO76" s="2884"/>
    </row>
    <row r="77" spans="1:41" ht="15.95" customHeight="1" x14ac:dyDescent="0.2">
      <c r="A77" s="2968" t="s">
        <v>162</v>
      </c>
      <c r="B77" s="2969"/>
      <c r="C77" s="1758" t="s">
        <v>496</v>
      </c>
      <c r="D77" s="1747" t="s">
        <v>497</v>
      </c>
      <c r="E77" s="2883">
        <v>1</v>
      </c>
      <c r="F77" s="2884"/>
      <c r="G77" s="2883">
        <v>47000</v>
      </c>
      <c r="H77" s="2884">
        <f t="shared" si="7"/>
        <v>38202.400000000001</v>
      </c>
      <c r="I77" s="2883">
        <f t="shared" si="8"/>
        <v>47000</v>
      </c>
      <c r="J77" s="2884"/>
      <c r="K77" s="1793"/>
      <c r="L77" s="1753" t="s">
        <v>866</v>
      </c>
      <c r="M77" s="1747" t="s">
        <v>1036</v>
      </c>
      <c r="N77" s="1747" t="s">
        <v>851</v>
      </c>
      <c r="O77" s="2883">
        <v>20</v>
      </c>
      <c r="P77" s="2884"/>
      <c r="Q77" s="2883">
        <v>13291</v>
      </c>
      <c r="R77" s="2884"/>
      <c r="S77" s="2883">
        <f t="shared" si="5"/>
        <v>265820</v>
      </c>
      <c r="T77" s="2884"/>
      <c r="U77" s="26"/>
      <c r="V77" s="2968" t="s">
        <v>470</v>
      </c>
      <c r="W77" s="2969"/>
      <c r="X77" s="226"/>
      <c r="Y77" s="1758"/>
      <c r="Z77" s="2883"/>
      <c r="AA77" s="2884"/>
      <c r="AB77" s="2883"/>
      <c r="AC77" s="2884"/>
      <c r="AD77" s="2883"/>
      <c r="AE77" s="2884"/>
      <c r="AF77" s="1793"/>
      <c r="AG77" s="1753" t="s">
        <v>871</v>
      </c>
      <c r="AH77" s="1754"/>
      <c r="AI77" s="1747"/>
      <c r="AJ77" s="2883"/>
      <c r="AK77" s="2884"/>
      <c r="AL77" s="2883"/>
      <c r="AM77" s="2884"/>
      <c r="AN77" s="2883">
        <f t="shared" si="9"/>
        <v>0</v>
      </c>
      <c r="AO77" s="2884"/>
    </row>
    <row r="78" spans="1:41" ht="15.95" customHeight="1" x14ac:dyDescent="0.2">
      <c r="A78" s="2968" t="s">
        <v>902</v>
      </c>
      <c r="B78" s="2969"/>
      <c r="C78" s="1747" t="s">
        <v>496</v>
      </c>
      <c r="D78" s="1747" t="s">
        <v>497</v>
      </c>
      <c r="E78" s="2883">
        <v>6</v>
      </c>
      <c r="F78" s="2884"/>
      <c r="G78" s="2883">
        <v>47000</v>
      </c>
      <c r="H78" s="2884">
        <f t="shared" si="7"/>
        <v>38202.400000000001</v>
      </c>
      <c r="I78" s="2883">
        <f t="shared" si="8"/>
        <v>282000</v>
      </c>
      <c r="J78" s="2884"/>
      <c r="K78" s="1793"/>
      <c r="L78" s="1753" t="s">
        <v>163</v>
      </c>
      <c r="M78" s="1747"/>
      <c r="N78" s="1747" t="s">
        <v>591</v>
      </c>
      <c r="O78" s="2883">
        <v>2</v>
      </c>
      <c r="P78" s="2884"/>
      <c r="Q78" s="2883">
        <f>6446*1.0928</f>
        <v>7044.1887999999999</v>
      </c>
      <c r="R78" s="2884"/>
      <c r="S78" s="2883">
        <f t="shared" si="5"/>
        <v>14088.3776</v>
      </c>
      <c r="T78" s="2884"/>
      <c r="U78" s="26"/>
      <c r="V78" s="2968" t="s">
        <v>902</v>
      </c>
      <c r="W78" s="2969"/>
      <c r="X78" s="401"/>
      <c r="Y78" s="1758"/>
      <c r="Z78" s="2883"/>
      <c r="AA78" s="2884"/>
      <c r="AB78" s="2883"/>
      <c r="AC78" s="2926"/>
      <c r="AD78" s="2883"/>
      <c r="AE78" s="2884"/>
      <c r="AF78" s="1793"/>
      <c r="AG78" s="1753" t="s">
        <v>1037</v>
      </c>
      <c r="AH78" s="1747" t="s">
        <v>1037</v>
      </c>
      <c r="AI78" s="1747" t="s">
        <v>1038</v>
      </c>
      <c r="AJ78" s="2883">
        <v>1</v>
      </c>
      <c r="AK78" s="2884"/>
      <c r="AL78" s="2883">
        <f>22752*1.0928</f>
        <v>24863.385600000001</v>
      </c>
      <c r="AM78" s="2884"/>
      <c r="AN78" s="2883">
        <f t="shared" si="9"/>
        <v>24863.385600000001</v>
      </c>
      <c r="AO78" s="2884"/>
    </row>
    <row r="79" spans="1:41" ht="15.95" customHeight="1" x14ac:dyDescent="0.2">
      <c r="A79" s="2968" t="s">
        <v>164</v>
      </c>
      <c r="B79" s="2969"/>
      <c r="C79" s="1747" t="s">
        <v>496</v>
      </c>
      <c r="D79" s="1747" t="s">
        <v>497</v>
      </c>
      <c r="E79" s="2925">
        <v>15</v>
      </c>
      <c r="F79" s="2929"/>
      <c r="G79" s="2883">
        <v>47000</v>
      </c>
      <c r="H79" s="2884">
        <f t="shared" si="7"/>
        <v>38202.400000000001</v>
      </c>
      <c r="I79" s="2883">
        <f t="shared" si="8"/>
        <v>705000</v>
      </c>
      <c r="J79" s="2884"/>
      <c r="K79" s="1793"/>
      <c r="L79" s="1753" t="s">
        <v>165</v>
      </c>
      <c r="M79" s="1754"/>
      <c r="N79" s="1747" t="s">
        <v>1038</v>
      </c>
      <c r="O79" s="2883">
        <v>2</v>
      </c>
      <c r="P79" s="2884"/>
      <c r="Q79" s="2883">
        <f>22816*1.0928</f>
        <v>24933.324799999999</v>
      </c>
      <c r="R79" s="2884"/>
      <c r="S79" s="2883">
        <f t="shared" si="5"/>
        <v>49866.649599999997</v>
      </c>
      <c r="T79" s="2884"/>
      <c r="U79" s="26"/>
      <c r="V79" s="2968" t="s">
        <v>998</v>
      </c>
      <c r="W79" s="2969"/>
      <c r="X79" s="1758"/>
      <c r="Y79" s="1747"/>
      <c r="Z79" s="2925"/>
      <c r="AA79" s="2926"/>
      <c r="AB79" s="2883"/>
      <c r="AC79" s="2926"/>
      <c r="AD79" s="2883">
        <f>+AB79*Z79</f>
        <v>0</v>
      </c>
      <c r="AE79" s="2884"/>
      <c r="AF79" s="1793"/>
      <c r="AG79" s="1753" t="s">
        <v>507</v>
      </c>
      <c r="AH79" s="1747" t="s">
        <v>596</v>
      </c>
      <c r="AI79" s="1747" t="s">
        <v>597</v>
      </c>
      <c r="AJ79" s="2883">
        <v>7</v>
      </c>
      <c r="AK79" s="2884"/>
      <c r="AL79" s="2987">
        <f>5435*1.0928</f>
        <v>5939.3680000000004</v>
      </c>
      <c r="AM79" s="2884"/>
      <c r="AN79" s="2883">
        <f t="shared" si="9"/>
        <v>41575.576000000001</v>
      </c>
      <c r="AO79" s="2884"/>
    </row>
    <row r="80" spans="1:41" ht="15.95" customHeight="1" x14ac:dyDescent="0.2">
      <c r="A80" s="2968" t="s">
        <v>999</v>
      </c>
      <c r="B80" s="2969"/>
      <c r="C80" s="1747" t="s">
        <v>496</v>
      </c>
      <c r="D80" s="1747" t="s">
        <v>497</v>
      </c>
      <c r="E80" s="2925">
        <v>2</v>
      </c>
      <c r="F80" s="2929"/>
      <c r="G80" s="2883">
        <v>47000</v>
      </c>
      <c r="H80" s="2884">
        <f t="shared" si="7"/>
        <v>38202.400000000001</v>
      </c>
      <c r="I80" s="2883">
        <f t="shared" si="8"/>
        <v>94000</v>
      </c>
      <c r="J80" s="2884"/>
      <c r="K80" s="1793"/>
      <c r="L80" s="1753" t="s">
        <v>166</v>
      </c>
      <c r="M80" s="1747"/>
      <c r="N80" s="1747" t="s">
        <v>497</v>
      </c>
      <c r="O80" s="2883">
        <v>100</v>
      </c>
      <c r="P80" s="2884"/>
      <c r="Q80" s="2883">
        <f>1517*1.0928</f>
        <v>1657.7775999999999</v>
      </c>
      <c r="R80" s="2884"/>
      <c r="S80" s="2883">
        <f t="shared" si="5"/>
        <v>165777.75999999998</v>
      </c>
      <c r="T80" s="2884"/>
      <c r="U80" s="26"/>
      <c r="V80" s="2968" t="s">
        <v>999</v>
      </c>
      <c r="W80" s="2969"/>
      <c r="X80" s="1796"/>
      <c r="Y80" s="1797"/>
      <c r="Z80" s="2925"/>
      <c r="AA80" s="2926"/>
      <c r="AB80" s="2925"/>
      <c r="AC80" s="2929"/>
      <c r="AD80" s="2883"/>
      <c r="AE80" s="2884"/>
      <c r="AF80" s="1793"/>
      <c r="AG80" s="1753" t="s">
        <v>801</v>
      </c>
      <c r="AH80" s="1747" t="s">
        <v>739</v>
      </c>
      <c r="AI80" s="1747" t="s">
        <v>599</v>
      </c>
      <c r="AJ80" s="2883">
        <v>1</v>
      </c>
      <c r="AK80" s="2884"/>
      <c r="AL80" s="2883">
        <f>13462*1.0928</f>
        <v>14711.2736</v>
      </c>
      <c r="AM80" s="2884"/>
      <c r="AN80" s="2883">
        <f t="shared" si="9"/>
        <v>14711.2736</v>
      </c>
      <c r="AO80" s="2884"/>
    </row>
    <row r="81" spans="1:41" ht="15.95" customHeight="1" x14ac:dyDescent="0.2">
      <c r="A81" s="2968" t="s">
        <v>1039</v>
      </c>
      <c r="B81" s="2969"/>
      <c r="C81" s="1747" t="s">
        <v>496</v>
      </c>
      <c r="D81" s="1747" t="s">
        <v>497</v>
      </c>
      <c r="E81" s="2925">
        <v>12</v>
      </c>
      <c r="F81" s="2929"/>
      <c r="G81" s="2883">
        <v>47000</v>
      </c>
      <c r="H81" s="2884">
        <f t="shared" si="7"/>
        <v>38202.400000000001</v>
      </c>
      <c r="I81" s="2883">
        <f t="shared" si="8"/>
        <v>564000</v>
      </c>
      <c r="J81" s="2884"/>
      <c r="K81" s="1793"/>
      <c r="L81" s="1753" t="s">
        <v>167</v>
      </c>
      <c r="M81" s="1747"/>
      <c r="N81" s="1747"/>
      <c r="O81" s="1760"/>
      <c r="P81" s="1792"/>
      <c r="Q81" s="2883">
        <f>568127*1.0928</f>
        <v>620849.18559999997</v>
      </c>
      <c r="R81" s="2884"/>
      <c r="S81" s="2883">
        <f>Q81</f>
        <v>620849.18559999997</v>
      </c>
      <c r="T81" s="2884"/>
      <c r="U81" s="26"/>
      <c r="V81" s="2968" t="s">
        <v>873</v>
      </c>
      <c r="W81" s="2969"/>
      <c r="X81" s="1758" t="s">
        <v>496</v>
      </c>
      <c r="Y81" s="1747" t="s">
        <v>497</v>
      </c>
      <c r="Z81" s="2925">
        <v>6</v>
      </c>
      <c r="AA81" s="2926"/>
      <c r="AB81" s="2921">
        <v>47000</v>
      </c>
      <c r="AC81" s="2922">
        <f t="shared" ref="AC81:AC82" si="10">(36040*6%)+36040</f>
        <v>38202.400000000001</v>
      </c>
      <c r="AD81" s="2883">
        <f>+AB81*Z81</f>
        <v>282000</v>
      </c>
      <c r="AE81" s="2884"/>
      <c r="AF81" s="1793"/>
      <c r="AG81" s="1753" t="s">
        <v>575</v>
      </c>
      <c r="AH81" s="1754"/>
      <c r="AI81" s="1747"/>
      <c r="AJ81" s="2883"/>
      <c r="AK81" s="2884"/>
      <c r="AL81" s="2883"/>
      <c r="AM81" s="2884"/>
      <c r="AN81" s="2883">
        <f t="shared" si="9"/>
        <v>0</v>
      </c>
      <c r="AO81" s="2884"/>
    </row>
    <row r="82" spans="1:41" ht="15.95" customHeight="1" x14ac:dyDescent="0.2">
      <c r="A82" s="2968" t="s">
        <v>168</v>
      </c>
      <c r="B82" s="2969"/>
      <c r="C82" s="1747" t="s">
        <v>496</v>
      </c>
      <c r="D82" s="1747" t="s">
        <v>497</v>
      </c>
      <c r="E82" s="2925">
        <v>4</v>
      </c>
      <c r="F82" s="2929"/>
      <c r="G82" s="2883">
        <v>47000</v>
      </c>
      <c r="H82" s="2884">
        <f t="shared" si="7"/>
        <v>38202.400000000001</v>
      </c>
      <c r="I82" s="2883">
        <f t="shared" si="8"/>
        <v>188000</v>
      </c>
      <c r="J82" s="2884"/>
      <c r="K82" s="1793"/>
      <c r="L82" s="1753" t="s">
        <v>719</v>
      </c>
      <c r="M82" s="1747"/>
      <c r="N82" s="1747"/>
      <c r="O82" s="2883"/>
      <c r="P82" s="2884"/>
      <c r="Q82" s="2883"/>
      <c r="R82" s="2884"/>
      <c r="S82" s="2883">
        <f>O82*Q82</f>
        <v>0</v>
      </c>
      <c r="T82" s="2884"/>
      <c r="U82" s="26"/>
      <c r="V82" s="2968" t="s">
        <v>1040</v>
      </c>
      <c r="W82" s="2969"/>
      <c r="X82" s="1758" t="s">
        <v>496</v>
      </c>
      <c r="Y82" s="1747" t="s">
        <v>497</v>
      </c>
      <c r="Z82" s="2925">
        <v>2</v>
      </c>
      <c r="AA82" s="2926"/>
      <c r="AB82" s="2921">
        <v>47000</v>
      </c>
      <c r="AC82" s="2922">
        <f t="shared" si="10"/>
        <v>38202.400000000001</v>
      </c>
      <c r="AD82" s="2883">
        <f>+AB82*Z82</f>
        <v>94000</v>
      </c>
      <c r="AE82" s="2884"/>
      <c r="AF82" s="1793"/>
      <c r="AG82" s="1753" t="s">
        <v>874</v>
      </c>
      <c r="AH82" s="1754"/>
      <c r="AI82" s="1747"/>
      <c r="AJ82" s="2883"/>
      <c r="AK82" s="2884"/>
      <c r="AL82" s="2883"/>
      <c r="AM82" s="2884"/>
      <c r="AN82" s="2883">
        <f t="shared" si="9"/>
        <v>0</v>
      </c>
      <c r="AO82" s="2884"/>
    </row>
    <row r="83" spans="1:41" ht="15.95" customHeight="1" x14ac:dyDescent="0.2">
      <c r="A83" s="2968" t="s">
        <v>169</v>
      </c>
      <c r="B83" s="2969"/>
      <c r="C83" s="1758" t="s">
        <v>496</v>
      </c>
      <c r="D83" s="1747" t="s">
        <v>497</v>
      </c>
      <c r="E83" s="2925">
        <v>10</v>
      </c>
      <c r="F83" s="2929"/>
      <c r="G83" s="2883">
        <v>47000</v>
      </c>
      <c r="H83" s="2884">
        <f t="shared" si="7"/>
        <v>38202.400000000001</v>
      </c>
      <c r="I83" s="2883">
        <f t="shared" si="8"/>
        <v>470000</v>
      </c>
      <c r="J83" s="2884"/>
      <c r="K83" s="1793"/>
      <c r="L83" s="1756" t="s">
        <v>574</v>
      </c>
      <c r="M83" s="1758"/>
      <c r="N83" s="1758"/>
      <c r="O83" s="2883"/>
      <c r="P83" s="2884"/>
      <c r="Q83" s="2883"/>
      <c r="R83" s="2884"/>
      <c r="S83" s="2883">
        <f>O83*Q83</f>
        <v>0</v>
      </c>
      <c r="T83" s="2884"/>
      <c r="U83" s="26"/>
      <c r="V83" s="2968" t="s">
        <v>504</v>
      </c>
      <c r="W83" s="2969"/>
      <c r="X83" s="1759"/>
      <c r="Y83" s="1747"/>
      <c r="Z83" s="2925"/>
      <c r="AA83" s="2926"/>
      <c r="AB83" s="2925"/>
      <c r="AC83" s="2926"/>
      <c r="AD83" s="2883"/>
      <c r="AE83" s="2884"/>
      <c r="AF83" s="1793"/>
      <c r="AG83" s="1756" t="s">
        <v>515</v>
      </c>
      <c r="AH83" s="1759"/>
      <c r="AI83" s="1758"/>
      <c r="AJ83" s="2971"/>
      <c r="AK83" s="2971"/>
      <c r="AL83" s="2971"/>
      <c r="AM83" s="2971"/>
      <c r="AN83" s="2883">
        <f t="shared" si="9"/>
        <v>0</v>
      </c>
      <c r="AO83" s="2884"/>
    </row>
    <row r="84" spans="1:41" ht="15.95" customHeight="1" x14ac:dyDescent="0.2">
      <c r="A84" s="2934" t="s">
        <v>1001</v>
      </c>
      <c r="B84" s="2935"/>
      <c r="C84" s="1752"/>
      <c r="D84" s="1747"/>
      <c r="E84" s="2925"/>
      <c r="F84" s="2929"/>
      <c r="G84" s="2883"/>
      <c r="H84" s="2884"/>
      <c r="I84" s="2936">
        <f>SUM(I85:J102)</f>
        <v>5297517</v>
      </c>
      <c r="J84" s="2937"/>
      <c r="K84" s="1793"/>
      <c r="L84" s="1756" t="s">
        <v>504</v>
      </c>
      <c r="M84" s="1758"/>
      <c r="N84" s="1758"/>
      <c r="O84" s="2883"/>
      <c r="P84" s="2884"/>
      <c r="Q84" s="2883"/>
      <c r="R84" s="2884"/>
      <c r="S84" s="2883">
        <f>+O84*Q84</f>
        <v>0</v>
      </c>
      <c r="T84" s="2884"/>
      <c r="U84" s="123"/>
      <c r="V84" s="2934" t="s">
        <v>1041</v>
      </c>
      <c r="W84" s="2935"/>
      <c r="X84" s="1759"/>
      <c r="Y84" s="1747"/>
      <c r="Z84" s="2925"/>
      <c r="AA84" s="2926"/>
      <c r="AB84" s="2925"/>
      <c r="AC84" s="2926"/>
      <c r="AD84" s="2936">
        <f>SUM(AD85:AE102)</f>
        <v>3243000</v>
      </c>
      <c r="AE84" s="2939"/>
      <c r="AF84" s="1793"/>
      <c r="AG84" s="1756"/>
      <c r="AH84" s="1759"/>
      <c r="AI84" s="1758"/>
      <c r="AJ84" s="2971"/>
      <c r="AK84" s="2971"/>
      <c r="AL84" s="2971"/>
      <c r="AM84" s="2971"/>
      <c r="AN84" s="2971"/>
      <c r="AO84" s="2971"/>
    </row>
    <row r="85" spans="1:41" ht="15.95" customHeight="1" x14ac:dyDescent="0.2">
      <c r="A85" s="2968" t="s">
        <v>170</v>
      </c>
      <c r="B85" s="2969"/>
      <c r="C85" s="1747" t="s">
        <v>496</v>
      </c>
      <c r="D85" s="1747" t="s">
        <v>497</v>
      </c>
      <c r="E85" s="2883">
        <v>12</v>
      </c>
      <c r="F85" s="2884"/>
      <c r="G85" s="2883">
        <v>47000</v>
      </c>
      <c r="H85" s="2884">
        <f t="shared" si="7"/>
        <v>38202.400000000001</v>
      </c>
      <c r="I85" s="2883">
        <f t="shared" ref="I85:I102" si="11">E85*G85</f>
        <v>564000</v>
      </c>
      <c r="J85" s="2884"/>
      <c r="K85" s="1793"/>
      <c r="L85" s="1761" t="s">
        <v>876</v>
      </c>
      <c r="M85" s="1744"/>
      <c r="N85" s="1762"/>
      <c r="O85" s="2988"/>
      <c r="P85" s="2989"/>
      <c r="Q85" s="2988"/>
      <c r="R85" s="2989"/>
      <c r="S85" s="2990">
        <f>SUM(S67:T83)</f>
        <v>10431273.510399997</v>
      </c>
      <c r="T85" s="2991"/>
      <c r="U85" s="125"/>
      <c r="V85" s="2968" t="s">
        <v>852</v>
      </c>
      <c r="W85" s="2969"/>
      <c r="X85" s="1759"/>
      <c r="Y85" s="1747"/>
      <c r="Z85" s="2883"/>
      <c r="AA85" s="2884"/>
      <c r="AB85" s="2883"/>
      <c r="AC85" s="2884"/>
      <c r="AD85" s="2883"/>
      <c r="AE85" s="2884"/>
      <c r="AF85" s="1793"/>
      <c r="AG85" s="1761" t="s">
        <v>876</v>
      </c>
      <c r="AH85" s="1744"/>
      <c r="AI85" s="1762"/>
      <c r="AJ85" s="2972"/>
      <c r="AK85" s="2972"/>
      <c r="AL85" s="2972"/>
      <c r="AM85" s="2972"/>
      <c r="AN85" s="2973">
        <f>SUM(AN67:AO83)</f>
        <v>752010.79200000002</v>
      </c>
      <c r="AO85" s="2973"/>
    </row>
    <row r="86" spans="1:41" ht="15.95" customHeight="1" x14ac:dyDescent="0.2">
      <c r="A86" s="2968" t="s">
        <v>171</v>
      </c>
      <c r="B86" s="2969"/>
      <c r="C86" s="1747" t="s">
        <v>496</v>
      </c>
      <c r="D86" s="1747" t="s">
        <v>497</v>
      </c>
      <c r="E86" s="2883">
        <v>15</v>
      </c>
      <c r="F86" s="2884"/>
      <c r="G86" s="2883">
        <v>47000</v>
      </c>
      <c r="H86" s="2884">
        <f t="shared" si="7"/>
        <v>38202.400000000001</v>
      </c>
      <c r="I86" s="2883">
        <f t="shared" si="11"/>
        <v>705000</v>
      </c>
      <c r="J86" s="2884"/>
      <c r="K86" s="1793"/>
      <c r="L86" s="1798" t="s">
        <v>683</v>
      </c>
      <c r="M86" s="1744"/>
      <c r="N86" s="1762"/>
      <c r="O86" s="2988"/>
      <c r="P86" s="2989"/>
      <c r="Q86" s="2988"/>
      <c r="R86" s="2989"/>
      <c r="S86" s="2990">
        <f>S85+I110</f>
        <v>19995249.663999997</v>
      </c>
      <c r="T86" s="2991"/>
      <c r="U86" s="123"/>
      <c r="V86" s="2968" t="s">
        <v>495</v>
      </c>
      <c r="W86" s="2969"/>
      <c r="X86" s="1759"/>
      <c r="Y86" s="1747"/>
      <c r="Z86" s="2883"/>
      <c r="AA86" s="2884"/>
      <c r="AB86" s="2883"/>
      <c r="AC86" s="2884"/>
      <c r="AD86" s="2883"/>
      <c r="AE86" s="2884"/>
      <c r="AF86" s="1793"/>
      <c r="AG86" s="1755"/>
      <c r="AH86" s="1759"/>
      <c r="AI86" s="1758"/>
      <c r="AJ86" s="2971"/>
      <c r="AK86" s="2971"/>
      <c r="AL86" s="2971"/>
      <c r="AM86" s="2971"/>
      <c r="AN86" s="2971"/>
      <c r="AO86" s="2971"/>
    </row>
    <row r="87" spans="1:41" ht="15.95" customHeight="1" x14ac:dyDescent="0.2">
      <c r="A87" s="2968" t="s">
        <v>172</v>
      </c>
      <c r="B87" s="2969"/>
      <c r="C87" s="1758" t="s">
        <v>496</v>
      </c>
      <c r="D87" s="1747" t="s">
        <v>497</v>
      </c>
      <c r="E87" s="2925">
        <v>4</v>
      </c>
      <c r="F87" s="2929"/>
      <c r="G87" s="2883">
        <f>(38202*12.5%)+3604</f>
        <v>8379.25</v>
      </c>
      <c r="H87" s="2884">
        <f t="shared" si="7"/>
        <v>38202.400000000001</v>
      </c>
      <c r="I87" s="2883">
        <f t="shared" si="11"/>
        <v>33517</v>
      </c>
      <c r="J87" s="2884"/>
      <c r="K87" s="1793"/>
      <c r="L87" s="1799" t="s">
        <v>806</v>
      </c>
      <c r="M87" s="1765"/>
      <c r="N87" s="1765"/>
      <c r="O87" s="2974"/>
      <c r="P87" s="2974"/>
      <c r="Q87" s="2974"/>
      <c r="R87" s="2974"/>
      <c r="S87" s="2974"/>
      <c r="T87" s="2975"/>
      <c r="U87" s="26"/>
      <c r="V87" s="2968" t="s">
        <v>1003</v>
      </c>
      <c r="W87" s="2969"/>
      <c r="X87" s="1758"/>
      <c r="Y87" s="1747"/>
      <c r="Z87" s="2925"/>
      <c r="AA87" s="2926"/>
      <c r="AB87" s="2883"/>
      <c r="AC87" s="2926"/>
      <c r="AD87" s="2883">
        <f>+AB87*Z87</f>
        <v>0</v>
      </c>
      <c r="AE87" s="2884"/>
      <c r="AF87" s="1793"/>
      <c r="AG87" s="1799" t="s">
        <v>806</v>
      </c>
      <c r="AH87" s="1765"/>
      <c r="AI87" s="1765"/>
      <c r="AJ87" s="2974"/>
      <c r="AK87" s="2974"/>
      <c r="AL87" s="2974"/>
      <c r="AM87" s="2974"/>
      <c r="AN87" s="2974"/>
      <c r="AO87" s="2975"/>
    </row>
    <row r="88" spans="1:41" ht="15.95" customHeight="1" x14ac:dyDescent="0.2">
      <c r="A88" s="2968" t="s">
        <v>1004</v>
      </c>
      <c r="B88" s="2969"/>
      <c r="C88" s="1747" t="s">
        <v>496</v>
      </c>
      <c r="D88" s="1747" t="s">
        <v>497</v>
      </c>
      <c r="E88" s="2925">
        <v>3</v>
      </c>
      <c r="F88" s="2929"/>
      <c r="G88" s="2883">
        <v>47000</v>
      </c>
      <c r="H88" s="2884">
        <f t="shared" si="7"/>
        <v>38202.400000000001</v>
      </c>
      <c r="I88" s="2883">
        <f t="shared" si="11"/>
        <v>141000</v>
      </c>
      <c r="J88" s="2884"/>
      <c r="K88" s="1793"/>
      <c r="L88" s="1755" t="s">
        <v>1005</v>
      </c>
      <c r="M88" s="1766" t="s">
        <v>1042</v>
      </c>
      <c r="N88" s="266"/>
      <c r="O88" s="2976"/>
      <c r="P88" s="2976"/>
      <c r="Q88" s="2976"/>
      <c r="R88" s="2976"/>
      <c r="S88" s="2884">
        <f>(S85+I110)*0.05</f>
        <v>999762.4831999999</v>
      </c>
      <c r="T88" s="2884"/>
      <c r="U88" s="26"/>
      <c r="V88" s="2968" t="s">
        <v>1004</v>
      </c>
      <c r="W88" s="2969"/>
      <c r="X88" s="1758" t="s">
        <v>496</v>
      </c>
      <c r="Y88" s="1747" t="s">
        <v>497</v>
      </c>
      <c r="Z88" s="2925">
        <v>4</v>
      </c>
      <c r="AA88" s="2926"/>
      <c r="AB88" s="2921">
        <v>47000</v>
      </c>
      <c r="AC88" s="2922">
        <f t="shared" ref="AC88" si="12">(36040*6%)+36040</f>
        <v>38202.400000000001</v>
      </c>
      <c r="AD88" s="2883">
        <f>+AB88*Z88</f>
        <v>188000</v>
      </c>
      <c r="AE88" s="2884"/>
      <c r="AF88" s="1793"/>
      <c r="AG88" s="1755" t="s">
        <v>1005</v>
      </c>
      <c r="AH88" s="1800" t="s">
        <v>1043</v>
      </c>
      <c r="AI88" s="266"/>
      <c r="AJ88" s="2976"/>
      <c r="AK88" s="2976"/>
      <c r="AL88" s="2976"/>
      <c r="AM88" s="2976"/>
      <c r="AN88" s="2976">
        <f>+(AN85+AD110)*0.03</f>
        <v>168988.20244320002</v>
      </c>
      <c r="AO88" s="2884"/>
    </row>
    <row r="89" spans="1:41" ht="15.95" customHeight="1" x14ac:dyDescent="0.2">
      <c r="A89" s="2968" t="s">
        <v>173</v>
      </c>
      <c r="B89" s="2969"/>
      <c r="C89" s="1747" t="s">
        <v>496</v>
      </c>
      <c r="D89" s="1747" t="s">
        <v>497</v>
      </c>
      <c r="E89" s="2925">
        <v>4</v>
      </c>
      <c r="F89" s="2929"/>
      <c r="G89" s="2883">
        <v>47000</v>
      </c>
      <c r="H89" s="2884">
        <f t="shared" si="7"/>
        <v>38202.400000000001</v>
      </c>
      <c r="I89" s="2883">
        <f t="shared" si="11"/>
        <v>188000</v>
      </c>
      <c r="J89" s="2884"/>
      <c r="K89" s="1793"/>
      <c r="L89" s="1801" t="s">
        <v>527</v>
      </c>
      <c r="M89" s="266"/>
      <c r="N89" s="266"/>
      <c r="O89" s="2976"/>
      <c r="P89" s="2976"/>
      <c r="Q89" s="2976"/>
      <c r="R89" s="2976"/>
      <c r="S89" s="2884">
        <f>200000*1.0928</f>
        <v>218560</v>
      </c>
      <c r="T89" s="2884"/>
      <c r="U89" s="26"/>
      <c r="V89" s="2968" t="s">
        <v>1006</v>
      </c>
      <c r="W89" s="2969"/>
      <c r="X89" s="1759"/>
      <c r="Y89" s="1747"/>
      <c r="Z89" s="2925"/>
      <c r="AA89" s="2926"/>
      <c r="AB89" s="2925"/>
      <c r="AC89" s="2926"/>
      <c r="AD89" s="2883"/>
      <c r="AE89" s="2884"/>
      <c r="AF89" s="1793"/>
      <c r="AG89" s="1767" t="s">
        <v>527</v>
      </c>
      <c r="AH89" s="266"/>
      <c r="AI89" s="266"/>
      <c r="AJ89" s="2976"/>
      <c r="AK89" s="2976"/>
      <c r="AL89" s="2976"/>
      <c r="AM89" s="2976"/>
      <c r="AN89" s="2976"/>
      <c r="AO89" s="2884"/>
    </row>
    <row r="90" spans="1:41" ht="15.95" customHeight="1" x14ac:dyDescent="0.2">
      <c r="A90" s="2968" t="s">
        <v>1007</v>
      </c>
      <c r="B90" s="2969"/>
      <c r="C90" s="1747" t="s">
        <v>496</v>
      </c>
      <c r="D90" s="1747" t="s">
        <v>497</v>
      </c>
      <c r="E90" s="2925">
        <v>10</v>
      </c>
      <c r="F90" s="2929"/>
      <c r="G90" s="2883">
        <v>47000</v>
      </c>
      <c r="H90" s="2884">
        <f t="shared" si="7"/>
        <v>38202.400000000001</v>
      </c>
      <c r="I90" s="2883">
        <f t="shared" si="11"/>
        <v>470000</v>
      </c>
      <c r="J90" s="2884"/>
      <c r="K90" s="1793"/>
      <c r="L90" s="1768" t="s">
        <v>174</v>
      </c>
      <c r="M90" s="266"/>
      <c r="N90" s="266"/>
      <c r="O90" s="2976"/>
      <c r="P90" s="2976"/>
      <c r="Q90" s="2976"/>
      <c r="R90" s="2976"/>
      <c r="S90" s="2884">
        <f>450000*1.0928</f>
        <v>491760</v>
      </c>
      <c r="T90" s="2884"/>
      <c r="U90" s="26"/>
      <c r="V90" s="2968" t="s">
        <v>1007</v>
      </c>
      <c r="W90" s="2969"/>
      <c r="X90" s="1759"/>
      <c r="Y90" s="1747"/>
      <c r="Z90" s="2925"/>
      <c r="AA90" s="2926"/>
      <c r="AB90" s="2925"/>
      <c r="AC90" s="2926"/>
      <c r="AD90" s="2883"/>
      <c r="AE90" s="2884"/>
      <c r="AF90" s="1793"/>
      <c r="AG90" s="1768" t="s">
        <v>529</v>
      </c>
      <c r="AH90" s="266"/>
      <c r="AI90" s="266"/>
      <c r="AJ90" s="2976"/>
      <c r="AK90" s="2976"/>
      <c r="AL90" s="2976"/>
      <c r="AM90" s="2976"/>
      <c r="AN90" s="2976">
        <f>450000*1.0928</f>
        <v>491760</v>
      </c>
      <c r="AO90" s="2884"/>
    </row>
    <row r="91" spans="1:41" ht="15.95" customHeight="1" x14ac:dyDescent="0.2">
      <c r="A91" s="2968" t="s">
        <v>175</v>
      </c>
      <c r="B91" s="2969"/>
      <c r="C91" s="1758" t="s">
        <v>496</v>
      </c>
      <c r="D91" s="1747" t="s">
        <v>497</v>
      </c>
      <c r="E91" s="2925">
        <v>12</v>
      </c>
      <c r="F91" s="2929"/>
      <c r="G91" s="2883">
        <v>47000</v>
      </c>
      <c r="H91" s="2884">
        <f t="shared" si="7"/>
        <v>38202.400000000001</v>
      </c>
      <c r="I91" s="2883">
        <f t="shared" si="11"/>
        <v>564000</v>
      </c>
      <c r="J91" s="2884"/>
      <c r="K91" s="1793"/>
      <c r="L91" s="1768" t="s">
        <v>726</v>
      </c>
      <c r="M91" s="266"/>
      <c r="N91" s="266"/>
      <c r="O91" s="2976"/>
      <c r="P91" s="2976"/>
      <c r="Q91" s="2976"/>
      <c r="R91" s="2976"/>
      <c r="S91" s="2884">
        <f>(S86)*5%</f>
        <v>999762.4831999999</v>
      </c>
      <c r="T91" s="2884"/>
      <c r="U91" s="26"/>
      <c r="V91" s="2968" t="s">
        <v>1008</v>
      </c>
      <c r="W91" s="2969"/>
      <c r="X91" s="1759"/>
      <c r="Y91" s="1747"/>
      <c r="Z91" s="2925"/>
      <c r="AA91" s="2926"/>
      <c r="AB91" s="2925"/>
      <c r="AC91" s="2926"/>
      <c r="AD91" s="2883"/>
      <c r="AE91" s="2884"/>
      <c r="AF91" s="1793"/>
      <c r="AG91" s="1768" t="s">
        <v>531</v>
      </c>
      <c r="AH91" s="266"/>
      <c r="AI91" s="266"/>
      <c r="AJ91" s="2976"/>
      <c r="AK91" s="2976"/>
      <c r="AL91" s="2976"/>
      <c r="AM91" s="2976"/>
      <c r="AN91" s="2976">
        <f>+(AN85+AD110)*0.05</f>
        <v>281647.00407200004</v>
      </c>
      <c r="AO91" s="2884"/>
    </row>
    <row r="92" spans="1:41" ht="15.95" customHeight="1" x14ac:dyDescent="0.2">
      <c r="A92" s="2968" t="s">
        <v>176</v>
      </c>
      <c r="B92" s="2969"/>
      <c r="C92" s="1747" t="s">
        <v>496</v>
      </c>
      <c r="D92" s="1747" t="s">
        <v>497</v>
      </c>
      <c r="E92" s="2925">
        <v>8</v>
      </c>
      <c r="F92" s="2929"/>
      <c r="G92" s="2883">
        <v>47000</v>
      </c>
      <c r="H92" s="2884">
        <f t="shared" si="7"/>
        <v>38202.400000000001</v>
      </c>
      <c r="I92" s="2883">
        <f t="shared" si="11"/>
        <v>376000</v>
      </c>
      <c r="J92" s="2884"/>
      <c r="K92" s="1793"/>
      <c r="L92" s="1769" t="s">
        <v>504</v>
      </c>
      <c r="M92" s="1770"/>
      <c r="N92" s="1770"/>
      <c r="O92" s="2977"/>
      <c r="P92" s="2977"/>
      <c r="Q92" s="2977"/>
      <c r="R92" s="2977"/>
      <c r="S92" s="2977">
        <f>120000*1.0928</f>
        <v>131136</v>
      </c>
      <c r="T92" s="2978"/>
      <c r="U92" s="26"/>
      <c r="V92" s="2968" t="s">
        <v>1009</v>
      </c>
      <c r="W92" s="2969"/>
      <c r="X92" s="1758" t="s">
        <v>496</v>
      </c>
      <c r="Y92" s="1747" t="s">
        <v>497</v>
      </c>
      <c r="Z92" s="2925">
        <v>4</v>
      </c>
      <c r="AA92" s="2926"/>
      <c r="AB92" s="2921">
        <v>47000</v>
      </c>
      <c r="AC92" s="2922">
        <f t="shared" ref="AC92:AC93" si="13">(36040*6%)+36040</f>
        <v>38202.400000000001</v>
      </c>
      <c r="AD92" s="2883">
        <f t="shared" ref="AD92:AD93" si="14">+AB92*Z92</f>
        <v>188000</v>
      </c>
      <c r="AE92" s="2884"/>
      <c r="AF92" s="1793"/>
      <c r="AG92" s="1769" t="s">
        <v>504</v>
      </c>
      <c r="AH92" s="1770"/>
      <c r="AI92" s="1770"/>
      <c r="AJ92" s="2977"/>
      <c r="AK92" s="2977"/>
      <c r="AL92" s="2977"/>
      <c r="AM92" s="2977"/>
      <c r="AN92" s="2992">
        <f>50000*1.0928</f>
        <v>54640</v>
      </c>
      <c r="AO92" s="2993"/>
    </row>
    <row r="93" spans="1:41" ht="15.95" customHeight="1" x14ac:dyDescent="0.2">
      <c r="A93" s="2968" t="s">
        <v>177</v>
      </c>
      <c r="B93" s="2969"/>
      <c r="C93" s="1747" t="s">
        <v>496</v>
      </c>
      <c r="D93" s="1747" t="s">
        <v>497</v>
      </c>
      <c r="E93" s="2925">
        <v>4</v>
      </c>
      <c r="F93" s="2929"/>
      <c r="G93" s="2883">
        <v>47000</v>
      </c>
      <c r="H93" s="2884">
        <f t="shared" si="7"/>
        <v>38202.400000000001</v>
      </c>
      <c r="I93" s="2883">
        <f t="shared" si="11"/>
        <v>188000</v>
      </c>
      <c r="J93" s="2884"/>
      <c r="K93" s="1793"/>
      <c r="L93" s="1771" t="s">
        <v>533</v>
      </c>
      <c r="M93" s="1772"/>
      <c r="N93" s="1772"/>
      <c r="O93" s="2979"/>
      <c r="P93" s="2979"/>
      <c r="Q93" s="2980"/>
      <c r="R93" s="2980"/>
      <c r="S93" s="2994">
        <f>SUM(S88:T92)</f>
        <v>2840980.9663999998</v>
      </c>
      <c r="T93" s="2981"/>
      <c r="U93" s="271"/>
      <c r="V93" s="2968" t="s">
        <v>1010</v>
      </c>
      <c r="W93" s="2969"/>
      <c r="X93" s="1758" t="s">
        <v>496</v>
      </c>
      <c r="Y93" s="1747" t="s">
        <v>497</v>
      </c>
      <c r="Z93" s="2925">
        <v>5</v>
      </c>
      <c r="AA93" s="2926"/>
      <c r="AB93" s="2921">
        <v>47000</v>
      </c>
      <c r="AC93" s="2922">
        <f t="shared" si="13"/>
        <v>38202.400000000001</v>
      </c>
      <c r="AD93" s="2883">
        <f t="shared" si="14"/>
        <v>235000</v>
      </c>
      <c r="AE93" s="2884"/>
      <c r="AF93" s="1793"/>
      <c r="AG93" s="1771" t="s">
        <v>533</v>
      </c>
      <c r="AH93" s="1772"/>
      <c r="AI93" s="1772"/>
      <c r="AJ93" s="2979"/>
      <c r="AK93" s="2979"/>
      <c r="AL93" s="2980"/>
      <c r="AM93" s="2980"/>
      <c r="AN93" s="2981">
        <f>SUM(AN88:AO92)</f>
        <v>997035.20651520009</v>
      </c>
      <c r="AO93" s="2981"/>
    </row>
    <row r="94" spans="1:41" ht="15.95" customHeight="1" x14ac:dyDescent="0.2">
      <c r="A94" s="2968" t="s">
        <v>178</v>
      </c>
      <c r="B94" s="2969"/>
      <c r="C94" s="1747" t="s">
        <v>496</v>
      </c>
      <c r="D94" s="1747" t="s">
        <v>497</v>
      </c>
      <c r="E94" s="2925">
        <v>1</v>
      </c>
      <c r="F94" s="2929"/>
      <c r="G94" s="2883">
        <v>47000</v>
      </c>
      <c r="H94" s="2884">
        <f t="shared" si="7"/>
        <v>38202.400000000001</v>
      </c>
      <c r="I94" s="2883">
        <f t="shared" si="11"/>
        <v>47000</v>
      </c>
      <c r="J94" s="2884"/>
      <c r="K94" s="1793"/>
      <c r="L94" s="1774"/>
      <c r="M94" s="266"/>
      <c r="N94" s="266"/>
      <c r="O94" s="2976"/>
      <c r="P94" s="2976"/>
      <c r="Q94" s="2976"/>
      <c r="R94" s="2976"/>
      <c r="S94" s="2884"/>
      <c r="T94" s="2884"/>
      <c r="U94" s="26"/>
      <c r="V94" s="2968" t="s">
        <v>1011</v>
      </c>
      <c r="W94" s="2969"/>
      <c r="X94" s="1759"/>
      <c r="Y94" s="1747"/>
      <c r="Z94" s="2925"/>
      <c r="AA94" s="2926"/>
      <c r="AB94" s="2925"/>
      <c r="AC94" s="2926"/>
      <c r="AD94" s="2883"/>
      <c r="AE94" s="2884"/>
      <c r="AF94" s="1793"/>
      <c r="AG94" s="1774"/>
      <c r="AH94" s="266"/>
      <c r="AI94" s="266"/>
      <c r="AJ94" s="2976"/>
      <c r="AK94" s="2976"/>
      <c r="AL94" s="2976"/>
      <c r="AM94" s="2976"/>
      <c r="AN94" s="2976"/>
      <c r="AO94" s="2884"/>
    </row>
    <row r="95" spans="1:41" ht="15.95" customHeight="1" thickBot="1" x14ac:dyDescent="0.25">
      <c r="A95" s="2968" t="s">
        <v>179</v>
      </c>
      <c r="B95" s="2969"/>
      <c r="C95" s="1747" t="s">
        <v>496</v>
      </c>
      <c r="D95" s="1747" t="s">
        <v>497</v>
      </c>
      <c r="E95" s="2925">
        <v>2</v>
      </c>
      <c r="F95" s="2929"/>
      <c r="G95" s="2883">
        <v>47000</v>
      </c>
      <c r="H95" s="2884">
        <f t="shared" si="7"/>
        <v>38202.400000000001</v>
      </c>
      <c r="I95" s="2883">
        <f t="shared" si="11"/>
        <v>94000</v>
      </c>
      <c r="J95" s="2884"/>
      <c r="K95" s="1793"/>
      <c r="L95" s="1775" t="s">
        <v>152</v>
      </c>
      <c r="M95" s="1776"/>
      <c r="N95" s="1776"/>
      <c r="O95" s="1776"/>
      <c r="P95" s="1776"/>
      <c r="Q95" s="1777"/>
      <c r="R95" s="1777"/>
      <c r="S95" s="2995">
        <f>SUM(S93+S85+I110)</f>
        <v>22836230.630399995</v>
      </c>
      <c r="T95" s="2996"/>
      <c r="U95" s="271"/>
      <c r="V95" s="2997" t="s">
        <v>1523</v>
      </c>
      <c r="W95" s="2969"/>
      <c r="X95" s="2212" t="s">
        <v>496</v>
      </c>
      <c r="Y95" s="2018" t="s">
        <v>497</v>
      </c>
      <c r="Z95" s="2925">
        <v>18</v>
      </c>
      <c r="AA95" s="2926"/>
      <c r="AB95" s="2921">
        <v>47000</v>
      </c>
      <c r="AC95" s="2922">
        <f t="shared" ref="AC95:AC96" si="15">(36040*6%)+36040</f>
        <v>38202.400000000001</v>
      </c>
      <c r="AD95" s="2883">
        <f t="shared" ref="AD95:AD96" si="16">+AB95*Z95</f>
        <v>846000</v>
      </c>
      <c r="AE95" s="2884"/>
      <c r="AF95" s="1793"/>
      <c r="AG95" s="1775" t="s">
        <v>152</v>
      </c>
      <c r="AH95" s="1776"/>
      <c r="AI95" s="1776"/>
      <c r="AJ95" s="1776"/>
      <c r="AK95" s="1776"/>
      <c r="AL95" s="1777"/>
      <c r="AM95" s="1777"/>
      <c r="AN95" s="2995">
        <f>SUM(AN93+AN85+AD110)</f>
        <v>6629975.2879552003</v>
      </c>
      <c r="AO95" s="2996"/>
    </row>
    <row r="96" spans="1:41" ht="15.95" customHeight="1" x14ac:dyDescent="0.2">
      <c r="A96" s="2968" t="s">
        <v>180</v>
      </c>
      <c r="B96" s="2969"/>
      <c r="C96" s="1747" t="s">
        <v>496</v>
      </c>
      <c r="D96" s="1747" t="s">
        <v>497</v>
      </c>
      <c r="E96" s="2883">
        <v>28</v>
      </c>
      <c r="F96" s="2884"/>
      <c r="G96" s="2883">
        <v>47000</v>
      </c>
      <c r="H96" s="2884">
        <f t="shared" si="7"/>
        <v>38202.400000000001</v>
      </c>
      <c r="I96" s="2883">
        <f t="shared" si="11"/>
        <v>1316000</v>
      </c>
      <c r="J96" s="2884"/>
      <c r="K96" s="1802"/>
      <c r="L96" s="266"/>
      <c r="M96" s="266"/>
      <c r="N96" s="266"/>
      <c r="O96" s="266"/>
      <c r="P96" s="266"/>
      <c r="Q96" s="266"/>
      <c r="R96" s="266"/>
      <c r="S96" s="266"/>
      <c r="T96" s="266"/>
      <c r="U96" s="45"/>
      <c r="V96" s="2968" t="s">
        <v>1018</v>
      </c>
      <c r="W96" s="2969"/>
      <c r="X96" s="1758" t="s">
        <v>496</v>
      </c>
      <c r="Y96" s="1747" t="s">
        <v>497</v>
      </c>
      <c r="Z96" s="2883">
        <v>20</v>
      </c>
      <c r="AA96" s="2884"/>
      <c r="AB96" s="2921">
        <v>47000</v>
      </c>
      <c r="AC96" s="2922">
        <f t="shared" si="15"/>
        <v>38202.400000000001</v>
      </c>
      <c r="AD96" s="2883">
        <f t="shared" si="16"/>
        <v>940000</v>
      </c>
      <c r="AE96" s="2884"/>
      <c r="AF96" s="284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1:41" ht="15.95" customHeight="1" x14ac:dyDescent="0.2">
      <c r="A97" s="2968" t="s">
        <v>1019</v>
      </c>
      <c r="B97" s="2969"/>
      <c r="C97" s="1747" t="s">
        <v>496</v>
      </c>
      <c r="D97" s="1747" t="s">
        <v>497</v>
      </c>
      <c r="E97" s="2925">
        <v>3</v>
      </c>
      <c r="F97" s="2929"/>
      <c r="G97" s="2883">
        <v>47000</v>
      </c>
      <c r="H97" s="2884">
        <f t="shared" si="7"/>
        <v>38202.400000000001</v>
      </c>
      <c r="I97" s="2883">
        <f t="shared" si="11"/>
        <v>141000</v>
      </c>
      <c r="J97" s="2884"/>
      <c r="K97" s="1793"/>
      <c r="L97" s="7" t="s">
        <v>1585</v>
      </c>
      <c r="M97" s="8"/>
      <c r="N97" s="8"/>
      <c r="O97" s="8"/>
      <c r="P97" s="4"/>
      <c r="Q97" s="5"/>
      <c r="R97" s="9"/>
      <c r="S97" s="266"/>
      <c r="T97" s="266"/>
      <c r="U97" s="45"/>
      <c r="V97" s="2968" t="s">
        <v>1019</v>
      </c>
      <c r="W97" s="2969"/>
      <c r="X97" s="1759"/>
      <c r="Y97" s="1747"/>
      <c r="Z97" s="2925"/>
      <c r="AA97" s="2926"/>
      <c r="AB97" s="2925"/>
      <c r="AC97" s="2926"/>
      <c r="AD97" s="2883">
        <f>Z97*AB97</f>
        <v>0</v>
      </c>
      <c r="AE97" s="2884"/>
      <c r="AF97" s="279"/>
      <c r="AG97" s="7" t="s">
        <v>1528</v>
      </c>
      <c r="AH97" s="45"/>
      <c r="AI97" s="45"/>
      <c r="AJ97" s="45"/>
      <c r="AK97" s="45"/>
      <c r="AL97" s="45"/>
      <c r="AM97" s="45"/>
      <c r="AN97" s="45"/>
      <c r="AO97" s="45"/>
    </row>
    <row r="98" spans="1:41" ht="15.95" customHeight="1" x14ac:dyDescent="0.2">
      <c r="A98" s="2968" t="s">
        <v>181</v>
      </c>
      <c r="B98" s="2969"/>
      <c r="C98" s="1758" t="s">
        <v>496</v>
      </c>
      <c r="D98" s="1747" t="s">
        <v>497</v>
      </c>
      <c r="E98" s="2925">
        <v>4</v>
      </c>
      <c r="F98" s="2929"/>
      <c r="G98" s="2883">
        <v>47000</v>
      </c>
      <c r="H98" s="2884">
        <f t="shared" si="7"/>
        <v>38202.400000000001</v>
      </c>
      <c r="I98" s="2883">
        <f t="shared" si="11"/>
        <v>188000</v>
      </c>
      <c r="J98" s="2884"/>
      <c r="K98" s="1793"/>
      <c r="L98" s="266" t="s">
        <v>182</v>
      </c>
      <c r="M98" s="266"/>
      <c r="N98" s="266"/>
      <c r="O98" s="266"/>
      <c r="P98" s="266"/>
      <c r="Q98" s="266"/>
      <c r="R98" s="1779"/>
      <c r="S98" s="266"/>
      <c r="T98" s="266"/>
      <c r="U98" s="45"/>
      <c r="V98" s="2968" t="s">
        <v>1020</v>
      </c>
      <c r="W98" s="2969"/>
      <c r="X98" s="1759"/>
      <c r="Y98" s="1747"/>
      <c r="Z98" s="2925"/>
      <c r="AA98" s="2926"/>
      <c r="AB98" s="2925"/>
      <c r="AC98" s="2926"/>
      <c r="AD98" s="2883">
        <f>Z98*AB98</f>
        <v>0</v>
      </c>
      <c r="AE98" s="2884"/>
      <c r="AF98" s="279"/>
      <c r="AG98" s="597" t="s">
        <v>1584</v>
      </c>
      <c r="AH98" s="45"/>
      <c r="AI98" s="45"/>
      <c r="AJ98" s="45"/>
      <c r="AK98" s="47"/>
      <c r="AL98" s="47"/>
      <c r="AM98" s="47"/>
      <c r="AN98" s="45"/>
      <c r="AO98" s="45"/>
    </row>
    <row r="99" spans="1:41" ht="15.95" customHeight="1" x14ac:dyDescent="0.2">
      <c r="A99" s="2968" t="s">
        <v>1021</v>
      </c>
      <c r="B99" s="2969"/>
      <c r="C99" s="1752"/>
      <c r="D99" s="1747"/>
      <c r="E99" s="2925"/>
      <c r="F99" s="2929"/>
      <c r="G99" s="2883"/>
      <c r="H99" s="2884"/>
      <c r="I99" s="2883">
        <f t="shared" si="11"/>
        <v>0</v>
      </c>
      <c r="J99" s="2884"/>
      <c r="K99" s="1793"/>
      <c r="L99" s="597" t="s">
        <v>1583</v>
      </c>
      <c r="M99" s="1781"/>
      <c r="N99" s="1781"/>
      <c r="O99" s="1781"/>
      <c r="P99" s="1781"/>
      <c r="Q99" s="1783"/>
      <c r="R99" s="1783"/>
      <c r="S99" s="266"/>
      <c r="T99" s="266"/>
      <c r="U99" s="45"/>
      <c r="V99" s="2968" t="s">
        <v>1021</v>
      </c>
      <c r="W99" s="2969"/>
      <c r="X99" s="1759"/>
      <c r="Y99" s="1747"/>
      <c r="Z99" s="2925"/>
      <c r="AA99" s="2926"/>
      <c r="AB99" s="2925"/>
      <c r="AC99" s="2926"/>
      <c r="AD99" s="2883">
        <f>Z99*AB99</f>
        <v>0</v>
      </c>
      <c r="AE99" s="2884"/>
      <c r="AF99" s="279"/>
      <c r="AG99" s="45"/>
      <c r="AH99" s="45"/>
      <c r="AI99" s="45"/>
      <c r="AJ99" s="45"/>
      <c r="AK99" s="45"/>
      <c r="AL99" s="285"/>
      <c r="AM99" s="44"/>
      <c r="AN99" s="45"/>
      <c r="AO99" s="45"/>
    </row>
    <row r="100" spans="1:41" ht="15.95" customHeight="1" x14ac:dyDescent="0.2">
      <c r="A100" s="2968" t="s">
        <v>1022</v>
      </c>
      <c r="B100" s="2969"/>
      <c r="C100" s="1747" t="s">
        <v>496</v>
      </c>
      <c r="D100" s="1747" t="s">
        <v>497</v>
      </c>
      <c r="E100" s="2883">
        <v>6</v>
      </c>
      <c r="F100" s="2884"/>
      <c r="G100" s="2883">
        <v>47000</v>
      </c>
      <c r="H100" s="2884">
        <f t="shared" si="7"/>
        <v>38202.400000000001</v>
      </c>
      <c r="I100" s="2883">
        <f t="shared" si="11"/>
        <v>282000</v>
      </c>
      <c r="J100" s="2884"/>
      <c r="K100" s="1793"/>
      <c r="M100" s="1781"/>
      <c r="N100" s="1781"/>
      <c r="O100" s="1781"/>
      <c r="P100" s="1781"/>
      <c r="Q100" s="1783"/>
      <c r="R100" s="1783"/>
      <c r="S100" s="1783"/>
      <c r="T100" s="266"/>
      <c r="U100" s="45"/>
      <c r="V100" s="2968" t="s">
        <v>1022</v>
      </c>
      <c r="W100" s="2969"/>
      <c r="X100" s="1758" t="s">
        <v>496</v>
      </c>
      <c r="Y100" s="1747" t="s">
        <v>497</v>
      </c>
      <c r="Z100" s="2883">
        <v>4</v>
      </c>
      <c r="AA100" s="2884"/>
      <c r="AB100" s="2921">
        <v>47000</v>
      </c>
      <c r="AC100" s="2922">
        <f t="shared" ref="AC100:AC102" si="17">(36040*6%)+36040</f>
        <v>38202.400000000001</v>
      </c>
      <c r="AD100" s="2883">
        <f t="shared" ref="AD100:AD102" si="18">+AB100*Z100</f>
        <v>188000</v>
      </c>
      <c r="AE100" s="2884"/>
      <c r="AF100" s="279"/>
      <c r="AH100" s="266"/>
      <c r="AI100" s="266"/>
      <c r="AJ100" s="266"/>
      <c r="AK100" s="266"/>
      <c r="AL100" s="1783"/>
      <c r="AM100" s="266"/>
      <c r="AN100" s="266"/>
      <c r="AO100" s="45"/>
    </row>
    <row r="101" spans="1:41" ht="15.95" customHeight="1" x14ac:dyDescent="0.2">
      <c r="A101" s="2968"/>
      <c r="B101" s="2969"/>
      <c r="C101" s="1747"/>
      <c r="D101" s="1747"/>
      <c r="E101" s="2883"/>
      <c r="F101" s="2884"/>
      <c r="G101" s="2921"/>
      <c r="H101" s="2922"/>
      <c r="I101" s="2883">
        <f t="shared" si="11"/>
        <v>0</v>
      </c>
      <c r="J101" s="2884"/>
      <c r="K101" s="1793"/>
      <c r="M101" s="266"/>
      <c r="N101" s="266"/>
      <c r="O101" s="266"/>
      <c r="P101" s="266"/>
      <c r="Q101" s="1783"/>
      <c r="R101" s="266"/>
      <c r="S101" s="266"/>
      <c r="T101" s="266"/>
      <c r="U101" s="45"/>
      <c r="V101" s="2968" t="s">
        <v>881</v>
      </c>
      <c r="W101" s="2969"/>
      <c r="X101" s="1758" t="s">
        <v>496</v>
      </c>
      <c r="Y101" s="1747" t="s">
        <v>497</v>
      </c>
      <c r="Z101" s="2883">
        <v>6</v>
      </c>
      <c r="AA101" s="2884"/>
      <c r="AB101" s="2921">
        <v>47000</v>
      </c>
      <c r="AC101" s="2922">
        <f t="shared" si="17"/>
        <v>38202.400000000001</v>
      </c>
      <c r="AD101" s="2883">
        <f t="shared" si="18"/>
        <v>282000</v>
      </c>
      <c r="AE101" s="2884"/>
      <c r="AF101" s="279"/>
      <c r="AG101" s="45"/>
      <c r="AH101" s="206"/>
      <c r="AI101" s="206"/>
      <c r="AJ101" s="206"/>
      <c r="AK101" s="206"/>
      <c r="AL101" s="107"/>
      <c r="AM101" s="45"/>
      <c r="AN101" s="45"/>
      <c r="AO101" s="45"/>
    </row>
    <row r="102" spans="1:41" ht="15.95" customHeight="1" x14ac:dyDescent="0.2">
      <c r="A102" s="2968"/>
      <c r="B102" s="2969"/>
      <c r="C102" s="1747"/>
      <c r="D102" s="1747"/>
      <c r="E102" s="2925"/>
      <c r="F102" s="2929"/>
      <c r="G102" s="2921"/>
      <c r="H102" s="2922"/>
      <c r="I102" s="2883">
        <f t="shared" si="11"/>
        <v>0</v>
      </c>
      <c r="J102" s="2884"/>
      <c r="K102" s="1793"/>
      <c r="L102" s="266"/>
      <c r="M102" s="2953"/>
      <c r="N102" s="2953"/>
      <c r="O102" s="2953"/>
      <c r="P102" s="2953"/>
      <c r="Q102" s="1783"/>
      <c r="R102" s="1783"/>
      <c r="S102" s="266"/>
      <c r="T102" s="266"/>
      <c r="U102" s="45"/>
      <c r="V102" s="2968" t="s">
        <v>882</v>
      </c>
      <c r="W102" s="2969"/>
      <c r="X102" s="1758" t="s">
        <v>496</v>
      </c>
      <c r="Y102" s="1747" t="s">
        <v>497</v>
      </c>
      <c r="Z102" s="2925">
        <v>8</v>
      </c>
      <c r="AA102" s="2926"/>
      <c r="AB102" s="2921">
        <v>47000</v>
      </c>
      <c r="AC102" s="2922">
        <f t="shared" si="17"/>
        <v>38202.400000000001</v>
      </c>
      <c r="AD102" s="2883">
        <f t="shared" si="18"/>
        <v>376000</v>
      </c>
      <c r="AE102" s="2884"/>
      <c r="AF102" s="279"/>
      <c r="AG102" s="45"/>
      <c r="AH102" s="2834"/>
      <c r="AI102" s="2834"/>
      <c r="AJ102" s="2834"/>
      <c r="AK102" s="2834"/>
      <c r="AL102" s="107"/>
      <c r="AM102" s="44"/>
      <c r="AN102" s="45"/>
      <c r="AO102" s="45"/>
    </row>
    <row r="103" spans="1:41" ht="15.95" customHeight="1" x14ac:dyDescent="0.2">
      <c r="A103" s="2934" t="s">
        <v>1023</v>
      </c>
      <c r="B103" s="2935"/>
      <c r="C103" s="1752"/>
      <c r="D103" s="1747"/>
      <c r="E103" s="2925"/>
      <c r="F103" s="2929"/>
      <c r="G103" s="2921"/>
      <c r="H103" s="2922"/>
      <c r="I103" s="2936">
        <f>SUM(I104:J109)</f>
        <v>500000</v>
      </c>
      <c r="J103" s="2937"/>
      <c r="K103" s="1793"/>
      <c r="L103" s="266"/>
      <c r="M103" s="2953"/>
      <c r="N103" s="2953"/>
      <c r="O103" s="2953"/>
      <c r="P103" s="2953"/>
      <c r="Q103" s="1783"/>
      <c r="R103" s="1783"/>
      <c r="S103" s="266"/>
      <c r="T103" s="266"/>
      <c r="U103" s="45"/>
      <c r="V103" s="2934" t="s">
        <v>1023</v>
      </c>
      <c r="W103" s="2935"/>
      <c r="X103" s="1759"/>
      <c r="Y103" s="1747"/>
      <c r="Z103" s="2925"/>
      <c r="AA103" s="2926"/>
      <c r="AB103" s="2925"/>
      <c r="AC103" s="2926"/>
      <c r="AD103" s="2936">
        <f>SUM(AD104:AE109)</f>
        <v>1261929.28944</v>
      </c>
      <c r="AE103" s="2937"/>
      <c r="AF103" s="279"/>
      <c r="AG103" s="45"/>
      <c r="AH103" s="2834"/>
      <c r="AI103" s="2834"/>
      <c r="AJ103" s="2834"/>
      <c r="AK103" s="2834"/>
      <c r="AL103" s="107"/>
      <c r="AM103" s="44"/>
      <c r="AN103" s="45"/>
      <c r="AO103" s="45"/>
    </row>
    <row r="104" spans="1:41" ht="15.95" customHeight="1" x14ac:dyDescent="0.2">
      <c r="A104" s="2968" t="s">
        <v>1044</v>
      </c>
      <c r="B104" s="2969"/>
      <c r="C104" s="1747"/>
      <c r="D104" s="1747"/>
      <c r="E104" s="2925"/>
      <c r="F104" s="2929"/>
      <c r="G104" s="2921"/>
      <c r="H104" s="2922"/>
      <c r="I104" s="2883">
        <f>E104*G104</f>
        <v>0</v>
      </c>
      <c r="J104" s="2884"/>
      <c r="K104" s="1793"/>
      <c r="L104" s="266"/>
      <c r="M104" s="266"/>
      <c r="N104" s="266"/>
      <c r="O104" s="266"/>
      <c r="P104" s="266"/>
      <c r="Q104" s="266"/>
      <c r="R104" s="1783"/>
      <c r="S104" s="266"/>
      <c r="T104" s="266"/>
      <c r="U104" s="45"/>
      <c r="V104" s="2968" t="s">
        <v>884</v>
      </c>
      <c r="W104" s="2969"/>
      <c r="X104" s="1758" t="s">
        <v>496</v>
      </c>
      <c r="Y104" s="1747" t="s">
        <v>497</v>
      </c>
      <c r="Z104" s="2925">
        <v>12</v>
      </c>
      <c r="AA104" s="2926"/>
      <c r="AB104" s="2921">
        <v>47000</v>
      </c>
      <c r="AC104" s="2922">
        <f t="shared" ref="AC104:AC107" si="19">(36040*6%)+36040</f>
        <v>38202.400000000001</v>
      </c>
      <c r="AD104" s="2883">
        <f t="shared" ref="AD104:AD107" si="20">+AB104*Z104</f>
        <v>564000</v>
      </c>
      <c r="AE104" s="2884"/>
      <c r="AF104" s="279"/>
      <c r="AG104" s="45"/>
      <c r="AH104" s="2834"/>
      <c r="AI104" s="2834"/>
      <c r="AJ104" s="2834"/>
      <c r="AK104" s="2834"/>
      <c r="AL104" s="273"/>
      <c r="AM104" s="44"/>
      <c r="AN104" s="45"/>
      <c r="AO104" s="45"/>
    </row>
    <row r="105" spans="1:41" ht="15.95" customHeight="1" x14ac:dyDescent="0.2">
      <c r="A105" s="2968" t="s">
        <v>1024</v>
      </c>
      <c r="B105" s="2969"/>
      <c r="C105" s="1758"/>
      <c r="D105" s="1747"/>
      <c r="E105" s="2925"/>
      <c r="F105" s="2929"/>
      <c r="G105" s="2921"/>
      <c r="H105" s="2922"/>
      <c r="I105" s="2883">
        <f>E105*G105</f>
        <v>0</v>
      </c>
      <c r="J105" s="2884"/>
      <c r="K105" s="1793"/>
      <c r="L105" s="1803"/>
      <c r="M105" s="1803"/>
      <c r="N105" s="1803"/>
      <c r="O105" s="1803"/>
      <c r="P105" s="1803"/>
      <c r="Q105" s="1803"/>
      <c r="R105" s="266"/>
      <c r="S105" s="266"/>
      <c r="T105" s="266"/>
      <c r="U105" s="45"/>
      <c r="V105" s="2968" t="s">
        <v>1045</v>
      </c>
      <c r="W105" s="2969"/>
      <c r="X105" s="1758" t="s">
        <v>496</v>
      </c>
      <c r="Y105" s="1747" t="s">
        <v>497</v>
      </c>
      <c r="Z105" s="2925">
        <v>8</v>
      </c>
      <c r="AA105" s="2926"/>
      <c r="AB105" s="2921">
        <v>47000</v>
      </c>
      <c r="AC105" s="2922">
        <f t="shared" si="19"/>
        <v>38202.400000000001</v>
      </c>
      <c r="AD105" s="2883">
        <f t="shared" si="20"/>
        <v>376000</v>
      </c>
      <c r="AE105" s="2884"/>
      <c r="AF105" s="279"/>
      <c r="AG105" s="45"/>
      <c r="AH105" s="45"/>
      <c r="AI105" s="45"/>
      <c r="AJ105" s="45"/>
      <c r="AK105" s="45"/>
      <c r="AL105" s="45"/>
      <c r="AM105" s="45"/>
      <c r="AN105" s="45"/>
      <c r="AO105" s="45"/>
    </row>
    <row r="106" spans="1:41" ht="15.95" customHeight="1" x14ac:dyDescent="0.2">
      <c r="A106" s="2968" t="s">
        <v>893</v>
      </c>
      <c r="B106" s="2969"/>
      <c r="C106" s="1752"/>
      <c r="D106" s="1747"/>
      <c r="E106" s="2925"/>
      <c r="F106" s="2929"/>
      <c r="G106" s="2921"/>
      <c r="H106" s="2922"/>
      <c r="I106" s="2883">
        <f>E106*G106</f>
        <v>0</v>
      </c>
      <c r="J106" s="2884"/>
      <c r="K106" s="1793"/>
      <c r="L106" s="1803"/>
      <c r="M106" s="1803"/>
      <c r="N106" s="1803"/>
      <c r="O106" s="1803"/>
      <c r="P106" s="1803"/>
      <c r="Q106" s="1803"/>
      <c r="R106" s="266"/>
      <c r="S106" s="266"/>
      <c r="T106" s="266"/>
      <c r="U106" s="45"/>
      <c r="V106" s="2968" t="s">
        <v>1024</v>
      </c>
      <c r="W106" s="2969"/>
      <c r="X106" s="1758" t="s">
        <v>496</v>
      </c>
      <c r="Y106" s="1747" t="s">
        <v>497</v>
      </c>
      <c r="Z106" s="2925">
        <v>3</v>
      </c>
      <c r="AA106" s="2926"/>
      <c r="AB106" s="2921">
        <v>47000</v>
      </c>
      <c r="AC106" s="2922">
        <f t="shared" si="19"/>
        <v>38202.400000000001</v>
      </c>
      <c r="AD106" s="2883">
        <f t="shared" si="20"/>
        <v>141000</v>
      </c>
      <c r="AE106" s="2884"/>
      <c r="AF106" s="279"/>
      <c r="AG106" s="45"/>
      <c r="AH106" s="45"/>
      <c r="AI106" s="45"/>
      <c r="AJ106" s="45"/>
      <c r="AK106" s="45"/>
      <c r="AL106" s="45"/>
      <c r="AM106" s="45"/>
      <c r="AN106" s="45"/>
      <c r="AO106" s="45"/>
    </row>
    <row r="107" spans="1:41" ht="15.95" customHeight="1" x14ac:dyDescent="0.2">
      <c r="A107" s="2968" t="s">
        <v>728</v>
      </c>
      <c r="B107" s="2969"/>
      <c r="C107" s="1752"/>
      <c r="D107" s="1747"/>
      <c r="E107" s="2925"/>
      <c r="F107" s="2929"/>
      <c r="G107" s="2921"/>
      <c r="H107" s="2922"/>
      <c r="I107" s="2883">
        <f>E107*G107</f>
        <v>0</v>
      </c>
      <c r="J107" s="2884"/>
      <c r="K107" s="1793"/>
      <c r="L107" s="266"/>
      <c r="M107" s="266"/>
      <c r="N107" s="266"/>
      <c r="O107" s="266"/>
      <c r="P107" s="266"/>
      <c r="Q107" s="266"/>
      <c r="R107" s="266"/>
      <c r="S107" s="266"/>
      <c r="T107" s="266"/>
      <c r="U107" s="45"/>
      <c r="V107" s="1756" t="s">
        <v>893</v>
      </c>
      <c r="W107" s="1757"/>
      <c r="X107" s="1758" t="s">
        <v>496</v>
      </c>
      <c r="Y107" s="1747" t="s">
        <v>497</v>
      </c>
      <c r="Z107" s="2925">
        <v>2</v>
      </c>
      <c r="AA107" s="2929"/>
      <c r="AB107" s="2921">
        <v>47000</v>
      </c>
      <c r="AC107" s="2922">
        <f t="shared" si="19"/>
        <v>38202.400000000001</v>
      </c>
      <c r="AD107" s="2883">
        <f t="shared" si="20"/>
        <v>94000</v>
      </c>
      <c r="AE107" s="2884"/>
      <c r="AF107" s="279"/>
      <c r="AG107" s="45"/>
      <c r="AH107" s="45"/>
      <c r="AI107" s="45"/>
      <c r="AJ107" s="45"/>
      <c r="AK107" s="45"/>
      <c r="AL107" s="45"/>
      <c r="AM107" s="45"/>
      <c r="AN107" s="45"/>
      <c r="AO107" s="45"/>
    </row>
    <row r="108" spans="1:41" ht="15.95" customHeight="1" x14ac:dyDescent="0.2">
      <c r="A108" s="2968" t="s">
        <v>183</v>
      </c>
      <c r="B108" s="2969"/>
      <c r="C108" s="1752"/>
      <c r="D108" s="1747" t="s">
        <v>794</v>
      </c>
      <c r="E108" s="2925"/>
      <c r="F108" s="2929"/>
      <c r="G108" s="2921"/>
      <c r="H108" s="2922"/>
      <c r="I108" s="2883">
        <v>500000</v>
      </c>
      <c r="J108" s="2884"/>
      <c r="K108" s="1793"/>
      <c r="L108" s="266"/>
      <c r="M108" s="266"/>
      <c r="N108" s="266"/>
      <c r="O108" s="266"/>
      <c r="P108" s="266"/>
      <c r="Q108" s="266"/>
      <c r="R108" s="266"/>
      <c r="S108" s="266"/>
      <c r="T108" s="266"/>
      <c r="U108" s="45"/>
      <c r="V108" s="2968" t="s">
        <v>886</v>
      </c>
      <c r="W108" s="2969"/>
      <c r="X108" s="1759"/>
      <c r="Y108" s="1747"/>
      <c r="Z108" s="2925"/>
      <c r="AA108" s="2926"/>
      <c r="AB108" s="2925"/>
      <c r="AC108" s="2926"/>
      <c r="AD108" s="2883"/>
      <c r="AE108" s="2884"/>
      <c r="AF108" s="279"/>
      <c r="AG108" s="45"/>
      <c r="AH108" s="45"/>
      <c r="AI108" s="45"/>
      <c r="AJ108" s="45"/>
      <c r="AK108" s="45"/>
      <c r="AL108" s="45"/>
      <c r="AM108" s="45"/>
      <c r="AN108" s="45"/>
      <c r="AO108" s="45"/>
    </row>
    <row r="109" spans="1:41" ht="15.95" customHeight="1" x14ac:dyDescent="0.2">
      <c r="A109" s="2968"/>
      <c r="B109" s="2969"/>
      <c r="C109" s="1758"/>
      <c r="D109" s="1747"/>
      <c r="E109" s="2925"/>
      <c r="F109" s="2929"/>
      <c r="G109" s="2921"/>
      <c r="H109" s="2922"/>
      <c r="I109" s="2883">
        <f>E109*G109</f>
        <v>0</v>
      </c>
      <c r="J109" s="2884"/>
      <c r="K109" s="1793"/>
      <c r="L109" s="266"/>
      <c r="M109" s="266"/>
      <c r="N109" s="266"/>
      <c r="O109" s="266"/>
      <c r="P109" s="266"/>
      <c r="Q109" s="266"/>
      <c r="R109" s="266"/>
      <c r="S109" s="266"/>
      <c r="T109" s="266"/>
      <c r="U109" s="45"/>
      <c r="V109" s="2968" t="s">
        <v>615</v>
      </c>
      <c r="W109" s="2969"/>
      <c r="X109" s="1752"/>
      <c r="Y109" s="2018" t="s">
        <v>556</v>
      </c>
      <c r="Z109" s="2925">
        <v>0.7</v>
      </c>
      <c r="AA109" s="2926"/>
      <c r="AB109" s="2921">
        <f>113639*1.0928</f>
        <v>124184.6992</v>
      </c>
      <c r="AC109" s="2970"/>
      <c r="AD109" s="2883">
        <f>Z109*AB109</f>
        <v>86929.289439999993</v>
      </c>
      <c r="AE109" s="2884"/>
      <c r="AF109" s="279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1:41" ht="15.95" customHeight="1" thickBot="1" x14ac:dyDescent="0.25">
      <c r="A110" s="1784" t="s">
        <v>558</v>
      </c>
      <c r="B110" s="1785"/>
      <c r="C110" s="1786"/>
      <c r="D110" s="1787"/>
      <c r="E110" s="2932">
        <f>SUM(E74:E102)</f>
        <v>193</v>
      </c>
      <c r="F110" s="2933"/>
      <c r="G110" s="2930"/>
      <c r="H110" s="2931"/>
      <c r="I110" s="2932">
        <f>SUM(I103+I84+I73+I69+I66)</f>
        <v>9563976.1535999998</v>
      </c>
      <c r="J110" s="2933"/>
      <c r="K110" s="1793"/>
      <c r="L110" s="266"/>
      <c r="M110" s="266"/>
      <c r="N110" s="266"/>
      <c r="O110" s="266"/>
      <c r="P110" s="266"/>
      <c r="Q110" s="266"/>
      <c r="R110" s="266"/>
      <c r="S110" s="266"/>
      <c r="T110" s="266"/>
      <c r="U110" s="45"/>
      <c r="V110" s="1784" t="s">
        <v>558</v>
      </c>
      <c r="W110" s="1785"/>
      <c r="X110" s="1786"/>
      <c r="Y110" s="1787"/>
      <c r="Z110" s="2932">
        <f>SUM(Z68:AA106)</f>
        <v>100</v>
      </c>
      <c r="AA110" s="2933"/>
      <c r="AB110" s="2930"/>
      <c r="AC110" s="2931"/>
      <c r="AD110" s="2932">
        <f>SUM(AD103+AD84+AD73+AD69+AD66)</f>
        <v>4880929.2894400004</v>
      </c>
      <c r="AE110" s="2933"/>
      <c r="AF110" s="279"/>
      <c r="AG110" s="44"/>
      <c r="AH110" s="45"/>
      <c r="AI110" s="45"/>
      <c r="AJ110" s="45"/>
      <c r="AK110" s="45"/>
      <c r="AL110" s="45"/>
      <c r="AM110" s="45"/>
      <c r="AN110" s="45"/>
      <c r="AO110" s="45"/>
    </row>
    <row r="111" spans="1:41" ht="15.95" customHeight="1" x14ac:dyDescent="0.2">
      <c r="A111" s="45"/>
      <c r="B111" s="45"/>
      <c r="C111" s="45"/>
      <c r="D111" s="45"/>
      <c r="E111" s="45"/>
      <c r="F111" s="45"/>
      <c r="G111" s="45"/>
      <c r="H111" s="274"/>
      <c r="I111" s="275"/>
      <c r="J111" s="275"/>
      <c r="K111" s="286"/>
      <c r="L111" s="45"/>
      <c r="M111" s="45"/>
      <c r="N111" s="45"/>
      <c r="O111" s="45"/>
      <c r="P111" s="45"/>
      <c r="Q111" s="45"/>
      <c r="R111" s="45"/>
      <c r="S111" s="276"/>
      <c r="T111" s="276"/>
      <c r="U111" s="276"/>
      <c r="V111" s="45"/>
      <c r="W111" s="45"/>
      <c r="X111" s="45"/>
      <c r="Y111" s="45"/>
      <c r="Z111" s="45"/>
      <c r="AA111" s="45"/>
      <c r="AB111" s="45"/>
      <c r="AC111" s="274"/>
      <c r="AD111" s="275"/>
      <c r="AE111" s="275"/>
      <c r="AF111" s="286"/>
      <c r="AG111" s="45"/>
      <c r="AH111" s="45"/>
      <c r="AI111" s="45"/>
      <c r="AJ111" s="45"/>
      <c r="AK111" s="45"/>
      <c r="AL111" s="45"/>
      <c r="AM111" s="45"/>
      <c r="AN111" s="276"/>
      <c r="AO111" s="276"/>
    </row>
    <row r="112" spans="1:41" ht="15.95" customHeight="1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2909"/>
      <c r="T112" s="2909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2909"/>
      <c r="AO112" s="2909"/>
    </row>
    <row r="113" spans="1:41" ht="15.95" customHeight="1" x14ac:dyDescent="0.2">
      <c r="A113" s="2654"/>
      <c r="B113" s="2654"/>
      <c r="C113" s="2654"/>
      <c r="D113" s="2654"/>
      <c r="E113" s="2654"/>
      <c r="F113" s="2654"/>
      <c r="G113" s="2654"/>
      <c r="H113" s="2654"/>
      <c r="I113" s="2654"/>
      <c r="J113" s="2654"/>
      <c r="K113" s="2654"/>
      <c r="L113" s="2654"/>
      <c r="M113" s="2654"/>
      <c r="N113" s="2654"/>
      <c r="O113" s="2654"/>
      <c r="P113" s="2654"/>
      <c r="Q113" s="2654"/>
      <c r="R113" s="2654"/>
      <c r="S113" s="2654"/>
      <c r="T113" s="2654"/>
      <c r="U113" s="2654"/>
      <c r="V113" s="2654"/>
      <c r="W113" s="2654"/>
      <c r="X113" s="2654"/>
      <c r="Y113" s="2654"/>
      <c r="Z113" s="2654"/>
      <c r="AA113" s="2654"/>
      <c r="AB113" s="2654"/>
      <c r="AC113" s="2654"/>
      <c r="AD113" s="2654"/>
      <c r="AE113" s="2654"/>
      <c r="AF113" s="2654"/>
      <c r="AG113" s="2654"/>
      <c r="AH113" s="2654"/>
      <c r="AI113" s="2654"/>
      <c r="AJ113" s="2654"/>
      <c r="AK113" s="2654"/>
      <c r="AL113" s="2654"/>
      <c r="AM113" s="2654"/>
      <c r="AN113" s="2654"/>
      <c r="AO113" s="2654"/>
    </row>
    <row r="114" spans="1:41" ht="15.95" customHeight="1" x14ac:dyDescent="0.2">
      <c r="A114" s="277"/>
      <c r="B114" s="277"/>
      <c r="C114" s="277"/>
      <c r="D114" s="278"/>
      <c r="E114" s="275"/>
      <c r="F114" s="275"/>
      <c r="G114" s="274"/>
      <c r="H114" s="274"/>
      <c r="I114" s="275"/>
      <c r="J114" s="275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7"/>
      <c r="W114" s="277"/>
      <c r="X114" s="277"/>
      <c r="Y114" s="278"/>
      <c r="Z114" s="275"/>
      <c r="AA114" s="275"/>
      <c r="AB114" s="274"/>
      <c r="AC114" s="274"/>
      <c r="AD114" s="275"/>
      <c r="AE114" s="275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</row>
    <row r="115" spans="1:41" ht="15.95" customHeight="1" x14ac:dyDescent="0.2">
      <c r="A115" s="2611" t="s">
        <v>1948</v>
      </c>
      <c r="B115" s="2611"/>
      <c r="C115" s="2611"/>
      <c r="D115" s="2611"/>
      <c r="E115" s="2611"/>
      <c r="F115" s="2611"/>
      <c r="G115" s="2611"/>
      <c r="H115" s="2611"/>
      <c r="I115" s="2611"/>
      <c r="J115" s="2611"/>
      <c r="K115" s="2611"/>
      <c r="L115" s="2611"/>
      <c r="M115" s="2611"/>
      <c r="N115" s="2611"/>
      <c r="O115" s="2611"/>
      <c r="P115" s="2611"/>
      <c r="Q115" s="2611"/>
      <c r="R115" s="2611"/>
      <c r="S115" s="2611"/>
      <c r="T115" s="2611"/>
      <c r="U115" s="47"/>
      <c r="V115" s="2611" t="s">
        <v>1949</v>
      </c>
      <c r="W115" s="2611"/>
      <c r="X115" s="2611"/>
      <c r="Y115" s="2611"/>
      <c r="Z115" s="2611"/>
      <c r="AA115" s="2611"/>
      <c r="AB115" s="2611"/>
      <c r="AC115" s="2611"/>
      <c r="AD115" s="2611"/>
      <c r="AE115" s="2611"/>
      <c r="AF115" s="2611"/>
      <c r="AG115" s="2611"/>
      <c r="AH115" s="2611"/>
      <c r="AI115" s="2611"/>
      <c r="AJ115" s="2611"/>
      <c r="AK115" s="2611"/>
      <c r="AL115" s="2611"/>
      <c r="AM115" s="2611"/>
      <c r="AN115" s="2611"/>
      <c r="AO115" s="2611"/>
    </row>
    <row r="116" spans="1:41" ht="15.95" customHeight="1" thickBot="1" x14ac:dyDescent="0.25">
      <c r="A116" s="2611"/>
      <c r="B116" s="2611"/>
      <c r="C116" s="2611"/>
      <c r="D116" s="2611"/>
      <c r="E116" s="2611"/>
      <c r="F116" s="2611"/>
      <c r="G116" s="2611"/>
      <c r="H116" s="2611"/>
      <c r="I116" s="2611"/>
      <c r="J116" s="2611"/>
      <c r="K116" s="2611"/>
      <c r="L116" s="2611"/>
      <c r="M116" s="2611"/>
      <c r="N116" s="2611"/>
      <c r="O116" s="2611"/>
      <c r="P116" s="2611"/>
      <c r="Q116" s="2611"/>
      <c r="R116" s="2611"/>
      <c r="S116" s="2611"/>
      <c r="T116" s="2611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279"/>
      <c r="AG116" s="45"/>
      <c r="AH116" s="45"/>
      <c r="AI116" s="45"/>
      <c r="AJ116" s="45"/>
      <c r="AK116" s="45"/>
      <c r="AL116" s="45"/>
      <c r="AM116" s="45"/>
      <c r="AN116" s="45"/>
      <c r="AO116" s="45"/>
    </row>
    <row r="117" spans="1:41" ht="15.95" customHeight="1" x14ac:dyDescent="0.3">
      <c r="A117" s="2618" t="s">
        <v>435</v>
      </c>
      <c r="B117" s="2620"/>
      <c r="C117" s="2618" t="s">
        <v>436</v>
      </c>
      <c r="D117" s="2619"/>
      <c r="E117" s="2619"/>
      <c r="F117" s="2620"/>
      <c r="G117" s="2618" t="s">
        <v>437</v>
      </c>
      <c r="H117" s="2620"/>
      <c r="I117" s="2618" t="s">
        <v>438</v>
      </c>
      <c r="J117" s="2620"/>
      <c r="K117" s="45"/>
      <c r="L117" s="2633" t="s">
        <v>435</v>
      </c>
      <c r="M117" s="2618" t="s">
        <v>436</v>
      </c>
      <c r="N117" s="2619"/>
      <c r="O117" s="2619"/>
      <c r="P117" s="2620"/>
      <c r="Q117" s="2618" t="s">
        <v>437</v>
      </c>
      <c r="R117" s="2620"/>
      <c r="S117" s="2618"/>
      <c r="T117" s="2620"/>
      <c r="U117" s="268"/>
      <c r="V117" s="2618" t="s">
        <v>435</v>
      </c>
      <c r="W117" s="2620"/>
      <c r="X117" s="2618" t="s">
        <v>436</v>
      </c>
      <c r="Y117" s="2619"/>
      <c r="Z117" s="2619"/>
      <c r="AA117" s="2620"/>
      <c r="AB117" s="2618" t="s">
        <v>437</v>
      </c>
      <c r="AC117" s="2620"/>
      <c r="AD117" s="2618" t="s">
        <v>438</v>
      </c>
      <c r="AE117" s="2620"/>
      <c r="AF117" s="45"/>
      <c r="AG117" s="2633" t="s">
        <v>435</v>
      </c>
      <c r="AH117" s="2618" t="s">
        <v>436</v>
      </c>
      <c r="AI117" s="2619"/>
      <c r="AJ117" s="2619"/>
      <c r="AK117" s="2620"/>
      <c r="AL117" s="2618" t="s">
        <v>437</v>
      </c>
      <c r="AM117" s="2620"/>
      <c r="AN117" s="2618"/>
      <c r="AO117" s="2900"/>
    </row>
    <row r="118" spans="1:41" ht="15.95" customHeight="1" thickBot="1" x14ac:dyDescent="0.35">
      <c r="A118" s="2631"/>
      <c r="B118" s="2632"/>
      <c r="C118" s="2621"/>
      <c r="D118" s="2622"/>
      <c r="E118" s="2622"/>
      <c r="F118" s="2623"/>
      <c r="G118" s="2631" t="s">
        <v>440</v>
      </c>
      <c r="H118" s="2632"/>
      <c r="I118" s="2631"/>
      <c r="J118" s="2632"/>
      <c r="K118" s="45"/>
      <c r="L118" s="2670"/>
      <c r="M118" s="2621"/>
      <c r="N118" s="2622"/>
      <c r="O118" s="2622"/>
      <c r="P118" s="2623"/>
      <c r="Q118" s="2631" t="s">
        <v>440</v>
      </c>
      <c r="R118" s="2632"/>
      <c r="S118" s="2631" t="s">
        <v>274</v>
      </c>
      <c r="T118" s="2632"/>
      <c r="U118" s="268"/>
      <c r="V118" s="2631"/>
      <c r="W118" s="2632"/>
      <c r="X118" s="2621"/>
      <c r="Y118" s="2622"/>
      <c r="Z118" s="2622"/>
      <c r="AA118" s="2623"/>
      <c r="AB118" s="2631" t="s">
        <v>440</v>
      </c>
      <c r="AC118" s="2632"/>
      <c r="AD118" s="2631"/>
      <c r="AE118" s="2632"/>
      <c r="AF118" s="45"/>
      <c r="AG118" s="2670"/>
      <c r="AH118" s="2621"/>
      <c r="AI118" s="2622"/>
      <c r="AJ118" s="2622"/>
      <c r="AK118" s="2623"/>
      <c r="AL118" s="2631" t="s">
        <v>440</v>
      </c>
      <c r="AM118" s="2632"/>
      <c r="AN118" s="2631" t="s">
        <v>274</v>
      </c>
      <c r="AO118" s="2880"/>
    </row>
    <row r="119" spans="1:41" ht="15.95" customHeight="1" x14ac:dyDescent="0.3">
      <c r="A119" s="2631"/>
      <c r="B119" s="2632"/>
      <c r="C119" s="53" t="s">
        <v>441</v>
      </c>
      <c r="D119" s="2670" t="s">
        <v>442</v>
      </c>
      <c r="E119" s="2631" t="s">
        <v>443</v>
      </c>
      <c r="F119" s="2632"/>
      <c r="G119" s="2631" t="s">
        <v>444</v>
      </c>
      <c r="H119" s="2632"/>
      <c r="I119" s="2631" t="s">
        <v>348</v>
      </c>
      <c r="J119" s="2632"/>
      <c r="K119" s="45"/>
      <c r="L119" s="2670"/>
      <c r="M119" s="51" t="s">
        <v>441</v>
      </c>
      <c r="N119" s="2633" t="s">
        <v>442</v>
      </c>
      <c r="O119" s="2618" t="s">
        <v>443</v>
      </c>
      <c r="P119" s="2620"/>
      <c r="Q119" s="2631" t="s">
        <v>444</v>
      </c>
      <c r="R119" s="2632"/>
      <c r="S119" s="2631" t="s">
        <v>348</v>
      </c>
      <c r="T119" s="2632"/>
      <c r="U119" s="268"/>
      <c r="V119" s="2631"/>
      <c r="W119" s="2632"/>
      <c r="X119" s="53" t="s">
        <v>441</v>
      </c>
      <c r="Y119" s="2670" t="s">
        <v>442</v>
      </c>
      <c r="Z119" s="2631" t="s">
        <v>443</v>
      </c>
      <c r="AA119" s="2632"/>
      <c r="AB119" s="2631" t="s">
        <v>444</v>
      </c>
      <c r="AC119" s="2632"/>
      <c r="AD119" s="2631" t="s">
        <v>348</v>
      </c>
      <c r="AE119" s="2632"/>
      <c r="AF119" s="45"/>
      <c r="AG119" s="2670"/>
      <c r="AH119" s="51" t="s">
        <v>441</v>
      </c>
      <c r="AI119" s="2670" t="s">
        <v>442</v>
      </c>
      <c r="AJ119" s="2631" t="s">
        <v>443</v>
      </c>
      <c r="AK119" s="2632"/>
      <c r="AL119" s="2631" t="s">
        <v>444</v>
      </c>
      <c r="AM119" s="2632"/>
      <c r="AN119" s="2631" t="s">
        <v>348</v>
      </c>
      <c r="AO119" s="2880"/>
    </row>
    <row r="120" spans="1:41" ht="15.95" customHeight="1" thickBot="1" x14ac:dyDescent="0.35">
      <c r="A120" s="2621"/>
      <c r="B120" s="2623"/>
      <c r="C120" s="54" t="s">
        <v>445</v>
      </c>
      <c r="D120" s="2634"/>
      <c r="E120" s="2621"/>
      <c r="F120" s="2623"/>
      <c r="G120" s="2621"/>
      <c r="H120" s="2623"/>
      <c r="I120" s="2621"/>
      <c r="J120" s="2623"/>
      <c r="K120" s="45"/>
      <c r="L120" s="2634"/>
      <c r="M120" s="50" t="s">
        <v>445</v>
      </c>
      <c r="N120" s="2634"/>
      <c r="O120" s="2621"/>
      <c r="P120" s="2623"/>
      <c r="Q120" s="2621"/>
      <c r="R120" s="2623"/>
      <c r="S120" s="2621"/>
      <c r="T120" s="2623"/>
      <c r="U120" s="268"/>
      <c r="V120" s="2621"/>
      <c r="W120" s="2623"/>
      <c r="X120" s="54" t="s">
        <v>445</v>
      </c>
      <c r="Y120" s="2634"/>
      <c r="Z120" s="2621"/>
      <c r="AA120" s="2623"/>
      <c r="AB120" s="2621"/>
      <c r="AC120" s="2623"/>
      <c r="AD120" s="2621"/>
      <c r="AE120" s="2623"/>
      <c r="AF120" s="45"/>
      <c r="AG120" s="2634"/>
      <c r="AH120" s="50" t="s">
        <v>445</v>
      </c>
      <c r="AI120" s="2634"/>
      <c r="AJ120" s="2621"/>
      <c r="AK120" s="2623"/>
      <c r="AL120" s="2621"/>
      <c r="AM120" s="2623"/>
      <c r="AN120" s="2901"/>
      <c r="AO120" s="2902"/>
    </row>
    <row r="121" spans="1:41" ht="15.95" customHeight="1" x14ac:dyDescent="0.3">
      <c r="A121" s="2913" t="s">
        <v>446</v>
      </c>
      <c r="B121" s="2914"/>
      <c r="C121" s="184"/>
      <c r="D121" s="170"/>
      <c r="E121" s="2576"/>
      <c r="F121" s="2880"/>
      <c r="G121" s="2576"/>
      <c r="H121" s="2880"/>
      <c r="I121" s="2559"/>
      <c r="J121" s="2880"/>
      <c r="K121" s="279"/>
      <c r="L121" s="119" t="s">
        <v>447</v>
      </c>
      <c r="M121" s="185"/>
      <c r="N121" s="186"/>
      <c r="O121" s="2605"/>
      <c r="P121" s="2606"/>
      <c r="Q121" s="2605"/>
      <c r="R121" s="2606"/>
      <c r="S121" s="2605"/>
      <c r="T121" s="2606"/>
      <c r="U121" s="26"/>
      <c r="V121" s="2913" t="s">
        <v>446</v>
      </c>
      <c r="W121" s="2914"/>
      <c r="X121" s="184"/>
      <c r="Y121" s="170"/>
      <c r="Z121" s="2576"/>
      <c r="AA121" s="2880"/>
      <c r="AB121" s="2576"/>
      <c r="AC121" s="2880"/>
      <c r="AD121" s="2576"/>
      <c r="AE121" s="2880"/>
      <c r="AF121" s="279"/>
      <c r="AG121" s="119" t="s">
        <v>447</v>
      </c>
      <c r="AH121" s="185"/>
      <c r="AI121" s="186"/>
      <c r="AJ121" s="2605"/>
      <c r="AK121" s="2606"/>
      <c r="AL121" s="2605"/>
      <c r="AM121" s="2606"/>
      <c r="AN121" s="2605"/>
      <c r="AO121" s="2606"/>
    </row>
    <row r="122" spans="1:41" ht="15.95" customHeight="1" x14ac:dyDescent="0.35">
      <c r="A122" s="2911" t="s">
        <v>979</v>
      </c>
      <c r="B122" s="2912"/>
      <c r="C122" s="187"/>
      <c r="D122" s="170"/>
      <c r="E122" s="2576"/>
      <c r="F122" s="2880"/>
      <c r="G122" s="2576"/>
      <c r="H122" s="2880"/>
      <c r="I122" s="2897">
        <f>SUM(I123:I124)</f>
        <v>0</v>
      </c>
      <c r="J122" s="2892"/>
      <c r="K122" s="279"/>
      <c r="L122" s="122"/>
      <c r="M122" s="188"/>
      <c r="N122" s="170"/>
      <c r="O122" s="2559"/>
      <c r="P122" s="2560"/>
      <c r="Q122" s="2559"/>
      <c r="R122" s="2560"/>
      <c r="S122" s="2559"/>
      <c r="T122" s="2560"/>
      <c r="U122" s="26"/>
      <c r="V122" s="2911" t="s">
        <v>979</v>
      </c>
      <c r="W122" s="2912"/>
      <c r="X122" s="197"/>
      <c r="Y122" s="170"/>
      <c r="Z122" s="2576"/>
      <c r="AA122" s="2880"/>
      <c r="AB122" s="2576"/>
      <c r="AC122" s="2880"/>
      <c r="AD122" s="2897">
        <f>SUM(AD123:AD124)</f>
        <v>0</v>
      </c>
      <c r="AE122" s="2892"/>
      <c r="AF122" s="279"/>
      <c r="AG122" s="122"/>
      <c r="AH122" s="188"/>
      <c r="AI122" s="170"/>
      <c r="AJ122" s="2559"/>
      <c r="AK122" s="2560"/>
      <c r="AL122" s="2559"/>
      <c r="AM122" s="2560"/>
      <c r="AN122" s="2559"/>
      <c r="AO122" s="2560"/>
    </row>
    <row r="123" spans="1:41" ht="15.95" customHeight="1" x14ac:dyDescent="0.3">
      <c r="A123" s="2915" t="s">
        <v>980</v>
      </c>
      <c r="B123" s="2916"/>
      <c r="C123" s="170"/>
      <c r="D123" s="170"/>
      <c r="E123" s="2576"/>
      <c r="F123" s="2880"/>
      <c r="G123" s="2576"/>
      <c r="H123" s="2880"/>
      <c r="I123" s="2576"/>
      <c r="J123" s="2880"/>
      <c r="K123" s="279"/>
      <c r="L123" s="122" t="s">
        <v>450</v>
      </c>
      <c r="M123" s="170"/>
      <c r="N123" s="170"/>
      <c r="O123" s="2559"/>
      <c r="P123" s="2560"/>
      <c r="Q123" s="2559"/>
      <c r="R123" s="2560"/>
      <c r="S123" s="2559">
        <f>O123*Q123</f>
        <v>0</v>
      </c>
      <c r="T123" s="2560"/>
      <c r="U123" s="26"/>
      <c r="V123" s="2915" t="s">
        <v>980</v>
      </c>
      <c r="W123" s="2916"/>
      <c r="X123" s="197"/>
      <c r="Y123" s="170"/>
      <c r="Z123" s="2576"/>
      <c r="AA123" s="2880"/>
      <c r="AB123" s="2576"/>
      <c r="AC123" s="2880"/>
      <c r="AD123" s="2576"/>
      <c r="AE123" s="2880"/>
      <c r="AF123" s="279"/>
      <c r="AG123" s="122" t="s">
        <v>450</v>
      </c>
      <c r="AH123" s="170"/>
      <c r="AI123" s="170"/>
      <c r="AJ123" s="2559"/>
      <c r="AK123" s="2560"/>
      <c r="AL123" s="2559"/>
      <c r="AM123" s="2560"/>
      <c r="AN123" s="2559"/>
      <c r="AO123" s="2560"/>
    </row>
    <row r="124" spans="1:41" ht="15.95" customHeight="1" x14ac:dyDescent="0.3">
      <c r="A124" s="2915" t="s">
        <v>981</v>
      </c>
      <c r="B124" s="2916"/>
      <c r="C124" s="170"/>
      <c r="D124" s="170"/>
      <c r="E124" s="2576"/>
      <c r="F124" s="2880"/>
      <c r="G124" s="2576"/>
      <c r="H124" s="2880"/>
      <c r="I124" s="2576"/>
      <c r="J124" s="2880"/>
      <c r="K124" s="279"/>
      <c r="L124" s="122" t="s">
        <v>853</v>
      </c>
      <c r="M124" s="170" t="s">
        <v>1046</v>
      </c>
      <c r="N124" s="170" t="s">
        <v>1029</v>
      </c>
      <c r="O124" s="2559">
        <v>240</v>
      </c>
      <c r="P124" s="2560"/>
      <c r="Q124" s="2559">
        <f>19214*1.0928</f>
        <v>20997.0592</v>
      </c>
      <c r="R124" s="2560"/>
      <c r="S124" s="2559">
        <f t="shared" ref="S124:S139" si="21">O124*Q124</f>
        <v>5039294.2079999996</v>
      </c>
      <c r="T124" s="2560"/>
      <c r="U124" s="26"/>
      <c r="V124" s="2915" t="s">
        <v>733</v>
      </c>
      <c r="W124" s="2916"/>
      <c r="X124" s="120"/>
      <c r="Y124" s="170"/>
      <c r="Z124" s="2576"/>
      <c r="AA124" s="2880"/>
      <c r="AB124" s="2559"/>
      <c r="AC124" s="2880"/>
      <c r="AD124" s="2559">
        <f>+AB124*Z124</f>
        <v>0</v>
      </c>
      <c r="AE124" s="2560"/>
      <c r="AF124" s="279"/>
      <c r="AG124" s="122" t="s">
        <v>853</v>
      </c>
      <c r="AH124" s="170"/>
      <c r="AI124" s="170"/>
      <c r="AJ124" s="2559"/>
      <c r="AK124" s="2560"/>
      <c r="AL124" s="2559"/>
      <c r="AM124" s="2560"/>
      <c r="AN124" s="2559">
        <f t="shared" ref="AN124:AN130" si="22">AJ124*AL124</f>
        <v>0</v>
      </c>
      <c r="AO124" s="2560"/>
    </row>
    <row r="125" spans="1:41" ht="15.95" customHeight="1" x14ac:dyDescent="0.35">
      <c r="A125" s="2911" t="s">
        <v>990</v>
      </c>
      <c r="B125" s="2912"/>
      <c r="C125" s="187"/>
      <c r="D125" s="170"/>
      <c r="E125" s="2576"/>
      <c r="F125" s="2880"/>
      <c r="G125" s="2576"/>
      <c r="H125" s="2880"/>
      <c r="I125" s="2897">
        <f>SUM(I126:J128)</f>
        <v>0</v>
      </c>
      <c r="J125" s="2892"/>
      <c r="K125" s="279"/>
      <c r="L125" s="122" t="s">
        <v>859</v>
      </c>
      <c r="M125" s="170" t="s">
        <v>1047</v>
      </c>
      <c r="N125" s="170" t="s">
        <v>473</v>
      </c>
      <c r="O125" s="2559">
        <v>8</v>
      </c>
      <c r="P125" s="2560"/>
      <c r="Q125" s="2559">
        <v>38296</v>
      </c>
      <c r="R125" s="2560"/>
      <c r="S125" s="2559">
        <f t="shared" si="21"/>
        <v>306368</v>
      </c>
      <c r="T125" s="2560"/>
      <c r="U125" s="26"/>
      <c r="V125" s="2911" t="s">
        <v>990</v>
      </c>
      <c r="W125" s="2912"/>
      <c r="X125" s="197"/>
      <c r="Y125" s="170"/>
      <c r="Z125" s="2576"/>
      <c r="AA125" s="2880"/>
      <c r="AB125" s="2576"/>
      <c r="AC125" s="2880"/>
      <c r="AD125" s="2897">
        <f>SUM(AD126:AE128)</f>
        <v>0</v>
      </c>
      <c r="AE125" s="2892"/>
      <c r="AF125" s="279"/>
      <c r="AG125" s="122" t="s">
        <v>859</v>
      </c>
      <c r="AH125" s="170" t="s">
        <v>1047</v>
      </c>
      <c r="AI125" s="170" t="s">
        <v>473</v>
      </c>
      <c r="AJ125" s="2559">
        <v>4</v>
      </c>
      <c r="AK125" s="2560"/>
      <c r="AL125" s="2559">
        <v>38296</v>
      </c>
      <c r="AM125" s="2560"/>
      <c r="AN125" s="2559">
        <f t="shared" si="22"/>
        <v>153184</v>
      </c>
      <c r="AO125" s="2560"/>
    </row>
    <row r="126" spans="1:41" ht="15.95" customHeight="1" x14ac:dyDescent="0.3">
      <c r="A126" s="2915" t="s">
        <v>991</v>
      </c>
      <c r="B126" s="2916"/>
      <c r="C126" s="170"/>
      <c r="D126" s="170"/>
      <c r="E126" s="2576"/>
      <c r="F126" s="2880"/>
      <c r="G126" s="2576"/>
      <c r="H126" s="2880"/>
      <c r="I126" s="2576"/>
      <c r="J126" s="2880"/>
      <c r="K126" s="279"/>
      <c r="L126" s="122" t="s">
        <v>861</v>
      </c>
      <c r="M126" s="170" t="s">
        <v>748</v>
      </c>
      <c r="N126" s="170" t="s">
        <v>473</v>
      </c>
      <c r="O126" s="2559">
        <v>3</v>
      </c>
      <c r="P126" s="2560"/>
      <c r="Q126" s="2559">
        <v>52332</v>
      </c>
      <c r="R126" s="2560"/>
      <c r="S126" s="2559">
        <f t="shared" si="21"/>
        <v>156996</v>
      </c>
      <c r="T126" s="2560"/>
      <c r="U126" s="26"/>
      <c r="V126" s="2915" t="s">
        <v>991</v>
      </c>
      <c r="W126" s="2916"/>
      <c r="X126" s="197"/>
      <c r="Y126" s="170"/>
      <c r="Z126" s="2576"/>
      <c r="AA126" s="2880"/>
      <c r="AB126" s="2576"/>
      <c r="AC126" s="2880"/>
      <c r="AD126" s="2576"/>
      <c r="AE126" s="2880"/>
      <c r="AF126" s="279"/>
      <c r="AG126" s="122" t="s">
        <v>861</v>
      </c>
      <c r="AH126" s="170" t="s">
        <v>1048</v>
      </c>
      <c r="AI126" s="170"/>
      <c r="AJ126" s="2559"/>
      <c r="AK126" s="2560"/>
      <c r="AL126" s="2559"/>
      <c r="AM126" s="2560"/>
      <c r="AN126" s="2559">
        <v>130000</v>
      </c>
      <c r="AO126" s="2560"/>
    </row>
    <row r="127" spans="1:41" ht="15.95" customHeight="1" x14ac:dyDescent="0.3">
      <c r="A127" s="2915" t="s">
        <v>981</v>
      </c>
      <c r="B127" s="2916"/>
      <c r="C127" s="187"/>
      <c r="D127" s="170"/>
      <c r="E127" s="2576"/>
      <c r="F127" s="2880"/>
      <c r="G127" s="2576"/>
      <c r="H127" s="2880"/>
      <c r="I127" s="2576"/>
      <c r="J127" s="2880"/>
      <c r="K127" s="279"/>
      <c r="L127" s="122" t="s">
        <v>863</v>
      </c>
      <c r="M127" s="170" t="s">
        <v>716</v>
      </c>
      <c r="N127" s="170" t="s">
        <v>473</v>
      </c>
      <c r="O127" s="2559">
        <v>1</v>
      </c>
      <c r="P127" s="2560"/>
      <c r="Q127" s="2559">
        <f>75338*1.0928</f>
        <v>82329.366399999999</v>
      </c>
      <c r="R127" s="2560"/>
      <c r="S127" s="2559">
        <f t="shared" si="21"/>
        <v>82329.366399999999</v>
      </c>
      <c r="T127" s="2560"/>
      <c r="U127" s="26"/>
      <c r="V127" s="2915" t="s">
        <v>981</v>
      </c>
      <c r="W127" s="2916"/>
      <c r="X127" s="197"/>
      <c r="Y127" s="170"/>
      <c r="Z127" s="2576"/>
      <c r="AA127" s="2880"/>
      <c r="AB127" s="2576"/>
      <c r="AC127" s="2880"/>
      <c r="AD127" s="2576"/>
      <c r="AE127" s="2880"/>
      <c r="AF127" s="279"/>
      <c r="AG127" s="122" t="s">
        <v>863</v>
      </c>
      <c r="AH127" s="170" t="s">
        <v>1048</v>
      </c>
      <c r="AI127" s="170"/>
      <c r="AJ127" s="2559"/>
      <c r="AK127" s="2560"/>
      <c r="AL127" s="2559"/>
      <c r="AM127" s="2560"/>
      <c r="AN127" s="2559">
        <v>90000</v>
      </c>
      <c r="AO127" s="2560"/>
    </row>
    <row r="128" spans="1:41" ht="15.95" customHeight="1" x14ac:dyDescent="0.3">
      <c r="A128" s="2915" t="s">
        <v>992</v>
      </c>
      <c r="B128" s="2916"/>
      <c r="C128" s="187"/>
      <c r="D128" s="170"/>
      <c r="E128" s="2576"/>
      <c r="F128" s="2880"/>
      <c r="G128" s="2576"/>
      <c r="H128" s="2880"/>
      <c r="I128" s="2576"/>
      <c r="J128" s="2880"/>
      <c r="K128" s="279"/>
      <c r="L128" s="122" t="s">
        <v>534</v>
      </c>
      <c r="M128" s="170" t="s">
        <v>1049</v>
      </c>
      <c r="N128" s="170" t="s">
        <v>460</v>
      </c>
      <c r="O128" s="2559">
        <v>2</v>
      </c>
      <c r="P128" s="2560"/>
      <c r="Q128" s="2559">
        <v>141603</v>
      </c>
      <c r="R128" s="2560"/>
      <c r="S128" s="2559">
        <f t="shared" si="21"/>
        <v>283206</v>
      </c>
      <c r="T128" s="2560"/>
      <c r="U128" s="26">
        <f>S128+S129</f>
        <v>1417050</v>
      </c>
      <c r="V128" s="2915" t="s">
        <v>992</v>
      </c>
      <c r="W128" s="2916"/>
      <c r="X128" s="197"/>
      <c r="Y128" s="170"/>
      <c r="Z128" s="2576"/>
      <c r="AA128" s="2880"/>
      <c r="AB128" s="2576"/>
      <c r="AC128" s="2880"/>
      <c r="AD128" s="2576"/>
      <c r="AE128" s="2880"/>
      <c r="AF128" s="279"/>
      <c r="AG128" s="122" t="s">
        <v>534</v>
      </c>
      <c r="AH128" s="188"/>
      <c r="AI128" s="170"/>
      <c r="AJ128" s="2559"/>
      <c r="AK128" s="2560"/>
      <c r="AL128" s="2559"/>
      <c r="AM128" s="2560"/>
      <c r="AN128" s="2559">
        <f t="shared" si="22"/>
        <v>0</v>
      </c>
      <c r="AO128" s="2560"/>
    </row>
    <row r="129" spans="1:43" ht="15.95" customHeight="1" x14ac:dyDescent="0.35">
      <c r="A129" s="2998" t="s">
        <v>993</v>
      </c>
      <c r="B129" s="2999"/>
      <c r="C129" s="187"/>
      <c r="D129" s="170"/>
      <c r="E129" s="2576"/>
      <c r="F129" s="2880"/>
      <c r="G129" s="2576"/>
      <c r="H129" s="2880"/>
      <c r="I129" s="2565">
        <f>SUM(I130:J139)</f>
        <v>2068000</v>
      </c>
      <c r="J129" s="2892"/>
      <c r="K129" s="279"/>
      <c r="L129" s="122" t="s">
        <v>535</v>
      </c>
      <c r="M129" s="170" t="s">
        <v>753</v>
      </c>
      <c r="N129" s="170" t="s">
        <v>460</v>
      </c>
      <c r="O129" s="2559">
        <v>6</v>
      </c>
      <c r="P129" s="2560"/>
      <c r="Q129" s="2559">
        <v>188974</v>
      </c>
      <c r="R129" s="2560"/>
      <c r="S129" s="2559">
        <f t="shared" si="21"/>
        <v>1133844</v>
      </c>
      <c r="T129" s="2560"/>
      <c r="U129" s="26"/>
      <c r="V129" s="2998" t="s">
        <v>1035</v>
      </c>
      <c r="W129" s="2999"/>
      <c r="X129" s="197"/>
      <c r="Y129" s="170"/>
      <c r="Z129" s="2576"/>
      <c r="AA129" s="2880"/>
      <c r="AB129" s="2576"/>
      <c r="AC129" s="2880"/>
      <c r="AD129" s="2565">
        <f>SUM(AD130:AE139)</f>
        <v>0</v>
      </c>
      <c r="AE129" s="2892"/>
      <c r="AF129" s="279"/>
      <c r="AG129" s="122" t="s">
        <v>535</v>
      </c>
      <c r="AH129" s="170" t="s">
        <v>1034</v>
      </c>
      <c r="AI129" s="170" t="s">
        <v>460</v>
      </c>
      <c r="AJ129" s="2559">
        <v>10</v>
      </c>
      <c r="AK129" s="2560"/>
      <c r="AL129" s="2559">
        <v>179798</v>
      </c>
      <c r="AM129" s="2560"/>
      <c r="AN129" s="2559">
        <f t="shared" si="22"/>
        <v>1797980</v>
      </c>
      <c r="AO129" s="2560"/>
    </row>
    <row r="130" spans="1:43" ht="15.95" customHeight="1" x14ac:dyDescent="0.2">
      <c r="A130" s="2839" t="s">
        <v>995</v>
      </c>
      <c r="B130" s="2840"/>
      <c r="C130" s="170" t="s">
        <v>496</v>
      </c>
      <c r="D130" s="170" t="s">
        <v>497</v>
      </c>
      <c r="E130" s="2559">
        <v>15</v>
      </c>
      <c r="F130" s="2560"/>
      <c r="G130" s="2559">
        <v>47000</v>
      </c>
      <c r="H130" s="2560">
        <f t="shared" ref="H130" si="23">(36040*6%)+36040</f>
        <v>38202.400000000001</v>
      </c>
      <c r="I130" s="2559">
        <f t="shared" ref="I130:I139" si="24">E130*G130</f>
        <v>705000</v>
      </c>
      <c r="J130" s="2560"/>
      <c r="K130" s="279"/>
      <c r="L130" s="122" t="s">
        <v>537</v>
      </c>
      <c r="M130" s="170"/>
      <c r="N130" s="170"/>
      <c r="O130" s="2559"/>
      <c r="P130" s="2560"/>
      <c r="Q130" s="2559"/>
      <c r="R130" s="2560"/>
      <c r="S130" s="2559">
        <f t="shared" si="21"/>
        <v>0</v>
      </c>
      <c r="T130" s="2560"/>
      <c r="U130" s="26"/>
      <c r="V130" s="2839" t="s">
        <v>995</v>
      </c>
      <c r="W130" s="2840"/>
      <c r="X130" s="197"/>
      <c r="Y130" s="170"/>
      <c r="Z130" s="2559"/>
      <c r="AA130" s="2560"/>
      <c r="AB130" s="2559"/>
      <c r="AC130" s="2560"/>
      <c r="AD130" s="2559"/>
      <c r="AE130" s="2560"/>
      <c r="AF130" s="279"/>
      <c r="AG130" s="122" t="s">
        <v>537</v>
      </c>
      <c r="AH130" s="170"/>
      <c r="AI130" s="170"/>
      <c r="AJ130" s="2559"/>
      <c r="AK130" s="2560"/>
      <c r="AL130" s="2559"/>
      <c r="AM130" s="2560"/>
      <c r="AN130" s="2559">
        <f t="shared" si="22"/>
        <v>0</v>
      </c>
      <c r="AO130" s="2560"/>
    </row>
    <row r="131" spans="1:43" ht="15.95" customHeight="1" x14ac:dyDescent="0.2">
      <c r="A131" s="2839" t="s">
        <v>996</v>
      </c>
      <c r="B131" s="2840"/>
      <c r="C131" s="170"/>
      <c r="D131" s="170"/>
      <c r="E131" s="2559"/>
      <c r="F131" s="2560"/>
      <c r="G131" s="2559"/>
      <c r="H131" s="2560"/>
      <c r="I131" s="2559">
        <f t="shared" si="24"/>
        <v>0</v>
      </c>
      <c r="J131" s="2560"/>
      <c r="K131" s="279"/>
      <c r="L131" s="122" t="s">
        <v>866</v>
      </c>
      <c r="M131" s="170" t="s">
        <v>1050</v>
      </c>
      <c r="N131" s="170" t="s">
        <v>556</v>
      </c>
      <c r="O131" s="2559">
        <v>1</v>
      </c>
      <c r="P131" s="2560"/>
      <c r="Q131" s="2559">
        <f>190835*1.0928</f>
        <v>208544.48800000001</v>
      </c>
      <c r="R131" s="2560"/>
      <c r="S131" s="2559">
        <f t="shared" si="21"/>
        <v>208544.48800000001</v>
      </c>
      <c r="T131" s="2560"/>
      <c r="U131" s="26"/>
      <c r="V131" s="2839" t="s">
        <v>996</v>
      </c>
      <c r="W131" s="2840"/>
      <c r="X131" s="120"/>
      <c r="Y131" s="170"/>
      <c r="Z131" s="2559"/>
      <c r="AA131" s="2560"/>
      <c r="AB131" s="2559"/>
      <c r="AC131" s="2560"/>
      <c r="AD131" s="2559">
        <f>Z131*AB131</f>
        <v>0</v>
      </c>
      <c r="AE131" s="2560"/>
      <c r="AF131" s="279"/>
      <c r="AG131" s="122" t="s">
        <v>866</v>
      </c>
      <c r="AH131" s="170"/>
      <c r="AI131" s="170"/>
      <c r="AJ131" s="2559"/>
      <c r="AK131" s="2560"/>
      <c r="AL131" s="2559"/>
      <c r="AM131" s="2560"/>
      <c r="AN131" s="2559"/>
      <c r="AO131" s="2560"/>
    </row>
    <row r="132" spans="1:43" ht="15.95" customHeight="1" x14ac:dyDescent="0.2">
      <c r="A132" s="2839" t="s">
        <v>469</v>
      </c>
      <c r="B132" s="2840"/>
      <c r="C132" s="187"/>
      <c r="D132" s="170"/>
      <c r="E132" s="2559"/>
      <c r="F132" s="2560"/>
      <c r="G132" s="2559"/>
      <c r="H132" s="2560"/>
      <c r="I132" s="2559">
        <f t="shared" si="24"/>
        <v>0</v>
      </c>
      <c r="J132" s="2560"/>
      <c r="K132" s="279"/>
      <c r="L132" s="122" t="s">
        <v>456</v>
      </c>
      <c r="M132" s="170" t="s">
        <v>710</v>
      </c>
      <c r="N132" s="170" t="s">
        <v>556</v>
      </c>
      <c r="O132" s="2571">
        <v>1.5</v>
      </c>
      <c r="P132" s="2572"/>
      <c r="Q132" s="2559">
        <f>191756*1.0928</f>
        <v>209550.95679999999</v>
      </c>
      <c r="R132" s="2560"/>
      <c r="S132" s="2559">
        <f t="shared" si="21"/>
        <v>314326.43519999995</v>
      </c>
      <c r="T132" s="2560"/>
      <c r="U132" s="26"/>
      <c r="V132" s="2839" t="s">
        <v>469</v>
      </c>
      <c r="W132" s="2840"/>
      <c r="X132" s="197"/>
      <c r="Y132" s="170"/>
      <c r="Z132" s="2559"/>
      <c r="AA132" s="2560"/>
      <c r="AB132" s="2559"/>
      <c r="AC132" s="2560"/>
      <c r="AD132" s="2559"/>
      <c r="AE132" s="2560"/>
      <c r="AF132" s="279"/>
      <c r="AG132" s="122" t="s">
        <v>456</v>
      </c>
      <c r="AH132" s="170"/>
      <c r="AI132" s="170"/>
      <c r="AJ132" s="2559"/>
      <c r="AK132" s="2560"/>
      <c r="AL132" s="2559"/>
      <c r="AM132" s="2560"/>
      <c r="AN132" s="2559">
        <f t="shared" ref="AN132:AN139" si="25">AJ132*AL132</f>
        <v>0</v>
      </c>
      <c r="AO132" s="2560"/>
    </row>
    <row r="133" spans="1:43" ht="15.95" customHeight="1" x14ac:dyDescent="0.2">
      <c r="A133" s="2839" t="s">
        <v>470</v>
      </c>
      <c r="B133" s="2840"/>
      <c r="C133" s="187"/>
      <c r="D133" s="170"/>
      <c r="E133" s="2559"/>
      <c r="F133" s="2560"/>
      <c r="G133" s="2559"/>
      <c r="H133" s="2560"/>
      <c r="I133" s="2559">
        <f t="shared" si="24"/>
        <v>0</v>
      </c>
      <c r="J133" s="2560"/>
      <c r="K133" s="279"/>
      <c r="L133" s="122" t="s">
        <v>871</v>
      </c>
      <c r="M133" s="188"/>
      <c r="N133" s="170"/>
      <c r="O133" s="2559"/>
      <c r="P133" s="2560"/>
      <c r="Q133" s="2559"/>
      <c r="R133" s="2560"/>
      <c r="S133" s="2559">
        <f t="shared" si="21"/>
        <v>0</v>
      </c>
      <c r="T133" s="2560"/>
      <c r="U133" s="26"/>
      <c r="V133" s="2839" t="s">
        <v>470</v>
      </c>
      <c r="W133" s="2840"/>
      <c r="X133" s="280"/>
      <c r="Y133" s="120"/>
      <c r="Z133" s="2559"/>
      <c r="AA133" s="2560"/>
      <c r="AB133" s="2559"/>
      <c r="AC133" s="2560"/>
      <c r="AD133" s="2559"/>
      <c r="AE133" s="2560"/>
      <c r="AF133" s="279"/>
      <c r="AG133" s="122" t="s">
        <v>871</v>
      </c>
      <c r="AH133" s="188"/>
      <c r="AI133" s="170"/>
      <c r="AJ133" s="2559"/>
      <c r="AK133" s="2560"/>
      <c r="AL133" s="2559"/>
      <c r="AM133" s="2560"/>
      <c r="AN133" s="2559">
        <f t="shared" si="25"/>
        <v>0</v>
      </c>
      <c r="AO133" s="2560"/>
    </row>
    <row r="134" spans="1:43" ht="15.95" customHeight="1" x14ac:dyDescent="0.3">
      <c r="A134" s="2839" t="s">
        <v>902</v>
      </c>
      <c r="B134" s="2840"/>
      <c r="C134" s="170" t="s">
        <v>496</v>
      </c>
      <c r="D134" s="170" t="s">
        <v>497</v>
      </c>
      <c r="E134" s="2559">
        <v>5</v>
      </c>
      <c r="F134" s="2560"/>
      <c r="G134" s="2559">
        <v>47000</v>
      </c>
      <c r="H134" s="2560">
        <f t="shared" ref="H134:H138" si="26">(36040*6%)+36040</f>
        <v>38202.400000000001</v>
      </c>
      <c r="I134" s="2559">
        <f t="shared" si="24"/>
        <v>235000</v>
      </c>
      <c r="J134" s="2560"/>
      <c r="K134" s="279"/>
      <c r="L134" s="122" t="s">
        <v>595</v>
      </c>
      <c r="M134" s="188"/>
      <c r="N134" s="170"/>
      <c r="O134" s="2559"/>
      <c r="P134" s="2560"/>
      <c r="Q134" s="2559"/>
      <c r="R134" s="2560"/>
      <c r="S134" s="2559">
        <f t="shared" si="21"/>
        <v>0</v>
      </c>
      <c r="T134" s="2560"/>
      <c r="U134" s="26"/>
      <c r="V134" s="2839" t="s">
        <v>902</v>
      </c>
      <c r="W134" s="2840"/>
      <c r="X134" s="269"/>
      <c r="Y134" s="120"/>
      <c r="Z134" s="2559"/>
      <c r="AA134" s="2560"/>
      <c r="AB134" s="2559"/>
      <c r="AC134" s="2880"/>
      <c r="AD134" s="2559"/>
      <c r="AE134" s="2560"/>
      <c r="AF134" s="279"/>
      <c r="AG134" s="122" t="s">
        <v>1037</v>
      </c>
      <c r="AH134" s="170"/>
      <c r="AI134" s="170"/>
      <c r="AJ134" s="2559"/>
      <c r="AK134" s="2560"/>
      <c r="AL134" s="2559"/>
      <c r="AM134" s="2560"/>
      <c r="AN134" s="2559">
        <f t="shared" si="25"/>
        <v>0</v>
      </c>
      <c r="AO134" s="2560"/>
    </row>
    <row r="135" spans="1:43" ht="15.95" customHeight="1" x14ac:dyDescent="0.3">
      <c r="A135" s="2839" t="s">
        <v>998</v>
      </c>
      <c r="B135" s="2840"/>
      <c r="C135" s="170" t="s">
        <v>496</v>
      </c>
      <c r="D135" s="170" t="s">
        <v>497</v>
      </c>
      <c r="E135" s="2576">
        <v>15</v>
      </c>
      <c r="F135" s="2880"/>
      <c r="G135" s="2559">
        <v>47000</v>
      </c>
      <c r="H135" s="2560">
        <f t="shared" si="26"/>
        <v>38202.400000000001</v>
      </c>
      <c r="I135" s="2559">
        <f t="shared" si="24"/>
        <v>705000</v>
      </c>
      <c r="J135" s="2560"/>
      <c r="K135" s="279"/>
      <c r="L135" s="122" t="s">
        <v>507</v>
      </c>
      <c r="M135" s="170"/>
      <c r="N135" s="170"/>
      <c r="O135" s="2559"/>
      <c r="P135" s="2560"/>
      <c r="Q135" s="2559"/>
      <c r="R135" s="2560"/>
      <c r="S135" s="2559">
        <f t="shared" si="21"/>
        <v>0</v>
      </c>
      <c r="T135" s="2560"/>
      <c r="U135" s="26"/>
      <c r="V135" s="2839" t="s">
        <v>998</v>
      </c>
      <c r="W135" s="2840"/>
      <c r="X135" s="120"/>
      <c r="Y135" s="170"/>
      <c r="Z135" s="2576"/>
      <c r="AA135" s="2880"/>
      <c r="AB135" s="2559"/>
      <c r="AC135" s="2880"/>
      <c r="AD135" s="2559">
        <f>+AB135*Z135</f>
        <v>0</v>
      </c>
      <c r="AE135" s="2560"/>
      <c r="AF135" s="279"/>
      <c r="AG135" s="122" t="s">
        <v>507</v>
      </c>
      <c r="AH135" s="170" t="s">
        <v>1118</v>
      </c>
      <c r="AI135" s="170" t="s">
        <v>497</v>
      </c>
      <c r="AJ135" s="2559">
        <v>500</v>
      </c>
      <c r="AK135" s="2560"/>
      <c r="AL135" s="2559">
        <f>4741*1.0928</f>
        <v>5180.9647999999997</v>
      </c>
      <c r="AM135" s="2560"/>
      <c r="AN135" s="2559">
        <f t="shared" si="25"/>
        <v>2590482.4</v>
      </c>
      <c r="AO135" s="2560"/>
      <c r="AP135" s="2559"/>
      <c r="AQ135" s="2560"/>
    </row>
    <row r="136" spans="1:43" ht="15.95" customHeight="1" x14ac:dyDescent="0.3">
      <c r="A136" s="2839" t="s">
        <v>999</v>
      </c>
      <c r="B136" s="2840"/>
      <c r="C136" s="170" t="s">
        <v>496</v>
      </c>
      <c r="D136" s="170" t="s">
        <v>497</v>
      </c>
      <c r="E136" s="2576">
        <v>3</v>
      </c>
      <c r="F136" s="2880"/>
      <c r="G136" s="2559">
        <v>47000</v>
      </c>
      <c r="H136" s="2560">
        <f t="shared" si="26"/>
        <v>38202.400000000001</v>
      </c>
      <c r="I136" s="2559">
        <f t="shared" si="24"/>
        <v>141000</v>
      </c>
      <c r="J136" s="2560"/>
      <c r="K136" s="279"/>
      <c r="L136" s="122" t="s">
        <v>801</v>
      </c>
      <c r="M136" s="170"/>
      <c r="N136" s="170"/>
      <c r="O136" s="2559"/>
      <c r="P136" s="2560"/>
      <c r="Q136" s="2559"/>
      <c r="R136" s="2560"/>
      <c r="S136" s="2559">
        <f t="shared" si="21"/>
        <v>0</v>
      </c>
      <c r="T136" s="2560"/>
      <c r="U136" s="26"/>
      <c r="V136" s="2839" t="s">
        <v>999</v>
      </c>
      <c r="W136" s="2840"/>
      <c r="X136" s="38"/>
      <c r="Y136" s="281"/>
      <c r="Z136" s="2576"/>
      <c r="AA136" s="2880"/>
      <c r="AB136" s="2576"/>
      <c r="AC136" s="2880"/>
      <c r="AD136" s="2559"/>
      <c r="AE136" s="2560"/>
      <c r="AF136" s="279"/>
      <c r="AG136" s="122" t="s">
        <v>801</v>
      </c>
      <c r="AH136" s="170" t="s">
        <v>599</v>
      </c>
      <c r="AI136" s="170" t="s">
        <v>497</v>
      </c>
      <c r="AJ136" s="2559">
        <v>1</v>
      </c>
      <c r="AK136" s="2560"/>
      <c r="AL136" s="2559">
        <f>11966*1.0928</f>
        <v>13076.444799999999</v>
      </c>
      <c r="AM136" s="2560"/>
      <c r="AN136" s="2559">
        <f t="shared" si="25"/>
        <v>13076.444799999999</v>
      </c>
      <c r="AO136" s="2560"/>
    </row>
    <row r="137" spans="1:43" ht="15.95" customHeight="1" x14ac:dyDescent="0.3">
      <c r="A137" s="2839" t="s">
        <v>873</v>
      </c>
      <c r="B137" s="2840"/>
      <c r="C137" s="170"/>
      <c r="D137" s="170"/>
      <c r="E137" s="2576"/>
      <c r="F137" s="2880"/>
      <c r="G137" s="2559"/>
      <c r="H137" s="2560"/>
      <c r="I137" s="2559">
        <f t="shared" si="24"/>
        <v>0</v>
      </c>
      <c r="J137" s="2560"/>
      <c r="K137" s="279"/>
      <c r="L137" s="122" t="s">
        <v>575</v>
      </c>
      <c r="M137" s="188"/>
      <c r="N137" s="170"/>
      <c r="O137" s="2559"/>
      <c r="P137" s="2560"/>
      <c r="Q137" s="2559"/>
      <c r="R137" s="2560"/>
      <c r="S137" s="2559">
        <f t="shared" si="21"/>
        <v>0</v>
      </c>
      <c r="T137" s="2560"/>
      <c r="U137" s="26"/>
      <c r="V137" s="2839" t="s">
        <v>873</v>
      </c>
      <c r="W137" s="2840"/>
      <c r="X137" s="120"/>
      <c r="Y137" s="170"/>
      <c r="Z137" s="2576"/>
      <c r="AA137" s="2880"/>
      <c r="AB137" s="2559"/>
      <c r="AC137" s="2880"/>
      <c r="AD137" s="2559">
        <f>+AB137*Z137</f>
        <v>0</v>
      </c>
      <c r="AE137" s="2560"/>
      <c r="AF137" s="279"/>
      <c r="AG137" s="122" t="s">
        <v>575</v>
      </c>
      <c r="AH137" s="188"/>
      <c r="AI137" s="170"/>
      <c r="AJ137" s="2559"/>
      <c r="AK137" s="2560"/>
      <c r="AL137" s="2559"/>
      <c r="AM137" s="2560"/>
      <c r="AN137" s="2559">
        <f t="shared" si="25"/>
        <v>0</v>
      </c>
      <c r="AO137" s="2560"/>
    </row>
    <row r="138" spans="1:43" ht="15.95" customHeight="1" x14ac:dyDescent="0.3">
      <c r="A138" s="2839" t="s">
        <v>1000</v>
      </c>
      <c r="B138" s="2840"/>
      <c r="C138" s="170" t="s">
        <v>496</v>
      </c>
      <c r="D138" s="170" t="s">
        <v>497</v>
      </c>
      <c r="E138" s="2576">
        <v>6</v>
      </c>
      <c r="F138" s="2880"/>
      <c r="G138" s="2559">
        <v>47000</v>
      </c>
      <c r="H138" s="2560">
        <f t="shared" si="26"/>
        <v>38202.400000000001</v>
      </c>
      <c r="I138" s="2559">
        <f t="shared" si="24"/>
        <v>282000</v>
      </c>
      <c r="J138" s="2560"/>
      <c r="K138" s="279"/>
      <c r="L138" s="122" t="s">
        <v>874</v>
      </c>
      <c r="M138" s="170"/>
      <c r="N138" s="170"/>
      <c r="O138" s="2559"/>
      <c r="P138" s="2560"/>
      <c r="Q138" s="2559"/>
      <c r="R138" s="2560"/>
      <c r="S138" s="2559">
        <f t="shared" si="21"/>
        <v>0</v>
      </c>
      <c r="T138" s="2560"/>
      <c r="U138" s="26"/>
      <c r="V138" s="2839" t="s">
        <v>1000</v>
      </c>
      <c r="W138" s="2840"/>
      <c r="X138" s="120"/>
      <c r="Y138" s="170"/>
      <c r="Z138" s="2576"/>
      <c r="AA138" s="2880"/>
      <c r="AB138" s="2559"/>
      <c r="AC138" s="2880"/>
      <c r="AD138" s="2559">
        <f>+AB138*Z138</f>
        <v>0</v>
      </c>
      <c r="AE138" s="2560"/>
      <c r="AF138" s="279"/>
      <c r="AG138" s="122" t="s">
        <v>874</v>
      </c>
      <c r="AH138" s="188"/>
      <c r="AI138" s="170"/>
      <c r="AJ138" s="2559"/>
      <c r="AK138" s="2560"/>
      <c r="AL138" s="2559"/>
      <c r="AM138" s="2560"/>
      <c r="AN138" s="2559">
        <f t="shared" si="25"/>
        <v>0</v>
      </c>
      <c r="AO138" s="2560"/>
    </row>
    <row r="139" spans="1:43" ht="15.95" customHeight="1" x14ac:dyDescent="0.3">
      <c r="A139" s="2839" t="s">
        <v>504</v>
      </c>
      <c r="B139" s="2840"/>
      <c r="C139" s="187"/>
      <c r="D139" s="170"/>
      <c r="E139" s="2576"/>
      <c r="F139" s="2880"/>
      <c r="G139" s="2559"/>
      <c r="H139" s="2560"/>
      <c r="I139" s="2559">
        <f t="shared" si="24"/>
        <v>0</v>
      </c>
      <c r="J139" s="2560"/>
      <c r="K139" s="279"/>
      <c r="L139" s="196" t="s">
        <v>515</v>
      </c>
      <c r="M139" s="197"/>
      <c r="N139" s="120"/>
      <c r="O139" s="2643"/>
      <c r="P139" s="2643"/>
      <c r="Q139" s="2643"/>
      <c r="R139" s="2643"/>
      <c r="S139" s="2559">
        <f t="shared" si="21"/>
        <v>0</v>
      </c>
      <c r="T139" s="2560"/>
      <c r="U139" s="26"/>
      <c r="V139" s="2839" t="s">
        <v>504</v>
      </c>
      <c r="W139" s="2840"/>
      <c r="X139" s="197"/>
      <c r="Y139" s="170"/>
      <c r="Z139" s="2576"/>
      <c r="AA139" s="2880"/>
      <c r="AB139" s="2576"/>
      <c r="AC139" s="2880"/>
      <c r="AD139" s="2559"/>
      <c r="AE139" s="2560"/>
      <c r="AF139" s="279"/>
      <c r="AG139" s="196" t="s">
        <v>515</v>
      </c>
      <c r="AH139" s="197"/>
      <c r="AI139" s="120"/>
      <c r="AJ139" s="2643"/>
      <c r="AK139" s="2643"/>
      <c r="AL139" s="2643"/>
      <c r="AM139" s="2643"/>
      <c r="AN139" s="2559">
        <f t="shared" si="25"/>
        <v>0</v>
      </c>
      <c r="AO139" s="2560"/>
    </row>
    <row r="140" spans="1:43" ht="15.95" customHeight="1" x14ac:dyDescent="0.35">
      <c r="A140" s="2911" t="s">
        <v>1001</v>
      </c>
      <c r="B140" s="2912"/>
      <c r="C140" s="187"/>
      <c r="D140" s="170"/>
      <c r="E140" s="2576"/>
      <c r="F140" s="2880"/>
      <c r="G140" s="2559"/>
      <c r="H140" s="2560"/>
      <c r="I140" s="2565">
        <f>SUM(I141:J158)</f>
        <v>2773000</v>
      </c>
      <c r="J140" s="2892"/>
      <c r="K140" s="279"/>
      <c r="L140" s="196" t="s">
        <v>504</v>
      </c>
      <c r="M140" s="120"/>
      <c r="N140" s="120"/>
      <c r="O140" s="2643"/>
      <c r="P140" s="2643"/>
      <c r="Q140" s="2643"/>
      <c r="R140" s="2643"/>
      <c r="S140" s="2643">
        <f>+O140*Q140</f>
        <v>0</v>
      </c>
      <c r="T140" s="2643"/>
      <c r="U140" s="123"/>
      <c r="V140" s="2911" t="s">
        <v>1001</v>
      </c>
      <c r="W140" s="2912"/>
      <c r="X140" s="197"/>
      <c r="Y140" s="170"/>
      <c r="Z140" s="2576"/>
      <c r="AA140" s="2880"/>
      <c r="AB140" s="2576"/>
      <c r="AC140" s="2880"/>
      <c r="AD140" s="2565">
        <f>SUM(AD141:AE158)</f>
        <v>1786000</v>
      </c>
      <c r="AE140" s="2892"/>
      <c r="AF140" s="279"/>
      <c r="AG140" s="196"/>
      <c r="AH140" s="197"/>
      <c r="AI140" s="120"/>
      <c r="AJ140" s="2643"/>
      <c r="AK140" s="2643"/>
      <c r="AL140" s="2643"/>
      <c r="AM140" s="2643"/>
      <c r="AN140" s="2643"/>
      <c r="AO140" s="2643"/>
    </row>
    <row r="141" spans="1:43" ht="15.95" customHeight="1" x14ac:dyDescent="0.2">
      <c r="A141" s="2839" t="s">
        <v>852</v>
      </c>
      <c r="B141" s="2840"/>
      <c r="C141" s="170" t="s">
        <v>496</v>
      </c>
      <c r="D141" s="170" t="s">
        <v>497</v>
      </c>
      <c r="E141" s="2559">
        <v>8</v>
      </c>
      <c r="F141" s="2560"/>
      <c r="G141" s="2559">
        <v>47000</v>
      </c>
      <c r="H141" s="2560">
        <f t="shared" ref="H141" si="27">(36040*6%)+36040</f>
        <v>38202.400000000001</v>
      </c>
      <c r="I141" s="2559">
        <f t="shared" ref="I141:I158" si="28">E141*G141</f>
        <v>376000</v>
      </c>
      <c r="J141" s="2560"/>
      <c r="K141" s="279"/>
      <c r="L141" s="199" t="s">
        <v>876</v>
      </c>
      <c r="M141" s="53"/>
      <c r="N141" s="200"/>
      <c r="O141" s="2893"/>
      <c r="P141" s="2893"/>
      <c r="Q141" s="2893"/>
      <c r="R141" s="2893"/>
      <c r="S141" s="2894">
        <f>SUM(S123:T139)</f>
        <v>7524908.4975999994</v>
      </c>
      <c r="T141" s="2894"/>
      <c r="U141" s="125"/>
      <c r="V141" s="2839" t="s">
        <v>852</v>
      </c>
      <c r="W141" s="2840"/>
      <c r="X141" s="197"/>
      <c r="Y141" s="170"/>
      <c r="Z141" s="2559"/>
      <c r="AA141" s="2560"/>
      <c r="AB141" s="2559"/>
      <c r="AC141" s="2560"/>
      <c r="AD141" s="2559"/>
      <c r="AE141" s="2560"/>
      <c r="AF141" s="279"/>
      <c r="AG141" s="199" t="s">
        <v>876</v>
      </c>
      <c r="AH141" s="53"/>
      <c r="AI141" s="200"/>
      <c r="AJ141" s="2893"/>
      <c r="AK141" s="2893"/>
      <c r="AL141" s="2893"/>
      <c r="AM141" s="2893"/>
      <c r="AN141" s="2894">
        <f>SUM(AN123:AO139)</f>
        <v>4774722.8448000001</v>
      </c>
      <c r="AO141" s="2894"/>
    </row>
    <row r="142" spans="1:43" ht="15.95" customHeight="1" x14ac:dyDescent="0.2">
      <c r="A142" s="2839" t="s">
        <v>495</v>
      </c>
      <c r="B142" s="2840"/>
      <c r="C142" s="170"/>
      <c r="D142" s="170"/>
      <c r="E142" s="2559"/>
      <c r="F142" s="2560"/>
      <c r="G142" s="2559"/>
      <c r="H142" s="2560"/>
      <c r="I142" s="2559">
        <f t="shared" si="28"/>
        <v>0</v>
      </c>
      <c r="J142" s="2560"/>
      <c r="K142" s="279"/>
      <c r="L142" s="148"/>
      <c r="M142" s="197"/>
      <c r="N142" s="120"/>
      <c r="O142" s="2643"/>
      <c r="P142" s="2643"/>
      <c r="Q142" s="2643"/>
      <c r="R142" s="2643"/>
      <c r="S142" s="2643"/>
      <c r="T142" s="2643"/>
      <c r="U142" s="123"/>
      <c r="V142" s="2839" t="s">
        <v>495</v>
      </c>
      <c r="W142" s="2840"/>
      <c r="X142" s="197"/>
      <c r="Y142" s="170"/>
      <c r="Z142" s="2559"/>
      <c r="AA142" s="2560"/>
      <c r="AB142" s="2559"/>
      <c r="AC142" s="2560"/>
      <c r="AD142" s="2559"/>
      <c r="AE142" s="2560"/>
      <c r="AF142" s="279"/>
      <c r="AG142" s="148"/>
      <c r="AH142" s="197"/>
      <c r="AI142" s="120"/>
      <c r="AJ142" s="2643"/>
      <c r="AK142" s="2643"/>
      <c r="AL142" s="2643"/>
      <c r="AM142" s="2643"/>
      <c r="AN142" s="2643"/>
      <c r="AO142" s="2643"/>
    </row>
    <row r="143" spans="1:43" ht="15.95" customHeight="1" x14ac:dyDescent="0.3">
      <c r="A143" s="2839" t="s">
        <v>1003</v>
      </c>
      <c r="B143" s="2840"/>
      <c r="C143" s="187"/>
      <c r="D143" s="170"/>
      <c r="E143" s="2576"/>
      <c r="F143" s="2880"/>
      <c r="G143" s="2559"/>
      <c r="H143" s="2560"/>
      <c r="I143" s="2559">
        <f t="shared" si="28"/>
        <v>0</v>
      </c>
      <c r="J143" s="2560"/>
      <c r="K143" s="279"/>
      <c r="L143" s="282" t="s">
        <v>806</v>
      </c>
      <c r="M143" s="145"/>
      <c r="N143" s="145"/>
      <c r="O143" s="2890"/>
      <c r="P143" s="2890"/>
      <c r="Q143" s="2890"/>
      <c r="R143" s="2890"/>
      <c r="S143" s="2890"/>
      <c r="T143" s="2891"/>
      <c r="U143" s="26"/>
      <c r="V143" s="2839" t="s">
        <v>1003</v>
      </c>
      <c r="W143" s="2840"/>
      <c r="X143" s="120"/>
      <c r="Y143" s="170"/>
      <c r="Z143" s="2576"/>
      <c r="AA143" s="2880"/>
      <c r="AB143" s="2559"/>
      <c r="AC143" s="2880"/>
      <c r="AD143" s="2559">
        <f>+AB143*Z143</f>
        <v>0</v>
      </c>
      <c r="AE143" s="2560"/>
      <c r="AF143" s="279"/>
      <c r="AG143" s="282" t="s">
        <v>806</v>
      </c>
      <c r="AH143" s="145"/>
      <c r="AI143" s="145"/>
      <c r="AJ143" s="2890"/>
      <c r="AK143" s="2890"/>
      <c r="AL143" s="2890"/>
      <c r="AM143" s="2890"/>
      <c r="AN143" s="2890"/>
      <c r="AO143" s="2891"/>
    </row>
    <row r="144" spans="1:43" ht="15.95" customHeight="1" x14ac:dyDescent="0.3">
      <c r="A144" s="2839" t="s">
        <v>1004</v>
      </c>
      <c r="B144" s="2840"/>
      <c r="C144" s="170"/>
      <c r="D144" s="170"/>
      <c r="E144" s="2576"/>
      <c r="F144" s="2880"/>
      <c r="G144" s="2559"/>
      <c r="H144" s="2560"/>
      <c r="I144" s="2559">
        <f t="shared" si="28"/>
        <v>0</v>
      </c>
      <c r="J144" s="2560"/>
      <c r="K144" s="279"/>
      <c r="L144" s="148" t="s">
        <v>1005</v>
      </c>
      <c r="M144" s="270">
        <v>0.03</v>
      </c>
      <c r="N144" s="45"/>
      <c r="O144" s="2575"/>
      <c r="P144" s="2575"/>
      <c r="Q144" s="2575"/>
      <c r="R144" s="2575"/>
      <c r="S144" s="2575">
        <f>+(S141+I166)*0.05</f>
        <v>640151.42488000006</v>
      </c>
      <c r="T144" s="2560"/>
      <c r="U144" s="26"/>
      <c r="V144" s="2839" t="s">
        <v>1004</v>
      </c>
      <c r="W144" s="2840"/>
      <c r="X144" s="197"/>
      <c r="Y144" s="170"/>
      <c r="Z144" s="2576"/>
      <c r="AA144" s="2880"/>
      <c r="AB144" s="2576"/>
      <c r="AC144" s="2880"/>
      <c r="AD144" s="2559"/>
      <c r="AE144" s="2560"/>
      <c r="AF144" s="279"/>
      <c r="AG144" s="148" t="s">
        <v>1005</v>
      </c>
      <c r="AH144" s="283" t="s">
        <v>1043</v>
      </c>
      <c r="AI144" s="45"/>
      <c r="AJ144" s="2575"/>
      <c r="AK144" s="2575"/>
      <c r="AL144" s="2575"/>
      <c r="AM144" s="2575"/>
      <c r="AN144" s="2575">
        <f>+(AN141+AD166)*0.03</f>
        <v>289196.22954239999</v>
      </c>
      <c r="AO144" s="2560"/>
    </row>
    <row r="145" spans="1:41" ht="15.95" customHeight="1" x14ac:dyDescent="0.3">
      <c r="A145" s="2839" t="s">
        <v>1006</v>
      </c>
      <c r="B145" s="2840"/>
      <c r="C145" s="170"/>
      <c r="D145" s="170"/>
      <c r="E145" s="2576"/>
      <c r="F145" s="2880"/>
      <c r="G145" s="2559"/>
      <c r="H145" s="2560"/>
      <c r="I145" s="2559">
        <f t="shared" si="28"/>
        <v>0</v>
      </c>
      <c r="J145" s="2560"/>
      <c r="K145" s="279"/>
      <c r="L145" s="151" t="s">
        <v>527</v>
      </c>
      <c r="M145" s="45"/>
      <c r="N145" s="45"/>
      <c r="O145" s="2575"/>
      <c r="P145" s="2575"/>
      <c r="Q145" s="2575"/>
      <c r="R145" s="2575"/>
      <c r="S145" s="2575">
        <f>150000*1.0928</f>
        <v>163920</v>
      </c>
      <c r="T145" s="2560"/>
      <c r="U145" s="26"/>
      <c r="V145" s="2839" t="s">
        <v>1006</v>
      </c>
      <c r="W145" s="2840"/>
      <c r="X145" s="197"/>
      <c r="Y145" s="170"/>
      <c r="Z145" s="2576"/>
      <c r="AA145" s="2880"/>
      <c r="AB145" s="2576"/>
      <c r="AC145" s="2880"/>
      <c r="AD145" s="2559"/>
      <c r="AE145" s="2560"/>
      <c r="AF145" s="279"/>
      <c r="AG145" s="151" t="s">
        <v>527</v>
      </c>
      <c r="AH145" s="45"/>
      <c r="AI145" s="45"/>
      <c r="AJ145" s="2575"/>
      <c r="AK145" s="2575"/>
      <c r="AL145" s="2575"/>
      <c r="AM145" s="2575"/>
      <c r="AN145" s="2575">
        <f>100000*1.0928</f>
        <v>109280</v>
      </c>
      <c r="AO145" s="2560"/>
    </row>
    <row r="146" spans="1:41" ht="15.95" customHeight="1" x14ac:dyDescent="0.3">
      <c r="A146" s="2839" t="s">
        <v>1007</v>
      </c>
      <c r="B146" s="2840"/>
      <c r="C146" s="170"/>
      <c r="D146" s="170"/>
      <c r="E146" s="2576"/>
      <c r="F146" s="2880"/>
      <c r="G146" s="2559"/>
      <c r="H146" s="2560"/>
      <c r="I146" s="2559">
        <f t="shared" si="28"/>
        <v>0</v>
      </c>
      <c r="J146" s="2560"/>
      <c r="K146" s="279"/>
      <c r="L146" s="152" t="s">
        <v>529</v>
      </c>
      <c r="M146" s="45"/>
      <c r="N146" s="45"/>
      <c r="O146" s="2575"/>
      <c r="P146" s="2575"/>
      <c r="Q146" s="2575"/>
      <c r="R146" s="2575"/>
      <c r="S146" s="2575">
        <f>500000*1.0928</f>
        <v>546400</v>
      </c>
      <c r="T146" s="2560"/>
      <c r="U146" s="26"/>
      <c r="V146" s="2839" t="s">
        <v>1007</v>
      </c>
      <c r="W146" s="2840"/>
      <c r="X146" s="197"/>
      <c r="Y146" s="170"/>
      <c r="Z146" s="2576"/>
      <c r="AA146" s="2880"/>
      <c r="AB146" s="2576"/>
      <c r="AC146" s="2880"/>
      <c r="AD146" s="2559"/>
      <c r="AE146" s="2560"/>
      <c r="AF146" s="279"/>
      <c r="AG146" s="152" t="s">
        <v>529</v>
      </c>
      <c r="AH146" s="45"/>
      <c r="AI146" s="45"/>
      <c r="AJ146" s="2575"/>
      <c r="AK146" s="2575"/>
      <c r="AL146" s="2575"/>
      <c r="AM146" s="2575"/>
      <c r="AN146" s="2575">
        <f>50000*1.0928</f>
        <v>54640</v>
      </c>
      <c r="AO146" s="2560"/>
    </row>
    <row r="147" spans="1:41" ht="15.95" customHeight="1" x14ac:dyDescent="0.3">
      <c r="A147" s="2839" t="s">
        <v>1008</v>
      </c>
      <c r="B147" s="2840"/>
      <c r="C147" s="187"/>
      <c r="D147" s="170"/>
      <c r="E147" s="2576"/>
      <c r="F147" s="2880"/>
      <c r="G147" s="2559"/>
      <c r="H147" s="2560"/>
      <c r="I147" s="2559">
        <f t="shared" si="28"/>
        <v>0</v>
      </c>
      <c r="J147" s="2560"/>
      <c r="K147" s="279"/>
      <c r="L147" s="152" t="s">
        <v>726</v>
      </c>
      <c r="M147" s="45"/>
      <c r="N147" s="45"/>
      <c r="O147" s="2575"/>
      <c r="P147" s="2575"/>
      <c r="Q147" s="2575"/>
      <c r="R147" s="2575"/>
      <c r="S147" s="2575">
        <f>(I166+S141)*5%</f>
        <v>640151.42488000006</v>
      </c>
      <c r="T147" s="2560"/>
      <c r="U147" s="26"/>
      <c r="V147" s="2839" t="s">
        <v>1008</v>
      </c>
      <c r="W147" s="2840"/>
      <c r="X147" s="197"/>
      <c r="Y147" s="170"/>
      <c r="Z147" s="2576"/>
      <c r="AA147" s="2880"/>
      <c r="AB147" s="2576"/>
      <c r="AC147" s="2880"/>
      <c r="AD147" s="2559"/>
      <c r="AE147" s="2560"/>
      <c r="AF147" s="279"/>
      <c r="AG147" s="152" t="s">
        <v>726</v>
      </c>
      <c r="AH147" s="45"/>
      <c r="AI147" s="45"/>
      <c r="AJ147" s="2575"/>
      <c r="AK147" s="2575"/>
      <c r="AL147" s="2575"/>
      <c r="AM147" s="2575"/>
      <c r="AN147" s="2575">
        <f>(AN141+AD166)*0.1</f>
        <v>963987.43180800008</v>
      </c>
      <c r="AO147" s="2560"/>
    </row>
    <row r="148" spans="1:41" ht="15.95" customHeight="1" x14ac:dyDescent="0.3">
      <c r="A148" s="2839" t="s">
        <v>1009</v>
      </c>
      <c r="B148" s="2840"/>
      <c r="C148" s="170" t="s">
        <v>496</v>
      </c>
      <c r="D148" s="170" t="s">
        <v>497</v>
      </c>
      <c r="E148" s="2576">
        <v>17</v>
      </c>
      <c r="F148" s="2880"/>
      <c r="G148" s="2559">
        <v>47000</v>
      </c>
      <c r="H148" s="2560">
        <f t="shared" ref="H148:H149" si="29">(36040*6%)+36040</f>
        <v>38202.400000000001</v>
      </c>
      <c r="I148" s="2559">
        <f t="shared" si="28"/>
        <v>799000</v>
      </c>
      <c r="J148" s="2560"/>
      <c r="K148" s="279"/>
      <c r="L148" s="166" t="s">
        <v>504</v>
      </c>
      <c r="M148" s="155"/>
      <c r="N148" s="155"/>
      <c r="O148" s="2557"/>
      <c r="P148" s="2557"/>
      <c r="Q148" s="2557"/>
      <c r="R148" s="2557"/>
      <c r="S148" s="2557">
        <f>200000*1.0928</f>
        <v>218560</v>
      </c>
      <c r="T148" s="2558"/>
      <c r="U148" s="26"/>
      <c r="V148" s="2839" t="s">
        <v>1009</v>
      </c>
      <c r="W148" s="2840"/>
      <c r="X148" s="120" t="s">
        <v>496</v>
      </c>
      <c r="Y148" s="170" t="s">
        <v>497</v>
      </c>
      <c r="Z148" s="2576">
        <v>16</v>
      </c>
      <c r="AA148" s="2880"/>
      <c r="AB148" s="2921">
        <v>47000</v>
      </c>
      <c r="AC148" s="2922">
        <f t="shared" ref="AC148:AC149" si="30">(36040*6%)+36040</f>
        <v>38202.400000000001</v>
      </c>
      <c r="AD148" s="2559">
        <f>+AB148*Z148</f>
        <v>752000</v>
      </c>
      <c r="AE148" s="2560"/>
      <c r="AF148" s="279"/>
      <c r="AG148" s="166" t="s">
        <v>504</v>
      </c>
      <c r="AH148" s="155"/>
      <c r="AI148" s="155"/>
      <c r="AJ148" s="2557"/>
      <c r="AK148" s="2557"/>
      <c r="AL148" s="2557"/>
      <c r="AM148" s="2557"/>
      <c r="AN148" s="2888">
        <f>160000*1.0928</f>
        <v>174848</v>
      </c>
      <c r="AO148" s="2889"/>
    </row>
    <row r="149" spans="1:41" ht="15.95" customHeight="1" x14ac:dyDescent="0.3">
      <c r="A149" s="2839" t="s">
        <v>1010</v>
      </c>
      <c r="B149" s="2840"/>
      <c r="C149" s="170" t="s">
        <v>496</v>
      </c>
      <c r="D149" s="170" t="s">
        <v>497</v>
      </c>
      <c r="E149" s="2576">
        <v>6</v>
      </c>
      <c r="F149" s="2880"/>
      <c r="G149" s="2559">
        <v>47000</v>
      </c>
      <c r="H149" s="2560">
        <f t="shared" si="29"/>
        <v>38202.400000000001</v>
      </c>
      <c r="I149" s="2559">
        <f t="shared" si="28"/>
        <v>282000</v>
      </c>
      <c r="J149" s="2560"/>
      <c r="K149" s="279"/>
      <c r="L149" s="156" t="s">
        <v>533</v>
      </c>
      <c r="M149" s="201"/>
      <c r="N149" s="201"/>
      <c r="O149" s="2885"/>
      <c r="P149" s="2885"/>
      <c r="Q149" s="2886"/>
      <c r="R149" s="2886"/>
      <c r="S149" s="2887">
        <f>SUM(S144:T148)</f>
        <v>2209182.8497600001</v>
      </c>
      <c r="T149" s="2887"/>
      <c r="U149" s="271"/>
      <c r="V149" s="2839" t="s">
        <v>1010</v>
      </c>
      <c r="W149" s="2840"/>
      <c r="X149" s="120" t="s">
        <v>496</v>
      </c>
      <c r="Y149" s="170" t="s">
        <v>497</v>
      </c>
      <c r="Z149" s="2576">
        <v>10</v>
      </c>
      <c r="AA149" s="2880"/>
      <c r="AB149" s="2921">
        <v>47000</v>
      </c>
      <c r="AC149" s="2922">
        <f t="shared" si="30"/>
        <v>38202.400000000001</v>
      </c>
      <c r="AD149" s="2559">
        <f>+AB149*Z149</f>
        <v>470000</v>
      </c>
      <c r="AE149" s="2560"/>
      <c r="AF149" s="279"/>
      <c r="AG149" s="156" t="s">
        <v>533</v>
      </c>
      <c r="AH149" s="201"/>
      <c r="AI149" s="201"/>
      <c r="AJ149" s="2885"/>
      <c r="AK149" s="2885"/>
      <c r="AL149" s="2886"/>
      <c r="AM149" s="2886"/>
      <c r="AN149" s="2887">
        <f>SUM(AN144:AO148)</f>
        <v>1591951.6613504002</v>
      </c>
      <c r="AO149" s="2887"/>
    </row>
    <row r="150" spans="1:41" ht="15.95" customHeight="1" x14ac:dyDescent="0.3">
      <c r="A150" s="2839" t="s">
        <v>1011</v>
      </c>
      <c r="B150" s="2840"/>
      <c r="C150" s="170"/>
      <c r="D150" s="170"/>
      <c r="E150" s="2576"/>
      <c r="F150" s="2880"/>
      <c r="G150" s="2559"/>
      <c r="H150" s="2560"/>
      <c r="I150" s="2559">
        <f t="shared" si="28"/>
        <v>0</v>
      </c>
      <c r="J150" s="2560"/>
      <c r="K150" s="279"/>
      <c r="L150" s="159"/>
      <c r="M150" s="45"/>
      <c r="N150" s="45"/>
      <c r="O150" s="2575"/>
      <c r="P150" s="2575"/>
      <c r="Q150" s="2575"/>
      <c r="R150" s="2575"/>
      <c r="S150" s="2575"/>
      <c r="T150" s="2560"/>
      <c r="U150" s="26"/>
      <c r="V150" s="2839" t="s">
        <v>1011</v>
      </c>
      <c r="W150" s="2840"/>
      <c r="X150" s="197"/>
      <c r="Y150" s="170"/>
      <c r="Z150" s="2576"/>
      <c r="AA150" s="2880"/>
      <c r="AB150" s="2576"/>
      <c r="AC150" s="2880"/>
      <c r="AD150" s="2559"/>
      <c r="AE150" s="2560"/>
      <c r="AF150" s="279"/>
      <c r="AG150" s="159"/>
      <c r="AH150" s="45"/>
      <c r="AI150" s="45"/>
      <c r="AJ150" s="2575"/>
      <c r="AK150" s="2575"/>
      <c r="AL150" s="2575"/>
      <c r="AM150" s="2575"/>
      <c r="AN150" s="2575"/>
      <c r="AO150" s="2560"/>
    </row>
    <row r="151" spans="1:41" ht="15.95" customHeight="1" thickBot="1" x14ac:dyDescent="0.35">
      <c r="A151" s="2839" t="s">
        <v>1051</v>
      </c>
      <c r="B151" s="2840"/>
      <c r="C151" s="170" t="s">
        <v>496</v>
      </c>
      <c r="D151" s="170" t="s">
        <v>497</v>
      </c>
      <c r="E151" s="2576">
        <v>9</v>
      </c>
      <c r="F151" s="2880"/>
      <c r="G151" s="2559">
        <v>47000</v>
      </c>
      <c r="H151" s="2560">
        <f t="shared" ref="H151" si="31">(36040*6%)+36040</f>
        <v>38202.400000000001</v>
      </c>
      <c r="I151" s="2559">
        <f t="shared" si="28"/>
        <v>423000</v>
      </c>
      <c r="J151" s="2560"/>
      <c r="K151" s="279"/>
      <c r="L151" s="160" t="s">
        <v>583</v>
      </c>
      <c r="M151" s="205"/>
      <c r="N151" s="205"/>
      <c r="O151" s="205"/>
      <c r="P151" s="205"/>
      <c r="Q151" s="161"/>
      <c r="R151" s="161"/>
      <c r="S151" s="2580">
        <f>SUM(S149+S141+I166)</f>
        <v>15012211.34736</v>
      </c>
      <c r="T151" s="2581"/>
      <c r="U151" s="271"/>
      <c r="V151" s="2839" t="s">
        <v>1012</v>
      </c>
      <c r="W151" s="2840"/>
      <c r="X151" s="197"/>
      <c r="Y151" s="170"/>
      <c r="Z151" s="2576"/>
      <c r="AA151" s="2880"/>
      <c r="AB151" s="2576"/>
      <c r="AC151" s="2880"/>
      <c r="AD151" s="2559"/>
      <c r="AE151" s="2560"/>
      <c r="AF151" s="279"/>
      <c r="AG151" s="160" t="s">
        <v>583</v>
      </c>
      <c r="AH151" s="205"/>
      <c r="AI151" s="205"/>
      <c r="AJ151" s="205"/>
      <c r="AK151" s="205"/>
      <c r="AL151" s="161"/>
      <c r="AM151" s="161"/>
      <c r="AN151" s="2580">
        <f>SUM(AN149+AN141+AD166)</f>
        <v>11231825.9794304</v>
      </c>
      <c r="AO151" s="2581"/>
    </row>
    <row r="152" spans="1:41" ht="15.95" customHeight="1" x14ac:dyDescent="0.2">
      <c r="A152" s="2839" t="s">
        <v>1018</v>
      </c>
      <c r="B152" s="2840"/>
      <c r="C152" s="170"/>
      <c r="D152" s="170"/>
      <c r="E152" s="2559"/>
      <c r="F152" s="2560"/>
      <c r="G152" s="2559"/>
      <c r="H152" s="2560"/>
      <c r="I152" s="2559">
        <f t="shared" si="28"/>
        <v>0</v>
      </c>
      <c r="J152" s="2560"/>
      <c r="K152" s="284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2839" t="s">
        <v>1052</v>
      </c>
      <c r="W152" s="2840"/>
      <c r="X152" s="120" t="s">
        <v>496</v>
      </c>
      <c r="Y152" s="170" t="s">
        <v>497</v>
      </c>
      <c r="Z152" s="2559">
        <v>6</v>
      </c>
      <c r="AA152" s="2560"/>
      <c r="AB152" s="2921">
        <v>47000</v>
      </c>
      <c r="AC152" s="2922">
        <f t="shared" ref="AC152" si="32">(36040*6%)+36040</f>
        <v>38202.400000000001</v>
      </c>
      <c r="AD152" s="2559">
        <f>+AB152*Z152</f>
        <v>282000</v>
      </c>
      <c r="AE152" s="2560"/>
      <c r="AF152" s="284"/>
      <c r="AG152" s="45"/>
      <c r="AH152" s="45"/>
      <c r="AI152" s="45"/>
      <c r="AJ152" s="45"/>
      <c r="AK152" s="45"/>
      <c r="AL152" s="45"/>
      <c r="AM152" s="45"/>
      <c r="AN152" s="45"/>
      <c r="AO152" s="45"/>
    </row>
    <row r="153" spans="1:41" ht="15.95" customHeight="1" x14ac:dyDescent="0.3">
      <c r="A153" s="2839" t="s">
        <v>1019</v>
      </c>
      <c r="B153" s="2840"/>
      <c r="C153" s="170" t="s">
        <v>496</v>
      </c>
      <c r="D153" s="170" t="s">
        <v>497</v>
      </c>
      <c r="E153" s="2576">
        <v>8</v>
      </c>
      <c r="F153" s="2880"/>
      <c r="G153" s="2559">
        <v>47000</v>
      </c>
      <c r="H153" s="2560">
        <f t="shared" ref="H153" si="33">(36040*6%)+36040</f>
        <v>38202.400000000001</v>
      </c>
      <c r="I153" s="2559">
        <f t="shared" si="28"/>
        <v>376000</v>
      </c>
      <c r="J153" s="2560"/>
      <c r="K153" s="279"/>
      <c r="L153" s="7" t="s">
        <v>1528</v>
      </c>
      <c r="M153" s="8"/>
      <c r="N153" s="8"/>
      <c r="O153" s="8"/>
      <c r="P153" s="4"/>
      <c r="Q153" s="5"/>
      <c r="R153" s="9"/>
      <c r="S153" s="45"/>
      <c r="T153" s="45"/>
      <c r="U153" s="45"/>
      <c r="V153" s="2839" t="s">
        <v>1019</v>
      </c>
      <c r="W153" s="2840"/>
      <c r="X153" s="197"/>
      <c r="Y153" s="170"/>
      <c r="Z153" s="2576"/>
      <c r="AA153" s="2880"/>
      <c r="AB153" s="2576"/>
      <c r="AC153" s="2880"/>
      <c r="AD153" s="2559">
        <f>Z153*AB153</f>
        <v>0</v>
      </c>
      <c r="AE153" s="2560"/>
      <c r="AF153" s="279"/>
      <c r="AG153" s="7" t="s">
        <v>1528</v>
      </c>
      <c r="AH153" s="45"/>
      <c r="AI153" s="45"/>
      <c r="AJ153" s="45"/>
      <c r="AK153" s="45"/>
      <c r="AL153" s="45"/>
      <c r="AM153" s="45"/>
      <c r="AN153" s="45"/>
      <c r="AO153" s="45"/>
    </row>
    <row r="154" spans="1:41" ht="15.95" customHeight="1" x14ac:dyDescent="0.3">
      <c r="A154" s="2839" t="s">
        <v>1020</v>
      </c>
      <c r="B154" s="2840"/>
      <c r="C154" s="187"/>
      <c r="D154" s="170"/>
      <c r="E154" s="2576"/>
      <c r="F154" s="2880"/>
      <c r="G154" s="2559"/>
      <c r="H154" s="2560"/>
      <c r="I154" s="2559">
        <f t="shared" si="28"/>
        <v>0</v>
      </c>
      <c r="J154" s="2560"/>
      <c r="K154" s="279"/>
      <c r="L154" s="597" t="s">
        <v>1583</v>
      </c>
      <c r="M154" s="266"/>
      <c r="N154" s="266"/>
      <c r="O154" s="266"/>
      <c r="P154" s="266"/>
      <c r="Q154" s="1783"/>
      <c r="R154" s="266"/>
      <c r="S154" s="266"/>
      <c r="T154" s="45"/>
      <c r="U154" s="45"/>
      <c r="V154" s="2839" t="s">
        <v>1020</v>
      </c>
      <c r="W154" s="2840"/>
      <c r="X154" s="197"/>
      <c r="Y154" s="170"/>
      <c r="Z154" s="2576"/>
      <c r="AA154" s="2880"/>
      <c r="AB154" s="2576"/>
      <c r="AC154" s="2880"/>
      <c r="AD154" s="2559">
        <f>Z154*AB154</f>
        <v>0</v>
      </c>
      <c r="AE154" s="2560"/>
      <c r="AF154" s="279"/>
      <c r="AG154" s="597" t="s">
        <v>1584</v>
      </c>
      <c r="AH154" s="266"/>
      <c r="AI154" s="266"/>
      <c r="AJ154" s="266"/>
      <c r="AK154" s="266"/>
      <c r="AL154" s="1783"/>
      <c r="AM154" s="266"/>
      <c r="AN154" s="266"/>
      <c r="AO154" s="45"/>
    </row>
    <row r="155" spans="1:41" ht="15.95" customHeight="1" x14ac:dyDescent="0.3">
      <c r="A155" s="2839" t="s">
        <v>1021</v>
      </c>
      <c r="B155" s="2840"/>
      <c r="C155" s="187"/>
      <c r="D155" s="170"/>
      <c r="E155" s="2576"/>
      <c r="F155" s="2880"/>
      <c r="G155" s="2559"/>
      <c r="H155" s="2560"/>
      <c r="I155" s="2559">
        <f t="shared" si="28"/>
        <v>0</v>
      </c>
      <c r="J155" s="2560"/>
      <c r="K155" s="279"/>
      <c r="L155" s="45"/>
      <c r="M155" s="206"/>
      <c r="N155" s="206"/>
      <c r="O155" s="206"/>
      <c r="P155" s="206"/>
      <c r="Q155" s="107"/>
      <c r="R155" s="44"/>
      <c r="S155" s="45"/>
      <c r="T155" s="45"/>
      <c r="U155" s="45"/>
      <c r="V155" s="2839" t="s">
        <v>1021</v>
      </c>
      <c r="W155" s="2840"/>
      <c r="X155" s="197"/>
      <c r="Y155" s="170"/>
      <c r="Z155" s="2576"/>
      <c r="AA155" s="2880"/>
      <c r="AB155" s="2576"/>
      <c r="AC155" s="2880"/>
      <c r="AD155" s="2559">
        <f>Z155*AB155</f>
        <v>0</v>
      </c>
      <c r="AE155" s="2560"/>
      <c r="AF155" s="279"/>
      <c r="AG155" s="45"/>
      <c r="AH155" s="2834"/>
      <c r="AI155" s="2834"/>
      <c r="AJ155" s="2834"/>
      <c r="AK155" s="2834"/>
      <c r="AL155" s="272"/>
      <c r="AM155" s="44"/>
      <c r="AN155" s="45"/>
      <c r="AO155" s="45"/>
    </row>
    <row r="156" spans="1:41" ht="15.95" customHeight="1" x14ac:dyDescent="0.2">
      <c r="A156" s="2839" t="s">
        <v>1022</v>
      </c>
      <c r="B156" s="2840"/>
      <c r="C156" s="170" t="s">
        <v>496</v>
      </c>
      <c r="D156" s="170" t="s">
        <v>497</v>
      </c>
      <c r="E156" s="2559">
        <v>6</v>
      </c>
      <c r="F156" s="2560"/>
      <c r="G156" s="2559">
        <v>47000</v>
      </c>
      <c r="H156" s="2560">
        <f t="shared" ref="H156:H157" si="34">(36040*6%)+36040</f>
        <v>38202.400000000001</v>
      </c>
      <c r="I156" s="2559">
        <f t="shared" si="28"/>
        <v>282000</v>
      </c>
      <c r="J156" s="2560"/>
      <c r="K156" s="279"/>
      <c r="L156" s="45"/>
      <c r="M156" s="206"/>
      <c r="N156" s="206"/>
      <c r="O156" s="206"/>
      <c r="P156" s="206"/>
      <c r="Q156" s="107"/>
      <c r="R156" s="44"/>
      <c r="S156" s="45"/>
      <c r="T156" s="45"/>
      <c r="U156" s="45"/>
      <c r="V156" s="2839" t="s">
        <v>1022</v>
      </c>
      <c r="W156" s="2840"/>
      <c r="X156" s="120" t="s">
        <v>496</v>
      </c>
      <c r="Y156" s="170" t="s">
        <v>497</v>
      </c>
      <c r="Z156" s="2559">
        <v>6</v>
      </c>
      <c r="AA156" s="2560"/>
      <c r="AB156" s="2921">
        <v>47000</v>
      </c>
      <c r="AC156" s="2922">
        <f t="shared" ref="AC156" si="35">(36040*6%)+36040</f>
        <v>38202.400000000001</v>
      </c>
      <c r="AD156" s="2559">
        <f>Z156*AB156</f>
        <v>282000</v>
      </c>
      <c r="AE156" s="2560"/>
      <c r="AF156" s="279"/>
      <c r="AG156" s="45"/>
      <c r="AH156" s="206"/>
      <c r="AI156" s="206"/>
      <c r="AJ156" s="206"/>
      <c r="AK156" s="206"/>
      <c r="AL156" s="107"/>
      <c r="AM156" s="44"/>
      <c r="AN156" s="45"/>
      <c r="AO156" s="45"/>
    </row>
    <row r="157" spans="1:41" ht="15.95" customHeight="1" x14ac:dyDescent="0.3">
      <c r="A157" s="2839" t="s">
        <v>881</v>
      </c>
      <c r="B157" s="2840"/>
      <c r="C157" s="170" t="s">
        <v>496</v>
      </c>
      <c r="D157" s="170" t="s">
        <v>497</v>
      </c>
      <c r="E157" s="2559">
        <v>5</v>
      </c>
      <c r="F157" s="2560"/>
      <c r="G157" s="2559">
        <v>47000</v>
      </c>
      <c r="H157" s="2560">
        <f t="shared" si="34"/>
        <v>38202.400000000001</v>
      </c>
      <c r="I157" s="2559">
        <f t="shared" si="28"/>
        <v>235000</v>
      </c>
      <c r="J157" s="2560"/>
      <c r="K157" s="279"/>
      <c r="L157" s="45"/>
      <c r="M157" s="2834"/>
      <c r="N157" s="2834"/>
      <c r="O157" s="2834"/>
      <c r="P157" s="2834"/>
      <c r="Q157" s="107"/>
      <c r="R157" s="45"/>
      <c r="S157" s="44"/>
      <c r="T157" s="45"/>
      <c r="U157" s="45"/>
      <c r="V157" s="2839" t="s">
        <v>881</v>
      </c>
      <c r="W157" s="2840"/>
      <c r="X157" s="120"/>
      <c r="Y157" s="170"/>
      <c r="Z157" s="2559"/>
      <c r="AA157" s="2560"/>
      <c r="AB157" s="2559"/>
      <c r="AC157" s="2880"/>
      <c r="AD157" s="2559">
        <f>+AB157*Z157</f>
        <v>0</v>
      </c>
      <c r="AE157" s="2560"/>
      <c r="AF157" s="279"/>
      <c r="AG157" s="45"/>
      <c r="AH157" s="206"/>
      <c r="AI157" s="206"/>
      <c r="AJ157" s="206"/>
      <c r="AK157" s="206"/>
      <c r="AL157" s="107"/>
      <c r="AM157" s="45"/>
      <c r="AN157" s="44"/>
      <c r="AO157" s="45"/>
    </row>
    <row r="158" spans="1:41" ht="15.95" customHeight="1" x14ac:dyDescent="0.3">
      <c r="A158" s="2839" t="s">
        <v>882</v>
      </c>
      <c r="B158" s="2840"/>
      <c r="C158" s="170"/>
      <c r="D158" s="170"/>
      <c r="E158" s="2576"/>
      <c r="F158" s="2880"/>
      <c r="G158" s="2576"/>
      <c r="H158" s="2880"/>
      <c r="I158" s="2559">
        <f t="shared" si="28"/>
        <v>0</v>
      </c>
      <c r="J158" s="2560"/>
      <c r="K158" s="279"/>
      <c r="L158" s="45"/>
      <c r="M158" s="2834"/>
      <c r="N158" s="2834"/>
      <c r="O158" s="2834"/>
      <c r="P158" s="2834"/>
      <c r="Q158" s="107"/>
      <c r="R158" s="44"/>
      <c r="S158" s="45"/>
      <c r="T158" s="45"/>
      <c r="U158" s="45"/>
      <c r="V158" s="2839" t="s">
        <v>882</v>
      </c>
      <c r="W158" s="2840"/>
      <c r="X158" s="120"/>
      <c r="Y158" s="170"/>
      <c r="Z158" s="2576"/>
      <c r="AA158" s="2880"/>
      <c r="AB158" s="2559"/>
      <c r="AC158" s="2880"/>
      <c r="AD158" s="2559">
        <f>+AB158*Z158</f>
        <v>0</v>
      </c>
      <c r="AE158" s="2560"/>
      <c r="AF158" s="279"/>
      <c r="AG158" s="45"/>
      <c r="AH158" s="2834"/>
      <c r="AI158" s="2834"/>
      <c r="AJ158" s="2834"/>
      <c r="AK158" s="2834"/>
      <c r="AL158" s="107"/>
      <c r="AM158" s="44"/>
      <c r="AN158" s="45"/>
      <c r="AO158" s="45"/>
    </row>
    <row r="159" spans="1:41" ht="15.95" customHeight="1" x14ac:dyDescent="0.3">
      <c r="A159" s="2911" t="s">
        <v>1023</v>
      </c>
      <c r="B159" s="2912"/>
      <c r="C159" s="187"/>
      <c r="D159" s="170"/>
      <c r="E159" s="2576"/>
      <c r="F159" s="2880"/>
      <c r="G159" s="2576"/>
      <c r="H159" s="2880"/>
      <c r="I159" s="2565">
        <f>SUM(I160:J165)</f>
        <v>437120</v>
      </c>
      <c r="J159" s="2566"/>
      <c r="K159" s="279"/>
      <c r="L159" s="45"/>
      <c r="M159" s="2834"/>
      <c r="N159" s="2834"/>
      <c r="O159" s="2834"/>
      <c r="P159" s="2834"/>
      <c r="Q159" s="273"/>
      <c r="R159" s="44"/>
      <c r="S159" s="45"/>
      <c r="T159" s="45"/>
      <c r="U159" s="45"/>
      <c r="V159" s="2911" t="s">
        <v>1023</v>
      </c>
      <c r="W159" s="2912"/>
      <c r="X159" s="197"/>
      <c r="Y159" s="170"/>
      <c r="Z159" s="2576"/>
      <c r="AA159" s="2880"/>
      <c r="AB159" s="2576"/>
      <c r="AC159" s="2880"/>
      <c r="AD159" s="2565">
        <f>SUM(AD160:AE165)</f>
        <v>3079151.47328</v>
      </c>
      <c r="AE159" s="2566"/>
      <c r="AF159" s="279"/>
      <c r="AG159" s="45"/>
      <c r="AH159" s="2834"/>
      <c r="AI159" s="2834"/>
      <c r="AJ159" s="2834"/>
      <c r="AK159" s="2834"/>
      <c r="AL159" s="107"/>
      <c r="AM159" s="44"/>
      <c r="AN159" s="45"/>
      <c r="AO159" s="45"/>
    </row>
    <row r="160" spans="1:41" ht="15.95" customHeight="1" x14ac:dyDescent="0.3">
      <c r="A160" s="2839" t="s">
        <v>884</v>
      </c>
      <c r="B160" s="2840"/>
      <c r="C160" s="170"/>
      <c r="D160" s="170"/>
      <c r="E160" s="2576"/>
      <c r="F160" s="2880"/>
      <c r="G160" s="2576"/>
      <c r="H160" s="2880"/>
      <c r="I160" s="2559">
        <f>E160*G160</f>
        <v>0</v>
      </c>
      <c r="J160" s="2560"/>
      <c r="K160" s="279"/>
      <c r="L160" s="45"/>
      <c r="M160" s="45"/>
      <c r="N160" s="45"/>
      <c r="O160" s="45"/>
      <c r="P160" s="45"/>
      <c r="Q160" s="45"/>
      <c r="R160" s="44"/>
      <c r="S160" s="45"/>
      <c r="T160" s="45"/>
      <c r="U160" s="45"/>
      <c r="V160" s="2839" t="s">
        <v>884</v>
      </c>
      <c r="W160" s="2840"/>
      <c r="X160" s="120" t="s">
        <v>496</v>
      </c>
      <c r="Y160" s="170" t="s">
        <v>497</v>
      </c>
      <c r="Z160" s="2576">
        <v>25</v>
      </c>
      <c r="AA160" s="2880"/>
      <c r="AB160" s="2921">
        <v>47000</v>
      </c>
      <c r="AC160" s="2922">
        <f t="shared" ref="AC160:AC163" si="36">(36040*6%)+36040</f>
        <v>38202.400000000001</v>
      </c>
      <c r="AD160" s="2559">
        <f>Z160*AB160</f>
        <v>1175000</v>
      </c>
      <c r="AE160" s="2560"/>
      <c r="AF160" s="279"/>
      <c r="AG160" s="45"/>
      <c r="AH160" s="2834"/>
      <c r="AI160" s="2834"/>
      <c r="AJ160" s="2834"/>
      <c r="AK160" s="2834"/>
      <c r="AL160" s="273"/>
      <c r="AM160" s="44"/>
      <c r="AN160" s="45"/>
      <c r="AO160" s="45"/>
    </row>
    <row r="161" spans="1:41" ht="15.95" customHeight="1" x14ac:dyDescent="0.3">
      <c r="A161" s="2839" t="s">
        <v>1024</v>
      </c>
      <c r="B161" s="2840"/>
      <c r="C161" s="187"/>
      <c r="D161" s="170"/>
      <c r="E161" s="2576"/>
      <c r="F161" s="2880"/>
      <c r="G161" s="2576"/>
      <c r="H161" s="2880"/>
      <c r="I161" s="2559">
        <f>E161*G161</f>
        <v>0</v>
      </c>
      <c r="J161" s="2560"/>
      <c r="K161" s="279"/>
      <c r="L161" s="45"/>
      <c r="M161" s="44"/>
      <c r="N161" s="45"/>
      <c r="O161" s="45"/>
      <c r="P161" s="45"/>
      <c r="Q161" s="45"/>
      <c r="R161" s="45"/>
      <c r="S161" s="45"/>
      <c r="T161" s="45"/>
      <c r="U161" s="45"/>
      <c r="V161" s="2839" t="s">
        <v>1024</v>
      </c>
      <c r="W161" s="2840"/>
      <c r="X161" s="120" t="s">
        <v>496</v>
      </c>
      <c r="Y161" s="170" t="s">
        <v>497</v>
      </c>
      <c r="Z161" s="2576">
        <v>4</v>
      </c>
      <c r="AA161" s="2880"/>
      <c r="AB161" s="2921">
        <v>47000</v>
      </c>
      <c r="AC161" s="2922">
        <f t="shared" si="36"/>
        <v>38202.400000000001</v>
      </c>
      <c r="AD161" s="2559">
        <f>Z161*AB161</f>
        <v>188000</v>
      </c>
      <c r="AE161" s="2560"/>
      <c r="AF161" s="279"/>
      <c r="AG161" s="45"/>
      <c r="AH161" s="45"/>
      <c r="AI161" s="45"/>
      <c r="AJ161" s="45"/>
      <c r="AK161" s="45"/>
      <c r="AL161" s="45"/>
      <c r="AM161" s="45"/>
      <c r="AN161" s="45"/>
      <c r="AO161" s="45"/>
    </row>
    <row r="162" spans="1:41" ht="15.95" customHeight="1" x14ac:dyDescent="0.3">
      <c r="A162" s="2839" t="s">
        <v>893</v>
      </c>
      <c r="B162" s="2840"/>
      <c r="C162" s="187"/>
      <c r="D162" s="170"/>
      <c r="E162" s="2576"/>
      <c r="F162" s="2880"/>
      <c r="G162" s="2576"/>
      <c r="H162" s="2880"/>
      <c r="I162" s="2559">
        <f>E162*G162</f>
        <v>0</v>
      </c>
      <c r="J162" s="2560"/>
      <c r="K162" s="279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2839" t="s">
        <v>893</v>
      </c>
      <c r="W162" s="2840"/>
      <c r="X162" s="120" t="s">
        <v>496</v>
      </c>
      <c r="Y162" s="170" t="s">
        <v>497</v>
      </c>
      <c r="Z162" s="2576">
        <v>5</v>
      </c>
      <c r="AA162" s="2880"/>
      <c r="AB162" s="2921">
        <v>47000</v>
      </c>
      <c r="AC162" s="2922">
        <f t="shared" si="36"/>
        <v>38202.400000000001</v>
      </c>
      <c r="AD162" s="2559">
        <f>Z162*AB162</f>
        <v>235000</v>
      </c>
      <c r="AE162" s="2560"/>
      <c r="AF162" s="279"/>
      <c r="AG162" s="45"/>
      <c r="AH162" s="45"/>
      <c r="AI162" s="45"/>
      <c r="AJ162" s="45"/>
      <c r="AK162" s="45"/>
      <c r="AL162" s="45"/>
      <c r="AM162" s="45"/>
      <c r="AN162" s="45"/>
      <c r="AO162" s="45"/>
    </row>
    <row r="163" spans="1:41" ht="15.95" customHeight="1" x14ac:dyDescent="0.3">
      <c r="A163" s="2839" t="s">
        <v>728</v>
      </c>
      <c r="B163" s="2840"/>
      <c r="C163" s="187"/>
      <c r="D163" s="170"/>
      <c r="E163" s="2576"/>
      <c r="F163" s="2880"/>
      <c r="G163" s="2576"/>
      <c r="H163" s="2880"/>
      <c r="I163" s="2559">
        <f>E163*G163</f>
        <v>0</v>
      </c>
      <c r="J163" s="2560"/>
      <c r="K163" s="279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196" t="s">
        <v>728</v>
      </c>
      <c r="W163" s="198"/>
      <c r="X163" s="120" t="s">
        <v>496</v>
      </c>
      <c r="Y163" s="170" t="s">
        <v>497</v>
      </c>
      <c r="Z163" s="2576">
        <v>4</v>
      </c>
      <c r="AA163" s="2577"/>
      <c r="AB163" s="2921">
        <v>47000</v>
      </c>
      <c r="AC163" s="2922">
        <f t="shared" si="36"/>
        <v>38202.400000000001</v>
      </c>
      <c r="AD163" s="2559">
        <f>Z163*AB163</f>
        <v>188000</v>
      </c>
      <c r="AE163" s="2560"/>
      <c r="AF163" s="279"/>
      <c r="AG163" s="45"/>
      <c r="AH163" s="45"/>
      <c r="AI163" s="45"/>
      <c r="AJ163" s="45"/>
      <c r="AK163" s="45"/>
      <c r="AL163" s="45"/>
      <c r="AM163" s="45"/>
      <c r="AN163" s="45"/>
      <c r="AO163" s="45"/>
    </row>
    <row r="164" spans="1:41" ht="15.95" customHeight="1" x14ac:dyDescent="0.3">
      <c r="A164" s="2839" t="s">
        <v>765</v>
      </c>
      <c r="B164" s="2840"/>
      <c r="C164" s="187"/>
      <c r="D164" s="170" t="s">
        <v>794</v>
      </c>
      <c r="E164" s="2576"/>
      <c r="F164" s="2880"/>
      <c r="G164" s="2576"/>
      <c r="H164" s="2880"/>
      <c r="I164" s="2559">
        <f>400000*1.0928</f>
        <v>437120</v>
      </c>
      <c r="J164" s="2560"/>
      <c r="K164" s="279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2839" t="s">
        <v>765</v>
      </c>
      <c r="W164" s="2840"/>
      <c r="X164" s="197"/>
      <c r="Y164" s="170" t="s">
        <v>794</v>
      </c>
      <c r="Z164" s="2576"/>
      <c r="AA164" s="2880"/>
      <c r="AB164" s="2576"/>
      <c r="AC164" s="2880"/>
      <c r="AD164" s="2559">
        <v>250000</v>
      </c>
      <c r="AE164" s="2560"/>
      <c r="AF164" s="279"/>
      <c r="AG164" s="45"/>
      <c r="AH164" s="45"/>
      <c r="AI164" s="45"/>
      <c r="AJ164" s="45"/>
      <c r="AK164" s="45"/>
      <c r="AL164" s="45"/>
      <c r="AM164" s="45"/>
      <c r="AN164" s="45"/>
      <c r="AO164" s="45"/>
    </row>
    <row r="165" spans="1:41" ht="15.95" customHeight="1" x14ac:dyDescent="0.3">
      <c r="A165" s="2839" t="s">
        <v>615</v>
      </c>
      <c r="B165" s="2840"/>
      <c r="C165" s="187"/>
      <c r="D165" s="170"/>
      <c r="E165" s="2576"/>
      <c r="F165" s="2880"/>
      <c r="G165" s="2576"/>
      <c r="H165" s="2880"/>
      <c r="I165" s="2559">
        <f>E165*G165</f>
        <v>0</v>
      </c>
      <c r="J165" s="2560"/>
      <c r="K165" s="279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2839" t="s">
        <v>615</v>
      </c>
      <c r="W165" s="2840"/>
      <c r="X165" s="120" t="s">
        <v>763</v>
      </c>
      <c r="Y165" s="170" t="s">
        <v>556</v>
      </c>
      <c r="Z165" s="2576">
        <v>8.4</v>
      </c>
      <c r="AA165" s="2880"/>
      <c r="AB165" s="2559">
        <f>113639*1.0928</f>
        <v>124184.6992</v>
      </c>
      <c r="AC165" s="2918"/>
      <c r="AD165" s="2559">
        <f>Z165*AB165</f>
        <v>1043151.47328</v>
      </c>
      <c r="AE165" s="2560"/>
      <c r="AF165" s="279"/>
      <c r="AG165" s="45"/>
      <c r="AH165" s="45"/>
      <c r="AI165" s="45"/>
      <c r="AJ165" s="45"/>
      <c r="AK165" s="45"/>
      <c r="AL165" s="45"/>
      <c r="AM165" s="45"/>
      <c r="AN165" s="45"/>
      <c r="AO165" s="45"/>
    </row>
    <row r="166" spans="1:41" ht="15.95" customHeight="1" thickBot="1" x14ac:dyDescent="0.25">
      <c r="A166" s="208" t="s">
        <v>558</v>
      </c>
      <c r="B166" s="209"/>
      <c r="C166" s="210"/>
      <c r="D166" s="211"/>
      <c r="E166" s="2561">
        <f>SUM(E130:E157)</f>
        <v>103</v>
      </c>
      <c r="F166" s="2562"/>
      <c r="G166" s="2563"/>
      <c r="H166" s="2564"/>
      <c r="I166" s="2561">
        <f>SUM(I159+I140+I129+I125+I122)</f>
        <v>5278120</v>
      </c>
      <c r="J166" s="2562"/>
      <c r="K166" s="279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208" t="s">
        <v>558</v>
      </c>
      <c r="W166" s="209"/>
      <c r="X166" s="210"/>
      <c r="Y166" s="211"/>
      <c r="Z166" s="2561">
        <f>SUM(Z124:AA163)</f>
        <v>76</v>
      </c>
      <c r="AA166" s="2562"/>
      <c r="AB166" s="2563"/>
      <c r="AC166" s="2564"/>
      <c r="AD166" s="2561">
        <f>SUM(AD159+AD140+AD129+AD125+AD122)</f>
        <v>4865151.4732799996</v>
      </c>
      <c r="AE166" s="2562"/>
      <c r="AF166" s="279"/>
      <c r="AG166" s="45"/>
      <c r="AH166" s="45"/>
      <c r="AI166" s="45"/>
      <c r="AJ166" s="45"/>
      <c r="AK166" s="45"/>
      <c r="AL166" s="45"/>
      <c r="AM166" s="45"/>
      <c r="AN166" s="45"/>
      <c r="AO166" s="45"/>
    </row>
    <row r="167" spans="1:41" ht="15.95" customHeight="1" x14ac:dyDescent="0.2">
      <c r="A167" s="45"/>
      <c r="B167" s="45"/>
      <c r="C167" s="45"/>
      <c r="D167" s="45"/>
      <c r="E167" s="45"/>
      <c r="F167" s="45"/>
      <c r="G167" s="45"/>
      <c r="H167" s="26"/>
      <c r="I167" s="126"/>
      <c r="J167" s="126"/>
      <c r="K167" s="279"/>
      <c r="L167" s="45"/>
      <c r="M167" s="45"/>
      <c r="N167" s="45"/>
      <c r="O167" s="45"/>
      <c r="P167" s="45"/>
      <c r="Q167" s="45"/>
      <c r="R167" s="45"/>
      <c r="S167" s="276"/>
      <c r="T167" s="276"/>
      <c r="U167" s="276"/>
      <c r="V167" s="45"/>
      <c r="W167" s="45"/>
      <c r="X167" s="45"/>
      <c r="Y167" s="45"/>
      <c r="Z167" s="45"/>
      <c r="AA167" s="45"/>
      <c r="AB167" s="45"/>
      <c r="AC167" s="274"/>
      <c r="AD167" s="275"/>
      <c r="AE167" s="275"/>
      <c r="AF167" s="286"/>
      <c r="AG167" s="45"/>
      <c r="AH167" s="45"/>
      <c r="AI167" s="45"/>
      <c r="AJ167" s="45"/>
      <c r="AK167" s="45"/>
      <c r="AL167" s="45"/>
      <c r="AM167" s="45"/>
      <c r="AN167" s="276"/>
      <c r="AO167" s="276"/>
    </row>
    <row r="168" spans="1:41" ht="15.95" customHeight="1" x14ac:dyDescent="0.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2909"/>
      <c r="T168" s="2909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2909"/>
      <c r="AO168" s="2909"/>
    </row>
    <row r="169" spans="1:41" ht="15.95" customHeight="1" x14ac:dyDescent="0.2">
      <c r="A169" s="2654"/>
      <c r="B169" s="2654"/>
      <c r="C169" s="2654"/>
      <c r="D169" s="2654"/>
      <c r="E169" s="2654"/>
      <c r="F169" s="2654"/>
      <c r="G169" s="2654"/>
      <c r="H169" s="2654"/>
      <c r="I169" s="2654"/>
      <c r="J169" s="2654"/>
      <c r="K169" s="2654"/>
      <c r="L169" s="2654"/>
      <c r="M169" s="2654"/>
      <c r="N169" s="2654"/>
      <c r="O169" s="2654"/>
      <c r="P169" s="2654"/>
      <c r="Q169" s="2654"/>
      <c r="R169" s="2654"/>
      <c r="S169" s="2654"/>
      <c r="T169" s="2654"/>
      <c r="U169" s="2654"/>
      <c r="V169" s="2654"/>
      <c r="W169" s="2654"/>
      <c r="X169" s="2654"/>
      <c r="Y169" s="2654"/>
      <c r="Z169" s="2654"/>
      <c r="AA169" s="2654"/>
      <c r="AB169" s="2654"/>
      <c r="AC169" s="2654"/>
      <c r="AD169" s="2654"/>
      <c r="AE169" s="2654"/>
      <c r="AF169" s="2654"/>
      <c r="AG169" s="2654"/>
      <c r="AH169" s="2654"/>
      <c r="AI169" s="2654"/>
      <c r="AJ169" s="2654"/>
      <c r="AK169" s="2654"/>
      <c r="AL169" s="2654"/>
      <c r="AM169" s="2654"/>
      <c r="AN169" s="2654"/>
      <c r="AO169" s="2654"/>
    </row>
    <row r="170" spans="1:41" ht="15.95" customHeight="1" x14ac:dyDescent="0.2">
      <c r="A170" s="277"/>
      <c r="B170" s="277"/>
      <c r="C170" s="277"/>
      <c r="D170" s="278"/>
      <c r="E170" s="275"/>
      <c r="F170" s="275"/>
      <c r="G170" s="274"/>
      <c r="H170" s="274"/>
      <c r="I170" s="275"/>
      <c r="J170" s="275"/>
      <c r="K170" s="28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7"/>
      <c r="W170" s="277"/>
      <c r="X170" s="277"/>
      <c r="Y170" s="278"/>
      <c r="Z170" s="275"/>
      <c r="AA170" s="275"/>
      <c r="AB170" s="274"/>
      <c r="AC170" s="274"/>
      <c r="AD170" s="275"/>
      <c r="AE170" s="275"/>
      <c r="AF170" s="286"/>
      <c r="AG170" s="276"/>
      <c r="AH170" s="276"/>
      <c r="AI170" s="276"/>
      <c r="AJ170" s="276"/>
      <c r="AK170" s="276"/>
      <c r="AL170" s="276"/>
      <c r="AM170" s="276"/>
      <c r="AN170" s="276"/>
      <c r="AO170" s="276"/>
    </row>
    <row r="171" spans="1:41" ht="15.95" customHeight="1" x14ac:dyDescent="0.2">
      <c r="A171" s="2611" t="s">
        <v>1950</v>
      </c>
      <c r="B171" s="2611"/>
      <c r="C171" s="2611"/>
      <c r="D171" s="2611"/>
      <c r="E171" s="2611"/>
      <c r="F171" s="2611"/>
      <c r="G171" s="2611"/>
      <c r="H171" s="2611"/>
      <c r="I171" s="2611"/>
      <c r="J171" s="2611"/>
      <c r="K171" s="2611"/>
      <c r="L171" s="2611"/>
      <c r="M171" s="2611"/>
      <c r="N171" s="2611"/>
      <c r="O171" s="2611"/>
      <c r="P171" s="2611"/>
      <c r="Q171" s="2611"/>
      <c r="R171" s="2611"/>
      <c r="S171" s="2611"/>
      <c r="T171" s="2611"/>
      <c r="U171" s="47"/>
      <c r="V171" s="2611" t="s">
        <v>1951</v>
      </c>
      <c r="W171" s="2611"/>
      <c r="X171" s="2611"/>
      <c r="Y171" s="2611"/>
      <c r="Z171" s="2611"/>
      <c r="AA171" s="2611"/>
      <c r="AB171" s="2611"/>
      <c r="AC171" s="2611"/>
      <c r="AD171" s="2611"/>
      <c r="AE171" s="2611"/>
      <c r="AF171" s="2611"/>
      <c r="AG171" s="2611"/>
      <c r="AH171" s="2611"/>
      <c r="AI171" s="2611"/>
      <c r="AJ171" s="2611"/>
      <c r="AK171" s="2611"/>
      <c r="AL171" s="2611"/>
      <c r="AM171" s="2611"/>
      <c r="AN171" s="2611"/>
      <c r="AO171" s="2611"/>
    </row>
    <row r="172" spans="1:41" ht="15.95" customHeight="1" thickBot="1" x14ac:dyDescent="0.25">
      <c r="A172" s="2611"/>
      <c r="B172" s="2611"/>
      <c r="C172" s="2611"/>
      <c r="D172" s="2611"/>
      <c r="E172" s="2611"/>
      <c r="F172" s="2611"/>
      <c r="G172" s="2611"/>
      <c r="H172" s="2611"/>
      <c r="I172" s="2611"/>
      <c r="J172" s="2611"/>
      <c r="K172" s="2611"/>
      <c r="L172" s="2611"/>
      <c r="M172" s="2611"/>
      <c r="N172" s="2611"/>
      <c r="O172" s="2611"/>
      <c r="P172" s="2611"/>
      <c r="Q172" s="2611"/>
      <c r="R172" s="2611"/>
      <c r="S172" s="2611"/>
      <c r="T172" s="2611"/>
      <c r="U172" s="279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</row>
    <row r="173" spans="1:41" ht="15.95" customHeight="1" x14ac:dyDescent="0.3">
      <c r="A173" s="2618" t="s">
        <v>435</v>
      </c>
      <c r="B173" s="2620"/>
      <c r="C173" s="2618" t="s">
        <v>436</v>
      </c>
      <c r="D173" s="2619"/>
      <c r="E173" s="2619"/>
      <c r="F173" s="2620"/>
      <c r="G173" s="2618" t="s">
        <v>437</v>
      </c>
      <c r="H173" s="2620"/>
      <c r="I173" s="2618" t="s">
        <v>438</v>
      </c>
      <c r="J173" s="2620"/>
      <c r="K173" s="45"/>
      <c r="L173" s="2633" t="s">
        <v>435</v>
      </c>
      <c r="M173" s="2618" t="s">
        <v>436</v>
      </c>
      <c r="N173" s="2619"/>
      <c r="O173" s="2619"/>
      <c r="P173" s="2620"/>
      <c r="Q173" s="2618" t="s">
        <v>437</v>
      </c>
      <c r="R173" s="2620"/>
      <c r="S173" s="2618"/>
      <c r="T173" s="2620"/>
      <c r="U173" s="268"/>
      <c r="V173" s="2618" t="s">
        <v>435</v>
      </c>
      <c r="W173" s="2620"/>
      <c r="X173" s="2618" t="s">
        <v>436</v>
      </c>
      <c r="Y173" s="2619"/>
      <c r="Z173" s="2619"/>
      <c r="AA173" s="2620"/>
      <c r="AB173" s="2618" t="s">
        <v>437</v>
      </c>
      <c r="AC173" s="2620"/>
      <c r="AD173" s="2618" t="s">
        <v>438</v>
      </c>
      <c r="AE173" s="2620"/>
      <c r="AF173" s="45"/>
      <c r="AG173" s="2633" t="s">
        <v>435</v>
      </c>
      <c r="AH173" s="2618" t="s">
        <v>436</v>
      </c>
      <c r="AI173" s="2619"/>
      <c r="AJ173" s="2619"/>
      <c r="AK173" s="2620"/>
      <c r="AL173" s="2618" t="s">
        <v>437</v>
      </c>
      <c r="AM173" s="2620"/>
      <c r="AN173" s="2618"/>
      <c r="AO173" s="2900"/>
    </row>
    <row r="174" spans="1:41" ht="15.95" customHeight="1" thickBot="1" x14ac:dyDescent="0.35">
      <c r="A174" s="2631"/>
      <c r="B174" s="2632"/>
      <c r="C174" s="2621"/>
      <c r="D174" s="2622"/>
      <c r="E174" s="2622"/>
      <c r="F174" s="2623"/>
      <c r="G174" s="2631" t="s">
        <v>440</v>
      </c>
      <c r="H174" s="2632"/>
      <c r="I174" s="2631"/>
      <c r="J174" s="2632"/>
      <c r="K174" s="45"/>
      <c r="L174" s="2670"/>
      <c r="M174" s="2621"/>
      <c r="N174" s="2622"/>
      <c r="O174" s="2622"/>
      <c r="P174" s="2623"/>
      <c r="Q174" s="2631" t="s">
        <v>440</v>
      </c>
      <c r="R174" s="2632"/>
      <c r="S174" s="2631" t="s">
        <v>274</v>
      </c>
      <c r="T174" s="2632"/>
      <c r="U174" s="268"/>
      <c r="V174" s="2631"/>
      <c r="W174" s="2632"/>
      <c r="X174" s="2621"/>
      <c r="Y174" s="2622"/>
      <c r="Z174" s="2622"/>
      <c r="AA174" s="2623"/>
      <c r="AB174" s="2631" t="s">
        <v>440</v>
      </c>
      <c r="AC174" s="2632"/>
      <c r="AD174" s="2631"/>
      <c r="AE174" s="2632"/>
      <c r="AF174" s="45"/>
      <c r="AG174" s="2670"/>
      <c r="AH174" s="2621"/>
      <c r="AI174" s="2622"/>
      <c r="AJ174" s="2622"/>
      <c r="AK174" s="2623"/>
      <c r="AL174" s="2631" t="s">
        <v>440</v>
      </c>
      <c r="AM174" s="2632"/>
      <c r="AN174" s="2631" t="s">
        <v>274</v>
      </c>
      <c r="AO174" s="2880"/>
    </row>
    <row r="175" spans="1:41" ht="15.95" customHeight="1" x14ac:dyDescent="0.3">
      <c r="A175" s="2631"/>
      <c r="B175" s="2632"/>
      <c r="C175" s="53" t="s">
        <v>441</v>
      </c>
      <c r="D175" s="2670" t="s">
        <v>442</v>
      </c>
      <c r="E175" s="2631" t="s">
        <v>443</v>
      </c>
      <c r="F175" s="2632"/>
      <c r="G175" s="2631" t="s">
        <v>444</v>
      </c>
      <c r="H175" s="2632"/>
      <c r="I175" s="2631" t="s">
        <v>348</v>
      </c>
      <c r="J175" s="2632"/>
      <c r="K175" s="45"/>
      <c r="L175" s="2670"/>
      <c r="M175" s="51" t="s">
        <v>441</v>
      </c>
      <c r="N175" s="2633" t="s">
        <v>442</v>
      </c>
      <c r="O175" s="2618" t="s">
        <v>443</v>
      </c>
      <c r="P175" s="2620"/>
      <c r="Q175" s="2631" t="s">
        <v>444</v>
      </c>
      <c r="R175" s="2632"/>
      <c r="S175" s="2631" t="s">
        <v>348</v>
      </c>
      <c r="T175" s="2632"/>
      <c r="U175" s="268"/>
      <c r="V175" s="2631"/>
      <c r="W175" s="2632"/>
      <c r="X175" s="53" t="s">
        <v>441</v>
      </c>
      <c r="Y175" s="2670" t="s">
        <v>442</v>
      </c>
      <c r="Z175" s="2631" t="s">
        <v>443</v>
      </c>
      <c r="AA175" s="2632"/>
      <c r="AB175" s="2631" t="s">
        <v>444</v>
      </c>
      <c r="AC175" s="2632"/>
      <c r="AD175" s="2631" t="s">
        <v>348</v>
      </c>
      <c r="AE175" s="2632"/>
      <c r="AF175" s="45"/>
      <c r="AG175" s="2670"/>
      <c r="AH175" s="51" t="s">
        <v>441</v>
      </c>
      <c r="AI175" s="2670" t="s">
        <v>442</v>
      </c>
      <c r="AJ175" s="2631" t="s">
        <v>443</v>
      </c>
      <c r="AK175" s="2632"/>
      <c r="AL175" s="2631" t="s">
        <v>444</v>
      </c>
      <c r="AM175" s="2632"/>
      <c r="AN175" s="2631" t="s">
        <v>348</v>
      </c>
      <c r="AO175" s="2880"/>
    </row>
    <row r="176" spans="1:41" ht="15.95" customHeight="1" thickBot="1" x14ac:dyDescent="0.35">
      <c r="A176" s="2621"/>
      <c r="B176" s="2623"/>
      <c r="C176" s="54" t="s">
        <v>445</v>
      </c>
      <c r="D176" s="2634"/>
      <c r="E176" s="2621"/>
      <c r="F176" s="2623"/>
      <c r="G176" s="2621"/>
      <c r="H176" s="2623"/>
      <c r="I176" s="2621"/>
      <c r="J176" s="2623"/>
      <c r="K176" s="45"/>
      <c r="L176" s="2634"/>
      <c r="M176" s="50" t="s">
        <v>445</v>
      </c>
      <c r="N176" s="2634"/>
      <c r="O176" s="2621"/>
      <c r="P176" s="2623"/>
      <c r="Q176" s="2621"/>
      <c r="R176" s="2623"/>
      <c r="S176" s="2621"/>
      <c r="T176" s="2623"/>
      <c r="U176" s="268"/>
      <c r="V176" s="2621"/>
      <c r="W176" s="2623"/>
      <c r="X176" s="54" t="s">
        <v>445</v>
      </c>
      <c r="Y176" s="2634"/>
      <c r="Z176" s="2621"/>
      <c r="AA176" s="2623"/>
      <c r="AB176" s="2621"/>
      <c r="AC176" s="2623"/>
      <c r="AD176" s="2621"/>
      <c r="AE176" s="2623"/>
      <c r="AF176" s="45"/>
      <c r="AG176" s="2634"/>
      <c r="AH176" s="50" t="s">
        <v>445</v>
      </c>
      <c r="AI176" s="2634"/>
      <c r="AJ176" s="2621"/>
      <c r="AK176" s="2623"/>
      <c r="AL176" s="2621"/>
      <c r="AM176" s="2623"/>
      <c r="AN176" s="2901"/>
      <c r="AO176" s="2902"/>
    </row>
    <row r="177" spans="1:41" ht="15.95" customHeight="1" x14ac:dyDescent="0.3">
      <c r="A177" s="2913" t="s">
        <v>446</v>
      </c>
      <c r="B177" s="2914"/>
      <c r="C177" s="184"/>
      <c r="D177" s="170"/>
      <c r="E177" s="2576"/>
      <c r="F177" s="2880"/>
      <c r="G177" s="2576"/>
      <c r="H177" s="2880"/>
      <c r="I177" s="2576"/>
      <c r="J177" s="2880"/>
      <c r="K177" s="279"/>
      <c r="L177" s="119" t="s">
        <v>447</v>
      </c>
      <c r="M177" s="185"/>
      <c r="N177" s="186"/>
      <c r="O177" s="2605"/>
      <c r="P177" s="2606"/>
      <c r="Q177" s="2605"/>
      <c r="R177" s="2606"/>
      <c r="S177" s="2605"/>
      <c r="T177" s="2606"/>
      <c r="U177" s="287"/>
      <c r="V177" s="2913" t="s">
        <v>446</v>
      </c>
      <c r="W177" s="2914"/>
      <c r="X177" s="184"/>
      <c r="Y177" s="170"/>
      <c r="Z177" s="2576"/>
      <c r="AA177" s="2880"/>
      <c r="AB177" s="2576"/>
      <c r="AC177" s="2880"/>
      <c r="AD177" s="2576"/>
      <c r="AE177" s="2880"/>
      <c r="AF177" s="279"/>
      <c r="AG177" s="119" t="s">
        <v>447</v>
      </c>
      <c r="AH177" s="185"/>
      <c r="AI177" s="186"/>
      <c r="AJ177" s="2605"/>
      <c r="AK177" s="2606"/>
      <c r="AL177" s="2605"/>
      <c r="AM177" s="2606"/>
      <c r="AN177" s="2605"/>
      <c r="AO177" s="2606"/>
    </row>
    <row r="178" spans="1:41" ht="15.95" customHeight="1" x14ac:dyDescent="0.35">
      <c r="A178" s="2911" t="s">
        <v>979</v>
      </c>
      <c r="B178" s="2912"/>
      <c r="C178" s="187"/>
      <c r="D178" s="170"/>
      <c r="E178" s="2576"/>
      <c r="F178" s="2880"/>
      <c r="G178" s="2576"/>
      <c r="H178" s="2880"/>
      <c r="I178" s="2897">
        <f>SUM(I179:J180)</f>
        <v>0</v>
      </c>
      <c r="J178" s="2892"/>
      <c r="K178" s="279"/>
      <c r="L178" s="122"/>
      <c r="M178" s="188"/>
      <c r="N178" s="170"/>
      <c r="O178" s="2559"/>
      <c r="P178" s="2560"/>
      <c r="Q178" s="2559"/>
      <c r="R178" s="2560"/>
      <c r="S178" s="2559"/>
      <c r="T178" s="2560"/>
      <c r="U178" s="287"/>
      <c r="V178" s="2911" t="s">
        <v>979</v>
      </c>
      <c r="W178" s="2912"/>
      <c r="X178" s="187"/>
      <c r="Y178" s="170"/>
      <c r="Z178" s="2576"/>
      <c r="AA178" s="2880"/>
      <c r="AB178" s="2576"/>
      <c r="AC178" s="2880"/>
      <c r="AD178" s="2897">
        <f>SUM(AD179:AE180)</f>
        <v>0</v>
      </c>
      <c r="AE178" s="2892"/>
      <c r="AF178" s="279"/>
      <c r="AG178" s="122"/>
      <c r="AH178" s="188"/>
      <c r="AI178" s="170"/>
      <c r="AJ178" s="2559"/>
      <c r="AK178" s="2560"/>
      <c r="AL178" s="2559"/>
      <c r="AM178" s="2560"/>
      <c r="AN178" s="2559"/>
      <c r="AO178" s="2560"/>
    </row>
    <row r="179" spans="1:41" ht="15.95" customHeight="1" x14ac:dyDescent="0.3">
      <c r="A179" s="2915" t="s">
        <v>980</v>
      </c>
      <c r="B179" s="2916"/>
      <c r="C179" s="187"/>
      <c r="D179" s="170"/>
      <c r="E179" s="2576"/>
      <c r="F179" s="2880"/>
      <c r="G179" s="2576"/>
      <c r="H179" s="2880"/>
      <c r="I179" s="2576"/>
      <c r="J179" s="2880"/>
      <c r="K179" s="279"/>
      <c r="L179" s="122" t="s">
        <v>853</v>
      </c>
      <c r="M179" s="170" t="s">
        <v>767</v>
      </c>
      <c r="N179" s="170" t="s">
        <v>767</v>
      </c>
      <c r="O179" s="2559">
        <v>400</v>
      </c>
      <c r="P179" s="2560"/>
      <c r="Q179" s="2559">
        <f>1644*1.0928</f>
        <v>1796.5632000000001</v>
      </c>
      <c r="R179" s="2560"/>
      <c r="S179" s="2559">
        <f t="shared" ref="S179:S195" si="37">O179*Q179</f>
        <v>718625.28000000003</v>
      </c>
      <c r="T179" s="2560"/>
      <c r="U179" s="287"/>
      <c r="V179" s="2915" t="s">
        <v>980</v>
      </c>
      <c r="W179" s="2916"/>
      <c r="X179" s="187"/>
      <c r="Y179" s="170"/>
      <c r="Z179" s="2576"/>
      <c r="AA179" s="2880"/>
      <c r="AB179" s="2576"/>
      <c r="AC179" s="2880"/>
      <c r="AD179" s="2559">
        <f>Z179*AB179</f>
        <v>0</v>
      </c>
      <c r="AE179" s="2560"/>
      <c r="AF179" s="279"/>
      <c r="AG179" s="122" t="s">
        <v>450</v>
      </c>
      <c r="AH179" s="170"/>
      <c r="AI179" s="170"/>
      <c r="AJ179" s="2559"/>
      <c r="AK179" s="2560"/>
      <c r="AL179" s="2559"/>
      <c r="AM179" s="2560"/>
      <c r="AN179" s="2559">
        <f>AJ179*AL179</f>
        <v>0</v>
      </c>
      <c r="AO179" s="2560"/>
    </row>
    <row r="180" spans="1:41" ht="15.95" customHeight="1" x14ac:dyDescent="0.3">
      <c r="A180" s="2915" t="s">
        <v>981</v>
      </c>
      <c r="B180" s="2916"/>
      <c r="C180" s="187"/>
      <c r="D180" s="170"/>
      <c r="E180" s="2576"/>
      <c r="F180" s="2880"/>
      <c r="G180" s="2576"/>
      <c r="H180" s="2880"/>
      <c r="I180" s="2576"/>
      <c r="J180" s="2880"/>
      <c r="K180" s="279"/>
      <c r="L180" s="122" t="s">
        <v>859</v>
      </c>
      <c r="M180" s="170" t="s">
        <v>1053</v>
      </c>
      <c r="N180" s="170" t="s">
        <v>760</v>
      </c>
      <c r="O180" s="2559">
        <v>4</v>
      </c>
      <c r="P180" s="2560"/>
      <c r="Q180" s="2559">
        <f>42597*1.0928</f>
        <v>46550.001600000003</v>
      </c>
      <c r="R180" s="2560"/>
      <c r="S180" s="2559">
        <f t="shared" si="37"/>
        <v>186200.00640000001</v>
      </c>
      <c r="T180" s="2560"/>
      <c r="U180" s="287"/>
      <c r="V180" s="2915" t="s">
        <v>981</v>
      </c>
      <c r="W180" s="2916"/>
      <c r="X180" s="187"/>
      <c r="Y180" s="170"/>
      <c r="Z180" s="2576"/>
      <c r="AA180" s="2880"/>
      <c r="AB180" s="2576"/>
      <c r="AC180" s="2880"/>
      <c r="AD180" s="2559">
        <f>Z180*AB180</f>
        <v>0</v>
      </c>
      <c r="AE180" s="2560"/>
      <c r="AF180" s="279"/>
      <c r="AG180" s="122" t="s">
        <v>853</v>
      </c>
      <c r="AH180" s="281"/>
      <c r="AI180" s="170"/>
      <c r="AJ180" s="2559"/>
      <c r="AK180" s="2560"/>
      <c r="AL180" s="2559"/>
      <c r="AM180" s="2560"/>
      <c r="AN180" s="2559">
        <f t="shared" ref="AN180:AN195" si="38">AJ180*AL180</f>
        <v>0</v>
      </c>
      <c r="AO180" s="2560"/>
    </row>
    <row r="181" spans="1:41" ht="15.95" customHeight="1" x14ac:dyDescent="0.35">
      <c r="A181" s="2911" t="s">
        <v>990</v>
      </c>
      <c r="B181" s="2912"/>
      <c r="C181" s="197"/>
      <c r="D181" s="170"/>
      <c r="E181" s="2576"/>
      <c r="F181" s="2880"/>
      <c r="G181" s="2576"/>
      <c r="H181" s="2880"/>
      <c r="I181" s="2565">
        <f>SUM(I182:J184)</f>
        <v>141000</v>
      </c>
      <c r="J181" s="2892"/>
      <c r="K181" s="279"/>
      <c r="L181" s="122" t="s">
        <v>861</v>
      </c>
      <c r="M181" s="170" t="s">
        <v>1055</v>
      </c>
      <c r="N181" s="170" t="s">
        <v>760</v>
      </c>
      <c r="O181" s="2559">
        <v>2</v>
      </c>
      <c r="P181" s="2560"/>
      <c r="Q181" s="2883">
        <v>43883</v>
      </c>
      <c r="R181" s="2884"/>
      <c r="S181" s="2559">
        <f t="shared" si="37"/>
        <v>87766</v>
      </c>
      <c r="T181" s="2560"/>
      <c r="U181" s="287"/>
      <c r="V181" s="2911" t="s">
        <v>990</v>
      </c>
      <c r="W181" s="2912"/>
      <c r="X181" s="187"/>
      <c r="Y181" s="170"/>
      <c r="Z181" s="2576"/>
      <c r="AA181" s="2880"/>
      <c r="AB181" s="2576"/>
      <c r="AC181" s="2880"/>
      <c r="AD181" s="2897">
        <f>SUM(AD182:AE183)</f>
        <v>0</v>
      </c>
      <c r="AE181" s="2892"/>
      <c r="AF181" s="279"/>
      <c r="AG181" s="122" t="s">
        <v>1054</v>
      </c>
      <c r="AH181" s="170" t="s">
        <v>1053</v>
      </c>
      <c r="AI181" s="170" t="s">
        <v>473</v>
      </c>
      <c r="AJ181" s="2559">
        <v>6</v>
      </c>
      <c r="AK181" s="2560"/>
      <c r="AL181" s="2559">
        <f>42598*1.0928</f>
        <v>46551.094400000002</v>
      </c>
      <c r="AM181" s="2560">
        <f t="shared" ref="AM181" si="39">(35722*6%)+35722</f>
        <v>37865.32</v>
      </c>
      <c r="AN181" s="2559">
        <f t="shared" si="38"/>
        <v>279306.56640000001</v>
      </c>
      <c r="AO181" s="2560"/>
    </row>
    <row r="182" spans="1:41" ht="15.95" customHeight="1" x14ac:dyDescent="0.4">
      <c r="A182" s="2915" t="s">
        <v>991</v>
      </c>
      <c r="B182" s="2916"/>
      <c r="C182" s="120" t="s">
        <v>496</v>
      </c>
      <c r="D182" s="170" t="s">
        <v>497</v>
      </c>
      <c r="E182" s="2576">
        <v>1</v>
      </c>
      <c r="F182" s="2650"/>
      <c r="G182" s="2641">
        <v>47000</v>
      </c>
      <c r="H182" s="2642">
        <f t="shared" ref="H182:H187" si="40">(36040*6%)+36040</f>
        <v>38202.400000000001</v>
      </c>
      <c r="I182" s="2559">
        <f>E182*G182</f>
        <v>47000</v>
      </c>
      <c r="J182" s="2560"/>
      <c r="K182" s="279"/>
      <c r="L182" s="122" t="s">
        <v>863</v>
      </c>
      <c r="M182" s="170" t="s">
        <v>716</v>
      </c>
      <c r="N182" s="170" t="s">
        <v>760</v>
      </c>
      <c r="O182" s="2559">
        <v>1</v>
      </c>
      <c r="P182" s="2560"/>
      <c r="Q182" s="2559">
        <f>75338*1.0928</f>
        <v>82329.366399999999</v>
      </c>
      <c r="R182" s="2560"/>
      <c r="S182" s="2559">
        <f t="shared" si="37"/>
        <v>82329.366399999999</v>
      </c>
      <c r="T182" s="2560"/>
      <c r="U182" s="287"/>
      <c r="V182" s="2915" t="s">
        <v>991</v>
      </c>
      <c r="W182" s="2916"/>
      <c r="X182" s="187"/>
      <c r="Y182" s="170"/>
      <c r="Z182" s="2576"/>
      <c r="AA182" s="2880"/>
      <c r="AB182" s="2576"/>
      <c r="AC182" s="2880"/>
      <c r="AD182" s="2559">
        <f>Z182*AB182</f>
        <v>0</v>
      </c>
      <c r="AE182" s="2560"/>
      <c r="AF182" s="279"/>
      <c r="AG182" s="122" t="s">
        <v>861</v>
      </c>
      <c r="AH182" s="170" t="s">
        <v>761</v>
      </c>
      <c r="AI182" s="170" t="s">
        <v>473</v>
      </c>
      <c r="AJ182" s="2559">
        <v>4</v>
      </c>
      <c r="AK182" s="2560"/>
      <c r="AL182" s="2559">
        <v>43883</v>
      </c>
      <c r="AM182" s="2560"/>
      <c r="AN182" s="2559">
        <f t="shared" si="38"/>
        <v>175532</v>
      </c>
      <c r="AO182" s="2560"/>
    </row>
    <row r="183" spans="1:41" ht="15.95" customHeight="1" x14ac:dyDescent="0.4">
      <c r="A183" s="2915" t="s">
        <v>981</v>
      </c>
      <c r="B183" s="2916"/>
      <c r="C183" s="120" t="s">
        <v>496</v>
      </c>
      <c r="D183" s="170" t="s">
        <v>497</v>
      </c>
      <c r="E183" s="2576">
        <v>1</v>
      </c>
      <c r="F183" s="2650"/>
      <c r="G183" s="2641">
        <v>47000</v>
      </c>
      <c r="H183" s="2642">
        <f t="shared" si="40"/>
        <v>38202.400000000001</v>
      </c>
      <c r="I183" s="2559">
        <f>E183*G183</f>
        <v>47000</v>
      </c>
      <c r="J183" s="2560"/>
      <c r="K183" s="279"/>
      <c r="L183" s="122" t="s">
        <v>534</v>
      </c>
      <c r="M183" s="170" t="s">
        <v>1704</v>
      </c>
      <c r="N183" s="170" t="s">
        <v>1056</v>
      </c>
      <c r="O183" s="2559">
        <v>3</v>
      </c>
      <c r="P183" s="2560"/>
      <c r="Q183" s="2559">
        <v>201451</v>
      </c>
      <c r="R183" s="2560"/>
      <c r="S183" s="2559">
        <f t="shared" si="37"/>
        <v>604353</v>
      </c>
      <c r="T183" s="2560"/>
      <c r="U183" s="287"/>
      <c r="V183" s="2915" t="s">
        <v>981</v>
      </c>
      <c r="W183" s="2916"/>
      <c r="X183" s="187"/>
      <c r="Y183" s="170"/>
      <c r="Z183" s="2576"/>
      <c r="AA183" s="2880"/>
      <c r="AB183" s="2576"/>
      <c r="AC183" s="2880"/>
      <c r="AD183" s="2559">
        <f>Z183*AB183</f>
        <v>0</v>
      </c>
      <c r="AE183" s="2560"/>
      <c r="AF183" s="279"/>
      <c r="AG183" s="122" t="s">
        <v>863</v>
      </c>
      <c r="AH183" s="170" t="s">
        <v>825</v>
      </c>
      <c r="AI183" s="170" t="s">
        <v>452</v>
      </c>
      <c r="AJ183" s="2559">
        <v>4</v>
      </c>
      <c r="AK183" s="2560"/>
      <c r="AL183" s="2559">
        <v>25671</v>
      </c>
      <c r="AM183" s="2560"/>
      <c r="AN183" s="2559">
        <f t="shared" si="38"/>
        <v>102684</v>
      </c>
      <c r="AO183" s="2560"/>
    </row>
    <row r="184" spans="1:41" ht="15.95" customHeight="1" x14ac:dyDescent="0.4">
      <c r="A184" s="2915" t="s">
        <v>992</v>
      </c>
      <c r="B184" s="2916"/>
      <c r="C184" s="120" t="s">
        <v>496</v>
      </c>
      <c r="D184" s="170" t="s">
        <v>497</v>
      </c>
      <c r="E184" s="2576">
        <v>1</v>
      </c>
      <c r="F184" s="2650"/>
      <c r="G184" s="2641">
        <v>47000</v>
      </c>
      <c r="H184" s="2642">
        <f t="shared" si="40"/>
        <v>38202.400000000001</v>
      </c>
      <c r="I184" s="2559">
        <f>E184*G184</f>
        <v>47000</v>
      </c>
      <c r="J184" s="2560"/>
      <c r="K184" s="279"/>
      <c r="L184" s="122" t="s">
        <v>535</v>
      </c>
      <c r="M184" s="170" t="s">
        <v>1034</v>
      </c>
      <c r="N184" s="170" t="s">
        <v>1056</v>
      </c>
      <c r="O184" s="2559">
        <v>3</v>
      </c>
      <c r="P184" s="2560"/>
      <c r="Q184" s="2883">
        <v>179798</v>
      </c>
      <c r="R184" s="2884"/>
      <c r="S184" s="2559">
        <f t="shared" si="37"/>
        <v>539394</v>
      </c>
      <c r="T184" s="2560"/>
      <c r="U184" s="287"/>
      <c r="V184" s="2915" t="s">
        <v>992</v>
      </c>
      <c r="W184" s="2916"/>
      <c r="X184" s="187"/>
      <c r="Y184" s="170"/>
      <c r="Z184" s="2576"/>
      <c r="AA184" s="2880"/>
      <c r="AB184" s="2576"/>
      <c r="AC184" s="2880"/>
      <c r="AD184" s="2559">
        <f>Z184*AB184</f>
        <v>0</v>
      </c>
      <c r="AE184" s="2560"/>
      <c r="AF184" s="279"/>
      <c r="AG184" s="122" t="s">
        <v>534</v>
      </c>
      <c r="AH184" s="170" t="s">
        <v>1587</v>
      </c>
      <c r="AI184" s="170" t="s">
        <v>460</v>
      </c>
      <c r="AJ184" s="2559">
        <v>5</v>
      </c>
      <c r="AK184" s="2560"/>
      <c r="AL184" s="2559">
        <v>201451</v>
      </c>
      <c r="AM184" s="2560"/>
      <c r="AN184" s="2559">
        <f t="shared" si="38"/>
        <v>1007255</v>
      </c>
      <c r="AO184" s="2560"/>
    </row>
    <row r="185" spans="1:41" ht="15.95" customHeight="1" x14ac:dyDescent="0.35">
      <c r="A185" s="2998" t="s">
        <v>993</v>
      </c>
      <c r="B185" s="2999"/>
      <c r="C185" s="187"/>
      <c r="D185" s="170"/>
      <c r="E185" s="2576"/>
      <c r="F185" s="2880"/>
      <c r="G185" s="2559"/>
      <c r="H185" s="2560"/>
      <c r="I185" s="2565">
        <f>SUM(I186:J195)</f>
        <v>1034000</v>
      </c>
      <c r="J185" s="2892"/>
      <c r="K185" s="279"/>
      <c r="L185" s="122" t="s">
        <v>537</v>
      </c>
      <c r="M185" s="170" t="s">
        <v>1057</v>
      </c>
      <c r="N185" s="170" t="s">
        <v>760</v>
      </c>
      <c r="O185" s="2559">
        <v>5</v>
      </c>
      <c r="P185" s="2560"/>
      <c r="Q185" s="2559">
        <f>19384*1.0928</f>
        <v>21182.835200000001</v>
      </c>
      <c r="R185" s="2560"/>
      <c r="S185" s="2559">
        <f t="shared" si="37"/>
        <v>105914.17600000001</v>
      </c>
      <c r="T185" s="2560"/>
      <c r="U185" s="287"/>
      <c r="V185" s="2998" t="s">
        <v>1035</v>
      </c>
      <c r="W185" s="2999"/>
      <c r="X185" s="288"/>
      <c r="Y185" s="170"/>
      <c r="Z185" s="2576"/>
      <c r="AA185" s="2880"/>
      <c r="AB185" s="2576"/>
      <c r="AC185" s="2880"/>
      <c r="AD185" s="2565">
        <f>SUM(AD186:AE195)</f>
        <v>0</v>
      </c>
      <c r="AE185" s="2892"/>
      <c r="AF185" s="279"/>
      <c r="AG185" s="122" t="s">
        <v>535</v>
      </c>
      <c r="AH185" s="170" t="s">
        <v>1034</v>
      </c>
      <c r="AI185" s="170" t="s">
        <v>460</v>
      </c>
      <c r="AJ185" s="2559">
        <v>10</v>
      </c>
      <c r="AK185" s="2560"/>
      <c r="AL185" s="2559">
        <v>179798</v>
      </c>
      <c r="AM185" s="2560"/>
      <c r="AN185" s="2559">
        <f>AJ185*AL185</f>
        <v>1797980</v>
      </c>
      <c r="AO185" s="2560"/>
    </row>
    <row r="186" spans="1:41" ht="15.95" customHeight="1" x14ac:dyDescent="0.4">
      <c r="A186" s="2839" t="s">
        <v>995</v>
      </c>
      <c r="B186" s="2840"/>
      <c r="C186" s="120" t="s">
        <v>496</v>
      </c>
      <c r="D186" s="170" t="s">
        <v>497</v>
      </c>
      <c r="E186" s="2559">
        <v>5</v>
      </c>
      <c r="F186" s="2560"/>
      <c r="G186" s="2641">
        <v>47000</v>
      </c>
      <c r="H186" s="2642">
        <f t="shared" si="40"/>
        <v>38202.400000000001</v>
      </c>
      <c r="I186" s="2559">
        <f t="shared" ref="I186:I195" si="41">E186*G186</f>
        <v>235000</v>
      </c>
      <c r="J186" s="2560"/>
      <c r="K186" s="279"/>
      <c r="L186" s="122" t="s">
        <v>866</v>
      </c>
      <c r="M186" s="170" t="s">
        <v>1059</v>
      </c>
      <c r="N186" s="170" t="s">
        <v>1056</v>
      </c>
      <c r="O186" s="2559">
        <v>2</v>
      </c>
      <c r="P186" s="2560"/>
      <c r="Q186" s="2559">
        <v>13261</v>
      </c>
      <c r="R186" s="2560"/>
      <c r="S186" s="2559">
        <f t="shared" si="37"/>
        <v>26522</v>
      </c>
      <c r="T186" s="2560"/>
      <c r="U186" s="287"/>
      <c r="V186" s="2839" t="s">
        <v>991</v>
      </c>
      <c r="W186" s="2840"/>
      <c r="X186" s="288"/>
      <c r="Y186" s="170"/>
      <c r="Z186" s="2559"/>
      <c r="AA186" s="2560"/>
      <c r="AB186" s="2559"/>
      <c r="AC186" s="2560"/>
      <c r="AD186" s="2559">
        <f t="shared" ref="AD186:AD195" si="42">Z186*AB186</f>
        <v>0</v>
      </c>
      <c r="AE186" s="2560"/>
      <c r="AF186" s="279"/>
      <c r="AG186" s="122" t="s">
        <v>537</v>
      </c>
      <c r="AH186" s="170" t="s">
        <v>1058</v>
      </c>
      <c r="AI186" s="170" t="s">
        <v>452</v>
      </c>
      <c r="AJ186" s="2559">
        <v>6</v>
      </c>
      <c r="AK186" s="2560"/>
      <c r="AL186" s="2559">
        <f>22816*1.0928</f>
        <v>24933.324799999999</v>
      </c>
      <c r="AM186" s="2560"/>
      <c r="AN186" s="2559">
        <f t="shared" si="38"/>
        <v>149599.94879999998</v>
      </c>
      <c r="AO186" s="2560"/>
    </row>
    <row r="187" spans="1:41" ht="15.95" customHeight="1" x14ac:dyDescent="0.4">
      <c r="A187" s="2839" t="s">
        <v>996</v>
      </c>
      <c r="B187" s="2840"/>
      <c r="C187" s="120" t="s">
        <v>496</v>
      </c>
      <c r="D187" s="170" t="s">
        <v>497</v>
      </c>
      <c r="E187" s="2559">
        <v>7</v>
      </c>
      <c r="F187" s="2560"/>
      <c r="G187" s="2641">
        <v>47000</v>
      </c>
      <c r="H187" s="2642">
        <f t="shared" si="40"/>
        <v>38202.400000000001</v>
      </c>
      <c r="I187" s="2559">
        <f t="shared" si="41"/>
        <v>329000</v>
      </c>
      <c r="J187" s="2560"/>
      <c r="K187" s="279"/>
      <c r="L187" s="122" t="s">
        <v>456</v>
      </c>
      <c r="M187" s="170" t="s">
        <v>1061</v>
      </c>
      <c r="N187" s="170" t="s">
        <v>1056</v>
      </c>
      <c r="O187" s="2559">
        <v>20</v>
      </c>
      <c r="P187" s="2560"/>
      <c r="Q187" s="2559">
        <f>22816*1.0928</f>
        <v>24933.324799999999</v>
      </c>
      <c r="R187" s="2560"/>
      <c r="S187" s="2559">
        <f t="shared" si="37"/>
        <v>498666.49599999998</v>
      </c>
      <c r="T187" s="2560"/>
      <c r="U187" s="287"/>
      <c r="V187" s="2839" t="s">
        <v>996</v>
      </c>
      <c r="W187" s="2840"/>
      <c r="X187" s="187"/>
      <c r="Y187" s="170"/>
      <c r="Z187" s="2559"/>
      <c r="AA187" s="2560"/>
      <c r="AB187" s="2559"/>
      <c r="AC187" s="2560"/>
      <c r="AD187" s="2559">
        <f>Z187*AB187</f>
        <v>0</v>
      </c>
      <c r="AE187" s="2560"/>
      <c r="AF187" s="279"/>
      <c r="AG187" s="122" t="s">
        <v>866</v>
      </c>
      <c r="AH187" s="170" t="s">
        <v>1060</v>
      </c>
      <c r="AI187" s="170" t="s">
        <v>460</v>
      </c>
      <c r="AJ187" s="2559">
        <v>2</v>
      </c>
      <c r="AK187" s="2560"/>
      <c r="AL187" s="2559">
        <v>13291</v>
      </c>
      <c r="AM187" s="2560"/>
      <c r="AN187" s="2559">
        <f t="shared" si="38"/>
        <v>26582</v>
      </c>
      <c r="AO187" s="2560"/>
    </row>
    <row r="188" spans="1:41" ht="15.95" customHeight="1" x14ac:dyDescent="0.2">
      <c r="A188" s="2839" t="s">
        <v>469</v>
      </c>
      <c r="B188" s="2840"/>
      <c r="C188" s="187"/>
      <c r="D188" s="170"/>
      <c r="E188" s="2559"/>
      <c r="F188" s="2560"/>
      <c r="G188" s="2559"/>
      <c r="H188" s="2560"/>
      <c r="I188" s="2559">
        <f t="shared" si="41"/>
        <v>0</v>
      </c>
      <c r="J188" s="2560"/>
      <c r="K188" s="279"/>
      <c r="L188" s="122" t="s">
        <v>871</v>
      </c>
      <c r="M188" s="170" t="s">
        <v>1062</v>
      </c>
      <c r="N188" s="170" t="s">
        <v>1063</v>
      </c>
      <c r="O188" s="2559">
        <v>400</v>
      </c>
      <c r="P188" s="2560"/>
      <c r="Q188" s="2559">
        <f>885*1.0928</f>
        <v>967.12800000000004</v>
      </c>
      <c r="R188" s="2560"/>
      <c r="S188" s="2559">
        <f t="shared" si="37"/>
        <v>386851.2</v>
      </c>
      <c r="T188" s="2560"/>
      <c r="U188" s="287"/>
      <c r="V188" s="2839" t="s">
        <v>469</v>
      </c>
      <c r="W188" s="2840"/>
      <c r="X188" s="187"/>
      <c r="Y188" s="170"/>
      <c r="Z188" s="2559"/>
      <c r="AA188" s="2560"/>
      <c r="AB188" s="2559"/>
      <c r="AC188" s="2560"/>
      <c r="AD188" s="2559">
        <f t="shared" si="42"/>
        <v>0</v>
      </c>
      <c r="AE188" s="2560"/>
      <c r="AF188" s="279"/>
      <c r="AG188" s="122" t="s">
        <v>456</v>
      </c>
      <c r="AH188" s="170" t="s">
        <v>1061</v>
      </c>
      <c r="AI188" s="170" t="s">
        <v>460</v>
      </c>
      <c r="AJ188" s="2559">
        <v>12</v>
      </c>
      <c r="AK188" s="2560"/>
      <c r="AL188" s="2559">
        <f>22816*1.0928</f>
        <v>24933.324799999999</v>
      </c>
      <c r="AM188" s="2560">
        <f t="shared" ref="AM188" si="43">(19133*6%)+19133</f>
        <v>20280.98</v>
      </c>
      <c r="AN188" s="2559">
        <f t="shared" si="38"/>
        <v>299199.89759999997</v>
      </c>
      <c r="AO188" s="2560"/>
    </row>
    <row r="189" spans="1:41" ht="15.95" customHeight="1" x14ac:dyDescent="0.2">
      <c r="A189" s="2839" t="s">
        <v>470</v>
      </c>
      <c r="B189" s="2840"/>
      <c r="C189" s="9"/>
      <c r="D189" s="170"/>
      <c r="E189" s="2559"/>
      <c r="F189" s="2560"/>
      <c r="G189" s="2559"/>
      <c r="H189" s="2560"/>
      <c r="I189" s="2559">
        <f t="shared" si="41"/>
        <v>0</v>
      </c>
      <c r="J189" s="2560"/>
      <c r="K189" s="279"/>
      <c r="L189" s="122" t="s">
        <v>595</v>
      </c>
      <c r="M189" s="170" t="s">
        <v>1066</v>
      </c>
      <c r="N189" s="170" t="s">
        <v>1067</v>
      </c>
      <c r="O189" s="2559">
        <v>4</v>
      </c>
      <c r="P189" s="2560"/>
      <c r="Q189" s="2559">
        <f>12071*1.0928</f>
        <v>13191.1888</v>
      </c>
      <c r="R189" s="2560"/>
      <c r="S189" s="2559">
        <f t="shared" si="37"/>
        <v>52764.7552</v>
      </c>
      <c r="T189" s="2560"/>
      <c r="U189" s="287"/>
      <c r="V189" s="2839" t="s">
        <v>470</v>
      </c>
      <c r="W189" s="2840"/>
      <c r="X189" s="187"/>
      <c r="Y189" s="170"/>
      <c r="Z189" s="2559"/>
      <c r="AA189" s="2560"/>
      <c r="AB189" s="2559"/>
      <c r="AC189" s="2560"/>
      <c r="AD189" s="2559">
        <f t="shared" si="42"/>
        <v>0</v>
      </c>
      <c r="AE189" s="2560"/>
      <c r="AF189" s="279"/>
      <c r="AG189" s="122" t="s">
        <v>1064</v>
      </c>
      <c r="AH189" s="170" t="s">
        <v>1065</v>
      </c>
      <c r="AI189" s="170" t="s">
        <v>1063</v>
      </c>
      <c r="AJ189" s="2559">
        <v>400</v>
      </c>
      <c r="AK189" s="2560"/>
      <c r="AL189" s="2559">
        <f>885*1.9028</f>
        <v>1683.9780000000001</v>
      </c>
      <c r="AM189" s="2560"/>
      <c r="AN189" s="2559">
        <f>AJ189*AL189</f>
        <v>673591.20000000007</v>
      </c>
      <c r="AO189" s="2560"/>
    </row>
    <row r="190" spans="1:41" ht="15.95" customHeight="1" x14ac:dyDescent="0.4">
      <c r="A190" s="2839" t="s">
        <v>902</v>
      </c>
      <c r="B190" s="2840"/>
      <c r="C190" s="120" t="s">
        <v>496</v>
      </c>
      <c r="D190" s="170" t="s">
        <v>497</v>
      </c>
      <c r="E190" s="2559">
        <v>4</v>
      </c>
      <c r="F190" s="2560"/>
      <c r="G190" s="2641">
        <v>47000</v>
      </c>
      <c r="H190" s="2642">
        <f t="shared" ref="H190:H191" si="44">(36040*6%)+36040</f>
        <v>38202.400000000001</v>
      </c>
      <c r="I190" s="2559">
        <f t="shared" si="41"/>
        <v>188000</v>
      </c>
      <c r="J190" s="2560"/>
      <c r="K190" s="279"/>
      <c r="L190" s="122" t="s">
        <v>507</v>
      </c>
      <c r="M190" s="170" t="s">
        <v>1069</v>
      </c>
      <c r="N190" s="170" t="s">
        <v>1070</v>
      </c>
      <c r="O190" s="2559">
        <v>350</v>
      </c>
      <c r="P190" s="2560"/>
      <c r="Q190" s="2559">
        <f>2718*1.0928</f>
        <v>2970.2303999999999</v>
      </c>
      <c r="R190" s="2560"/>
      <c r="S190" s="2559">
        <f t="shared" si="37"/>
        <v>1039580.64</v>
      </c>
      <c r="T190" s="2560"/>
      <c r="U190" s="287"/>
      <c r="V190" s="2839" t="s">
        <v>1068</v>
      </c>
      <c r="W190" s="2840"/>
      <c r="X190" s="288"/>
      <c r="Y190" s="170"/>
      <c r="Z190" s="2559"/>
      <c r="AA190" s="2560"/>
      <c r="AB190" s="2559"/>
      <c r="AC190" s="2880"/>
      <c r="AD190" s="2559">
        <f t="shared" si="42"/>
        <v>0</v>
      </c>
      <c r="AE190" s="2560"/>
      <c r="AF190" s="279"/>
      <c r="AG190" s="289" t="s">
        <v>595</v>
      </c>
      <c r="AH190" s="170" t="s">
        <v>1066</v>
      </c>
      <c r="AI190" s="170" t="s">
        <v>1067</v>
      </c>
      <c r="AJ190" s="2559">
        <v>1.5</v>
      </c>
      <c r="AK190" s="2560"/>
      <c r="AL190" s="2559">
        <f>12071*1.0928</f>
        <v>13191.1888</v>
      </c>
      <c r="AM190" s="2560"/>
      <c r="AN190" s="2559">
        <f t="shared" si="38"/>
        <v>19786.783199999998</v>
      </c>
      <c r="AO190" s="2560"/>
    </row>
    <row r="191" spans="1:41" ht="15.95" customHeight="1" x14ac:dyDescent="0.4">
      <c r="A191" s="2839" t="s">
        <v>998</v>
      </c>
      <c r="B191" s="2840"/>
      <c r="C191" s="120" t="s">
        <v>496</v>
      </c>
      <c r="D191" s="170" t="s">
        <v>497</v>
      </c>
      <c r="E191" s="2576">
        <v>6</v>
      </c>
      <c r="F191" s="2880"/>
      <c r="G191" s="2641">
        <v>47000</v>
      </c>
      <c r="H191" s="2642">
        <f t="shared" si="44"/>
        <v>38202.400000000001</v>
      </c>
      <c r="I191" s="2559">
        <f t="shared" si="41"/>
        <v>282000</v>
      </c>
      <c r="J191" s="2560"/>
      <c r="K191" s="279"/>
      <c r="L191" s="122" t="s">
        <v>633</v>
      </c>
      <c r="M191" s="170" t="s">
        <v>1071</v>
      </c>
      <c r="N191" s="170" t="s">
        <v>734</v>
      </c>
      <c r="O191" s="2559">
        <v>5</v>
      </c>
      <c r="P191" s="2560"/>
      <c r="Q191" s="2559">
        <f>109404*1.0928</f>
        <v>119556.6912</v>
      </c>
      <c r="R191" s="2560"/>
      <c r="S191" s="2559">
        <f t="shared" si="37"/>
        <v>597783.45600000001</v>
      </c>
      <c r="T191" s="2560"/>
      <c r="U191" s="287"/>
      <c r="V191" s="2839" t="s">
        <v>998</v>
      </c>
      <c r="W191" s="2840"/>
      <c r="X191" s="187"/>
      <c r="Y191" s="170"/>
      <c r="Z191" s="2576"/>
      <c r="AA191" s="2880"/>
      <c r="AB191" s="2576"/>
      <c r="AC191" s="2880"/>
      <c r="AD191" s="2559">
        <f t="shared" si="42"/>
        <v>0</v>
      </c>
      <c r="AE191" s="2560"/>
      <c r="AF191" s="279"/>
      <c r="AG191" s="122" t="s">
        <v>507</v>
      </c>
      <c r="AH191" s="170" t="s">
        <v>1069</v>
      </c>
      <c r="AI191" s="170" t="s">
        <v>1069</v>
      </c>
      <c r="AJ191" s="2559">
        <v>900</v>
      </c>
      <c r="AK191" s="2560"/>
      <c r="AL191" s="2559">
        <f>2718*1.0928</f>
        <v>2970.2303999999999</v>
      </c>
      <c r="AM191" s="2560"/>
      <c r="AN191" s="2559">
        <f t="shared" si="38"/>
        <v>2673207.36</v>
      </c>
      <c r="AO191" s="2560"/>
    </row>
    <row r="192" spans="1:41" ht="15.95" customHeight="1" x14ac:dyDescent="0.3">
      <c r="A192" s="2839" t="s">
        <v>999</v>
      </c>
      <c r="B192" s="2840"/>
      <c r="C192" s="187"/>
      <c r="D192" s="170"/>
      <c r="E192" s="2576"/>
      <c r="F192" s="2880"/>
      <c r="G192" s="2576"/>
      <c r="H192" s="2880"/>
      <c r="I192" s="2559">
        <f t="shared" si="41"/>
        <v>0</v>
      </c>
      <c r="J192" s="2560"/>
      <c r="K192" s="279"/>
      <c r="L192" s="122" t="s">
        <v>633</v>
      </c>
      <c r="M192" s="170" t="s">
        <v>1072</v>
      </c>
      <c r="N192" s="170" t="s">
        <v>740</v>
      </c>
      <c r="O192" s="2559">
        <v>1100</v>
      </c>
      <c r="P192" s="2560"/>
      <c r="Q192" s="2559">
        <f>6320*1.0928</f>
        <v>6906.4960000000001</v>
      </c>
      <c r="R192" s="2560"/>
      <c r="S192" s="2559">
        <f t="shared" si="37"/>
        <v>7597145.6000000006</v>
      </c>
      <c r="T192" s="2560"/>
      <c r="U192" s="287"/>
      <c r="V192" s="2839" t="s">
        <v>999</v>
      </c>
      <c r="W192" s="2840"/>
      <c r="X192" s="187"/>
      <c r="Y192" s="170"/>
      <c r="Z192" s="2576"/>
      <c r="AA192" s="2880"/>
      <c r="AB192" s="2576"/>
      <c r="AC192" s="2880"/>
      <c r="AD192" s="2559">
        <f t="shared" si="42"/>
        <v>0</v>
      </c>
      <c r="AE192" s="2560"/>
      <c r="AF192" s="279"/>
      <c r="AG192" s="122" t="s">
        <v>801</v>
      </c>
      <c r="AH192" s="170"/>
      <c r="AI192" s="170"/>
      <c r="AJ192" s="2559"/>
      <c r="AK192" s="2560"/>
      <c r="AL192" s="2559"/>
      <c r="AM192" s="2560"/>
      <c r="AN192" s="2559">
        <f t="shared" si="38"/>
        <v>0</v>
      </c>
      <c r="AO192" s="2560"/>
    </row>
    <row r="193" spans="1:41" ht="15.95" customHeight="1" x14ac:dyDescent="0.3">
      <c r="A193" s="2839" t="s">
        <v>873</v>
      </c>
      <c r="B193" s="2840"/>
      <c r="C193" s="187"/>
      <c r="D193" s="170"/>
      <c r="E193" s="2576"/>
      <c r="F193" s="2880"/>
      <c r="G193" s="2576"/>
      <c r="H193" s="2880"/>
      <c r="I193" s="2559">
        <f t="shared" si="41"/>
        <v>0</v>
      </c>
      <c r="J193" s="2560"/>
      <c r="K193" s="279"/>
      <c r="L193" s="122" t="s">
        <v>874</v>
      </c>
      <c r="M193" s="170" t="s">
        <v>1073</v>
      </c>
      <c r="N193" s="170" t="s">
        <v>1074</v>
      </c>
      <c r="O193" s="2559">
        <v>400</v>
      </c>
      <c r="P193" s="2560"/>
      <c r="Q193" s="2559">
        <f>10681*1.0928</f>
        <v>11672.1968</v>
      </c>
      <c r="R193" s="2560"/>
      <c r="S193" s="2559">
        <f t="shared" si="37"/>
        <v>4668878.72</v>
      </c>
      <c r="T193" s="2560"/>
      <c r="U193" s="287"/>
      <c r="V193" s="2839" t="s">
        <v>873</v>
      </c>
      <c r="W193" s="2840"/>
      <c r="X193" s="187"/>
      <c r="Y193" s="170"/>
      <c r="Z193" s="2576"/>
      <c r="AA193" s="2880"/>
      <c r="AB193" s="2576"/>
      <c r="AC193" s="2880"/>
      <c r="AD193" s="2559">
        <f t="shared" si="42"/>
        <v>0</v>
      </c>
      <c r="AE193" s="2560"/>
      <c r="AF193" s="279"/>
      <c r="AG193" s="122" t="s">
        <v>633</v>
      </c>
      <c r="AH193" s="170"/>
      <c r="AI193" s="170"/>
      <c r="AJ193" s="2559"/>
      <c r="AK193" s="2560"/>
      <c r="AL193" s="2559"/>
      <c r="AM193" s="2560"/>
      <c r="AN193" s="2559">
        <f t="shared" si="38"/>
        <v>0</v>
      </c>
      <c r="AO193" s="2560"/>
    </row>
    <row r="194" spans="1:41" ht="15.95" customHeight="1" x14ac:dyDescent="0.3">
      <c r="A194" s="2839" t="s">
        <v>1000</v>
      </c>
      <c r="B194" s="2840"/>
      <c r="C194" s="187"/>
      <c r="D194" s="170"/>
      <c r="E194" s="2576"/>
      <c r="F194" s="2880"/>
      <c r="G194" s="2576"/>
      <c r="H194" s="2880"/>
      <c r="I194" s="2559">
        <f t="shared" si="41"/>
        <v>0</v>
      </c>
      <c r="J194" s="2560"/>
      <c r="K194" s="279"/>
      <c r="L194" s="196" t="s">
        <v>515</v>
      </c>
      <c r="M194" s="120" t="s">
        <v>574</v>
      </c>
      <c r="N194" s="120" t="s">
        <v>574</v>
      </c>
      <c r="O194" s="2559">
        <v>200</v>
      </c>
      <c r="P194" s="2560"/>
      <c r="Q194" s="2559">
        <f>480*1.0928</f>
        <v>524.54399999999998</v>
      </c>
      <c r="R194" s="2560"/>
      <c r="S194" s="2559">
        <f t="shared" si="37"/>
        <v>104908.8</v>
      </c>
      <c r="T194" s="2560"/>
      <c r="U194" s="287"/>
      <c r="V194" s="2839" t="s">
        <v>1000</v>
      </c>
      <c r="W194" s="2840"/>
      <c r="X194" s="187"/>
      <c r="Y194" s="170"/>
      <c r="Z194" s="2576"/>
      <c r="AA194" s="2880"/>
      <c r="AB194" s="2576"/>
      <c r="AC194" s="2880"/>
      <c r="AD194" s="2559">
        <f t="shared" si="42"/>
        <v>0</v>
      </c>
      <c r="AE194" s="2560"/>
      <c r="AF194" s="279"/>
      <c r="AG194" s="122" t="s">
        <v>874</v>
      </c>
      <c r="AH194" s="170"/>
      <c r="AI194" s="170"/>
      <c r="AJ194" s="2559"/>
      <c r="AK194" s="2560"/>
      <c r="AL194" s="2559"/>
      <c r="AM194" s="2560"/>
      <c r="AN194" s="2559">
        <f t="shared" si="38"/>
        <v>0</v>
      </c>
      <c r="AO194" s="2560"/>
    </row>
    <row r="195" spans="1:41" ht="15.95" customHeight="1" x14ac:dyDescent="0.3">
      <c r="A195" s="2839" t="s">
        <v>504</v>
      </c>
      <c r="B195" s="2840"/>
      <c r="C195" s="187"/>
      <c r="D195" s="170"/>
      <c r="E195" s="2576"/>
      <c r="F195" s="2880"/>
      <c r="G195" s="2576"/>
      <c r="H195" s="2880"/>
      <c r="I195" s="2559">
        <f t="shared" si="41"/>
        <v>0</v>
      </c>
      <c r="J195" s="2560"/>
      <c r="K195" s="279"/>
      <c r="L195" s="196" t="s">
        <v>1075</v>
      </c>
      <c r="M195" s="197"/>
      <c r="N195" s="120" t="s">
        <v>1070</v>
      </c>
      <c r="O195" s="2643">
        <v>3</v>
      </c>
      <c r="P195" s="2643"/>
      <c r="Q195" s="2643">
        <f>35520*1.0928</f>
        <v>38816.256000000001</v>
      </c>
      <c r="R195" s="2643"/>
      <c r="S195" s="2559">
        <f t="shared" si="37"/>
        <v>116448.76800000001</v>
      </c>
      <c r="T195" s="2560"/>
      <c r="U195" s="287"/>
      <c r="V195" s="2839" t="s">
        <v>504</v>
      </c>
      <c r="W195" s="2840"/>
      <c r="X195" s="187"/>
      <c r="Y195" s="170"/>
      <c r="Z195" s="2576"/>
      <c r="AA195" s="2880"/>
      <c r="AB195" s="2576"/>
      <c r="AC195" s="2880"/>
      <c r="AD195" s="2559">
        <f t="shared" si="42"/>
        <v>0</v>
      </c>
      <c r="AE195" s="2560"/>
      <c r="AF195" s="279"/>
      <c r="AG195" s="196" t="s">
        <v>515</v>
      </c>
      <c r="AH195" s="120"/>
      <c r="AI195" s="120"/>
      <c r="AJ195" s="2643"/>
      <c r="AK195" s="2643"/>
      <c r="AL195" s="2643"/>
      <c r="AM195" s="2643"/>
      <c r="AN195" s="2559">
        <f t="shared" si="38"/>
        <v>0</v>
      </c>
      <c r="AO195" s="2560"/>
    </row>
    <row r="196" spans="1:41" ht="15.95" customHeight="1" x14ac:dyDescent="0.35">
      <c r="A196" s="2911" t="s">
        <v>1001</v>
      </c>
      <c r="B196" s="2912"/>
      <c r="C196" s="187"/>
      <c r="D196" s="170"/>
      <c r="E196" s="2576"/>
      <c r="F196" s="2880"/>
      <c r="G196" s="2576"/>
      <c r="H196" s="2880"/>
      <c r="I196" s="2565">
        <f>SUM(I197:J214)</f>
        <v>2812000</v>
      </c>
      <c r="J196" s="2892"/>
      <c r="K196" s="279"/>
      <c r="L196" s="196" t="s">
        <v>805</v>
      </c>
      <c r="M196" s="197"/>
      <c r="N196" s="120" t="s">
        <v>794</v>
      </c>
      <c r="O196" s="2643"/>
      <c r="P196" s="2643"/>
      <c r="Q196" s="2643"/>
      <c r="R196" s="2643"/>
      <c r="S196" s="2559">
        <f>350000*1.0928</f>
        <v>382480</v>
      </c>
      <c r="T196" s="2560"/>
      <c r="U196" s="290"/>
      <c r="V196" s="2911" t="s">
        <v>1001</v>
      </c>
      <c r="W196" s="2912"/>
      <c r="X196" s="187"/>
      <c r="Y196" s="170"/>
      <c r="Z196" s="2576"/>
      <c r="AA196" s="2880"/>
      <c r="AB196" s="2576"/>
      <c r="AC196" s="2880"/>
      <c r="AD196" s="2565">
        <f>SUM(AD197:AE214)</f>
        <v>3525000</v>
      </c>
      <c r="AE196" s="2892"/>
      <c r="AF196" s="279"/>
      <c r="AG196" s="196" t="s">
        <v>1076</v>
      </c>
      <c r="AH196" s="120" t="s">
        <v>1077</v>
      </c>
      <c r="AI196" s="120" t="s">
        <v>740</v>
      </c>
      <c r="AJ196" s="2643">
        <v>40</v>
      </c>
      <c r="AK196" s="2643"/>
      <c r="AL196" s="2643">
        <f>379*1.0928</f>
        <v>414.1712</v>
      </c>
      <c r="AM196" s="2643"/>
      <c r="AN196" s="2559">
        <f>AJ196*AL196</f>
        <v>16566.847999999998</v>
      </c>
      <c r="AO196" s="2560"/>
    </row>
    <row r="197" spans="1:41" ht="15.95" customHeight="1" x14ac:dyDescent="0.4">
      <c r="A197" s="2839" t="s">
        <v>852</v>
      </c>
      <c r="B197" s="2840"/>
      <c r="C197" s="120" t="s">
        <v>496</v>
      </c>
      <c r="D197" s="170" t="s">
        <v>497</v>
      </c>
      <c r="E197" s="2559">
        <v>4</v>
      </c>
      <c r="F197" s="2560"/>
      <c r="G197" s="2641">
        <v>47000</v>
      </c>
      <c r="H197" s="2642">
        <f t="shared" ref="H197:H199" si="45">(36040*6%)+36040</f>
        <v>38202.400000000001</v>
      </c>
      <c r="I197" s="2559">
        <f t="shared" ref="I197:I202" si="46">E197*G197</f>
        <v>188000</v>
      </c>
      <c r="J197" s="2560"/>
      <c r="K197" s="279"/>
      <c r="L197" s="199" t="s">
        <v>876</v>
      </c>
      <c r="M197" s="53"/>
      <c r="N197" s="200"/>
      <c r="O197" s="2893"/>
      <c r="P197" s="2893"/>
      <c r="Q197" s="2893"/>
      <c r="R197" s="2893"/>
      <c r="S197" s="2894">
        <f>SUM(S178:T196)</f>
        <v>17796612.263999999</v>
      </c>
      <c r="T197" s="2894"/>
      <c r="U197" s="291"/>
      <c r="V197" s="2839" t="s">
        <v>852</v>
      </c>
      <c r="W197" s="2840"/>
      <c r="X197" s="187"/>
      <c r="Y197" s="170"/>
      <c r="Z197" s="2559"/>
      <c r="AA197" s="2560"/>
      <c r="AB197" s="2559"/>
      <c r="AC197" s="2560"/>
      <c r="AD197" s="2559">
        <f t="shared" ref="AD197:AD214" si="47">Z197*AB197</f>
        <v>0</v>
      </c>
      <c r="AE197" s="2560"/>
      <c r="AF197" s="279"/>
      <c r="AG197" s="199" t="s">
        <v>876</v>
      </c>
      <c r="AH197" s="53"/>
      <c r="AI197" s="200"/>
      <c r="AJ197" s="2893"/>
      <c r="AK197" s="2893"/>
      <c r="AL197" s="2893"/>
      <c r="AM197" s="2893"/>
      <c r="AN197" s="2894">
        <f>SUM(AN179:AO196)</f>
        <v>7221291.6039999994</v>
      </c>
      <c r="AO197" s="2894"/>
    </row>
    <row r="198" spans="1:41" ht="15.95" customHeight="1" x14ac:dyDescent="0.4">
      <c r="A198" s="2839" t="s">
        <v>495</v>
      </c>
      <c r="B198" s="2840"/>
      <c r="C198" s="120" t="s">
        <v>496</v>
      </c>
      <c r="D198" s="170" t="s">
        <v>497</v>
      </c>
      <c r="E198" s="2559">
        <v>1</v>
      </c>
      <c r="F198" s="2560"/>
      <c r="G198" s="2641">
        <v>47000</v>
      </c>
      <c r="H198" s="2642">
        <f t="shared" si="45"/>
        <v>38202.400000000001</v>
      </c>
      <c r="I198" s="2559">
        <f t="shared" si="46"/>
        <v>47000</v>
      </c>
      <c r="J198" s="2560"/>
      <c r="K198" s="279"/>
      <c r="L198" s="148"/>
      <c r="M198" s="197"/>
      <c r="N198" s="120"/>
      <c r="O198" s="2643"/>
      <c r="P198" s="2643"/>
      <c r="Q198" s="2643"/>
      <c r="R198" s="2643"/>
      <c r="S198" s="2643"/>
      <c r="T198" s="2643"/>
      <c r="U198" s="290"/>
      <c r="V198" s="2839" t="s">
        <v>495</v>
      </c>
      <c r="W198" s="2840"/>
      <c r="X198" s="187"/>
      <c r="Y198" s="170"/>
      <c r="Z198" s="2559"/>
      <c r="AA198" s="2560"/>
      <c r="AB198" s="2559"/>
      <c r="AC198" s="2560"/>
      <c r="AD198" s="2559">
        <f t="shared" si="47"/>
        <v>0</v>
      </c>
      <c r="AE198" s="2560"/>
      <c r="AF198" s="279"/>
      <c r="AG198" s="148"/>
      <c r="AH198" s="197"/>
      <c r="AI198" s="120"/>
      <c r="AJ198" s="2643"/>
      <c r="AK198" s="2643"/>
      <c r="AL198" s="2643"/>
      <c r="AM198" s="2643"/>
      <c r="AN198" s="2643"/>
      <c r="AO198" s="2643"/>
    </row>
    <row r="199" spans="1:41" ht="15.95" customHeight="1" x14ac:dyDescent="0.4">
      <c r="A199" s="2839" t="s">
        <v>1003</v>
      </c>
      <c r="B199" s="2840"/>
      <c r="C199" s="120" t="s">
        <v>496</v>
      </c>
      <c r="D199" s="170" t="s">
        <v>497</v>
      </c>
      <c r="E199" s="2576">
        <v>15</v>
      </c>
      <c r="F199" s="2880"/>
      <c r="G199" s="2641">
        <v>47000</v>
      </c>
      <c r="H199" s="2642">
        <f t="shared" si="45"/>
        <v>38202.400000000001</v>
      </c>
      <c r="I199" s="2559">
        <f t="shared" si="46"/>
        <v>705000</v>
      </c>
      <c r="J199" s="2560"/>
      <c r="K199" s="279"/>
      <c r="L199" s="144" t="s">
        <v>577</v>
      </c>
      <c r="M199" s="145"/>
      <c r="N199" s="145"/>
      <c r="O199" s="2890"/>
      <c r="P199" s="2890"/>
      <c r="Q199" s="2890"/>
      <c r="R199" s="2890"/>
      <c r="S199" s="2890"/>
      <c r="T199" s="2891"/>
      <c r="U199" s="287"/>
      <c r="V199" s="2839" t="s">
        <v>1003</v>
      </c>
      <c r="W199" s="2840"/>
      <c r="X199" s="187"/>
      <c r="Y199" s="170"/>
      <c r="Z199" s="2576"/>
      <c r="AA199" s="2880"/>
      <c r="AB199" s="2576"/>
      <c r="AC199" s="2880"/>
      <c r="AD199" s="2559">
        <f t="shared" si="47"/>
        <v>0</v>
      </c>
      <c r="AE199" s="2560"/>
      <c r="AF199" s="279"/>
      <c r="AG199" s="144" t="s">
        <v>577</v>
      </c>
      <c r="AH199" s="145"/>
      <c r="AI199" s="145"/>
      <c r="AJ199" s="2890"/>
      <c r="AK199" s="2890"/>
      <c r="AL199" s="2890"/>
      <c r="AM199" s="2890"/>
      <c r="AN199" s="2890"/>
      <c r="AO199" s="2891"/>
    </row>
    <row r="200" spans="1:41" ht="15.95" customHeight="1" x14ac:dyDescent="0.3">
      <c r="A200" s="2839" t="s">
        <v>1004</v>
      </c>
      <c r="B200" s="2840"/>
      <c r="C200" s="187"/>
      <c r="D200" s="170"/>
      <c r="E200" s="2576"/>
      <c r="F200" s="2880"/>
      <c r="G200" s="2576"/>
      <c r="H200" s="2880"/>
      <c r="I200" s="2559">
        <f t="shared" si="46"/>
        <v>0</v>
      </c>
      <c r="J200" s="2560"/>
      <c r="K200" s="279"/>
      <c r="L200" s="148" t="s">
        <v>1005</v>
      </c>
      <c r="M200" s="283" t="s">
        <v>1042</v>
      </c>
      <c r="N200" s="45"/>
      <c r="O200" s="2575"/>
      <c r="P200" s="2575"/>
      <c r="Q200" s="2575"/>
      <c r="R200" s="2575"/>
      <c r="S200" s="2575">
        <f>+(S197+I222)*0.05</f>
        <v>1187992.5562</v>
      </c>
      <c r="T200" s="2560"/>
      <c r="U200" s="287"/>
      <c r="V200" s="2839" t="s">
        <v>1004</v>
      </c>
      <c r="W200" s="2840"/>
      <c r="X200" s="187"/>
      <c r="Y200" s="170"/>
      <c r="Z200" s="2576"/>
      <c r="AA200" s="2880"/>
      <c r="AB200" s="2576"/>
      <c r="AC200" s="2880"/>
      <c r="AD200" s="2559">
        <f t="shared" si="47"/>
        <v>0</v>
      </c>
      <c r="AE200" s="2560"/>
      <c r="AF200" s="279"/>
      <c r="AG200" s="148" t="s">
        <v>1005</v>
      </c>
      <c r="AH200" s="149" t="s">
        <v>1042</v>
      </c>
      <c r="AI200" s="45"/>
      <c r="AJ200" s="2575"/>
      <c r="AK200" s="2575"/>
      <c r="AL200" s="2575"/>
      <c r="AM200" s="2575"/>
      <c r="AN200" s="2575">
        <f>+(AN197+AD222)*0.05</f>
        <v>779164.23340000003</v>
      </c>
      <c r="AO200" s="2560"/>
    </row>
    <row r="201" spans="1:41" ht="15.95" customHeight="1" x14ac:dyDescent="0.3">
      <c r="A201" s="2839" t="s">
        <v>1006</v>
      </c>
      <c r="B201" s="2840"/>
      <c r="C201" s="187"/>
      <c r="D201" s="170"/>
      <c r="E201" s="2576"/>
      <c r="F201" s="2880"/>
      <c r="G201" s="2576"/>
      <c r="H201" s="2880"/>
      <c r="I201" s="2559">
        <f t="shared" si="46"/>
        <v>0</v>
      </c>
      <c r="J201" s="2560"/>
      <c r="K201" s="279"/>
      <c r="L201" s="151" t="s">
        <v>527</v>
      </c>
      <c r="M201" s="45"/>
      <c r="N201" s="45"/>
      <c r="O201" s="2575"/>
      <c r="P201" s="2575"/>
      <c r="Q201" s="2575"/>
      <c r="R201" s="2575"/>
      <c r="S201" s="2575">
        <f>200000*1.0928</f>
        <v>218560</v>
      </c>
      <c r="T201" s="2560"/>
      <c r="U201" s="287"/>
      <c r="V201" s="2839" t="s">
        <v>1006</v>
      </c>
      <c r="W201" s="2840"/>
      <c r="X201" s="187"/>
      <c r="Y201" s="170"/>
      <c r="Z201" s="2576"/>
      <c r="AA201" s="2880"/>
      <c r="AB201" s="2576"/>
      <c r="AC201" s="2880"/>
      <c r="AD201" s="2559">
        <f t="shared" si="47"/>
        <v>0</v>
      </c>
      <c r="AE201" s="2560"/>
      <c r="AF201" s="279"/>
      <c r="AG201" s="151" t="s">
        <v>527</v>
      </c>
      <c r="AH201" s="45"/>
      <c r="AI201" s="45"/>
      <c r="AJ201" s="2575"/>
      <c r="AK201" s="2575"/>
      <c r="AL201" s="2575"/>
      <c r="AM201" s="2575"/>
      <c r="AN201" s="2575">
        <f>200000*1.0928</f>
        <v>218560</v>
      </c>
      <c r="AO201" s="2560"/>
    </row>
    <row r="202" spans="1:41" ht="15.95" customHeight="1" x14ac:dyDescent="0.3">
      <c r="A202" s="2839" t="s">
        <v>1007</v>
      </c>
      <c r="B202" s="2840"/>
      <c r="C202" s="187"/>
      <c r="D202" s="170"/>
      <c r="E202" s="2576"/>
      <c r="F202" s="2880"/>
      <c r="G202" s="2576"/>
      <c r="H202" s="2880"/>
      <c r="I202" s="2559">
        <f t="shared" si="46"/>
        <v>0</v>
      </c>
      <c r="J202" s="2560"/>
      <c r="K202" s="279"/>
      <c r="L202" s="152" t="s">
        <v>529</v>
      </c>
      <c r="M202" s="45"/>
      <c r="N202" s="45"/>
      <c r="O202" s="2575"/>
      <c r="P202" s="2575"/>
      <c r="Q202" s="2575"/>
      <c r="R202" s="2575"/>
      <c r="S202" s="2575">
        <f>600000*1.0928</f>
        <v>655680</v>
      </c>
      <c r="T202" s="2560"/>
      <c r="U202" s="287"/>
      <c r="V202" s="2839" t="s">
        <v>1007</v>
      </c>
      <c r="W202" s="2840"/>
      <c r="X202" s="187"/>
      <c r="Y202" s="170"/>
      <c r="Z202" s="2576"/>
      <c r="AA202" s="2880"/>
      <c r="AB202" s="2576"/>
      <c r="AC202" s="2880"/>
      <c r="AD202" s="2559">
        <f t="shared" si="47"/>
        <v>0</v>
      </c>
      <c r="AE202" s="2560"/>
      <c r="AF202" s="279"/>
      <c r="AG202" s="152" t="s">
        <v>529</v>
      </c>
      <c r="AH202" s="45"/>
      <c r="AI202" s="45"/>
      <c r="AJ202" s="2575"/>
      <c r="AK202" s="2575"/>
      <c r="AL202" s="2575"/>
      <c r="AM202" s="2575"/>
      <c r="AN202" s="2575">
        <f>600000*1.0928</f>
        <v>655680</v>
      </c>
      <c r="AO202" s="2560"/>
    </row>
    <row r="203" spans="1:41" ht="15.95" customHeight="1" x14ac:dyDescent="0.4">
      <c r="A203" s="2839" t="s">
        <v>1008</v>
      </c>
      <c r="B203" s="2840"/>
      <c r="C203" s="120" t="s">
        <v>496</v>
      </c>
      <c r="D203" s="170" t="s">
        <v>497</v>
      </c>
      <c r="E203" s="2576">
        <v>3</v>
      </c>
      <c r="F203" s="2880"/>
      <c r="G203" s="2641">
        <v>47000</v>
      </c>
      <c r="H203" s="2642">
        <f t="shared" ref="H203:H205" si="48">(36040*6%)+36040</f>
        <v>38202.400000000001</v>
      </c>
      <c r="I203" s="2559">
        <v>39000</v>
      </c>
      <c r="J203" s="2560"/>
      <c r="K203" s="279"/>
      <c r="L203" s="152" t="s">
        <v>580</v>
      </c>
      <c r="M203" s="45"/>
      <c r="N203" s="45"/>
      <c r="O203" s="2575"/>
      <c r="P203" s="2575"/>
      <c r="Q203" s="2575"/>
      <c r="R203" s="2575"/>
      <c r="S203" s="2575">
        <f>+(S197+I222)*0.05</f>
        <v>1187992.5562</v>
      </c>
      <c r="T203" s="2560"/>
      <c r="U203" s="287"/>
      <c r="V203" s="2839" t="s">
        <v>1008</v>
      </c>
      <c r="W203" s="2840"/>
      <c r="X203" s="187"/>
      <c r="Y203" s="170"/>
      <c r="Z203" s="2576"/>
      <c r="AA203" s="2880"/>
      <c r="AB203" s="2576"/>
      <c r="AC203" s="2880"/>
      <c r="AD203" s="2559">
        <f t="shared" si="47"/>
        <v>0</v>
      </c>
      <c r="AE203" s="2560"/>
      <c r="AF203" s="279"/>
      <c r="AG203" s="152" t="s">
        <v>531</v>
      </c>
      <c r="AH203" s="45"/>
      <c r="AI203" s="45"/>
      <c r="AJ203" s="2575"/>
      <c r="AK203" s="2575"/>
      <c r="AL203" s="2575"/>
      <c r="AM203" s="2575"/>
      <c r="AN203" s="2575">
        <f>+(AN197+AD222)*0.05</f>
        <v>779164.23340000003</v>
      </c>
      <c r="AO203" s="2560"/>
    </row>
    <row r="204" spans="1:41" ht="15.95" customHeight="1" x14ac:dyDescent="0.4">
      <c r="A204" s="2839" t="s">
        <v>1009</v>
      </c>
      <c r="B204" s="2840"/>
      <c r="C204" s="120" t="s">
        <v>496</v>
      </c>
      <c r="D204" s="170" t="s">
        <v>497</v>
      </c>
      <c r="E204" s="2576">
        <v>3</v>
      </c>
      <c r="F204" s="2880"/>
      <c r="G204" s="2641">
        <v>47000</v>
      </c>
      <c r="H204" s="2642">
        <f t="shared" si="48"/>
        <v>38202.400000000001</v>
      </c>
      <c r="I204" s="2559">
        <f t="shared" ref="I204:I214" si="49">E204*G204</f>
        <v>141000</v>
      </c>
      <c r="J204" s="2560"/>
      <c r="K204" s="279"/>
      <c r="L204" s="166" t="s">
        <v>504</v>
      </c>
      <c r="M204" s="155"/>
      <c r="N204" s="155"/>
      <c r="O204" s="2557"/>
      <c r="P204" s="2557"/>
      <c r="Q204" s="2557"/>
      <c r="R204" s="2557"/>
      <c r="S204" s="2557">
        <f>200000*1.0928</f>
        <v>218560</v>
      </c>
      <c r="T204" s="2558"/>
      <c r="U204" s="287"/>
      <c r="V204" s="2839" t="s">
        <v>1009</v>
      </c>
      <c r="W204" s="2840"/>
      <c r="X204" s="288" t="s">
        <v>496</v>
      </c>
      <c r="Y204" s="170" t="s">
        <v>497</v>
      </c>
      <c r="Z204" s="2576">
        <v>18</v>
      </c>
      <c r="AA204" s="2880"/>
      <c r="AB204" s="2921">
        <v>47000</v>
      </c>
      <c r="AC204" s="2922">
        <f t="shared" ref="AC204:AC209" si="50">(36040*6%)+36040</f>
        <v>38202.400000000001</v>
      </c>
      <c r="AD204" s="2559">
        <f t="shared" si="47"/>
        <v>846000</v>
      </c>
      <c r="AE204" s="2560"/>
      <c r="AF204" s="279"/>
      <c r="AG204" s="166" t="s">
        <v>504</v>
      </c>
      <c r="AH204" s="155"/>
      <c r="AI204" s="155"/>
      <c r="AJ204" s="2557"/>
      <c r="AK204" s="2557"/>
      <c r="AL204" s="2557"/>
      <c r="AM204" s="2557"/>
      <c r="AN204" s="2557">
        <f>150000*1.0928</f>
        <v>163920</v>
      </c>
      <c r="AO204" s="2558"/>
    </row>
    <row r="205" spans="1:41" ht="15.95" customHeight="1" x14ac:dyDescent="0.4">
      <c r="A205" s="2839" t="s">
        <v>1010</v>
      </c>
      <c r="B205" s="2840"/>
      <c r="C205" s="120" t="s">
        <v>496</v>
      </c>
      <c r="D205" s="170" t="s">
        <v>497</v>
      </c>
      <c r="E205" s="2576">
        <v>5</v>
      </c>
      <c r="F205" s="2880"/>
      <c r="G205" s="2641">
        <v>47000</v>
      </c>
      <c r="H205" s="2642">
        <f t="shared" si="48"/>
        <v>38202.400000000001</v>
      </c>
      <c r="I205" s="2559">
        <f t="shared" si="49"/>
        <v>235000</v>
      </c>
      <c r="J205" s="2560"/>
      <c r="K205" s="279"/>
      <c r="L205" s="156" t="s">
        <v>533</v>
      </c>
      <c r="M205" s="201"/>
      <c r="N205" s="201"/>
      <c r="O205" s="2885"/>
      <c r="P205" s="2885"/>
      <c r="Q205" s="2886"/>
      <c r="R205" s="2886"/>
      <c r="S205" s="2887">
        <f>SUM(S200:T204)</f>
        <v>3468785.1124</v>
      </c>
      <c r="T205" s="2887"/>
      <c r="U205" s="292"/>
      <c r="V205" s="2839" t="s">
        <v>1078</v>
      </c>
      <c r="W205" s="2840"/>
      <c r="X205" s="288" t="s">
        <v>496</v>
      </c>
      <c r="Y205" s="170" t="s">
        <v>497</v>
      </c>
      <c r="Z205" s="2576">
        <v>6</v>
      </c>
      <c r="AA205" s="2880"/>
      <c r="AB205" s="2921">
        <v>47000</v>
      </c>
      <c r="AC205" s="2922">
        <f t="shared" si="50"/>
        <v>38202.400000000001</v>
      </c>
      <c r="AD205" s="2559">
        <f t="shared" si="47"/>
        <v>282000</v>
      </c>
      <c r="AE205" s="2560"/>
      <c r="AF205" s="279"/>
      <c r="AG205" s="156" t="s">
        <v>533</v>
      </c>
      <c r="AH205" s="201"/>
      <c r="AI205" s="201"/>
      <c r="AJ205" s="2885"/>
      <c r="AK205" s="2885"/>
      <c r="AL205" s="2886"/>
      <c r="AM205" s="2886"/>
      <c r="AN205" s="2887">
        <f>SUM(AN200:AO204)</f>
        <v>2596488.4668000001</v>
      </c>
      <c r="AO205" s="2887"/>
    </row>
    <row r="206" spans="1:41" ht="15.95" customHeight="1" x14ac:dyDescent="0.3">
      <c r="A206" s="2839" t="s">
        <v>1011</v>
      </c>
      <c r="B206" s="2840"/>
      <c r="C206" s="187"/>
      <c r="D206" s="170"/>
      <c r="E206" s="2576"/>
      <c r="F206" s="2880"/>
      <c r="G206" s="2576"/>
      <c r="H206" s="2880"/>
      <c r="I206" s="2559">
        <f t="shared" si="49"/>
        <v>0</v>
      </c>
      <c r="J206" s="2560"/>
      <c r="K206" s="279"/>
      <c r="L206" s="159"/>
      <c r="M206" s="45"/>
      <c r="N206" s="45"/>
      <c r="O206" s="2575"/>
      <c r="P206" s="2575"/>
      <c r="Q206" s="2575"/>
      <c r="R206" s="2575"/>
      <c r="S206" s="2575"/>
      <c r="T206" s="2560"/>
      <c r="U206" s="287"/>
      <c r="V206" s="2839" t="s">
        <v>1011</v>
      </c>
      <c r="W206" s="2840"/>
      <c r="X206" s="187"/>
      <c r="Y206" s="170"/>
      <c r="Z206" s="2576"/>
      <c r="AA206" s="2880"/>
      <c r="AB206" s="2576"/>
      <c r="AC206" s="2880"/>
      <c r="AD206" s="2559">
        <f t="shared" si="47"/>
        <v>0</v>
      </c>
      <c r="AE206" s="2560"/>
      <c r="AF206" s="279"/>
      <c r="AG206" s="159"/>
      <c r="AH206" s="45"/>
      <c r="AI206" s="45"/>
      <c r="AJ206" s="2575"/>
      <c r="AK206" s="2575"/>
      <c r="AL206" s="2575"/>
      <c r="AM206" s="2575"/>
      <c r="AN206" s="2575"/>
      <c r="AO206" s="2560"/>
    </row>
    <row r="207" spans="1:41" ht="15.95" customHeight="1" thickBot="1" x14ac:dyDescent="0.45">
      <c r="A207" s="2839" t="s">
        <v>1012</v>
      </c>
      <c r="B207" s="2840"/>
      <c r="C207" s="120" t="s">
        <v>496</v>
      </c>
      <c r="D207" s="170" t="s">
        <v>497</v>
      </c>
      <c r="E207" s="2576">
        <v>5</v>
      </c>
      <c r="F207" s="2880"/>
      <c r="G207" s="2641">
        <v>47000</v>
      </c>
      <c r="H207" s="2642">
        <f t="shared" ref="H207:H209" si="51">(36040*6%)+36040</f>
        <v>38202.400000000001</v>
      </c>
      <c r="I207" s="2559">
        <f t="shared" si="49"/>
        <v>235000</v>
      </c>
      <c r="J207" s="2560"/>
      <c r="K207" s="279"/>
      <c r="L207" s="160" t="s">
        <v>583</v>
      </c>
      <c r="M207" s="205"/>
      <c r="N207" s="205"/>
      <c r="O207" s="205"/>
      <c r="P207" s="205"/>
      <c r="Q207" s="161"/>
      <c r="R207" s="161"/>
      <c r="S207" s="2580">
        <f>SUM(S205+S197+I222)</f>
        <v>27228636.236399997</v>
      </c>
      <c r="T207" s="2581"/>
      <c r="U207" s="292"/>
      <c r="V207" s="2839" t="s">
        <v>1012</v>
      </c>
      <c r="W207" s="2840"/>
      <c r="X207" s="288" t="s">
        <v>496</v>
      </c>
      <c r="Y207" s="170" t="s">
        <v>497</v>
      </c>
      <c r="Z207" s="2576">
        <v>10</v>
      </c>
      <c r="AA207" s="2880"/>
      <c r="AB207" s="2921">
        <v>47000</v>
      </c>
      <c r="AC207" s="2922">
        <f t="shared" si="50"/>
        <v>38202.400000000001</v>
      </c>
      <c r="AD207" s="2559">
        <f t="shared" si="47"/>
        <v>470000</v>
      </c>
      <c r="AE207" s="2560"/>
      <c r="AF207" s="279"/>
      <c r="AG207" s="160" t="s">
        <v>583</v>
      </c>
      <c r="AH207" s="205"/>
      <c r="AI207" s="205"/>
      <c r="AJ207" s="205"/>
      <c r="AK207" s="205"/>
      <c r="AL207" s="161"/>
      <c r="AM207" s="161"/>
      <c r="AN207" s="2580">
        <f>SUM(AN205+AN197+AD222)</f>
        <v>18179773.134799998</v>
      </c>
      <c r="AO207" s="2581"/>
    </row>
    <row r="208" spans="1:41" ht="15.95" customHeight="1" x14ac:dyDescent="0.4">
      <c r="A208" s="2839" t="s">
        <v>1018</v>
      </c>
      <c r="B208" s="2840"/>
      <c r="C208" s="120" t="s">
        <v>496</v>
      </c>
      <c r="D208" s="170" t="s">
        <v>497</v>
      </c>
      <c r="E208" s="2559">
        <v>6</v>
      </c>
      <c r="F208" s="2560"/>
      <c r="G208" s="2641">
        <v>47000</v>
      </c>
      <c r="H208" s="2642">
        <f t="shared" si="51"/>
        <v>38202.400000000001</v>
      </c>
      <c r="I208" s="2559">
        <f t="shared" si="49"/>
        <v>282000</v>
      </c>
      <c r="J208" s="2560"/>
      <c r="K208" s="284"/>
      <c r="L208" s="45"/>
      <c r="M208" s="45"/>
      <c r="N208" s="45"/>
      <c r="O208" s="45"/>
      <c r="P208" s="45"/>
      <c r="Q208" s="45"/>
      <c r="R208" s="45"/>
      <c r="S208" s="45"/>
      <c r="T208" s="45"/>
      <c r="U208" s="279"/>
      <c r="V208" s="2839" t="s">
        <v>1052</v>
      </c>
      <c r="W208" s="2840"/>
      <c r="X208" s="288" t="s">
        <v>496</v>
      </c>
      <c r="Y208" s="170" t="s">
        <v>497</v>
      </c>
      <c r="Z208" s="2559">
        <v>10</v>
      </c>
      <c r="AA208" s="2560"/>
      <c r="AB208" s="2921">
        <v>47000</v>
      </c>
      <c r="AC208" s="2922">
        <f t="shared" si="50"/>
        <v>38202.400000000001</v>
      </c>
      <c r="AD208" s="2559">
        <f t="shared" si="47"/>
        <v>470000</v>
      </c>
      <c r="AE208" s="2560"/>
      <c r="AF208" s="284"/>
      <c r="AG208" s="45"/>
      <c r="AH208" s="45"/>
      <c r="AI208" s="45"/>
      <c r="AJ208" s="45"/>
      <c r="AK208" s="45"/>
      <c r="AL208" s="45"/>
      <c r="AM208" s="45"/>
      <c r="AN208" s="45"/>
      <c r="AO208" s="45"/>
    </row>
    <row r="209" spans="1:41" ht="15.95" customHeight="1" x14ac:dyDescent="0.4">
      <c r="A209" s="2839" t="s">
        <v>1019</v>
      </c>
      <c r="B209" s="2840"/>
      <c r="C209" s="120" t="s">
        <v>496</v>
      </c>
      <c r="D209" s="170" t="s">
        <v>497</v>
      </c>
      <c r="E209" s="2576">
        <v>2</v>
      </c>
      <c r="F209" s="2880"/>
      <c r="G209" s="2641">
        <v>47000</v>
      </c>
      <c r="H209" s="2642">
        <f t="shared" si="51"/>
        <v>38202.400000000001</v>
      </c>
      <c r="I209" s="2559">
        <f t="shared" si="49"/>
        <v>94000</v>
      </c>
      <c r="J209" s="2560"/>
      <c r="K209" s="279"/>
      <c r="L209" s="7" t="s">
        <v>1528</v>
      </c>
      <c r="M209" s="45"/>
      <c r="N209" s="45"/>
      <c r="O209" s="45"/>
      <c r="P209" s="45"/>
      <c r="Q209" s="45"/>
      <c r="R209" s="45"/>
      <c r="S209" s="45"/>
      <c r="T209" s="45"/>
      <c r="U209" s="279"/>
      <c r="V209" s="2839" t="s">
        <v>1019</v>
      </c>
      <c r="W209" s="2840"/>
      <c r="X209" s="288" t="s">
        <v>496</v>
      </c>
      <c r="Y209" s="170" t="s">
        <v>497</v>
      </c>
      <c r="Z209" s="2576">
        <v>6</v>
      </c>
      <c r="AA209" s="2880"/>
      <c r="AB209" s="2921">
        <v>47000</v>
      </c>
      <c r="AC209" s="2922">
        <f t="shared" si="50"/>
        <v>38202.400000000001</v>
      </c>
      <c r="AD209" s="2559">
        <f t="shared" si="47"/>
        <v>282000</v>
      </c>
      <c r="AE209" s="2560"/>
      <c r="AF209" s="279"/>
      <c r="AG209" s="7" t="s">
        <v>1528</v>
      </c>
      <c r="AH209" s="45"/>
      <c r="AI209" s="45"/>
      <c r="AJ209" s="45"/>
      <c r="AK209" s="45"/>
      <c r="AL209" s="45"/>
      <c r="AM209" s="45"/>
      <c r="AN209" s="45"/>
      <c r="AO209" s="45"/>
    </row>
    <row r="210" spans="1:41" ht="15.95" customHeight="1" x14ac:dyDescent="0.3">
      <c r="A210" s="2839" t="s">
        <v>1020</v>
      </c>
      <c r="B210" s="2840"/>
      <c r="C210" s="187"/>
      <c r="D210" s="170"/>
      <c r="E210" s="2576"/>
      <c r="F210" s="2880"/>
      <c r="G210" s="2576"/>
      <c r="H210" s="2880"/>
      <c r="I210" s="2559">
        <f t="shared" si="49"/>
        <v>0</v>
      </c>
      <c r="J210" s="2560"/>
      <c r="K210" s="279"/>
      <c r="L210" s="597" t="s">
        <v>1583</v>
      </c>
      <c r="M210" s="266"/>
      <c r="N210" s="266"/>
      <c r="O210" s="266"/>
      <c r="P210" s="266"/>
      <c r="Q210" s="1783"/>
      <c r="R210" s="266"/>
      <c r="S210" s="266"/>
      <c r="T210" s="45"/>
      <c r="U210" s="279"/>
      <c r="V210" s="2839" t="s">
        <v>1020</v>
      </c>
      <c r="W210" s="2840"/>
      <c r="X210" s="187"/>
      <c r="Y210" s="170"/>
      <c r="Z210" s="2576"/>
      <c r="AA210" s="2880"/>
      <c r="AB210" s="2576"/>
      <c r="AC210" s="2880"/>
      <c r="AD210" s="2559">
        <f t="shared" si="47"/>
        <v>0</v>
      </c>
      <c r="AE210" s="2560"/>
      <c r="AF210" s="279"/>
      <c r="AG210" s="597" t="s">
        <v>1584</v>
      </c>
      <c r="AH210" s="266"/>
      <c r="AI210" s="266"/>
      <c r="AJ210" s="266"/>
      <c r="AK210" s="266"/>
      <c r="AL210" s="1783"/>
      <c r="AM210" s="266"/>
      <c r="AN210" s="266"/>
      <c r="AO210" s="45"/>
    </row>
    <row r="211" spans="1:41" ht="15.95" customHeight="1" x14ac:dyDescent="0.3">
      <c r="A211" s="2839" t="s">
        <v>1021</v>
      </c>
      <c r="B211" s="2840"/>
      <c r="C211" s="187"/>
      <c r="D211" s="170"/>
      <c r="E211" s="2576"/>
      <c r="F211" s="2880"/>
      <c r="G211" s="2576"/>
      <c r="H211" s="2880"/>
      <c r="I211" s="2559">
        <f t="shared" si="49"/>
        <v>0</v>
      </c>
      <c r="J211" s="2560"/>
      <c r="K211" s="279"/>
      <c r="L211" s="45"/>
      <c r="M211" s="206"/>
      <c r="N211" s="206"/>
      <c r="O211" s="206"/>
      <c r="P211" s="206"/>
      <c r="Q211" s="107"/>
      <c r="R211" s="44"/>
      <c r="S211" s="45"/>
      <c r="T211" s="45"/>
      <c r="U211" s="279"/>
      <c r="V211" s="2839" t="s">
        <v>1021</v>
      </c>
      <c r="W211" s="2840"/>
      <c r="X211" s="187"/>
      <c r="Y211" s="170"/>
      <c r="Z211" s="2576"/>
      <c r="AA211" s="2880"/>
      <c r="AB211" s="2576"/>
      <c r="AC211" s="2880"/>
      <c r="AD211" s="2559">
        <f t="shared" si="47"/>
        <v>0</v>
      </c>
      <c r="AE211" s="2560"/>
      <c r="AF211" s="279"/>
      <c r="AG211" s="45"/>
      <c r="AH211" s="2834"/>
      <c r="AI211" s="2834"/>
      <c r="AJ211" s="2834"/>
      <c r="AK211" s="2834"/>
      <c r="AL211" s="272"/>
      <c r="AM211" s="44"/>
      <c r="AN211" s="45"/>
      <c r="AO211" s="45"/>
    </row>
    <row r="212" spans="1:41" ht="15.95" customHeight="1" x14ac:dyDescent="0.4">
      <c r="A212" s="2839" t="s">
        <v>1022</v>
      </c>
      <c r="B212" s="2840"/>
      <c r="C212" s="120" t="s">
        <v>496</v>
      </c>
      <c r="D212" s="170" t="s">
        <v>497</v>
      </c>
      <c r="E212" s="2559">
        <v>8</v>
      </c>
      <c r="F212" s="2560"/>
      <c r="G212" s="2641">
        <v>47000</v>
      </c>
      <c r="H212" s="2642">
        <f t="shared" ref="H212:H214" si="52">(36040*6%)+36040</f>
        <v>38202.400000000001</v>
      </c>
      <c r="I212" s="2559">
        <f t="shared" si="49"/>
        <v>376000</v>
      </c>
      <c r="J212" s="2560"/>
      <c r="K212" s="279"/>
      <c r="L212" s="45"/>
      <c r="M212" s="2834"/>
      <c r="N212" s="2834"/>
      <c r="O212" s="2834"/>
      <c r="P212" s="2834"/>
      <c r="Q212" s="107"/>
      <c r="R212" s="44"/>
      <c r="S212" s="45"/>
      <c r="T212" s="45"/>
      <c r="U212" s="279"/>
      <c r="V212" s="2839" t="s">
        <v>1022</v>
      </c>
      <c r="W212" s="2840"/>
      <c r="X212" s="288" t="s">
        <v>496</v>
      </c>
      <c r="Y212" s="170" t="s">
        <v>497</v>
      </c>
      <c r="Z212" s="2559">
        <v>15</v>
      </c>
      <c r="AA212" s="2560"/>
      <c r="AB212" s="2921">
        <v>47000</v>
      </c>
      <c r="AC212" s="2922">
        <f t="shared" ref="AC212:AC214" si="53">(36040*6%)+36040</f>
        <v>38202.400000000001</v>
      </c>
      <c r="AD212" s="2559">
        <f t="shared" si="47"/>
        <v>705000</v>
      </c>
      <c r="AE212" s="2560"/>
      <c r="AF212" s="279"/>
      <c r="AG212" s="45"/>
      <c r="AH212" s="206"/>
      <c r="AI212" s="206"/>
      <c r="AJ212" s="206"/>
      <c r="AK212" s="206"/>
      <c r="AL212" s="107"/>
      <c r="AM212" s="44"/>
      <c r="AN212" s="45"/>
      <c r="AO212" s="45"/>
    </row>
    <row r="213" spans="1:41" ht="15.95" customHeight="1" x14ac:dyDescent="0.4">
      <c r="A213" s="2839" t="s">
        <v>881</v>
      </c>
      <c r="B213" s="2840"/>
      <c r="C213" s="120" t="s">
        <v>496</v>
      </c>
      <c r="D213" s="170" t="s">
        <v>497</v>
      </c>
      <c r="E213" s="2559">
        <v>5</v>
      </c>
      <c r="F213" s="2560"/>
      <c r="G213" s="2641">
        <v>47000</v>
      </c>
      <c r="H213" s="2642">
        <f t="shared" si="52"/>
        <v>38202.400000000001</v>
      </c>
      <c r="I213" s="2559">
        <f t="shared" si="49"/>
        <v>235000</v>
      </c>
      <c r="J213" s="2560"/>
      <c r="K213" s="279"/>
      <c r="L213" s="45"/>
      <c r="M213" s="2834"/>
      <c r="N213" s="2834"/>
      <c r="O213" s="2834"/>
      <c r="P213" s="2834"/>
      <c r="Q213" s="107"/>
      <c r="R213" s="45"/>
      <c r="S213" s="44"/>
      <c r="T213" s="45"/>
      <c r="U213" s="279"/>
      <c r="V213" s="2839" t="s">
        <v>881</v>
      </c>
      <c r="W213" s="2840"/>
      <c r="X213" s="288" t="s">
        <v>496</v>
      </c>
      <c r="Y213" s="170" t="s">
        <v>497</v>
      </c>
      <c r="Z213" s="2559">
        <v>5</v>
      </c>
      <c r="AA213" s="2560"/>
      <c r="AB213" s="2921">
        <v>47000</v>
      </c>
      <c r="AC213" s="2922">
        <f t="shared" si="53"/>
        <v>38202.400000000001</v>
      </c>
      <c r="AD213" s="2559">
        <f t="shared" si="47"/>
        <v>235000</v>
      </c>
      <c r="AE213" s="2560"/>
      <c r="AF213" s="279"/>
      <c r="AG213" s="45"/>
      <c r="AH213" s="206"/>
      <c r="AI213" s="206"/>
      <c r="AJ213" s="206"/>
      <c r="AK213" s="206"/>
      <c r="AL213" s="107"/>
      <c r="AM213" s="45"/>
      <c r="AN213" s="45"/>
      <c r="AO213" s="45"/>
    </row>
    <row r="214" spans="1:41" ht="15.95" customHeight="1" x14ac:dyDescent="0.4">
      <c r="A214" s="2839" t="s">
        <v>882</v>
      </c>
      <c r="B214" s="2840"/>
      <c r="C214" s="120" t="s">
        <v>496</v>
      </c>
      <c r="D214" s="170" t="s">
        <v>497</v>
      </c>
      <c r="E214" s="2576">
        <v>5</v>
      </c>
      <c r="F214" s="2880"/>
      <c r="G214" s="2641">
        <v>47000</v>
      </c>
      <c r="H214" s="2642">
        <f t="shared" si="52"/>
        <v>38202.400000000001</v>
      </c>
      <c r="I214" s="2559">
        <f t="shared" si="49"/>
        <v>235000</v>
      </c>
      <c r="J214" s="2560"/>
      <c r="K214" s="279"/>
      <c r="L214" s="45"/>
      <c r="M214" s="2834"/>
      <c r="N214" s="2834"/>
      <c r="O214" s="2834"/>
      <c r="P214" s="2834"/>
      <c r="Q214" s="273"/>
      <c r="R214" s="44"/>
      <c r="S214" s="45"/>
      <c r="T214" s="45"/>
      <c r="U214" s="279"/>
      <c r="V214" s="2839" t="s">
        <v>882</v>
      </c>
      <c r="W214" s="2840"/>
      <c r="X214" s="288" t="s">
        <v>496</v>
      </c>
      <c r="Y214" s="170" t="s">
        <v>497</v>
      </c>
      <c r="Z214" s="2576">
        <v>5</v>
      </c>
      <c r="AA214" s="2880"/>
      <c r="AB214" s="2921">
        <v>47000</v>
      </c>
      <c r="AC214" s="2922">
        <f t="shared" si="53"/>
        <v>38202.400000000001</v>
      </c>
      <c r="AD214" s="2559">
        <f t="shared" si="47"/>
        <v>235000</v>
      </c>
      <c r="AE214" s="2560"/>
      <c r="AF214" s="279"/>
      <c r="AG214" s="45"/>
      <c r="AH214" s="2834"/>
      <c r="AI214" s="2834"/>
      <c r="AJ214" s="2834"/>
      <c r="AK214" s="2834"/>
      <c r="AL214" s="107"/>
      <c r="AM214" s="44"/>
      <c r="AN214" s="44"/>
      <c r="AO214" s="45"/>
    </row>
    <row r="215" spans="1:41" ht="15.95" customHeight="1" x14ac:dyDescent="0.3">
      <c r="A215" s="2911" t="s">
        <v>1023</v>
      </c>
      <c r="B215" s="2912"/>
      <c r="C215" s="187"/>
      <c r="D215" s="170"/>
      <c r="E215" s="2576"/>
      <c r="F215" s="2880"/>
      <c r="G215" s="2576"/>
      <c r="H215" s="2880"/>
      <c r="I215" s="2565">
        <f>SUM(I216:J221)</f>
        <v>1976238.8599999999</v>
      </c>
      <c r="J215" s="2566"/>
      <c r="K215" s="279"/>
      <c r="L215" s="45"/>
      <c r="M215" s="45"/>
      <c r="N215" s="45"/>
      <c r="O215" s="45"/>
      <c r="P215" s="45"/>
      <c r="Q215" s="45"/>
      <c r="R215" s="44"/>
      <c r="S215" s="45"/>
      <c r="T215" s="45"/>
      <c r="U215" s="279"/>
      <c r="V215" s="2911" t="s">
        <v>1023</v>
      </c>
      <c r="W215" s="2912"/>
      <c r="X215" s="187"/>
      <c r="Y215" s="170"/>
      <c r="Z215" s="2576"/>
      <c r="AA215" s="2880"/>
      <c r="AB215" s="2576"/>
      <c r="AC215" s="2880"/>
      <c r="AD215" s="2565">
        <f>SUM(AD216:AE221)</f>
        <v>4836993.0640000002</v>
      </c>
      <c r="AE215" s="2566"/>
      <c r="AF215" s="279"/>
      <c r="AG215" s="45"/>
      <c r="AH215" s="2834"/>
      <c r="AI215" s="2834"/>
      <c r="AJ215" s="2834"/>
      <c r="AK215" s="2834"/>
      <c r="AL215" s="107"/>
      <c r="AM215" s="44"/>
      <c r="AN215" s="45"/>
      <c r="AO215" s="45"/>
    </row>
    <row r="216" spans="1:41" ht="15.95" customHeight="1" x14ac:dyDescent="0.4">
      <c r="A216" s="2839" t="s">
        <v>884</v>
      </c>
      <c r="B216" s="2840"/>
      <c r="C216" s="120" t="s">
        <v>496</v>
      </c>
      <c r="D216" s="170" t="s">
        <v>497</v>
      </c>
      <c r="E216" s="2576">
        <v>10</v>
      </c>
      <c r="F216" s="2880"/>
      <c r="G216" s="2641">
        <v>47000</v>
      </c>
      <c r="H216" s="2642">
        <f t="shared" ref="H216:H219" si="54">(36040*6%)+36040</f>
        <v>38202.400000000001</v>
      </c>
      <c r="I216" s="2559">
        <f>E216*G216</f>
        <v>470000</v>
      </c>
      <c r="J216" s="2560"/>
      <c r="K216" s="279"/>
      <c r="L216" s="45"/>
      <c r="M216" s="45"/>
      <c r="N216" s="45"/>
      <c r="O216" s="45"/>
      <c r="P216" s="45"/>
      <c r="Q216" s="45"/>
      <c r="R216" s="44"/>
      <c r="S216" s="45"/>
      <c r="T216" s="45"/>
      <c r="U216" s="279"/>
      <c r="V216" s="2839" t="s">
        <v>884</v>
      </c>
      <c r="W216" s="2840"/>
      <c r="X216" s="288" t="s">
        <v>496</v>
      </c>
      <c r="Y216" s="170" t="s">
        <v>497</v>
      </c>
      <c r="Z216" s="2576">
        <v>30</v>
      </c>
      <c r="AA216" s="2880"/>
      <c r="AB216" s="2921">
        <v>47000</v>
      </c>
      <c r="AC216" s="2922">
        <f t="shared" ref="AC216" si="55">(36040*6%)+36040</f>
        <v>38202.400000000001</v>
      </c>
      <c r="AD216" s="2559">
        <f t="shared" ref="AD216:AD221" si="56">Z216*AB216</f>
        <v>1410000</v>
      </c>
      <c r="AE216" s="2560"/>
      <c r="AF216" s="279"/>
      <c r="AG216" s="45"/>
      <c r="AH216" s="2834"/>
      <c r="AI216" s="2834"/>
      <c r="AJ216" s="2834"/>
      <c r="AK216" s="2834"/>
      <c r="AL216" s="107"/>
      <c r="AM216" s="44"/>
      <c r="AN216" s="45"/>
      <c r="AO216" s="45"/>
    </row>
    <row r="217" spans="1:41" ht="15.95" customHeight="1" x14ac:dyDescent="0.4">
      <c r="A217" s="2839" t="s">
        <v>1024</v>
      </c>
      <c r="B217" s="2840"/>
      <c r="C217" s="120" t="s">
        <v>496</v>
      </c>
      <c r="D217" s="170" t="s">
        <v>497</v>
      </c>
      <c r="E217" s="2576">
        <v>1</v>
      </c>
      <c r="F217" s="2880"/>
      <c r="G217" s="2641">
        <v>47000</v>
      </c>
      <c r="H217" s="2642">
        <f t="shared" si="54"/>
        <v>38202.400000000001</v>
      </c>
      <c r="I217" s="2559">
        <f>E217*G217</f>
        <v>47000</v>
      </c>
      <c r="J217" s="2560"/>
      <c r="K217" s="279"/>
      <c r="L217" s="45"/>
      <c r="M217" s="45"/>
      <c r="N217" s="45"/>
      <c r="O217" s="45"/>
      <c r="P217" s="45"/>
      <c r="Q217" s="45"/>
      <c r="R217" s="45"/>
      <c r="S217" s="45"/>
      <c r="T217" s="45"/>
      <c r="U217" s="279"/>
      <c r="V217" s="2839" t="s">
        <v>1024</v>
      </c>
      <c r="W217" s="2840"/>
      <c r="X217" s="288"/>
      <c r="Y217" s="170"/>
      <c r="Z217" s="2576"/>
      <c r="AA217" s="2880"/>
      <c r="AB217" s="2576"/>
      <c r="AC217" s="2880"/>
      <c r="AD217" s="2559">
        <f t="shared" si="56"/>
        <v>0</v>
      </c>
      <c r="AE217" s="2560"/>
      <c r="AF217" s="279"/>
      <c r="AG217" s="45"/>
      <c r="AH217" s="45"/>
      <c r="AI217" s="45"/>
      <c r="AJ217" s="45"/>
      <c r="AK217" s="45"/>
      <c r="AL217" s="45"/>
      <c r="AM217" s="45"/>
      <c r="AN217" s="45"/>
      <c r="AO217" s="45"/>
    </row>
    <row r="218" spans="1:41" ht="15.95" customHeight="1" x14ac:dyDescent="0.4">
      <c r="A218" s="2839" t="s">
        <v>893</v>
      </c>
      <c r="B218" s="2840"/>
      <c r="C218" s="120" t="s">
        <v>496</v>
      </c>
      <c r="D218" s="170" t="s">
        <v>497</v>
      </c>
      <c r="E218" s="2576">
        <v>2</v>
      </c>
      <c r="F218" s="2880"/>
      <c r="G218" s="2641">
        <v>47000</v>
      </c>
      <c r="H218" s="2642">
        <f t="shared" si="54"/>
        <v>38202.400000000001</v>
      </c>
      <c r="I218" s="2559">
        <f>E218*G218</f>
        <v>94000</v>
      </c>
      <c r="J218" s="2560"/>
      <c r="K218" s="279"/>
      <c r="L218" s="45"/>
      <c r="M218" s="45"/>
      <c r="N218" s="45"/>
      <c r="O218" s="45"/>
      <c r="P218" s="45"/>
      <c r="Q218" s="45"/>
      <c r="R218" s="45"/>
      <c r="S218" s="45"/>
      <c r="T218" s="45"/>
      <c r="U218" s="279"/>
      <c r="V218" s="2839" t="s">
        <v>893</v>
      </c>
      <c r="W218" s="2840"/>
      <c r="X218" s="288" t="s">
        <v>496</v>
      </c>
      <c r="Y218" s="170" t="s">
        <v>497</v>
      </c>
      <c r="Z218" s="2576">
        <v>25</v>
      </c>
      <c r="AA218" s="2880"/>
      <c r="AB218" s="2921">
        <v>47000</v>
      </c>
      <c r="AC218" s="2922">
        <f t="shared" ref="AC218" si="57">(36040*6%)+36040</f>
        <v>38202.400000000001</v>
      </c>
      <c r="AD218" s="2559">
        <f t="shared" si="56"/>
        <v>1175000</v>
      </c>
      <c r="AE218" s="2560"/>
      <c r="AF218" s="279"/>
      <c r="AG218" s="45"/>
      <c r="AH218" s="45"/>
      <c r="AI218" s="45"/>
      <c r="AJ218" s="45"/>
      <c r="AK218" s="45"/>
      <c r="AL218" s="45"/>
      <c r="AM218" s="45"/>
      <c r="AN218" s="45"/>
      <c r="AO218" s="45"/>
    </row>
    <row r="219" spans="1:41" ht="15.95" customHeight="1" x14ac:dyDescent="0.4">
      <c r="A219" s="2839" t="s">
        <v>728</v>
      </c>
      <c r="B219" s="2840"/>
      <c r="C219" s="120" t="s">
        <v>496</v>
      </c>
      <c r="D219" s="170" t="s">
        <v>497</v>
      </c>
      <c r="E219" s="2576">
        <v>1</v>
      </c>
      <c r="F219" s="2880"/>
      <c r="G219" s="2641">
        <v>47000</v>
      </c>
      <c r="H219" s="2642">
        <f t="shared" si="54"/>
        <v>38202.400000000001</v>
      </c>
      <c r="I219" s="2559">
        <f>E219*G219</f>
        <v>47000</v>
      </c>
      <c r="J219" s="2560"/>
      <c r="K219" s="279"/>
      <c r="L219" s="45"/>
      <c r="M219" s="45"/>
      <c r="N219" s="45"/>
      <c r="O219" s="45"/>
      <c r="P219" s="45"/>
      <c r="Q219" s="45"/>
      <c r="R219" s="45"/>
      <c r="S219" s="45"/>
      <c r="T219" s="45"/>
      <c r="U219" s="279"/>
      <c r="V219" s="2839" t="s">
        <v>728</v>
      </c>
      <c r="W219" s="2840"/>
      <c r="X219" s="288"/>
      <c r="Y219" s="170"/>
      <c r="Z219" s="2576"/>
      <c r="AA219" s="2880"/>
      <c r="AB219" s="2576"/>
      <c r="AC219" s="2880"/>
      <c r="AD219" s="2559">
        <f t="shared" si="56"/>
        <v>0</v>
      </c>
      <c r="AE219" s="2560"/>
      <c r="AF219" s="279"/>
      <c r="AG219" s="45"/>
      <c r="AH219" s="45"/>
      <c r="AI219" s="45"/>
      <c r="AJ219" s="45"/>
      <c r="AK219" s="45"/>
      <c r="AL219" s="45"/>
      <c r="AM219" s="45"/>
      <c r="AN219" s="45"/>
      <c r="AO219" s="45"/>
    </row>
    <row r="220" spans="1:41" ht="15.95" customHeight="1" x14ac:dyDescent="0.3">
      <c r="A220" s="2839" t="s">
        <v>765</v>
      </c>
      <c r="B220" s="2840"/>
      <c r="C220" s="187"/>
      <c r="D220" s="170" t="s">
        <v>794</v>
      </c>
      <c r="E220" s="2576"/>
      <c r="F220" s="2880"/>
      <c r="G220" s="2576"/>
      <c r="H220" s="2880"/>
      <c r="I220" s="2559">
        <v>400000</v>
      </c>
      <c r="J220" s="2560"/>
      <c r="K220" s="279"/>
      <c r="L220" s="45"/>
      <c r="M220" s="45"/>
      <c r="N220" s="45"/>
      <c r="O220" s="45"/>
      <c r="P220" s="45"/>
      <c r="Q220" s="45"/>
      <c r="R220" s="45"/>
      <c r="S220" s="45"/>
      <c r="T220" s="45"/>
      <c r="U220" s="279"/>
      <c r="V220" s="2839" t="s">
        <v>765</v>
      </c>
      <c r="W220" s="2840"/>
      <c r="X220" s="187"/>
      <c r="Y220" s="170" t="s">
        <v>794</v>
      </c>
      <c r="Z220" s="2576"/>
      <c r="AA220" s="2880"/>
      <c r="AB220" s="2576"/>
      <c r="AC220" s="2880"/>
      <c r="AD220" s="2559">
        <f>250000*1.0928</f>
        <v>273200</v>
      </c>
      <c r="AE220" s="2560"/>
      <c r="AF220" s="279"/>
      <c r="AG220" s="45"/>
      <c r="AH220" s="45"/>
      <c r="AI220" s="45"/>
      <c r="AJ220" s="45"/>
      <c r="AK220" s="45"/>
      <c r="AL220" s="45"/>
      <c r="AM220" s="45"/>
      <c r="AN220" s="45"/>
      <c r="AO220" s="45"/>
    </row>
    <row r="221" spans="1:41" ht="15.95" customHeight="1" x14ac:dyDescent="0.3">
      <c r="A221" s="2839" t="s">
        <v>615</v>
      </c>
      <c r="B221" s="2840"/>
      <c r="C221" s="120" t="s">
        <v>1079</v>
      </c>
      <c r="D221" s="170" t="s">
        <v>497</v>
      </c>
      <c r="E221" s="2576">
        <v>350</v>
      </c>
      <c r="F221" s="2880"/>
      <c r="G221" s="2576">
        <f>2400.75*1.0928</f>
        <v>2623.5396000000001</v>
      </c>
      <c r="H221" s="2880">
        <f t="shared" ref="H221" si="58">(2014*6%)+2014</f>
        <v>2134.84</v>
      </c>
      <c r="I221" s="2559">
        <f>E221*G221</f>
        <v>918238.86</v>
      </c>
      <c r="J221" s="2560"/>
      <c r="K221" s="279"/>
      <c r="L221" s="45"/>
      <c r="M221" s="45"/>
      <c r="N221" s="45"/>
      <c r="O221" s="45"/>
      <c r="P221" s="45"/>
      <c r="Q221" s="45"/>
      <c r="R221" s="45"/>
      <c r="S221" s="45"/>
      <c r="T221" s="45"/>
      <c r="U221" s="279"/>
      <c r="V221" s="2839" t="s">
        <v>615</v>
      </c>
      <c r="W221" s="2840"/>
      <c r="X221" s="187"/>
      <c r="Y221" s="170" t="s">
        <v>556</v>
      </c>
      <c r="Z221" s="2576">
        <v>15</v>
      </c>
      <c r="AA221" s="2880"/>
      <c r="AB221" s="2559">
        <f>120717*1.0928</f>
        <v>131919.53760000001</v>
      </c>
      <c r="AC221" s="2918"/>
      <c r="AD221" s="2559">
        <f t="shared" si="56"/>
        <v>1978793.0640000002</v>
      </c>
      <c r="AE221" s="2560"/>
      <c r="AF221" s="279"/>
      <c r="AG221" s="45"/>
      <c r="AH221" s="45"/>
      <c r="AI221" s="45"/>
      <c r="AJ221" s="45"/>
      <c r="AK221" s="45"/>
      <c r="AL221" s="45"/>
      <c r="AM221" s="45"/>
      <c r="AN221" s="45"/>
      <c r="AO221" s="45"/>
    </row>
    <row r="222" spans="1:41" ht="15.95" customHeight="1" thickBot="1" x14ac:dyDescent="0.25">
      <c r="A222" s="208" t="s">
        <v>558</v>
      </c>
      <c r="B222" s="209"/>
      <c r="C222" s="210"/>
      <c r="D222" s="211"/>
      <c r="E222" s="2561">
        <f>SUM(E182:F219)</f>
        <v>101</v>
      </c>
      <c r="F222" s="2562"/>
      <c r="G222" s="2563"/>
      <c r="H222" s="2564"/>
      <c r="I222" s="2561">
        <f>SUM(I215+I196+I185+I181+I178)</f>
        <v>5963238.8599999994</v>
      </c>
      <c r="J222" s="2562"/>
      <c r="K222" s="279"/>
      <c r="L222" s="45"/>
      <c r="M222" s="45"/>
      <c r="N222" s="45"/>
      <c r="O222" s="45"/>
      <c r="P222" s="45"/>
      <c r="Q222" s="45"/>
      <c r="R222" s="45"/>
      <c r="S222" s="45"/>
      <c r="T222" s="45"/>
      <c r="U222" s="279"/>
      <c r="V222" s="208" t="s">
        <v>558</v>
      </c>
      <c r="W222" s="209"/>
      <c r="X222" s="210"/>
      <c r="Y222" s="209"/>
      <c r="Z222" s="2561">
        <f>SUM(Z204:AA218)</f>
        <v>130</v>
      </c>
      <c r="AA222" s="2562"/>
      <c r="AB222" s="2561"/>
      <c r="AC222" s="2562"/>
      <c r="AD222" s="2561">
        <f>SUM(AD215+AD196+AD185+AD181+AD178)</f>
        <v>8361993.0640000002</v>
      </c>
      <c r="AE222" s="2562"/>
      <c r="AF222" s="293"/>
      <c r="AG222" s="45"/>
      <c r="AH222" s="45"/>
      <c r="AI222" s="45"/>
      <c r="AJ222" s="45"/>
      <c r="AK222" s="45"/>
      <c r="AL222" s="45"/>
      <c r="AM222" s="45"/>
      <c r="AN222" s="45"/>
      <c r="AO222" s="45"/>
    </row>
    <row r="223" spans="1:41" ht="15.95" customHeight="1" x14ac:dyDescent="0.2">
      <c r="A223" s="45"/>
      <c r="B223" s="45"/>
      <c r="C223" s="45"/>
      <c r="D223" s="45"/>
      <c r="E223" s="45"/>
      <c r="F223" s="45"/>
      <c r="G223" s="45"/>
      <c r="H223" s="274"/>
      <c r="I223" s="275"/>
      <c r="J223" s="275"/>
      <c r="K223" s="286"/>
      <c r="L223" s="45"/>
      <c r="M223" s="45"/>
      <c r="N223" s="45"/>
      <c r="O223" s="45"/>
      <c r="P223" s="45"/>
      <c r="Q223" s="45"/>
      <c r="R223" s="45"/>
      <c r="S223" s="276"/>
      <c r="T223" s="276"/>
      <c r="U223" s="286"/>
      <c r="V223" s="277"/>
      <c r="W223" s="277"/>
      <c r="X223" s="277"/>
      <c r="Y223" s="277"/>
      <c r="Z223" s="275"/>
      <c r="AA223" s="275"/>
      <c r="AB223" s="275"/>
      <c r="AC223" s="275"/>
      <c r="AD223" s="275"/>
      <c r="AE223" s="275"/>
      <c r="AF223" s="294"/>
      <c r="AG223" s="276"/>
      <c r="AH223" s="276"/>
      <c r="AI223" s="276"/>
      <c r="AJ223" s="276"/>
      <c r="AK223" s="276"/>
      <c r="AL223" s="276"/>
      <c r="AM223" s="276"/>
      <c r="AN223" s="276"/>
      <c r="AO223" s="276"/>
    </row>
    <row r="224" spans="1:41" ht="15.95" customHeight="1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2909"/>
      <c r="T224" s="2909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2909"/>
      <c r="AO224" s="2909"/>
    </row>
    <row r="225" spans="1:41" ht="15.95" customHeight="1" x14ac:dyDescent="0.2">
      <c r="A225" s="2654"/>
      <c r="B225" s="2654"/>
      <c r="C225" s="2654"/>
      <c r="D225" s="2654"/>
      <c r="E225" s="2654"/>
      <c r="F225" s="2654"/>
      <c r="G225" s="2654"/>
      <c r="H225" s="2654"/>
      <c r="I225" s="2654"/>
      <c r="J225" s="2654"/>
      <c r="K225" s="2654"/>
      <c r="L225" s="2654"/>
      <c r="M225" s="2654"/>
      <c r="N225" s="2654"/>
      <c r="O225" s="2654"/>
      <c r="P225" s="2654"/>
      <c r="Q225" s="2654"/>
      <c r="R225" s="2654"/>
      <c r="S225" s="2654"/>
      <c r="T225" s="2654"/>
      <c r="U225" s="2654"/>
      <c r="V225" s="2654"/>
      <c r="W225" s="2654"/>
      <c r="X225" s="2654"/>
      <c r="Y225" s="2654"/>
      <c r="Z225" s="2654"/>
      <c r="AA225" s="2654"/>
      <c r="AB225" s="2654"/>
      <c r="AC225" s="2654"/>
      <c r="AD225" s="2654"/>
      <c r="AE225" s="2654"/>
      <c r="AF225" s="2654"/>
      <c r="AG225" s="2654"/>
      <c r="AH225" s="2654"/>
      <c r="AI225" s="2654"/>
      <c r="AJ225" s="2654"/>
      <c r="AK225" s="2654"/>
      <c r="AL225" s="2654"/>
      <c r="AM225" s="2654"/>
      <c r="AN225" s="2654"/>
      <c r="AO225" s="2654"/>
    </row>
    <row r="226" spans="1:41" ht="15.95" customHeight="1" x14ac:dyDescent="0.2">
      <c r="A226" s="277"/>
      <c r="B226" s="277"/>
      <c r="C226" s="277"/>
      <c r="D226" s="278"/>
      <c r="E226" s="275"/>
      <c r="F226" s="275"/>
      <c r="G226" s="274"/>
      <c r="H226" s="274"/>
      <c r="I226" s="275"/>
      <c r="J226" s="275"/>
      <c r="K226" s="28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7"/>
      <c r="W226" s="277"/>
      <c r="X226" s="277"/>
      <c r="Y226" s="278"/>
      <c r="Z226" s="275"/>
      <c r="AA226" s="275"/>
      <c r="AB226" s="274"/>
      <c r="AC226" s="274"/>
      <c r="AD226" s="275"/>
      <c r="AE226" s="275"/>
      <c r="AF226" s="286"/>
      <c r="AG226" s="276"/>
      <c r="AH226" s="276"/>
      <c r="AI226" s="276"/>
      <c r="AJ226" s="276"/>
      <c r="AK226" s="276"/>
      <c r="AL226" s="276"/>
      <c r="AM226" s="276"/>
      <c r="AN226" s="276"/>
      <c r="AO226" s="276"/>
    </row>
    <row r="227" spans="1:41" ht="15.95" customHeight="1" x14ac:dyDescent="0.2">
      <c r="A227" s="2611" t="s">
        <v>1952</v>
      </c>
      <c r="B227" s="2611"/>
      <c r="C227" s="2611"/>
      <c r="D227" s="2611"/>
      <c r="E227" s="2611"/>
      <c r="F227" s="2611"/>
      <c r="G227" s="2611"/>
      <c r="H227" s="2611"/>
      <c r="I227" s="2611"/>
      <c r="J227" s="2611"/>
      <c r="K227" s="2611"/>
      <c r="L227" s="2611"/>
      <c r="M227" s="2611"/>
      <c r="N227" s="2611"/>
      <c r="O227" s="2611"/>
      <c r="P227" s="2611"/>
      <c r="Q227" s="2611"/>
      <c r="R227" s="2611"/>
      <c r="S227" s="2611"/>
      <c r="T227" s="2611"/>
      <c r="U227" s="47"/>
      <c r="V227" s="2611" t="s">
        <v>1953</v>
      </c>
      <c r="W227" s="2611"/>
      <c r="X227" s="2611"/>
      <c r="Y227" s="2611"/>
      <c r="Z227" s="2611"/>
      <c r="AA227" s="2611"/>
      <c r="AB227" s="2611"/>
      <c r="AC227" s="2611"/>
      <c r="AD227" s="2611"/>
      <c r="AE227" s="2611"/>
      <c r="AF227" s="2611"/>
      <c r="AG227" s="2611"/>
      <c r="AH227" s="2611"/>
      <c r="AI227" s="2611"/>
      <c r="AJ227" s="2611"/>
      <c r="AK227" s="2611"/>
      <c r="AL227" s="2611"/>
      <c r="AM227" s="2611"/>
      <c r="AN227" s="2611"/>
      <c r="AO227" s="2611"/>
    </row>
    <row r="228" spans="1:41" ht="15.95" customHeight="1" thickBot="1" x14ac:dyDescent="0.25">
      <c r="A228" s="2611"/>
      <c r="B228" s="2611"/>
      <c r="C228" s="2611"/>
      <c r="D228" s="2611"/>
      <c r="E228" s="2611"/>
      <c r="F228" s="2611"/>
      <c r="G228" s="2611"/>
      <c r="H228" s="2611"/>
      <c r="I228" s="2611"/>
      <c r="J228" s="2611"/>
      <c r="K228" s="2611"/>
      <c r="L228" s="2611"/>
      <c r="M228" s="2611"/>
      <c r="N228" s="2611"/>
      <c r="O228" s="2611"/>
      <c r="P228" s="2611"/>
      <c r="Q228" s="2611"/>
      <c r="R228" s="2611"/>
      <c r="S228" s="2611"/>
      <c r="T228" s="2611"/>
      <c r="U228" s="279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279"/>
      <c r="AG228" s="279"/>
      <c r="AH228" s="279"/>
      <c r="AI228" s="279"/>
      <c r="AJ228" s="279"/>
      <c r="AK228" s="279"/>
      <c r="AL228" s="279"/>
      <c r="AM228" s="279"/>
      <c r="AN228" s="279"/>
      <c r="AO228" s="279"/>
    </row>
    <row r="229" spans="1:41" ht="15.95" customHeight="1" x14ac:dyDescent="0.3">
      <c r="A229" s="2618" t="s">
        <v>435</v>
      </c>
      <c r="B229" s="2620"/>
      <c r="C229" s="2618" t="s">
        <v>436</v>
      </c>
      <c r="D229" s="2619"/>
      <c r="E229" s="2619"/>
      <c r="F229" s="2620"/>
      <c r="G229" s="2618" t="s">
        <v>437</v>
      </c>
      <c r="H229" s="2620"/>
      <c r="I229" s="2618" t="s">
        <v>438</v>
      </c>
      <c r="J229" s="2620"/>
      <c r="K229" s="45"/>
      <c r="L229" s="2633" t="s">
        <v>435</v>
      </c>
      <c r="M229" s="2618" t="s">
        <v>436</v>
      </c>
      <c r="N229" s="2619"/>
      <c r="O229" s="2619"/>
      <c r="P229" s="2620"/>
      <c r="Q229" s="2618" t="s">
        <v>437</v>
      </c>
      <c r="R229" s="2620"/>
      <c r="S229" s="2618"/>
      <c r="T229" s="2620"/>
      <c r="U229" s="268"/>
      <c r="V229" s="2618" t="s">
        <v>435</v>
      </c>
      <c r="W229" s="2620"/>
      <c r="X229" s="2618" t="s">
        <v>436</v>
      </c>
      <c r="Y229" s="2619"/>
      <c r="Z229" s="2619"/>
      <c r="AA229" s="2620"/>
      <c r="AB229" s="2618" t="s">
        <v>437</v>
      </c>
      <c r="AC229" s="2620"/>
      <c r="AD229" s="2618" t="s">
        <v>438</v>
      </c>
      <c r="AE229" s="2620"/>
      <c r="AF229" s="45"/>
      <c r="AG229" s="2633" t="s">
        <v>435</v>
      </c>
      <c r="AH229" s="2618" t="s">
        <v>436</v>
      </c>
      <c r="AI229" s="2619"/>
      <c r="AJ229" s="2619"/>
      <c r="AK229" s="2620"/>
      <c r="AL229" s="2618" t="s">
        <v>437</v>
      </c>
      <c r="AM229" s="2620"/>
      <c r="AN229" s="2618"/>
      <c r="AO229" s="2900"/>
    </row>
    <row r="230" spans="1:41" ht="15.95" customHeight="1" thickBot="1" x14ac:dyDescent="0.35">
      <c r="A230" s="2631"/>
      <c r="B230" s="2632"/>
      <c r="C230" s="2621"/>
      <c r="D230" s="2622"/>
      <c r="E230" s="2622"/>
      <c r="F230" s="2623"/>
      <c r="G230" s="2631" t="s">
        <v>440</v>
      </c>
      <c r="H230" s="2632"/>
      <c r="I230" s="2631"/>
      <c r="J230" s="2632"/>
      <c r="K230" s="45"/>
      <c r="L230" s="2670"/>
      <c r="M230" s="2621"/>
      <c r="N230" s="2622"/>
      <c r="O230" s="2622"/>
      <c r="P230" s="2623"/>
      <c r="Q230" s="2631" t="s">
        <v>440</v>
      </c>
      <c r="R230" s="2632"/>
      <c r="S230" s="2631" t="s">
        <v>274</v>
      </c>
      <c r="T230" s="2632"/>
      <c r="U230" s="268"/>
      <c r="V230" s="2631"/>
      <c r="W230" s="2632"/>
      <c r="X230" s="2621"/>
      <c r="Y230" s="2622"/>
      <c r="Z230" s="2622"/>
      <c r="AA230" s="2623"/>
      <c r="AB230" s="2631" t="s">
        <v>440</v>
      </c>
      <c r="AC230" s="2632"/>
      <c r="AD230" s="2631"/>
      <c r="AE230" s="2632"/>
      <c r="AF230" s="45"/>
      <c r="AG230" s="2670"/>
      <c r="AH230" s="2621"/>
      <c r="AI230" s="2622"/>
      <c r="AJ230" s="2622"/>
      <c r="AK230" s="2623"/>
      <c r="AL230" s="2631" t="s">
        <v>440</v>
      </c>
      <c r="AM230" s="2632"/>
      <c r="AN230" s="2631" t="s">
        <v>274</v>
      </c>
      <c r="AO230" s="2880"/>
    </row>
    <row r="231" spans="1:41" ht="15.95" customHeight="1" x14ac:dyDescent="0.3">
      <c r="A231" s="2631"/>
      <c r="B231" s="2632"/>
      <c r="C231" s="53" t="s">
        <v>441</v>
      </c>
      <c r="D231" s="2670" t="s">
        <v>442</v>
      </c>
      <c r="E231" s="2631" t="s">
        <v>443</v>
      </c>
      <c r="F231" s="2632"/>
      <c r="G231" s="2631" t="s">
        <v>444</v>
      </c>
      <c r="H231" s="2632"/>
      <c r="I231" s="2631" t="s">
        <v>348</v>
      </c>
      <c r="J231" s="2632"/>
      <c r="K231" s="45"/>
      <c r="L231" s="2670"/>
      <c r="M231" s="51" t="s">
        <v>441</v>
      </c>
      <c r="N231" s="2633" t="s">
        <v>442</v>
      </c>
      <c r="O231" s="2618" t="s">
        <v>443</v>
      </c>
      <c r="P231" s="2620"/>
      <c r="Q231" s="2631" t="s">
        <v>444</v>
      </c>
      <c r="R231" s="2632"/>
      <c r="S231" s="2631" t="s">
        <v>348</v>
      </c>
      <c r="T231" s="2632"/>
      <c r="U231" s="268"/>
      <c r="V231" s="2631"/>
      <c r="W231" s="2632"/>
      <c r="X231" s="53" t="s">
        <v>441</v>
      </c>
      <c r="Y231" s="2670" t="s">
        <v>442</v>
      </c>
      <c r="Z231" s="2631" t="s">
        <v>443</v>
      </c>
      <c r="AA231" s="2632"/>
      <c r="AB231" s="2631" t="s">
        <v>444</v>
      </c>
      <c r="AC231" s="2632"/>
      <c r="AD231" s="2631" t="s">
        <v>348</v>
      </c>
      <c r="AE231" s="2632"/>
      <c r="AF231" s="45"/>
      <c r="AG231" s="2670"/>
      <c r="AH231" s="51" t="s">
        <v>441</v>
      </c>
      <c r="AI231" s="2670" t="s">
        <v>442</v>
      </c>
      <c r="AJ231" s="2631" t="s">
        <v>443</v>
      </c>
      <c r="AK231" s="2632"/>
      <c r="AL231" s="2631" t="s">
        <v>444</v>
      </c>
      <c r="AM231" s="2632"/>
      <c r="AN231" s="2631" t="s">
        <v>348</v>
      </c>
      <c r="AO231" s="2880"/>
    </row>
    <row r="232" spans="1:41" ht="15.95" customHeight="1" thickBot="1" x14ac:dyDescent="0.35">
      <c r="A232" s="2621"/>
      <c r="B232" s="2623"/>
      <c r="C232" s="54" t="s">
        <v>445</v>
      </c>
      <c r="D232" s="2634"/>
      <c r="E232" s="2621"/>
      <c r="F232" s="2623"/>
      <c r="G232" s="2621"/>
      <c r="H232" s="2623"/>
      <c r="I232" s="2621"/>
      <c r="J232" s="2623"/>
      <c r="K232" s="45"/>
      <c r="L232" s="2634"/>
      <c r="M232" s="50" t="s">
        <v>445</v>
      </c>
      <c r="N232" s="2634"/>
      <c r="O232" s="2621"/>
      <c r="P232" s="2623"/>
      <c r="Q232" s="2621"/>
      <c r="R232" s="2623"/>
      <c r="S232" s="2621"/>
      <c r="T232" s="2623"/>
      <c r="U232" s="268"/>
      <c r="V232" s="2621"/>
      <c r="W232" s="2623"/>
      <c r="X232" s="54" t="s">
        <v>445</v>
      </c>
      <c r="Y232" s="2634"/>
      <c r="Z232" s="2621"/>
      <c r="AA232" s="2623"/>
      <c r="AB232" s="2621"/>
      <c r="AC232" s="2623"/>
      <c r="AD232" s="2621"/>
      <c r="AE232" s="2623"/>
      <c r="AF232" s="45"/>
      <c r="AG232" s="2634"/>
      <c r="AH232" s="50" t="s">
        <v>445</v>
      </c>
      <c r="AI232" s="2634"/>
      <c r="AJ232" s="2621"/>
      <c r="AK232" s="2623"/>
      <c r="AL232" s="2621"/>
      <c r="AM232" s="2623"/>
      <c r="AN232" s="2901"/>
      <c r="AO232" s="2902"/>
    </row>
    <row r="233" spans="1:41" ht="15.95" customHeight="1" x14ac:dyDescent="0.3">
      <c r="A233" s="2913" t="s">
        <v>446</v>
      </c>
      <c r="B233" s="2914"/>
      <c r="C233" s="184"/>
      <c r="D233" s="170"/>
      <c r="E233" s="2576"/>
      <c r="F233" s="2880"/>
      <c r="G233" s="2576"/>
      <c r="H233" s="2880"/>
      <c r="I233" s="2576"/>
      <c r="J233" s="2880"/>
      <c r="K233" s="279"/>
      <c r="L233" s="119" t="s">
        <v>447</v>
      </c>
      <c r="M233" s="185"/>
      <c r="N233" s="186"/>
      <c r="O233" s="2605"/>
      <c r="P233" s="2606"/>
      <c r="Q233" s="2605"/>
      <c r="R233" s="2606"/>
      <c r="S233" s="2605"/>
      <c r="T233" s="2606"/>
      <c r="U233" s="287"/>
      <c r="V233" s="2913" t="s">
        <v>446</v>
      </c>
      <c r="W233" s="2914"/>
      <c r="X233" s="184"/>
      <c r="Y233" s="170"/>
      <c r="Z233" s="2576"/>
      <c r="AA233" s="2880"/>
      <c r="AB233" s="2576"/>
      <c r="AC233" s="2880"/>
      <c r="AD233" s="2576"/>
      <c r="AE233" s="2880"/>
      <c r="AF233" s="279"/>
      <c r="AG233" s="119" t="s">
        <v>447</v>
      </c>
      <c r="AH233" s="185"/>
      <c r="AI233" s="186"/>
      <c r="AJ233" s="2605"/>
      <c r="AK233" s="2606"/>
      <c r="AL233" s="2605"/>
      <c r="AM233" s="2606"/>
      <c r="AN233" s="2605"/>
      <c r="AO233" s="2606"/>
    </row>
    <row r="234" spans="1:41" ht="15.95" customHeight="1" x14ac:dyDescent="0.35">
      <c r="A234" s="2911" t="s">
        <v>979</v>
      </c>
      <c r="B234" s="2912"/>
      <c r="C234" s="187"/>
      <c r="D234" s="170"/>
      <c r="E234" s="2576"/>
      <c r="F234" s="2880"/>
      <c r="G234" s="2576"/>
      <c r="H234" s="2880"/>
      <c r="I234" s="2897">
        <f>SUM(I235:J236)</f>
        <v>0</v>
      </c>
      <c r="J234" s="2892"/>
      <c r="K234" s="279"/>
      <c r="L234" s="122"/>
      <c r="M234" s="188"/>
      <c r="N234" s="170"/>
      <c r="O234" s="2559"/>
      <c r="P234" s="2560"/>
      <c r="Q234" s="2559"/>
      <c r="R234" s="2560"/>
      <c r="S234" s="2559"/>
      <c r="T234" s="2560"/>
      <c r="U234" s="287"/>
      <c r="V234" s="2911" t="s">
        <v>979</v>
      </c>
      <c r="W234" s="2912"/>
      <c r="X234" s="187"/>
      <c r="Y234" s="170"/>
      <c r="Z234" s="2576"/>
      <c r="AA234" s="2880"/>
      <c r="AB234" s="2576"/>
      <c r="AC234" s="2880"/>
      <c r="AD234" s="2897">
        <f>SUM(AD235:AE236)</f>
        <v>0</v>
      </c>
      <c r="AE234" s="2892"/>
      <c r="AF234" s="279"/>
      <c r="AG234" s="122"/>
      <c r="AH234" s="188"/>
      <c r="AI234" s="170"/>
      <c r="AJ234" s="2559"/>
      <c r="AK234" s="2560"/>
      <c r="AL234" s="2559"/>
      <c r="AM234" s="2560"/>
      <c r="AN234" s="2559"/>
      <c r="AO234" s="2560"/>
    </row>
    <row r="235" spans="1:41" ht="15.95" customHeight="1" x14ac:dyDescent="0.3">
      <c r="A235" s="2915" t="s">
        <v>980</v>
      </c>
      <c r="B235" s="2916"/>
      <c r="C235" s="187"/>
      <c r="D235" s="170"/>
      <c r="E235" s="2576"/>
      <c r="F235" s="2880"/>
      <c r="G235" s="2576"/>
      <c r="H235" s="2880"/>
      <c r="I235" s="2559">
        <f>E235*G235</f>
        <v>0</v>
      </c>
      <c r="J235" s="2560"/>
      <c r="K235" s="279"/>
      <c r="L235" s="122" t="s">
        <v>450</v>
      </c>
      <c r="M235" s="170"/>
      <c r="N235" s="170"/>
      <c r="O235" s="2559"/>
      <c r="P235" s="2560"/>
      <c r="Q235" s="2559"/>
      <c r="R235" s="2560"/>
      <c r="S235" s="2559">
        <f t="shared" ref="S235:S244" si="59">O235*Q235</f>
        <v>0</v>
      </c>
      <c r="T235" s="2560"/>
      <c r="U235" s="287"/>
      <c r="V235" s="2915" t="s">
        <v>980</v>
      </c>
      <c r="W235" s="2916"/>
      <c r="X235" s="187"/>
      <c r="Y235" s="170"/>
      <c r="Z235" s="2576"/>
      <c r="AA235" s="2880"/>
      <c r="AB235" s="2576"/>
      <c r="AC235" s="2880"/>
      <c r="AD235" s="2559">
        <f>Z235*AB235</f>
        <v>0</v>
      </c>
      <c r="AE235" s="2560"/>
      <c r="AF235" s="279"/>
      <c r="AG235" s="122" t="s">
        <v>450</v>
      </c>
      <c r="AH235" s="170"/>
      <c r="AI235" s="170"/>
      <c r="AJ235" s="2559"/>
      <c r="AK235" s="2560"/>
      <c r="AL235" s="2559"/>
      <c r="AM235" s="2560"/>
      <c r="AN235" s="2559">
        <f t="shared" ref="AN235:AN252" si="60">AJ235*AL235</f>
        <v>0</v>
      </c>
      <c r="AO235" s="2560"/>
    </row>
    <row r="236" spans="1:41" ht="15.95" customHeight="1" x14ac:dyDescent="0.3">
      <c r="A236" s="2915" t="s">
        <v>981</v>
      </c>
      <c r="B236" s="2916"/>
      <c r="C236" s="187"/>
      <c r="D236" s="170"/>
      <c r="E236" s="2576"/>
      <c r="F236" s="2880"/>
      <c r="G236" s="2576"/>
      <c r="H236" s="2880"/>
      <c r="I236" s="2559">
        <f>E236*G236</f>
        <v>0</v>
      </c>
      <c r="J236" s="2560"/>
      <c r="K236" s="279"/>
      <c r="L236" s="122" t="s">
        <v>853</v>
      </c>
      <c r="M236" s="37"/>
      <c r="N236" s="120" t="s">
        <v>1080</v>
      </c>
      <c r="O236" s="2559">
        <v>625</v>
      </c>
      <c r="P236" s="2560"/>
      <c r="Q236" s="2559">
        <f>1133*1.0928</f>
        <v>1238.1424</v>
      </c>
      <c r="R236" s="2560"/>
      <c r="S236" s="2559">
        <f t="shared" si="59"/>
        <v>773839</v>
      </c>
      <c r="T236" s="2560"/>
      <c r="U236" s="287"/>
      <c r="V236" s="2915" t="s">
        <v>981</v>
      </c>
      <c r="W236" s="2916"/>
      <c r="X236" s="187"/>
      <c r="Y236" s="170"/>
      <c r="Z236" s="2576"/>
      <c r="AA236" s="2880"/>
      <c r="AB236" s="2576"/>
      <c r="AC236" s="2880"/>
      <c r="AD236" s="2559">
        <f>Z236*AB236</f>
        <v>0</v>
      </c>
      <c r="AE236" s="2560"/>
      <c r="AF236" s="279"/>
      <c r="AG236" s="122" t="s">
        <v>853</v>
      </c>
      <c r="AH236" s="281"/>
      <c r="AI236" s="170"/>
      <c r="AJ236" s="2559"/>
      <c r="AK236" s="2560"/>
      <c r="AL236" s="2559"/>
      <c r="AM236" s="2560"/>
      <c r="AN236" s="2559">
        <f t="shared" si="60"/>
        <v>0</v>
      </c>
      <c r="AO236" s="2560"/>
    </row>
    <row r="237" spans="1:41" ht="15.95" customHeight="1" x14ac:dyDescent="0.35">
      <c r="A237" s="2911" t="s">
        <v>990</v>
      </c>
      <c r="B237" s="2912"/>
      <c r="C237" s="187"/>
      <c r="D237" s="170"/>
      <c r="E237" s="2576"/>
      <c r="F237" s="2880"/>
      <c r="G237" s="2576"/>
      <c r="H237" s="2880"/>
      <c r="I237" s="2897">
        <f>SUM(I238:J239)</f>
        <v>0</v>
      </c>
      <c r="J237" s="2892"/>
      <c r="K237" s="279"/>
      <c r="L237" s="122" t="s">
        <v>1081</v>
      </c>
      <c r="M237" s="170" t="s">
        <v>825</v>
      </c>
      <c r="N237" s="170" t="s">
        <v>452</v>
      </c>
      <c r="O237" s="2559">
        <v>2</v>
      </c>
      <c r="P237" s="2560"/>
      <c r="Q237" s="2559">
        <v>25671</v>
      </c>
      <c r="R237" s="2560"/>
      <c r="S237" s="2559">
        <f t="shared" si="59"/>
        <v>51342</v>
      </c>
      <c r="T237" s="2560"/>
      <c r="U237" s="287"/>
      <c r="V237" s="2911" t="s">
        <v>990</v>
      </c>
      <c r="W237" s="2912"/>
      <c r="X237" s="187"/>
      <c r="Y237" s="170"/>
      <c r="Z237" s="2576"/>
      <c r="AA237" s="2880"/>
      <c r="AB237" s="2576"/>
      <c r="AC237" s="2880"/>
      <c r="AD237" s="2897">
        <f>SUM(AD238:AE239)</f>
        <v>0</v>
      </c>
      <c r="AE237" s="2892"/>
      <c r="AF237" s="279"/>
      <c r="AG237" s="122" t="s">
        <v>1054</v>
      </c>
      <c r="AH237" s="170"/>
      <c r="AI237" s="170"/>
      <c r="AJ237" s="2559"/>
      <c r="AK237" s="2560"/>
      <c r="AL237" s="2559"/>
      <c r="AM237" s="2560"/>
      <c r="AN237" s="2559">
        <f t="shared" si="60"/>
        <v>0</v>
      </c>
      <c r="AO237" s="2560"/>
    </row>
    <row r="238" spans="1:41" ht="15.95" customHeight="1" x14ac:dyDescent="0.3">
      <c r="A238" s="2915" t="s">
        <v>991</v>
      </c>
      <c r="B238" s="2916"/>
      <c r="C238" s="187"/>
      <c r="D238" s="170"/>
      <c r="E238" s="2576"/>
      <c r="F238" s="2880"/>
      <c r="G238" s="2576"/>
      <c r="H238" s="2880"/>
      <c r="I238" s="2559">
        <f>E238*G238</f>
        <v>0</v>
      </c>
      <c r="J238" s="2560"/>
      <c r="K238" s="279"/>
      <c r="L238" s="122" t="s">
        <v>861</v>
      </c>
      <c r="M238" s="170" t="s">
        <v>1082</v>
      </c>
      <c r="N238" s="170" t="s">
        <v>473</v>
      </c>
      <c r="O238" s="2571">
        <v>1</v>
      </c>
      <c r="P238" s="2572"/>
      <c r="Q238" s="2559">
        <f>46925*1.0928</f>
        <v>51279.64</v>
      </c>
      <c r="R238" s="2560"/>
      <c r="S238" s="2559">
        <f t="shared" si="59"/>
        <v>51279.64</v>
      </c>
      <c r="T238" s="2560"/>
      <c r="U238" s="287"/>
      <c r="V238" s="2915" t="s">
        <v>991</v>
      </c>
      <c r="W238" s="2916"/>
      <c r="X238" s="187"/>
      <c r="Y238" s="170"/>
      <c r="Z238" s="2576"/>
      <c r="AA238" s="2880"/>
      <c r="AB238" s="2576"/>
      <c r="AC238" s="2880"/>
      <c r="AD238" s="2559">
        <f>Z238*AB238</f>
        <v>0</v>
      </c>
      <c r="AE238" s="2560"/>
      <c r="AF238" s="279"/>
      <c r="AG238" s="122" t="s">
        <v>861</v>
      </c>
      <c r="AH238" s="170"/>
      <c r="AI238" s="170"/>
      <c r="AJ238" s="2559"/>
      <c r="AK238" s="2560"/>
      <c r="AL238" s="2559"/>
      <c r="AM238" s="2560"/>
      <c r="AN238" s="2559">
        <f t="shared" si="60"/>
        <v>0</v>
      </c>
      <c r="AO238" s="2560"/>
    </row>
    <row r="239" spans="1:41" ht="15.95" customHeight="1" x14ac:dyDescent="0.3">
      <c r="A239" s="2915" t="s">
        <v>981</v>
      </c>
      <c r="B239" s="2916"/>
      <c r="C239" s="187"/>
      <c r="D239" s="170"/>
      <c r="E239" s="2576"/>
      <c r="F239" s="2880"/>
      <c r="G239" s="2576"/>
      <c r="H239" s="2880"/>
      <c r="I239" s="2559">
        <f>E239*G239</f>
        <v>0</v>
      </c>
      <c r="J239" s="2560"/>
      <c r="K239" s="279"/>
      <c r="L239" s="122" t="s">
        <v>863</v>
      </c>
      <c r="M239" s="170" t="s">
        <v>1083</v>
      </c>
      <c r="N239" s="170" t="s">
        <v>452</v>
      </c>
      <c r="O239" s="2559">
        <v>2</v>
      </c>
      <c r="P239" s="2560"/>
      <c r="Q239" s="2559">
        <f>4710*1.0928</f>
        <v>5147.0879999999997</v>
      </c>
      <c r="R239" s="2560"/>
      <c r="S239" s="2559">
        <f t="shared" si="59"/>
        <v>10294.175999999999</v>
      </c>
      <c r="T239" s="2560"/>
      <c r="U239" s="287"/>
      <c r="V239" s="2915" t="s">
        <v>981</v>
      </c>
      <c r="W239" s="2916"/>
      <c r="X239" s="187"/>
      <c r="Y239" s="170"/>
      <c r="Z239" s="2576"/>
      <c r="AA239" s="2880"/>
      <c r="AB239" s="2576"/>
      <c r="AC239" s="2880"/>
      <c r="AD239" s="2559">
        <f>Z239*AB239</f>
        <v>0</v>
      </c>
      <c r="AE239" s="2560"/>
      <c r="AF239" s="279"/>
      <c r="AG239" s="122" t="s">
        <v>863</v>
      </c>
      <c r="AH239" s="170"/>
      <c r="AI239" s="170"/>
      <c r="AJ239" s="2559"/>
      <c r="AK239" s="2560"/>
      <c r="AL239" s="2559"/>
      <c r="AM239" s="2560"/>
      <c r="AN239" s="2559">
        <f t="shared" si="60"/>
        <v>0</v>
      </c>
      <c r="AO239" s="2560"/>
    </row>
    <row r="240" spans="1:41" ht="15.95" customHeight="1" x14ac:dyDescent="0.3">
      <c r="A240" s="2915" t="s">
        <v>992</v>
      </c>
      <c r="B240" s="2916"/>
      <c r="C240" s="187"/>
      <c r="D240" s="170"/>
      <c r="E240" s="2576"/>
      <c r="F240" s="2880"/>
      <c r="G240" s="2576"/>
      <c r="H240" s="2880"/>
      <c r="I240" s="2559">
        <f>E240*G240</f>
        <v>0</v>
      </c>
      <c r="J240" s="2560"/>
      <c r="K240" s="279"/>
      <c r="L240" s="122" t="s">
        <v>534</v>
      </c>
      <c r="M240" s="188"/>
      <c r="N240" s="170"/>
      <c r="O240" s="2559"/>
      <c r="P240" s="2560"/>
      <c r="Q240" s="2559"/>
      <c r="R240" s="2560"/>
      <c r="S240" s="2559">
        <f t="shared" si="59"/>
        <v>0</v>
      </c>
      <c r="T240" s="2560"/>
      <c r="U240" s="287"/>
      <c r="V240" s="2915" t="s">
        <v>992</v>
      </c>
      <c r="W240" s="2916"/>
      <c r="X240" s="187"/>
      <c r="Y240" s="170"/>
      <c r="Z240" s="2576"/>
      <c r="AA240" s="2880"/>
      <c r="AB240" s="2576"/>
      <c r="AC240" s="2880"/>
      <c r="AD240" s="2559">
        <f>Z240*AB240</f>
        <v>0</v>
      </c>
      <c r="AE240" s="2560"/>
      <c r="AF240" s="279"/>
      <c r="AG240" s="122" t="s">
        <v>534</v>
      </c>
      <c r="AH240" s="170"/>
      <c r="AI240" s="170"/>
      <c r="AJ240" s="2559"/>
      <c r="AK240" s="2560"/>
      <c r="AL240" s="2559"/>
      <c r="AM240" s="2560"/>
      <c r="AN240" s="2559">
        <f t="shared" si="60"/>
        <v>0</v>
      </c>
      <c r="AO240" s="2560"/>
    </row>
    <row r="241" spans="1:41" ht="15.95" customHeight="1" x14ac:dyDescent="0.35">
      <c r="A241" s="2998" t="s">
        <v>993</v>
      </c>
      <c r="B241" s="2999"/>
      <c r="C241" s="288"/>
      <c r="D241" s="170"/>
      <c r="E241" s="2576"/>
      <c r="F241" s="2880"/>
      <c r="G241" s="2576"/>
      <c r="H241" s="2880"/>
      <c r="I241" s="2565">
        <f>SUM(I242:J251)</f>
        <v>1410000</v>
      </c>
      <c r="J241" s="2892"/>
      <c r="K241" s="279"/>
      <c r="L241" s="122" t="s">
        <v>535</v>
      </c>
      <c r="M241" s="170" t="s">
        <v>753</v>
      </c>
      <c r="N241" s="170" t="s">
        <v>851</v>
      </c>
      <c r="O241" s="2559">
        <v>2</v>
      </c>
      <c r="P241" s="2560"/>
      <c r="Q241" s="2895">
        <v>188974</v>
      </c>
      <c r="R241" s="2896"/>
      <c r="S241" s="2559">
        <f t="shared" si="59"/>
        <v>377948</v>
      </c>
      <c r="T241" s="2560"/>
      <c r="U241" s="287"/>
      <c r="V241" s="2998" t="s">
        <v>1035</v>
      </c>
      <c r="W241" s="2999"/>
      <c r="X241" s="288"/>
      <c r="Y241" s="170"/>
      <c r="Z241" s="2576"/>
      <c r="AA241" s="2880"/>
      <c r="AB241" s="2576"/>
      <c r="AC241" s="2880"/>
      <c r="AD241" s="2565">
        <f>SUM(AD242:AE251)</f>
        <v>0</v>
      </c>
      <c r="AE241" s="2892"/>
      <c r="AF241" s="279"/>
      <c r="AG241" s="122" t="s">
        <v>535</v>
      </c>
      <c r="AH241" s="170"/>
      <c r="AI241" s="170"/>
      <c r="AJ241" s="2559"/>
      <c r="AK241" s="2560"/>
      <c r="AL241" s="2559"/>
      <c r="AM241" s="2560"/>
      <c r="AN241" s="2559">
        <f t="shared" si="60"/>
        <v>0</v>
      </c>
      <c r="AO241" s="2560"/>
    </row>
    <row r="242" spans="1:41" ht="15.95" customHeight="1" x14ac:dyDescent="0.2">
      <c r="A242" s="2839" t="s">
        <v>991</v>
      </c>
      <c r="B242" s="2840"/>
      <c r="C242" s="120" t="s">
        <v>496</v>
      </c>
      <c r="D242" s="170" t="s">
        <v>497</v>
      </c>
      <c r="E242" s="2559">
        <v>15</v>
      </c>
      <c r="F242" s="2560"/>
      <c r="G242" s="2895">
        <v>47000</v>
      </c>
      <c r="H242" s="2896">
        <f t="shared" ref="H242" si="61">(36040*6%)+36040</f>
        <v>38202.400000000001</v>
      </c>
      <c r="I242" s="2559">
        <f t="shared" ref="I242:I251" si="62">E242*G242</f>
        <v>705000</v>
      </c>
      <c r="J242" s="2560"/>
      <c r="K242" s="279"/>
      <c r="L242" s="122" t="s">
        <v>537</v>
      </c>
      <c r="M242" s="170"/>
      <c r="N242" s="170"/>
      <c r="O242" s="2559"/>
      <c r="P242" s="2560"/>
      <c r="Q242" s="2559"/>
      <c r="R242" s="2560"/>
      <c r="S242" s="2559">
        <f t="shared" si="59"/>
        <v>0</v>
      </c>
      <c r="T242" s="2560"/>
      <c r="U242" s="287"/>
      <c r="V242" s="2839" t="s">
        <v>991</v>
      </c>
      <c r="W242" s="2840"/>
      <c r="X242" s="288"/>
      <c r="Y242" s="170"/>
      <c r="Z242" s="2559"/>
      <c r="AA242" s="2560"/>
      <c r="AB242" s="2559"/>
      <c r="AC242" s="2560"/>
      <c r="AD242" s="2559">
        <f>Z242*AB242</f>
        <v>0</v>
      </c>
      <c r="AE242" s="2560"/>
      <c r="AF242" s="279"/>
      <c r="AG242" s="122" t="s">
        <v>537</v>
      </c>
      <c r="AH242" s="170"/>
      <c r="AI242" s="170"/>
      <c r="AJ242" s="2559"/>
      <c r="AK242" s="2560"/>
      <c r="AL242" s="2559"/>
      <c r="AM242" s="2560"/>
      <c r="AN242" s="2559">
        <f t="shared" si="60"/>
        <v>0</v>
      </c>
      <c r="AO242" s="2560"/>
    </row>
    <row r="243" spans="1:41" ht="15.95" customHeight="1" x14ac:dyDescent="0.3">
      <c r="A243" s="2839" t="s">
        <v>996</v>
      </c>
      <c r="B243" s="2840"/>
      <c r="C243" s="187"/>
      <c r="D243" s="170"/>
      <c r="E243" s="2559"/>
      <c r="F243" s="2560"/>
      <c r="G243" s="2576"/>
      <c r="H243" s="2880"/>
      <c r="I243" s="2559">
        <f t="shared" si="62"/>
        <v>0</v>
      </c>
      <c r="J243" s="2560"/>
      <c r="K243" s="279"/>
      <c r="L243" s="122" t="s">
        <v>866</v>
      </c>
      <c r="M243" s="170" t="s">
        <v>613</v>
      </c>
      <c r="N243" s="170" t="s">
        <v>851</v>
      </c>
      <c r="O243" s="2559">
        <v>4</v>
      </c>
      <c r="P243" s="2560"/>
      <c r="Q243" s="2559">
        <v>13291</v>
      </c>
      <c r="R243" s="2560"/>
      <c r="S243" s="2559">
        <f t="shared" si="59"/>
        <v>53164</v>
      </c>
      <c r="T243" s="2560"/>
      <c r="U243" s="287"/>
      <c r="V243" s="2839" t="s">
        <v>996</v>
      </c>
      <c r="W243" s="2840"/>
      <c r="X243" s="187"/>
      <c r="Y243" s="170"/>
      <c r="Z243" s="2559"/>
      <c r="AA243" s="2560"/>
      <c r="AB243" s="2559"/>
      <c r="AC243" s="2560"/>
      <c r="AD243" s="2559">
        <f>Z243*AB243</f>
        <v>0</v>
      </c>
      <c r="AE243" s="2560"/>
      <c r="AF243" s="279"/>
      <c r="AG243" s="122" t="s">
        <v>866</v>
      </c>
      <c r="AH243" s="170"/>
      <c r="AI243" s="170"/>
      <c r="AJ243" s="2559"/>
      <c r="AK243" s="2560"/>
      <c r="AL243" s="2559"/>
      <c r="AM243" s="2560"/>
      <c r="AN243" s="2559">
        <f t="shared" si="60"/>
        <v>0</v>
      </c>
      <c r="AO243" s="2560"/>
    </row>
    <row r="244" spans="1:41" ht="15.95" customHeight="1" x14ac:dyDescent="0.2">
      <c r="A244" s="2839" t="s">
        <v>469</v>
      </c>
      <c r="B244" s="2840"/>
      <c r="C244" s="187"/>
      <c r="D244" s="170"/>
      <c r="E244" s="2559"/>
      <c r="F244" s="2560"/>
      <c r="G244" s="2559"/>
      <c r="H244" s="2560"/>
      <c r="I244" s="2559">
        <f t="shared" si="62"/>
        <v>0</v>
      </c>
      <c r="J244" s="2560"/>
      <c r="K244" s="279"/>
      <c r="L244" s="122" t="s">
        <v>456</v>
      </c>
      <c r="M244" s="170" t="s">
        <v>710</v>
      </c>
      <c r="N244" s="170" t="s">
        <v>556</v>
      </c>
      <c r="O244" s="2559">
        <v>1</v>
      </c>
      <c r="P244" s="2560"/>
      <c r="Q244" s="2559">
        <f>180902*1.0928</f>
        <v>197689.70559999999</v>
      </c>
      <c r="R244" s="2560"/>
      <c r="S244" s="2559">
        <f t="shared" si="59"/>
        <v>197689.70559999999</v>
      </c>
      <c r="T244" s="2560"/>
      <c r="U244" s="287"/>
      <c r="V244" s="2839" t="s">
        <v>469</v>
      </c>
      <c r="W244" s="2840"/>
      <c r="X244" s="187"/>
      <c r="Y244" s="170"/>
      <c r="Z244" s="2559"/>
      <c r="AA244" s="2560"/>
      <c r="AB244" s="2559"/>
      <c r="AC244" s="2560"/>
      <c r="AD244" s="2559">
        <f t="shared" ref="AD244:AD251" si="63">Z244*AB244</f>
        <v>0</v>
      </c>
      <c r="AE244" s="2560"/>
      <c r="AF244" s="279"/>
      <c r="AG244" s="122" t="s">
        <v>456</v>
      </c>
      <c r="AH244" s="170" t="s">
        <v>710</v>
      </c>
      <c r="AI244" s="170" t="s">
        <v>452</v>
      </c>
      <c r="AJ244" s="2559">
        <v>750</v>
      </c>
      <c r="AK244" s="2560"/>
      <c r="AL244" s="2559">
        <f>239*1.0928</f>
        <v>261.17919999999998</v>
      </c>
      <c r="AM244" s="2560"/>
      <c r="AN244" s="2559">
        <f t="shared" si="60"/>
        <v>195884.4</v>
      </c>
      <c r="AO244" s="2560"/>
    </row>
    <row r="245" spans="1:41" ht="15.95" customHeight="1" x14ac:dyDescent="0.2">
      <c r="A245" s="2839" t="s">
        <v>470</v>
      </c>
      <c r="B245" s="2840"/>
      <c r="C245" s="187"/>
      <c r="D245" s="170"/>
      <c r="E245" s="2559"/>
      <c r="F245" s="2560"/>
      <c r="G245" s="2559"/>
      <c r="H245" s="2560"/>
      <c r="I245" s="2559">
        <f t="shared" si="62"/>
        <v>0</v>
      </c>
      <c r="J245" s="2560"/>
      <c r="K245" s="279"/>
      <c r="L245" s="122" t="s">
        <v>570</v>
      </c>
      <c r="M245" s="170" t="s">
        <v>1084</v>
      </c>
      <c r="N245" s="170" t="s">
        <v>1085</v>
      </c>
      <c r="O245" s="2571">
        <v>0.5</v>
      </c>
      <c r="P245" s="2572"/>
      <c r="Q245" s="2559">
        <f>167487*1.0928</f>
        <v>183029.7936</v>
      </c>
      <c r="R245" s="2560"/>
      <c r="S245" s="2559">
        <f>O245*Q245</f>
        <v>91514.896800000002</v>
      </c>
      <c r="T245" s="2560"/>
      <c r="U245" s="287"/>
      <c r="V245" s="2839" t="s">
        <v>470</v>
      </c>
      <c r="W245" s="2840"/>
      <c r="X245" s="187"/>
      <c r="Y245" s="170"/>
      <c r="Z245" s="2559"/>
      <c r="AA245" s="2560"/>
      <c r="AB245" s="2559"/>
      <c r="AC245" s="2560"/>
      <c r="AD245" s="2559">
        <f t="shared" si="63"/>
        <v>0</v>
      </c>
      <c r="AE245" s="2560"/>
      <c r="AF245" s="279"/>
      <c r="AG245" s="122" t="s">
        <v>570</v>
      </c>
      <c r="AH245" s="170" t="s">
        <v>184</v>
      </c>
      <c r="AI245" s="170" t="s">
        <v>732</v>
      </c>
      <c r="AJ245" s="2571">
        <v>0.3</v>
      </c>
      <c r="AK245" s="2572"/>
      <c r="AL245" s="2559">
        <f>167487*1.0928</f>
        <v>183029.7936</v>
      </c>
      <c r="AM245" s="2560"/>
      <c r="AN245" s="2559">
        <f t="shared" si="60"/>
        <v>54908.93808</v>
      </c>
      <c r="AO245" s="2560"/>
    </row>
    <row r="246" spans="1:41" ht="15.95" customHeight="1" x14ac:dyDescent="0.3">
      <c r="A246" s="2839" t="s">
        <v>1068</v>
      </c>
      <c r="B246" s="2840"/>
      <c r="C246" s="120" t="s">
        <v>496</v>
      </c>
      <c r="D246" s="170" t="s">
        <v>497</v>
      </c>
      <c r="E246" s="2559">
        <v>15</v>
      </c>
      <c r="F246" s="2560"/>
      <c r="G246" s="2895">
        <v>47000</v>
      </c>
      <c r="H246" s="2896">
        <f t="shared" ref="H246" si="64">(36040*6%)+36040</f>
        <v>38202.400000000001</v>
      </c>
      <c r="I246" s="2559">
        <f t="shared" si="62"/>
        <v>705000</v>
      </c>
      <c r="J246" s="2560"/>
      <c r="K246" s="279"/>
      <c r="L246" s="122" t="s">
        <v>595</v>
      </c>
      <c r="M246" s="170"/>
      <c r="N246" s="170"/>
      <c r="O246" s="2559"/>
      <c r="P246" s="2560"/>
      <c r="Q246" s="2559"/>
      <c r="R246" s="2560"/>
      <c r="S246" s="2559">
        <f t="shared" ref="S246:S251" si="65">O246*Q246</f>
        <v>0</v>
      </c>
      <c r="T246" s="2560"/>
      <c r="U246" s="287"/>
      <c r="V246" s="2839" t="s">
        <v>1068</v>
      </c>
      <c r="W246" s="2840"/>
      <c r="X246" s="288"/>
      <c r="Y246" s="170"/>
      <c r="Z246" s="2559"/>
      <c r="AA246" s="2560"/>
      <c r="AB246" s="2559"/>
      <c r="AC246" s="2880"/>
      <c r="AD246" s="2559">
        <f t="shared" si="63"/>
        <v>0</v>
      </c>
      <c r="AE246" s="2560"/>
      <c r="AF246" s="279"/>
      <c r="AG246" s="289" t="s">
        <v>595</v>
      </c>
      <c r="AH246" s="170"/>
      <c r="AI246" s="170"/>
      <c r="AJ246" s="2559"/>
      <c r="AK246" s="2560"/>
      <c r="AL246" s="2559"/>
      <c r="AM246" s="2560"/>
      <c r="AN246" s="2559">
        <f t="shared" si="60"/>
        <v>0</v>
      </c>
      <c r="AO246" s="2560"/>
    </row>
    <row r="247" spans="1:41" ht="15.95" customHeight="1" x14ac:dyDescent="0.3">
      <c r="A247" s="2839" t="s">
        <v>998</v>
      </c>
      <c r="B247" s="2840"/>
      <c r="C247" s="187"/>
      <c r="D247" s="170"/>
      <c r="E247" s="2576"/>
      <c r="F247" s="2880"/>
      <c r="G247" s="2576"/>
      <c r="H247" s="2880"/>
      <c r="I247" s="2559">
        <f t="shared" si="62"/>
        <v>0</v>
      </c>
      <c r="J247" s="2560"/>
      <c r="K247" s="279"/>
      <c r="L247" s="122" t="s">
        <v>507</v>
      </c>
      <c r="M247" s="170"/>
      <c r="N247" s="170"/>
      <c r="O247" s="2559"/>
      <c r="P247" s="2560"/>
      <c r="Q247" s="2559"/>
      <c r="R247" s="2560"/>
      <c r="S247" s="2559">
        <f t="shared" si="65"/>
        <v>0</v>
      </c>
      <c r="T247" s="2560"/>
      <c r="U247" s="287"/>
      <c r="V247" s="2839" t="s">
        <v>998</v>
      </c>
      <c r="W247" s="2840"/>
      <c r="X247" s="187"/>
      <c r="Y247" s="170"/>
      <c r="Z247" s="2576"/>
      <c r="AA247" s="2880"/>
      <c r="AB247" s="2576"/>
      <c r="AC247" s="2880"/>
      <c r="AD247" s="2559">
        <f t="shared" si="63"/>
        <v>0</v>
      </c>
      <c r="AE247" s="2560"/>
      <c r="AF247" s="279"/>
      <c r="AG247" s="122" t="s">
        <v>507</v>
      </c>
      <c r="AH247" s="170" t="s">
        <v>1033</v>
      </c>
      <c r="AI247" s="170" t="s">
        <v>497</v>
      </c>
      <c r="AJ247" s="2559">
        <v>1400</v>
      </c>
      <c r="AK247" s="2560"/>
      <c r="AL247" s="2559">
        <f>358*1.0928</f>
        <v>391.22239999999999</v>
      </c>
      <c r="AM247" s="2560"/>
      <c r="AN247" s="2559">
        <f t="shared" si="60"/>
        <v>547711.36</v>
      </c>
      <c r="AO247" s="2560"/>
    </row>
    <row r="248" spans="1:41" ht="15.95" customHeight="1" x14ac:dyDescent="0.3">
      <c r="A248" s="2839" t="s">
        <v>999</v>
      </c>
      <c r="B248" s="2840"/>
      <c r="C248" s="187"/>
      <c r="D248" s="170"/>
      <c r="E248" s="2576"/>
      <c r="F248" s="2880"/>
      <c r="G248" s="2576"/>
      <c r="H248" s="2880"/>
      <c r="I248" s="2559">
        <f t="shared" si="62"/>
        <v>0</v>
      </c>
      <c r="J248" s="2560"/>
      <c r="K248" s="279"/>
      <c r="L248" s="122" t="s">
        <v>801</v>
      </c>
      <c r="M248" s="170" t="s">
        <v>739</v>
      </c>
      <c r="N248" s="170" t="s">
        <v>739</v>
      </c>
      <c r="O248" s="2559">
        <v>1</v>
      </c>
      <c r="P248" s="2560"/>
      <c r="Q248" s="2559">
        <f>12760*1.0928</f>
        <v>13944.128000000001</v>
      </c>
      <c r="R248" s="2560"/>
      <c r="S248" s="2559">
        <f t="shared" si="65"/>
        <v>13944.128000000001</v>
      </c>
      <c r="T248" s="2560"/>
      <c r="U248" s="287"/>
      <c r="V248" s="2839" t="s">
        <v>999</v>
      </c>
      <c r="W248" s="2840"/>
      <c r="X248" s="187"/>
      <c r="Y248" s="170"/>
      <c r="Z248" s="2576"/>
      <c r="AA248" s="2880"/>
      <c r="AB248" s="2576"/>
      <c r="AC248" s="2880"/>
      <c r="AD248" s="2559">
        <f t="shared" si="63"/>
        <v>0</v>
      </c>
      <c r="AE248" s="2560"/>
      <c r="AF248" s="279"/>
      <c r="AG248" s="122" t="s">
        <v>801</v>
      </c>
      <c r="AH248" s="170"/>
      <c r="AI248" s="170"/>
      <c r="AJ248" s="2559"/>
      <c r="AK248" s="2560"/>
      <c r="AL248" s="2559"/>
      <c r="AM248" s="2560"/>
      <c r="AN248" s="2559">
        <f t="shared" si="60"/>
        <v>0</v>
      </c>
      <c r="AO248" s="2560"/>
    </row>
    <row r="249" spans="1:41" ht="15.95" customHeight="1" x14ac:dyDescent="0.3">
      <c r="A249" s="2839" t="s">
        <v>873</v>
      </c>
      <c r="B249" s="2840"/>
      <c r="C249" s="187"/>
      <c r="D249" s="170"/>
      <c r="E249" s="2576"/>
      <c r="F249" s="2880"/>
      <c r="G249" s="2576"/>
      <c r="H249" s="2880"/>
      <c r="I249" s="2559">
        <f t="shared" si="62"/>
        <v>0</v>
      </c>
      <c r="J249" s="2560"/>
      <c r="K249" s="279"/>
      <c r="L249" s="122" t="s">
        <v>575</v>
      </c>
      <c r="M249" s="170" t="s">
        <v>1086</v>
      </c>
      <c r="N249" s="170" t="s">
        <v>452</v>
      </c>
      <c r="O249" s="2559">
        <v>230</v>
      </c>
      <c r="P249" s="2560"/>
      <c r="Q249" s="2559">
        <f>5618*1.0928</f>
        <v>6139.3504000000003</v>
      </c>
      <c r="R249" s="2560"/>
      <c r="S249" s="2559">
        <f t="shared" si="65"/>
        <v>1412050.5919999999</v>
      </c>
      <c r="T249" s="2560"/>
      <c r="U249" s="287"/>
      <c r="V249" s="2839" t="s">
        <v>873</v>
      </c>
      <c r="W249" s="2840"/>
      <c r="X249" s="187"/>
      <c r="Y249" s="170"/>
      <c r="Z249" s="2576"/>
      <c r="AA249" s="2880"/>
      <c r="AB249" s="2576"/>
      <c r="AC249" s="2880"/>
      <c r="AD249" s="2559">
        <f t="shared" si="63"/>
        <v>0</v>
      </c>
      <c r="AE249" s="2560"/>
      <c r="AF249" s="279"/>
      <c r="AG249" s="122" t="s">
        <v>575</v>
      </c>
      <c r="AH249" s="170"/>
      <c r="AI249" s="170"/>
      <c r="AJ249" s="2559"/>
      <c r="AK249" s="2560"/>
      <c r="AL249" s="2559"/>
      <c r="AM249" s="2560"/>
      <c r="AN249" s="2559">
        <f t="shared" si="60"/>
        <v>0</v>
      </c>
      <c r="AO249" s="2560"/>
    </row>
    <row r="250" spans="1:41" ht="15.95" customHeight="1" x14ac:dyDescent="0.3">
      <c r="A250" s="2839" t="s">
        <v>1000</v>
      </c>
      <c r="B250" s="2840"/>
      <c r="C250" s="187"/>
      <c r="D250" s="170"/>
      <c r="E250" s="2576"/>
      <c r="F250" s="2880"/>
      <c r="G250" s="2576"/>
      <c r="H250" s="2880"/>
      <c r="I250" s="2559">
        <f t="shared" si="62"/>
        <v>0</v>
      </c>
      <c r="J250" s="2560"/>
      <c r="K250" s="279"/>
      <c r="L250" s="122" t="s">
        <v>874</v>
      </c>
      <c r="M250" s="170" t="s">
        <v>719</v>
      </c>
      <c r="N250" s="170" t="s">
        <v>1087</v>
      </c>
      <c r="O250" s="2559">
        <v>320</v>
      </c>
      <c r="P250" s="2560"/>
      <c r="Q250" s="2559">
        <f>10007*1.0928</f>
        <v>10935.649600000001</v>
      </c>
      <c r="R250" s="2560"/>
      <c r="S250" s="2559">
        <f t="shared" si="65"/>
        <v>3499407.8720000004</v>
      </c>
      <c r="T250" s="2560"/>
      <c r="U250" s="287"/>
      <c r="V250" s="2839" t="s">
        <v>1000</v>
      </c>
      <c r="W250" s="2840"/>
      <c r="X250" s="187"/>
      <c r="Y250" s="170"/>
      <c r="Z250" s="2576"/>
      <c r="AA250" s="2880"/>
      <c r="AB250" s="2576"/>
      <c r="AC250" s="2880"/>
      <c r="AD250" s="2559">
        <f t="shared" si="63"/>
        <v>0</v>
      </c>
      <c r="AE250" s="2560"/>
      <c r="AF250" s="279"/>
      <c r="AG250" s="122" t="s">
        <v>874</v>
      </c>
      <c r="AH250" s="170"/>
      <c r="AI250" s="170"/>
      <c r="AJ250" s="2559"/>
      <c r="AK250" s="2560"/>
      <c r="AL250" s="2559"/>
      <c r="AM250" s="2560"/>
      <c r="AN250" s="2559">
        <f t="shared" si="60"/>
        <v>0</v>
      </c>
      <c r="AO250" s="2560"/>
    </row>
    <row r="251" spans="1:41" ht="15.95" customHeight="1" x14ac:dyDescent="0.3">
      <c r="A251" s="2839" t="s">
        <v>504</v>
      </c>
      <c r="B251" s="2840"/>
      <c r="C251" s="187"/>
      <c r="D251" s="170"/>
      <c r="E251" s="2576"/>
      <c r="F251" s="2880"/>
      <c r="G251" s="2576"/>
      <c r="H251" s="2880"/>
      <c r="I251" s="2559">
        <f t="shared" si="62"/>
        <v>0</v>
      </c>
      <c r="J251" s="2560"/>
      <c r="K251" s="45"/>
      <c r="L251" s="196" t="s">
        <v>515</v>
      </c>
      <c r="M251" s="120" t="s">
        <v>1088</v>
      </c>
      <c r="N251" s="120" t="s">
        <v>1087</v>
      </c>
      <c r="O251" s="2643">
        <v>700</v>
      </c>
      <c r="P251" s="2643"/>
      <c r="Q251" s="2643">
        <f>3339*1.0928</f>
        <v>3648.8591999999999</v>
      </c>
      <c r="R251" s="2643"/>
      <c r="S251" s="2559">
        <f t="shared" si="65"/>
        <v>2554201.44</v>
      </c>
      <c r="T251" s="2560"/>
      <c r="U251" s="287"/>
      <c r="V251" s="2839" t="s">
        <v>504</v>
      </c>
      <c r="W251" s="2840"/>
      <c r="X251" s="187"/>
      <c r="Y251" s="170"/>
      <c r="Z251" s="2576"/>
      <c r="AA251" s="2880"/>
      <c r="AB251" s="2576"/>
      <c r="AC251" s="2880"/>
      <c r="AD251" s="2559">
        <f t="shared" si="63"/>
        <v>0</v>
      </c>
      <c r="AE251" s="2560"/>
      <c r="AF251" s="279"/>
      <c r="AG251" s="196" t="s">
        <v>515</v>
      </c>
      <c r="AH251" s="120"/>
      <c r="AI251" s="120"/>
      <c r="AJ251" s="2643"/>
      <c r="AK251" s="2643"/>
      <c r="AL251" s="2643"/>
      <c r="AM251" s="2643"/>
      <c r="AN251" s="2559">
        <f t="shared" si="60"/>
        <v>0</v>
      </c>
      <c r="AO251" s="2560"/>
    </row>
    <row r="252" spans="1:41" ht="15.95" customHeight="1" x14ac:dyDescent="0.35">
      <c r="A252" s="2911" t="s">
        <v>1001</v>
      </c>
      <c r="B252" s="2912"/>
      <c r="C252" s="187"/>
      <c r="D252" s="170"/>
      <c r="E252" s="2576"/>
      <c r="F252" s="2880"/>
      <c r="G252" s="2576"/>
      <c r="H252" s="2880"/>
      <c r="I252" s="2565">
        <f>SUM(I253:J270)</f>
        <v>6580000</v>
      </c>
      <c r="J252" s="2892"/>
      <c r="K252" s="45"/>
      <c r="L252" s="196" t="s">
        <v>1089</v>
      </c>
      <c r="M252" s="120"/>
      <c r="N252" s="120" t="s">
        <v>794</v>
      </c>
      <c r="O252" s="2643"/>
      <c r="P252" s="2643"/>
      <c r="Q252" s="2643"/>
      <c r="R252" s="2643"/>
      <c r="S252" s="2643">
        <f>350000*1.0928</f>
        <v>382480</v>
      </c>
      <c r="T252" s="2643"/>
      <c r="U252" s="290"/>
      <c r="V252" s="2911" t="s">
        <v>1001</v>
      </c>
      <c r="W252" s="2912"/>
      <c r="X252" s="187"/>
      <c r="Y252" s="170"/>
      <c r="Z252" s="2576"/>
      <c r="AA252" s="2880"/>
      <c r="AB252" s="2576"/>
      <c r="AC252" s="2880"/>
      <c r="AD252" s="2565">
        <f>SUM(AD253:AE270)</f>
        <v>1833000</v>
      </c>
      <c r="AE252" s="2892"/>
      <c r="AF252" s="279"/>
      <c r="AG252" s="196" t="s">
        <v>1076</v>
      </c>
      <c r="AH252" s="120"/>
      <c r="AI252" s="120"/>
      <c r="AJ252" s="2643"/>
      <c r="AK252" s="2643"/>
      <c r="AL252" s="2643"/>
      <c r="AM252" s="2643"/>
      <c r="AN252" s="2559">
        <f t="shared" si="60"/>
        <v>0</v>
      </c>
      <c r="AO252" s="2560"/>
    </row>
    <row r="253" spans="1:41" ht="15.95" customHeight="1" x14ac:dyDescent="0.2">
      <c r="A253" s="2839" t="s">
        <v>852</v>
      </c>
      <c r="B253" s="2840"/>
      <c r="C253" s="120" t="s">
        <v>496</v>
      </c>
      <c r="D253" s="170" t="s">
        <v>497</v>
      </c>
      <c r="E253" s="2559">
        <v>5</v>
      </c>
      <c r="F253" s="2560"/>
      <c r="G253" s="2895">
        <v>47000</v>
      </c>
      <c r="H253" s="2896">
        <f t="shared" ref="H253" si="66">(36040*6%)+36040</f>
        <v>38202.400000000001</v>
      </c>
      <c r="I253" s="2559">
        <f t="shared" ref="I253:I270" si="67">E253*G253</f>
        <v>235000</v>
      </c>
      <c r="J253" s="2560"/>
      <c r="K253" s="45"/>
      <c r="L253" s="199" t="s">
        <v>876</v>
      </c>
      <c r="M253" s="53"/>
      <c r="N253" s="200"/>
      <c r="O253" s="2893"/>
      <c r="P253" s="2893"/>
      <c r="Q253" s="2893"/>
      <c r="R253" s="2893"/>
      <c r="S253" s="2894">
        <f>SUM(S235:T252)</f>
        <v>9469155.4504000004</v>
      </c>
      <c r="T253" s="2894"/>
      <c r="U253" s="291"/>
      <c r="V253" s="2839" t="s">
        <v>852</v>
      </c>
      <c r="W253" s="2840"/>
      <c r="X253" s="187"/>
      <c r="Y253" s="170"/>
      <c r="Z253" s="2559"/>
      <c r="AA253" s="2560"/>
      <c r="AB253" s="2559"/>
      <c r="AC253" s="2560"/>
      <c r="AD253" s="2559">
        <f t="shared" ref="AD253:AD270" si="68">Z253*AB253</f>
        <v>0</v>
      </c>
      <c r="AE253" s="2560"/>
      <c r="AF253" s="279"/>
      <c r="AG253" s="199" t="s">
        <v>876</v>
      </c>
      <c r="AH253" s="53"/>
      <c r="AI253" s="200"/>
      <c r="AJ253" s="2893"/>
      <c r="AK253" s="2893"/>
      <c r="AL253" s="2893"/>
      <c r="AM253" s="2893"/>
      <c r="AN253" s="2894">
        <f>SUM(AN235:AO251)</f>
        <v>798504.69808</v>
      </c>
      <c r="AO253" s="2894"/>
    </row>
    <row r="254" spans="1:41" ht="15.95" customHeight="1" x14ac:dyDescent="0.2">
      <c r="A254" s="2839" t="s">
        <v>495</v>
      </c>
      <c r="B254" s="2840"/>
      <c r="C254" s="187"/>
      <c r="D254" s="170"/>
      <c r="E254" s="2559"/>
      <c r="F254" s="2560"/>
      <c r="G254" s="2559"/>
      <c r="H254" s="2560"/>
      <c r="I254" s="2559">
        <f t="shared" si="67"/>
        <v>0</v>
      </c>
      <c r="J254" s="2560"/>
      <c r="K254" s="45"/>
      <c r="L254" s="148"/>
      <c r="M254" s="197"/>
      <c r="N254" s="120"/>
      <c r="O254" s="2643"/>
      <c r="P254" s="2643"/>
      <c r="Q254" s="2643"/>
      <c r="R254" s="2643"/>
      <c r="S254" s="2643"/>
      <c r="T254" s="2643"/>
      <c r="U254" s="290"/>
      <c r="V254" s="2839" t="s">
        <v>495</v>
      </c>
      <c r="W254" s="2840"/>
      <c r="X254" s="187"/>
      <c r="Y254" s="170"/>
      <c r="Z254" s="2559"/>
      <c r="AA254" s="2560"/>
      <c r="AB254" s="2559"/>
      <c r="AC254" s="2560"/>
      <c r="AD254" s="2559">
        <f t="shared" si="68"/>
        <v>0</v>
      </c>
      <c r="AE254" s="2560"/>
      <c r="AF254" s="279"/>
      <c r="AG254" s="148"/>
      <c r="AH254" s="197"/>
      <c r="AI254" s="120"/>
      <c r="AJ254" s="2643"/>
      <c r="AK254" s="2643"/>
      <c r="AL254" s="2643"/>
      <c r="AM254" s="2643"/>
      <c r="AN254" s="2643"/>
      <c r="AO254" s="2643"/>
    </row>
    <row r="255" spans="1:41" ht="15.95" customHeight="1" x14ac:dyDescent="0.3">
      <c r="A255" s="2839" t="s">
        <v>1003</v>
      </c>
      <c r="B255" s="2840"/>
      <c r="C255" s="187"/>
      <c r="D255" s="170"/>
      <c r="E255" s="2576"/>
      <c r="F255" s="2880"/>
      <c r="G255" s="2576"/>
      <c r="H255" s="2880"/>
      <c r="I255" s="2559">
        <f t="shared" si="67"/>
        <v>0</v>
      </c>
      <c r="J255" s="2560"/>
      <c r="K255" s="45"/>
      <c r="L255" s="144" t="s">
        <v>577</v>
      </c>
      <c r="M255" s="145"/>
      <c r="N255" s="145"/>
      <c r="O255" s="2890"/>
      <c r="P255" s="2890"/>
      <c r="Q255" s="2890"/>
      <c r="R255" s="2890"/>
      <c r="S255" s="2890"/>
      <c r="T255" s="2891"/>
      <c r="U255" s="287"/>
      <c r="V255" s="2839" t="s">
        <v>1003</v>
      </c>
      <c r="W255" s="2840"/>
      <c r="X255" s="187"/>
      <c r="Y255" s="170"/>
      <c r="Z255" s="2576"/>
      <c r="AA255" s="2880"/>
      <c r="AB255" s="2576"/>
      <c r="AC255" s="2880"/>
      <c r="AD255" s="2559">
        <f t="shared" si="68"/>
        <v>0</v>
      </c>
      <c r="AE255" s="2560"/>
      <c r="AF255" s="279"/>
      <c r="AG255" s="144" t="s">
        <v>577</v>
      </c>
      <c r="AH255" s="145"/>
      <c r="AI255" s="145"/>
      <c r="AJ255" s="2890"/>
      <c r="AK255" s="2890"/>
      <c r="AL255" s="2890"/>
      <c r="AM255" s="2890"/>
      <c r="AN255" s="2890"/>
      <c r="AO255" s="2891"/>
    </row>
    <row r="256" spans="1:41" ht="15.95" customHeight="1" x14ac:dyDescent="0.3">
      <c r="A256" s="2839" t="s">
        <v>1004</v>
      </c>
      <c r="B256" s="2840"/>
      <c r="C256" s="187"/>
      <c r="D256" s="170"/>
      <c r="E256" s="2576"/>
      <c r="F256" s="2880"/>
      <c r="G256" s="2576"/>
      <c r="H256" s="2880"/>
      <c r="I256" s="2559">
        <f t="shared" si="67"/>
        <v>0</v>
      </c>
      <c r="J256" s="2560"/>
      <c r="K256" s="45"/>
      <c r="L256" s="148" t="s">
        <v>1005</v>
      </c>
      <c r="M256" s="149" t="s">
        <v>1042</v>
      </c>
      <c r="N256" s="45"/>
      <c r="O256" s="2575"/>
      <c r="P256" s="2575"/>
      <c r="Q256" s="2575"/>
      <c r="R256" s="2575"/>
      <c r="S256" s="2575">
        <f>+(S253+I278)*0.05</f>
        <v>892957.77252000012</v>
      </c>
      <c r="T256" s="2560"/>
      <c r="U256" s="287"/>
      <c r="V256" s="2839" t="s">
        <v>1004</v>
      </c>
      <c r="W256" s="2840"/>
      <c r="X256" s="187"/>
      <c r="Y256" s="170"/>
      <c r="Z256" s="2576"/>
      <c r="AA256" s="2880"/>
      <c r="AB256" s="2576"/>
      <c r="AC256" s="2880"/>
      <c r="AD256" s="2559">
        <f t="shared" si="68"/>
        <v>0</v>
      </c>
      <c r="AE256" s="2560"/>
      <c r="AF256" s="279"/>
      <c r="AG256" s="148" t="s">
        <v>1005</v>
      </c>
      <c r="AH256" s="149" t="s">
        <v>1042</v>
      </c>
      <c r="AI256" s="45"/>
      <c r="AJ256" s="2575"/>
      <c r="AK256" s="2575"/>
      <c r="AL256" s="2575"/>
      <c r="AM256" s="2575"/>
      <c r="AN256" s="2575">
        <f>+(AN253+AD278)*0.05</f>
        <v>423404.25370400003</v>
      </c>
      <c r="AO256" s="2560"/>
    </row>
    <row r="257" spans="1:41" ht="15.95" customHeight="1" x14ac:dyDescent="0.3">
      <c r="A257" s="2839" t="s">
        <v>1006</v>
      </c>
      <c r="B257" s="2840"/>
      <c r="C257" s="187"/>
      <c r="D257" s="170"/>
      <c r="E257" s="2576"/>
      <c r="F257" s="2880"/>
      <c r="G257" s="2576"/>
      <c r="H257" s="2880"/>
      <c r="I257" s="2559">
        <f t="shared" si="67"/>
        <v>0</v>
      </c>
      <c r="J257" s="2560"/>
      <c r="K257" s="45"/>
      <c r="L257" s="151" t="s">
        <v>527</v>
      </c>
      <c r="M257" s="45"/>
      <c r="N257" s="45"/>
      <c r="O257" s="2575"/>
      <c r="P257" s="2575"/>
      <c r="Q257" s="2575"/>
      <c r="R257" s="2575"/>
      <c r="S257" s="2575">
        <f>150000*1.0928</f>
        <v>163920</v>
      </c>
      <c r="T257" s="2560"/>
      <c r="U257" s="287"/>
      <c r="V257" s="2839" t="s">
        <v>1006</v>
      </c>
      <c r="W257" s="2840"/>
      <c r="X257" s="187"/>
      <c r="Y257" s="170"/>
      <c r="Z257" s="2576"/>
      <c r="AA257" s="2880"/>
      <c r="AB257" s="2576"/>
      <c r="AC257" s="2880"/>
      <c r="AD257" s="2559">
        <f t="shared" si="68"/>
        <v>0</v>
      </c>
      <c r="AE257" s="2560"/>
      <c r="AF257" s="279"/>
      <c r="AG257" s="151" t="s">
        <v>527</v>
      </c>
      <c r="AH257" s="45"/>
      <c r="AI257" s="45"/>
      <c r="AJ257" s="2575"/>
      <c r="AK257" s="2575"/>
      <c r="AL257" s="2575"/>
      <c r="AM257" s="2575"/>
      <c r="AN257" s="2575"/>
      <c r="AO257" s="2560"/>
    </row>
    <row r="258" spans="1:41" ht="15.95" customHeight="1" x14ac:dyDescent="0.3">
      <c r="A258" s="2839" t="s">
        <v>1007</v>
      </c>
      <c r="B258" s="2840"/>
      <c r="C258" s="187"/>
      <c r="D258" s="170"/>
      <c r="E258" s="2576"/>
      <c r="F258" s="2880"/>
      <c r="G258" s="2576"/>
      <c r="H258" s="2880"/>
      <c r="I258" s="2559">
        <f t="shared" si="67"/>
        <v>0</v>
      </c>
      <c r="J258" s="2560"/>
      <c r="K258" s="45"/>
      <c r="L258" s="152" t="s">
        <v>529</v>
      </c>
      <c r="M258" s="45"/>
      <c r="N258" s="45"/>
      <c r="O258" s="2575"/>
      <c r="P258" s="2575"/>
      <c r="Q258" s="2575"/>
      <c r="R258" s="2575"/>
      <c r="S258" s="2575">
        <f>550000*1.0928</f>
        <v>601040</v>
      </c>
      <c r="T258" s="2560"/>
      <c r="U258" s="287"/>
      <c r="V258" s="2839" t="s">
        <v>1007</v>
      </c>
      <c r="W258" s="2840"/>
      <c r="X258" s="187"/>
      <c r="Y258" s="170"/>
      <c r="Z258" s="2576"/>
      <c r="AA258" s="2880"/>
      <c r="AB258" s="2576"/>
      <c r="AC258" s="2880"/>
      <c r="AD258" s="2559">
        <f t="shared" si="68"/>
        <v>0</v>
      </c>
      <c r="AE258" s="2560"/>
      <c r="AF258" s="279"/>
      <c r="AG258" s="152" t="s">
        <v>529</v>
      </c>
      <c r="AH258" s="45"/>
      <c r="AI258" s="45"/>
      <c r="AJ258" s="2575"/>
      <c r="AK258" s="2575"/>
      <c r="AL258" s="2575"/>
      <c r="AM258" s="2575"/>
      <c r="AN258" s="2575">
        <f>550000*1.0928</f>
        <v>601040</v>
      </c>
      <c r="AO258" s="2560"/>
    </row>
    <row r="259" spans="1:41" ht="15.95" customHeight="1" x14ac:dyDescent="0.3">
      <c r="A259" s="2839" t="s">
        <v>1008</v>
      </c>
      <c r="B259" s="2840"/>
      <c r="C259" s="187"/>
      <c r="D259" s="170"/>
      <c r="E259" s="2576"/>
      <c r="F259" s="2880"/>
      <c r="G259" s="2576"/>
      <c r="H259" s="2880"/>
      <c r="I259" s="2559">
        <f t="shared" si="67"/>
        <v>0</v>
      </c>
      <c r="J259" s="2560"/>
      <c r="K259" s="45"/>
      <c r="L259" s="152" t="s">
        <v>531</v>
      </c>
      <c r="M259" s="45"/>
      <c r="N259" s="45"/>
      <c r="O259" s="2575"/>
      <c r="P259" s="2575"/>
      <c r="Q259" s="2575"/>
      <c r="R259" s="2575"/>
      <c r="S259" s="2575">
        <f>+(S253+I278)*0.05</f>
        <v>892957.77252000012</v>
      </c>
      <c r="T259" s="2560"/>
      <c r="U259" s="287"/>
      <c r="V259" s="2839" t="s">
        <v>1008</v>
      </c>
      <c r="W259" s="2840"/>
      <c r="X259" s="187"/>
      <c r="Y259" s="170"/>
      <c r="Z259" s="2576"/>
      <c r="AA259" s="2880"/>
      <c r="AB259" s="2576"/>
      <c r="AC259" s="2880"/>
      <c r="AD259" s="2559">
        <f t="shared" si="68"/>
        <v>0</v>
      </c>
      <c r="AE259" s="2560"/>
      <c r="AF259" s="279"/>
      <c r="AG259" s="152" t="s">
        <v>726</v>
      </c>
      <c r="AH259" s="45"/>
      <c r="AI259" s="45"/>
      <c r="AJ259" s="2575"/>
      <c r="AK259" s="2575"/>
      <c r="AL259" s="2575"/>
      <c r="AM259" s="2575"/>
      <c r="AN259" s="2575">
        <f>+(AN253+AD278)*0.05</f>
        <v>423404.25370400003</v>
      </c>
      <c r="AO259" s="2560"/>
    </row>
    <row r="260" spans="1:41" ht="15.95" customHeight="1" x14ac:dyDescent="0.3">
      <c r="A260" s="2839" t="s">
        <v>1009</v>
      </c>
      <c r="B260" s="2840"/>
      <c r="C260" s="187"/>
      <c r="D260" s="170"/>
      <c r="E260" s="2576"/>
      <c r="F260" s="2880"/>
      <c r="G260" s="2576"/>
      <c r="H260" s="2880"/>
      <c r="I260" s="2559">
        <f t="shared" si="67"/>
        <v>0</v>
      </c>
      <c r="J260" s="2560"/>
      <c r="K260" s="45"/>
      <c r="L260" s="166" t="s">
        <v>504</v>
      </c>
      <c r="M260" s="155"/>
      <c r="N260" s="155"/>
      <c r="O260" s="2557"/>
      <c r="P260" s="2557"/>
      <c r="Q260" s="2557"/>
      <c r="R260" s="2557"/>
      <c r="S260" s="2557">
        <f>150000*1.0928</f>
        <v>163920</v>
      </c>
      <c r="T260" s="2558"/>
      <c r="U260" s="287"/>
      <c r="V260" s="2839" t="s">
        <v>1009</v>
      </c>
      <c r="W260" s="2840"/>
      <c r="X260" s="288"/>
      <c r="Y260" s="170"/>
      <c r="Z260" s="2576"/>
      <c r="AA260" s="2880"/>
      <c r="AB260" s="2576"/>
      <c r="AC260" s="2880"/>
      <c r="AD260" s="2559">
        <f t="shared" si="68"/>
        <v>0</v>
      </c>
      <c r="AE260" s="2560"/>
      <c r="AF260" s="279"/>
      <c r="AG260" s="166" t="s">
        <v>504</v>
      </c>
      <c r="AH260" s="155"/>
      <c r="AI260" s="155"/>
      <c r="AJ260" s="2557"/>
      <c r="AK260" s="2557"/>
      <c r="AL260" s="2557"/>
      <c r="AM260" s="2557"/>
      <c r="AN260" s="2557">
        <f>100000*1.0928</f>
        <v>109280</v>
      </c>
      <c r="AO260" s="2558"/>
    </row>
    <row r="261" spans="1:41" ht="15.95" customHeight="1" x14ac:dyDescent="0.3">
      <c r="A261" s="2839" t="s">
        <v>1090</v>
      </c>
      <c r="B261" s="2840"/>
      <c r="C261" s="120" t="s">
        <v>496</v>
      </c>
      <c r="D261" s="170" t="s">
        <v>497</v>
      </c>
      <c r="E261" s="2576">
        <v>30</v>
      </c>
      <c r="F261" s="2880"/>
      <c r="G261" s="2895">
        <v>47000</v>
      </c>
      <c r="H261" s="2896">
        <f t="shared" ref="H261" si="69">(36040*6%)+36040</f>
        <v>38202.400000000001</v>
      </c>
      <c r="I261" s="2559">
        <f t="shared" si="67"/>
        <v>1410000</v>
      </c>
      <c r="J261" s="2560"/>
      <c r="K261" s="45"/>
      <c r="L261" s="156" t="s">
        <v>533</v>
      </c>
      <c r="M261" s="201"/>
      <c r="N261" s="201"/>
      <c r="O261" s="2885"/>
      <c r="P261" s="2885"/>
      <c r="Q261" s="2886"/>
      <c r="R261" s="2886"/>
      <c r="S261" s="2887">
        <f>SUM(S256:T260)</f>
        <v>2714795.5450400002</v>
      </c>
      <c r="T261" s="2887"/>
      <c r="U261" s="292"/>
      <c r="V261" s="2839" t="s">
        <v>1078</v>
      </c>
      <c r="W261" s="2840"/>
      <c r="X261" s="288"/>
      <c r="Y261" s="170"/>
      <c r="Z261" s="2576"/>
      <c r="AA261" s="2880"/>
      <c r="AB261" s="2576"/>
      <c r="AC261" s="2880"/>
      <c r="AD261" s="2559">
        <f t="shared" si="68"/>
        <v>0</v>
      </c>
      <c r="AE261" s="2560"/>
      <c r="AF261" s="279"/>
      <c r="AG261" s="156" t="s">
        <v>533</v>
      </c>
      <c r="AH261" s="201"/>
      <c r="AI261" s="201"/>
      <c r="AJ261" s="2885"/>
      <c r="AK261" s="2885"/>
      <c r="AL261" s="2886"/>
      <c r="AM261" s="2886"/>
      <c r="AN261" s="2887">
        <f>SUM(AN256:AO260)</f>
        <v>1557128.5074080001</v>
      </c>
      <c r="AO261" s="2887"/>
    </row>
    <row r="262" spans="1:41" ht="15.95" customHeight="1" x14ac:dyDescent="0.3">
      <c r="A262" s="2839" t="s">
        <v>1011</v>
      </c>
      <c r="B262" s="2840"/>
      <c r="C262" s="187"/>
      <c r="D262" s="170"/>
      <c r="E262" s="2576"/>
      <c r="F262" s="2880"/>
      <c r="G262" s="2576"/>
      <c r="H262" s="2577"/>
      <c r="I262" s="2559">
        <f t="shared" si="67"/>
        <v>0</v>
      </c>
      <c r="J262" s="2560"/>
      <c r="K262" s="45"/>
      <c r="L262" s="159"/>
      <c r="M262" s="45"/>
      <c r="N262" s="45"/>
      <c r="O262" s="2575"/>
      <c r="P262" s="2575"/>
      <c r="Q262" s="2575"/>
      <c r="R262" s="2575"/>
      <c r="S262" s="2575"/>
      <c r="T262" s="2560"/>
      <c r="U262" s="287"/>
      <c r="V262" s="2839" t="s">
        <v>1011</v>
      </c>
      <c r="W262" s="2840"/>
      <c r="X262" s="187"/>
      <c r="Y262" s="170"/>
      <c r="Z262" s="2576"/>
      <c r="AA262" s="2880"/>
      <c r="AB262" s="2576"/>
      <c r="AC262" s="2880"/>
      <c r="AD262" s="2559">
        <f t="shared" si="68"/>
        <v>0</v>
      </c>
      <c r="AE262" s="2560"/>
      <c r="AF262" s="279"/>
      <c r="AG262" s="159"/>
      <c r="AH262" s="45"/>
      <c r="AI262" s="45"/>
      <c r="AJ262" s="2575"/>
      <c r="AK262" s="2575"/>
      <c r="AL262" s="2575"/>
      <c r="AM262" s="2575"/>
      <c r="AN262" s="2575"/>
      <c r="AO262" s="2560"/>
    </row>
    <row r="263" spans="1:41" ht="15.95" customHeight="1" thickBot="1" x14ac:dyDescent="0.35">
      <c r="A263" s="2839" t="s">
        <v>514</v>
      </c>
      <c r="B263" s="2840"/>
      <c r="C263" s="120" t="s">
        <v>496</v>
      </c>
      <c r="D263" s="170" t="s">
        <v>497</v>
      </c>
      <c r="E263" s="2576">
        <v>36</v>
      </c>
      <c r="F263" s="2880"/>
      <c r="G263" s="2895">
        <v>47000</v>
      </c>
      <c r="H263" s="2896">
        <f t="shared" ref="H263:H264" si="70">(36040*6%)+36040</f>
        <v>38202.400000000001</v>
      </c>
      <c r="I263" s="2559">
        <f t="shared" si="67"/>
        <v>1692000</v>
      </c>
      <c r="J263" s="2560"/>
      <c r="K263" s="45"/>
      <c r="L263" s="160" t="s">
        <v>583</v>
      </c>
      <c r="M263" s="205"/>
      <c r="N263" s="205"/>
      <c r="O263" s="205"/>
      <c r="P263" s="205"/>
      <c r="Q263" s="161"/>
      <c r="R263" s="161"/>
      <c r="S263" s="2580">
        <f>SUM(S261+S253+I278)</f>
        <v>20573950.995439999</v>
      </c>
      <c r="T263" s="2581"/>
      <c r="U263" s="292"/>
      <c r="V263" s="2839" t="s">
        <v>514</v>
      </c>
      <c r="W263" s="2840"/>
      <c r="X263" s="120" t="s">
        <v>496</v>
      </c>
      <c r="Y263" s="170" t="s">
        <v>497</v>
      </c>
      <c r="Z263" s="2576">
        <v>10</v>
      </c>
      <c r="AA263" s="2880"/>
      <c r="AB263" s="2919">
        <v>47000</v>
      </c>
      <c r="AC263" s="2920">
        <f t="shared" ref="AC263:AC264" si="71">(36040*6%)+36040</f>
        <v>38202.400000000001</v>
      </c>
      <c r="AD263" s="2559">
        <f t="shared" si="68"/>
        <v>470000</v>
      </c>
      <c r="AE263" s="2560"/>
      <c r="AF263" s="279"/>
      <c r="AG263" s="160" t="s">
        <v>583</v>
      </c>
      <c r="AH263" s="205"/>
      <c r="AI263" s="205"/>
      <c r="AJ263" s="205"/>
      <c r="AK263" s="205"/>
      <c r="AL263" s="161"/>
      <c r="AM263" s="161"/>
      <c r="AN263" s="2580">
        <f>SUM(AN261+AN253+AD278)</f>
        <v>10025213.581488</v>
      </c>
      <c r="AO263" s="2581"/>
    </row>
    <row r="264" spans="1:41" ht="15.95" customHeight="1" x14ac:dyDescent="0.2">
      <c r="A264" s="2839" t="s">
        <v>1018</v>
      </c>
      <c r="B264" s="2840"/>
      <c r="C264" s="120" t="s">
        <v>496</v>
      </c>
      <c r="D264" s="170" t="s">
        <v>497</v>
      </c>
      <c r="E264" s="2559">
        <v>35</v>
      </c>
      <c r="F264" s="2560"/>
      <c r="G264" s="2895">
        <v>47000</v>
      </c>
      <c r="H264" s="2896">
        <f t="shared" si="70"/>
        <v>38202.400000000001</v>
      </c>
      <c r="I264" s="2559">
        <f t="shared" si="67"/>
        <v>1645000</v>
      </c>
      <c r="J264" s="2560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279"/>
      <c r="V264" s="2839" t="s">
        <v>1052</v>
      </c>
      <c r="W264" s="2840"/>
      <c r="X264" s="120" t="s">
        <v>496</v>
      </c>
      <c r="Y264" s="170" t="s">
        <v>497</v>
      </c>
      <c r="Z264" s="2559">
        <v>11</v>
      </c>
      <c r="AA264" s="2560"/>
      <c r="AB264" s="2919">
        <v>47000</v>
      </c>
      <c r="AC264" s="2920">
        <f t="shared" si="71"/>
        <v>38202.400000000001</v>
      </c>
      <c r="AD264" s="2559">
        <f t="shared" si="68"/>
        <v>517000</v>
      </c>
      <c r="AE264" s="2560"/>
      <c r="AF264" s="284"/>
      <c r="AG264" s="45"/>
      <c r="AH264" s="45"/>
      <c r="AI264" s="45"/>
      <c r="AJ264" s="45"/>
      <c r="AK264" s="45"/>
      <c r="AL264" s="45"/>
      <c r="AM264" s="45"/>
      <c r="AN264" s="45"/>
      <c r="AO264" s="45"/>
    </row>
    <row r="265" spans="1:41" ht="15.95" customHeight="1" x14ac:dyDescent="0.3">
      <c r="A265" s="2839" t="s">
        <v>1019</v>
      </c>
      <c r="B265" s="2840"/>
      <c r="C265" s="187"/>
      <c r="D265" s="170"/>
      <c r="E265" s="2576"/>
      <c r="F265" s="2880"/>
      <c r="G265" s="2576"/>
      <c r="H265" s="2880"/>
      <c r="I265" s="2559">
        <f t="shared" si="67"/>
        <v>0</v>
      </c>
      <c r="J265" s="2560"/>
      <c r="K265" s="45"/>
      <c r="L265" s="7" t="s">
        <v>1528</v>
      </c>
      <c r="M265" s="45"/>
      <c r="N265" s="45"/>
      <c r="O265" s="45"/>
      <c r="P265" s="45"/>
      <c r="Q265" s="45"/>
      <c r="R265" s="45"/>
      <c r="S265" s="45"/>
      <c r="T265" s="45"/>
      <c r="U265" s="279"/>
      <c r="V265" s="2839" t="s">
        <v>1019</v>
      </c>
      <c r="W265" s="2840"/>
      <c r="X265" s="288"/>
      <c r="Y265" s="170"/>
      <c r="Z265" s="2576"/>
      <c r="AA265" s="2880"/>
      <c r="AB265" s="2576"/>
      <c r="AC265" s="2880"/>
      <c r="AD265" s="2559">
        <f t="shared" si="68"/>
        <v>0</v>
      </c>
      <c r="AE265" s="2560"/>
      <c r="AF265" s="279"/>
      <c r="AG265" s="7" t="s">
        <v>1528</v>
      </c>
      <c r="AH265" s="45"/>
      <c r="AI265" s="45"/>
      <c r="AJ265" s="45"/>
      <c r="AK265" s="45"/>
      <c r="AL265" s="45"/>
      <c r="AM265" s="45"/>
      <c r="AN265" s="45"/>
      <c r="AO265" s="45"/>
    </row>
    <row r="266" spans="1:41" ht="15.95" customHeight="1" x14ac:dyDescent="0.3">
      <c r="A266" s="2839" t="s">
        <v>1020</v>
      </c>
      <c r="B266" s="2840"/>
      <c r="C266" s="187"/>
      <c r="D266" s="170"/>
      <c r="E266" s="2576"/>
      <c r="F266" s="2880"/>
      <c r="G266" s="2576"/>
      <c r="H266" s="2880"/>
      <c r="I266" s="2559">
        <f t="shared" si="67"/>
        <v>0</v>
      </c>
      <c r="J266" s="2560"/>
      <c r="K266" s="45"/>
      <c r="L266" s="597" t="s">
        <v>1583</v>
      </c>
      <c r="M266" s="266"/>
      <c r="N266" s="266"/>
      <c r="O266" s="266"/>
      <c r="P266" s="266"/>
      <c r="Q266" s="1783"/>
      <c r="R266" s="266"/>
      <c r="S266" s="266"/>
      <c r="T266" s="45"/>
      <c r="U266" s="279"/>
      <c r="V266" s="2839" t="s">
        <v>1020</v>
      </c>
      <c r="W266" s="2840"/>
      <c r="X266" s="187"/>
      <c r="Y266" s="170"/>
      <c r="Z266" s="2576"/>
      <c r="AA266" s="2880"/>
      <c r="AB266" s="2576"/>
      <c r="AC266" s="2880"/>
      <c r="AD266" s="2559">
        <f t="shared" si="68"/>
        <v>0</v>
      </c>
      <c r="AE266" s="2560"/>
      <c r="AF266" s="279"/>
      <c r="AG266" s="597" t="s">
        <v>1584</v>
      </c>
      <c r="AH266" s="266"/>
      <c r="AI266" s="266"/>
      <c r="AJ266" s="266"/>
      <c r="AK266" s="266"/>
      <c r="AL266" s="1783"/>
      <c r="AM266" s="266"/>
      <c r="AN266" s="266"/>
      <c r="AO266" s="45"/>
    </row>
    <row r="267" spans="1:41" ht="15.95" customHeight="1" x14ac:dyDescent="0.3">
      <c r="A267" s="2839" t="s">
        <v>1021</v>
      </c>
      <c r="B267" s="2840"/>
      <c r="C267" s="187"/>
      <c r="D267" s="170"/>
      <c r="E267" s="2576"/>
      <c r="F267" s="2880"/>
      <c r="G267" s="2576"/>
      <c r="H267" s="2880"/>
      <c r="I267" s="2559">
        <f t="shared" si="67"/>
        <v>0</v>
      </c>
      <c r="J267" s="2560"/>
      <c r="K267" s="45"/>
      <c r="L267" s="45"/>
      <c r="M267" s="206"/>
      <c r="N267" s="206"/>
      <c r="O267" s="206"/>
      <c r="P267" s="206"/>
      <c r="Q267" s="107"/>
      <c r="R267" s="44"/>
      <c r="S267" s="45"/>
      <c r="T267" s="45"/>
      <c r="U267" s="279"/>
      <c r="V267" s="2839" t="s">
        <v>1021</v>
      </c>
      <c r="W267" s="2840"/>
      <c r="X267" s="187"/>
      <c r="Y267" s="170"/>
      <c r="Z267" s="2576"/>
      <c r="AA267" s="2880"/>
      <c r="AB267" s="2576"/>
      <c r="AC267" s="2880"/>
      <c r="AD267" s="2559">
        <f t="shared" si="68"/>
        <v>0</v>
      </c>
      <c r="AE267" s="2560"/>
      <c r="AF267" s="279"/>
      <c r="AG267" s="45"/>
      <c r="AH267" s="2834"/>
      <c r="AI267" s="2834"/>
      <c r="AJ267" s="2834"/>
      <c r="AK267" s="2834"/>
      <c r="AL267" s="272"/>
      <c r="AM267" s="44"/>
      <c r="AN267" s="45"/>
      <c r="AO267" s="45"/>
    </row>
    <row r="268" spans="1:41" ht="15.95" customHeight="1" x14ac:dyDescent="0.2">
      <c r="A268" s="2839" t="s">
        <v>1022</v>
      </c>
      <c r="B268" s="2840"/>
      <c r="C268" s="120" t="s">
        <v>496</v>
      </c>
      <c r="D268" s="170" t="s">
        <v>497</v>
      </c>
      <c r="E268" s="2559">
        <v>10</v>
      </c>
      <c r="F268" s="2560"/>
      <c r="G268" s="2895">
        <v>47000</v>
      </c>
      <c r="H268" s="2896">
        <f t="shared" ref="H268:H270" si="72">(36040*6%)+36040</f>
        <v>38202.400000000001</v>
      </c>
      <c r="I268" s="2559">
        <f t="shared" si="67"/>
        <v>470000</v>
      </c>
      <c r="J268" s="2560"/>
      <c r="K268" s="45"/>
      <c r="L268" s="45"/>
      <c r="M268" s="2834"/>
      <c r="N268" s="2834"/>
      <c r="O268" s="2834"/>
      <c r="P268" s="2834"/>
      <c r="Q268" s="107"/>
      <c r="R268" s="44"/>
      <c r="S268" s="45"/>
      <c r="T268" s="45"/>
      <c r="U268" s="279"/>
      <c r="V268" s="2839" t="s">
        <v>1022</v>
      </c>
      <c r="W268" s="2840"/>
      <c r="X268" s="120" t="s">
        <v>496</v>
      </c>
      <c r="Y268" s="170" t="s">
        <v>497</v>
      </c>
      <c r="Z268" s="2559">
        <v>4</v>
      </c>
      <c r="AA268" s="2560"/>
      <c r="AB268" s="2919">
        <v>47000</v>
      </c>
      <c r="AC268" s="2920">
        <f t="shared" ref="AC268:AC270" si="73">(36040*6%)+36040</f>
        <v>38202.400000000001</v>
      </c>
      <c r="AD268" s="2559">
        <f t="shared" si="68"/>
        <v>188000</v>
      </c>
      <c r="AE268" s="2560"/>
      <c r="AF268" s="279"/>
      <c r="AG268" s="45"/>
      <c r="AH268" s="206"/>
      <c r="AI268" s="206"/>
      <c r="AJ268" s="206"/>
      <c r="AK268" s="206"/>
      <c r="AL268" s="107"/>
      <c r="AM268" s="44"/>
      <c r="AN268" s="44"/>
      <c r="AO268" s="45"/>
    </row>
    <row r="269" spans="1:41" ht="15.95" customHeight="1" x14ac:dyDescent="0.2">
      <c r="A269" s="2839" t="s">
        <v>881</v>
      </c>
      <c r="B269" s="2840"/>
      <c r="C269" s="120" t="s">
        <v>496</v>
      </c>
      <c r="D269" s="170" t="s">
        <v>497</v>
      </c>
      <c r="E269" s="2559">
        <v>14</v>
      </c>
      <c r="F269" s="2560"/>
      <c r="G269" s="2895">
        <v>47000</v>
      </c>
      <c r="H269" s="2896">
        <f t="shared" si="72"/>
        <v>38202.400000000001</v>
      </c>
      <c r="I269" s="2559">
        <f t="shared" si="67"/>
        <v>658000</v>
      </c>
      <c r="J269" s="2560"/>
      <c r="K269" s="45"/>
      <c r="L269" s="45"/>
      <c r="M269" s="2834"/>
      <c r="N269" s="2834"/>
      <c r="O269" s="2834"/>
      <c r="P269" s="2834"/>
      <c r="Q269" s="107"/>
      <c r="R269" s="45"/>
      <c r="S269" s="45"/>
      <c r="T269" s="45"/>
      <c r="U269" s="279"/>
      <c r="V269" s="2839" t="s">
        <v>881</v>
      </c>
      <c r="W269" s="2840"/>
      <c r="X269" s="120" t="s">
        <v>496</v>
      </c>
      <c r="Y269" s="170" t="s">
        <v>497</v>
      </c>
      <c r="Z269" s="2559">
        <v>10</v>
      </c>
      <c r="AA269" s="2560"/>
      <c r="AB269" s="2919">
        <v>47000</v>
      </c>
      <c r="AC269" s="2920">
        <f t="shared" si="73"/>
        <v>38202.400000000001</v>
      </c>
      <c r="AD269" s="2559">
        <f t="shared" si="68"/>
        <v>470000</v>
      </c>
      <c r="AE269" s="2560"/>
      <c r="AF269" s="279"/>
      <c r="AG269" s="45"/>
      <c r="AH269" s="206"/>
      <c r="AI269" s="206"/>
      <c r="AJ269" s="206"/>
      <c r="AK269" s="206"/>
      <c r="AL269" s="107"/>
      <c r="AM269" s="45"/>
      <c r="AN269" s="45"/>
      <c r="AO269" s="45"/>
    </row>
    <row r="270" spans="1:41" ht="15.95" customHeight="1" x14ac:dyDescent="0.3">
      <c r="A270" s="2839" t="s">
        <v>882</v>
      </c>
      <c r="B270" s="2840"/>
      <c r="C270" s="120" t="s">
        <v>496</v>
      </c>
      <c r="D270" s="170" t="s">
        <v>497</v>
      </c>
      <c r="E270" s="2576">
        <v>10</v>
      </c>
      <c r="F270" s="2880"/>
      <c r="G270" s="2895">
        <v>47000</v>
      </c>
      <c r="H270" s="2896">
        <f t="shared" si="72"/>
        <v>38202.400000000001</v>
      </c>
      <c r="I270" s="2559">
        <f t="shared" si="67"/>
        <v>470000</v>
      </c>
      <c r="J270" s="2560"/>
      <c r="K270" s="45"/>
      <c r="L270" s="45"/>
      <c r="M270" s="2834"/>
      <c r="N270" s="2834"/>
      <c r="O270" s="2834"/>
      <c r="P270" s="2834"/>
      <c r="Q270" s="273"/>
      <c r="R270" s="44"/>
      <c r="S270" s="45"/>
      <c r="T270" s="45"/>
      <c r="U270" s="279"/>
      <c r="V270" s="2839" t="s">
        <v>882</v>
      </c>
      <c r="W270" s="2840"/>
      <c r="X270" s="120" t="s">
        <v>496</v>
      </c>
      <c r="Y270" s="170" t="s">
        <v>497</v>
      </c>
      <c r="Z270" s="2576">
        <v>4</v>
      </c>
      <c r="AA270" s="2880"/>
      <c r="AB270" s="2919">
        <v>47000</v>
      </c>
      <c r="AC270" s="2920">
        <f t="shared" si="73"/>
        <v>38202.400000000001</v>
      </c>
      <c r="AD270" s="2559">
        <f t="shared" si="68"/>
        <v>188000</v>
      </c>
      <c r="AE270" s="2560"/>
      <c r="AF270" s="279"/>
      <c r="AG270" s="45"/>
      <c r="AH270" s="2834"/>
      <c r="AI270" s="2834"/>
      <c r="AJ270" s="2834"/>
      <c r="AK270" s="2834"/>
      <c r="AL270" s="107"/>
      <c r="AM270" s="44"/>
      <c r="AN270" s="45"/>
      <c r="AO270" s="45"/>
    </row>
    <row r="271" spans="1:41" ht="15.95" customHeight="1" x14ac:dyDescent="0.3">
      <c r="A271" s="2911" t="s">
        <v>1023</v>
      </c>
      <c r="B271" s="2912"/>
      <c r="C271" s="187"/>
      <c r="D271" s="170"/>
      <c r="E271" s="2576"/>
      <c r="F271" s="2880"/>
      <c r="G271" s="2576"/>
      <c r="H271" s="2880"/>
      <c r="I271" s="2565">
        <f>SUM(I272:J277)</f>
        <v>400000</v>
      </c>
      <c r="J271" s="2566"/>
      <c r="K271" s="45"/>
      <c r="L271" s="45"/>
      <c r="M271" s="45"/>
      <c r="N271" s="45"/>
      <c r="O271" s="45"/>
      <c r="P271" s="45"/>
      <c r="Q271" s="45"/>
      <c r="R271" s="44"/>
      <c r="S271" s="44"/>
      <c r="T271" s="45"/>
      <c r="U271" s="279"/>
      <c r="V271" s="2911" t="s">
        <v>1023</v>
      </c>
      <c r="W271" s="2912"/>
      <c r="X271" s="187"/>
      <c r="Y271" s="170"/>
      <c r="Z271" s="2576"/>
      <c r="AA271" s="2880"/>
      <c r="AB271" s="2576"/>
      <c r="AC271" s="2880"/>
      <c r="AD271" s="2565">
        <f>SUM(AD272:AE277)</f>
        <v>5836580.3760000002</v>
      </c>
      <c r="AE271" s="2566"/>
      <c r="AF271" s="279"/>
      <c r="AG271" s="45"/>
      <c r="AH271" s="2834"/>
      <c r="AI271" s="2834"/>
      <c r="AJ271" s="2834"/>
      <c r="AK271" s="2834"/>
      <c r="AL271" s="107"/>
      <c r="AM271" s="44"/>
      <c r="AN271" s="45"/>
      <c r="AO271" s="45"/>
    </row>
    <row r="272" spans="1:41" ht="15.95" customHeight="1" x14ac:dyDescent="0.3">
      <c r="A272" s="2839" t="s">
        <v>884</v>
      </c>
      <c r="B272" s="2840"/>
      <c r="C272" s="120"/>
      <c r="D272" s="170"/>
      <c r="E272" s="2576"/>
      <c r="F272" s="2880"/>
      <c r="G272" s="2576"/>
      <c r="H272" s="2880"/>
      <c r="I272" s="2559">
        <f>E272*G272</f>
        <v>0</v>
      </c>
      <c r="J272" s="2560"/>
      <c r="K272" s="45"/>
      <c r="L272" s="45"/>
      <c r="M272" s="45"/>
      <c r="N272" s="45"/>
      <c r="O272" s="45"/>
      <c r="P272" s="45"/>
      <c r="Q272" s="45"/>
      <c r="R272" s="44"/>
      <c r="S272" s="45"/>
      <c r="T272" s="45"/>
      <c r="U272" s="279"/>
      <c r="V272" s="2839" t="s">
        <v>884</v>
      </c>
      <c r="W272" s="2840"/>
      <c r="X272" s="120" t="s">
        <v>496</v>
      </c>
      <c r="Y272" s="170" t="s">
        <v>497</v>
      </c>
      <c r="Z272" s="2576">
        <v>77</v>
      </c>
      <c r="AA272" s="2880"/>
      <c r="AB272" s="2919">
        <v>47000</v>
      </c>
      <c r="AC272" s="2920">
        <f t="shared" ref="AC272" si="74">(36040*6%)+36040</f>
        <v>38202.400000000001</v>
      </c>
      <c r="AD272" s="2559">
        <f>Z272*AB272</f>
        <v>3619000</v>
      </c>
      <c r="AE272" s="2560"/>
      <c r="AF272" s="279"/>
      <c r="AG272" s="45"/>
      <c r="AH272" s="2834"/>
      <c r="AI272" s="2834"/>
      <c r="AJ272" s="2834"/>
      <c r="AK272" s="2834"/>
      <c r="AL272" s="107"/>
      <c r="AM272" s="44"/>
      <c r="AN272" s="45"/>
      <c r="AO272" s="45"/>
    </row>
    <row r="273" spans="1:41" ht="15.95" customHeight="1" x14ac:dyDescent="0.3">
      <c r="A273" s="2839" t="s">
        <v>1024</v>
      </c>
      <c r="B273" s="2840"/>
      <c r="C273" s="288"/>
      <c r="D273" s="170"/>
      <c r="E273" s="2576"/>
      <c r="F273" s="2880"/>
      <c r="G273" s="2576"/>
      <c r="H273" s="2880"/>
      <c r="I273" s="2559"/>
      <c r="J273" s="2560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279"/>
      <c r="V273" s="2839" t="s">
        <v>1024</v>
      </c>
      <c r="W273" s="2840"/>
      <c r="X273" s="288"/>
      <c r="Y273" s="170"/>
      <c r="Z273" s="2576"/>
      <c r="AA273" s="2880"/>
      <c r="AB273" s="2576"/>
      <c r="AC273" s="2880"/>
      <c r="AD273" s="2559">
        <f>Z273*AB273</f>
        <v>0</v>
      </c>
      <c r="AE273" s="2560"/>
      <c r="AF273" s="279"/>
      <c r="AG273" s="45"/>
      <c r="AH273" s="45"/>
      <c r="AI273" s="45"/>
      <c r="AJ273" s="45"/>
      <c r="AK273" s="45"/>
      <c r="AL273" s="45"/>
      <c r="AM273" s="45"/>
      <c r="AN273" s="45"/>
      <c r="AO273" s="45"/>
    </row>
    <row r="274" spans="1:41" ht="15.95" customHeight="1" x14ac:dyDescent="0.3">
      <c r="A274" s="2839" t="s">
        <v>893</v>
      </c>
      <c r="B274" s="2840"/>
      <c r="C274" s="120"/>
      <c r="D274" s="170"/>
      <c r="E274" s="2576"/>
      <c r="F274" s="2880"/>
      <c r="G274" s="2576"/>
      <c r="H274" s="2880"/>
      <c r="I274" s="2559">
        <f>E274*G274</f>
        <v>0</v>
      </c>
      <c r="J274" s="2560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279"/>
      <c r="V274" s="2839" t="s">
        <v>893</v>
      </c>
      <c r="W274" s="2840"/>
      <c r="X274" s="120" t="s">
        <v>496</v>
      </c>
      <c r="Y274" s="170" t="s">
        <v>497</v>
      </c>
      <c r="Z274" s="2576">
        <v>15</v>
      </c>
      <c r="AA274" s="2880"/>
      <c r="AB274" s="2919">
        <v>47000</v>
      </c>
      <c r="AC274" s="2920">
        <f t="shared" ref="AC274:AC275" si="75">(36040*6%)+36040</f>
        <v>38202.400000000001</v>
      </c>
      <c r="AD274" s="2559">
        <f>Z274*AB274</f>
        <v>705000</v>
      </c>
      <c r="AE274" s="2560"/>
      <c r="AF274" s="279"/>
      <c r="AG274" s="45"/>
      <c r="AH274" s="45"/>
      <c r="AI274" s="45"/>
      <c r="AJ274" s="45"/>
      <c r="AK274" s="45"/>
      <c r="AL274" s="45"/>
      <c r="AM274" s="45"/>
      <c r="AN274" s="45"/>
      <c r="AO274" s="45"/>
    </row>
    <row r="275" spans="1:41" ht="15.95" customHeight="1" x14ac:dyDescent="0.3">
      <c r="A275" s="2839" t="s">
        <v>728</v>
      </c>
      <c r="B275" s="2840"/>
      <c r="C275" s="120"/>
      <c r="D275" s="170"/>
      <c r="E275" s="2576"/>
      <c r="F275" s="2880"/>
      <c r="G275" s="2576"/>
      <c r="H275" s="2880"/>
      <c r="I275" s="2559">
        <f>E275*G275</f>
        <v>0</v>
      </c>
      <c r="J275" s="2560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279"/>
      <c r="V275" s="2839" t="s">
        <v>728</v>
      </c>
      <c r="W275" s="2840"/>
      <c r="X275" s="120" t="s">
        <v>496</v>
      </c>
      <c r="Y275" s="170" t="s">
        <v>497</v>
      </c>
      <c r="Z275" s="2576">
        <v>10</v>
      </c>
      <c r="AA275" s="2880"/>
      <c r="AB275" s="2919">
        <v>47000</v>
      </c>
      <c r="AC275" s="2920">
        <f t="shared" si="75"/>
        <v>38202.400000000001</v>
      </c>
      <c r="AD275" s="2559">
        <f>Z275*AB275</f>
        <v>470000</v>
      </c>
      <c r="AE275" s="2560"/>
      <c r="AF275" s="279"/>
      <c r="AG275" s="45"/>
      <c r="AH275" s="45"/>
      <c r="AI275" s="45"/>
      <c r="AJ275" s="45"/>
      <c r="AK275" s="45"/>
      <c r="AL275" s="45"/>
      <c r="AM275" s="45"/>
      <c r="AN275" s="45"/>
      <c r="AO275" s="45"/>
    </row>
    <row r="276" spans="1:41" ht="15.95" customHeight="1" x14ac:dyDescent="0.3">
      <c r="A276" s="2839" t="s">
        <v>765</v>
      </c>
      <c r="B276" s="2840"/>
      <c r="C276" s="187"/>
      <c r="D276" s="170" t="s">
        <v>794</v>
      </c>
      <c r="E276" s="2576"/>
      <c r="F276" s="2880"/>
      <c r="G276" s="2576"/>
      <c r="H276" s="2880"/>
      <c r="I276" s="2559">
        <v>400000</v>
      </c>
      <c r="J276" s="2560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279"/>
      <c r="V276" s="2839" t="s">
        <v>765</v>
      </c>
      <c r="W276" s="2840"/>
      <c r="X276" s="187"/>
      <c r="Y276" s="170" t="s">
        <v>794</v>
      </c>
      <c r="Z276" s="2576"/>
      <c r="AA276" s="2880"/>
      <c r="AB276" s="2576"/>
      <c r="AC276" s="2880"/>
      <c r="AD276" s="2559">
        <f>150000*1.0928</f>
        <v>163920</v>
      </c>
      <c r="AE276" s="2560"/>
      <c r="AF276" s="279"/>
      <c r="AG276" s="45"/>
      <c r="AH276" s="45"/>
      <c r="AI276" s="45"/>
      <c r="AJ276" s="45"/>
      <c r="AK276" s="45"/>
      <c r="AL276" s="45"/>
      <c r="AM276" s="45"/>
      <c r="AN276" s="45"/>
      <c r="AO276" s="45"/>
    </row>
    <row r="277" spans="1:41" ht="15.95" customHeight="1" x14ac:dyDescent="0.3">
      <c r="A277" s="2839" t="s">
        <v>615</v>
      </c>
      <c r="B277" s="2840"/>
      <c r="C277" s="187"/>
      <c r="D277" s="170"/>
      <c r="E277" s="2576"/>
      <c r="F277" s="2880"/>
      <c r="G277" s="2576"/>
      <c r="H277" s="2880"/>
      <c r="I277" s="2559">
        <f>E277*G277</f>
        <v>0</v>
      </c>
      <c r="J277" s="2560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279"/>
      <c r="V277" s="2839" t="s">
        <v>615</v>
      </c>
      <c r="W277" s="2840"/>
      <c r="X277" s="120" t="s">
        <v>763</v>
      </c>
      <c r="Y277" s="170" t="s">
        <v>556</v>
      </c>
      <c r="Z277" s="2576">
        <v>7.5</v>
      </c>
      <c r="AA277" s="2880"/>
      <c r="AB277" s="2903">
        <f>107206*1.0928</f>
        <v>117154.71679999999</v>
      </c>
      <c r="AC277" s="3000"/>
      <c r="AD277" s="2559">
        <f>Z277*AB277</f>
        <v>878660.37599999993</v>
      </c>
      <c r="AE277" s="2560"/>
      <c r="AF277" s="279"/>
      <c r="AG277" s="45"/>
      <c r="AH277" s="45"/>
      <c r="AI277" s="45"/>
      <c r="AJ277" s="45"/>
      <c r="AK277" s="45"/>
      <c r="AL277" s="45"/>
      <c r="AM277" s="45"/>
      <c r="AN277" s="45"/>
      <c r="AO277" s="45"/>
    </row>
    <row r="278" spans="1:41" ht="15.95" customHeight="1" thickBot="1" x14ac:dyDescent="0.25">
      <c r="A278" s="208" t="s">
        <v>558</v>
      </c>
      <c r="B278" s="209"/>
      <c r="C278" s="210"/>
      <c r="D278" s="209"/>
      <c r="E278" s="2561">
        <f>SUM(E242:F277)</f>
        <v>170</v>
      </c>
      <c r="F278" s="2562"/>
      <c r="G278" s="2561"/>
      <c r="H278" s="2562"/>
      <c r="I278" s="2561">
        <f>SUM(I271+I252+I241+I237+I234)</f>
        <v>8390000</v>
      </c>
      <c r="J278" s="2562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279"/>
      <c r="V278" s="208" t="s">
        <v>558</v>
      </c>
      <c r="W278" s="209"/>
      <c r="X278" s="210"/>
      <c r="Y278" s="209"/>
      <c r="Z278" s="2561">
        <f>SUM(Z260:AA275)</f>
        <v>141</v>
      </c>
      <c r="AA278" s="2562"/>
      <c r="AB278" s="2561"/>
      <c r="AC278" s="2562"/>
      <c r="AD278" s="2561">
        <f>SUM(AD271+AD252+AD241+AD237+AD234)</f>
        <v>7669580.3760000002</v>
      </c>
      <c r="AE278" s="2562"/>
      <c r="AF278" s="293"/>
      <c r="AG278" s="45"/>
      <c r="AH278" s="45"/>
      <c r="AI278" s="45"/>
      <c r="AJ278" s="45"/>
      <c r="AK278" s="45"/>
      <c r="AL278" s="45"/>
      <c r="AM278" s="45"/>
      <c r="AN278" s="45"/>
      <c r="AO278" s="45"/>
    </row>
    <row r="279" spans="1:41" ht="15.95" customHeight="1" x14ac:dyDescent="0.2">
      <c r="A279" s="45"/>
      <c r="B279" s="45"/>
      <c r="C279" s="45"/>
      <c r="D279" s="45"/>
      <c r="E279" s="45"/>
      <c r="F279" s="45"/>
      <c r="G279" s="45"/>
      <c r="H279" s="275"/>
      <c r="I279" s="275"/>
      <c r="J279" s="275"/>
      <c r="K279" s="276"/>
      <c r="L279" s="45"/>
      <c r="M279" s="45"/>
      <c r="N279" s="45"/>
      <c r="O279" s="45"/>
      <c r="P279" s="45"/>
      <c r="Q279" s="45"/>
      <c r="R279" s="45"/>
      <c r="S279" s="276"/>
      <c r="T279" s="276"/>
      <c r="U279" s="286"/>
      <c r="V279" s="277"/>
      <c r="W279" s="277"/>
      <c r="X279" s="277"/>
      <c r="Y279" s="277"/>
      <c r="Z279" s="275"/>
      <c r="AA279" s="275"/>
      <c r="AB279" s="275"/>
      <c r="AC279" s="275"/>
      <c r="AD279" s="275"/>
      <c r="AE279" s="275"/>
      <c r="AF279" s="294"/>
      <c r="AG279" s="276"/>
      <c r="AH279" s="276"/>
      <c r="AI279" s="276"/>
      <c r="AJ279" s="276"/>
      <c r="AK279" s="276"/>
      <c r="AL279" s="276"/>
      <c r="AM279" s="276"/>
      <c r="AN279" s="276"/>
      <c r="AO279" s="276"/>
    </row>
    <row r="280" spans="1:41" ht="15.95" customHeight="1" x14ac:dyDescent="0.2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2909"/>
      <c r="T280" s="2909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2909"/>
      <c r="AO280" s="2909"/>
    </row>
    <row r="281" spans="1:41" ht="15.95" customHeight="1" x14ac:dyDescent="0.2">
      <c r="A281" s="2654"/>
      <c r="B281" s="2654"/>
      <c r="C281" s="2654"/>
      <c r="D281" s="2654"/>
      <c r="E281" s="2654"/>
      <c r="F281" s="2654"/>
      <c r="G281" s="2654"/>
      <c r="H281" s="2654"/>
      <c r="I281" s="2654"/>
      <c r="J281" s="2654"/>
      <c r="K281" s="2654"/>
      <c r="L281" s="2654"/>
      <c r="M281" s="2654"/>
      <c r="N281" s="2654"/>
      <c r="O281" s="2654"/>
      <c r="P281" s="2654"/>
      <c r="Q281" s="2654"/>
      <c r="R281" s="2654"/>
      <c r="S281" s="2654"/>
      <c r="T281" s="2654"/>
      <c r="U281" s="2654"/>
      <c r="V281" s="2654"/>
      <c r="W281" s="2654"/>
      <c r="X281" s="2654"/>
      <c r="Y281" s="2654"/>
      <c r="Z281" s="2654"/>
      <c r="AA281" s="2654"/>
      <c r="AB281" s="2654"/>
      <c r="AC281" s="2654"/>
      <c r="AD281" s="2654"/>
      <c r="AE281" s="2654"/>
      <c r="AF281" s="2654"/>
      <c r="AG281" s="2654"/>
      <c r="AH281" s="2654"/>
      <c r="AI281" s="2654"/>
      <c r="AJ281" s="2654"/>
      <c r="AK281" s="2654"/>
      <c r="AL281" s="2654"/>
      <c r="AM281" s="2654"/>
      <c r="AN281" s="2654"/>
      <c r="AO281" s="2654"/>
    </row>
    <row r="282" spans="1:41" ht="15.95" customHeight="1" x14ac:dyDescent="0.2">
      <c r="A282" s="277"/>
      <c r="B282" s="277"/>
      <c r="C282" s="277"/>
      <c r="D282" s="277"/>
      <c r="E282" s="275"/>
      <c r="F282" s="275"/>
      <c r="G282" s="275"/>
      <c r="H282" s="275"/>
      <c r="I282" s="275"/>
      <c r="J282" s="275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  <c r="AH282" s="295"/>
      <c r="AI282" s="295"/>
      <c r="AJ282" s="295"/>
      <c r="AK282" s="295"/>
      <c r="AL282" s="295"/>
      <c r="AM282" s="295"/>
      <c r="AN282" s="295"/>
      <c r="AO282" s="295"/>
    </row>
    <row r="283" spans="1:41" ht="15.95" customHeight="1" x14ac:dyDescent="0.2">
      <c r="A283" s="2906" t="s">
        <v>1954</v>
      </c>
      <c r="B283" s="2906"/>
      <c r="C283" s="2906"/>
      <c r="D283" s="2906"/>
      <c r="E283" s="2906"/>
      <c r="F283" s="2906"/>
      <c r="G283" s="2906"/>
      <c r="H283" s="2906"/>
      <c r="I283" s="2906"/>
      <c r="J283" s="2906"/>
      <c r="K283" s="2906"/>
      <c r="L283" s="2906"/>
      <c r="M283" s="2906"/>
      <c r="N283" s="2906"/>
      <c r="O283" s="2906"/>
      <c r="P283" s="2906"/>
      <c r="Q283" s="2906"/>
      <c r="R283" s="2906"/>
      <c r="S283" s="2906"/>
      <c r="T283" s="2906"/>
      <c r="U283" s="47"/>
      <c r="V283" s="2611" t="s">
        <v>1955</v>
      </c>
      <c r="W283" s="2611"/>
      <c r="X283" s="2611"/>
      <c r="Y283" s="2611"/>
      <c r="Z283" s="2611"/>
      <c r="AA283" s="2611"/>
      <c r="AB283" s="2611"/>
      <c r="AC283" s="2611"/>
      <c r="AD283" s="2611"/>
      <c r="AE283" s="2611"/>
      <c r="AF283" s="2611"/>
      <c r="AG283" s="2611"/>
      <c r="AH283" s="2611"/>
      <c r="AI283" s="2611"/>
      <c r="AJ283" s="2611"/>
      <c r="AK283" s="2611"/>
      <c r="AL283" s="2611"/>
      <c r="AM283" s="2611"/>
      <c r="AN283" s="2611"/>
      <c r="AO283" s="2611"/>
    </row>
    <row r="284" spans="1:41" ht="15.95" customHeight="1" thickBot="1" x14ac:dyDescent="0.25">
      <c r="A284" s="2611"/>
      <c r="B284" s="2611"/>
      <c r="C284" s="2611"/>
      <c r="D284" s="2611"/>
      <c r="E284" s="2611"/>
      <c r="F284" s="2611"/>
      <c r="G284" s="2611"/>
      <c r="H284" s="2611"/>
      <c r="I284" s="2611"/>
      <c r="J284" s="2611"/>
      <c r="K284" s="2611"/>
      <c r="L284" s="2611"/>
      <c r="M284" s="2611"/>
      <c r="N284" s="2611"/>
      <c r="O284" s="2611"/>
      <c r="P284" s="2611"/>
      <c r="Q284" s="2611"/>
      <c r="R284" s="2611"/>
      <c r="S284" s="2611"/>
      <c r="T284" s="2611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</row>
    <row r="285" spans="1:41" ht="15.95" customHeight="1" x14ac:dyDescent="0.3">
      <c r="A285" s="2618" t="s">
        <v>435</v>
      </c>
      <c r="B285" s="2620"/>
      <c r="C285" s="2618" t="s">
        <v>436</v>
      </c>
      <c r="D285" s="2619"/>
      <c r="E285" s="2619"/>
      <c r="F285" s="2620"/>
      <c r="G285" s="2618" t="s">
        <v>437</v>
      </c>
      <c r="H285" s="2620"/>
      <c r="I285" s="2618" t="s">
        <v>438</v>
      </c>
      <c r="J285" s="2620"/>
      <c r="K285" s="45"/>
      <c r="L285" s="2633" t="s">
        <v>435</v>
      </c>
      <c r="M285" s="2618" t="s">
        <v>436</v>
      </c>
      <c r="N285" s="2619"/>
      <c r="O285" s="2619"/>
      <c r="P285" s="2620"/>
      <c r="Q285" s="2618" t="s">
        <v>437</v>
      </c>
      <c r="R285" s="2620"/>
      <c r="S285" s="2618"/>
      <c r="T285" s="2620"/>
      <c r="U285" s="268"/>
      <c r="V285" s="2618" t="s">
        <v>435</v>
      </c>
      <c r="W285" s="2620"/>
      <c r="X285" s="2618" t="s">
        <v>436</v>
      </c>
      <c r="Y285" s="2619"/>
      <c r="Z285" s="2619"/>
      <c r="AA285" s="2620"/>
      <c r="AB285" s="2618" t="s">
        <v>437</v>
      </c>
      <c r="AC285" s="2620"/>
      <c r="AD285" s="2618" t="s">
        <v>438</v>
      </c>
      <c r="AE285" s="2620"/>
      <c r="AF285" s="45"/>
      <c r="AG285" s="2633" t="s">
        <v>435</v>
      </c>
      <c r="AH285" s="2618" t="s">
        <v>436</v>
      </c>
      <c r="AI285" s="2619"/>
      <c r="AJ285" s="2619"/>
      <c r="AK285" s="2620"/>
      <c r="AL285" s="2618" t="s">
        <v>437</v>
      </c>
      <c r="AM285" s="2620"/>
      <c r="AN285" s="2618"/>
      <c r="AO285" s="2900"/>
    </row>
    <row r="286" spans="1:41" ht="15.95" customHeight="1" thickBot="1" x14ac:dyDescent="0.35">
      <c r="A286" s="2631"/>
      <c r="B286" s="2632"/>
      <c r="C286" s="2621"/>
      <c r="D286" s="2622"/>
      <c r="E286" s="2622"/>
      <c r="F286" s="2623"/>
      <c r="G286" s="2631" t="s">
        <v>440</v>
      </c>
      <c r="H286" s="2632"/>
      <c r="I286" s="2631"/>
      <c r="J286" s="2632"/>
      <c r="K286" s="45"/>
      <c r="L286" s="2670"/>
      <c r="M286" s="2621"/>
      <c r="N286" s="2622"/>
      <c r="O286" s="2622"/>
      <c r="P286" s="2623"/>
      <c r="Q286" s="2631" t="s">
        <v>440</v>
      </c>
      <c r="R286" s="2632"/>
      <c r="S286" s="2631" t="s">
        <v>274</v>
      </c>
      <c r="T286" s="2632"/>
      <c r="U286" s="268"/>
      <c r="V286" s="2631"/>
      <c r="W286" s="2632"/>
      <c r="X286" s="2621"/>
      <c r="Y286" s="2622"/>
      <c r="Z286" s="2622"/>
      <c r="AA286" s="2623"/>
      <c r="AB286" s="2631" t="s">
        <v>440</v>
      </c>
      <c r="AC286" s="2632"/>
      <c r="AD286" s="2631"/>
      <c r="AE286" s="2632"/>
      <c r="AF286" s="45"/>
      <c r="AG286" s="2670"/>
      <c r="AH286" s="2621"/>
      <c r="AI286" s="2622"/>
      <c r="AJ286" s="2622"/>
      <c r="AK286" s="2623"/>
      <c r="AL286" s="2631" t="s">
        <v>440</v>
      </c>
      <c r="AM286" s="2632"/>
      <c r="AN286" s="2631" t="s">
        <v>274</v>
      </c>
      <c r="AO286" s="2880"/>
    </row>
    <row r="287" spans="1:41" ht="15.95" customHeight="1" x14ac:dyDescent="0.3">
      <c r="A287" s="2631"/>
      <c r="B287" s="2632"/>
      <c r="C287" s="53" t="s">
        <v>441</v>
      </c>
      <c r="D287" s="2670" t="s">
        <v>442</v>
      </c>
      <c r="E287" s="2631" t="s">
        <v>443</v>
      </c>
      <c r="F287" s="2632"/>
      <c r="G287" s="2631" t="s">
        <v>444</v>
      </c>
      <c r="H287" s="2632"/>
      <c r="I287" s="2631" t="s">
        <v>348</v>
      </c>
      <c r="J287" s="2632"/>
      <c r="K287" s="45"/>
      <c r="L287" s="2670"/>
      <c r="M287" s="51" t="s">
        <v>441</v>
      </c>
      <c r="N287" s="2633" t="s">
        <v>442</v>
      </c>
      <c r="O287" s="2618" t="s">
        <v>443</v>
      </c>
      <c r="P287" s="2620"/>
      <c r="Q287" s="2631" t="s">
        <v>444</v>
      </c>
      <c r="R287" s="2632"/>
      <c r="S287" s="2631" t="s">
        <v>348</v>
      </c>
      <c r="T287" s="2632"/>
      <c r="U287" s="268"/>
      <c r="V287" s="2631"/>
      <c r="W287" s="2632"/>
      <c r="X287" s="53" t="s">
        <v>441</v>
      </c>
      <c r="Y287" s="2670" t="s">
        <v>442</v>
      </c>
      <c r="Z287" s="2631" t="s">
        <v>443</v>
      </c>
      <c r="AA287" s="2632"/>
      <c r="AB287" s="2631" t="s">
        <v>444</v>
      </c>
      <c r="AC287" s="2632"/>
      <c r="AD287" s="2631" t="s">
        <v>348</v>
      </c>
      <c r="AE287" s="2632"/>
      <c r="AF287" s="45"/>
      <c r="AG287" s="2670"/>
      <c r="AH287" s="51" t="s">
        <v>441</v>
      </c>
      <c r="AI287" s="2670" t="s">
        <v>442</v>
      </c>
      <c r="AJ287" s="2631" t="s">
        <v>443</v>
      </c>
      <c r="AK287" s="2632"/>
      <c r="AL287" s="2631" t="s">
        <v>444</v>
      </c>
      <c r="AM287" s="2632"/>
      <c r="AN287" s="2631" t="s">
        <v>348</v>
      </c>
      <c r="AO287" s="2880"/>
    </row>
    <row r="288" spans="1:41" ht="15.95" customHeight="1" thickBot="1" x14ac:dyDescent="0.35">
      <c r="A288" s="2621"/>
      <c r="B288" s="2623"/>
      <c r="C288" s="54" t="s">
        <v>445</v>
      </c>
      <c r="D288" s="2634"/>
      <c r="E288" s="2621"/>
      <c r="F288" s="2623"/>
      <c r="G288" s="2621"/>
      <c r="H288" s="2623"/>
      <c r="I288" s="2621"/>
      <c r="J288" s="2623"/>
      <c r="K288" s="45"/>
      <c r="L288" s="2634"/>
      <c r="M288" s="50" t="s">
        <v>445</v>
      </c>
      <c r="N288" s="2634"/>
      <c r="O288" s="2621"/>
      <c r="P288" s="2623"/>
      <c r="Q288" s="2621"/>
      <c r="R288" s="2623"/>
      <c r="S288" s="2621"/>
      <c r="T288" s="2623"/>
      <c r="U288" s="268"/>
      <c r="V288" s="2621"/>
      <c r="W288" s="2623"/>
      <c r="X288" s="54" t="s">
        <v>445</v>
      </c>
      <c r="Y288" s="2634"/>
      <c r="Z288" s="2621"/>
      <c r="AA288" s="2623"/>
      <c r="AB288" s="2621"/>
      <c r="AC288" s="2623"/>
      <c r="AD288" s="2621"/>
      <c r="AE288" s="2623"/>
      <c r="AF288" s="45"/>
      <c r="AG288" s="2634"/>
      <c r="AH288" s="50" t="s">
        <v>445</v>
      </c>
      <c r="AI288" s="2634"/>
      <c r="AJ288" s="2621"/>
      <c r="AK288" s="2623"/>
      <c r="AL288" s="2621"/>
      <c r="AM288" s="2623"/>
      <c r="AN288" s="2901"/>
      <c r="AO288" s="2902"/>
    </row>
    <row r="289" spans="1:41" ht="15.95" customHeight="1" x14ac:dyDescent="0.3">
      <c r="A289" s="2913" t="s">
        <v>446</v>
      </c>
      <c r="B289" s="2914"/>
      <c r="C289" s="184"/>
      <c r="D289" s="170"/>
      <c r="E289" s="2576"/>
      <c r="F289" s="2880"/>
      <c r="G289" s="2576"/>
      <c r="H289" s="2880"/>
      <c r="I289" s="2576"/>
      <c r="J289" s="2880"/>
      <c r="K289" s="279"/>
      <c r="L289" s="119" t="s">
        <v>447</v>
      </c>
      <c r="M289" s="185"/>
      <c r="N289" s="186"/>
      <c r="O289" s="2605"/>
      <c r="P289" s="2606"/>
      <c r="Q289" s="2605"/>
      <c r="R289" s="2606"/>
      <c r="S289" s="2605"/>
      <c r="T289" s="2606"/>
      <c r="U289" s="45"/>
      <c r="V289" s="2913" t="s">
        <v>446</v>
      </c>
      <c r="W289" s="2914"/>
      <c r="X289" s="184"/>
      <c r="Y289" s="170"/>
      <c r="Z289" s="2576"/>
      <c r="AA289" s="2880"/>
      <c r="AB289" s="2576"/>
      <c r="AC289" s="2880"/>
      <c r="AD289" s="2576"/>
      <c r="AE289" s="2880"/>
      <c r="AF289" s="45"/>
      <c r="AG289" s="119" t="s">
        <v>447</v>
      </c>
      <c r="AH289" s="185"/>
      <c r="AI289" s="186"/>
      <c r="AJ289" s="2605"/>
      <c r="AK289" s="2606"/>
      <c r="AL289" s="2605"/>
      <c r="AM289" s="2606"/>
      <c r="AN289" s="2605"/>
      <c r="AO289" s="2606"/>
    </row>
    <row r="290" spans="1:41" ht="15.95" customHeight="1" x14ac:dyDescent="0.35">
      <c r="A290" s="2911" t="s">
        <v>979</v>
      </c>
      <c r="B290" s="2912"/>
      <c r="C290" s="45"/>
      <c r="D290" s="288"/>
      <c r="E290" s="2576"/>
      <c r="F290" s="2880"/>
      <c r="G290" s="2576"/>
      <c r="H290" s="2880"/>
      <c r="I290" s="2565">
        <f>SUM(I291:J292)</f>
        <v>94000</v>
      </c>
      <c r="J290" s="2892"/>
      <c r="K290" s="279"/>
      <c r="L290" s="122"/>
      <c r="M290" s="188"/>
      <c r="N290" s="170"/>
      <c r="O290" s="2559"/>
      <c r="P290" s="2560"/>
      <c r="Q290" s="2559"/>
      <c r="R290" s="2560"/>
      <c r="S290" s="2559"/>
      <c r="T290" s="2560"/>
      <c r="U290" s="45"/>
      <c r="V290" s="2911" t="s">
        <v>979</v>
      </c>
      <c r="W290" s="2912"/>
      <c r="X290" s="187"/>
      <c r="Y290" s="170"/>
      <c r="Z290" s="2576"/>
      <c r="AA290" s="2880"/>
      <c r="AB290" s="2576"/>
      <c r="AC290" s="2880"/>
      <c r="AD290" s="2897">
        <f>SUM(AD291:AE292)</f>
        <v>0</v>
      </c>
      <c r="AE290" s="2892"/>
      <c r="AF290" s="45"/>
      <c r="AG290" s="122"/>
      <c r="AH290" s="188"/>
      <c r="AI290" s="170"/>
      <c r="AJ290" s="2559"/>
      <c r="AK290" s="2560"/>
      <c r="AL290" s="2559"/>
      <c r="AM290" s="2560"/>
      <c r="AN290" s="2559"/>
      <c r="AO290" s="2560"/>
    </row>
    <row r="291" spans="1:41" ht="15.95" customHeight="1" x14ac:dyDescent="0.4">
      <c r="A291" s="2915" t="s">
        <v>980</v>
      </c>
      <c r="B291" s="2916"/>
      <c r="C291" s="120" t="s">
        <v>496</v>
      </c>
      <c r="D291" s="170" t="s">
        <v>497</v>
      </c>
      <c r="E291" s="2576">
        <v>1</v>
      </c>
      <c r="F291" s="2880"/>
      <c r="G291" s="2641">
        <v>47000</v>
      </c>
      <c r="H291" s="2642">
        <f t="shared" ref="H291:H294" si="76">(36040*6%)+36040</f>
        <v>38202.400000000001</v>
      </c>
      <c r="I291" s="2559">
        <f>E291*G291</f>
        <v>47000</v>
      </c>
      <c r="J291" s="2560"/>
      <c r="K291" s="279"/>
      <c r="L291" s="122" t="s">
        <v>450</v>
      </c>
      <c r="M291" s="170"/>
      <c r="N291" s="170"/>
      <c r="O291" s="2559"/>
      <c r="P291" s="2560"/>
      <c r="Q291" s="2559"/>
      <c r="R291" s="2560"/>
      <c r="S291" s="2559"/>
      <c r="T291" s="2560"/>
      <c r="U291" s="45"/>
      <c r="V291" s="2915" t="s">
        <v>980</v>
      </c>
      <c r="W291" s="2916"/>
      <c r="X291" s="187"/>
      <c r="Y291" s="170"/>
      <c r="Z291" s="2576"/>
      <c r="AA291" s="2880"/>
      <c r="AB291" s="2576"/>
      <c r="AC291" s="2880"/>
      <c r="AD291" s="2559">
        <f>Z291*AB291</f>
        <v>0</v>
      </c>
      <c r="AE291" s="2560"/>
      <c r="AF291" s="45"/>
      <c r="AG291" s="122" t="s">
        <v>450</v>
      </c>
      <c r="AH291" s="170"/>
      <c r="AI291" s="170"/>
      <c r="AJ291" s="2559"/>
      <c r="AK291" s="2560"/>
      <c r="AL291" s="2559"/>
      <c r="AM291" s="2560"/>
      <c r="AN291" s="2559"/>
      <c r="AO291" s="2560"/>
    </row>
    <row r="292" spans="1:41" ht="15.95" customHeight="1" x14ac:dyDescent="0.4">
      <c r="A292" s="2915" t="s">
        <v>981</v>
      </c>
      <c r="B292" s="2916"/>
      <c r="C292" s="120" t="s">
        <v>496</v>
      </c>
      <c r="D292" s="170" t="s">
        <v>497</v>
      </c>
      <c r="E292" s="2576">
        <v>1</v>
      </c>
      <c r="F292" s="2880"/>
      <c r="G292" s="2641">
        <v>47000</v>
      </c>
      <c r="H292" s="2642">
        <f t="shared" si="76"/>
        <v>38202.400000000001</v>
      </c>
      <c r="I292" s="2559">
        <f>E292*G292</f>
        <v>47000</v>
      </c>
      <c r="J292" s="2560"/>
      <c r="K292" s="279"/>
      <c r="L292" s="122" t="s">
        <v>853</v>
      </c>
      <c r="M292" s="170"/>
      <c r="N292" s="170" t="s">
        <v>767</v>
      </c>
      <c r="O292" s="2559">
        <v>1500</v>
      </c>
      <c r="P292" s="2560"/>
      <c r="Q292" s="2559">
        <f>1431*1.0928</f>
        <v>1563.7968000000001</v>
      </c>
      <c r="R292" s="2560"/>
      <c r="S292" s="2559">
        <f t="shared" ref="S292:S303" si="77">O292*Q292</f>
        <v>2345695.2000000002</v>
      </c>
      <c r="T292" s="2560"/>
      <c r="U292" s="45"/>
      <c r="V292" s="2915" t="s">
        <v>981</v>
      </c>
      <c r="W292" s="2916"/>
      <c r="X292" s="187"/>
      <c r="Y292" s="170"/>
      <c r="Z292" s="2576"/>
      <c r="AA292" s="2880"/>
      <c r="AB292" s="2576"/>
      <c r="AC292" s="2880"/>
      <c r="AD292" s="2559">
        <f>Z292*AB292</f>
        <v>0</v>
      </c>
      <c r="AE292" s="2560"/>
      <c r="AF292" s="45"/>
      <c r="AG292" s="122" t="s">
        <v>853</v>
      </c>
      <c r="AH292" s="170"/>
      <c r="AI292" s="170"/>
      <c r="AJ292" s="2559"/>
      <c r="AK292" s="2560"/>
      <c r="AL292" s="2559"/>
      <c r="AM292" s="2560"/>
      <c r="AN292" s="2559">
        <f t="shared" ref="AN292:AN308" si="78">AJ292*AL292</f>
        <v>0</v>
      </c>
      <c r="AO292" s="2560"/>
    </row>
    <row r="293" spans="1:41" ht="15.95" customHeight="1" x14ac:dyDescent="0.35">
      <c r="A293" s="2911" t="s">
        <v>990</v>
      </c>
      <c r="B293" s="2912"/>
      <c r="C293" s="197"/>
      <c r="D293" s="170"/>
      <c r="E293" s="2576"/>
      <c r="F293" s="2880"/>
      <c r="G293" s="2576"/>
      <c r="H293" s="2880"/>
      <c r="I293" s="2565">
        <f>SUM(I294:J296)</f>
        <v>117500</v>
      </c>
      <c r="J293" s="2892"/>
      <c r="K293" s="279"/>
      <c r="L293" s="122" t="s">
        <v>859</v>
      </c>
      <c r="M293" s="170" t="s">
        <v>610</v>
      </c>
      <c r="N293" s="170" t="s">
        <v>760</v>
      </c>
      <c r="O293" s="2559">
        <v>4</v>
      </c>
      <c r="P293" s="2560"/>
      <c r="Q293" s="2559">
        <v>32985</v>
      </c>
      <c r="R293" s="2560"/>
      <c r="S293" s="2559">
        <f t="shared" si="77"/>
        <v>131940</v>
      </c>
      <c r="T293" s="2560"/>
      <c r="U293" s="45"/>
      <c r="V293" s="2911" t="s">
        <v>990</v>
      </c>
      <c r="W293" s="2912"/>
      <c r="X293" s="187"/>
      <c r="Y293" s="170"/>
      <c r="Z293" s="2576"/>
      <c r="AA293" s="2880"/>
      <c r="AB293" s="2576"/>
      <c r="AC293" s="2880"/>
      <c r="AD293" s="2897">
        <f>SUM(AD294:AE295)</f>
        <v>0</v>
      </c>
      <c r="AE293" s="2892"/>
      <c r="AF293" s="45"/>
      <c r="AG293" s="122" t="s">
        <v>859</v>
      </c>
      <c r="AH293" s="170"/>
      <c r="AI293" s="170"/>
      <c r="AJ293" s="2559"/>
      <c r="AK293" s="2560"/>
      <c r="AL293" s="2559"/>
      <c r="AM293" s="2560"/>
      <c r="AN293" s="2559">
        <f t="shared" si="78"/>
        <v>0</v>
      </c>
      <c r="AO293" s="2560"/>
    </row>
    <row r="294" spans="1:41" ht="15.95" customHeight="1" x14ac:dyDescent="0.4">
      <c r="A294" s="2915" t="s">
        <v>991</v>
      </c>
      <c r="B294" s="2916"/>
      <c r="C294" s="120" t="s">
        <v>496</v>
      </c>
      <c r="D294" s="170" t="s">
        <v>497</v>
      </c>
      <c r="E294" s="2576">
        <v>2.5</v>
      </c>
      <c r="F294" s="2880"/>
      <c r="G294" s="2641">
        <v>47000</v>
      </c>
      <c r="H294" s="2642">
        <f t="shared" si="76"/>
        <v>38202.400000000001</v>
      </c>
      <c r="I294" s="2559">
        <f>E294*G294</f>
        <v>117500</v>
      </c>
      <c r="J294" s="2560"/>
      <c r="K294" s="279"/>
      <c r="L294" s="122" t="s">
        <v>861</v>
      </c>
      <c r="M294" s="170" t="s">
        <v>1091</v>
      </c>
      <c r="N294" s="170" t="s">
        <v>760</v>
      </c>
      <c r="O294" s="2559">
        <v>5</v>
      </c>
      <c r="P294" s="2560"/>
      <c r="Q294" s="2559">
        <f>37564*1.0928</f>
        <v>41049.939200000001</v>
      </c>
      <c r="R294" s="2560"/>
      <c r="S294" s="2559">
        <f t="shared" si="77"/>
        <v>205249.696</v>
      </c>
      <c r="T294" s="2560"/>
      <c r="U294" s="45"/>
      <c r="V294" s="2915" t="s">
        <v>991</v>
      </c>
      <c r="W294" s="2916"/>
      <c r="X294" s="187"/>
      <c r="Y294" s="170"/>
      <c r="Z294" s="2576"/>
      <c r="AA294" s="2880"/>
      <c r="AB294" s="2576"/>
      <c r="AC294" s="2880"/>
      <c r="AD294" s="2559">
        <f>Z294*AB294</f>
        <v>0</v>
      </c>
      <c r="AE294" s="2560"/>
      <c r="AF294" s="45"/>
      <c r="AG294" s="122" t="s">
        <v>861</v>
      </c>
      <c r="AH294" s="170" t="s">
        <v>1091</v>
      </c>
      <c r="AI294" s="170" t="s">
        <v>760</v>
      </c>
      <c r="AJ294" s="2559">
        <v>4</v>
      </c>
      <c r="AK294" s="2560"/>
      <c r="AL294" s="2907">
        <f>37564*1.0928</f>
        <v>41049.939200000001</v>
      </c>
      <c r="AM294" s="2908"/>
      <c r="AN294" s="2559">
        <f t="shared" si="78"/>
        <v>164199.7568</v>
      </c>
      <c r="AO294" s="2560"/>
    </row>
    <row r="295" spans="1:41" ht="15.95" customHeight="1" x14ac:dyDescent="0.3">
      <c r="A295" s="2915" t="s">
        <v>981</v>
      </c>
      <c r="B295" s="2916"/>
      <c r="C295" s="187"/>
      <c r="D295" s="170"/>
      <c r="E295" s="2576"/>
      <c r="F295" s="2880"/>
      <c r="G295" s="2559"/>
      <c r="H295" s="2880"/>
      <c r="I295" s="2559">
        <f>E295*G295</f>
        <v>0</v>
      </c>
      <c r="J295" s="2560"/>
      <c r="K295" s="279"/>
      <c r="L295" s="122" t="s">
        <v>863</v>
      </c>
      <c r="M295" s="170" t="s">
        <v>762</v>
      </c>
      <c r="N295" s="170" t="s">
        <v>452</v>
      </c>
      <c r="O295" s="2559">
        <v>4</v>
      </c>
      <c r="P295" s="2560"/>
      <c r="Q295" s="2559">
        <f>69381*1.0928</f>
        <v>75819.556800000006</v>
      </c>
      <c r="R295" s="2560"/>
      <c r="S295" s="2559">
        <f t="shared" si="77"/>
        <v>303278.22720000002</v>
      </c>
      <c r="T295" s="2560"/>
      <c r="U295" s="45"/>
      <c r="V295" s="2915" t="s">
        <v>981</v>
      </c>
      <c r="W295" s="2916"/>
      <c r="X295" s="187"/>
      <c r="Y295" s="170"/>
      <c r="Z295" s="2576"/>
      <c r="AA295" s="2880"/>
      <c r="AB295" s="2576"/>
      <c r="AC295" s="2880"/>
      <c r="AD295" s="2559">
        <f>Z295*AB295</f>
        <v>0</v>
      </c>
      <c r="AE295" s="2560"/>
      <c r="AF295" s="45"/>
      <c r="AG295" s="122" t="s">
        <v>863</v>
      </c>
      <c r="AH295" s="170" t="s">
        <v>791</v>
      </c>
      <c r="AI295" s="170" t="s">
        <v>452</v>
      </c>
      <c r="AJ295" s="2559">
        <v>10</v>
      </c>
      <c r="AK295" s="2560"/>
      <c r="AL295" s="2559">
        <v>25849</v>
      </c>
      <c r="AM295" s="2560"/>
      <c r="AN295" s="2559">
        <f t="shared" si="78"/>
        <v>258490</v>
      </c>
      <c r="AO295" s="2560"/>
    </row>
    <row r="296" spans="1:41" ht="15.95" customHeight="1" x14ac:dyDescent="0.3">
      <c r="A296" s="2915" t="s">
        <v>992</v>
      </c>
      <c r="B296" s="2916"/>
      <c r="C296" s="187"/>
      <c r="D296" s="170"/>
      <c r="E296" s="2576"/>
      <c r="F296" s="2880"/>
      <c r="G296" s="2559"/>
      <c r="H296" s="2880"/>
      <c r="I296" s="2559">
        <f>E296*G296</f>
        <v>0</v>
      </c>
      <c r="J296" s="2560"/>
      <c r="K296" s="279"/>
      <c r="L296" s="122" t="s">
        <v>534</v>
      </c>
      <c r="M296" s="170" t="s">
        <v>459</v>
      </c>
      <c r="N296" s="170" t="s">
        <v>1056</v>
      </c>
      <c r="O296" s="2559">
        <v>4</v>
      </c>
      <c r="P296" s="2560"/>
      <c r="Q296" s="2559">
        <v>149734</v>
      </c>
      <c r="R296" s="2560"/>
      <c r="S296" s="2559">
        <f t="shared" si="77"/>
        <v>598936</v>
      </c>
      <c r="T296" s="2560"/>
      <c r="U296" s="45"/>
      <c r="V296" s="2915" t="s">
        <v>992</v>
      </c>
      <c r="W296" s="2916"/>
      <c r="X296" s="187"/>
      <c r="Y296" s="170"/>
      <c r="Z296" s="2576"/>
      <c r="AA296" s="2880"/>
      <c r="AB296" s="2576"/>
      <c r="AC296" s="2880"/>
      <c r="AD296" s="2559">
        <f>Z296*AB296</f>
        <v>0</v>
      </c>
      <c r="AE296" s="2560"/>
      <c r="AF296" s="45"/>
      <c r="AG296" s="122" t="s">
        <v>534</v>
      </c>
      <c r="AH296" s="170"/>
      <c r="AI296" s="170"/>
      <c r="AJ296" s="2559"/>
      <c r="AK296" s="2560"/>
      <c r="AL296" s="2559"/>
      <c r="AM296" s="2560"/>
      <c r="AN296" s="2559">
        <f t="shared" si="78"/>
        <v>0</v>
      </c>
      <c r="AO296" s="2560"/>
    </row>
    <row r="297" spans="1:41" ht="15.95" customHeight="1" x14ac:dyDescent="0.35">
      <c r="A297" s="2998" t="s">
        <v>993</v>
      </c>
      <c r="B297" s="2999"/>
      <c r="C297" s="187"/>
      <c r="D297" s="170"/>
      <c r="E297" s="2576"/>
      <c r="F297" s="2880"/>
      <c r="G297" s="2559"/>
      <c r="H297" s="2560"/>
      <c r="I297" s="2565">
        <f>SUM(I298:J307)</f>
        <v>846000</v>
      </c>
      <c r="J297" s="2892"/>
      <c r="K297" s="279"/>
      <c r="L297" s="288" t="s">
        <v>535</v>
      </c>
      <c r="M297" s="170" t="s">
        <v>753</v>
      </c>
      <c r="N297" s="170" t="s">
        <v>1056</v>
      </c>
      <c r="O297" s="2559">
        <v>11</v>
      </c>
      <c r="P297" s="2560"/>
      <c r="Q297" s="2895">
        <v>188974</v>
      </c>
      <c r="R297" s="2896"/>
      <c r="S297" s="2559">
        <f t="shared" si="77"/>
        <v>2078714</v>
      </c>
      <c r="T297" s="2560"/>
      <c r="U297" s="45"/>
      <c r="V297" s="2998" t="s">
        <v>1035</v>
      </c>
      <c r="W297" s="2999"/>
      <c r="X297" s="288"/>
      <c r="Y297" s="170"/>
      <c r="Z297" s="2576"/>
      <c r="AA297" s="2880"/>
      <c r="AB297" s="2576"/>
      <c r="AC297" s="2880"/>
      <c r="AD297" s="2565">
        <f>SUM(AD298:AE307)</f>
        <v>0</v>
      </c>
      <c r="AE297" s="2892"/>
      <c r="AF297" s="45"/>
      <c r="AG297" s="288" t="s">
        <v>535</v>
      </c>
      <c r="AH297" s="170" t="s">
        <v>753</v>
      </c>
      <c r="AI297" s="170" t="s">
        <v>851</v>
      </c>
      <c r="AJ297" s="2559">
        <v>8</v>
      </c>
      <c r="AK297" s="2560"/>
      <c r="AL297" s="2895">
        <v>188974</v>
      </c>
      <c r="AM297" s="2896"/>
      <c r="AN297" s="2559">
        <f t="shared" si="78"/>
        <v>1511792</v>
      </c>
      <c r="AO297" s="2560"/>
    </row>
    <row r="298" spans="1:41" ht="15.95" customHeight="1" x14ac:dyDescent="0.2">
      <c r="A298" s="2839" t="s">
        <v>995</v>
      </c>
      <c r="B298" s="2840"/>
      <c r="C298" s="170"/>
      <c r="D298" s="170"/>
      <c r="E298" s="2559"/>
      <c r="F298" s="2560"/>
      <c r="G298" s="2559"/>
      <c r="H298" s="2560"/>
      <c r="I298" s="2559">
        <f t="shared" ref="I298:I307" si="79">E298*G298</f>
        <v>0</v>
      </c>
      <c r="J298" s="2560"/>
      <c r="K298" s="279"/>
      <c r="L298" s="122" t="s">
        <v>537</v>
      </c>
      <c r="M298" s="170" t="s">
        <v>185</v>
      </c>
      <c r="N298" s="170" t="s">
        <v>760</v>
      </c>
      <c r="O298" s="2559">
        <v>15</v>
      </c>
      <c r="P298" s="2560"/>
      <c r="Q298" s="2559">
        <v>28583</v>
      </c>
      <c r="R298" s="2560"/>
      <c r="S298" s="2559">
        <f t="shared" si="77"/>
        <v>428745</v>
      </c>
      <c r="T298" s="2560"/>
      <c r="U298" s="45"/>
      <c r="V298" s="2839" t="s">
        <v>991</v>
      </c>
      <c r="W298" s="2840"/>
      <c r="X298" s="288"/>
      <c r="Y298" s="170"/>
      <c r="Z298" s="2559"/>
      <c r="AA298" s="2560"/>
      <c r="AB298" s="2559"/>
      <c r="AC298" s="2560"/>
      <c r="AD298" s="2559">
        <f>Z298*AB298</f>
        <v>0</v>
      </c>
      <c r="AE298" s="2560"/>
      <c r="AF298" s="45"/>
      <c r="AG298" s="122" t="s">
        <v>537</v>
      </c>
      <c r="AH298" s="170" t="s">
        <v>566</v>
      </c>
      <c r="AI298" s="170" t="s">
        <v>857</v>
      </c>
      <c r="AJ298" s="2559">
        <v>3</v>
      </c>
      <c r="AK298" s="2560"/>
      <c r="AL298" s="2559">
        <v>28583</v>
      </c>
      <c r="AM298" s="2560"/>
      <c r="AN298" s="2559">
        <f t="shared" si="78"/>
        <v>85749</v>
      </c>
      <c r="AO298" s="2560"/>
    </row>
    <row r="299" spans="1:41" ht="15.95" customHeight="1" x14ac:dyDescent="0.4">
      <c r="A299" s="2839" t="s">
        <v>996</v>
      </c>
      <c r="B299" s="2840"/>
      <c r="C299" s="120" t="s">
        <v>496</v>
      </c>
      <c r="D299" s="170" t="s">
        <v>497</v>
      </c>
      <c r="E299" s="2559">
        <v>6</v>
      </c>
      <c r="F299" s="2560"/>
      <c r="G299" s="2641">
        <v>47000</v>
      </c>
      <c r="H299" s="2642">
        <f t="shared" ref="H299" si="80">(36040*6%)+36040</f>
        <v>38202.400000000001</v>
      </c>
      <c r="I299" s="2559">
        <f t="shared" si="79"/>
        <v>282000</v>
      </c>
      <c r="J299" s="2560"/>
      <c r="K299" s="279"/>
      <c r="L299" s="122" t="s">
        <v>866</v>
      </c>
      <c r="M299" s="170" t="s">
        <v>1059</v>
      </c>
      <c r="N299" s="170" t="s">
        <v>452</v>
      </c>
      <c r="O299" s="2559">
        <v>300</v>
      </c>
      <c r="P299" s="2560"/>
      <c r="Q299" s="2559">
        <f>191*1.0928</f>
        <v>208.72479999999999</v>
      </c>
      <c r="R299" s="2560"/>
      <c r="S299" s="2559">
        <f t="shared" si="77"/>
        <v>62617.439999999995</v>
      </c>
      <c r="T299" s="2560"/>
      <c r="U299" s="45"/>
      <c r="V299" s="2839" t="s">
        <v>996</v>
      </c>
      <c r="W299" s="2840"/>
      <c r="X299" s="187"/>
      <c r="Y299" s="170"/>
      <c r="Z299" s="2559"/>
      <c r="AA299" s="2560"/>
      <c r="AB299" s="2559"/>
      <c r="AC299" s="2560"/>
      <c r="AD299" s="2559">
        <f>Z299*AB299</f>
        <v>0</v>
      </c>
      <c r="AE299" s="2560"/>
      <c r="AF299" s="45"/>
      <c r="AG299" s="122" t="s">
        <v>866</v>
      </c>
      <c r="AH299" s="170"/>
      <c r="AI299" s="170"/>
      <c r="AJ299" s="2559"/>
      <c r="AK299" s="2560"/>
      <c r="AL299" s="2559"/>
      <c r="AM299" s="2560"/>
      <c r="AN299" s="2559">
        <f t="shared" si="78"/>
        <v>0</v>
      </c>
      <c r="AO299" s="2560"/>
    </row>
    <row r="300" spans="1:41" ht="15.95" customHeight="1" x14ac:dyDescent="0.2">
      <c r="A300" s="2839" t="s">
        <v>469</v>
      </c>
      <c r="B300" s="2840"/>
      <c r="C300" s="187"/>
      <c r="D300" s="170"/>
      <c r="E300" s="2559"/>
      <c r="F300" s="2560"/>
      <c r="G300" s="2559"/>
      <c r="H300" s="2560"/>
      <c r="I300" s="2559">
        <f t="shared" si="79"/>
        <v>0</v>
      </c>
      <c r="J300" s="2560"/>
      <c r="K300" s="279"/>
      <c r="L300" s="122" t="s">
        <v>456</v>
      </c>
      <c r="M300" s="170" t="s">
        <v>1092</v>
      </c>
      <c r="N300" s="170" t="s">
        <v>1056</v>
      </c>
      <c r="O300" s="2559">
        <v>10</v>
      </c>
      <c r="P300" s="2560"/>
      <c r="Q300" s="2559">
        <f>42990*1.0928</f>
        <v>46979.472000000002</v>
      </c>
      <c r="R300" s="2560"/>
      <c r="S300" s="2559">
        <f t="shared" si="77"/>
        <v>469794.72000000003</v>
      </c>
      <c r="T300" s="2560"/>
      <c r="U300" s="45"/>
      <c r="V300" s="2839" t="s">
        <v>469</v>
      </c>
      <c r="W300" s="2840"/>
      <c r="X300" s="187"/>
      <c r="Y300" s="170"/>
      <c r="Z300" s="2559"/>
      <c r="AA300" s="2560"/>
      <c r="AB300" s="2559"/>
      <c r="AC300" s="2560"/>
      <c r="AD300" s="2559">
        <f t="shared" ref="AD300:AD307" si="81">Z300*AB300</f>
        <v>0</v>
      </c>
      <c r="AE300" s="2560"/>
      <c r="AF300" s="45"/>
      <c r="AG300" s="122" t="s">
        <v>456</v>
      </c>
      <c r="AH300" s="170"/>
      <c r="AI300" s="170"/>
      <c r="AJ300" s="2559"/>
      <c r="AK300" s="2560"/>
      <c r="AL300" s="2559"/>
      <c r="AM300" s="2560"/>
      <c r="AN300" s="2559">
        <f t="shared" si="78"/>
        <v>0</v>
      </c>
      <c r="AO300" s="2560"/>
    </row>
    <row r="301" spans="1:41" ht="15.95" customHeight="1" x14ac:dyDescent="0.2">
      <c r="A301" s="2839" t="s">
        <v>470</v>
      </c>
      <c r="B301" s="2840"/>
      <c r="C301" s="9"/>
      <c r="D301" s="120"/>
      <c r="E301" s="2559"/>
      <c r="F301" s="2560"/>
      <c r="G301" s="2559"/>
      <c r="H301" s="2560"/>
      <c r="I301" s="2559">
        <f t="shared" si="79"/>
        <v>0</v>
      </c>
      <c r="J301" s="2560"/>
      <c r="K301" s="279"/>
      <c r="L301" s="122" t="s">
        <v>871</v>
      </c>
      <c r="M301" s="170"/>
      <c r="N301" s="170"/>
      <c r="O301" s="2559"/>
      <c r="P301" s="2560"/>
      <c r="Q301" s="2559"/>
      <c r="R301" s="2560"/>
      <c r="S301" s="2559">
        <f t="shared" si="77"/>
        <v>0</v>
      </c>
      <c r="T301" s="2560"/>
      <c r="U301" s="45"/>
      <c r="V301" s="2839" t="s">
        <v>470</v>
      </c>
      <c r="W301" s="2840"/>
      <c r="X301" s="187"/>
      <c r="Y301" s="170"/>
      <c r="Z301" s="2559"/>
      <c r="AA301" s="2560"/>
      <c r="AB301" s="2559"/>
      <c r="AC301" s="2560"/>
      <c r="AD301" s="2559">
        <f t="shared" si="81"/>
        <v>0</v>
      </c>
      <c r="AE301" s="2560"/>
      <c r="AF301" s="45"/>
      <c r="AG301" s="122" t="s">
        <v>871</v>
      </c>
      <c r="AH301" s="170"/>
      <c r="AI301" s="170"/>
      <c r="AJ301" s="2559"/>
      <c r="AK301" s="2560"/>
      <c r="AL301" s="2559"/>
      <c r="AM301" s="2560"/>
      <c r="AN301" s="2559">
        <f t="shared" si="78"/>
        <v>0</v>
      </c>
      <c r="AO301" s="2560"/>
    </row>
    <row r="302" spans="1:41" ht="15.95" customHeight="1" x14ac:dyDescent="0.4">
      <c r="A302" s="2839" t="s">
        <v>902</v>
      </c>
      <c r="B302" s="2840"/>
      <c r="C302" s="120" t="s">
        <v>496</v>
      </c>
      <c r="D302" s="170" t="s">
        <v>497</v>
      </c>
      <c r="E302" s="2559">
        <v>4</v>
      </c>
      <c r="F302" s="2560"/>
      <c r="G302" s="2641">
        <v>47000</v>
      </c>
      <c r="H302" s="2642">
        <f t="shared" ref="H302:H303" si="82">(36040*6%)+36040</f>
        <v>38202.400000000001</v>
      </c>
      <c r="I302" s="2559">
        <f t="shared" si="79"/>
        <v>188000</v>
      </c>
      <c r="J302" s="2560"/>
      <c r="K302" s="279"/>
      <c r="L302" s="122" t="s">
        <v>595</v>
      </c>
      <c r="M302" s="170"/>
      <c r="N302" s="170"/>
      <c r="O302" s="2559"/>
      <c r="P302" s="2560"/>
      <c r="Q302" s="2559"/>
      <c r="R302" s="2560"/>
      <c r="S302" s="2559">
        <f t="shared" si="77"/>
        <v>0</v>
      </c>
      <c r="T302" s="2560"/>
      <c r="U302" s="45"/>
      <c r="V302" s="2839" t="s">
        <v>1068</v>
      </c>
      <c r="W302" s="2840"/>
      <c r="X302" s="288"/>
      <c r="Y302" s="170"/>
      <c r="Z302" s="2559"/>
      <c r="AA302" s="2560"/>
      <c r="AB302" s="2559"/>
      <c r="AC302" s="2880"/>
      <c r="AD302" s="2559">
        <f t="shared" si="81"/>
        <v>0</v>
      </c>
      <c r="AE302" s="2560"/>
      <c r="AF302" s="45"/>
      <c r="AG302" s="122" t="s">
        <v>595</v>
      </c>
      <c r="AH302" s="170"/>
      <c r="AI302" s="170"/>
      <c r="AJ302" s="2559"/>
      <c r="AK302" s="2560"/>
      <c r="AL302" s="2559"/>
      <c r="AM302" s="2560"/>
      <c r="AN302" s="2559">
        <f t="shared" si="78"/>
        <v>0</v>
      </c>
      <c r="AO302" s="2560"/>
    </row>
    <row r="303" spans="1:41" ht="15.95" customHeight="1" x14ac:dyDescent="0.4">
      <c r="A303" s="2839" t="s">
        <v>998</v>
      </c>
      <c r="B303" s="2840"/>
      <c r="C303" s="120" t="s">
        <v>496</v>
      </c>
      <c r="D303" s="170" t="s">
        <v>497</v>
      </c>
      <c r="E303" s="2576">
        <v>8</v>
      </c>
      <c r="F303" s="2880"/>
      <c r="G303" s="2641">
        <v>47000</v>
      </c>
      <c r="H303" s="2642">
        <f t="shared" si="82"/>
        <v>38202.400000000001</v>
      </c>
      <c r="I303" s="2559">
        <f t="shared" si="79"/>
        <v>376000</v>
      </c>
      <c r="J303" s="2560"/>
      <c r="K303" s="279"/>
      <c r="L303" s="122" t="s">
        <v>507</v>
      </c>
      <c r="M303" s="214" t="s">
        <v>1069</v>
      </c>
      <c r="N303" s="120" t="s">
        <v>597</v>
      </c>
      <c r="O303" s="2559">
        <v>156</v>
      </c>
      <c r="P303" s="2560"/>
      <c r="Q303" s="2559">
        <f>2981*1.0928</f>
        <v>3257.6367999999998</v>
      </c>
      <c r="R303" s="2560"/>
      <c r="S303" s="2559">
        <f t="shared" si="77"/>
        <v>508191.34079999995</v>
      </c>
      <c r="T303" s="2560"/>
      <c r="U303" s="45"/>
      <c r="V303" s="2839" t="s">
        <v>998</v>
      </c>
      <c r="W303" s="2840"/>
      <c r="X303" s="187"/>
      <c r="Y303" s="170"/>
      <c r="Z303" s="2576"/>
      <c r="AA303" s="2880"/>
      <c r="AB303" s="2576"/>
      <c r="AC303" s="2880"/>
      <c r="AD303" s="2559">
        <f t="shared" si="81"/>
        <v>0</v>
      </c>
      <c r="AE303" s="2560"/>
      <c r="AF303" s="45"/>
      <c r="AG303" s="122" t="s">
        <v>507</v>
      </c>
      <c r="AH303" s="214" t="s">
        <v>1069</v>
      </c>
      <c r="AI303" s="120" t="s">
        <v>597</v>
      </c>
      <c r="AJ303" s="2559">
        <v>500</v>
      </c>
      <c r="AK303" s="2560"/>
      <c r="AL303" s="2559">
        <f>2981*1.0928</f>
        <v>3257.6367999999998</v>
      </c>
      <c r="AM303" s="2560"/>
      <c r="AN303" s="2559">
        <f t="shared" si="78"/>
        <v>1628818.4</v>
      </c>
      <c r="AO303" s="2560"/>
    </row>
    <row r="304" spans="1:41" ht="15.95" customHeight="1" x14ac:dyDescent="0.3">
      <c r="A304" s="2839" t="s">
        <v>999</v>
      </c>
      <c r="B304" s="2840"/>
      <c r="C304" s="187"/>
      <c r="D304" s="170"/>
      <c r="E304" s="2576"/>
      <c r="F304" s="2880"/>
      <c r="G304" s="2576"/>
      <c r="H304" s="2880"/>
      <c r="I304" s="2559">
        <f t="shared" si="79"/>
        <v>0</v>
      </c>
      <c r="J304" s="2560"/>
      <c r="K304" s="279"/>
      <c r="L304" s="122" t="s">
        <v>805</v>
      </c>
      <c r="M304" s="170"/>
      <c r="N304" s="170" t="s">
        <v>794</v>
      </c>
      <c r="O304" s="2559"/>
      <c r="P304" s="2560"/>
      <c r="Q304" s="2559"/>
      <c r="R304" s="2560"/>
      <c r="S304" s="2559">
        <f>300000*1.0928</f>
        <v>327840</v>
      </c>
      <c r="T304" s="2560"/>
      <c r="U304" s="45"/>
      <c r="V304" s="2839" t="s">
        <v>999</v>
      </c>
      <c r="W304" s="2840"/>
      <c r="X304" s="187"/>
      <c r="Y304" s="170"/>
      <c r="Z304" s="2576"/>
      <c r="AA304" s="2880"/>
      <c r="AB304" s="2576"/>
      <c r="AC304" s="2880"/>
      <c r="AD304" s="2559">
        <f t="shared" si="81"/>
        <v>0</v>
      </c>
      <c r="AE304" s="2560"/>
      <c r="AF304" s="45"/>
      <c r="AG304" s="122" t="s">
        <v>801</v>
      </c>
      <c r="AH304" s="170"/>
      <c r="AI304" s="170"/>
      <c r="AJ304" s="2559"/>
      <c r="AK304" s="2560"/>
      <c r="AL304" s="2559"/>
      <c r="AM304" s="2560"/>
      <c r="AN304" s="2559">
        <f t="shared" si="78"/>
        <v>0</v>
      </c>
      <c r="AO304" s="2560"/>
    </row>
    <row r="305" spans="1:41" ht="15.95" customHeight="1" x14ac:dyDescent="0.3">
      <c r="A305" s="2839" t="s">
        <v>873</v>
      </c>
      <c r="B305" s="2840"/>
      <c r="C305" s="187"/>
      <c r="D305" s="170"/>
      <c r="E305" s="2576"/>
      <c r="F305" s="2880"/>
      <c r="G305" s="2576"/>
      <c r="H305" s="2880"/>
      <c r="I305" s="2559">
        <f t="shared" si="79"/>
        <v>0</v>
      </c>
      <c r="J305" s="2560"/>
      <c r="K305" s="279"/>
      <c r="L305" s="122" t="s">
        <v>575</v>
      </c>
      <c r="M305" s="170"/>
      <c r="N305" s="170"/>
      <c r="O305" s="2559"/>
      <c r="P305" s="2560"/>
      <c r="Q305" s="2559"/>
      <c r="R305" s="2560"/>
      <c r="S305" s="2559"/>
      <c r="T305" s="2560"/>
      <c r="U305" s="45"/>
      <c r="V305" s="2839" t="s">
        <v>873</v>
      </c>
      <c r="W305" s="2840"/>
      <c r="X305" s="187"/>
      <c r="Y305" s="170"/>
      <c r="Z305" s="2576"/>
      <c r="AA305" s="2880"/>
      <c r="AB305" s="2576"/>
      <c r="AC305" s="2880"/>
      <c r="AD305" s="2559">
        <f t="shared" si="81"/>
        <v>0</v>
      </c>
      <c r="AE305" s="2560"/>
      <c r="AF305" s="45"/>
      <c r="AG305" s="122" t="s">
        <v>575</v>
      </c>
      <c r="AH305" s="170"/>
      <c r="AI305" s="170"/>
      <c r="AJ305" s="2559"/>
      <c r="AK305" s="2560"/>
      <c r="AL305" s="2559"/>
      <c r="AM305" s="2560"/>
      <c r="AN305" s="2559">
        <f t="shared" si="78"/>
        <v>0</v>
      </c>
      <c r="AO305" s="2560"/>
    </row>
    <row r="306" spans="1:41" ht="15.95" customHeight="1" x14ac:dyDescent="0.3">
      <c r="A306" s="2839" t="s">
        <v>1000</v>
      </c>
      <c r="B306" s="2840"/>
      <c r="C306" s="187"/>
      <c r="D306" s="170"/>
      <c r="E306" s="2576"/>
      <c r="F306" s="2880"/>
      <c r="G306" s="2576"/>
      <c r="H306" s="2880"/>
      <c r="I306" s="2559">
        <f t="shared" si="79"/>
        <v>0</v>
      </c>
      <c r="J306" s="2560"/>
      <c r="K306" s="279"/>
      <c r="L306" s="122" t="s">
        <v>874</v>
      </c>
      <c r="M306" s="170"/>
      <c r="N306" s="170"/>
      <c r="O306" s="2559"/>
      <c r="P306" s="2560"/>
      <c r="Q306" s="2559"/>
      <c r="R306" s="2560"/>
      <c r="S306" s="2559"/>
      <c r="T306" s="2560"/>
      <c r="U306" s="45"/>
      <c r="V306" s="2839" t="s">
        <v>1000</v>
      </c>
      <c r="W306" s="2840"/>
      <c r="X306" s="187"/>
      <c r="Y306" s="170"/>
      <c r="Z306" s="2576"/>
      <c r="AA306" s="2880"/>
      <c r="AB306" s="2576"/>
      <c r="AC306" s="2880"/>
      <c r="AD306" s="2559">
        <f t="shared" si="81"/>
        <v>0</v>
      </c>
      <c r="AE306" s="2560"/>
      <c r="AF306" s="45"/>
      <c r="AG306" s="122" t="s">
        <v>874</v>
      </c>
      <c r="AH306" s="170"/>
      <c r="AI306" s="170"/>
      <c r="AJ306" s="2559"/>
      <c r="AK306" s="2560"/>
      <c r="AL306" s="2559"/>
      <c r="AM306" s="2560"/>
      <c r="AN306" s="2559">
        <f t="shared" si="78"/>
        <v>0</v>
      </c>
      <c r="AO306" s="2560"/>
    </row>
    <row r="307" spans="1:41" ht="15.95" customHeight="1" x14ac:dyDescent="0.3">
      <c r="A307" s="2839" t="s">
        <v>504</v>
      </c>
      <c r="B307" s="2840"/>
      <c r="C307" s="187"/>
      <c r="D307" s="170"/>
      <c r="E307" s="2576"/>
      <c r="F307" s="2880"/>
      <c r="G307" s="2576"/>
      <c r="H307" s="2880"/>
      <c r="I307" s="2559">
        <f t="shared" si="79"/>
        <v>0</v>
      </c>
      <c r="J307" s="2560"/>
      <c r="K307" s="279"/>
      <c r="L307" s="196" t="s">
        <v>515</v>
      </c>
      <c r="M307" s="120"/>
      <c r="N307" s="120"/>
      <c r="O307" s="2643"/>
      <c r="P307" s="2643"/>
      <c r="Q307" s="2643"/>
      <c r="R307" s="2643"/>
      <c r="S307" s="2559"/>
      <c r="T307" s="2560"/>
      <c r="U307" s="45"/>
      <c r="V307" s="2839" t="s">
        <v>504</v>
      </c>
      <c r="W307" s="2840"/>
      <c r="X307" s="187"/>
      <c r="Y307" s="170"/>
      <c r="Z307" s="2576"/>
      <c r="AA307" s="2880"/>
      <c r="AB307" s="2576"/>
      <c r="AC307" s="2880"/>
      <c r="AD307" s="2559">
        <f t="shared" si="81"/>
        <v>0</v>
      </c>
      <c r="AE307" s="2560"/>
      <c r="AF307" s="45"/>
      <c r="AG307" s="196" t="s">
        <v>515</v>
      </c>
      <c r="AH307" s="120"/>
      <c r="AI307" s="120"/>
      <c r="AJ307" s="2643"/>
      <c r="AK307" s="2643"/>
      <c r="AL307" s="2643"/>
      <c r="AM307" s="2643"/>
      <c r="AN307" s="2559">
        <f t="shared" si="78"/>
        <v>0</v>
      </c>
      <c r="AO307" s="2560"/>
    </row>
    <row r="308" spans="1:41" ht="15.95" customHeight="1" x14ac:dyDescent="0.35">
      <c r="A308" s="2911" t="s">
        <v>1001</v>
      </c>
      <c r="B308" s="2912"/>
      <c r="C308" s="187"/>
      <c r="D308" s="170"/>
      <c r="E308" s="2576"/>
      <c r="F308" s="2880"/>
      <c r="G308" s="2576"/>
      <c r="H308" s="2880"/>
      <c r="I308" s="2565">
        <f>SUM(I309:J326)</f>
        <v>2961000</v>
      </c>
      <c r="J308" s="2892"/>
      <c r="K308" s="279"/>
      <c r="L308" s="196"/>
      <c r="M308" s="197"/>
      <c r="N308" s="120"/>
      <c r="O308" s="2643"/>
      <c r="P308" s="2643"/>
      <c r="Q308" s="2643"/>
      <c r="R308" s="2643"/>
      <c r="S308" s="2559"/>
      <c r="T308" s="2560"/>
      <c r="U308" s="45"/>
      <c r="V308" s="2911" t="s">
        <v>1001</v>
      </c>
      <c r="W308" s="2912"/>
      <c r="X308" s="187"/>
      <c r="Y308" s="170"/>
      <c r="Z308" s="2576"/>
      <c r="AA308" s="2880"/>
      <c r="AB308" s="2576"/>
      <c r="AC308" s="2880"/>
      <c r="AD308" s="2565">
        <f>SUM(AD309:AE326)</f>
        <v>3243000</v>
      </c>
      <c r="AE308" s="2892"/>
      <c r="AF308" s="45"/>
      <c r="AG308" s="196" t="s">
        <v>1093</v>
      </c>
      <c r="AH308" s="120"/>
      <c r="AI308" s="120"/>
      <c r="AJ308" s="2643"/>
      <c r="AK308" s="2643"/>
      <c r="AL308" s="2643"/>
      <c r="AM308" s="2643"/>
      <c r="AN308" s="2559">
        <f t="shared" si="78"/>
        <v>0</v>
      </c>
      <c r="AO308" s="2560"/>
    </row>
    <row r="309" spans="1:41" ht="15.95" customHeight="1" x14ac:dyDescent="0.4">
      <c r="A309" s="2839" t="s">
        <v>852</v>
      </c>
      <c r="B309" s="2840"/>
      <c r="C309" s="120" t="s">
        <v>496</v>
      </c>
      <c r="D309" s="170" t="s">
        <v>497</v>
      </c>
      <c r="E309" s="2559">
        <v>5</v>
      </c>
      <c r="F309" s="2560"/>
      <c r="G309" s="2641">
        <v>47000</v>
      </c>
      <c r="H309" s="2642">
        <f t="shared" ref="H309" si="83">(36040*6%)+36040</f>
        <v>38202.400000000001</v>
      </c>
      <c r="I309" s="2559">
        <f t="shared" ref="I309:I326" si="84">E309*G309</f>
        <v>235000</v>
      </c>
      <c r="J309" s="2560"/>
      <c r="K309" s="279"/>
      <c r="L309" s="199" t="s">
        <v>876</v>
      </c>
      <c r="M309" s="53"/>
      <c r="N309" s="200"/>
      <c r="O309" s="2893"/>
      <c r="P309" s="2893"/>
      <c r="Q309" s="2893"/>
      <c r="R309" s="2893"/>
      <c r="S309" s="2894">
        <f>SUM(S291:T307)</f>
        <v>7461001.6240000008</v>
      </c>
      <c r="T309" s="2894"/>
      <c r="U309" s="45"/>
      <c r="V309" s="2839" t="s">
        <v>852</v>
      </c>
      <c r="W309" s="2840"/>
      <c r="X309" s="187"/>
      <c r="Y309" s="170"/>
      <c r="Z309" s="2559"/>
      <c r="AA309" s="2560"/>
      <c r="AB309" s="2559"/>
      <c r="AC309" s="2560"/>
      <c r="AD309" s="2559">
        <f t="shared" ref="AD309:AD326" si="85">Z309*AB309</f>
        <v>0</v>
      </c>
      <c r="AE309" s="2560"/>
      <c r="AF309" s="45"/>
      <c r="AG309" s="199" t="s">
        <v>876</v>
      </c>
      <c r="AH309" s="53"/>
      <c r="AI309" s="200"/>
      <c r="AJ309" s="2893"/>
      <c r="AK309" s="2893"/>
      <c r="AL309" s="2893"/>
      <c r="AM309" s="2893"/>
      <c r="AN309" s="2894">
        <f>SUM(AN291:AO307)</f>
        <v>3649049.1568</v>
      </c>
      <c r="AO309" s="2894"/>
    </row>
    <row r="310" spans="1:41" ht="15.95" customHeight="1" x14ac:dyDescent="0.2">
      <c r="A310" s="2839" t="s">
        <v>495</v>
      </c>
      <c r="B310" s="2840"/>
      <c r="C310" s="170"/>
      <c r="D310" s="170"/>
      <c r="E310" s="2559"/>
      <c r="F310" s="2560"/>
      <c r="G310" s="2559"/>
      <c r="H310" s="2560"/>
      <c r="I310" s="2559">
        <f t="shared" si="84"/>
        <v>0</v>
      </c>
      <c r="J310" s="2560"/>
      <c r="K310" s="279"/>
      <c r="L310" s="148"/>
      <c r="M310" s="197"/>
      <c r="N310" s="120"/>
      <c r="O310" s="2643"/>
      <c r="P310" s="2643"/>
      <c r="Q310" s="2643"/>
      <c r="R310" s="2643"/>
      <c r="S310" s="2643"/>
      <c r="T310" s="2643"/>
      <c r="U310" s="45"/>
      <c r="V310" s="2839" t="s">
        <v>495</v>
      </c>
      <c r="W310" s="2840"/>
      <c r="X310" s="187"/>
      <c r="Y310" s="170"/>
      <c r="Z310" s="2559"/>
      <c r="AA310" s="2560"/>
      <c r="AB310" s="2559"/>
      <c r="AC310" s="2560"/>
      <c r="AD310" s="2559">
        <f t="shared" si="85"/>
        <v>0</v>
      </c>
      <c r="AE310" s="2560"/>
      <c r="AF310" s="45"/>
      <c r="AG310" s="148"/>
      <c r="AH310" s="197"/>
      <c r="AI310" s="120"/>
      <c r="AJ310" s="2643"/>
      <c r="AK310" s="2643"/>
      <c r="AL310" s="2643"/>
      <c r="AM310" s="2643"/>
      <c r="AN310" s="2643"/>
      <c r="AO310" s="2643"/>
    </row>
    <row r="311" spans="1:41" ht="15.95" customHeight="1" x14ac:dyDescent="0.3">
      <c r="A311" s="2839" t="s">
        <v>1003</v>
      </c>
      <c r="B311" s="2840"/>
      <c r="C311" s="170"/>
      <c r="D311" s="170"/>
      <c r="E311" s="2576"/>
      <c r="F311" s="2880"/>
      <c r="G311" s="2559"/>
      <c r="H311" s="2880"/>
      <c r="I311" s="2559">
        <f t="shared" si="84"/>
        <v>0</v>
      </c>
      <c r="J311" s="2560"/>
      <c r="K311" s="279"/>
      <c r="L311" s="144" t="s">
        <v>577</v>
      </c>
      <c r="M311" s="145"/>
      <c r="N311" s="145"/>
      <c r="O311" s="2890"/>
      <c r="P311" s="2890"/>
      <c r="Q311" s="2890"/>
      <c r="R311" s="2890"/>
      <c r="S311" s="2890"/>
      <c r="T311" s="2891"/>
      <c r="U311" s="45"/>
      <c r="V311" s="2839" t="s">
        <v>1003</v>
      </c>
      <c r="W311" s="2840"/>
      <c r="X311" s="187"/>
      <c r="Y311" s="170"/>
      <c r="Z311" s="2576"/>
      <c r="AA311" s="2880"/>
      <c r="AB311" s="2576"/>
      <c r="AC311" s="2880"/>
      <c r="AD311" s="2559">
        <f t="shared" si="85"/>
        <v>0</v>
      </c>
      <c r="AE311" s="2560"/>
      <c r="AF311" s="45"/>
      <c r="AG311" s="144" t="s">
        <v>577</v>
      </c>
      <c r="AH311" s="145"/>
      <c r="AI311" s="145"/>
      <c r="AJ311" s="2890"/>
      <c r="AK311" s="2890"/>
      <c r="AL311" s="2890"/>
      <c r="AM311" s="2890"/>
      <c r="AN311" s="2890"/>
      <c r="AO311" s="2891"/>
    </row>
    <row r="312" spans="1:41" ht="15.95" customHeight="1" x14ac:dyDescent="0.3">
      <c r="A312" s="2839" t="s">
        <v>1004</v>
      </c>
      <c r="B312" s="2840"/>
      <c r="C312" s="187"/>
      <c r="D312" s="170"/>
      <c r="E312" s="2576"/>
      <c r="F312" s="2880"/>
      <c r="G312" s="2576"/>
      <c r="H312" s="2880"/>
      <c r="I312" s="2559">
        <f t="shared" si="84"/>
        <v>0</v>
      </c>
      <c r="J312" s="2560"/>
      <c r="K312" s="279"/>
      <c r="L312" s="148" t="s">
        <v>1005</v>
      </c>
      <c r="M312" s="296">
        <v>0.05</v>
      </c>
      <c r="N312" s="45"/>
      <c r="O312" s="2575"/>
      <c r="P312" s="2575"/>
      <c r="Q312" s="2575"/>
      <c r="R312" s="2575"/>
      <c r="S312" s="2575">
        <f>+(S309+I334)*0.05</f>
        <v>649661.28420000011</v>
      </c>
      <c r="T312" s="2560"/>
      <c r="U312" s="45"/>
      <c r="V312" s="2839" t="s">
        <v>1004</v>
      </c>
      <c r="W312" s="2840"/>
      <c r="X312" s="187"/>
      <c r="Y312" s="170"/>
      <c r="Z312" s="2576"/>
      <c r="AA312" s="2880"/>
      <c r="AB312" s="2576"/>
      <c r="AC312" s="2880"/>
      <c r="AD312" s="2559">
        <f t="shared" si="85"/>
        <v>0</v>
      </c>
      <c r="AE312" s="2560"/>
      <c r="AF312" s="45"/>
      <c r="AG312" s="148" t="s">
        <v>1005</v>
      </c>
      <c r="AH312" s="296">
        <v>0.05</v>
      </c>
      <c r="AI312" s="45"/>
      <c r="AJ312" s="2575"/>
      <c r="AK312" s="2575"/>
      <c r="AL312" s="2575"/>
      <c r="AM312" s="2575"/>
      <c r="AN312" s="2575">
        <f>+(AN309+AD334)*0.05</f>
        <v>500316.60872000002</v>
      </c>
      <c r="AO312" s="2560"/>
    </row>
    <row r="313" spans="1:41" ht="15.95" customHeight="1" x14ac:dyDescent="0.3">
      <c r="A313" s="2839" t="s">
        <v>1006</v>
      </c>
      <c r="B313" s="2840"/>
      <c r="C313" s="187"/>
      <c r="D313" s="170"/>
      <c r="E313" s="2576"/>
      <c r="F313" s="2880"/>
      <c r="G313" s="2576"/>
      <c r="H313" s="2880"/>
      <c r="I313" s="2559">
        <f t="shared" si="84"/>
        <v>0</v>
      </c>
      <c r="J313" s="2560"/>
      <c r="K313" s="279"/>
      <c r="L313" s="151" t="s">
        <v>527</v>
      </c>
      <c r="M313" s="45"/>
      <c r="N313" s="45"/>
      <c r="O313" s="2575"/>
      <c r="P313" s="2575"/>
      <c r="Q313" s="2575"/>
      <c r="R313" s="2575"/>
      <c r="S313" s="2575">
        <f>250000*1.0928</f>
        <v>273200</v>
      </c>
      <c r="T313" s="2560"/>
      <c r="U313" s="45"/>
      <c r="V313" s="2839" t="s">
        <v>1006</v>
      </c>
      <c r="W313" s="2840"/>
      <c r="X313" s="187"/>
      <c r="Y313" s="170"/>
      <c r="Z313" s="2576"/>
      <c r="AA313" s="2880"/>
      <c r="AB313" s="2576"/>
      <c r="AC313" s="2880"/>
      <c r="AD313" s="2559">
        <f t="shared" si="85"/>
        <v>0</v>
      </c>
      <c r="AE313" s="2560"/>
      <c r="AF313" s="45"/>
      <c r="AG313" s="151" t="s">
        <v>527</v>
      </c>
      <c r="AH313" s="45"/>
      <c r="AI313" s="45"/>
      <c r="AJ313" s="2575"/>
      <c r="AK313" s="2575"/>
      <c r="AL313" s="2575"/>
      <c r="AM313" s="2575"/>
      <c r="AN313" s="2575">
        <f>200000*1.0928</f>
        <v>218560</v>
      </c>
      <c r="AO313" s="2560"/>
    </row>
    <row r="314" spans="1:41" ht="15.95" customHeight="1" x14ac:dyDescent="0.3">
      <c r="A314" s="2839" t="s">
        <v>1007</v>
      </c>
      <c r="B314" s="2840"/>
      <c r="C314" s="187"/>
      <c r="D314" s="170"/>
      <c r="E314" s="2576"/>
      <c r="F314" s="2880"/>
      <c r="G314" s="2576"/>
      <c r="H314" s="2880"/>
      <c r="I314" s="2559">
        <f t="shared" si="84"/>
        <v>0</v>
      </c>
      <c r="J314" s="2560"/>
      <c r="K314" s="279"/>
      <c r="L314" s="152" t="s">
        <v>529</v>
      </c>
      <c r="M314" s="45"/>
      <c r="N314" s="45"/>
      <c r="O314" s="2575"/>
      <c r="P314" s="2575"/>
      <c r="Q314" s="2575"/>
      <c r="R314" s="2575"/>
      <c r="S314" s="2575">
        <f>500000*1.0928</f>
        <v>546400</v>
      </c>
      <c r="T314" s="2560"/>
      <c r="U314" s="45"/>
      <c r="V314" s="2839" t="s">
        <v>1007</v>
      </c>
      <c r="W314" s="2840"/>
      <c r="X314" s="187"/>
      <c r="Y314" s="170"/>
      <c r="Z314" s="2576"/>
      <c r="AA314" s="2880"/>
      <c r="AB314" s="2576"/>
      <c r="AC314" s="2880"/>
      <c r="AD314" s="2559">
        <f t="shared" si="85"/>
        <v>0</v>
      </c>
      <c r="AE314" s="2560"/>
      <c r="AF314" s="45"/>
      <c r="AG314" s="152" t="s">
        <v>529</v>
      </c>
      <c r="AH314" s="45"/>
      <c r="AI314" s="45"/>
      <c r="AJ314" s="2575"/>
      <c r="AK314" s="2575"/>
      <c r="AL314" s="2575"/>
      <c r="AM314" s="2575"/>
      <c r="AN314" s="2575">
        <f>500000*1.0928</f>
        <v>546400</v>
      </c>
      <c r="AO314" s="2560"/>
    </row>
    <row r="315" spans="1:41" ht="15.95" customHeight="1" x14ac:dyDescent="0.4">
      <c r="A315" s="2839" t="s">
        <v>1008</v>
      </c>
      <c r="B315" s="2840"/>
      <c r="C315" s="120" t="s">
        <v>496</v>
      </c>
      <c r="D315" s="170" t="s">
        <v>497</v>
      </c>
      <c r="E315" s="2576">
        <v>10</v>
      </c>
      <c r="F315" s="2880"/>
      <c r="G315" s="2641">
        <v>47000</v>
      </c>
      <c r="H315" s="2642">
        <f t="shared" ref="H315:H316" si="86">(36040*6%)+36040</f>
        <v>38202.400000000001</v>
      </c>
      <c r="I315" s="2559">
        <f t="shared" si="84"/>
        <v>470000</v>
      </c>
      <c r="J315" s="2560"/>
      <c r="K315" s="279"/>
      <c r="L315" s="152" t="s">
        <v>531</v>
      </c>
      <c r="M315" s="45"/>
      <c r="N315" s="45"/>
      <c r="O315" s="2575"/>
      <c r="P315" s="2575"/>
      <c r="Q315" s="2575"/>
      <c r="R315" s="2575"/>
      <c r="S315" s="2575">
        <f>+(S309+I334)*0.05</f>
        <v>649661.28420000011</v>
      </c>
      <c r="T315" s="2560"/>
      <c r="U315" s="45"/>
      <c r="V315" s="2839" t="s">
        <v>1008</v>
      </c>
      <c r="W315" s="2840"/>
      <c r="X315" s="187"/>
      <c r="Y315" s="170"/>
      <c r="Z315" s="2576"/>
      <c r="AA315" s="2880"/>
      <c r="AB315" s="2576"/>
      <c r="AC315" s="2880"/>
      <c r="AD315" s="2559">
        <f t="shared" si="85"/>
        <v>0</v>
      </c>
      <c r="AE315" s="2560"/>
      <c r="AF315" s="45"/>
      <c r="AG315" s="152" t="s">
        <v>580</v>
      </c>
      <c r="AH315" s="45"/>
      <c r="AI315" s="45"/>
      <c r="AJ315" s="2575"/>
      <c r="AK315" s="2575"/>
      <c r="AL315" s="2575"/>
      <c r="AM315" s="2575"/>
      <c r="AN315" s="2575">
        <f>+(AN309+AD334)*0.05</f>
        <v>500316.60872000002</v>
      </c>
      <c r="AO315" s="2560"/>
    </row>
    <row r="316" spans="1:41" ht="15.95" customHeight="1" x14ac:dyDescent="0.4">
      <c r="A316" s="2839" t="s">
        <v>1009</v>
      </c>
      <c r="B316" s="2840"/>
      <c r="C316" s="120" t="s">
        <v>496</v>
      </c>
      <c r="D316" s="170" t="s">
        <v>497</v>
      </c>
      <c r="E316" s="2576">
        <v>5</v>
      </c>
      <c r="F316" s="2880"/>
      <c r="G316" s="2641">
        <v>47000</v>
      </c>
      <c r="H316" s="2642">
        <f t="shared" si="86"/>
        <v>38202.400000000001</v>
      </c>
      <c r="I316" s="2559">
        <f t="shared" si="84"/>
        <v>235000</v>
      </c>
      <c r="J316" s="2560"/>
      <c r="K316" s="279"/>
      <c r="L316" s="166" t="s">
        <v>504</v>
      </c>
      <c r="M316" s="155"/>
      <c r="N316" s="155"/>
      <c r="O316" s="2557"/>
      <c r="P316" s="2557"/>
      <c r="Q316" s="2557"/>
      <c r="R316" s="2557"/>
      <c r="S316" s="2557">
        <f>150000*1.0928</f>
        <v>163920</v>
      </c>
      <c r="T316" s="2558"/>
      <c r="U316" s="45"/>
      <c r="V316" s="2839" t="s">
        <v>1009</v>
      </c>
      <c r="W316" s="2840"/>
      <c r="X316" s="187"/>
      <c r="Y316" s="170" t="s">
        <v>496</v>
      </c>
      <c r="Z316" s="2576">
        <v>10</v>
      </c>
      <c r="AA316" s="2880"/>
      <c r="AB316" s="2919">
        <v>47000</v>
      </c>
      <c r="AC316" s="2920">
        <f t="shared" ref="AC316:AC320" si="87">(36040*6%)+36040</f>
        <v>38202.400000000001</v>
      </c>
      <c r="AD316" s="2559">
        <f t="shared" si="85"/>
        <v>470000</v>
      </c>
      <c r="AE316" s="2560"/>
      <c r="AF316" s="45"/>
      <c r="AG316" s="166" t="s">
        <v>504</v>
      </c>
      <c r="AH316" s="155"/>
      <c r="AI316" s="155"/>
      <c r="AJ316" s="2557"/>
      <c r="AK316" s="2557"/>
      <c r="AL316" s="2557"/>
      <c r="AM316" s="2557"/>
      <c r="AN316" s="2557">
        <f>100000*1.0928</f>
        <v>109280</v>
      </c>
      <c r="AO316" s="2558"/>
    </row>
    <row r="317" spans="1:41" ht="15.95" customHeight="1" x14ac:dyDescent="0.3">
      <c r="A317" s="2839" t="s">
        <v>1010</v>
      </c>
      <c r="B317" s="2840"/>
      <c r="C317" s="170"/>
      <c r="D317" s="170"/>
      <c r="E317" s="2576"/>
      <c r="F317" s="2880"/>
      <c r="G317" s="2559"/>
      <c r="H317" s="2918"/>
      <c r="I317" s="2559">
        <f t="shared" si="84"/>
        <v>0</v>
      </c>
      <c r="J317" s="2560"/>
      <c r="K317" s="279"/>
      <c r="L317" s="156" t="s">
        <v>533</v>
      </c>
      <c r="M317" s="201"/>
      <c r="N317" s="201"/>
      <c r="O317" s="2885"/>
      <c r="P317" s="2885"/>
      <c r="Q317" s="2886"/>
      <c r="R317" s="2886"/>
      <c r="S317" s="2887">
        <f>SUM(S312:T316)</f>
        <v>2282842.5684000002</v>
      </c>
      <c r="T317" s="2887"/>
      <c r="U317" s="45"/>
      <c r="V317" s="2839" t="s">
        <v>1090</v>
      </c>
      <c r="W317" s="2840"/>
      <c r="X317" s="288"/>
      <c r="Y317" s="170"/>
      <c r="Z317" s="2576"/>
      <c r="AA317" s="2880"/>
      <c r="AB317" s="2576"/>
      <c r="AC317" s="2880"/>
      <c r="AD317" s="2559">
        <f t="shared" si="85"/>
        <v>0</v>
      </c>
      <c r="AE317" s="2560"/>
      <c r="AF317" s="45"/>
      <c r="AG317" s="156" t="s">
        <v>533</v>
      </c>
      <c r="AH317" s="201"/>
      <c r="AI317" s="201"/>
      <c r="AJ317" s="2885"/>
      <c r="AK317" s="2885"/>
      <c r="AL317" s="2886"/>
      <c r="AM317" s="2886"/>
      <c r="AN317" s="2887">
        <f>SUM(AN312:AO316)</f>
        <v>1874873.2174399998</v>
      </c>
      <c r="AO317" s="2887"/>
    </row>
    <row r="318" spans="1:41" ht="15.95" customHeight="1" x14ac:dyDescent="0.3">
      <c r="A318" s="2839" t="s">
        <v>1011</v>
      </c>
      <c r="B318" s="2840"/>
      <c r="C318" s="187"/>
      <c r="D318" s="170"/>
      <c r="E318" s="2576"/>
      <c r="F318" s="2880"/>
      <c r="G318" s="2576"/>
      <c r="H318" s="2880"/>
      <c r="I318" s="2559">
        <f t="shared" si="84"/>
        <v>0</v>
      </c>
      <c r="J318" s="2560"/>
      <c r="K318" s="279"/>
      <c r="L318" s="159"/>
      <c r="M318" s="45"/>
      <c r="N318" s="45"/>
      <c r="O318" s="2575"/>
      <c r="P318" s="2575"/>
      <c r="Q318" s="2575"/>
      <c r="R318" s="2575"/>
      <c r="S318" s="2575"/>
      <c r="T318" s="2560"/>
      <c r="U318" s="45"/>
      <c r="V318" s="2839" t="s">
        <v>1011</v>
      </c>
      <c r="W318" s="2840"/>
      <c r="X318" s="187"/>
      <c r="Y318" s="170" t="s">
        <v>496</v>
      </c>
      <c r="Z318" s="2576">
        <v>1</v>
      </c>
      <c r="AA318" s="2880"/>
      <c r="AB318" s="2919">
        <v>47000</v>
      </c>
      <c r="AC318" s="2920">
        <f t="shared" si="87"/>
        <v>38202.400000000001</v>
      </c>
      <c r="AD318" s="2559">
        <f t="shared" si="85"/>
        <v>47000</v>
      </c>
      <c r="AE318" s="2560"/>
      <c r="AF318" s="45"/>
      <c r="AG318" s="159"/>
      <c r="AH318" s="45"/>
      <c r="AI318" s="45"/>
      <c r="AJ318" s="2575"/>
      <c r="AK318" s="2575"/>
      <c r="AL318" s="2575"/>
      <c r="AM318" s="2575"/>
      <c r="AN318" s="2575"/>
      <c r="AO318" s="2560"/>
    </row>
    <row r="319" spans="1:41" ht="15.95" customHeight="1" thickBot="1" x14ac:dyDescent="0.35">
      <c r="A319" s="2839" t="s">
        <v>1012</v>
      </c>
      <c r="B319" s="2840"/>
      <c r="C319" s="120"/>
      <c r="D319" s="120"/>
      <c r="E319" s="2576"/>
      <c r="F319" s="2880"/>
      <c r="G319" s="2576"/>
      <c r="H319" s="2880"/>
      <c r="I319" s="2559">
        <f t="shared" si="84"/>
        <v>0</v>
      </c>
      <c r="J319" s="2560"/>
      <c r="K319" s="279"/>
      <c r="L319" s="160" t="s">
        <v>583</v>
      </c>
      <c r="M319" s="205"/>
      <c r="N319" s="205"/>
      <c r="O319" s="205"/>
      <c r="P319" s="205"/>
      <c r="Q319" s="161"/>
      <c r="R319" s="161"/>
      <c r="S319" s="2580">
        <f>SUM(S317+S309+I334)</f>
        <v>15276068.252400002</v>
      </c>
      <c r="T319" s="2581"/>
      <c r="U319" s="45"/>
      <c r="V319" s="2839" t="s">
        <v>1094</v>
      </c>
      <c r="W319" s="2840"/>
      <c r="X319" s="288"/>
      <c r="Y319" s="170"/>
      <c r="Z319" s="2576"/>
      <c r="AA319" s="2880"/>
      <c r="AB319" s="2576"/>
      <c r="AC319" s="2880"/>
      <c r="AD319" s="2559">
        <f t="shared" si="85"/>
        <v>0</v>
      </c>
      <c r="AE319" s="2560"/>
      <c r="AF319" s="45"/>
      <c r="AG319" s="160" t="s">
        <v>583</v>
      </c>
      <c r="AH319" s="205"/>
      <c r="AI319" s="205"/>
      <c r="AJ319" s="205"/>
      <c r="AK319" s="205"/>
      <c r="AL319" s="161"/>
      <c r="AM319" s="161"/>
      <c r="AN319" s="2580">
        <f>SUM(AN317+AN309+AD334)</f>
        <v>11881205.39184</v>
      </c>
      <c r="AO319" s="2581"/>
    </row>
    <row r="320" spans="1:41" ht="15.95" customHeight="1" x14ac:dyDescent="0.4">
      <c r="A320" s="2839" t="s">
        <v>1018</v>
      </c>
      <c r="B320" s="2840"/>
      <c r="C320" s="120" t="s">
        <v>496</v>
      </c>
      <c r="D320" s="170" t="s">
        <v>497</v>
      </c>
      <c r="E320" s="2559">
        <v>15</v>
      </c>
      <c r="F320" s="2560"/>
      <c r="G320" s="2641">
        <v>47000</v>
      </c>
      <c r="H320" s="2642">
        <f t="shared" ref="H320:H321" si="88">(36040*6%)+36040</f>
        <v>38202.400000000001</v>
      </c>
      <c r="I320" s="2559">
        <f t="shared" si="84"/>
        <v>705000</v>
      </c>
      <c r="J320" s="2560"/>
      <c r="K320" s="284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2839" t="s">
        <v>1018</v>
      </c>
      <c r="W320" s="2840"/>
      <c r="X320" s="288"/>
      <c r="Y320" s="170" t="s">
        <v>496</v>
      </c>
      <c r="Z320" s="2559">
        <v>12</v>
      </c>
      <c r="AA320" s="2560"/>
      <c r="AB320" s="2919">
        <v>47000</v>
      </c>
      <c r="AC320" s="2920">
        <f t="shared" si="87"/>
        <v>38202.400000000001</v>
      </c>
      <c r="AD320" s="2559">
        <f t="shared" si="85"/>
        <v>564000</v>
      </c>
      <c r="AE320" s="2560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</row>
    <row r="321" spans="1:41" ht="15.95" customHeight="1" x14ac:dyDescent="0.4">
      <c r="A321" s="2839" t="s">
        <v>1019</v>
      </c>
      <c r="B321" s="2840"/>
      <c r="C321" s="120" t="s">
        <v>496</v>
      </c>
      <c r="D321" s="170" t="s">
        <v>497</v>
      </c>
      <c r="E321" s="2576">
        <v>1</v>
      </c>
      <c r="F321" s="2880"/>
      <c r="G321" s="2641">
        <v>47000</v>
      </c>
      <c r="H321" s="2642">
        <f t="shared" si="88"/>
        <v>38202.400000000001</v>
      </c>
      <c r="I321" s="2559">
        <f t="shared" si="84"/>
        <v>47000</v>
      </c>
      <c r="J321" s="2560"/>
      <c r="K321" s="279"/>
      <c r="L321" s="7" t="s">
        <v>1528</v>
      </c>
      <c r="M321" s="45"/>
      <c r="N321" s="45"/>
      <c r="O321" s="45"/>
      <c r="P321" s="45"/>
      <c r="Q321" s="45"/>
      <c r="R321" s="45"/>
      <c r="S321" s="45"/>
      <c r="T321" s="45"/>
      <c r="U321" s="45"/>
      <c r="V321" s="2839" t="s">
        <v>1019</v>
      </c>
      <c r="W321" s="2840"/>
      <c r="X321" s="187"/>
      <c r="Y321" s="170"/>
      <c r="Z321" s="2576"/>
      <c r="AA321" s="2880"/>
      <c r="AB321" s="2576"/>
      <c r="AC321" s="2880"/>
      <c r="AD321" s="2559">
        <f t="shared" si="85"/>
        <v>0</v>
      </c>
      <c r="AE321" s="2560"/>
      <c r="AF321" s="45"/>
      <c r="AG321" s="7" t="s">
        <v>1528</v>
      </c>
      <c r="AH321" s="45"/>
      <c r="AI321" s="45"/>
      <c r="AJ321" s="45"/>
      <c r="AK321" s="45"/>
      <c r="AL321" s="45"/>
      <c r="AM321" s="45"/>
      <c r="AN321" s="45"/>
      <c r="AO321" s="45"/>
    </row>
    <row r="322" spans="1:41" ht="15.95" customHeight="1" x14ac:dyDescent="0.3">
      <c r="A322" s="2839" t="s">
        <v>1020</v>
      </c>
      <c r="B322" s="2840"/>
      <c r="C322" s="187"/>
      <c r="D322" s="170"/>
      <c r="E322" s="2576"/>
      <c r="F322" s="2880"/>
      <c r="G322" s="2576"/>
      <c r="H322" s="2880"/>
      <c r="I322" s="2559">
        <f t="shared" si="84"/>
        <v>0</v>
      </c>
      <c r="J322" s="2560"/>
      <c r="K322" s="279"/>
      <c r="L322" s="597" t="s">
        <v>1583</v>
      </c>
      <c r="M322" s="266"/>
      <c r="N322" s="266"/>
      <c r="O322" s="266"/>
      <c r="P322" s="266"/>
      <c r="Q322" s="1783"/>
      <c r="R322" s="266"/>
      <c r="S322" s="266"/>
      <c r="T322" s="45"/>
      <c r="U322" s="45"/>
      <c r="V322" s="2839" t="s">
        <v>1020</v>
      </c>
      <c r="W322" s="2840"/>
      <c r="X322" s="187"/>
      <c r="Y322" s="170"/>
      <c r="Z322" s="2576"/>
      <c r="AA322" s="2880"/>
      <c r="AB322" s="2576"/>
      <c r="AC322" s="2880"/>
      <c r="AD322" s="2559">
        <f t="shared" si="85"/>
        <v>0</v>
      </c>
      <c r="AE322" s="2560"/>
      <c r="AF322" s="45"/>
      <c r="AG322" s="597" t="s">
        <v>1584</v>
      </c>
      <c r="AH322" s="266"/>
      <c r="AI322" s="266"/>
      <c r="AJ322" s="266"/>
      <c r="AK322" s="266"/>
      <c r="AL322" s="1783"/>
      <c r="AM322" s="266"/>
      <c r="AN322" s="266"/>
      <c r="AO322" s="45"/>
    </row>
    <row r="323" spans="1:41" ht="15.95" customHeight="1" x14ac:dyDescent="0.3">
      <c r="A323" s="2839" t="s">
        <v>1021</v>
      </c>
      <c r="B323" s="2840"/>
      <c r="C323" s="187"/>
      <c r="D323" s="170"/>
      <c r="E323" s="2576"/>
      <c r="F323" s="2880"/>
      <c r="G323" s="2576"/>
      <c r="H323" s="2880"/>
      <c r="I323" s="2559">
        <f t="shared" si="84"/>
        <v>0</v>
      </c>
      <c r="J323" s="2560"/>
      <c r="K323" s="279"/>
      <c r="L323" s="45"/>
      <c r="M323" s="206"/>
      <c r="N323" s="206"/>
      <c r="O323" s="206"/>
      <c r="P323" s="206"/>
      <c r="Q323" s="107"/>
      <c r="R323" s="44"/>
      <c r="S323" s="45"/>
      <c r="T323" s="45"/>
      <c r="U323" s="45"/>
      <c r="V323" s="2839" t="s">
        <v>1021</v>
      </c>
      <c r="W323" s="2840"/>
      <c r="X323" s="187"/>
      <c r="Y323" s="170"/>
      <c r="Z323" s="2576"/>
      <c r="AA323" s="2880"/>
      <c r="AB323" s="2576"/>
      <c r="AC323" s="2880"/>
      <c r="AD323" s="2559">
        <f t="shared" si="85"/>
        <v>0</v>
      </c>
      <c r="AE323" s="2560"/>
      <c r="AF323" s="45"/>
      <c r="AG323" s="45"/>
      <c r="AH323" s="2834"/>
      <c r="AI323" s="2834"/>
      <c r="AJ323" s="2834"/>
      <c r="AK323" s="2834"/>
      <c r="AL323" s="297"/>
      <c r="AM323" s="44"/>
      <c r="AN323" s="44"/>
      <c r="AO323" s="45"/>
    </row>
    <row r="324" spans="1:41" ht="15.95" customHeight="1" x14ac:dyDescent="0.4">
      <c r="A324" s="2839" t="s">
        <v>1022</v>
      </c>
      <c r="B324" s="2840"/>
      <c r="C324" s="120" t="s">
        <v>496</v>
      </c>
      <c r="D324" s="170" t="s">
        <v>497</v>
      </c>
      <c r="E324" s="2559">
        <v>5</v>
      </c>
      <c r="F324" s="2560"/>
      <c r="G324" s="2641">
        <v>47000</v>
      </c>
      <c r="H324" s="2642">
        <f t="shared" ref="H324:H326" si="89">(36040*6%)+36040</f>
        <v>38202.400000000001</v>
      </c>
      <c r="I324" s="2559">
        <f t="shared" si="84"/>
        <v>235000</v>
      </c>
      <c r="J324" s="2560"/>
      <c r="K324" s="279"/>
      <c r="L324" s="45"/>
      <c r="M324" s="2834"/>
      <c r="N324" s="2834"/>
      <c r="O324" s="2834"/>
      <c r="P324" s="2834"/>
      <c r="Q324" s="107"/>
      <c r="R324" s="44"/>
      <c r="S324" s="45"/>
      <c r="T324" s="45"/>
      <c r="U324" s="45"/>
      <c r="V324" s="2839" t="s">
        <v>1022</v>
      </c>
      <c r="W324" s="2840"/>
      <c r="X324" s="288"/>
      <c r="Y324" s="170" t="s">
        <v>496</v>
      </c>
      <c r="Z324" s="2559">
        <v>6</v>
      </c>
      <c r="AA324" s="2560"/>
      <c r="AB324" s="2919">
        <v>47000</v>
      </c>
      <c r="AC324" s="2920">
        <f t="shared" ref="AC324:AC326" si="90">(36040*6%)+36040</f>
        <v>38202.400000000001</v>
      </c>
      <c r="AD324" s="2559">
        <f t="shared" si="85"/>
        <v>282000</v>
      </c>
      <c r="AE324" s="2560"/>
      <c r="AF324" s="45"/>
      <c r="AG324" s="45"/>
      <c r="AH324" s="206"/>
      <c r="AI324" s="206"/>
      <c r="AJ324" s="206"/>
      <c r="AK324" s="206"/>
      <c r="AL324" s="298"/>
      <c r="AM324" s="44"/>
      <c r="AN324" s="45"/>
      <c r="AO324" s="45"/>
    </row>
    <row r="325" spans="1:41" ht="15.95" customHeight="1" x14ac:dyDescent="0.4">
      <c r="A325" s="2839" t="s">
        <v>881</v>
      </c>
      <c r="B325" s="2840"/>
      <c r="C325" s="120" t="s">
        <v>496</v>
      </c>
      <c r="D325" s="170" t="s">
        <v>497</v>
      </c>
      <c r="E325" s="2559">
        <v>10</v>
      </c>
      <c r="F325" s="2560"/>
      <c r="G325" s="2641">
        <v>47000</v>
      </c>
      <c r="H325" s="2642">
        <f t="shared" si="89"/>
        <v>38202.400000000001</v>
      </c>
      <c r="I325" s="2559">
        <f t="shared" si="84"/>
        <v>470000</v>
      </c>
      <c r="J325" s="2560"/>
      <c r="K325" s="279"/>
      <c r="L325" s="45"/>
      <c r="M325" s="2834"/>
      <c r="N325" s="2834"/>
      <c r="O325" s="2834"/>
      <c r="P325" s="2834"/>
      <c r="Q325" s="107"/>
      <c r="R325" s="45"/>
      <c r="S325" s="44"/>
      <c r="T325" s="45"/>
      <c r="U325" s="45"/>
      <c r="V325" s="2839" t="s">
        <v>881</v>
      </c>
      <c r="W325" s="2840"/>
      <c r="X325" s="288"/>
      <c r="Y325" s="170" t="s">
        <v>496</v>
      </c>
      <c r="Z325" s="2559">
        <v>20</v>
      </c>
      <c r="AA325" s="2560"/>
      <c r="AB325" s="2919">
        <v>47000</v>
      </c>
      <c r="AC325" s="2920">
        <f t="shared" si="90"/>
        <v>38202.400000000001</v>
      </c>
      <c r="AD325" s="2559">
        <f t="shared" si="85"/>
        <v>940000</v>
      </c>
      <c r="AE325" s="2560"/>
      <c r="AF325" s="45"/>
      <c r="AG325" s="45"/>
      <c r="AH325" s="206"/>
      <c r="AI325" s="206"/>
      <c r="AJ325" s="206"/>
      <c r="AK325" s="206"/>
      <c r="AL325" s="298"/>
      <c r="AM325" s="45"/>
      <c r="AN325" s="45"/>
      <c r="AO325" s="45"/>
    </row>
    <row r="326" spans="1:41" ht="15.95" customHeight="1" x14ac:dyDescent="0.4">
      <c r="A326" s="2839" t="s">
        <v>882</v>
      </c>
      <c r="B326" s="2840"/>
      <c r="C326" s="120" t="s">
        <v>496</v>
      </c>
      <c r="D326" s="170" t="s">
        <v>497</v>
      </c>
      <c r="E326" s="2576">
        <v>12</v>
      </c>
      <c r="F326" s="2880"/>
      <c r="G326" s="2641">
        <v>47000</v>
      </c>
      <c r="H326" s="2642">
        <f t="shared" si="89"/>
        <v>38202.400000000001</v>
      </c>
      <c r="I326" s="2559">
        <f t="shared" si="84"/>
        <v>564000</v>
      </c>
      <c r="J326" s="2560"/>
      <c r="K326" s="279"/>
      <c r="L326" s="45"/>
      <c r="M326" s="2834"/>
      <c r="N326" s="2834"/>
      <c r="O326" s="2834"/>
      <c r="P326" s="2834"/>
      <c r="Q326" s="273"/>
      <c r="R326" s="44"/>
      <c r="S326" s="45"/>
      <c r="T326" s="45"/>
      <c r="U326" s="45"/>
      <c r="V326" s="2839" t="s">
        <v>882</v>
      </c>
      <c r="W326" s="2840"/>
      <c r="X326" s="288"/>
      <c r="Y326" s="170" t="s">
        <v>496</v>
      </c>
      <c r="Z326" s="2576">
        <v>20</v>
      </c>
      <c r="AA326" s="2880"/>
      <c r="AB326" s="2919">
        <v>47000</v>
      </c>
      <c r="AC326" s="2920">
        <f t="shared" si="90"/>
        <v>38202.400000000001</v>
      </c>
      <c r="AD326" s="2559">
        <f t="shared" si="85"/>
        <v>940000</v>
      </c>
      <c r="AE326" s="2560"/>
      <c r="AF326" s="45"/>
      <c r="AG326" s="45"/>
      <c r="AH326" s="2834"/>
      <c r="AI326" s="2834"/>
      <c r="AJ326" s="2834"/>
      <c r="AK326" s="2834"/>
      <c r="AL326" s="298"/>
      <c r="AM326" s="44"/>
      <c r="AN326" s="45"/>
      <c r="AO326" s="45"/>
    </row>
    <row r="327" spans="1:41" ht="15.95" customHeight="1" x14ac:dyDescent="0.3">
      <c r="A327" s="2911" t="s">
        <v>1023</v>
      </c>
      <c r="B327" s="2912"/>
      <c r="C327" s="187"/>
      <c r="D327" s="170"/>
      <c r="E327" s="2576"/>
      <c r="F327" s="2880"/>
      <c r="G327" s="2576"/>
      <c r="H327" s="2880"/>
      <c r="I327" s="2565">
        <f>SUM(I328:J333)</f>
        <v>1513724.06</v>
      </c>
      <c r="J327" s="2566"/>
      <c r="K327" s="279"/>
      <c r="L327" s="45"/>
      <c r="M327" s="45"/>
      <c r="N327" s="45"/>
      <c r="O327" s="45"/>
      <c r="P327" s="45"/>
      <c r="Q327" s="45"/>
      <c r="R327" s="44"/>
      <c r="S327" s="45"/>
      <c r="T327" s="45"/>
      <c r="U327" s="45"/>
      <c r="V327" s="2911" t="s">
        <v>1023</v>
      </c>
      <c r="W327" s="2912"/>
      <c r="X327" s="187"/>
      <c r="Y327" s="170"/>
      <c r="Z327" s="2576"/>
      <c r="AA327" s="2880"/>
      <c r="AB327" s="2576"/>
      <c r="AC327" s="2880"/>
      <c r="AD327" s="2565">
        <f>SUM(AD328:AE333)</f>
        <v>3114283.0175999999</v>
      </c>
      <c r="AE327" s="2566"/>
      <c r="AF327" s="45"/>
      <c r="AG327" s="45"/>
      <c r="AH327" s="2834"/>
      <c r="AI327" s="2834"/>
      <c r="AJ327" s="2834"/>
      <c r="AK327" s="2834"/>
      <c r="AL327" s="107"/>
      <c r="AM327" s="44"/>
      <c r="AN327" s="45"/>
      <c r="AO327" s="45"/>
    </row>
    <row r="328" spans="1:41" ht="15.95" customHeight="1" x14ac:dyDescent="0.4">
      <c r="A328" s="2839" t="s">
        <v>884</v>
      </c>
      <c r="B328" s="2840"/>
      <c r="C328" s="120" t="s">
        <v>496</v>
      </c>
      <c r="D328" s="170" t="s">
        <v>497</v>
      </c>
      <c r="E328" s="2576">
        <v>12</v>
      </c>
      <c r="F328" s="2880"/>
      <c r="G328" s="2641">
        <v>47000</v>
      </c>
      <c r="H328" s="2642">
        <f t="shared" ref="H328" si="91">(36040*6%)+36040</f>
        <v>38202.400000000001</v>
      </c>
      <c r="I328" s="2559">
        <f>E328*G328</f>
        <v>564000</v>
      </c>
      <c r="J328" s="2560"/>
      <c r="K328" s="279"/>
      <c r="L328" s="45"/>
      <c r="M328" s="45"/>
      <c r="N328" s="45"/>
      <c r="O328" s="45"/>
      <c r="P328" s="45"/>
      <c r="Q328" s="45"/>
      <c r="R328" s="44"/>
      <c r="S328" s="45"/>
      <c r="T328" s="45"/>
      <c r="U328" s="45"/>
      <c r="V328" s="2839" t="s">
        <v>884</v>
      </c>
      <c r="W328" s="2840"/>
      <c r="X328" s="288"/>
      <c r="Y328" s="170" t="s">
        <v>496</v>
      </c>
      <c r="Z328" s="2576">
        <v>30</v>
      </c>
      <c r="AA328" s="2880"/>
      <c r="AB328" s="2919">
        <v>47000</v>
      </c>
      <c r="AC328" s="2920">
        <f t="shared" ref="AC328:AC331" si="92">(36040*6%)+36040</f>
        <v>38202.400000000001</v>
      </c>
      <c r="AD328" s="2559">
        <f t="shared" ref="AD328:AD333" si="93">Z328*AB328</f>
        <v>1410000</v>
      </c>
      <c r="AE328" s="2560"/>
      <c r="AF328" s="45"/>
      <c r="AG328" s="45"/>
      <c r="AH328" s="2834"/>
      <c r="AI328" s="2834"/>
      <c r="AJ328" s="2834"/>
      <c r="AK328" s="2834"/>
      <c r="AL328" s="273"/>
      <c r="AM328" s="44"/>
      <c r="AN328" s="45"/>
      <c r="AO328" s="45"/>
    </row>
    <row r="329" spans="1:41" ht="15.95" customHeight="1" x14ac:dyDescent="0.3">
      <c r="A329" s="2839" t="s">
        <v>1024</v>
      </c>
      <c r="B329" s="2840"/>
      <c r="C329" s="120"/>
      <c r="D329" s="120"/>
      <c r="E329" s="2576"/>
      <c r="F329" s="2880"/>
      <c r="G329" s="2559"/>
      <c r="H329" s="2880"/>
      <c r="I329" s="2559">
        <f>E329*G329</f>
        <v>0</v>
      </c>
      <c r="J329" s="2560"/>
      <c r="K329" s="279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2839" t="s">
        <v>1024</v>
      </c>
      <c r="W329" s="2840"/>
      <c r="X329" s="288"/>
      <c r="Y329" s="170"/>
      <c r="Z329" s="2576"/>
      <c r="AA329" s="2880"/>
      <c r="AB329" s="2559"/>
      <c r="AC329" s="2918"/>
      <c r="AD329" s="2559">
        <f t="shared" si="93"/>
        <v>0</v>
      </c>
      <c r="AE329" s="2560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</row>
    <row r="330" spans="1:41" ht="15.95" customHeight="1" x14ac:dyDescent="0.4">
      <c r="A330" s="2839" t="s">
        <v>893</v>
      </c>
      <c r="B330" s="2840"/>
      <c r="C330" s="120" t="s">
        <v>496</v>
      </c>
      <c r="D330" s="170" t="s">
        <v>497</v>
      </c>
      <c r="E330" s="2576">
        <v>4</v>
      </c>
      <c r="F330" s="2880"/>
      <c r="G330" s="2641">
        <v>47000</v>
      </c>
      <c r="H330" s="2642">
        <f t="shared" ref="H330:H331" si="94">(36040*6%)+36040</f>
        <v>38202.400000000001</v>
      </c>
      <c r="I330" s="2559">
        <f>E330*G330</f>
        <v>188000</v>
      </c>
      <c r="J330" s="2560"/>
      <c r="K330" s="279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2839" t="s">
        <v>893</v>
      </c>
      <c r="W330" s="2840"/>
      <c r="X330" s="288"/>
      <c r="Y330" s="170" t="s">
        <v>496</v>
      </c>
      <c r="Z330" s="2576">
        <v>7</v>
      </c>
      <c r="AA330" s="2880"/>
      <c r="AB330" s="2919">
        <v>47000</v>
      </c>
      <c r="AC330" s="2920">
        <f t="shared" si="92"/>
        <v>38202.400000000001</v>
      </c>
      <c r="AD330" s="2559">
        <f t="shared" si="93"/>
        <v>329000</v>
      </c>
      <c r="AE330" s="2560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</row>
    <row r="331" spans="1:41" ht="15.95" customHeight="1" x14ac:dyDescent="0.4">
      <c r="A331" s="2839" t="s">
        <v>728</v>
      </c>
      <c r="B331" s="2840"/>
      <c r="C331" s="120" t="s">
        <v>496</v>
      </c>
      <c r="D331" s="170" t="s">
        <v>497</v>
      </c>
      <c r="E331" s="2576">
        <v>3</v>
      </c>
      <c r="F331" s="2880"/>
      <c r="G331" s="2641">
        <v>47000</v>
      </c>
      <c r="H331" s="2642">
        <f t="shared" si="94"/>
        <v>38202.400000000001</v>
      </c>
      <c r="I331" s="2559">
        <f>E331*G331</f>
        <v>141000</v>
      </c>
      <c r="J331" s="2560"/>
      <c r="L331" s="45"/>
      <c r="M331" s="45"/>
      <c r="N331" s="45"/>
      <c r="O331" s="45"/>
      <c r="P331" s="45"/>
      <c r="Q331" s="45"/>
      <c r="U331" s="45"/>
      <c r="V331" s="2839" t="s">
        <v>728</v>
      </c>
      <c r="W331" s="2840"/>
      <c r="X331" s="288"/>
      <c r="Y331" s="170" t="s">
        <v>496</v>
      </c>
      <c r="Z331" s="2576">
        <v>6</v>
      </c>
      <c r="AA331" s="2880"/>
      <c r="AB331" s="2919">
        <v>47000</v>
      </c>
      <c r="AC331" s="2920">
        <f t="shared" si="92"/>
        <v>38202.400000000001</v>
      </c>
      <c r="AD331" s="2559">
        <f t="shared" si="93"/>
        <v>282000</v>
      </c>
      <c r="AE331" s="2560"/>
      <c r="AF331" s="45"/>
      <c r="AG331" s="45"/>
      <c r="AH331" s="45"/>
      <c r="AI331" s="45"/>
      <c r="AJ331" s="45"/>
      <c r="AK331" s="45"/>
      <c r="AL331" s="45"/>
    </row>
    <row r="332" spans="1:41" ht="15.95" customHeight="1" x14ac:dyDescent="0.3">
      <c r="A332" s="2839" t="s">
        <v>765</v>
      </c>
      <c r="B332" s="2840"/>
      <c r="C332" s="187"/>
      <c r="D332" s="170" t="s">
        <v>794</v>
      </c>
      <c r="E332" s="2576"/>
      <c r="F332" s="2880"/>
      <c r="G332" s="2576"/>
      <c r="H332" s="2577"/>
      <c r="I332" s="2559">
        <f>300000*1.0928</f>
        <v>327840</v>
      </c>
      <c r="J332" s="2560"/>
      <c r="L332" s="45"/>
      <c r="M332" s="45"/>
      <c r="N332" s="45"/>
      <c r="O332" s="45"/>
      <c r="P332" s="45"/>
      <c r="Q332" s="45"/>
      <c r="U332" s="45"/>
      <c r="V332" s="2839" t="s">
        <v>765</v>
      </c>
      <c r="W332" s="2840"/>
      <c r="X332" s="187"/>
      <c r="Y332" s="170" t="s">
        <v>794</v>
      </c>
      <c r="Z332" s="2576"/>
      <c r="AA332" s="2880"/>
      <c r="AB332" s="2559"/>
      <c r="AC332" s="2918"/>
      <c r="AD332" s="2559">
        <f>250000*1.0928</f>
        <v>273200</v>
      </c>
      <c r="AE332" s="2560"/>
      <c r="AF332" s="45"/>
      <c r="AG332" s="45"/>
      <c r="AH332" s="45"/>
      <c r="AI332" s="45"/>
      <c r="AJ332" s="45"/>
      <c r="AK332" s="45"/>
      <c r="AL332" s="45"/>
    </row>
    <row r="333" spans="1:41" ht="15.95" customHeight="1" x14ac:dyDescent="0.3">
      <c r="A333" s="2839" t="s">
        <v>615</v>
      </c>
      <c r="B333" s="2840"/>
      <c r="C333" s="120" t="s">
        <v>763</v>
      </c>
      <c r="D333" s="170" t="s">
        <v>556</v>
      </c>
      <c r="E333" s="2576">
        <v>2.5</v>
      </c>
      <c r="F333" s="2880"/>
      <c r="G333" s="2576">
        <f>107205*1.0928</f>
        <v>117153.624</v>
      </c>
      <c r="H333" s="2880">
        <f t="shared" ref="H333" si="95">(95294*6%)+95294</f>
        <v>101011.64</v>
      </c>
      <c r="I333" s="2559">
        <f>E333*G333</f>
        <v>292884.06</v>
      </c>
      <c r="J333" s="2560"/>
      <c r="U333" s="45"/>
      <c r="V333" s="2839" t="s">
        <v>615</v>
      </c>
      <c r="W333" s="2840"/>
      <c r="X333" s="120" t="s">
        <v>763</v>
      </c>
      <c r="Y333" s="170" t="s">
        <v>556</v>
      </c>
      <c r="Z333" s="2576">
        <v>7</v>
      </c>
      <c r="AA333" s="2880"/>
      <c r="AB333" s="2559">
        <f>107206*1.0928</f>
        <v>117154.71679999999</v>
      </c>
      <c r="AC333" s="2918"/>
      <c r="AD333" s="2559">
        <f t="shared" si="93"/>
        <v>820083.0175999999</v>
      </c>
      <c r="AE333" s="2560"/>
      <c r="AF333" s="45"/>
    </row>
    <row r="334" spans="1:41" ht="15.95" customHeight="1" thickBot="1" x14ac:dyDescent="0.25">
      <c r="A334" s="208" t="s">
        <v>558</v>
      </c>
      <c r="B334" s="209"/>
      <c r="C334" s="210"/>
      <c r="D334" s="209"/>
      <c r="E334" s="2561">
        <f>SUM(E291:F331)</f>
        <v>104.5</v>
      </c>
      <c r="F334" s="2562"/>
      <c r="G334" s="2561"/>
      <c r="H334" s="2562"/>
      <c r="I334" s="2561">
        <f>SUM(I327+I308+I297+I293+I290)</f>
        <v>5532224.0600000005</v>
      </c>
      <c r="J334" s="2562"/>
      <c r="U334" s="45"/>
      <c r="V334" s="208" t="s">
        <v>558</v>
      </c>
      <c r="W334" s="209"/>
      <c r="X334" s="210"/>
      <c r="Y334" s="209"/>
      <c r="Z334" s="2561">
        <f>SUM(Z316:AA333)</f>
        <v>119</v>
      </c>
      <c r="AA334" s="2562"/>
      <c r="AB334" s="2561"/>
      <c r="AC334" s="2562"/>
      <c r="AD334" s="2561">
        <f>SUM(AD327+AD308+AD297+AD293+AD290)</f>
        <v>6357283.0175999999</v>
      </c>
      <c r="AE334" s="2562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</row>
    <row r="335" spans="1:41" ht="15.95" customHeight="1" x14ac:dyDescent="0.2">
      <c r="A335" s="45"/>
      <c r="B335" s="45"/>
      <c r="C335" s="45"/>
      <c r="D335" s="45"/>
      <c r="E335" s="45"/>
      <c r="F335" s="45"/>
      <c r="G335" s="45"/>
      <c r="H335" s="275"/>
      <c r="I335" s="275"/>
      <c r="J335" s="275"/>
      <c r="K335" s="295"/>
      <c r="L335" s="45"/>
      <c r="M335" s="45"/>
      <c r="N335" s="45"/>
      <c r="O335" s="45"/>
      <c r="P335" s="45"/>
      <c r="Q335" s="45"/>
      <c r="R335" s="45"/>
      <c r="S335" s="295"/>
      <c r="T335" s="295"/>
      <c r="U335" s="276"/>
      <c r="V335" s="45"/>
      <c r="W335" s="45"/>
      <c r="X335" s="45"/>
      <c r="Y335" s="45"/>
      <c r="Z335" s="45"/>
      <c r="AA335" s="45"/>
      <c r="AB335" s="45"/>
      <c r="AC335" s="275"/>
      <c r="AD335" s="275"/>
      <c r="AE335" s="275"/>
      <c r="AF335" s="276"/>
      <c r="AG335" s="45"/>
      <c r="AH335" s="45"/>
      <c r="AI335" s="45"/>
      <c r="AJ335" s="45"/>
      <c r="AK335" s="45"/>
      <c r="AL335" s="45"/>
      <c r="AM335" s="45"/>
      <c r="AN335" s="276"/>
      <c r="AO335" s="276"/>
    </row>
    <row r="336" spans="1:41" ht="15.95" customHeight="1" x14ac:dyDescent="0.2">
      <c r="A336" s="45"/>
      <c r="B336" s="45"/>
      <c r="C336" s="45"/>
      <c r="D336" s="45"/>
      <c r="E336" s="2272"/>
      <c r="F336" s="2272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2909"/>
      <c r="T336" s="2909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2909"/>
      <c r="AO336" s="2909"/>
    </row>
    <row r="337" spans="1:41" ht="15.95" customHeight="1" x14ac:dyDescent="0.2">
      <c r="A337" s="2654"/>
      <c r="B337" s="2654"/>
      <c r="C337" s="2654"/>
      <c r="D337" s="2654"/>
      <c r="E337" s="2654"/>
      <c r="F337" s="2654"/>
      <c r="G337" s="2654"/>
      <c r="H337" s="2654"/>
      <c r="I337" s="2654"/>
      <c r="J337" s="2654"/>
      <c r="K337" s="2654"/>
      <c r="L337" s="2654"/>
      <c r="M337" s="2654"/>
      <c r="N337" s="2654"/>
      <c r="O337" s="2654"/>
      <c r="P337" s="2654"/>
      <c r="Q337" s="2654"/>
      <c r="R337" s="2654"/>
      <c r="S337" s="2654"/>
      <c r="T337" s="2654"/>
      <c r="U337" s="2654"/>
      <c r="V337" s="2654"/>
      <c r="W337" s="2654"/>
      <c r="X337" s="2654"/>
      <c r="Y337" s="2654"/>
      <c r="Z337" s="2654"/>
      <c r="AA337" s="2654"/>
      <c r="AB337" s="2654"/>
      <c r="AC337" s="2654"/>
      <c r="AD337" s="2654"/>
      <c r="AE337" s="2654"/>
      <c r="AF337" s="2654"/>
      <c r="AG337" s="2654"/>
      <c r="AH337" s="2654"/>
      <c r="AI337" s="2654"/>
      <c r="AJ337" s="2654"/>
      <c r="AK337" s="2654"/>
      <c r="AL337" s="2654"/>
      <c r="AM337" s="2654"/>
      <c r="AN337" s="2654"/>
      <c r="AO337" s="2654"/>
    </row>
    <row r="338" spans="1:41" ht="15.95" customHeight="1" x14ac:dyDescent="0.2">
      <c r="A338" s="277"/>
      <c r="B338" s="277"/>
      <c r="C338" s="277"/>
      <c r="D338" s="277"/>
      <c r="E338" s="275"/>
      <c r="F338" s="275"/>
      <c r="G338" s="275"/>
      <c r="H338" s="275"/>
      <c r="I338" s="275"/>
      <c r="J338" s="275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95"/>
      <c r="W338" s="295"/>
      <c r="X338" s="295"/>
      <c r="Y338" s="295"/>
      <c r="Z338" s="295"/>
      <c r="AA338" s="295"/>
      <c r="AB338" s="295"/>
      <c r="AC338" s="295"/>
      <c r="AD338" s="295"/>
      <c r="AE338" s="295"/>
      <c r="AF338" s="295"/>
      <c r="AG338" s="295"/>
      <c r="AH338" s="295"/>
      <c r="AI338" s="295"/>
      <c r="AJ338" s="295"/>
      <c r="AK338" s="295"/>
      <c r="AL338" s="295"/>
      <c r="AM338" s="295"/>
      <c r="AN338" s="295"/>
      <c r="AO338" s="295"/>
    </row>
    <row r="339" spans="1:41" ht="15.95" customHeight="1" x14ac:dyDescent="0.2">
      <c r="A339" s="2611" t="s">
        <v>1956</v>
      </c>
      <c r="B339" s="2611"/>
      <c r="C339" s="2611"/>
      <c r="D339" s="2611"/>
      <c r="E339" s="2611"/>
      <c r="F339" s="2611"/>
      <c r="G339" s="2611"/>
      <c r="H339" s="2611"/>
      <c r="I339" s="2611"/>
      <c r="J339" s="2611"/>
      <c r="K339" s="2611"/>
      <c r="L339" s="2611"/>
      <c r="M339" s="2611"/>
      <c r="N339" s="2611"/>
      <c r="O339" s="2611"/>
      <c r="P339" s="2611"/>
      <c r="Q339" s="2611"/>
      <c r="R339" s="2611"/>
      <c r="S339" s="2611"/>
      <c r="T339" s="2611"/>
      <c r="U339" s="47"/>
      <c r="V339" s="2611" t="s">
        <v>1957</v>
      </c>
      <c r="W339" s="2611"/>
      <c r="X339" s="2611"/>
      <c r="Y339" s="2611"/>
      <c r="Z339" s="2611"/>
      <c r="AA339" s="2611"/>
      <c r="AB339" s="2611"/>
      <c r="AC339" s="2611"/>
      <c r="AD339" s="2611"/>
      <c r="AE339" s="2611"/>
      <c r="AF339" s="2611"/>
      <c r="AG339" s="2611"/>
      <c r="AH339" s="2611"/>
      <c r="AI339" s="2611"/>
      <c r="AJ339" s="2611"/>
      <c r="AK339" s="2611"/>
      <c r="AL339" s="2611"/>
      <c r="AM339" s="2611"/>
      <c r="AN339" s="2611"/>
      <c r="AO339" s="2611"/>
    </row>
    <row r="340" spans="1:41" ht="15.95" customHeight="1" thickBot="1" x14ac:dyDescent="0.25">
      <c r="A340" s="2611"/>
      <c r="B340" s="2611"/>
      <c r="C340" s="2611"/>
      <c r="D340" s="2611"/>
      <c r="E340" s="2611"/>
      <c r="F340" s="2611"/>
      <c r="G340" s="2611"/>
      <c r="H340" s="2611"/>
      <c r="I340" s="2611"/>
      <c r="J340" s="2611"/>
      <c r="K340" s="2611"/>
      <c r="L340" s="2611"/>
      <c r="M340" s="2611"/>
      <c r="N340" s="2611"/>
      <c r="O340" s="2611"/>
      <c r="P340" s="2611"/>
      <c r="Q340" s="2611"/>
      <c r="R340" s="2611"/>
      <c r="S340" s="2611"/>
      <c r="T340" s="2611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</row>
    <row r="341" spans="1:41" ht="15.95" customHeight="1" x14ac:dyDescent="0.3">
      <c r="A341" s="2618" t="s">
        <v>435</v>
      </c>
      <c r="B341" s="2620"/>
      <c r="C341" s="2618" t="s">
        <v>436</v>
      </c>
      <c r="D341" s="2619"/>
      <c r="E341" s="2619"/>
      <c r="F341" s="2620"/>
      <c r="G341" s="2618" t="s">
        <v>437</v>
      </c>
      <c r="H341" s="2620"/>
      <c r="I341" s="2618" t="s">
        <v>438</v>
      </c>
      <c r="J341" s="2620"/>
      <c r="K341" s="45"/>
      <c r="L341" s="2633" t="s">
        <v>435</v>
      </c>
      <c r="M341" s="2618" t="s">
        <v>436</v>
      </c>
      <c r="N341" s="2619"/>
      <c r="O341" s="2619"/>
      <c r="P341" s="2620"/>
      <c r="Q341" s="2618" t="s">
        <v>437</v>
      </c>
      <c r="R341" s="2620"/>
      <c r="S341" s="2618"/>
      <c r="T341" s="2620"/>
      <c r="U341" s="268"/>
      <c r="V341" s="2618" t="s">
        <v>435</v>
      </c>
      <c r="W341" s="2620"/>
      <c r="X341" s="2618" t="s">
        <v>436</v>
      </c>
      <c r="Y341" s="2619"/>
      <c r="Z341" s="2619"/>
      <c r="AA341" s="2620"/>
      <c r="AB341" s="2618" t="s">
        <v>437</v>
      </c>
      <c r="AC341" s="2620"/>
      <c r="AD341" s="2618" t="s">
        <v>438</v>
      </c>
      <c r="AE341" s="2620"/>
      <c r="AF341" s="45"/>
      <c r="AG341" s="2633" t="s">
        <v>435</v>
      </c>
      <c r="AH341" s="2618" t="s">
        <v>436</v>
      </c>
      <c r="AI341" s="2619"/>
      <c r="AJ341" s="2619"/>
      <c r="AK341" s="2620"/>
      <c r="AL341" s="2618" t="s">
        <v>437</v>
      </c>
      <c r="AM341" s="2620"/>
      <c r="AN341" s="2618"/>
      <c r="AO341" s="2900"/>
    </row>
    <row r="342" spans="1:41" ht="15.95" customHeight="1" thickBot="1" x14ac:dyDescent="0.35">
      <c r="A342" s="2631"/>
      <c r="B342" s="2632"/>
      <c r="C342" s="2621"/>
      <c r="D342" s="2622"/>
      <c r="E342" s="2622"/>
      <c r="F342" s="2623"/>
      <c r="G342" s="2631" t="s">
        <v>440</v>
      </c>
      <c r="H342" s="2632"/>
      <c r="I342" s="2631"/>
      <c r="J342" s="2632"/>
      <c r="K342" s="45"/>
      <c r="L342" s="2670"/>
      <c r="M342" s="2621"/>
      <c r="N342" s="2622"/>
      <c r="O342" s="2622"/>
      <c r="P342" s="2623"/>
      <c r="Q342" s="2631" t="s">
        <v>440</v>
      </c>
      <c r="R342" s="2632"/>
      <c r="S342" s="2631" t="s">
        <v>274</v>
      </c>
      <c r="T342" s="2632"/>
      <c r="U342" s="268"/>
      <c r="V342" s="2631"/>
      <c r="W342" s="2632"/>
      <c r="X342" s="2621"/>
      <c r="Y342" s="2622"/>
      <c r="Z342" s="2622"/>
      <c r="AA342" s="2623"/>
      <c r="AB342" s="2631" t="s">
        <v>440</v>
      </c>
      <c r="AC342" s="2632"/>
      <c r="AD342" s="2631"/>
      <c r="AE342" s="2632"/>
      <c r="AF342" s="45"/>
      <c r="AG342" s="2670"/>
      <c r="AH342" s="2621"/>
      <c r="AI342" s="2622"/>
      <c r="AJ342" s="2622"/>
      <c r="AK342" s="2623"/>
      <c r="AL342" s="2631" t="s">
        <v>440</v>
      </c>
      <c r="AM342" s="2632"/>
      <c r="AN342" s="2631" t="s">
        <v>274</v>
      </c>
      <c r="AO342" s="2880"/>
    </row>
    <row r="343" spans="1:41" ht="15.95" customHeight="1" x14ac:dyDescent="0.3">
      <c r="A343" s="2631"/>
      <c r="B343" s="2632"/>
      <c r="C343" s="53" t="s">
        <v>441</v>
      </c>
      <c r="D343" s="2670" t="s">
        <v>442</v>
      </c>
      <c r="E343" s="2631" t="s">
        <v>443</v>
      </c>
      <c r="F343" s="2632"/>
      <c r="G343" s="2631" t="s">
        <v>444</v>
      </c>
      <c r="H343" s="2632"/>
      <c r="I343" s="2631" t="s">
        <v>348</v>
      </c>
      <c r="J343" s="2632"/>
      <c r="K343" s="45"/>
      <c r="L343" s="2670"/>
      <c r="M343" s="51" t="s">
        <v>441</v>
      </c>
      <c r="N343" s="2633" t="s">
        <v>442</v>
      </c>
      <c r="O343" s="2618" t="s">
        <v>443</v>
      </c>
      <c r="P343" s="2620"/>
      <c r="Q343" s="2631" t="s">
        <v>444</v>
      </c>
      <c r="R343" s="2632"/>
      <c r="S343" s="2631" t="s">
        <v>348</v>
      </c>
      <c r="T343" s="2632"/>
      <c r="U343" s="268"/>
      <c r="V343" s="2631"/>
      <c r="W343" s="2632"/>
      <c r="X343" s="53" t="s">
        <v>441</v>
      </c>
      <c r="Y343" s="2670" t="s">
        <v>442</v>
      </c>
      <c r="Z343" s="2631" t="s">
        <v>443</v>
      </c>
      <c r="AA343" s="2632"/>
      <c r="AB343" s="2631" t="s">
        <v>444</v>
      </c>
      <c r="AC343" s="2632"/>
      <c r="AD343" s="2631" t="s">
        <v>348</v>
      </c>
      <c r="AE343" s="2632"/>
      <c r="AF343" s="45"/>
      <c r="AG343" s="2670"/>
      <c r="AH343" s="51" t="s">
        <v>441</v>
      </c>
      <c r="AI343" s="2670" t="s">
        <v>442</v>
      </c>
      <c r="AJ343" s="2631" t="s">
        <v>443</v>
      </c>
      <c r="AK343" s="2632"/>
      <c r="AL343" s="2631" t="s">
        <v>444</v>
      </c>
      <c r="AM343" s="2632"/>
      <c r="AN343" s="2631" t="s">
        <v>348</v>
      </c>
      <c r="AO343" s="2880"/>
    </row>
    <row r="344" spans="1:41" ht="15.95" customHeight="1" thickBot="1" x14ac:dyDescent="0.35">
      <c r="A344" s="2621"/>
      <c r="B344" s="2623"/>
      <c r="C344" s="54" t="s">
        <v>445</v>
      </c>
      <c r="D344" s="2634"/>
      <c r="E344" s="2621"/>
      <c r="F344" s="2623"/>
      <c r="G344" s="2621"/>
      <c r="H344" s="2623"/>
      <c r="I344" s="2621"/>
      <c r="J344" s="2623"/>
      <c r="K344" s="45"/>
      <c r="L344" s="2634"/>
      <c r="M344" s="50" t="s">
        <v>445</v>
      </c>
      <c r="N344" s="2634"/>
      <c r="O344" s="2621"/>
      <c r="P344" s="2623"/>
      <c r="Q344" s="2621"/>
      <c r="R344" s="2623"/>
      <c r="S344" s="2621"/>
      <c r="T344" s="2623"/>
      <c r="U344" s="268"/>
      <c r="V344" s="2621"/>
      <c r="W344" s="2623"/>
      <c r="X344" s="54" t="s">
        <v>445</v>
      </c>
      <c r="Y344" s="2634"/>
      <c r="Z344" s="2621"/>
      <c r="AA344" s="2623"/>
      <c r="AB344" s="2621"/>
      <c r="AC344" s="2623"/>
      <c r="AD344" s="2621"/>
      <c r="AE344" s="2623"/>
      <c r="AF344" s="45"/>
      <c r="AG344" s="2634"/>
      <c r="AH344" s="50" t="s">
        <v>445</v>
      </c>
      <c r="AI344" s="2634"/>
      <c r="AJ344" s="2621"/>
      <c r="AK344" s="2623"/>
      <c r="AL344" s="2621"/>
      <c r="AM344" s="2623"/>
      <c r="AN344" s="2901"/>
      <c r="AO344" s="2902"/>
    </row>
    <row r="345" spans="1:41" ht="15.95" customHeight="1" x14ac:dyDescent="0.3">
      <c r="A345" s="2913" t="s">
        <v>446</v>
      </c>
      <c r="B345" s="2914"/>
      <c r="C345" s="184"/>
      <c r="D345" s="170"/>
      <c r="E345" s="2576"/>
      <c r="F345" s="2880"/>
      <c r="G345" s="2576"/>
      <c r="H345" s="2880"/>
      <c r="I345" s="2576"/>
      <c r="J345" s="2880"/>
      <c r="K345" s="279"/>
      <c r="L345" s="119" t="s">
        <v>447</v>
      </c>
      <c r="M345" s="185"/>
      <c r="N345" s="186"/>
      <c r="O345" s="2605"/>
      <c r="P345" s="2606"/>
      <c r="Q345" s="2605"/>
      <c r="R345" s="2606"/>
      <c r="S345" s="2605"/>
      <c r="T345" s="2606"/>
      <c r="U345" s="45"/>
      <c r="V345" s="2913" t="s">
        <v>446</v>
      </c>
      <c r="W345" s="2914"/>
      <c r="X345" s="184"/>
      <c r="Y345" s="170"/>
      <c r="Z345" s="2576"/>
      <c r="AA345" s="2880"/>
      <c r="AB345" s="2576"/>
      <c r="AC345" s="2880"/>
      <c r="AD345" s="2576"/>
      <c r="AE345" s="2880"/>
      <c r="AF345" s="45"/>
      <c r="AG345" s="119" t="s">
        <v>447</v>
      </c>
      <c r="AH345" s="185"/>
      <c r="AI345" s="186"/>
      <c r="AJ345" s="2605"/>
      <c r="AK345" s="2606"/>
      <c r="AL345" s="2605"/>
      <c r="AM345" s="2606"/>
      <c r="AN345" s="2605"/>
      <c r="AO345" s="2606"/>
    </row>
    <row r="346" spans="1:41" ht="15.95" customHeight="1" x14ac:dyDescent="0.35">
      <c r="A346" s="2911" t="s">
        <v>979</v>
      </c>
      <c r="B346" s="2912"/>
      <c r="C346" s="45"/>
      <c r="D346" s="288"/>
      <c r="E346" s="2576"/>
      <c r="F346" s="2880"/>
      <c r="G346" s="2576"/>
      <c r="H346" s="2880"/>
      <c r="I346" s="2565">
        <f>SUM(I347:J348)</f>
        <v>0</v>
      </c>
      <c r="J346" s="2892"/>
      <c r="K346" s="279"/>
      <c r="L346" s="122"/>
      <c r="M346" s="188"/>
      <c r="N346" s="170"/>
      <c r="O346" s="2559"/>
      <c r="P346" s="2560"/>
      <c r="Q346" s="2559"/>
      <c r="R346" s="2560"/>
      <c r="S346" s="2559"/>
      <c r="T346" s="2560"/>
      <c r="U346" s="45"/>
      <c r="V346" s="2911" t="s">
        <v>979</v>
      </c>
      <c r="W346" s="2912"/>
      <c r="X346" s="187"/>
      <c r="Y346" s="170"/>
      <c r="Z346" s="2576"/>
      <c r="AA346" s="2880"/>
      <c r="AB346" s="2576"/>
      <c r="AC346" s="2880"/>
      <c r="AD346" s="2897">
        <f>SUM(AD347:AE348)</f>
        <v>0</v>
      </c>
      <c r="AE346" s="2892"/>
      <c r="AF346" s="45"/>
      <c r="AG346" s="122"/>
      <c r="AH346" s="188"/>
      <c r="AI346" s="170"/>
      <c r="AJ346" s="2559"/>
      <c r="AK346" s="2560"/>
      <c r="AL346" s="2559"/>
      <c r="AM346" s="2560"/>
      <c r="AN346" s="2559"/>
      <c r="AO346" s="2560"/>
    </row>
    <row r="347" spans="1:41" ht="15.95" customHeight="1" x14ac:dyDescent="0.3">
      <c r="A347" s="2915" t="s">
        <v>980</v>
      </c>
      <c r="B347" s="2916"/>
      <c r="C347" s="120"/>
      <c r="D347" s="170"/>
      <c r="E347" s="2576"/>
      <c r="F347" s="2880"/>
      <c r="G347" s="2576"/>
      <c r="H347" s="2880"/>
      <c r="I347" s="2559">
        <f>E347*G347</f>
        <v>0</v>
      </c>
      <c r="J347" s="2560"/>
      <c r="K347" s="279"/>
      <c r="L347" s="122" t="s">
        <v>450</v>
      </c>
      <c r="M347" s="170"/>
      <c r="N347" s="170"/>
      <c r="O347" s="2559"/>
      <c r="P347" s="2560"/>
      <c r="Q347" s="2559"/>
      <c r="R347" s="2560"/>
      <c r="S347" s="2559"/>
      <c r="T347" s="2560"/>
      <c r="U347" s="45"/>
      <c r="V347" s="2915" t="s">
        <v>980</v>
      </c>
      <c r="W347" s="2916"/>
      <c r="X347" s="187"/>
      <c r="Y347" s="170"/>
      <c r="Z347" s="2576"/>
      <c r="AA347" s="2880"/>
      <c r="AB347" s="2576"/>
      <c r="AC347" s="2880"/>
      <c r="AD347" s="2559">
        <f>Z347*AB347</f>
        <v>0</v>
      </c>
      <c r="AE347" s="2560"/>
      <c r="AF347" s="45"/>
      <c r="AG347" s="122" t="s">
        <v>450</v>
      </c>
      <c r="AH347" s="170"/>
      <c r="AI347" s="170"/>
      <c r="AJ347" s="2559"/>
      <c r="AK347" s="2560"/>
      <c r="AL347" s="2559"/>
      <c r="AM347" s="2560"/>
      <c r="AN347" s="2559"/>
      <c r="AO347" s="2560"/>
    </row>
    <row r="348" spans="1:41" ht="15.95" customHeight="1" x14ac:dyDescent="0.3">
      <c r="A348" s="2915" t="s">
        <v>981</v>
      </c>
      <c r="B348" s="2916"/>
      <c r="C348" s="120"/>
      <c r="D348" s="170"/>
      <c r="E348" s="2576"/>
      <c r="F348" s="2880"/>
      <c r="G348" s="2576"/>
      <c r="H348" s="2880"/>
      <c r="I348" s="2559">
        <f>E348*G348</f>
        <v>0</v>
      </c>
      <c r="J348" s="2560"/>
      <c r="K348" s="279"/>
      <c r="L348" s="122" t="s">
        <v>853</v>
      </c>
      <c r="M348" s="170" t="s">
        <v>1095</v>
      </c>
      <c r="N348" s="170" t="s">
        <v>1029</v>
      </c>
      <c r="O348" s="2559">
        <v>280</v>
      </c>
      <c r="P348" s="2560"/>
      <c r="Q348" s="2559">
        <f>18126*1.0928</f>
        <v>19808.092799999999</v>
      </c>
      <c r="R348" s="2560"/>
      <c r="S348" s="2559">
        <f t="shared" ref="S348:S359" si="96">O348*Q348</f>
        <v>5546265.9839999992</v>
      </c>
      <c r="T348" s="2560"/>
      <c r="U348" s="45"/>
      <c r="V348" s="2915" t="s">
        <v>981</v>
      </c>
      <c r="W348" s="2916"/>
      <c r="X348" s="187"/>
      <c r="Y348" s="170"/>
      <c r="Z348" s="2576"/>
      <c r="AA348" s="2880"/>
      <c r="AB348" s="2576"/>
      <c r="AC348" s="2880"/>
      <c r="AD348" s="2559">
        <f>Z348*AB348</f>
        <v>0</v>
      </c>
      <c r="AE348" s="2560"/>
      <c r="AF348" s="45"/>
      <c r="AG348" s="122" t="s">
        <v>853</v>
      </c>
      <c r="AH348" s="170"/>
      <c r="AI348" s="170"/>
      <c r="AJ348" s="2559"/>
      <c r="AK348" s="2560"/>
      <c r="AL348" s="2559"/>
      <c r="AM348" s="2560"/>
      <c r="AN348" s="2559">
        <f t="shared" ref="AN348:AN364" si="97">AJ348*AL348</f>
        <v>0</v>
      </c>
      <c r="AO348" s="2560"/>
    </row>
    <row r="349" spans="1:41" ht="15.95" customHeight="1" x14ac:dyDescent="0.35">
      <c r="A349" s="2911" t="s">
        <v>990</v>
      </c>
      <c r="B349" s="2912"/>
      <c r="C349" s="197"/>
      <c r="D349" s="170"/>
      <c r="E349" s="2576"/>
      <c r="F349" s="2880"/>
      <c r="G349" s="2576"/>
      <c r="H349" s="2880"/>
      <c r="I349" s="2565">
        <f>SUM(I350:J352)</f>
        <v>0</v>
      </c>
      <c r="J349" s="2892"/>
      <c r="K349" s="279"/>
      <c r="L349" s="122" t="s">
        <v>859</v>
      </c>
      <c r="M349" s="170" t="s">
        <v>576</v>
      </c>
      <c r="N349" s="170" t="s">
        <v>473</v>
      </c>
      <c r="O349" s="2559">
        <v>8</v>
      </c>
      <c r="P349" s="2560"/>
      <c r="Q349" s="2559">
        <f>17652*1.0928</f>
        <v>19290.105599999999</v>
      </c>
      <c r="R349" s="2560"/>
      <c r="S349" s="2559">
        <f t="shared" si="96"/>
        <v>154320.84479999999</v>
      </c>
      <c r="T349" s="2560"/>
      <c r="U349" s="45"/>
      <c r="V349" s="2911" t="s">
        <v>990</v>
      </c>
      <c r="W349" s="2912"/>
      <c r="X349" s="187"/>
      <c r="Y349" s="170"/>
      <c r="Z349" s="2576"/>
      <c r="AA349" s="2880"/>
      <c r="AB349" s="2576"/>
      <c r="AC349" s="2880"/>
      <c r="AD349" s="2897">
        <f>SUM(AD350:AE351)</f>
        <v>0</v>
      </c>
      <c r="AE349" s="2892"/>
      <c r="AF349" s="45"/>
      <c r="AG349" s="122" t="s">
        <v>859</v>
      </c>
      <c r="AH349" s="170" t="s">
        <v>576</v>
      </c>
      <c r="AI349" s="170" t="s">
        <v>567</v>
      </c>
      <c r="AJ349" s="2559">
        <v>8</v>
      </c>
      <c r="AK349" s="2560"/>
      <c r="AL349" s="2559">
        <f>117652*1.0928</f>
        <v>128570.1056</v>
      </c>
      <c r="AM349" s="2560"/>
      <c r="AN349" s="2559">
        <f t="shared" si="97"/>
        <v>1028560.8448</v>
      </c>
      <c r="AO349" s="2560"/>
    </row>
    <row r="350" spans="1:41" ht="15.95" customHeight="1" x14ac:dyDescent="0.3">
      <c r="A350" s="2915" t="s">
        <v>991</v>
      </c>
      <c r="B350" s="2916"/>
      <c r="C350" s="120"/>
      <c r="D350" s="170"/>
      <c r="E350" s="2576"/>
      <c r="F350" s="2880"/>
      <c r="G350" s="2576"/>
      <c r="H350" s="2880"/>
      <c r="I350" s="2559">
        <f>E350*G350</f>
        <v>0</v>
      </c>
      <c r="J350" s="2560"/>
      <c r="K350" s="279"/>
      <c r="L350" s="122" t="s">
        <v>1096</v>
      </c>
      <c r="M350" s="170" t="s">
        <v>572</v>
      </c>
      <c r="N350" s="170" t="s">
        <v>473</v>
      </c>
      <c r="O350" s="2559">
        <v>1</v>
      </c>
      <c r="P350" s="2560"/>
      <c r="Q350" s="2559">
        <f>173531*1.0928</f>
        <v>189634.67679999999</v>
      </c>
      <c r="R350" s="2560"/>
      <c r="S350" s="2559">
        <f t="shared" si="96"/>
        <v>189634.67679999999</v>
      </c>
      <c r="T350" s="2560"/>
      <c r="U350" s="45"/>
      <c r="V350" s="2915" t="s">
        <v>991</v>
      </c>
      <c r="W350" s="2916"/>
      <c r="X350" s="187"/>
      <c r="Y350" s="170"/>
      <c r="Z350" s="2576"/>
      <c r="AA350" s="2880"/>
      <c r="AB350" s="2576"/>
      <c r="AC350" s="2880"/>
      <c r="AD350" s="2559">
        <f>Z350*AB350</f>
        <v>0</v>
      </c>
      <c r="AE350" s="2560"/>
      <c r="AF350" s="45"/>
      <c r="AG350" s="122" t="s">
        <v>1096</v>
      </c>
      <c r="AH350" s="170" t="s">
        <v>572</v>
      </c>
      <c r="AI350" s="170" t="s">
        <v>473</v>
      </c>
      <c r="AJ350" s="2559">
        <v>1</v>
      </c>
      <c r="AK350" s="2560"/>
      <c r="AL350" s="2907">
        <f>154250*1.0928</f>
        <v>168564.4</v>
      </c>
      <c r="AM350" s="2908"/>
      <c r="AN350" s="2559">
        <f t="shared" si="97"/>
        <v>168564.4</v>
      </c>
      <c r="AO350" s="2560"/>
    </row>
    <row r="351" spans="1:41" ht="15.95" customHeight="1" x14ac:dyDescent="0.3">
      <c r="A351" s="2915" t="s">
        <v>981</v>
      </c>
      <c r="B351" s="2916"/>
      <c r="C351" s="187"/>
      <c r="D351" s="170"/>
      <c r="E351" s="2576"/>
      <c r="F351" s="2880"/>
      <c r="G351" s="2559"/>
      <c r="H351" s="2880"/>
      <c r="I351" s="2559">
        <f>E351*G351</f>
        <v>0</v>
      </c>
      <c r="J351" s="2560"/>
      <c r="K351" s="279"/>
      <c r="L351" s="122" t="s">
        <v>1097</v>
      </c>
      <c r="M351" s="170" t="s">
        <v>749</v>
      </c>
      <c r="N351" s="170" t="s">
        <v>1098</v>
      </c>
      <c r="O351" s="2559">
        <v>400</v>
      </c>
      <c r="P351" s="2560"/>
      <c r="Q351" s="2559">
        <f>298*1.0928</f>
        <v>325.65440000000001</v>
      </c>
      <c r="R351" s="2560"/>
      <c r="S351" s="2559">
        <f>O351*Q351</f>
        <v>130261.76000000001</v>
      </c>
      <c r="T351" s="2560"/>
      <c r="U351" s="45"/>
      <c r="V351" s="2915" t="s">
        <v>981</v>
      </c>
      <c r="W351" s="2916"/>
      <c r="X351" s="187"/>
      <c r="Y351" s="170"/>
      <c r="Z351" s="2576"/>
      <c r="AA351" s="2880"/>
      <c r="AB351" s="2576"/>
      <c r="AC351" s="2880"/>
      <c r="AD351" s="2559">
        <f>Z351*AB351</f>
        <v>0</v>
      </c>
      <c r="AE351" s="2560"/>
      <c r="AF351" s="45"/>
      <c r="AG351" s="122" t="s">
        <v>1097</v>
      </c>
      <c r="AH351" s="170" t="s">
        <v>749</v>
      </c>
      <c r="AI351" s="170" t="s">
        <v>1098</v>
      </c>
      <c r="AJ351" s="2559">
        <v>400</v>
      </c>
      <c r="AK351" s="2560"/>
      <c r="AL351" s="2559">
        <f>298*1.0928</f>
        <v>325.65440000000001</v>
      </c>
      <c r="AM351" s="2560">
        <f t="shared" ref="AM351" si="98">(265*6%)+265</f>
        <v>280.89999999999998</v>
      </c>
      <c r="AN351" s="2559">
        <f t="shared" si="97"/>
        <v>130261.76000000001</v>
      </c>
      <c r="AO351" s="2560"/>
    </row>
    <row r="352" spans="1:41" ht="15.95" customHeight="1" x14ac:dyDescent="0.3">
      <c r="A352" s="2915" t="s">
        <v>992</v>
      </c>
      <c r="B352" s="2916"/>
      <c r="C352" s="187"/>
      <c r="D352" s="170"/>
      <c r="E352" s="2576"/>
      <c r="F352" s="2880"/>
      <c r="G352" s="2559"/>
      <c r="H352" s="2880"/>
      <c r="I352" s="2559">
        <f>E352*G352</f>
        <v>0</v>
      </c>
      <c r="J352" s="2560"/>
      <c r="K352" s="279"/>
      <c r="L352" s="122" t="s">
        <v>1099</v>
      </c>
      <c r="M352" s="170" t="s">
        <v>791</v>
      </c>
      <c r="N352" s="170" t="s">
        <v>1101</v>
      </c>
      <c r="O352" s="2559">
        <v>6</v>
      </c>
      <c r="P352" s="2560"/>
      <c r="Q352" s="2559">
        <v>25849</v>
      </c>
      <c r="R352" s="2560"/>
      <c r="S352" s="2559">
        <f>O352*Q352</f>
        <v>155094</v>
      </c>
      <c r="T352" s="2560"/>
      <c r="U352" s="45"/>
      <c r="V352" s="2915" t="s">
        <v>992</v>
      </c>
      <c r="W352" s="2916"/>
      <c r="X352" s="187"/>
      <c r="Y352" s="170"/>
      <c r="Z352" s="2576"/>
      <c r="AA352" s="2880"/>
      <c r="AB352" s="2576"/>
      <c r="AC352" s="2880"/>
      <c r="AD352" s="2559">
        <f>Z352*AB352</f>
        <v>0</v>
      </c>
      <c r="AE352" s="2560"/>
      <c r="AF352" s="45"/>
      <c r="AG352" s="122" t="s">
        <v>1099</v>
      </c>
      <c r="AH352" s="170" t="s">
        <v>1100</v>
      </c>
      <c r="AI352" s="170" t="s">
        <v>1101</v>
      </c>
      <c r="AJ352" s="2559">
        <v>6</v>
      </c>
      <c r="AK352" s="2560"/>
      <c r="AL352" s="2559">
        <v>25849</v>
      </c>
      <c r="AM352" s="2560"/>
      <c r="AN352" s="2559">
        <f t="shared" si="97"/>
        <v>155094</v>
      </c>
      <c r="AO352" s="2560"/>
    </row>
    <row r="353" spans="1:41" ht="15.95" customHeight="1" x14ac:dyDescent="0.35">
      <c r="A353" s="2998" t="s">
        <v>993</v>
      </c>
      <c r="B353" s="2999"/>
      <c r="C353" s="187"/>
      <c r="D353" s="170"/>
      <c r="E353" s="2576"/>
      <c r="F353" s="2880"/>
      <c r="G353" s="2559"/>
      <c r="H353" s="2560"/>
      <c r="I353" s="2565">
        <f>SUM(I354:J363)</f>
        <v>1689401.8687999998</v>
      </c>
      <c r="J353" s="2892"/>
      <c r="K353" s="279"/>
      <c r="L353" s="122" t="s">
        <v>1102</v>
      </c>
      <c r="M353" s="170" t="s">
        <v>1605</v>
      </c>
      <c r="N353" s="170" t="s">
        <v>1606</v>
      </c>
      <c r="O353" s="2559">
        <v>6</v>
      </c>
      <c r="P353" s="2560"/>
      <c r="Q353" s="2559">
        <f>12104*1.0928</f>
        <v>13227.251200000001</v>
      </c>
      <c r="R353" s="2560"/>
      <c r="S353" s="2559">
        <f>O353*Q353</f>
        <v>79363.507200000007</v>
      </c>
      <c r="T353" s="2560"/>
      <c r="U353" s="45"/>
      <c r="V353" s="2998" t="s">
        <v>1035</v>
      </c>
      <c r="W353" s="2999"/>
      <c r="X353" s="288"/>
      <c r="Y353" s="170"/>
      <c r="Z353" s="2576"/>
      <c r="AA353" s="2880"/>
      <c r="AB353" s="2576"/>
      <c r="AC353" s="2880"/>
      <c r="AD353" s="2565">
        <f>SUM(AD354:AE363)</f>
        <v>0</v>
      </c>
      <c r="AE353" s="2892"/>
      <c r="AF353" s="45"/>
      <c r="AG353" s="122" t="s">
        <v>1102</v>
      </c>
      <c r="AH353" s="170" t="s">
        <v>1605</v>
      </c>
      <c r="AI353" s="170" t="s">
        <v>1607</v>
      </c>
      <c r="AJ353" s="2559">
        <v>6</v>
      </c>
      <c r="AK353" s="2560"/>
      <c r="AL353" s="2559">
        <f>12104*1.0928</f>
        <v>13227.251200000001</v>
      </c>
      <c r="AM353" s="2560">
        <f t="shared" ref="AM353" si="99">(10759*6%)+10759</f>
        <v>11404.54</v>
      </c>
      <c r="AN353" s="2559">
        <f t="shared" si="97"/>
        <v>79363.507200000007</v>
      </c>
      <c r="AO353" s="2560"/>
    </row>
    <row r="354" spans="1:41" ht="15.95" customHeight="1" x14ac:dyDescent="0.2">
      <c r="A354" s="2839" t="s">
        <v>995</v>
      </c>
      <c r="B354" s="2840"/>
      <c r="C354" s="170"/>
      <c r="D354" s="170"/>
      <c r="E354" s="2559"/>
      <c r="F354" s="2560"/>
      <c r="G354" s="2559"/>
      <c r="H354" s="2560"/>
      <c r="I354" s="2559">
        <f t="shared" ref="I354:I363" si="100">E354*G354</f>
        <v>0</v>
      </c>
      <c r="J354" s="2560"/>
      <c r="K354" s="279"/>
      <c r="L354" s="288" t="s">
        <v>535</v>
      </c>
      <c r="M354" s="170" t="s">
        <v>753</v>
      </c>
      <c r="N354" s="170" t="s">
        <v>460</v>
      </c>
      <c r="O354" s="2559">
        <v>4</v>
      </c>
      <c r="P354" s="2560"/>
      <c r="Q354" s="2895">
        <v>188974</v>
      </c>
      <c r="R354" s="2896"/>
      <c r="S354" s="2559">
        <f>O354*Q354</f>
        <v>755896</v>
      </c>
      <c r="T354" s="2560"/>
      <c r="U354" s="45"/>
      <c r="V354" s="2839" t="s">
        <v>991</v>
      </c>
      <c r="W354" s="2840"/>
      <c r="X354" s="288"/>
      <c r="Y354" s="170"/>
      <c r="Z354" s="2559"/>
      <c r="AA354" s="2560"/>
      <c r="AB354" s="2559"/>
      <c r="AC354" s="2560"/>
      <c r="AD354" s="2559">
        <f>Z354*AB354</f>
        <v>0</v>
      </c>
      <c r="AE354" s="2560"/>
      <c r="AF354" s="45"/>
      <c r="AG354" s="288" t="s">
        <v>535</v>
      </c>
      <c r="AH354" s="170" t="s">
        <v>753</v>
      </c>
      <c r="AI354" s="170" t="s">
        <v>460</v>
      </c>
      <c r="AJ354" s="2559">
        <v>6</v>
      </c>
      <c r="AK354" s="2560"/>
      <c r="AL354" s="2895">
        <v>188974</v>
      </c>
      <c r="AM354" s="2896"/>
      <c r="AN354" s="2559">
        <f t="shared" si="97"/>
        <v>1133844</v>
      </c>
      <c r="AO354" s="2560"/>
    </row>
    <row r="355" spans="1:41" ht="15.95" customHeight="1" x14ac:dyDescent="0.3">
      <c r="A355" s="2839" t="s">
        <v>996</v>
      </c>
      <c r="B355" s="2840"/>
      <c r="C355" s="120"/>
      <c r="D355" s="170"/>
      <c r="E355" s="2559"/>
      <c r="F355" s="2560"/>
      <c r="G355" s="2576"/>
      <c r="H355" s="2880"/>
      <c r="I355" s="2559">
        <f t="shared" si="100"/>
        <v>0</v>
      </c>
      <c r="J355" s="2560"/>
      <c r="K355" s="279"/>
      <c r="L355" s="122" t="s">
        <v>537</v>
      </c>
      <c r="M355" s="170" t="s">
        <v>1103</v>
      </c>
      <c r="N355" s="170" t="s">
        <v>473</v>
      </c>
      <c r="O355" s="2559">
        <v>7</v>
      </c>
      <c r="P355" s="2560"/>
      <c r="Q355" s="2559">
        <f>26831*1.0928</f>
        <v>29320.916799999999</v>
      </c>
      <c r="R355" s="2560"/>
      <c r="S355" s="2559">
        <f>O355*Q355</f>
        <v>205246.41759999999</v>
      </c>
      <c r="T355" s="2560"/>
      <c r="U355" s="45"/>
      <c r="V355" s="2839" t="s">
        <v>996</v>
      </c>
      <c r="W355" s="2840"/>
      <c r="X355" s="187"/>
      <c r="Y355" s="170"/>
      <c r="Z355" s="2559"/>
      <c r="AA355" s="2560"/>
      <c r="AB355" s="2559"/>
      <c r="AC355" s="2560"/>
      <c r="AD355" s="2559">
        <f>Z355*AB355</f>
        <v>0</v>
      </c>
      <c r="AE355" s="2560"/>
      <c r="AF355" s="45"/>
      <c r="AG355" s="122" t="s">
        <v>537</v>
      </c>
      <c r="AH355" s="170" t="s">
        <v>1103</v>
      </c>
      <c r="AI355" s="170" t="s">
        <v>473</v>
      </c>
      <c r="AJ355" s="2559">
        <v>8</v>
      </c>
      <c r="AK355" s="2560"/>
      <c r="AL355" s="2559">
        <f>26831*1.0928</f>
        <v>29320.916799999999</v>
      </c>
      <c r="AM355" s="2560">
        <f t="shared" ref="AM355" si="101">(23850*6%)+23850</f>
        <v>25281</v>
      </c>
      <c r="AN355" s="2559">
        <f t="shared" si="97"/>
        <v>234567.33439999999</v>
      </c>
      <c r="AO355" s="2560"/>
    </row>
    <row r="356" spans="1:41" ht="15.95" customHeight="1" x14ac:dyDescent="0.2">
      <c r="A356" s="2839" t="s">
        <v>469</v>
      </c>
      <c r="B356" s="2840"/>
      <c r="C356" s="120" t="s">
        <v>773</v>
      </c>
      <c r="D356" s="170" t="s">
        <v>1104</v>
      </c>
      <c r="E356" s="2559">
        <v>1</v>
      </c>
      <c r="F356" s="2560"/>
      <c r="G356" s="2559">
        <f>177224*1.928</f>
        <v>341687.87199999997</v>
      </c>
      <c r="H356" s="2560">
        <f t="shared" ref="H356" si="102">(154866*6%)+154866</f>
        <v>164157.96</v>
      </c>
      <c r="I356" s="2559">
        <f t="shared" si="100"/>
        <v>341687.87199999997</v>
      </c>
      <c r="J356" s="2560"/>
      <c r="K356" s="279"/>
      <c r="L356" s="122" t="s">
        <v>456</v>
      </c>
      <c r="M356" s="170"/>
      <c r="N356" s="170"/>
      <c r="O356" s="2559"/>
      <c r="P356" s="2560"/>
      <c r="Q356" s="2559"/>
      <c r="R356" s="2560"/>
      <c r="S356" s="2559">
        <f t="shared" si="96"/>
        <v>0</v>
      </c>
      <c r="T356" s="2560"/>
      <c r="U356" s="45"/>
      <c r="V356" s="2839" t="s">
        <v>469</v>
      </c>
      <c r="W356" s="2840"/>
      <c r="X356" s="187"/>
      <c r="Y356" s="170"/>
      <c r="Z356" s="2559"/>
      <c r="AA356" s="2560"/>
      <c r="AB356" s="2559"/>
      <c r="AC356" s="2560"/>
      <c r="AD356" s="2559">
        <f t="shared" ref="AD356:AD363" si="103">Z356*AB356</f>
        <v>0</v>
      </c>
      <c r="AE356" s="2560"/>
      <c r="AF356" s="45"/>
      <c r="AG356" s="122" t="s">
        <v>456</v>
      </c>
      <c r="AH356" s="170"/>
      <c r="AI356" s="170"/>
      <c r="AJ356" s="2559"/>
      <c r="AK356" s="2560"/>
      <c r="AL356" s="2559"/>
      <c r="AM356" s="2560"/>
      <c r="AN356" s="2559">
        <f t="shared" si="97"/>
        <v>0</v>
      </c>
      <c r="AO356" s="2560"/>
    </row>
    <row r="357" spans="1:41" ht="15.95" customHeight="1" x14ac:dyDescent="0.2">
      <c r="A357" s="2839" t="s">
        <v>470</v>
      </c>
      <c r="B357" s="2840"/>
      <c r="C357" s="120" t="s">
        <v>773</v>
      </c>
      <c r="D357" s="170" t="s">
        <v>1104</v>
      </c>
      <c r="E357" s="2559">
        <v>2</v>
      </c>
      <c r="F357" s="2560"/>
      <c r="G357" s="2559">
        <f>100528*1.0928</f>
        <v>109856.9984</v>
      </c>
      <c r="H357" s="2560">
        <f t="shared" ref="H357" si="104">(89358*6%)+89358</f>
        <v>94719.48</v>
      </c>
      <c r="I357" s="2559">
        <f t="shared" si="100"/>
        <v>219713.99679999999</v>
      </c>
      <c r="J357" s="2560"/>
      <c r="K357" s="279"/>
      <c r="L357" s="122" t="s">
        <v>871</v>
      </c>
      <c r="M357" s="170"/>
      <c r="N357" s="170"/>
      <c r="O357" s="2559"/>
      <c r="P357" s="2560"/>
      <c r="Q357" s="2559"/>
      <c r="R357" s="2560"/>
      <c r="S357" s="2559">
        <f t="shared" si="96"/>
        <v>0</v>
      </c>
      <c r="T357" s="2560"/>
      <c r="U357" s="45"/>
      <c r="V357" s="2839" t="s">
        <v>470</v>
      </c>
      <c r="W357" s="2840"/>
      <c r="X357" s="187"/>
      <c r="Y357" s="170"/>
      <c r="Z357" s="2559"/>
      <c r="AA357" s="2560"/>
      <c r="AB357" s="2559"/>
      <c r="AC357" s="2560"/>
      <c r="AD357" s="2559">
        <f t="shared" si="103"/>
        <v>0</v>
      </c>
      <c r="AE357" s="2560"/>
      <c r="AF357" s="45"/>
      <c r="AG357" s="122" t="s">
        <v>871</v>
      </c>
      <c r="AH357" s="170"/>
      <c r="AI357" s="170"/>
      <c r="AJ357" s="2559"/>
      <c r="AK357" s="2560"/>
      <c r="AL357" s="2559"/>
      <c r="AM357" s="2560"/>
      <c r="AN357" s="2559">
        <f t="shared" si="97"/>
        <v>0</v>
      </c>
      <c r="AO357" s="2560"/>
    </row>
    <row r="358" spans="1:41" ht="15.95" customHeight="1" x14ac:dyDescent="0.3">
      <c r="A358" s="2839" t="s">
        <v>902</v>
      </c>
      <c r="B358" s="2840"/>
      <c r="C358" s="120"/>
      <c r="D358" s="170"/>
      <c r="E358" s="2559"/>
      <c r="F358" s="2560"/>
      <c r="G358" s="2576"/>
      <c r="H358" s="2880"/>
      <c r="I358" s="2559">
        <f t="shared" si="100"/>
        <v>0</v>
      </c>
      <c r="J358" s="2560"/>
      <c r="K358" s="279"/>
      <c r="L358" s="122" t="s">
        <v>595</v>
      </c>
      <c r="M358" s="170"/>
      <c r="N358" s="170"/>
      <c r="O358" s="2559"/>
      <c r="P358" s="2560"/>
      <c r="Q358" s="2559"/>
      <c r="R358" s="2560"/>
      <c r="S358" s="2559">
        <f t="shared" si="96"/>
        <v>0</v>
      </c>
      <c r="T358" s="2560"/>
      <c r="U358" s="45"/>
      <c r="V358" s="2839" t="s">
        <v>1068</v>
      </c>
      <c r="W358" s="2840"/>
      <c r="X358" s="288"/>
      <c r="Y358" s="170"/>
      <c r="Z358" s="2559"/>
      <c r="AA358" s="2560"/>
      <c r="AB358" s="2559"/>
      <c r="AC358" s="2880"/>
      <c r="AD358" s="2559">
        <f t="shared" si="103"/>
        <v>0</v>
      </c>
      <c r="AE358" s="2560"/>
      <c r="AF358" s="45"/>
      <c r="AG358" s="122" t="s">
        <v>595</v>
      </c>
      <c r="AH358" s="170"/>
      <c r="AI358" s="170"/>
      <c r="AJ358" s="2559"/>
      <c r="AK358" s="2560"/>
      <c r="AL358" s="2559"/>
      <c r="AM358" s="2560"/>
      <c r="AN358" s="2559">
        <f t="shared" si="97"/>
        <v>0</v>
      </c>
      <c r="AO358" s="2560"/>
    </row>
    <row r="359" spans="1:41" ht="15.95" customHeight="1" x14ac:dyDescent="0.4">
      <c r="A359" s="2839" t="s">
        <v>998</v>
      </c>
      <c r="B359" s="2840"/>
      <c r="C359" s="120" t="s">
        <v>496</v>
      </c>
      <c r="D359" s="170" t="s">
        <v>497</v>
      </c>
      <c r="E359" s="2576">
        <v>4</v>
      </c>
      <c r="F359" s="2880"/>
      <c r="G359" s="2641">
        <v>47000</v>
      </c>
      <c r="H359" s="2642">
        <f t="shared" ref="H359:H361" si="105">(36040*6%)+36040</f>
        <v>38202.400000000001</v>
      </c>
      <c r="I359" s="2559">
        <f t="shared" si="100"/>
        <v>188000</v>
      </c>
      <c r="J359" s="2560"/>
      <c r="K359" s="279"/>
      <c r="L359" s="122" t="s">
        <v>507</v>
      </c>
      <c r="M359" s="214"/>
      <c r="N359" s="120"/>
      <c r="O359" s="2559"/>
      <c r="P359" s="2560"/>
      <c r="Q359" s="2559"/>
      <c r="R359" s="2560"/>
      <c r="S359" s="2559">
        <f t="shared" si="96"/>
        <v>0</v>
      </c>
      <c r="T359" s="2560"/>
      <c r="U359" s="45"/>
      <c r="V359" s="2839" t="s">
        <v>998</v>
      </c>
      <c r="W359" s="2840"/>
      <c r="X359" s="187"/>
      <c r="Y359" s="170"/>
      <c r="Z359" s="2576"/>
      <c r="AA359" s="2880"/>
      <c r="AB359" s="2576"/>
      <c r="AC359" s="2880"/>
      <c r="AD359" s="2559">
        <f t="shared" si="103"/>
        <v>0</v>
      </c>
      <c r="AE359" s="2560"/>
      <c r="AF359" s="45"/>
      <c r="AG359" s="122" t="s">
        <v>507</v>
      </c>
      <c r="AH359" s="214" t="s">
        <v>1069</v>
      </c>
      <c r="AI359" s="120" t="s">
        <v>497</v>
      </c>
      <c r="AJ359" s="2559">
        <v>630</v>
      </c>
      <c r="AK359" s="2560"/>
      <c r="AL359" s="2559">
        <f>3339*1.0928</f>
        <v>3648.8591999999999</v>
      </c>
      <c r="AM359" s="2560"/>
      <c r="AN359" s="2559">
        <f t="shared" si="97"/>
        <v>2298781.2960000001</v>
      </c>
      <c r="AO359" s="2560"/>
    </row>
    <row r="360" spans="1:41" ht="15.95" customHeight="1" x14ac:dyDescent="0.3">
      <c r="A360" s="2839" t="s">
        <v>999</v>
      </c>
      <c r="B360" s="2840"/>
      <c r="C360" s="187"/>
      <c r="D360" s="170"/>
      <c r="E360" s="2576"/>
      <c r="F360" s="2880"/>
      <c r="G360" s="2576"/>
      <c r="H360" s="2880"/>
      <c r="I360" s="2559">
        <f t="shared" si="100"/>
        <v>0</v>
      </c>
      <c r="J360" s="2560"/>
      <c r="K360" s="279"/>
      <c r="L360" s="122" t="s">
        <v>801</v>
      </c>
      <c r="M360" s="170"/>
      <c r="N360" s="170"/>
      <c r="O360" s="2559"/>
      <c r="P360" s="2560"/>
      <c r="Q360" s="2559"/>
      <c r="R360" s="2560"/>
      <c r="S360" s="2559"/>
      <c r="T360" s="2560"/>
      <c r="U360" s="45"/>
      <c r="V360" s="2839" t="s">
        <v>999</v>
      </c>
      <c r="W360" s="2840"/>
      <c r="X360" s="187"/>
      <c r="Y360" s="170"/>
      <c r="Z360" s="2576"/>
      <c r="AA360" s="2880"/>
      <c r="AB360" s="2576"/>
      <c r="AC360" s="2880"/>
      <c r="AD360" s="2559">
        <f t="shared" si="103"/>
        <v>0</v>
      </c>
      <c r="AE360" s="2560"/>
      <c r="AF360" s="45"/>
      <c r="AG360" s="122" t="s">
        <v>801</v>
      </c>
      <c r="AH360" s="170"/>
      <c r="AI360" s="170"/>
      <c r="AJ360" s="2559"/>
      <c r="AK360" s="2560"/>
      <c r="AL360" s="2559"/>
      <c r="AM360" s="2560"/>
      <c r="AN360" s="2559">
        <f t="shared" si="97"/>
        <v>0</v>
      </c>
      <c r="AO360" s="2560"/>
    </row>
    <row r="361" spans="1:41" ht="15.95" customHeight="1" x14ac:dyDescent="0.4">
      <c r="A361" s="2839" t="s">
        <v>873</v>
      </c>
      <c r="B361" s="2840"/>
      <c r="C361" s="120" t="s">
        <v>496</v>
      </c>
      <c r="D361" s="170" t="s">
        <v>497</v>
      </c>
      <c r="E361" s="2576">
        <v>20</v>
      </c>
      <c r="F361" s="2880"/>
      <c r="G361" s="2641">
        <v>47000</v>
      </c>
      <c r="H361" s="2642">
        <f t="shared" si="105"/>
        <v>38202.400000000001</v>
      </c>
      <c r="I361" s="2559">
        <f t="shared" si="100"/>
        <v>940000</v>
      </c>
      <c r="J361" s="2560"/>
      <c r="K361" s="279"/>
      <c r="L361" s="122" t="s">
        <v>575</v>
      </c>
      <c r="M361" s="170"/>
      <c r="N361" s="170"/>
      <c r="O361" s="2559"/>
      <c r="P361" s="2560"/>
      <c r="Q361" s="2559"/>
      <c r="R361" s="2560"/>
      <c r="S361" s="2559"/>
      <c r="T361" s="2560"/>
      <c r="U361" s="45"/>
      <c r="V361" s="2839" t="s">
        <v>873</v>
      </c>
      <c r="W361" s="2840"/>
      <c r="X361" s="187"/>
      <c r="Y361" s="170"/>
      <c r="Z361" s="2576"/>
      <c r="AA361" s="2880"/>
      <c r="AB361" s="2576"/>
      <c r="AC361" s="2880"/>
      <c r="AD361" s="2559">
        <f t="shared" si="103"/>
        <v>0</v>
      </c>
      <c r="AE361" s="2560"/>
      <c r="AF361" s="45"/>
      <c r="AG361" s="122" t="s">
        <v>575</v>
      </c>
      <c r="AH361" s="170"/>
      <c r="AI361" s="170"/>
      <c r="AJ361" s="2559"/>
      <c r="AK361" s="2560"/>
      <c r="AL361" s="2559"/>
      <c r="AM361" s="2560"/>
      <c r="AN361" s="2559">
        <f t="shared" si="97"/>
        <v>0</v>
      </c>
      <c r="AO361" s="2560"/>
    </row>
    <row r="362" spans="1:41" ht="15.95" customHeight="1" x14ac:dyDescent="0.3">
      <c r="A362" s="2839" t="s">
        <v>1000</v>
      </c>
      <c r="B362" s="2840"/>
      <c r="C362" s="187"/>
      <c r="D362" s="170"/>
      <c r="E362" s="2576"/>
      <c r="F362" s="2880"/>
      <c r="G362" s="2576"/>
      <c r="H362" s="2880"/>
      <c r="I362" s="2559">
        <f t="shared" si="100"/>
        <v>0</v>
      </c>
      <c r="J362" s="2560"/>
      <c r="K362" s="279"/>
      <c r="L362" s="122" t="s">
        <v>874</v>
      </c>
      <c r="M362" s="170"/>
      <c r="N362" s="170"/>
      <c r="O362" s="2559"/>
      <c r="P362" s="2560"/>
      <c r="Q362" s="2559"/>
      <c r="R362" s="2560"/>
      <c r="S362" s="2559"/>
      <c r="T362" s="2560"/>
      <c r="U362" s="45"/>
      <c r="V362" s="2839" t="s">
        <v>1000</v>
      </c>
      <c r="W362" s="2840"/>
      <c r="X362" s="187"/>
      <c r="Y362" s="170"/>
      <c r="Z362" s="2576"/>
      <c r="AA362" s="2880"/>
      <c r="AB362" s="2576"/>
      <c r="AC362" s="2880"/>
      <c r="AD362" s="2559">
        <f t="shared" si="103"/>
        <v>0</v>
      </c>
      <c r="AE362" s="2560"/>
      <c r="AF362" s="45"/>
      <c r="AG362" s="122" t="s">
        <v>874</v>
      </c>
      <c r="AH362" s="170"/>
      <c r="AI362" s="170"/>
      <c r="AJ362" s="2559"/>
      <c r="AK362" s="2560"/>
      <c r="AL362" s="2559"/>
      <c r="AM362" s="2560"/>
      <c r="AN362" s="2559">
        <f t="shared" si="97"/>
        <v>0</v>
      </c>
      <c r="AO362" s="2560"/>
    </row>
    <row r="363" spans="1:41" ht="15.95" customHeight="1" x14ac:dyDescent="0.3">
      <c r="A363" s="2839" t="s">
        <v>504</v>
      </c>
      <c r="B363" s="2840"/>
      <c r="C363" s="187"/>
      <c r="D363" s="170"/>
      <c r="E363" s="2576"/>
      <c r="F363" s="2880"/>
      <c r="G363" s="2576"/>
      <c r="H363" s="2880"/>
      <c r="I363" s="2559">
        <f t="shared" si="100"/>
        <v>0</v>
      </c>
      <c r="J363" s="2560"/>
      <c r="K363" s="279"/>
      <c r="L363" s="196" t="s">
        <v>515</v>
      </c>
      <c r="M363" s="120"/>
      <c r="N363" s="120"/>
      <c r="O363" s="2643"/>
      <c r="P363" s="2643"/>
      <c r="Q363" s="2643"/>
      <c r="R363" s="2643"/>
      <c r="S363" s="2559"/>
      <c r="T363" s="2560"/>
      <c r="U363" s="45"/>
      <c r="V363" s="2839" t="s">
        <v>504</v>
      </c>
      <c r="W363" s="2840"/>
      <c r="X363" s="187"/>
      <c r="Y363" s="170"/>
      <c r="Z363" s="2576"/>
      <c r="AA363" s="2880"/>
      <c r="AB363" s="2576"/>
      <c r="AC363" s="2880"/>
      <c r="AD363" s="2559">
        <f t="shared" si="103"/>
        <v>0</v>
      </c>
      <c r="AE363" s="2560"/>
      <c r="AF363" s="45"/>
      <c r="AG363" s="196" t="s">
        <v>515</v>
      </c>
      <c r="AH363" s="120"/>
      <c r="AI363" s="120"/>
      <c r="AJ363" s="2643"/>
      <c r="AK363" s="2643"/>
      <c r="AL363" s="2643"/>
      <c r="AM363" s="2643"/>
      <c r="AN363" s="2559">
        <f t="shared" si="97"/>
        <v>0</v>
      </c>
      <c r="AO363" s="2560"/>
    </row>
    <row r="364" spans="1:41" ht="15.95" customHeight="1" x14ac:dyDescent="0.35">
      <c r="A364" s="2911" t="s">
        <v>1001</v>
      </c>
      <c r="B364" s="2912"/>
      <c r="C364" s="187"/>
      <c r="D364" s="170"/>
      <c r="E364" s="2576"/>
      <c r="F364" s="2880"/>
      <c r="G364" s="2576"/>
      <c r="H364" s="2880"/>
      <c r="I364" s="2565">
        <f>SUM(I365:J382)</f>
        <v>1504000</v>
      </c>
      <c r="J364" s="2892"/>
      <c r="K364" s="279"/>
      <c r="L364" s="196" t="s">
        <v>805</v>
      </c>
      <c r="M364" s="120" t="s">
        <v>1243</v>
      </c>
      <c r="N364" s="120"/>
      <c r="O364" s="2643"/>
      <c r="P364" s="2643"/>
      <c r="Q364" s="2643"/>
      <c r="R364" s="2643"/>
      <c r="S364" s="2559">
        <f>350000*1.0928</f>
        <v>382480</v>
      </c>
      <c r="T364" s="2560"/>
      <c r="U364" s="45"/>
      <c r="V364" s="2911" t="s">
        <v>1001</v>
      </c>
      <c r="W364" s="2912"/>
      <c r="X364" s="187"/>
      <c r="Y364" s="170"/>
      <c r="Z364" s="2576"/>
      <c r="AA364" s="2880"/>
      <c r="AB364" s="2576"/>
      <c r="AC364" s="2880"/>
      <c r="AD364" s="2565">
        <f>SUM(AD365:AE382)</f>
        <v>1692000</v>
      </c>
      <c r="AE364" s="2892"/>
      <c r="AF364" s="45"/>
      <c r="AG364" s="196" t="s">
        <v>1093</v>
      </c>
      <c r="AH364" s="120"/>
      <c r="AI364" s="120"/>
      <c r="AJ364" s="2643"/>
      <c r="AK364" s="2643"/>
      <c r="AL364" s="2643"/>
      <c r="AM364" s="2643"/>
      <c r="AN364" s="2559">
        <f t="shared" si="97"/>
        <v>0</v>
      </c>
      <c r="AO364" s="2560"/>
    </row>
    <row r="365" spans="1:41" ht="15.95" customHeight="1" x14ac:dyDescent="0.4">
      <c r="A365" s="2839" t="s">
        <v>852</v>
      </c>
      <c r="B365" s="2840"/>
      <c r="C365" s="120" t="s">
        <v>496</v>
      </c>
      <c r="D365" s="170" t="s">
        <v>497</v>
      </c>
      <c r="E365" s="2559">
        <v>4</v>
      </c>
      <c r="F365" s="2560"/>
      <c r="G365" s="2641">
        <v>47000</v>
      </c>
      <c r="H365" s="2642">
        <f t="shared" ref="H365" si="106">(36040*6%)+36040</f>
        <v>38202.400000000001</v>
      </c>
      <c r="I365" s="2559">
        <f t="shared" ref="I365:I382" si="107">E365*G365</f>
        <v>188000</v>
      </c>
      <c r="J365" s="2560"/>
      <c r="K365" s="279"/>
      <c r="L365" s="199" t="s">
        <v>876</v>
      </c>
      <c r="M365" s="53"/>
      <c r="N365" s="200"/>
      <c r="O365" s="2893"/>
      <c r="P365" s="2893"/>
      <c r="Q365" s="2893"/>
      <c r="R365" s="2893"/>
      <c r="S365" s="2894">
        <f>SUM(S347:T364)</f>
        <v>7598563.1903999988</v>
      </c>
      <c r="T365" s="2894"/>
      <c r="U365" s="45"/>
      <c r="V365" s="2839" t="s">
        <v>852</v>
      </c>
      <c r="W365" s="2840"/>
      <c r="X365" s="187"/>
      <c r="Y365" s="170"/>
      <c r="Z365" s="2559"/>
      <c r="AA365" s="2560"/>
      <c r="AB365" s="2559"/>
      <c r="AC365" s="2560"/>
      <c r="AD365" s="2559">
        <f t="shared" ref="AD365:AD382" si="108">Z365*AB365</f>
        <v>0</v>
      </c>
      <c r="AE365" s="2560"/>
      <c r="AF365" s="45"/>
      <c r="AG365" s="199" t="s">
        <v>876</v>
      </c>
      <c r="AH365" s="53"/>
      <c r="AI365" s="200"/>
      <c r="AJ365" s="2893"/>
      <c r="AK365" s="2893"/>
      <c r="AL365" s="2893"/>
      <c r="AM365" s="2893"/>
      <c r="AN365" s="2894">
        <f>SUM(AN347:AO363)</f>
        <v>5229037.1424000002</v>
      </c>
      <c r="AO365" s="2894"/>
    </row>
    <row r="366" spans="1:41" ht="15.95" customHeight="1" x14ac:dyDescent="0.2">
      <c r="A366" s="2839" t="s">
        <v>495</v>
      </c>
      <c r="B366" s="2840"/>
      <c r="C366" s="170"/>
      <c r="D366" s="170"/>
      <c r="E366" s="2559"/>
      <c r="F366" s="2560"/>
      <c r="G366" s="2559"/>
      <c r="H366" s="2560"/>
      <c r="I366" s="2559">
        <f t="shared" si="107"/>
        <v>0</v>
      </c>
      <c r="J366" s="2560"/>
      <c r="K366" s="279"/>
      <c r="L366" s="148"/>
      <c r="M366" s="197"/>
      <c r="N366" s="120"/>
      <c r="O366" s="2643"/>
      <c r="P366" s="2643"/>
      <c r="Q366" s="2643"/>
      <c r="R366" s="2643"/>
      <c r="S366" s="2643"/>
      <c r="T366" s="2643"/>
      <c r="U366" s="45"/>
      <c r="V366" s="2839" t="s">
        <v>495</v>
      </c>
      <c r="W366" s="2840"/>
      <c r="X366" s="187"/>
      <c r="Y366" s="170"/>
      <c r="Z366" s="2559"/>
      <c r="AA366" s="2560"/>
      <c r="AB366" s="2559"/>
      <c r="AC366" s="2560"/>
      <c r="AD366" s="2559">
        <f t="shared" si="108"/>
        <v>0</v>
      </c>
      <c r="AE366" s="2560"/>
      <c r="AF366" s="45"/>
      <c r="AG366" s="148"/>
      <c r="AH366" s="197"/>
      <c r="AI366" s="120"/>
      <c r="AJ366" s="2643"/>
      <c r="AK366" s="2643"/>
      <c r="AL366" s="2643"/>
      <c r="AM366" s="2643"/>
      <c r="AN366" s="2643"/>
      <c r="AO366" s="2643"/>
    </row>
    <row r="367" spans="1:41" ht="15.95" customHeight="1" x14ac:dyDescent="0.3">
      <c r="A367" s="2839" t="s">
        <v>1003</v>
      </c>
      <c r="B367" s="2840"/>
      <c r="C367" s="170"/>
      <c r="D367" s="170"/>
      <c r="E367" s="2576"/>
      <c r="F367" s="2880"/>
      <c r="G367" s="2559"/>
      <c r="H367" s="2880"/>
      <c r="I367" s="2559">
        <f t="shared" si="107"/>
        <v>0</v>
      </c>
      <c r="J367" s="2560"/>
      <c r="K367" s="279"/>
      <c r="L367" s="144" t="s">
        <v>577</v>
      </c>
      <c r="M367" s="145"/>
      <c r="N367" s="145"/>
      <c r="O367" s="2890"/>
      <c r="P367" s="2890"/>
      <c r="Q367" s="2890"/>
      <c r="R367" s="2890"/>
      <c r="S367" s="2890"/>
      <c r="T367" s="2891"/>
      <c r="U367" s="45"/>
      <c r="V367" s="2839" t="s">
        <v>1003</v>
      </c>
      <c r="W367" s="2840"/>
      <c r="X367" s="187"/>
      <c r="Y367" s="170"/>
      <c r="Z367" s="2576"/>
      <c r="AA367" s="2880"/>
      <c r="AB367" s="2576"/>
      <c r="AC367" s="2880"/>
      <c r="AD367" s="2559">
        <f t="shared" si="108"/>
        <v>0</v>
      </c>
      <c r="AE367" s="2560"/>
      <c r="AF367" s="45"/>
      <c r="AG367" s="144" t="s">
        <v>577</v>
      </c>
      <c r="AH367" s="145"/>
      <c r="AI367" s="145"/>
      <c r="AJ367" s="2890"/>
      <c r="AK367" s="2890"/>
      <c r="AL367" s="2890"/>
      <c r="AM367" s="2890"/>
      <c r="AN367" s="2890"/>
      <c r="AO367" s="2891"/>
    </row>
    <row r="368" spans="1:41" ht="15.95" customHeight="1" x14ac:dyDescent="0.3">
      <c r="A368" s="2839" t="s">
        <v>1004</v>
      </c>
      <c r="B368" s="2840"/>
      <c r="C368" s="187"/>
      <c r="D368" s="170"/>
      <c r="E368" s="2576"/>
      <c r="F368" s="2880"/>
      <c r="G368" s="2576"/>
      <c r="H368" s="2880"/>
      <c r="I368" s="2559">
        <f t="shared" si="107"/>
        <v>0</v>
      </c>
      <c r="J368" s="2560"/>
      <c r="K368" s="279"/>
      <c r="L368" s="148" t="s">
        <v>1005</v>
      </c>
      <c r="M368" s="296">
        <v>0.05</v>
      </c>
      <c r="N368" s="45"/>
      <c r="O368" s="2575"/>
      <c r="P368" s="2575"/>
      <c r="Q368" s="2575"/>
      <c r="R368" s="2575"/>
      <c r="S368" s="2575">
        <f>+(S365+I390)*0.05</f>
        <v>564186.25295999995</v>
      </c>
      <c r="T368" s="2560"/>
      <c r="U368" s="45"/>
      <c r="V368" s="2839" t="s">
        <v>1004</v>
      </c>
      <c r="W368" s="2840"/>
      <c r="X368" s="187"/>
      <c r="Y368" s="170"/>
      <c r="Z368" s="2576"/>
      <c r="AA368" s="2880"/>
      <c r="AB368" s="2576"/>
      <c r="AC368" s="2880"/>
      <c r="AD368" s="2559">
        <f t="shared" si="108"/>
        <v>0</v>
      </c>
      <c r="AE368" s="2560"/>
      <c r="AF368" s="45"/>
      <c r="AG368" s="148" t="s">
        <v>1005</v>
      </c>
      <c r="AH368" s="296">
        <v>0.05</v>
      </c>
      <c r="AI368" s="45"/>
      <c r="AJ368" s="2575"/>
      <c r="AK368" s="2575"/>
      <c r="AL368" s="2575"/>
      <c r="AM368" s="2575"/>
      <c r="AN368" s="2575">
        <f>+(AN365+AD390)*0.05</f>
        <v>501314.95136000006</v>
      </c>
      <c r="AO368" s="2560"/>
    </row>
    <row r="369" spans="1:41" ht="15.95" customHeight="1" x14ac:dyDescent="0.3">
      <c r="A369" s="2839" t="s">
        <v>1006</v>
      </c>
      <c r="B369" s="2840"/>
      <c r="C369" s="187"/>
      <c r="D369" s="170"/>
      <c r="E369" s="2576"/>
      <c r="F369" s="2880"/>
      <c r="G369" s="2576"/>
      <c r="H369" s="2880"/>
      <c r="I369" s="2559">
        <f t="shared" si="107"/>
        <v>0</v>
      </c>
      <c r="J369" s="2560"/>
      <c r="K369" s="279"/>
      <c r="L369" s="151" t="s">
        <v>527</v>
      </c>
      <c r="M369" s="45"/>
      <c r="N369" s="45"/>
      <c r="O369" s="2575"/>
      <c r="P369" s="2575"/>
      <c r="Q369" s="2575"/>
      <c r="R369" s="2575"/>
      <c r="S369" s="2575">
        <f>150000*1.0928</f>
        <v>163920</v>
      </c>
      <c r="T369" s="2560"/>
      <c r="U369" s="45"/>
      <c r="V369" s="2839" t="s">
        <v>1006</v>
      </c>
      <c r="W369" s="2840"/>
      <c r="X369" s="187"/>
      <c r="Y369" s="170"/>
      <c r="Z369" s="2576"/>
      <c r="AA369" s="2880"/>
      <c r="AB369" s="2576"/>
      <c r="AC369" s="2880"/>
      <c r="AD369" s="2559">
        <f t="shared" si="108"/>
        <v>0</v>
      </c>
      <c r="AE369" s="2560"/>
      <c r="AF369" s="45"/>
      <c r="AG369" s="151" t="s">
        <v>527</v>
      </c>
      <c r="AH369" s="45"/>
      <c r="AI369" s="45"/>
      <c r="AJ369" s="2575"/>
      <c r="AK369" s="2575"/>
      <c r="AL369" s="2575"/>
      <c r="AM369" s="2575"/>
      <c r="AN369" s="2575">
        <f>150000*1.0928</f>
        <v>163920</v>
      </c>
      <c r="AO369" s="2560"/>
    </row>
    <row r="370" spans="1:41" ht="15.95" customHeight="1" x14ac:dyDescent="0.3">
      <c r="A370" s="2839" t="s">
        <v>1007</v>
      </c>
      <c r="B370" s="2840"/>
      <c r="C370" s="187"/>
      <c r="D370" s="170"/>
      <c r="E370" s="2576"/>
      <c r="F370" s="2880"/>
      <c r="G370" s="2576"/>
      <c r="H370" s="2880"/>
      <c r="I370" s="2559">
        <f t="shared" si="107"/>
        <v>0</v>
      </c>
      <c r="J370" s="2560"/>
      <c r="K370" s="279"/>
      <c r="L370" s="152" t="s">
        <v>529</v>
      </c>
      <c r="M370" s="45"/>
      <c r="N370" s="45"/>
      <c r="O370" s="2575"/>
      <c r="P370" s="2575"/>
      <c r="Q370" s="2575"/>
      <c r="R370" s="2575"/>
      <c r="S370" s="2575">
        <f>500000*1.0928</f>
        <v>546400</v>
      </c>
      <c r="T370" s="2560"/>
      <c r="U370" s="45"/>
      <c r="V370" s="2839" t="s">
        <v>1007</v>
      </c>
      <c r="W370" s="2840"/>
      <c r="X370" s="187"/>
      <c r="Y370" s="170"/>
      <c r="Z370" s="2576"/>
      <c r="AA370" s="2880"/>
      <c r="AB370" s="2576"/>
      <c r="AC370" s="2880"/>
      <c r="AD370" s="2559">
        <f t="shared" si="108"/>
        <v>0</v>
      </c>
      <c r="AE370" s="2560"/>
      <c r="AF370" s="45"/>
      <c r="AG370" s="152" t="s">
        <v>529</v>
      </c>
      <c r="AH370" s="45"/>
      <c r="AI370" s="45"/>
      <c r="AJ370" s="2575"/>
      <c r="AK370" s="2575"/>
      <c r="AL370" s="2575"/>
      <c r="AM370" s="2575"/>
      <c r="AN370" s="2575">
        <f>500000*1.0928</f>
        <v>546400</v>
      </c>
      <c r="AO370" s="2560"/>
    </row>
    <row r="371" spans="1:41" ht="15.95" customHeight="1" x14ac:dyDescent="0.3">
      <c r="A371" s="2839" t="s">
        <v>1008</v>
      </c>
      <c r="B371" s="2840"/>
      <c r="C371" s="120"/>
      <c r="D371" s="170"/>
      <c r="E371" s="2576"/>
      <c r="F371" s="2880"/>
      <c r="G371" s="2576"/>
      <c r="H371" s="2880"/>
      <c r="I371" s="2559">
        <f t="shared" si="107"/>
        <v>0</v>
      </c>
      <c r="J371" s="2560"/>
      <c r="K371" s="279"/>
      <c r="L371" s="152" t="s">
        <v>726</v>
      </c>
      <c r="M371" s="45"/>
      <c r="N371" s="45"/>
      <c r="O371" s="2575"/>
      <c r="P371" s="2575"/>
      <c r="Q371" s="2575"/>
      <c r="R371" s="2575"/>
      <c r="S371" s="2575">
        <f>(I390+S365)*5%</f>
        <v>564186.25295999995</v>
      </c>
      <c r="T371" s="2560"/>
      <c r="U371" s="45"/>
      <c r="V371" s="2839" t="s">
        <v>1008</v>
      </c>
      <c r="W371" s="2840"/>
      <c r="X371" s="187"/>
      <c r="Y371" s="170"/>
      <c r="Z371" s="2576"/>
      <c r="AA371" s="2880"/>
      <c r="AB371" s="2576"/>
      <c r="AC371" s="2880"/>
      <c r="AD371" s="2559">
        <f t="shared" si="108"/>
        <v>0</v>
      </c>
      <c r="AE371" s="2560"/>
      <c r="AF371" s="45"/>
      <c r="AG371" s="152" t="s">
        <v>726</v>
      </c>
      <c r="AH371" s="45"/>
      <c r="AI371" s="45"/>
      <c r="AJ371" s="2575"/>
      <c r="AK371" s="2575"/>
      <c r="AL371" s="2575"/>
      <c r="AM371" s="2575"/>
      <c r="AN371" s="2575">
        <f>(AN365+AD390)*5%</f>
        <v>501314.95136000006</v>
      </c>
      <c r="AO371" s="2560"/>
    </row>
    <row r="372" spans="1:41" ht="15.95" customHeight="1" x14ac:dyDescent="0.3">
      <c r="A372" s="2839" t="s">
        <v>1009</v>
      </c>
      <c r="B372" s="2840"/>
      <c r="C372" s="120"/>
      <c r="D372" s="170"/>
      <c r="E372" s="2576"/>
      <c r="F372" s="2880"/>
      <c r="G372" s="2576"/>
      <c r="H372" s="2880"/>
      <c r="I372" s="2559">
        <f t="shared" si="107"/>
        <v>0</v>
      </c>
      <c r="J372" s="2560"/>
      <c r="K372" s="279"/>
      <c r="L372" s="166" t="s">
        <v>504</v>
      </c>
      <c r="M372" s="155"/>
      <c r="N372" s="155"/>
      <c r="O372" s="2557"/>
      <c r="P372" s="2557"/>
      <c r="Q372" s="2557"/>
      <c r="R372" s="2557"/>
      <c r="S372" s="2557">
        <f>200000*1.0928</f>
        <v>218560</v>
      </c>
      <c r="T372" s="2558"/>
      <c r="U372" s="45"/>
      <c r="V372" s="2839" t="s">
        <v>1009</v>
      </c>
      <c r="W372" s="2840"/>
      <c r="X372" s="187"/>
      <c r="Y372" s="170"/>
      <c r="Z372" s="2576"/>
      <c r="AA372" s="2880"/>
      <c r="AB372" s="2576"/>
      <c r="AC372" s="2880"/>
      <c r="AD372" s="2559">
        <f t="shared" si="108"/>
        <v>0</v>
      </c>
      <c r="AE372" s="2560"/>
      <c r="AF372" s="45"/>
      <c r="AG372" s="166" t="s">
        <v>504</v>
      </c>
      <c r="AH372" s="155"/>
      <c r="AI372" s="155"/>
      <c r="AJ372" s="2557"/>
      <c r="AK372" s="2557"/>
      <c r="AL372" s="2557"/>
      <c r="AM372" s="2557"/>
      <c r="AN372" s="2557">
        <f>150000*1.0928</f>
        <v>163920</v>
      </c>
      <c r="AO372" s="2558"/>
    </row>
    <row r="373" spans="1:41" ht="15.95" customHeight="1" x14ac:dyDescent="0.3">
      <c r="A373" s="2839" t="s">
        <v>1010</v>
      </c>
      <c r="B373" s="2840"/>
      <c r="C373" s="170"/>
      <c r="D373" s="170"/>
      <c r="E373" s="2576"/>
      <c r="F373" s="2880"/>
      <c r="G373" s="2559"/>
      <c r="H373" s="2918"/>
      <c r="I373" s="2559">
        <f t="shared" si="107"/>
        <v>0</v>
      </c>
      <c r="J373" s="2560"/>
      <c r="K373" s="279"/>
      <c r="L373" s="156" t="s">
        <v>533</v>
      </c>
      <c r="M373" s="201"/>
      <c r="N373" s="201"/>
      <c r="O373" s="2885"/>
      <c r="P373" s="2885"/>
      <c r="Q373" s="2886"/>
      <c r="R373" s="2886"/>
      <c r="S373" s="2887">
        <f>SUM(S368:T372)</f>
        <v>2057252.5059199999</v>
      </c>
      <c r="T373" s="2887"/>
      <c r="U373" s="45"/>
      <c r="V373" s="2839" t="s">
        <v>1090</v>
      </c>
      <c r="W373" s="2840"/>
      <c r="X373" s="288"/>
      <c r="Y373" s="170"/>
      <c r="Z373" s="2576"/>
      <c r="AA373" s="2880"/>
      <c r="AB373" s="2576"/>
      <c r="AC373" s="2880"/>
      <c r="AD373" s="2559">
        <f t="shared" si="108"/>
        <v>0</v>
      </c>
      <c r="AE373" s="2560"/>
      <c r="AF373" s="45"/>
      <c r="AG373" s="156" t="s">
        <v>533</v>
      </c>
      <c r="AH373" s="201"/>
      <c r="AI373" s="201"/>
      <c r="AJ373" s="2885"/>
      <c r="AK373" s="2885"/>
      <c r="AL373" s="2886"/>
      <c r="AM373" s="2886"/>
      <c r="AN373" s="2887">
        <f>SUM(AN368:AO372)</f>
        <v>1876869.9027200001</v>
      </c>
      <c r="AO373" s="2887"/>
    </row>
    <row r="374" spans="1:41" ht="15.95" customHeight="1" x14ac:dyDescent="0.3">
      <c r="A374" s="2839" t="s">
        <v>1011</v>
      </c>
      <c r="B374" s="2840"/>
      <c r="C374" s="187"/>
      <c r="D374" s="170"/>
      <c r="E374" s="2576"/>
      <c r="F374" s="2880"/>
      <c r="G374" s="2576"/>
      <c r="H374" s="2880"/>
      <c r="I374" s="2559">
        <f t="shared" si="107"/>
        <v>0</v>
      </c>
      <c r="J374" s="2560"/>
      <c r="K374" s="279"/>
      <c r="L374" s="159"/>
      <c r="M374" s="45"/>
      <c r="N374" s="45"/>
      <c r="O374" s="2575"/>
      <c r="P374" s="2575"/>
      <c r="Q374" s="2575"/>
      <c r="R374" s="2575"/>
      <c r="S374" s="2575"/>
      <c r="T374" s="2560"/>
      <c r="U374" s="45"/>
      <c r="V374" s="2839" t="s">
        <v>1011</v>
      </c>
      <c r="W374" s="2840"/>
      <c r="X374" s="187"/>
      <c r="Y374" s="170"/>
      <c r="Z374" s="2576"/>
      <c r="AA374" s="2880"/>
      <c r="AB374" s="2576"/>
      <c r="AC374" s="2880"/>
      <c r="AD374" s="2559">
        <f t="shared" si="108"/>
        <v>0</v>
      </c>
      <c r="AE374" s="2560"/>
      <c r="AF374" s="45"/>
      <c r="AG374" s="159"/>
      <c r="AH374" s="45"/>
      <c r="AI374" s="45"/>
      <c r="AJ374" s="2575"/>
      <c r="AK374" s="2575"/>
      <c r="AL374" s="2575"/>
      <c r="AM374" s="2575"/>
      <c r="AN374" s="2575"/>
      <c r="AO374" s="2560"/>
    </row>
    <row r="375" spans="1:41" ht="15.95" customHeight="1" thickBot="1" x14ac:dyDescent="0.35">
      <c r="A375" s="2839" t="s">
        <v>1012</v>
      </c>
      <c r="B375" s="2840"/>
      <c r="C375" s="120"/>
      <c r="D375" s="120"/>
      <c r="E375" s="2576"/>
      <c r="F375" s="2880"/>
      <c r="G375" s="2576"/>
      <c r="H375" s="2880"/>
      <c r="I375" s="2559">
        <f t="shared" si="107"/>
        <v>0</v>
      </c>
      <c r="J375" s="2560"/>
      <c r="K375" s="279"/>
      <c r="L375" s="160" t="s">
        <v>583</v>
      </c>
      <c r="M375" s="205"/>
      <c r="N375" s="205"/>
      <c r="O375" s="205"/>
      <c r="P375" s="205"/>
      <c r="Q375" s="161"/>
      <c r="R375" s="161"/>
      <c r="S375" s="2580">
        <f>SUM(S373+S365+I390)</f>
        <v>13340977.565119999</v>
      </c>
      <c r="T375" s="2581"/>
      <c r="U375" s="45"/>
      <c r="V375" s="2839" t="s">
        <v>1094</v>
      </c>
      <c r="W375" s="2840"/>
      <c r="X375" s="288"/>
      <c r="Y375" s="170"/>
      <c r="Z375" s="2576"/>
      <c r="AA375" s="2880"/>
      <c r="AB375" s="2576"/>
      <c r="AC375" s="2880"/>
      <c r="AD375" s="2559">
        <f t="shared" si="108"/>
        <v>0</v>
      </c>
      <c r="AE375" s="2560"/>
      <c r="AF375" s="45"/>
      <c r="AG375" s="160" t="s">
        <v>583</v>
      </c>
      <c r="AH375" s="205"/>
      <c r="AI375" s="205"/>
      <c r="AJ375" s="205"/>
      <c r="AK375" s="205"/>
      <c r="AL375" s="161"/>
      <c r="AM375" s="161"/>
      <c r="AN375" s="2580">
        <f>SUM(AN373+AN365+AD390)</f>
        <v>11903168.929920001</v>
      </c>
      <c r="AO375" s="2581"/>
    </row>
    <row r="376" spans="1:41" ht="15.95" customHeight="1" x14ac:dyDescent="0.4">
      <c r="A376" s="2839" t="s">
        <v>1018</v>
      </c>
      <c r="B376" s="2840"/>
      <c r="C376" s="120" t="s">
        <v>496</v>
      </c>
      <c r="D376" s="170" t="s">
        <v>497</v>
      </c>
      <c r="E376" s="2559">
        <v>6</v>
      </c>
      <c r="F376" s="2560"/>
      <c r="G376" s="2641">
        <v>47000</v>
      </c>
      <c r="H376" s="2642">
        <f t="shared" ref="H376:H377" si="109">(36040*6%)+36040</f>
        <v>38202.400000000001</v>
      </c>
      <c r="I376" s="2559">
        <f t="shared" si="107"/>
        <v>282000</v>
      </c>
      <c r="J376" s="2560"/>
      <c r="K376" s="284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2839" t="s">
        <v>1052</v>
      </c>
      <c r="W376" s="2840"/>
      <c r="X376" s="120" t="s">
        <v>496</v>
      </c>
      <c r="Y376" s="170" t="s">
        <v>497</v>
      </c>
      <c r="Z376" s="2559">
        <v>14</v>
      </c>
      <c r="AA376" s="2560"/>
      <c r="AB376" s="2919">
        <v>47000</v>
      </c>
      <c r="AC376" s="2920">
        <f t="shared" ref="AC376:AC377" si="110">(36040*6%)+36040</f>
        <v>38202.400000000001</v>
      </c>
      <c r="AD376" s="2559">
        <f t="shared" si="108"/>
        <v>658000</v>
      </c>
      <c r="AE376" s="2560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</row>
    <row r="377" spans="1:41" ht="15.95" customHeight="1" x14ac:dyDescent="0.4">
      <c r="A377" s="2839" t="s">
        <v>1019</v>
      </c>
      <c r="B377" s="2840"/>
      <c r="C377" s="120" t="s">
        <v>496</v>
      </c>
      <c r="D377" s="170" t="s">
        <v>497</v>
      </c>
      <c r="E377" s="2576">
        <v>6</v>
      </c>
      <c r="F377" s="2880"/>
      <c r="G377" s="2641">
        <v>47000</v>
      </c>
      <c r="H377" s="2642">
        <f t="shared" si="109"/>
        <v>38202.400000000001</v>
      </c>
      <c r="I377" s="2559">
        <f t="shared" si="107"/>
        <v>282000</v>
      </c>
      <c r="J377" s="2560"/>
      <c r="K377" s="279"/>
      <c r="L377" s="7" t="s">
        <v>1528</v>
      </c>
      <c r="M377" s="45"/>
      <c r="N377" s="45"/>
      <c r="O377" s="45"/>
      <c r="P377" s="45"/>
      <c r="Q377" s="45"/>
      <c r="R377" s="45"/>
      <c r="S377" s="45"/>
      <c r="T377" s="45"/>
      <c r="U377" s="45"/>
      <c r="V377" s="2839" t="s">
        <v>1019</v>
      </c>
      <c r="W377" s="2840"/>
      <c r="X377" s="120" t="s">
        <v>496</v>
      </c>
      <c r="Y377" s="170" t="s">
        <v>497</v>
      </c>
      <c r="Z377" s="2576">
        <v>6</v>
      </c>
      <c r="AA377" s="2880"/>
      <c r="AB377" s="2919">
        <v>47000</v>
      </c>
      <c r="AC377" s="2920">
        <f t="shared" si="110"/>
        <v>38202.400000000001</v>
      </c>
      <c r="AD377" s="2559">
        <f t="shared" si="108"/>
        <v>282000</v>
      </c>
      <c r="AE377" s="2560"/>
      <c r="AF377" s="45"/>
      <c r="AG377" s="7" t="s">
        <v>1528</v>
      </c>
      <c r="AH377" s="45"/>
      <c r="AI377" s="45"/>
      <c r="AJ377" s="45"/>
      <c r="AK377" s="45"/>
      <c r="AL377" s="45"/>
      <c r="AM377" s="45"/>
      <c r="AN377" s="45"/>
      <c r="AO377" s="45"/>
    </row>
    <row r="378" spans="1:41" ht="15.95" customHeight="1" x14ac:dyDescent="0.3">
      <c r="A378" s="2839" t="s">
        <v>1020</v>
      </c>
      <c r="B378" s="2840"/>
      <c r="C378" s="187"/>
      <c r="D378" s="170"/>
      <c r="E378" s="2576"/>
      <c r="F378" s="2880"/>
      <c r="G378" s="2576"/>
      <c r="H378" s="2880"/>
      <c r="I378" s="2559">
        <f t="shared" si="107"/>
        <v>0</v>
      </c>
      <c r="J378" s="2560"/>
      <c r="K378" s="279"/>
      <c r="L378" s="597" t="s">
        <v>1583</v>
      </c>
      <c r="M378" s="266"/>
      <c r="N378" s="266"/>
      <c r="O378" s="266"/>
      <c r="P378" s="266"/>
      <c r="Q378" s="1783"/>
      <c r="R378" s="266"/>
      <c r="S378" s="266"/>
      <c r="T378" s="45"/>
      <c r="U378" s="45"/>
      <c r="V378" s="2839" t="s">
        <v>1020</v>
      </c>
      <c r="W378" s="2840"/>
      <c r="X378" s="187"/>
      <c r="Y378" s="170"/>
      <c r="Z378" s="2576"/>
      <c r="AA378" s="2880"/>
      <c r="AB378" s="2576"/>
      <c r="AC378" s="2880"/>
      <c r="AD378" s="2559">
        <f t="shared" si="108"/>
        <v>0</v>
      </c>
      <c r="AE378" s="2560"/>
      <c r="AF378" s="45"/>
      <c r="AG378" s="597" t="s">
        <v>1584</v>
      </c>
      <c r="AH378" s="266"/>
      <c r="AI378" s="266"/>
      <c r="AJ378" s="266"/>
      <c r="AK378" s="266"/>
      <c r="AL378" s="1783"/>
      <c r="AM378" s="266"/>
      <c r="AN378" s="266"/>
      <c r="AO378" s="45"/>
    </row>
    <row r="379" spans="1:41" ht="15.95" customHeight="1" x14ac:dyDescent="0.3">
      <c r="A379" s="2839" t="s">
        <v>1021</v>
      </c>
      <c r="B379" s="2840"/>
      <c r="C379" s="187"/>
      <c r="D379" s="170"/>
      <c r="E379" s="2576"/>
      <c r="F379" s="2880"/>
      <c r="G379" s="2576"/>
      <c r="H379" s="2880"/>
      <c r="I379" s="2559">
        <f t="shared" si="107"/>
        <v>0</v>
      </c>
      <c r="J379" s="2560"/>
      <c r="K379" s="279"/>
      <c r="L379" s="45"/>
      <c r="M379" s="206"/>
      <c r="N379" s="206"/>
      <c r="O379" s="206"/>
      <c r="P379" s="206"/>
      <c r="Q379" s="107"/>
      <c r="R379" s="44"/>
      <c r="S379" s="45"/>
      <c r="T379" s="45"/>
      <c r="U379" s="45"/>
      <c r="V379" s="2839" t="s">
        <v>1021</v>
      </c>
      <c r="W379" s="2840"/>
      <c r="X379" s="187"/>
      <c r="Y379" s="170"/>
      <c r="Z379" s="2576"/>
      <c r="AA379" s="2880"/>
      <c r="AB379" s="2576"/>
      <c r="AC379" s="2880"/>
      <c r="AD379" s="2559">
        <f t="shared" si="108"/>
        <v>0</v>
      </c>
      <c r="AE379" s="2560"/>
      <c r="AF379" s="45"/>
      <c r="AG379" s="45"/>
      <c r="AH379" s="2834"/>
      <c r="AI379" s="2834"/>
      <c r="AJ379" s="2834"/>
      <c r="AK379" s="2834"/>
      <c r="AL379" s="297"/>
      <c r="AM379" s="44"/>
      <c r="AN379" s="45"/>
      <c r="AO379" s="45"/>
    </row>
    <row r="380" spans="1:41" ht="15.95" customHeight="1" x14ac:dyDescent="0.4">
      <c r="A380" s="2839" t="s">
        <v>1022</v>
      </c>
      <c r="B380" s="2840"/>
      <c r="C380" s="120" t="s">
        <v>496</v>
      </c>
      <c r="D380" s="170" t="s">
        <v>497</v>
      </c>
      <c r="E380" s="2576">
        <v>6</v>
      </c>
      <c r="F380" s="2880"/>
      <c r="G380" s="2641">
        <v>47000</v>
      </c>
      <c r="H380" s="2642">
        <f t="shared" ref="H380:H382" si="111">(36040*6%)+36040</f>
        <v>38202.400000000001</v>
      </c>
      <c r="I380" s="2559">
        <f t="shared" si="107"/>
        <v>282000</v>
      </c>
      <c r="J380" s="2560"/>
      <c r="K380" s="279"/>
      <c r="L380" s="45"/>
      <c r="M380" s="2834"/>
      <c r="N380" s="2834"/>
      <c r="O380" s="2834"/>
      <c r="P380" s="2834"/>
      <c r="Q380" s="107"/>
      <c r="R380" s="44"/>
      <c r="S380" s="45"/>
      <c r="T380" s="45"/>
      <c r="U380" s="45"/>
      <c r="V380" s="2839" t="s">
        <v>1022</v>
      </c>
      <c r="W380" s="2840"/>
      <c r="X380" s="120" t="s">
        <v>496</v>
      </c>
      <c r="Y380" s="170" t="s">
        <v>497</v>
      </c>
      <c r="Z380" s="2559">
        <v>6</v>
      </c>
      <c r="AA380" s="2560"/>
      <c r="AB380" s="2919">
        <v>47000</v>
      </c>
      <c r="AC380" s="2920">
        <f t="shared" ref="AC380:AC382" si="112">(36040*6%)+36040</f>
        <v>38202.400000000001</v>
      </c>
      <c r="AD380" s="2559">
        <f t="shared" si="108"/>
        <v>282000</v>
      </c>
      <c r="AE380" s="2560"/>
      <c r="AF380" s="45"/>
      <c r="AG380" s="45"/>
      <c r="AH380" s="206"/>
      <c r="AI380" s="206"/>
      <c r="AJ380" s="206"/>
      <c r="AK380" s="206"/>
      <c r="AL380" s="298"/>
      <c r="AM380" s="44"/>
      <c r="AN380" s="44"/>
      <c r="AO380" s="45"/>
    </row>
    <row r="381" spans="1:41" ht="15.95" customHeight="1" x14ac:dyDescent="0.4">
      <c r="A381" s="2839" t="s">
        <v>881</v>
      </c>
      <c r="B381" s="2840"/>
      <c r="C381" s="120" t="s">
        <v>496</v>
      </c>
      <c r="D381" s="170" t="s">
        <v>497</v>
      </c>
      <c r="E381" s="2576">
        <v>5</v>
      </c>
      <c r="F381" s="2880"/>
      <c r="G381" s="2641">
        <v>47000</v>
      </c>
      <c r="H381" s="2642">
        <f t="shared" si="111"/>
        <v>38202.400000000001</v>
      </c>
      <c r="I381" s="2559">
        <f t="shared" si="107"/>
        <v>235000</v>
      </c>
      <c r="J381" s="2560"/>
      <c r="K381" s="279"/>
      <c r="L381" s="45"/>
      <c r="M381" s="2834"/>
      <c r="N381" s="2834"/>
      <c r="O381" s="2834"/>
      <c r="P381" s="2834"/>
      <c r="Q381" s="107"/>
      <c r="R381" s="45"/>
      <c r="S381" s="44"/>
      <c r="T381" s="45"/>
      <c r="U381" s="45"/>
      <c r="V381" s="2839" t="s">
        <v>881</v>
      </c>
      <c r="W381" s="2840"/>
      <c r="X381" s="120" t="s">
        <v>496</v>
      </c>
      <c r="Y381" s="170" t="s">
        <v>497</v>
      </c>
      <c r="Z381" s="2559">
        <v>5</v>
      </c>
      <c r="AA381" s="2560"/>
      <c r="AB381" s="2919">
        <v>47000</v>
      </c>
      <c r="AC381" s="2920">
        <f t="shared" si="112"/>
        <v>38202.400000000001</v>
      </c>
      <c r="AD381" s="2559">
        <f t="shared" si="108"/>
        <v>235000</v>
      </c>
      <c r="AE381" s="2560"/>
      <c r="AF381" s="45"/>
      <c r="AG381" s="45"/>
      <c r="AH381" s="206"/>
      <c r="AI381" s="206"/>
      <c r="AJ381" s="206"/>
      <c r="AK381" s="206"/>
      <c r="AL381" s="298"/>
      <c r="AM381" s="45"/>
      <c r="AN381" s="45"/>
      <c r="AO381" s="45"/>
    </row>
    <row r="382" spans="1:41" ht="15.95" customHeight="1" x14ac:dyDescent="0.4">
      <c r="A382" s="2839" t="s">
        <v>882</v>
      </c>
      <c r="B382" s="2840"/>
      <c r="C382" s="120" t="s">
        <v>496</v>
      </c>
      <c r="D382" s="170" t="s">
        <v>497</v>
      </c>
      <c r="E382" s="2576">
        <v>5</v>
      </c>
      <c r="F382" s="2880"/>
      <c r="G382" s="2641">
        <v>47000</v>
      </c>
      <c r="H382" s="2642">
        <f t="shared" si="111"/>
        <v>38202.400000000001</v>
      </c>
      <c r="I382" s="2559">
        <f t="shared" si="107"/>
        <v>235000</v>
      </c>
      <c r="J382" s="2560"/>
      <c r="K382" s="279"/>
      <c r="L382" s="45"/>
      <c r="M382" s="2834"/>
      <c r="N382" s="2834"/>
      <c r="O382" s="2834"/>
      <c r="P382" s="2834"/>
      <c r="Q382" s="273"/>
      <c r="R382" s="44"/>
      <c r="S382" s="45"/>
      <c r="T382" s="45"/>
      <c r="U382" s="45"/>
      <c r="V382" s="2839" t="s">
        <v>882</v>
      </c>
      <c r="W382" s="2840"/>
      <c r="X382" s="120" t="s">
        <v>496</v>
      </c>
      <c r="Y382" s="170" t="s">
        <v>497</v>
      </c>
      <c r="Z382" s="2559">
        <v>5</v>
      </c>
      <c r="AA382" s="2560"/>
      <c r="AB382" s="2919">
        <v>47000</v>
      </c>
      <c r="AC382" s="2920">
        <f t="shared" si="112"/>
        <v>38202.400000000001</v>
      </c>
      <c r="AD382" s="2559">
        <f t="shared" si="108"/>
        <v>235000</v>
      </c>
      <c r="AE382" s="2560"/>
      <c r="AF382" s="45"/>
      <c r="AG382" s="45"/>
      <c r="AH382" s="2834"/>
      <c r="AI382" s="2834"/>
      <c r="AJ382" s="2834"/>
      <c r="AK382" s="2834"/>
      <c r="AL382" s="298"/>
      <c r="AM382" s="44"/>
      <c r="AN382" s="45"/>
      <c r="AO382" s="45"/>
    </row>
    <row r="383" spans="1:41" ht="15.95" customHeight="1" x14ac:dyDescent="0.3">
      <c r="A383" s="2911" t="s">
        <v>1023</v>
      </c>
      <c r="B383" s="2912"/>
      <c r="C383" s="187"/>
      <c r="D383" s="170"/>
      <c r="E383" s="2576"/>
      <c r="F383" s="2880"/>
      <c r="G383" s="2576"/>
      <c r="H383" s="2880"/>
      <c r="I383" s="2565">
        <f>SUM(I384:J389)</f>
        <v>491760</v>
      </c>
      <c r="J383" s="2566"/>
      <c r="K383" s="279"/>
      <c r="L383" s="45"/>
      <c r="M383" s="45"/>
      <c r="N383" s="45"/>
      <c r="O383" s="45"/>
      <c r="P383" s="45"/>
      <c r="Q383" s="45"/>
      <c r="R383" s="44"/>
      <c r="S383" s="45"/>
      <c r="T383" s="45"/>
      <c r="U383" s="45"/>
      <c r="V383" s="2911" t="s">
        <v>1023</v>
      </c>
      <c r="W383" s="2912"/>
      <c r="X383" s="187"/>
      <c r="Y383" s="170"/>
      <c r="Z383" s="2576"/>
      <c r="AA383" s="2880"/>
      <c r="AB383" s="2576"/>
      <c r="AC383" s="2880"/>
      <c r="AD383" s="2565">
        <f>SUM(AD384:AE389)</f>
        <v>3105261.8848000001</v>
      </c>
      <c r="AE383" s="2566"/>
      <c r="AF383" s="45"/>
      <c r="AG383" s="45"/>
      <c r="AH383" s="2834"/>
      <c r="AI383" s="2834"/>
      <c r="AJ383" s="2834"/>
      <c r="AK383" s="2834"/>
      <c r="AL383" s="107"/>
      <c r="AM383" s="44"/>
      <c r="AN383" s="45"/>
      <c r="AO383" s="45"/>
    </row>
    <row r="384" spans="1:41" ht="15.95" customHeight="1" x14ac:dyDescent="0.3">
      <c r="A384" s="2839" t="s">
        <v>884</v>
      </c>
      <c r="B384" s="2840"/>
      <c r="C384" s="120"/>
      <c r="D384" s="170"/>
      <c r="E384" s="2576"/>
      <c r="F384" s="2880"/>
      <c r="G384" s="2576"/>
      <c r="H384" s="2880"/>
      <c r="I384" s="2559">
        <f>E384*G384</f>
        <v>0</v>
      </c>
      <c r="J384" s="2560"/>
      <c r="K384" s="279"/>
      <c r="L384" s="45"/>
      <c r="M384" s="45"/>
      <c r="N384" s="45"/>
      <c r="O384" s="45"/>
      <c r="P384" s="45"/>
      <c r="Q384" s="45"/>
      <c r="R384" s="44"/>
      <c r="S384" s="45"/>
      <c r="T384" s="45"/>
      <c r="U384" s="45"/>
      <c r="V384" s="2839" t="s">
        <v>884</v>
      </c>
      <c r="W384" s="2840"/>
      <c r="X384" s="120" t="s">
        <v>496</v>
      </c>
      <c r="Y384" s="170" t="s">
        <v>497</v>
      </c>
      <c r="Z384" s="2559">
        <v>25</v>
      </c>
      <c r="AA384" s="2560"/>
      <c r="AB384" s="2919">
        <v>47000</v>
      </c>
      <c r="AC384" s="2920">
        <f t="shared" ref="AC384" si="113">(36040*6%)+36040</f>
        <v>38202.400000000001</v>
      </c>
      <c r="AD384" s="2559">
        <f>Z384*AB384</f>
        <v>1175000</v>
      </c>
      <c r="AE384" s="2560"/>
      <c r="AF384" s="45"/>
      <c r="AG384" s="45"/>
      <c r="AH384" s="2834"/>
      <c r="AI384" s="2834"/>
      <c r="AJ384" s="2834"/>
      <c r="AK384" s="2834"/>
      <c r="AL384" s="273"/>
      <c r="AM384" s="44"/>
      <c r="AN384" s="45"/>
      <c r="AO384" s="45"/>
    </row>
    <row r="385" spans="1:41" ht="15.95" customHeight="1" x14ac:dyDescent="0.3">
      <c r="A385" s="2839" t="s">
        <v>1024</v>
      </c>
      <c r="B385" s="2840"/>
      <c r="C385" s="120"/>
      <c r="D385" s="120"/>
      <c r="E385" s="2576"/>
      <c r="F385" s="2880"/>
      <c r="G385" s="2559"/>
      <c r="H385" s="2880"/>
      <c r="I385" s="2559">
        <f>E385*G385</f>
        <v>0</v>
      </c>
      <c r="J385" s="2560"/>
      <c r="K385" s="279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2839" t="s">
        <v>1024</v>
      </c>
      <c r="W385" s="2840"/>
      <c r="X385" s="288"/>
      <c r="Y385" s="170"/>
      <c r="Z385" s="2576"/>
      <c r="AA385" s="2880"/>
      <c r="AB385" s="2559"/>
      <c r="AC385" s="2560"/>
      <c r="AD385" s="2559">
        <f>Z385*AB385</f>
        <v>0</v>
      </c>
      <c r="AE385" s="2560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</row>
    <row r="386" spans="1:41" ht="15.95" customHeight="1" x14ac:dyDescent="0.3">
      <c r="A386" s="2839" t="s">
        <v>893</v>
      </c>
      <c r="B386" s="2840"/>
      <c r="C386" s="120"/>
      <c r="D386" s="170"/>
      <c r="E386" s="2576"/>
      <c r="F386" s="2880"/>
      <c r="G386" s="2576"/>
      <c r="H386" s="2880"/>
      <c r="I386" s="2559">
        <f>E386*G386</f>
        <v>0</v>
      </c>
      <c r="J386" s="2560"/>
      <c r="K386" s="279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2839" t="s">
        <v>893</v>
      </c>
      <c r="W386" s="2840"/>
      <c r="X386" s="120" t="s">
        <v>496</v>
      </c>
      <c r="Y386" s="170" t="s">
        <v>497</v>
      </c>
      <c r="Z386" s="2576">
        <v>5</v>
      </c>
      <c r="AA386" s="2880"/>
      <c r="AB386" s="2919">
        <v>47000</v>
      </c>
      <c r="AC386" s="2920">
        <f t="shared" ref="AC386:AC387" si="114">(36040*6%)+36040</f>
        <v>38202.400000000001</v>
      </c>
      <c r="AD386" s="2559">
        <f>Z386*AB386</f>
        <v>235000</v>
      </c>
      <c r="AE386" s="2560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</row>
    <row r="387" spans="1:41" ht="15.95" customHeight="1" x14ac:dyDescent="0.3">
      <c r="A387" s="2839" t="s">
        <v>728</v>
      </c>
      <c r="B387" s="2840"/>
      <c r="C387" s="120"/>
      <c r="D387" s="170"/>
      <c r="E387" s="2576"/>
      <c r="F387" s="2880"/>
      <c r="G387" s="2576"/>
      <c r="H387" s="2880"/>
      <c r="I387" s="2559">
        <f>E387*G387</f>
        <v>0</v>
      </c>
      <c r="J387" s="2560"/>
      <c r="L387" s="45"/>
      <c r="M387" s="45"/>
      <c r="N387" s="45"/>
      <c r="O387" s="45"/>
      <c r="P387" s="45"/>
      <c r="Q387" s="45"/>
      <c r="U387" s="45"/>
      <c r="V387" s="2839" t="s">
        <v>728</v>
      </c>
      <c r="W387" s="2840"/>
      <c r="X387" s="120" t="s">
        <v>496</v>
      </c>
      <c r="Y387" s="170" t="s">
        <v>497</v>
      </c>
      <c r="Z387" s="2576">
        <v>4</v>
      </c>
      <c r="AA387" s="2880"/>
      <c r="AB387" s="2919">
        <v>47000</v>
      </c>
      <c r="AC387" s="2920">
        <f t="shared" si="114"/>
        <v>38202.400000000001</v>
      </c>
      <c r="AD387" s="2559">
        <f>Z387*AB387</f>
        <v>188000</v>
      </c>
      <c r="AE387" s="2560"/>
      <c r="AF387" s="45"/>
      <c r="AG387" s="45"/>
      <c r="AH387" s="45"/>
      <c r="AI387" s="45"/>
      <c r="AJ387" s="45"/>
      <c r="AK387" s="45"/>
      <c r="AL387" s="45"/>
    </row>
    <row r="388" spans="1:41" ht="15.95" customHeight="1" x14ac:dyDescent="0.3">
      <c r="A388" s="2839" t="s">
        <v>765</v>
      </c>
      <c r="B388" s="2840"/>
      <c r="C388" s="187"/>
      <c r="D388" s="170" t="s">
        <v>794</v>
      </c>
      <c r="E388" s="2576"/>
      <c r="F388" s="2880"/>
      <c r="G388" s="2576"/>
      <c r="H388" s="2880"/>
      <c r="I388" s="2559">
        <f>450000*1.0928</f>
        <v>491760</v>
      </c>
      <c r="J388" s="2560"/>
      <c r="L388" s="45"/>
      <c r="M388" s="45"/>
      <c r="N388" s="45"/>
      <c r="O388" s="45"/>
      <c r="P388" s="45"/>
      <c r="Q388" s="45"/>
      <c r="U388" s="45"/>
      <c r="V388" s="2839" t="s">
        <v>765</v>
      </c>
      <c r="W388" s="2840"/>
      <c r="X388" s="187"/>
      <c r="Y388" s="170"/>
      <c r="Z388" s="2576"/>
      <c r="AA388" s="2880"/>
      <c r="AB388" s="2559"/>
      <c r="AC388" s="2918"/>
      <c r="AD388" s="2559">
        <f>200000*1.0928</f>
        <v>218560</v>
      </c>
      <c r="AE388" s="2560"/>
      <c r="AF388" s="45"/>
      <c r="AG388" s="45"/>
      <c r="AH388" s="45"/>
      <c r="AI388" s="45"/>
      <c r="AJ388" s="45"/>
      <c r="AK388" s="45"/>
      <c r="AL388" s="45"/>
    </row>
    <row r="389" spans="1:41" ht="15.95" customHeight="1" x14ac:dyDescent="0.3">
      <c r="A389" s="2839" t="s">
        <v>615</v>
      </c>
      <c r="B389" s="2840"/>
      <c r="C389" s="120"/>
      <c r="D389" s="170"/>
      <c r="E389" s="2576"/>
      <c r="F389" s="2880"/>
      <c r="G389" s="2576"/>
      <c r="H389" s="2880"/>
      <c r="I389" s="2559">
        <f>E389*G389</f>
        <v>0</v>
      </c>
      <c r="J389" s="2560"/>
      <c r="U389" s="45"/>
      <c r="V389" s="2839" t="s">
        <v>615</v>
      </c>
      <c r="W389" s="2840"/>
      <c r="X389" s="120" t="s">
        <v>587</v>
      </c>
      <c r="Y389" s="170" t="s">
        <v>556</v>
      </c>
      <c r="Z389" s="2576">
        <v>11</v>
      </c>
      <c r="AA389" s="2880"/>
      <c r="AB389" s="2559">
        <f>107206*1.0928</f>
        <v>117154.71679999999</v>
      </c>
      <c r="AC389" s="2918"/>
      <c r="AD389" s="2559">
        <f>Z389*AB389</f>
        <v>1288701.8847999999</v>
      </c>
      <c r="AE389" s="2560"/>
      <c r="AF389" s="45"/>
    </row>
    <row r="390" spans="1:41" ht="15.95" customHeight="1" thickBot="1" x14ac:dyDescent="0.25">
      <c r="A390" s="208" t="s">
        <v>558</v>
      </c>
      <c r="B390" s="209"/>
      <c r="C390" s="210"/>
      <c r="D390" s="209"/>
      <c r="E390" s="2561">
        <f>SUM(E359:F387)</f>
        <v>56</v>
      </c>
      <c r="F390" s="2562"/>
      <c r="G390" s="2561"/>
      <c r="H390" s="2562"/>
      <c r="I390" s="2561">
        <f>SUM(I383+I364+I353+I349+I346)</f>
        <v>3685161.8687999998</v>
      </c>
      <c r="J390" s="2562"/>
      <c r="U390" s="45"/>
      <c r="V390" s="208" t="s">
        <v>558</v>
      </c>
      <c r="W390" s="209"/>
      <c r="X390" s="210"/>
      <c r="Y390" s="209"/>
      <c r="Z390" s="2561">
        <f>SUM(Z372:AA389)</f>
        <v>81</v>
      </c>
      <c r="AA390" s="2562"/>
      <c r="AB390" s="2561"/>
      <c r="AC390" s="2562"/>
      <c r="AD390" s="2561">
        <f>SUM(AD383+AD364+AD353+AD349+AD346)</f>
        <v>4797261.8848000001</v>
      </c>
      <c r="AE390" s="2562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</row>
    <row r="391" spans="1:41" ht="15.95" customHeight="1" x14ac:dyDescent="0.2">
      <c r="A391" s="45"/>
      <c r="B391" s="45"/>
      <c r="C391" s="45"/>
      <c r="D391" s="45"/>
      <c r="E391" s="45"/>
      <c r="F391" s="45"/>
      <c r="G391" s="45"/>
      <c r="H391" s="275"/>
      <c r="I391" s="275"/>
      <c r="J391" s="275"/>
      <c r="K391" s="295"/>
      <c r="L391" s="45"/>
      <c r="M391" s="45"/>
      <c r="N391" s="45"/>
      <c r="O391" s="45"/>
      <c r="P391" s="45"/>
      <c r="Q391" s="45"/>
      <c r="R391" s="45"/>
      <c r="S391" s="295"/>
      <c r="T391" s="295"/>
      <c r="U391" s="276"/>
      <c r="V391" s="45"/>
      <c r="W391" s="45"/>
      <c r="X391" s="45"/>
      <c r="Y391" s="45"/>
      <c r="Z391" s="45"/>
      <c r="AA391" s="45"/>
      <c r="AB391" s="45"/>
      <c r="AC391" s="275"/>
      <c r="AD391" s="275"/>
      <c r="AE391" s="275"/>
      <c r="AF391" s="276"/>
      <c r="AG391" s="45"/>
      <c r="AH391" s="45"/>
      <c r="AI391" s="45"/>
      <c r="AJ391" s="45"/>
      <c r="AK391" s="45"/>
      <c r="AL391" s="45"/>
      <c r="AM391" s="45"/>
      <c r="AN391" s="276"/>
      <c r="AO391" s="276"/>
    </row>
    <row r="392" spans="1:41" ht="15.95" customHeight="1" x14ac:dyDescent="0.2">
      <c r="A392" s="45"/>
      <c r="B392" s="45"/>
      <c r="C392" s="45"/>
      <c r="D392" s="45"/>
      <c r="E392" s="2272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2909"/>
      <c r="T392" s="2909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2909"/>
      <c r="AO392" s="2909"/>
    </row>
    <row r="393" spans="1:41" ht="15.95" customHeight="1" x14ac:dyDescent="0.2">
      <c r="A393" s="2654"/>
      <c r="B393" s="2654"/>
      <c r="C393" s="2654"/>
      <c r="D393" s="2654"/>
      <c r="E393" s="2654"/>
      <c r="F393" s="2654"/>
      <c r="G393" s="2654"/>
      <c r="H393" s="2654"/>
      <c r="I393" s="2654"/>
      <c r="J393" s="2654"/>
      <c r="K393" s="2654"/>
      <c r="L393" s="2654"/>
      <c r="M393" s="2654"/>
      <c r="N393" s="2654"/>
      <c r="O393" s="2654"/>
      <c r="P393" s="2654"/>
      <c r="Q393" s="2654"/>
      <c r="R393" s="2654"/>
      <c r="S393" s="2654"/>
      <c r="T393" s="2654"/>
      <c r="U393" s="2654"/>
      <c r="V393" s="2654"/>
      <c r="W393" s="2654"/>
      <c r="X393" s="2654"/>
      <c r="Y393" s="2654"/>
      <c r="Z393" s="2654"/>
      <c r="AA393" s="2654"/>
      <c r="AB393" s="2654"/>
      <c r="AC393" s="2654"/>
      <c r="AD393" s="2654"/>
      <c r="AE393" s="2654"/>
      <c r="AF393" s="2654"/>
      <c r="AG393" s="2654"/>
      <c r="AH393" s="2654"/>
      <c r="AI393" s="2654"/>
      <c r="AJ393" s="2654"/>
      <c r="AK393" s="2654"/>
      <c r="AL393" s="2654"/>
      <c r="AM393" s="2654"/>
      <c r="AN393" s="2654"/>
      <c r="AO393" s="2654"/>
    </row>
    <row r="394" spans="1:41" ht="15.95" customHeight="1" x14ac:dyDescent="0.2">
      <c r="A394" s="277"/>
      <c r="B394" s="277"/>
      <c r="C394" s="277"/>
      <c r="D394" s="277"/>
      <c r="E394" s="275"/>
      <c r="F394" s="275"/>
      <c r="G394" s="275"/>
      <c r="H394" s="275"/>
      <c r="I394" s="275"/>
      <c r="J394" s="27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76"/>
      <c r="V394" s="277"/>
      <c r="W394" s="277"/>
      <c r="X394" s="277"/>
      <c r="Y394" s="277"/>
      <c r="Z394" s="275"/>
      <c r="AA394" s="275"/>
      <c r="AB394" s="275"/>
      <c r="AC394" s="275"/>
      <c r="AD394" s="275"/>
      <c r="AE394" s="275"/>
      <c r="AF394" s="276"/>
      <c r="AG394" s="276"/>
      <c r="AH394" s="276"/>
      <c r="AI394" s="276"/>
      <c r="AJ394" s="276"/>
      <c r="AK394" s="276"/>
      <c r="AL394" s="276"/>
      <c r="AM394" s="276"/>
      <c r="AN394" s="276"/>
      <c r="AO394" s="276"/>
    </row>
    <row r="395" spans="1:41" ht="15.95" customHeight="1" x14ac:dyDescent="0.2">
      <c r="A395" s="2611" t="s">
        <v>1958</v>
      </c>
      <c r="B395" s="2611"/>
      <c r="C395" s="2611"/>
      <c r="D395" s="2611"/>
      <c r="E395" s="2611"/>
      <c r="F395" s="2611"/>
      <c r="G395" s="2611"/>
      <c r="H395" s="2611"/>
      <c r="I395" s="2611"/>
      <c r="J395" s="2611"/>
      <c r="K395" s="2611"/>
      <c r="L395" s="2611"/>
      <c r="M395" s="2611"/>
      <c r="N395" s="2611"/>
      <c r="O395" s="2611"/>
      <c r="P395" s="2611"/>
      <c r="Q395" s="2611"/>
      <c r="R395" s="2611"/>
      <c r="S395" s="2611"/>
      <c r="T395" s="2611"/>
      <c r="U395" s="47"/>
      <c r="V395" s="2611" t="s">
        <v>1959</v>
      </c>
      <c r="W395" s="2611"/>
      <c r="X395" s="2611"/>
      <c r="Y395" s="2611"/>
      <c r="Z395" s="2611"/>
      <c r="AA395" s="2611"/>
      <c r="AB395" s="2611"/>
      <c r="AC395" s="2611"/>
      <c r="AD395" s="2611"/>
      <c r="AE395" s="2611"/>
      <c r="AF395" s="2611"/>
      <c r="AG395" s="2611"/>
      <c r="AH395" s="2611"/>
      <c r="AI395" s="2611"/>
      <c r="AJ395" s="2611"/>
      <c r="AK395" s="2611"/>
      <c r="AL395" s="2611"/>
      <c r="AM395" s="2611"/>
      <c r="AN395" s="2611"/>
      <c r="AO395" s="2611"/>
    </row>
    <row r="396" spans="1:41" ht="15.95" customHeight="1" thickBot="1" x14ac:dyDescent="0.25">
      <c r="A396" s="2611"/>
      <c r="B396" s="2611"/>
      <c r="C396" s="2611"/>
      <c r="D396" s="2611"/>
      <c r="E396" s="2611"/>
      <c r="F396" s="2611"/>
      <c r="G396" s="2611"/>
      <c r="H396" s="2611"/>
      <c r="I396" s="2611"/>
      <c r="J396" s="2611"/>
      <c r="K396" s="2611"/>
      <c r="L396" s="2611"/>
      <c r="M396" s="2611"/>
      <c r="N396" s="2611"/>
      <c r="O396" s="2611"/>
      <c r="P396" s="2611"/>
      <c r="Q396" s="2611"/>
      <c r="R396" s="2611"/>
      <c r="S396" s="2611"/>
      <c r="T396" s="2611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</row>
    <row r="397" spans="1:41" ht="15.95" customHeight="1" x14ac:dyDescent="0.3">
      <c r="A397" s="2618" t="s">
        <v>435</v>
      </c>
      <c r="B397" s="2620"/>
      <c r="C397" s="2618" t="s">
        <v>436</v>
      </c>
      <c r="D397" s="2619"/>
      <c r="E397" s="2619"/>
      <c r="F397" s="2620"/>
      <c r="G397" s="2618" t="s">
        <v>437</v>
      </c>
      <c r="H397" s="2620"/>
      <c r="I397" s="2618" t="s">
        <v>438</v>
      </c>
      <c r="J397" s="2620"/>
      <c r="K397" s="45"/>
      <c r="L397" s="2633" t="s">
        <v>435</v>
      </c>
      <c r="M397" s="2618" t="s">
        <v>436</v>
      </c>
      <c r="N397" s="2619"/>
      <c r="O397" s="2619"/>
      <c r="P397" s="2620"/>
      <c r="Q397" s="2618" t="s">
        <v>437</v>
      </c>
      <c r="R397" s="2620"/>
      <c r="S397" s="2618"/>
      <c r="T397" s="2620"/>
      <c r="U397" s="268"/>
      <c r="V397" s="2618" t="s">
        <v>435</v>
      </c>
      <c r="W397" s="2620"/>
      <c r="X397" s="2618" t="s">
        <v>436</v>
      </c>
      <c r="Y397" s="2619"/>
      <c r="Z397" s="2619"/>
      <c r="AA397" s="2620"/>
      <c r="AB397" s="2618" t="s">
        <v>437</v>
      </c>
      <c r="AC397" s="2620"/>
      <c r="AD397" s="2618" t="s">
        <v>438</v>
      </c>
      <c r="AE397" s="2620"/>
      <c r="AF397" s="45"/>
      <c r="AG397" s="2633" t="s">
        <v>435</v>
      </c>
      <c r="AH397" s="2618" t="s">
        <v>436</v>
      </c>
      <c r="AI397" s="2619"/>
      <c r="AJ397" s="2619"/>
      <c r="AK397" s="2620"/>
      <c r="AL397" s="2618" t="s">
        <v>437</v>
      </c>
      <c r="AM397" s="2620"/>
      <c r="AN397" s="2618"/>
      <c r="AO397" s="2900"/>
    </row>
    <row r="398" spans="1:41" ht="15.95" customHeight="1" thickBot="1" x14ac:dyDescent="0.35">
      <c r="A398" s="2631"/>
      <c r="B398" s="2632"/>
      <c r="C398" s="2621"/>
      <c r="D398" s="2622"/>
      <c r="E398" s="2622"/>
      <c r="F398" s="2623"/>
      <c r="G398" s="2631" t="s">
        <v>440</v>
      </c>
      <c r="H398" s="2632"/>
      <c r="I398" s="2631"/>
      <c r="J398" s="2632"/>
      <c r="K398" s="45"/>
      <c r="L398" s="2670"/>
      <c r="M398" s="2621"/>
      <c r="N398" s="2622"/>
      <c r="O398" s="2622"/>
      <c r="P398" s="2623"/>
      <c r="Q398" s="2631" t="s">
        <v>440</v>
      </c>
      <c r="R398" s="2632"/>
      <c r="S398" s="2631" t="s">
        <v>274</v>
      </c>
      <c r="T398" s="2632"/>
      <c r="U398" s="268"/>
      <c r="V398" s="2631"/>
      <c r="W398" s="2632"/>
      <c r="X398" s="2621"/>
      <c r="Y398" s="2622"/>
      <c r="Z398" s="2622"/>
      <c r="AA398" s="2623"/>
      <c r="AB398" s="2631" t="s">
        <v>440</v>
      </c>
      <c r="AC398" s="2632"/>
      <c r="AD398" s="2631"/>
      <c r="AE398" s="2632"/>
      <c r="AF398" s="45"/>
      <c r="AG398" s="2670"/>
      <c r="AH398" s="2621"/>
      <c r="AI398" s="2622"/>
      <c r="AJ398" s="2622"/>
      <c r="AK398" s="2623"/>
      <c r="AL398" s="2631" t="s">
        <v>440</v>
      </c>
      <c r="AM398" s="2632"/>
      <c r="AN398" s="2631" t="s">
        <v>274</v>
      </c>
      <c r="AO398" s="2880"/>
    </row>
    <row r="399" spans="1:41" ht="15.95" customHeight="1" x14ac:dyDescent="0.3">
      <c r="A399" s="2631"/>
      <c r="B399" s="2632"/>
      <c r="C399" s="53" t="s">
        <v>441</v>
      </c>
      <c r="D399" s="2670" t="s">
        <v>442</v>
      </c>
      <c r="E399" s="2631" t="s">
        <v>443</v>
      </c>
      <c r="F399" s="2632"/>
      <c r="G399" s="2631" t="s">
        <v>444</v>
      </c>
      <c r="H399" s="2632"/>
      <c r="I399" s="2631" t="s">
        <v>348</v>
      </c>
      <c r="J399" s="2632"/>
      <c r="K399" s="45"/>
      <c r="L399" s="2670"/>
      <c r="M399" s="51" t="s">
        <v>441</v>
      </c>
      <c r="N399" s="2633" t="s">
        <v>442</v>
      </c>
      <c r="O399" s="2618" t="s">
        <v>443</v>
      </c>
      <c r="P399" s="2620"/>
      <c r="Q399" s="2631" t="s">
        <v>444</v>
      </c>
      <c r="R399" s="2632"/>
      <c r="S399" s="2631" t="s">
        <v>348</v>
      </c>
      <c r="T399" s="2632"/>
      <c r="U399" s="268"/>
      <c r="V399" s="2631"/>
      <c r="W399" s="2632"/>
      <c r="X399" s="53" t="s">
        <v>441</v>
      </c>
      <c r="Y399" s="2670" t="s">
        <v>442</v>
      </c>
      <c r="Z399" s="2631" t="s">
        <v>443</v>
      </c>
      <c r="AA399" s="2632"/>
      <c r="AB399" s="2631" t="s">
        <v>444</v>
      </c>
      <c r="AC399" s="2632"/>
      <c r="AD399" s="2631" t="s">
        <v>348</v>
      </c>
      <c r="AE399" s="2632"/>
      <c r="AF399" s="45"/>
      <c r="AG399" s="2670"/>
      <c r="AH399" s="51" t="s">
        <v>441</v>
      </c>
      <c r="AI399" s="2670" t="s">
        <v>442</v>
      </c>
      <c r="AJ399" s="2631" t="s">
        <v>443</v>
      </c>
      <c r="AK399" s="2632"/>
      <c r="AL399" s="2631" t="s">
        <v>444</v>
      </c>
      <c r="AM399" s="2632"/>
      <c r="AN399" s="2631" t="s">
        <v>348</v>
      </c>
      <c r="AO399" s="2880"/>
    </row>
    <row r="400" spans="1:41" ht="15.95" customHeight="1" thickBot="1" x14ac:dyDescent="0.35">
      <c r="A400" s="2621"/>
      <c r="B400" s="2623"/>
      <c r="C400" s="54" t="s">
        <v>445</v>
      </c>
      <c r="D400" s="2634"/>
      <c r="E400" s="2621"/>
      <c r="F400" s="2623"/>
      <c r="G400" s="2621"/>
      <c r="H400" s="2623"/>
      <c r="I400" s="2621"/>
      <c r="J400" s="2623"/>
      <c r="K400" s="45"/>
      <c r="L400" s="2634"/>
      <c r="M400" s="50" t="s">
        <v>445</v>
      </c>
      <c r="N400" s="2634"/>
      <c r="O400" s="2621"/>
      <c r="P400" s="2623"/>
      <c r="Q400" s="2621"/>
      <c r="R400" s="2623"/>
      <c r="S400" s="2621"/>
      <c r="T400" s="2623"/>
      <c r="U400" s="268"/>
      <c r="V400" s="2621"/>
      <c r="W400" s="2623"/>
      <c r="X400" s="54" t="s">
        <v>445</v>
      </c>
      <c r="Y400" s="2634"/>
      <c r="Z400" s="2621"/>
      <c r="AA400" s="2623"/>
      <c r="AB400" s="2621"/>
      <c r="AC400" s="2623"/>
      <c r="AD400" s="2621"/>
      <c r="AE400" s="2623"/>
      <c r="AF400" s="45"/>
      <c r="AG400" s="2634"/>
      <c r="AH400" s="50" t="s">
        <v>445</v>
      </c>
      <c r="AI400" s="2634"/>
      <c r="AJ400" s="2621"/>
      <c r="AK400" s="2623"/>
      <c r="AL400" s="2621"/>
      <c r="AM400" s="2623"/>
      <c r="AN400" s="2901"/>
      <c r="AO400" s="2902"/>
    </row>
    <row r="401" spans="1:41" ht="15.95" customHeight="1" x14ac:dyDescent="0.3">
      <c r="A401" s="2913" t="s">
        <v>446</v>
      </c>
      <c r="B401" s="2914"/>
      <c r="C401" s="184"/>
      <c r="D401" s="170"/>
      <c r="E401" s="2576"/>
      <c r="F401" s="2880"/>
      <c r="G401" s="2576"/>
      <c r="H401" s="2880"/>
      <c r="I401" s="2576"/>
      <c r="J401" s="2880"/>
      <c r="K401" s="279"/>
      <c r="L401" s="119" t="s">
        <v>447</v>
      </c>
      <c r="M401" s="185"/>
      <c r="N401" s="186"/>
      <c r="O401" s="2605"/>
      <c r="P401" s="2606"/>
      <c r="Q401" s="2605"/>
      <c r="R401" s="2606"/>
      <c r="S401" s="2605"/>
      <c r="T401" s="2606"/>
      <c r="U401" s="45"/>
      <c r="V401" s="2913" t="s">
        <v>446</v>
      </c>
      <c r="W401" s="2914"/>
      <c r="X401" s="184"/>
      <c r="Y401" s="170"/>
      <c r="Z401" s="2576"/>
      <c r="AA401" s="2880"/>
      <c r="AB401" s="2576"/>
      <c r="AC401" s="2880"/>
      <c r="AD401" s="2576"/>
      <c r="AE401" s="2880"/>
      <c r="AF401" s="45"/>
      <c r="AG401" s="119" t="s">
        <v>447</v>
      </c>
      <c r="AH401" s="185"/>
      <c r="AI401" s="186"/>
      <c r="AJ401" s="2605"/>
      <c r="AK401" s="2606"/>
      <c r="AL401" s="2605"/>
      <c r="AM401" s="2606"/>
      <c r="AN401" s="2605"/>
      <c r="AO401" s="2606"/>
    </row>
    <row r="402" spans="1:41" ht="15.95" customHeight="1" x14ac:dyDescent="0.35">
      <c r="A402" s="2911" t="s">
        <v>979</v>
      </c>
      <c r="B402" s="2912"/>
      <c r="C402" s="45"/>
      <c r="D402" s="288"/>
      <c r="E402" s="2576"/>
      <c r="F402" s="2880"/>
      <c r="G402" s="2576"/>
      <c r="H402" s="2880"/>
      <c r="I402" s="2565">
        <f>SUM(I403:J404)</f>
        <v>94000</v>
      </c>
      <c r="J402" s="2892"/>
      <c r="K402" s="279"/>
      <c r="L402" s="122"/>
      <c r="M402" s="188"/>
      <c r="N402" s="170"/>
      <c r="O402" s="2559"/>
      <c r="P402" s="2560"/>
      <c r="Q402" s="2559"/>
      <c r="R402" s="2560"/>
      <c r="S402" s="2559"/>
      <c r="T402" s="2560"/>
      <c r="U402" s="45"/>
      <c r="V402" s="2911" t="s">
        <v>979</v>
      </c>
      <c r="W402" s="2912"/>
      <c r="X402" s="187"/>
      <c r="Y402" s="170"/>
      <c r="Z402" s="2576"/>
      <c r="AA402" s="2880"/>
      <c r="AB402" s="2576"/>
      <c r="AC402" s="2880"/>
      <c r="AD402" s="2897">
        <f>SUM(AD403:AE404)</f>
        <v>0</v>
      </c>
      <c r="AE402" s="2892"/>
      <c r="AF402" s="45"/>
      <c r="AG402" s="122"/>
      <c r="AH402" s="188"/>
      <c r="AI402" s="170"/>
      <c r="AJ402" s="2559"/>
      <c r="AK402" s="2560"/>
      <c r="AL402" s="2559"/>
      <c r="AM402" s="2560"/>
      <c r="AN402" s="2559"/>
      <c r="AO402" s="2560"/>
    </row>
    <row r="403" spans="1:41" ht="15.95" customHeight="1" x14ac:dyDescent="0.3">
      <c r="A403" s="2915" t="s">
        <v>980</v>
      </c>
      <c r="B403" s="2916"/>
      <c r="C403" s="120" t="s">
        <v>496</v>
      </c>
      <c r="D403" s="170" t="s">
        <v>497</v>
      </c>
      <c r="E403" s="2576">
        <v>1</v>
      </c>
      <c r="F403" s="2880"/>
      <c r="G403" s="2576">
        <v>47000</v>
      </c>
      <c r="H403" s="2577"/>
      <c r="I403" s="2559">
        <f>E403*G403</f>
        <v>47000</v>
      </c>
      <c r="J403" s="2560"/>
      <c r="K403" s="279"/>
      <c r="L403" s="122" t="s">
        <v>450</v>
      </c>
      <c r="M403" s="170"/>
      <c r="N403" s="170"/>
      <c r="O403" s="2559"/>
      <c r="P403" s="2560"/>
      <c r="Q403" s="2559"/>
      <c r="R403" s="2560"/>
      <c r="S403" s="2559"/>
      <c r="T403" s="2560"/>
      <c r="U403" s="45"/>
      <c r="V403" s="2915" t="s">
        <v>980</v>
      </c>
      <c r="W403" s="2916"/>
      <c r="X403" s="187"/>
      <c r="Y403" s="170"/>
      <c r="Z403" s="2576"/>
      <c r="AA403" s="2880"/>
      <c r="AB403" s="2576"/>
      <c r="AC403" s="2880"/>
      <c r="AD403" s="2559">
        <f>Z403*AB403</f>
        <v>0</v>
      </c>
      <c r="AE403" s="2560"/>
      <c r="AF403" s="45"/>
      <c r="AG403" s="122" t="s">
        <v>450</v>
      </c>
      <c r="AH403" s="170"/>
      <c r="AI403" s="170"/>
      <c r="AJ403" s="2559"/>
      <c r="AK403" s="2560"/>
      <c r="AL403" s="2559"/>
      <c r="AM403" s="2560"/>
      <c r="AN403" s="2559"/>
      <c r="AO403" s="2560"/>
    </row>
    <row r="404" spans="1:41" ht="15.95" customHeight="1" x14ac:dyDescent="0.3">
      <c r="A404" s="2915" t="s">
        <v>981</v>
      </c>
      <c r="B404" s="2916"/>
      <c r="C404" s="120" t="s">
        <v>496</v>
      </c>
      <c r="D404" s="170" t="s">
        <v>497</v>
      </c>
      <c r="E404" s="2576">
        <v>1</v>
      </c>
      <c r="F404" s="2880"/>
      <c r="G404" s="2576">
        <v>47000</v>
      </c>
      <c r="H404" s="2577"/>
      <c r="I404" s="2559">
        <f>E404*G404</f>
        <v>47000</v>
      </c>
      <c r="J404" s="2560"/>
      <c r="K404" s="279"/>
      <c r="L404" s="122" t="s">
        <v>853</v>
      </c>
      <c r="M404" s="170" t="s">
        <v>767</v>
      </c>
      <c r="N404" s="170" t="s">
        <v>597</v>
      </c>
      <c r="O404" s="2559">
        <v>1100</v>
      </c>
      <c r="P404" s="2560"/>
      <c r="Q404" s="2559">
        <f>1265*1.0928</f>
        <v>1382.3920000000001</v>
      </c>
      <c r="R404" s="2560"/>
      <c r="S404" s="2559">
        <f t="shared" ref="S404:S415" si="115">O404*Q404</f>
        <v>1520631.2</v>
      </c>
      <c r="T404" s="2560"/>
      <c r="U404" s="45"/>
      <c r="V404" s="2915" t="s">
        <v>981</v>
      </c>
      <c r="W404" s="2916"/>
      <c r="X404" s="187"/>
      <c r="Y404" s="170"/>
      <c r="Z404" s="2576"/>
      <c r="AA404" s="2880"/>
      <c r="AB404" s="2576"/>
      <c r="AC404" s="2880"/>
      <c r="AD404" s="2559">
        <f>Z404*AB404</f>
        <v>0</v>
      </c>
      <c r="AE404" s="2560"/>
      <c r="AF404" s="45"/>
      <c r="AG404" s="122" t="s">
        <v>853</v>
      </c>
      <c r="AH404" s="170"/>
      <c r="AI404" s="170"/>
      <c r="AJ404" s="2559"/>
      <c r="AK404" s="2560"/>
      <c r="AL404" s="2559"/>
      <c r="AM404" s="2560"/>
      <c r="AN404" s="2559">
        <f t="shared" ref="AN404:AN420" si="116">AJ404*AL404</f>
        <v>0</v>
      </c>
      <c r="AO404" s="2560"/>
    </row>
    <row r="405" spans="1:41" ht="15.95" customHeight="1" x14ac:dyDescent="0.35">
      <c r="A405" s="2911" t="s">
        <v>990</v>
      </c>
      <c r="B405" s="2912"/>
      <c r="C405" s="197"/>
      <c r="D405" s="170"/>
      <c r="E405" s="2576"/>
      <c r="F405" s="2880"/>
      <c r="G405" s="2576"/>
      <c r="H405" s="2577"/>
      <c r="I405" s="2565">
        <f>SUM(I406:J408)</f>
        <v>141000</v>
      </c>
      <c r="J405" s="2892"/>
      <c r="K405" s="279"/>
      <c r="L405" s="122" t="s">
        <v>859</v>
      </c>
      <c r="M405" s="170"/>
      <c r="N405" s="2297" t="s">
        <v>473</v>
      </c>
      <c r="O405" s="2907">
        <v>3</v>
      </c>
      <c r="P405" s="2908"/>
      <c r="Q405" s="2907">
        <f>44269*1.0928</f>
        <v>48377.163200000003</v>
      </c>
      <c r="R405" s="2908"/>
      <c r="S405" s="2907">
        <f t="shared" si="115"/>
        <v>145131.4896</v>
      </c>
      <c r="T405" s="2908"/>
      <c r="U405" s="45"/>
      <c r="V405" s="2911" t="s">
        <v>990</v>
      </c>
      <c r="W405" s="2912"/>
      <c r="X405" s="187"/>
      <c r="Y405" s="170"/>
      <c r="Z405" s="2576"/>
      <c r="AA405" s="2880"/>
      <c r="AB405" s="2576"/>
      <c r="AC405" s="2880"/>
      <c r="AD405" s="2565">
        <f>SUM(AD406:AE408)</f>
        <v>0</v>
      </c>
      <c r="AE405" s="2892"/>
      <c r="AF405" s="45"/>
      <c r="AG405" s="122" t="s">
        <v>859</v>
      </c>
      <c r="AH405" s="2297"/>
      <c r="AI405" s="170" t="s">
        <v>473</v>
      </c>
      <c r="AJ405" s="2559">
        <v>2</v>
      </c>
      <c r="AK405" s="2560"/>
      <c r="AL405" s="2907">
        <f>41783*1.0928</f>
        <v>45660.462399999997</v>
      </c>
      <c r="AM405" s="2908"/>
      <c r="AN405" s="2559">
        <f t="shared" si="116"/>
        <v>91320.924799999993</v>
      </c>
      <c r="AO405" s="2560"/>
    </row>
    <row r="406" spans="1:41" ht="15.95" customHeight="1" x14ac:dyDescent="0.3">
      <c r="A406" s="2915" t="s">
        <v>991</v>
      </c>
      <c r="B406" s="2916"/>
      <c r="C406" s="120" t="s">
        <v>496</v>
      </c>
      <c r="D406" s="170" t="s">
        <v>497</v>
      </c>
      <c r="E406" s="2576">
        <v>1</v>
      </c>
      <c r="F406" s="2880"/>
      <c r="G406" s="2576">
        <v>47000</v>
      </c>
      <c r="H406" s="2577"/>
      <c r="I406" s="2559">
        <f>E406*G406</f>
        <v>47000</v>
      </c>
      <c r="J406" s="2560"/>
      <c r="K406" s="279"/>
      <c r="L406" s="122" t="s">
        <v>861</v>
      </c>
      <c r="M406" s="170" t="s">
        <v>748</v>
      </c>
      <c r="N406" s="170" t="s">
        <v>473</v>
      </c>
      <c r="O406" s="2559">
        <v>5</v>
      </c>
      <c r="P406" s="2560"/>
      <c r="Q406" s="2559">
        <v>52332</v>
      </c>
      <c r="R406" s="2560"/>
      <c r="S406" s="2559">
        <f t="shared" si="115"/>
        <v>261660</v>
      </c>
      <c r="T406" s="2560"/>
      <c r="U406" s="45"/>
      <c r="V406" s="2915" t="s">
        <v>991</v>
      </c>
      <c r="W406" s="2916"/>
      <c r="X406" s="187"/>
      <c r="Y406" s="170"/>
      <c r="Z406" s="2576"/>
      <c r="AA406" s="2880"/>
      <c r="AB406" s="2576"/>
      <c r="AC406" s="2880"/>
      <c r="AD406" s="2559">
        <f>Z406*AB406</f>
        <v>0</v>
      </c>
      <c r="AE406" s="2560"/>
      <c r="AF406" s="45"/>
      <c r="AG406" s="122" t="s">
        <v>861</v>
      </c>
      <c r="AH406" s="170" t="s">
        <v>1105</v>
      </c>
      <c r="AI406" s="170" t="s">
        <v>473</v>
      </c>
      <c r="AJ406" s="2559">
        <v>3</v>
      </c>
      <c r="AK406" s="2560"/>
      <c r="AL406" s="2559">
        <v>52332</v>
      </c>
      <c r="AM406" s="2560"/>
      <c r="AN406" s="2559">
        <f t="shared" si="116"/>
        <v>156996</v>
      </c>
      <c r="AO406" s="2560"/>
    </row>
    <row r="407" spans="1:41" ht="15.95" customHeight="1" x14ac:dyDescent="0.3">
      <c r="A407" s="2915" t="s">
        <v>981</v>
      </c>
      <c r="B407" s="2916"/>
      <c r="C407" s="120" t="s">
        <v>496</v>
      </c>
      <c r="D407" s="170" t="s">
        <v>497</v>
      </c>
      <c r="E407" s="2576">
        <v>1</v>
      </c>
      <c r="F407" s="2880"/>
      <c r="G407" s="2576">
        <v>47000</v>
      </c>
      <c r="H407" s="2577"/>
      <c r="I407" s="2559">
        <f>E407*G407</f>
        <v>47000</v>
      </c>
      <c r="J407" s="2560"/>
      <c r="K407" s="279"/>
      <c r="L407" s="122" t="s">
        <v>863</v>
      </c>
      <c r="M407" s="170" t="s">
        <v>716</v>
      </c>
      <c r="N407" s="170" t="s">
        <v>473</v>
      </c>
      <c r="O407" s="2559">
        <v>5</v>
      </c>
      <c r="P407" s="2560"/>
      <c r="Q407" s="2559">
        <f>71073*1.0928</f>
        <v>77668.574399999998</v>
      </c>
      <c r="R407" s="2560"/>
      <c r="S407" s="2559">
        <f t="shared" si="115"/>
        <v>388342.87199999997</v>
      </c>
      <c r="T407" s="2560"/>
      <c r="U407" s="45"/>
      <c r="V407" s="2915" t="s">
        <v>981</v>
      </c>
      <c r="W407" s="2916"/>
      <c r="X407" s="187"/>
      <c r="Y407" s="170"/>
      <c r="Z407" s="2576"/>
      <c r="AA407" s="2880"/>
      <c r="AB407" s="2576"/>
      <c r="AC407" s="2880"/>
      <c r="AD407" s="2559">
        <f>Z407*AB407</f>
        <v>0</v>
      </c>
      <c r="AE407" s="2560"/>
      <c r="AF407" s="45"/>
      <c r="AG407" s="122" t="s">
        <v>863</v>
      </c>
      <c r="AH407" s="170" t="s">
        <v>716</v>
      </c>
      <c r="AI407" s="170" t="s">
        <v>473</v>
      </c>
      <c r="AJ407" s="2559">
        <v>3</v>
      </c>
      <c r="AK407" s="2560"/>
      <c r="AL407" s="2559">
        <f>75338*1.0928</f>
        <v>82329.366399999999</v>
      </c>
      <c r="AM407" s="2560">
        <f t="shared" ref="AM407" si="117">(63176*6%)+63176</f>
        <v>66966.559999999998</v>
      </c>
      <c r="AN407" s="2559">
        <f t="shared" si="116"/>
        <v>246988.0992</v>
      </c>
      <c r="AO407" s="2560"/>
    </row>
    <row r="408" spans="1:41" ht="15.95" customHeight="1" x14ac:dyDescent="0.3">
      <c r="A408" s="2915" t="s">
        <v>992</v>
      </c>
      <c r="B408" s="2916"/>
      <c r="C408" s="120" t="s">
        <v>496</v>
      </c>
      <c r="D408" s="170" t="s">
        <v>497</v>
      </c>
      <c r="E408" s="2576">
        <v>1</v>
      </c>
      <c r="F408" s="2880"/>
      <c r="G408" s="2576">
        <v>47000</v>
      </c>
      <c r="H408" s="2577"/>
      <c r="I408" s="2559">
        <f>E408*G408</f>
        <v>47000</v>
      </c>
      <c r="J408" s="2560"/>
      <c r="K408" s="279"/>
      <c r="L408" s="122" t="s">
        <v>534</v>
      </c>
      <c r="M408" s="170" t="s">
        <v>459</v>
      </c>
      <c r="N408" s="170" t="s">
        <v>851</v>
      </c>
      <c r="O408" s="2559">
        <v>5</v>
      </c>
      <c r="P408" s="2560"/>
      <c r="Q408" s="2559">
        <v>149734</v>
      </c>
      <c r="R408" s="2560"/>
      <c r="S408" s="2559">
        <f t="shared" si="115"/>
        <v>748670</v>
      </c>
      <c r="T408" s="2560"/>
      <c r="U408" s="45"/>
      <c r="V408" s="2915" t="s">
        <v>992</v>
      </c>
      <c r="W408" s="2916"/>
      <c r="X408" s="187"/>
      <c r="Y408" s="170"/>
      <c r="Z408" s="2576"/>
      <c r="AA408" s="2880"/>
      <c r="AB408" s="2576"/>
      <c r="AC408" s="2880"/>
      <c r="AD408" s="2559">
        <f>Z408*AB408</f>
        <v>0</v>
      </c>
      <c r="AE408" s="2560"/>
      <c r="AF408" s="45"/>
      <c r="AG408" s="122" t="s">
        <v>534</v>
      </c>
      <c r="AH408" s="170"/>
      <c r="AI408" s="170"/>
      <c r="AJ408" s="2559"/>
      <c r="AK408" s="2560"/>
      <c r="AL408" s="2559"/>
      <c r="AM408" s="2560"/>
      <c r="AN408" s="2559">
        <f t="shared" si="116"/>
        <v>0</v>
      </c>
      <c r="AO408" s="2560"/>
    </row>
    <row r="409" spans="1:41" ht="15.95" customHeight="1" x14ac:dyDescent="0.35">
      <c r="A409" s="2998" t="s">
        <v>993</v>
      </c>
      <c r="B409" s="2999"/>
      <c r="C409" s="187"/>
      <c r="D409" s="170"/>
      <c r="E409" s="2576"/>
      <c r="F409" s="2880"/>
      <c r="G409" s="2559"/>
      <c r="H409" s="2560"/>
      <c r="I409" s="2565">
        <f>SUM(I410:J419)</f>
        <v>1582933.5808000001</v>
      </c>
      <c r="J409" s="2892"/>
      <c r="K409" s="279"/>
      <c r="L409" s="288" t="s">
        <v>535</v>
      </c>
      <c r="M409" s="170" t="s">
        <v>753</v>
      </c>
      <c r="N409" s="170" t="s">
        <v>851</v>
      </c>
      <c r="O409" s="2559">
        <v>15</v>
      </c>
      <c r="P409" s="2560"/>
      <c r="Q409" s="2895">
        <v>188974</v>
      </c>
      <c r="R409" s="2896"/>
      <c r="S409" s="2559">
        <f t="shared" si="115"/>
        <v>2834610</v>
      </c>
      <c r="T409" s="2560"/>
      <c r="U409" s="45"/>
      <c r="V409" s="2998" t="s">
        <v>1035</v>
      </c>
      <c r="W409" s="2999"/>
      <c r="X409" s="288"/>
      <c r="Y409" s="170"/>
      <c r="Z409" s="2576"/>
      <c r="AA409" s="2880"/>
      <c r="AB409" s="2576"/>
      <c r="AC409" s="2880"/>
      <c r="AD409" s="2565">
        <f>SUM(AD410:AE419)</f>
        <v>0</v>
      </c>
      <c r="AE409" s="2892"/>
      <c r="AF409" s="45"/>
      <c r="AG409" s="288" t="s">
        <v>535</v>
      </c>
      <c r="AH409" s="170" t="s">
        <v>753</v>
      </c>
      <c r="AI409" s="170" t="s">
        <v>460</v>
      </c>
      <c r="AJ409" s="2559">
        <v>15</v>
      </c>
      <c r="AK409" s="2560"/>
      <c r="AL409" s="2895">
        <v>188974</v>
      </c>
      <c r="AM409" s="2896"/>
      <c r="AN409" s="2559">
        <f t="shared" si="116"/>
        <v>2834610</v>
      </c>
      <c r="AO409" s="2560"/>
    </row>
    <row r="410" spans="1:41" ht="15.95" customHeight="1" x14ac:dyDescent="0.2">
      <c r="A410" s="2839" t="s">
        <v>995</v>
      </c>
      <c r="B410" s="2840"/>
      <c r="C410" s="170"/>
      <c r="D410" s="170"/>
      <c r="E410" s="2559"/>
      <c r="F410" s="2560"/>
      <c r="G410" s="2559"/>
      <c r="H410" s="2560"/>
      <c r="I410" s="2559">
        <f t="shared" ref="I410:I419" si="118">E410*G410</f>
        <v>0</v>
      </c>
      <c r="J410" s="2560"/>
      <c r="K410" s="279"/>
      <c r="L410" s="122" t="s">
        <v>537</v>
      </c>
      <c r="M410" s="170" t="s">
        <v>566</v>
      </c>
      <c r="N410" s="170" t="s">
        <v>473</v>
      </c>
      <c r="O410" s="2559">
        <v>4</v>
      </c>
      <c r="P410" s="2560"/>
      <c r="Q410" s="2559">
        <v>28583</v>
      </c>
      <c r="R410" s="2560"/>
      <c r="S410" s="2559">
        <f t="shared" si="115"/>
        <v>114332</v>
      </c>
      <c r="T410" s="2560"/>
      <c r="U410" s="45"/>
      <c r="V410" s="2839" t="s">
        <v>991</v>
      </c>
      <c r="W410" s="2840"/>
      <c r="X410" s="288"/>
      <c r="Y410" s="170"/>
      <c r="Z410" s="2559"/>
      <c r="AA410" s="2560"/>
      <c r="AB410" s="2559"/>
      <c r="AC410" s="2560"/>
      <c r="AD410" s="2559">
        <f>Z410*AB410</f>
        <v>0</v>
      </c>
      <c r="AE410" s="2560"/>
      <c r="AF410" s="45"/>
      <c r="AG410" s="122" t="s">
        <v>537</v>
      </c>
      <c r="AH410" s="170" t="s">
        <v>566</v>
      </c>
      <c r="AI410" s="170" t="s">
        <v>473</v>
      </c>
      <c r="AJ410" s="2559">
        <v>2</v>
      </c>
      <c r="AK410" s="2560"/>
      <c r="AL410" s="2559">
        <v>28583</v>
      </c>
      <c r="AM410" s="2560"/>
      <c r="AN410" s="2559">
        <f t="shared" si="116"/>
        <v>57166</v>
      </c>
      <c r="AO410" s="2560"/>
    </row>
    <row r="411" spans="1:41" ht="15.95" customHeight="1" x14ac:dyDescent="0.2">
      <c r="A411" s="2839" t="s">
        <v>996</v>
      </c>
      <c r="B411" s="2840"/>
      <c r="C411" s="170" t="s">
        <v>466</v>
      </c>
      <c r="D411" s="170" t="s">
        <v>1106</v>
      </c>
      <c r="E411" s="2559">
        <v>2</v>
      </c>
      <c r="F411" s="2560"/>
      <c r="G411" s="2559">
        <f>119944*1.0928</f>
        <v>131074.80319999999</v>
      </c>
      <c r="H411" s="2560">
        <f t="shared" ref="H411" si="119">(113155*6%)+113155</f>
        <v>119944.3</v>
      </c>
      <c r="I411" s="2559">
        <f t="shared" si="118"/>
        <v>262149.60639999999</v>
      </c>
      <c r="J411" s="2560"/>
      <c r="K411" s="279"/>
      <c r="L411" s="122" t="s">
        <v>866</v>
      </c>
      <c r="M411" s="170"/>
      <c r="N411" s="170"/>
      <c r="O411" s="2559"/>
      <c r="P411" s="2560"/>
      <c r="Q411" s="2559"/>
      <c r="R411" s="2560"/>
      <c r="S411" s="2559">
        <f t="shared" si="115"/>
        <v>0</v>
      </c>
      <c r="T411" s="2560"/>
      <c r="U411" s="45"/>
      <c r="V411" s="2839" t="s">
        <v>996</v>
      </c>
      <c r="W411" s="2840"/>
      <c r="X411" s="187"/>
      <c r="Y411" s="170"/>
      <c r="Z411" s="2559"/>
      <c r="AA411" s="2560"/>
      <c r="AB411" s="2559"/>
      <c r="AC411" s="2560"/>
      <c r="AD411" s="2559">
        <f>Z411*AB411</f>
        <v>0</v>
      </c>
      <c r="AE411" s="2560"/>
      <c r="AF411" s="45"/>
      <c r="AG411" s="122" t="s">
        <v>866</v>
      </c>
      <c r="AH411" s="170"/>
      <c r="AI411" s="170"/>
      <c r="AJ411" s="2559"/>
      <c r="AK411" s="2560"/>
      <c r="AL411" s="2559"/>
      <c r="AM411" s="2560"/>
      <c r="AN411" s="2559">
        <f t="shared" si="116"/>
        <v>0</v>
      </c>
      <c r="AO411" s="2560"/>
    </row>
    <row r="412" spans="1:41" ht="15.95" customHeight="1" x14ac:dyDescent="0.2">
      <c r="A412" s="2839" t="s">
        <v>469</v>
      </c>
      <c r="B412" s="2840"/>
      <c r="C412" s="120" t="s">
        <v>466</v>
      </c>
      <c r="D412" s="170" t="s">
        <v>1106</v>
      </c>
      <c r="E412" s="2559">
        <v>2</v>
      </c>
      <c r="F412" s="2560"/>
      <c r="G412" s="2559">
        <f>174224*1.0928</f>
        <v>190391.9872</v>
      </c>
      <c r="H412" s="2560">
        <f t="shared" ref="H412" si="120">(154866*6%)+154866</f>
        <v>164157.96</v>
      </c>
      <c r="I412" s="2559">
        <f t="shared" si="118"/>
        <v>380783.97440000001</v>
      </c>
      <c r="J412" s="2560"/>
      <c r="K412" s="279"/>
      <c r="L412" s="122" t="s">
        <v>456</v>
      </c>
      <c r="M412" s="170" t="s">
        <v>710</v>
      </c>
      <c r="N412" s="170" t="s">
        <v>556</v>
      </c>
      <c r="O412" s="2559">
        <v>2</v>
      </c>
      <c r="P412" s="2560"/>
      <c r="Q412" s="2559">
        <f>180902*1.0928</f>
        <v>197689.70559999999</v>
      </c>
      <c r="R412" s="2560"/>
      <c r="S412" s="2559">
        <f t="shared" si="115"/>
        <v>395379.41119999997</v>
      </c>
      <c r="T412" s="2560"/>
      <c r="U412" s="45"/>
      <c r="V412" s="2839" t="s">
        <v>469</v>
      </c>
      <c r="W412" s="2840"/>
      <c r="X412" s="187"/>
      <c r="Y412" s="170"/>
      <c r="Z412" s="2559"/>
      <c r="AA412" s="2560"/>
      <c r="AB412" s="2559"/>
      <c r="AC412" s="2560"/>
      <c r="AD412" s="2559">
        <f t="shared" ref="AD412:AD419" si="121">Z412*AB412</f>
        <v>0</v>
      </c>
      <c r="AE412" s="2560"/>
      <c r="AF412" s="45"/>
      <c r="AG412" s="122" t="s">
        <v>456</v>
      </c>
      <c r="AH412" s="170"/>
      <c r="AI412" s="170"/>
      <c r="AJ412" s="2559"/>
      <c r="AK412" s="2560"/>
      <c r="AL412" s="2559"/>
      <c r="AM412" s="2560"/>
      <c r="AN412" s="2559">
        <f t="shared" si="116"/>
        <v>0</v>
      </c>
      <c r="AO412" s="2560"/>
    </row>
    <row r="413" spans="1:41" ht="15.95" customHeight="1" x14ac:dyDescent="0.3">
      <c r="A413" s="2839" t="s">
        <v>470</v>
      </c>
      <c r="B413" s="2840"/>
      <c r="C413" s="299"/>
      <c r="D413" s="120"/>
      <c r="E413" s="2559"/>
      <c r="F413" s="2560"/>
      <c r="G413" s="2559"/>
      <c r="H413" s="2560"/>
      <c r="I413" s="2559">
        <f t="shared" si="118"/>
        <v>0</v>
      </c>
      <c r="J413" s="2560"/>
      <c r="K413" s="279"/>
      <c r="L413" s="122" t="s">
        <v>871</v>
      </c>
      <c r="M413" s="170"/>
      <c r="N413" s="170"/>
      <c r="O413" s="2559"/>
      <c r="P413" s="2560"/>
      <c r="Q413" s="2559"/>
      <c r="R413" s="2560"/>
      <c r="S413" s="2559">
        <f t="shared" si="115"/>
        <v>0</v>
      </c>
      <c r="T413" s="2560"/>
      <c r="U413" s="45"/>
      <c r="V413" s="2839" t="s">
        <v>470</v>
      </c>
      <c r="W413" s="2840"/>
      <c r="X413" s="187"/>
      <c r="Y413" s="170"/>
      <c r="Z413" s="2559"/>
      <c r="AA413" s="2560"/>
      <c r="AB413" s="2559"/>
      <c r="AC413" s="2560"/>
      <c r="AD413" s="2559">
        <f t="shared" si="121"/>
        <v>0</v>
      </c>
      <c r="AE413" s="2560"/>
      <c r="AF413" s="45"/>
      <c r="AG413" s="122" t="s">
        <v>871</v>
      </c>
      <c r="AH413" s="170"/>
      <c r="AI413" s="170"/>
      <c r="AJ413" s="2559"/>
      <c r="AK413" s="2560"/>
      <c r="AL413" s="2559"/>
      <c r="AM413" s="2560"/>
      <c r="AN413" s="2559">
        <f t="shared" si="116"/>
        <v>0</v>
      </c>
      <c r="AO413" s="2560"/>
    </row>
    <row r="414" spans="1:41" ht="15.95" customHeight="1" x14ac:dyDescent="0.3">
      <c r="A414" s="2839" t="s">
        <v>902</v>
      </c>
      <c r="B414" s="2840"/>
      <c r="C414" s="120" t="s">
        <v>496</v>
      </c>
      <c r="D414" s="170" t="s">
        <v>497</v>
      </c>
      <c r="E414" s="2559">
        <v>3</v>
      </c>
      <c r="F414" s="2560"/>
      <c r="G414" s="2576">
        <v>47000</v>
      </c>
      <c r="H414" s="2577"/>
      <c r="I414" s="2559">
        <f t="shared" si="118"/>
        <v>141000</v>
      </c>
      <c r="J414" s="2560"/>
      <c r="K414" s="279"/>
      <c r="L414" s="122" t="s">
        <v>507</v>
      </c>
      <c r="M414" s="214" t="s">
        <v>1079</v>
      </c>
      <c r="N414" s="120" t="s">
        <v>497</v>
      </c>
      <c r="O414" s="2559">
        <v>133</v>
      </c>
      <c r="P414" s="2560"/>
      <c r="Q414" s="2559">
        <f>2981*1.0928</f>
        <v>3257.6367999999998</v>
      </c>
      <c r="R414" s="2560"/>
      <c r="S414" s="2559">
        <f t="shared" si="115"/>
        <v>433265.69439999998</v>
      </c>
      <c r="T414" s="2560"/>
      <c r="U414" s="45"/>
      <c r="V414" s="2839" t="s">
        <v>1068</v>
      </c>
      <c r="W414" s="2840"/>
      <c r="X414" s="288"/>
      <c r="Y414" s="170"/>
      <c r="Z414" s="2559"/>
      <c r="AA414" s="2560"/>
      <c r="AB414" s="2559"/>
      <c r="AC414" s="2880"/>
      <c r="AD414" s="2559">
        <f t="shared" si="121"/>
        <v>0</v>
      </c>
      <c r="AE414" s="2560"/>
      <c r="AF414" s="45"/>
      <c r="AG414" s="122" t="s">
        <v>507</v>
      </c>
      <c r="AH414" s="170" t="s">
        <v>1079</v>
      </c>
      <c r="AI414" s="170" t="s">
        <v>497</v>
      </c>
      <c r="AJ414" s="2559">
        <v>800</v>
      </c>
      <c r="AK414" s="2560"/>
      <c r="AL414" s="2559">
        <f>2683*1.0928</f>
        <v>2931.9823999999999</v>
      </c>
      <c r="AM414" s="2560">
        <f t="shared" ref="AM414" si="122">(2650*6%)+2650</f>
        <v>2809</v>
      </c>
      <c r="AN414" s="2559">
        <f t="shared" si="116"/>
        <v>2345585.92</v>
      </c>
      <c r="AO414" s="2560"/>
    </row>
    <row r="415" spans="1:41" ht="15.95" customHeight="1" x14ac:dyDescent="0.3">
      <c r="A415" s="2839" t="s">
        <v>998</v>
      </c>
      <c r="B415" s="2840"/>
      <c r="C415" s="120" t="s">
        <v>496</v>
      </c>
      <c r="D415" s="170" t="s">
        <v>497</v>
      </c>
      <c r="E415" s="2576">
        <v>15</v>
      </c>
      <c r="F415" s="2880"/>
      <c r="G415" s="2576">
        <v>47000</v>
      </c>
      <c r="H415" s="2577"/>
      <c r="I415" s="2559">
        <f t="shared" si="118"/>
        <v>705000</v>
      </c>
      <c r="J415" s="2560"/>
      <c r="K415" s="279"/>
      <c r="L415" s="122" t="s">
        <v>801</v>
      </c>
      <c r="M415" s="170" t="s">
        <v>599</v>
      </c>
      <c r="N415" s="170" t="s">
        <v>497</v>
      </c>
      <c r="O415" s="2559">
        <v>2</v>
      </c>
      <c r="P415" s="2560"/>
      <c r="Q415" s="2559">
        <f>12760*1.0928</f>
        <v>13944.128000000001</v>
      </c>
      <c r="R415" s="2560"/>
      <c r="S415" s="2559">
        <f t="shared" si="115"/>
        <v>27888.256000000001</v>
      </c>
      <c r="T415" s="2560"/>
      <c r="U415" s="45"/>
      <c r="V415" s="2839" t="s">
        <v>998</v>
      </c>
      <c r="W415" s="2840"/>
      <c r="X415" s="187"/>
      <c r="Y415" s="170"/>
      <c r="Z415" s="2576"/>
      <c r="AA415" s="2880"/>
      <c r="AB415" s="2576"/>
      <c r="AC415" s="2880"/>
      <c r="AD415" s="2559">
        <f t="shared" si="121"/>
        <v>0</v>
      </c>
      <c r="AE415" s="2560"/>
      <c r="AF415" s="45"/>
      <c r="AG415" s="122" t="s">
        <v>507</v>
      </c>
      <c r="AH415" s="214" t="s">
        <v>1033</v>
      </c>
      <c r="AI415" s="120" t="s">
        <v>497</v>
      </c>
      <c r="AJ415" s="2559">
        <v>1600</v>
      </c>
      <c r="AK415" s="2560"/>
      <c r="AL415" s="2559">
        <f>190*1.0928</f>
        <v>207.63200000000001</v>
      </c>
      <c r="AM415" s="2560">
        <f t="shared" ref="AM415" si="123">(159*6%)+159</f>
        <v>168.54</v>
      </c>
      <c r="AN415" s="2559">
        <f t="shared" si="116"/>
        <v>332211.20000000001</v>
      </c>
      <c r="AO415" s="2560"/>
    </row>
    <row r="416" spans="1:41" ht="15.95" customHeight="1" x14ac:dyDescent="0.3">
      <c r="A416" s="2839" t="s">
        <v>999</v>
      </c>
      <c r="B416" s="2840"/>
      <c r="C416" s="187"/>
      <c r="D416" s="170"/>
      <c r="E416" s="2576"/>
      <c r="F416" s="2880"/>
      <c r="G416" s="2576"/>
      <c r="H416" s="2880"/>
      <c r="I416" s="2559">
        <f t="shared" si="118"/>
        <v>0</v>
      </c>
      <c r="J416" s="2560"/>
      <c r="K416" s="279"/>
      <c r="L416" s="122" t="s">
        <v>575</v>
      </c>
      <c r="M416" s="170" t="s">
        <v>1071</v>
      </c>
      <c r="N416" s="170" t="s">
        <v>734</v>
      </c>
      <c r="O416" s="2559">
        <v>5</v>
      </c>
      <c r="P416" s="2560"/>
      <c r="Q416" s="2559">
        <f>103211*1.0928</f>
        <v>112788.9808</v>
      </c>
      <c r="R416" s="2560"/>
      <c r="S416" s="2559">
        <f>O416*Q416</f>
        <v>563944.90399999998</v>
      </c>
      <c r="T416" s="2560"/>
      <c r="U416" s="45"/>
      <c r="V416" s="2839" t="s">
        <v>999</v>
      </c>
      <c r="W416" s="2840"/>
      <c r="X416" s="187"/>
      <c r="Y416" s="170"/>
      <c r="Z416" s="2576"/>
      <c r="AA416" s="2880"/>
      <c r="AB416" s="2576"/>
      <c r="AC416" s="2880"/>
      <c r="AD416" s="2559">
        <f t="shared" si="121"/>
        <v>0</v>
      </c>
      <c r="AE416" s="2560"/>
      <c r="AF416" s="45"/>
      <c r="AG416" s="122" t="s">
        <v>801</v>
      </c>
      <c r="AH416" s="170" t="s">
        <v>599</v>
      </c>
      <c r="AI416" s="170" t="s">
        <v>599</v>
      </c>
      <c r="AJ416" s="2559">
        <v>2</v>
      </c>
      <c r="AK416" s="2560"/>
      <c r="AL416" s="2559">
        <f>13526*1.0928</f>
        <v>14781.212799999999</v>
      </c>
      <c r="AM416" s="2560">
        <f t="shared" ref="AM416" si="124">(11342*6%)+11342</f>
        <v>12022.52</v>
      </c>
      <c r="AN416" s="2559">
        <f t="shared" si="116"/>
        <v>29562.425599999999</v>
      </c>
      <c r="AO416" s="2560"/>
    </row>
    <row r="417" spans="1:41" ht="15.95" customHeight="1" x14ac:dyDescent="0.3">
      <c r="A417" s="2839" t="s">
        <v>873</v>
      </c>
      <c r="B417" s="2840"/>
      <c r="C417" s="120" t="s">
        <v>496</v>
      </c>
      <c r="D417" s="170" t="s">
        <v>497</v>
      </c>
      <c r="E417" s="2576">
        <v>2</v>
      </c>
      <c r="F417" s="2880"/>
      <c r="G417" s="2576">
        <v>47000</v>
      </c>
      <c r="H417" s="2577"/>
      <c r="I417" s="2559">
        <f t="shared" si="118"/>
        <v>94000</v>
      </c>
      <c r="J417" s="2560"/>
      <c r="K417" s="279"/>
      <c r="L417" s="122" t="s">
        <v>575</v>
      </c>
      <c r="M417" s="170" t="s">
        <v>1707</v>
      </c>
      <c r="N417" s="170" t="s">
        <v>452</v>
      </c>
      <c r="O417" s="2559">
        <v>800</v>
      </c>
      <c r="P417" s="2560"/>
      <c r="Q417" s="2559">
        <f>6320*1.0928</f>
        <v>6906.4960000000001</v>
      </c>
      <c r="R417" s="2560"/>
      <c r="S417" s="2559">
        <f>O417*Q417</f>
        <v>5525196.7999999998</v>
      </c>
      <c r="T417" s="2560"/>
      <c r="U417" s="45"/>
      <c r="V417" s="2839" t="s">
        <v>873</v>
      </c>
      <c r="W417" s="2840"/>
      <c r="X417" s="187"/>
      <c r="Y417" s="170"/>
      <c r="Z417" s="2576"/>
      <c r="AA417" s="2880"/>
      <c r="AB417" s="2576"/>
      <c r="AC417" s="2880"/>
      <c r="AD417" s="2559">
        <f t="shared" si="121"/>
        <v>0</v>
      </c>
      <c r="AE417" s="2560"/>
      <c r="AF417" s="45"/>
      <c r="AG417" s="122" t="s">
        <v>575</v>
      </c>
      <c r="AH417" s="170"/>
      <c r="AI417" s="170"/>
      <c r="AJ417" s="2559"/>
      <c r="AK417" s="2560"/>
      <c r="AL417" s="2559"/>
      <c r="AM417" s="2560"/>
      <c r="AN417" s="2559">
        <f t="shared" si="116"/>
        <v>0</v>
      </c>
      <c r="AO417" s="2560"/>
    </row>
    <row r="418" spans="1:41" ht="15.95" customHeight="1" x14ac:dyDescent="0.3">
      <c r="A418" s="2839" t="s">
        <v>1000</v>
      </c>
      <c r="B418" s="2840"/>
      <c r="C418" s="187"/>
      <c r="D418" s="170"/>
      <c r="E418" s="2576"/>
      <c r="F418" s="2880"/>
      <c r="G418" s="2576"/>
      <c r="H418" s="2880"/>
      <c r="I418" s="2559">
        <f t="shared" si="118"/>
        <v>0</v>
      </c>
      <c r="J418" s="2560"/>
      <c r="K418" s="279"/>
      <c r="L418" s="122" t="s">
        <v>874</v>
      </c>
      <c r="M418" s="170" t="s">
        <v>1107</v>
      </c>
      <c r="N418" s="170" t="s">
        <v>1088</v>
      </c>
      <c r="O418" s="2559">
        <v>400</v>
      </c>
      <c r="P418" s="2560"/>
      <c r="Q418" s="2559">
        <f>4045*1.0928</f>
        <v>4420.3760000000002</v>
      </c>
      <c r="R418" s="2560"/>
      <c r="S418" s="2559">
        <f>O418*Q418</f>
        <v>1768150.4000000001</v>
      </c>
      <c r="T418" s="2560"/>
      <c r="U418" s="45"/>
      <c r="V418" s="2839" t="s">
        <v>1000</v>
      </c>
      <c r="W418" s="2840"/>
      <c r="X418" s="187"/>
      <c r="Y418" s="170"/>
      <c r="Z418" s="2576"/>
      <c r="AA418" s="2880"/>
      <c r="AB418" s="2576"/>
      <c r="AC418" s="2880"/>
      <c r="AD418" s="2559">
        <f t="shared" si="121"/>
        <v>0</v>
      </c>
      <c r="AE418" s="2560"/>
      <c r="AF418" s="45"/>
      <c r="AG418" s="122" t="s">
        <v>874</v>
      </c>
      <c r="AH418" s="170"/>
      <c r="AI418" s="170"/>
      <c r="AJ418" s="2559"/>
      <c r="AK418" s="2560"/>
      <c r="AL418" s="2559"/>
      <c r="AM418" s="2560"/>
      <c r="AN418" s="2559">
        <f t="shared" si="116"/>
        <v>0</v>
      </c>
      <c r="AO418" s="2560"/>
    </row>
    <row r="419" spans="1:41" ht="15.95" customHeight="1" x14ac:dyDescent="0.3">
      <c r="A419" s="2839" t="s">
        <v>504</v>
      </c>
      <c r="B419" s="2840"/>
      <c r="C419" s="187"/>
      <c r="D419" s="170"/>
      <c r="E419" s="2576"/>
      <c r="F419" s="2880"/>
      <c r="G419" s="2576"/>
      <c r="H419" s="2880"/>
      <c r="I419" s="2559">
        <f t="shared" si="118"/>
        <v>0</v>
      </c>
      <c r="J419" s="2560"/>
      <c r="K419" s="279"/>
      <c r="L419" s="196" t="s">
        <v>515</v>
      </c>
      <c r="M419" s="120" t="s">
        <v>719</v>
      </c>
      <c r="N419" s="120" t="s">
        <v>719</v>
      </c>
      <c r="O419" s="2643">
        <v>400</v>
      </c>
      <c r="P419" s="2643"/>
      <c r="Q419" s="2643">
        <f>10077*1.0928</f>
        <v>11012.1456</v>
      </c>
      <c r="R419" s="2643"/>
      <c r="S419" s="2559">
        <f>O419*Q419</f>
        <v>4404858.24</v>
      </c>
      <c r="T419" s="2560"/>
      <c r="U419" s="45"/>
      <c r="V419" s="2839" t="s">
        <v>504</v>
      </c>
      <c r="W419" s="2840"/>
      <c r="X419" s="187"/>
      <c r="Y419" s="170"/>
      <c r="Z419" s="2576"/>
      <c r="AA419" s="2880"/>
      <c r="AB419" s="2576"/>
      <c r="AC419" s="2880"/>
      <c r="AD419" s="2559">
        <f t="shared" si="121"/>
        <v>0</v>
      </c>
      <c r="AE419" s="2560"/>
      <c r="AF419" s="45"/>
      <c r="AG419" s="196" t="s">
        <v>515</v>
      </c>
      <c r="AH419" s="120"/>
      <c r="AI419" s="120"/>
      <c r="AJ419" s="2643"/>
      <c r="AK419" s="2643"/>
      <c r="AL419" s="2643"/>
      <c r="AM419" s="2643"/>
      <c r="AN419" s="2559">
        <f t="shared" si="116"/>
        <v>0</v>
      </c>
      <c r="AO419" s="2560"/>
    </row>
    <row r="420" spans="1:41" ht="15.95" customHeight="1" x14ac:dyDescent="0.35">
      <c r="A420" s="2911" t="s">
        <v>1001</v>
      </c>
      <c r="B420" s="2912"/>
      <c r="C420" s="187"/>
      <c r="D420" s="170"/>
      <c r="E420" s="2576"/>
      <c r="F420" s="2880"/>
      <c r="G420" s="2576"/>
      <c r="H420" s="2880"/>
      <c r="I420" s="2565">
        <f>SUM(I421:J438)</f>
        <v>4183000</v>
      </c>
      <c r="J420" s="2892"/>
      <c r="K420" s="279"/>
      <c r="L420" s="196" t="s">
        <v>805</v>
      </c>
      <c r="M420" s="197"/>
      <c r="N420" s="120" t="s">
        <v>794</v>
      </c>
      <c r="O420" s="2643"/>
      <c r="P420" s="2643"/>
      <c r="Q420" s="2643"/>
      <c r="R420" s="2643"/>
      <c r="S420" s="2559">
        <f>350000*1.0928</f>
        <v>382480</v>
      </c>
      <c r="T420" s="2560"/>
      <c r="U420" s="45"/>
      <c r="V420" s="2911" t="s">
        <v>1001</v>
      </c>
      <c r="W420" s="2912"/>
      <c r="X420" s="187"/>
      <c r="Y420" s="170"/>
      <c r="Z420" s="2576"/>
      <c r="AA420" s="2880"/>
      <c r="AB420" s="2576"/>
      <c r="AC420" s="2880"/>
      <c r="AD420" s="2565">
        <f>SUM(AD421:AE438)</f>
        <v>2538000</v>
      </c>
      <c r="AE420" s="2892"/>
      <c r="AF420" s="45"/>
      <c r="AG420" s="196" t="s">
        <v>1093</v>
      </c>
      <c r="AH420" s="120"/>
      <c r="AI420" s="120"/>
      <c r="AJ420" s="2643"/>
      <c r="AK420" s="2643"/>
      <c r="AL420" s="2643"/>
      <c r="AM420" s="2643"/>
      <c r="AN420" s="2559">
        <f t="shared" si="116"/>
        <v>0</v>
      </c>
      <c r="AO420" s="2560"/>
    </row>
    <row r="421" spans="1:41" ht="15.95" customHeight="1" x14ac:dyDescent="0.2">
      <c r="A421" s="2839" t="s">
        <v>852</v>
      </c>
      <c r="B421" s="2840"/>
      <c r="C421" s="120" t="s">
        <v>496</v>
      </c>
      <c r="D421" s="170" t="s">
        <v>497</v>
      </c>
      <c r="E421" s="2559">
        <v>8</v>
      </c>
      <c r="F421" s="2560"/>
      <c r="G421" s="2576">
        <v>47000</v>
      </c>
      <c r="H421" s="2577"/>
      <c r="I421" s="2559">
        <f t="shared" ref="I421:I438" si="125">E421*G421</f>
        <v>376000</v>
      </c>
      <c r="J421" s="2560"/>
      <c r="K421" s="279"/>
      <c r="L421" s="199" t="s">
        <v>876</v>
      </c>
      <c r="M421" s="53"/>
      <c r="N421" s="200"/>
      <c r="O421" s="2893"/>
      <c r="P421" s="2893"/>
      <c r="Q421" s="2893"/>
      <c r="R421" s="2893"/>
      <c r="S421" s="2894">
        <f>SUM(S403:T420)</f>
        <v>19514541.267200001</v>
      </c>
      <c r="T421" s="2894"/>
      <c r="U421" s="45"/>
      <c r="V421" s="2839" t="s">
        <v>852</v>
      </c>
      <c r="W421" s="2840"/>
      <c r="X421" s="187"/>
      <c r="Y421" s="170"/>
      <c r="Z421" s="2559"/>
      <c r="AA421" s="2560"/>
      <c r="AB421" s="2559"/>
      <c r="AC421" s="2560"/>
      <c r="AD421" s="2559">
        <f t="shared" ref="AD421:AD438" si="126">Z421*AB421</f>
        <v>0</v>
      </c>
      <c r="AE421" s="2560"/>
      <c r="AF421" s="45"/>
      <c r="AG421" s="199" t="s">
        <v>876</v>
      </c>
      <c r="AH421" s="53"/>
      <c r="AI421" s="200"/>
      <c r="AJ421" s="2893"/>
      <c r="AK421" s="2893"/>
      <c r="AL421" s="2893"/>
      <c r="AM421" s="2893"/>
      <c r="AN421" s="2894">
        <f>SUM(AN403:AO419)</f>
        <v>6094440.5696</v>
      </c>
      <c r="AO421" s="2894"/>
    </row>
    <row r="422" spans="1:41" ht="15.95" customHeight="1" x14ac:dyDescent="0.2">
      <c r="A422" s="2839" t="s">
        <v>495</v>
      </c>
      <c r="B422" s="2840"/>
      <c r="C422" s="120" t="s">
        <v>496</v>
      </c>
      <c r="D422" s="170" t="s">
        <v>497</v>
      </c>
      <c r="E422" s="2559">
        <v>2</v>
      </c>
      <c r="F422" s="2560"/>
      <c r="G422" s="2576">
        <v>47000</v>
      </c>
      <c r="H422" s="2577"/>
      <c r="I422" s="2559">
        <f t="shared" si="125"/>
        <v>94000</v>
      </c>
      <c r="J422" s="2560"/>
      <c r="K422" s="279"/>
      <c r="L422" s="148"/>
      <c r="M422" s="197"/>
      <c r="N422" s="120"/>
      <c r="O422" s="2643"/>
      <c r="P422" s="2643"/>
      <c r="Q422" s="2643"/>
      <c r="R422" s="2643"/>
      <c r="S422" s="2643"/>
      <c r="T422" s="2643"/>
      <c r="U422" s="45"/>
      <c r="V422" s="2839" t="s">
        <v>495</v>
      </c>
      <c r="W422" s="2840"/>
      <c r="X422" s="187"/>
      <c r="Y422" s="170"/>
      <c r="Z422" s="2559"/>
      <c r="AA422" s="2560"/>
      <c r="AB422" s="2559"/>
      <c r="AC422" s="2560"/>
      <c r="AD422" s="2559">
        <f t="shared" si="126"/>
        <v>0</v>
      </c>
      <c r="AE422" s="2560"/>
      <c r="AF422" s="45"/>
      <c r="AG422" s="148"/>
      <c r="AH422" s="197"/>
      <c r="AI422" s="120"/>
      <c r="AJ422" s="2643"/>
      <c r="AK422" s="2643"/>
      <c r="AL422" s="2643"/>
      <c r="AM422" s="2643"/>
      <c r="AN422" s="2643"/>
      <c r="AO422" s="2643"/>
    </row>
    <row r="423" spans="1:41" ht="15.95" customHeight="1" x14ac:dyDescent="0.3">
      <c r="A423" s="2839" t="s">
        <v>1003</v>
      </c>
      <c r="B423" s="2840"/>
      <c r="C423" s="120" t="s">
        <v>496</v>
      </c>
      <c r="D423" s="170" t="s">
        <v>497</v>
      </c>
      <c r="E423" s="2576">
        <v>20</v>
      </c>
      <c r="F423" s="2880"/>
      <c r="G423" s="2576">
        <v>47000</v>
      </c>
      <c r="H423" s="2577"/>
      <c r="I423" s="2559">
        <f t="shared" si="125"/>
        <v>940000</v>
      </c>
      <c r="J423" s="2560"/>
      <c r="K423" s="279"/>
      <c r="L423" s="144" t="s">
        <v>577</v>
      </c>
      <c r="M423" s="145"/>
      <c r="N423" s="145"/>
      <c r="O423" s="2890"/>
      <c r="P423" s="2890"/>
      <c r="Q423" s="2890"/>
      <c r="R423" s="2890"/>
      <c r="S423" s="2890"/>
      <c r="T423" s="2891"/>
      <c r="U423" s="45"/>
      <c r="V423" s="2839" t="s">
        <v>1003</v>
      </c>
      <c r="W423" s="2840"/>
      <c r="X423" s="187"/>
      <c r="Y423" s="170"/>
      <c r="Z423" s="2576"/>
      <c r="AA423" s="2880"/>
      <c r="AB423" s="2576"/>
      <c r="AC423" s="2880"/>
      <c r="AD423" s="2559">
        <f t="shared" si="126"/>
        <v>0</v>
      </c>
      <c r="AE423" s="2560"/>
      <c r="AF423" s="45"/>
      <c r="AG423" s="144" t="s">
        <v>577</v>
      </c>
      <c r="AH423" s="145"/>
      <c r="AI423" s="145"/>
      <c r="AJ423" s="2890"/>
      <c r="AK423" s="2890"/>
      <c r="AL423" s="2890"/>
      <c r="AM423" s="2890"/>
      <c r="AN423" s="2890"/>
      <c r="AO423" s="2891"/>
    </row>
    <row r="424" spans="1:41" ht="15.95" customHeight="1" x14ac:dyDescent="0.3">
      <c r="A424" s="2839" t="s">
        <v>1004</v>
      </c>
      <c r="B424" s="2840"/>
      <c r="C424" s="187"/>
      <c r="D424" s="170"/>
      <c r="E424" s="2576"/>
      <c r="F424" s="2880"/>
      <c r="G424" s="2576"/>
      <c r="H424" s="2880"/>
      <c r="I424" s="2559">
        <f t="shared" si="125"/>
        <v>0</v>
      </c>
      <c r="J424" s="2560"/>
      <c r="K424" s="279"/>
      <c r="L424" s="148" t="s">
        <v>1005</v>
      </c>
      <c r="M424" s="296">
        <v>0.05</v>
      </c>
      <c r="N424" s="45"/>
      <c r="O424" s="2575"/>
      <c r="P424" s="2575"/>
      <c r="Q424" s="2575"/>
      <c r="R424" s="2575"/>
      <c r="S424" s="2575">
        <f>+(S421+I446)*0.05</f>
        <v>1337854.4672000001</v>
      </c>
      <c r="T424" s="2560"/>
      <c r="U424" s="45"/>
      <c r="V424" s="2839" t="s">
        <v>1004</v>
      </c>
      <c r="W424" s="2840"/>
      <c r="X424" s="187"/>
      <c r="Y424" s="170"/>
      <c r="Z424" s="2576"/>
      <c r="AA424" s="2880"/>
      <c r="AB424" s="2576"/>
      <c r="AC424" s="2880"/>
      <c r="AD424" s="2559">
        <f t="shared" si="126"/>
        <v>0</v>
      </c>
      <c r="AE424" s="2560"/>
      <c r="AF424" s="45"/>
      <c r="AG424" s="148" t="s">
        <v>1005</v>
      </c>
      <c r="AH424" s="296">
        <v>0.05</v>
      </c>
      <c r="AI424" s="45"/>
      <c r="AJ424" s="2575"/>
      <c r="AK424" s="2575"/>
      <c r="AL424" s="2575"/>
      <c r="AM424" s="2575"/>
      <c r="AN424" s="2575">
        <f>+(AN421+AD446)*0.05</f>
        <v>677614.3409800001</v>
      </c>
      <c r="AO424" s="2560"/>
    </row>
    <row r="425" spans="1:41" ht="15.95" customHeight="1" x14ac:dyDescent="0.3">
      <c r="A425" s="2839" t="s">
        <v>1006</v>
      </c>
      <c r="B425" s="2840"/>
      <c r="C425" s="187"/>
      <c r="D425" s="170"/>
      <c r="E425" s="2576"/>
      <c r="F425" s="2880"/>
      <c r="G425" s="2576"/>
      <c r="H425" s="2880"/>
      <c r="I425" s="2559">
        <f t="shared" si="125"/>
        <v>0</v>
      </c>
      <c r="J425" s="2560"/>
      <c r="K425" s="279"/>
      <c r="L425" s="151" t="s">
        <v>527</v>
      </c>
      <c r="M425" s="45"/>
      <c r="N425" s="45"/>
      <c r="O425" s="2575"/>
      <c r="P425" s="2575"/>
      <c r="Q425" s="2575"/>
      <c r="R425" s="2575"/>
      <c r="S425" s="2575">
        <f>300000*1.0928</f>
        <v>327840</v>
      </c>
      <c r="T425" s="2560"/>
      <c r="U425" s="45"/>
      <c r="V425" s="2839" t="s">
        <v>1006</v>
      </c>
      <c r="W425" s="2840"/>
      <c r="X425" s="187"/>
      <c r="Y425" s="170"/>
      <c r="Z425" s="2576"/>
      <c r="AA425" s="2880"/>
      <c r="AB425" s="2576"/>
      <c r="AC425" s="2880"/>
      <c r="AD425" s="2559">
        <f t="shared" si="126"/>
        <v>0</v>
      </c>
      <c r="AE425" s="2560"/>
      <c r="AF425" s="45"/>
      <c r="AG425" s="151" t="s">
        <v>527</v>
      </c>
      <c r="AH425" s="45"/>
      <c r="AI425" s="45"/>
      <c r="AJ425" s="2575"/>
      <c r="AK425" s="2575"/>
      <c r="AL425" s="2575"/>
      <c r="AM425" s="2575"/>
      <c r="AN425" s="2575">
        <f>300000*1.0928</f>
        <v>327840</v>
      </c>
      <c r="AO425" s="2560"/>
    </row>
    <row r="426" spans="1:41" ht="15.95" customHeight="1" x14ac:dyDescent="0.3">
      <c r="A426" s="2839" t="s">
        <v>1007</v>
      </c>
      <c r="B426" s="2840"/>
      <c r="C426" s="187"/>
      <c r="D426" s="170"/>
      <c r="E426" s="2576"/>
      <c r="F426" s="2880"/>
      <c r="G426" s="2576"/>
      <c r="H426" s="2880"/>
      <c r="I426" s="2559">
        <f t="shared" si="125"/>
        <v>0</v>
      </c>
      <c r="J426" s="2560"/>
      <c r="K426" s="279"/>
      <c r="L426" s="152" t="s">
        <v>529</v>
      </c>
      <c r="M426" s="45"/>
      <c r="N426" s="45"/>
      <c r="O426" s="2575"/>
      <c r="P426" s="2575"/>
      <c r="Q426" s="2575"/>
      <c r="R426" s="2575"/>
      <c r="S426" s="2575">
        <f>600000*1.0928</f>
        <v>655680</v>
      </c>
      <c r="T426" s="2560"/>
      <c r="U426" s="45"/>
      <c r="V426" s="2839" t="s">
        <v>1007</v>
      </c>
      <c r="W426" s="2840"/>
      <c r="X426" s="187"/>
      <c r="Y426" s="170"/>
      <c r="Z426" s="2576"/>
      <c r="AA426" s="2880"/>
      <c r="AB426" s="2576"/>
      <c r="AC426" s="2880"/>
      <c r="AD426" s="2559">
        <f t="shared" si="126"/>
        <v>0</v>
      </c>
      <c r="AE426" s="2560"/>
      <c r="AF426" s="45"/>
      <c r="AG426" s="152" t="s">
        <v>529</v>
      </c>
      <c r="AH426" s="45"/>
      <c r="AI426" s="45"/>
      <c r="AJ426" s="2575"/>
      <c r="AK426" s="2575"/>
      <c r="AL426" s="2575"/>
      <c r="AM426" s="2575"/>
      <c r="AN426" s="2575">
        <f>600000*1.0928</f>
        <v>655680</v>
      </c>
      <c r="AO426" s="2560"/>
    </row>
    <row r="427" spans="1:41" ht="15.95" customHeight="1" x14ac:dyDescent="0.3">
      <c r="A427" s="2839" t="s">
        <v>1008</v>
      </c>
      <c r="B427" s="2840"/>
      <c r="C427" s="120" t="s">
        <v>496</v>
      </c>
      <c r="D427" s="170" t="s">
        <v>497</v>
      </c>
      <c r="E427" s="2576">
        <v>8</v>
      </c>
      <c r="F427" s="2880"/>
      <c r="G427" s="2576">
        <v>47000</v>
      </c>
      <c r="H427" s="2577"/>
      <c r="I427" s="2559">
        <f t="shared" si="125"/>
        <v>376000</v>
      </c>
      <c r="J427" s="2560"/>
      <c r="K427" s="279"/>
      <c r="L427" s="152" t="s">
        <v>726</v>
      </c>
      <c r="M427" s="45"/>
      <c r="N427" s="45"/>
      <c r="O427" s="2575"/>
      <c r="P427" s="2575"/>
      <c r="Q427" s="2575"/>
      <c r="R427" s="2575"/>
      <c r="S427" s="2575">
        <f>+(S421+I446)*0.05</f>
        <v>1337854.4672000001</v>
      </c>
      <c r="T427" s="2560"/>
      <c r="U427" s="45"/>
      <c r="V427" s="2839" t="s">
        <v>1008</v>
      </c>
      <c r="W427" s="2840"/>
      <c r="X427" s="120" t="s">
        <v>496</v>
      </c>
      <c r="Y427" s="170" t="s">
        <v>497</v>
      </c>
      <c r="Z427" s="2576">
        <v>10</v>
      </c>
      <c r="AA427" s="2880"/>
      <c r="AB427" s="2919">
        <v>47000</v>
      </c>
      <c r="AC427" s="2920">
        <f t="shared" ref="AC427" si="127">(36040*6%)+36040</f>
        <v>38202.400000000001</v>
      </c>
      <c r="AD427" s="2559">
        <f t="shared" si="126"/>
        <v>470000</v>
      </c>
      <c r="AE427" s="2560"/>
      <c r="AF427" s="45"/>
      <c r="AG427" s="152" t="s">
        <v>531</v>
      </c>
      <c r="AH427" s="45"/>
      <c r="AI427" s="45"/>
      <c r="AJ427" s="2575"/>
      <c r="AK427" s="2575"/>
      <c r="AL427" s="2575"/>
      <c r="AM427" s="2575"/>
      <c r="AN427" s="2575">
        <f>+(AN421+AD446)*0.05</f>
        <v>677614.3409800001</v>
      </c>
      <c r="AO427" s="2560"/>
    </row>
    <row r="428" spans="1:41" ht="15.95" customHeight="1" x14ac:dyDescent="0.3">
      <c r="A428" s="2839" t="s">
        <v>1009</v>
      </c>
      <c r="B428" s="2840"/>
      <c r="C428" s="120" t="s">
        <v>496</v>
      </c>
      <c r="D428" s="170" t="s">
        <v>497</v>
      </c>
      <c r="E428" s="2576">
        <v>5</v>
      </c>
      <c r="F428" s="2880"/>
      <c r="G428" s="2576">
        <v>47000</v>
      </c>
      <c r="H428" s="2577"/>
      <c r="I428" s="2559">
        <f t="shared" si="125"/>
        <v>235000</v>
      </c>
      <c r="J428" s="2560"/>
      <c r="K428" s="279"/>
      <c r="L428" s="166" t="s">
        <v>504</v>
      </c>
      <c r="M428" s="155"/>
      <c r="N428" s="155"/>
      <c r="O428" s="2557"/>
      <c r="P428" s="2557"/>
      <c r="Q428" s="2557"/>
      <c r="R428" s="2557"/>
      <c r="S428" s="2557">
        <f>200000*1.0928</f>
        <v>218560</v>
      </c>
      <c r="T428" s="2558"/>
      <c r="U428" s="45"/>
      <c r="V428" s="2839" t="s">
        <v>1009</v>
      </c>
      <c r="W428" s="2840"/>
      <c r="X428" s="187"/>
      <c r="Y428" s="170"/>
      <c r="Z428" s="2576"/>
      <c r="AA428" s="2880"/>
      <c r="AB428" s="2576"/>
      <c r="AC428" s="2880"/>
      <c r="AD428" s="2559">
        <f t="shared" si="126"/>
        <v>0</v>
      </c>
      <c r="AE428" s="2560"/>
      <c r="AF428" s="45"/>
      <c r="AG428" s="166" t="s">
        <v>504</v>
      </c>
      <c r="AH428" s="155"/>
      <c r="AI428" s="155"/>
      <c r="AJ428" s="2557"/>
      <c r="AK428" s="2557"/>
      <c r="AL428" s="2557"/>
      <c r="AM428" s="2557"/>
      <c r="AN428" s="2557">
        <f>130000*1.0928</f>
        <v>142064</v>
      </c>
      <c r="AO428" s="2558"/>
    </row>
    <row r="429" spans="1:41" ht="15.95" customHeight="1" x14ac:dyDescent="0.3">
      <c r="A429" s="2839" t="s">
        <v>1010</v>
      </c>
      <c r="B429" s="2840"/>
      <c r="C429" s="120" t="s">
        <v>496</v>
      </c>
      <c r="D429" s="170" t="s">
        <v>497</v>
      </c>
      <c r="E429" s="2576">
        <v>3</v>
      </c>
      <c r="F429" s="2880"/>
      <c r="G429" s="2576">
        <v>47000</v>
      </c>
      <c r="H429" s="2577"/>
      <c r="I429" s="2559">
        <f t="shared" si="125"/>
        <v>141000</v>
      </c>
      <c r="J429" s="2560"/>
      <c r="K429" s="279"/>
      <c r="L429" s="156" t="s">
        <v>533</v>
      </c>
      <c r="M429" s="201"/>
      <c r="N429" s="201"/>
      <c r="O429" s="2885"/>
      <c r="P429" s="2885"/>
      <c r="Q429" s="2886"/>
      <c r="R429" s="2886"/>
      <c r="S429" s="2887">
        <f>SUM(S424:T428)</f>
        <v>3877788.9343999997</v>
      </c>
      <c r="T429" s="2887"/>
      <c r="U429" s="45"/>
      <c r="V429" s="2839" t="s">
        <v>1090</v>
      </c>
      <c r="W429" s="2840"/>
      <c r="X429" s="288"/>
      <c r="Y429" s="170"/>
      <c r="Z429" s="2576"/>
      <c r="AA429" s="2880"/>
      <c r="AB429" s="2576"/>
      <c r="AC429" s="2880"/>
      <c r="AD429" s="2559">
        <f t="shared" si="126"/>
        <v>0</v>
      </c>
      <c r="AE429" s="2560"/>
      <c r="AF429" s="45"/>
      <c r="AG429" s="156" t="s">
        <v>533</v>
      </c>
      <c r="AH429" s="201"/>
      <c r="AI429" s="201"/>
      <c r="AJ429" s="2885"/>
      <c r="AK429" s="2885"/>
      <c r="AL429" s="2886"/>
      <c r="AM429" s="2886"/>
      <c r="AN429" s="2887">
        <f>SUM(AN424:AO428)</f>
        <v>2480812.6819600002</v>
      </c>
      <c r="AO429" s="2887"/>
    </row>
    <row r="430" spans="1:41" ht="15.95" customHeight="1" x14ac:dyDescent="0.3">
      <c r="A430" s="2839" t="s">
        <v>1011</v>
      </c>
      <c r="B430" s="2840"/>
      <c r="C430" s="120" t="s">
        <v>496</v>
      </c>
      <c r="D430" s="170" t="s">
        <v>497</v>
      </c>
      <c r="E430" s="2576">
        <v>5</v>
      </c>
      <c r="F430" s="2880"/>
      <c r="G430" s="2576">
        <v>47000</v>
      </c>
      <c r="H430" s="2577"/>
      <c r="I430" s="2559">
        <f t="shared" si="125"/>
        <v>235000</v>
      </c>
      <c r="J430" s="2560"/>
      <c r="K430" s="279"/>
      <c r="L430" s="159"/>
      <c r="M430" s="45"/>
      <c r="N430" s="45"/>
      <c r="O430" s="2575"/>
      <c r="P430" s="2575"/>
      <c r="Q430" s="2575"/>
      <c r="R430" s="2575"/>
      <c r="S430" s="2575"/>
      <c r="T430" s="2560"/>
      <c r="U430" s="45"/>
      <c r="V430" s="2839" t="s">
        <v>1011</v>
      </c>
      <c r="W430" s="2840"/>
      <c r="X430" s="187"/>
      <c r="Y430" s="170"/>
      <c r="Z430" s="2576"/>
      <c r="AA430" s="2880"/>
      <c r="AB430" s="2576"/>
      <c r="AC430" s="2880"/>
      <c r="AD430" s="2559">
        <f t="shared" si="126"/>
        <v>0</v>
      </c>
      <c r="AE430" s="2560"/>
      <c r="AF430" s="45"/>
      <c r="AG430" s="159"/>
      <c r="AH430" s="45"/>
      <c r="AI430" s="45"/>
      <c r="AJ430" s="2575"/>
      <c r="AK430" s="2575"/>
      <c r="AL430" s="2575"/>
      <c r="AM430" s="2575"/>
      <c r="AN430" s="2575"/>
      <c r="AO430" s="2560"/>
    </row>
    <row r="431" spans="1:41" ht="15.95" customHeight="1" thickBot="1" x14ac:dyDescent="0.35">
      <c r="A431" s="2839" t="s">
        <v>1012</v>
      </c>
      <c r="B431" s="2840"/>
      <c r="C431" s="120" t="s">
        <v>496</v>
      </c>
      <c r="D431" s="170" t="s">
        <v>497</v>
      </c>
      <c r="E431" s="2576">
        <v>10</v>
      </c>
      <c r="F431" s="2880"/>
      <c r="G431" s="2576">
        <v>47000</v>
      </c>
      <c r="H431" s="2577"/>
      <c r="I431" s="2559">
        <f t="shared" si="125"/>
        <v>470000</v>
      </c>
      <c r="J431" s="2560"/>
      <c r="K431" s="279"/>
      <c r="L431" s="160" t="s">
        <v>583</v>
      </c>
      <c r="M431" s="205"/>
      <c r="N431" s="205"/>
      <c r="O431" s="205"/>
      <c r="P431" s="205"/>
      <c r="Q431" s="161"/>
      <c r="R431" s="161"/>
      <c r="S431" s="2580">
        <f>SUM(S429+S421+I446)</f>
        <v>30634878.2784</v>
      </c>
      <c r="T431" s="2581"/>
      <c r="U431" s="45"/>
      <c r="V431" s="2839" t="s">
        <v>1012</v>
      </c>
      <c r="W431" s="2840"/>
      <c r="X431" s="120" t="s">
        <v>496</v>
      </c>
      <c r="Y431" s="170" t="s">
        <v>497</v>
      </c>
      <c r="Z431" s="2576">
        <v>5</v>
      </c>
      <c r="AA431" s="2880"/>
      <c r="AB431" s="2919">
        <v>47000</v>
      </c>
      <c r="AC431" s="2920">
        <f t="shared" ref="AC431:AC433" si="128">(36040*6%)+36040</f>
        <v>38202.400000000001</v>
      </c>
      <c r="AD431" s="2559">
        <f t="shared" si="126"/>
        <v>235000</v>
      </c>
      <c r="AE431" s="2560"/>
      <c r="AF431" s="45"/>
      <c r="AG431" s="160" t="s">
        <v>583</v>
      </c>
      <c r="AH431" s="205"/>
      <c r="AI431" s="205"/>
      <c r="AJ431" s="205"/>
      <c r="AK431" s="205"/>
      <c r="AL431" s="161"/>
      <c r="AM431" s="161"/>
      <c r="AN431" s="2580">
        <f>SUM(AN429+AN421+AD446)</f>
        <v>16033099.501560001</v>
      </c>
      <c r="AO431" s="2581"/>
    </row>
    <row r="432" spans="1:41" ht="15.95" customHeight="1" x14ac:dyDescent="0.2">
      <c r="A432" s="2839" t="s">
        <v>1018</v>
      </c>
      <c r="B432" s="2840"/>
      <c r="C432" s="120" t="s">
        <v>496</v>
      </c>
      <c r="D432" s="170" t="s">
        <v>497</v>
      </c>
      <c r="E432" s="2559">
        <v>5</v>
      </c>
      <c r="F432" s="2560"/>
      <c r="G432" s="2576">
        <v>47000</v>
      </c>
      <c r="H432" s="2577"/>
      <c r="I432" s="2559">
        <f t="shared" si="125"/>
        <v>235000</v>
      </c>
      <c r="J432" s="2560"/>
      <c r="K432" s="284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2839" t="s">
        <v>1018</v>
      </c>
      <c r="W432" s="2840"/>
      <c r="X432" s="120" t="s">
        <v>496</v>
      </c>
      <c r="Y432" s="170" t="s">
        <v>497</v>
      </c>
      <c r="Z432" s="2559">
        <v>10</v>
      </c>
      <c r="AA432" s="2560"/>
      <c r="AB432" s="2919">
        <v>47000</v>
      </c>
      <c r="AC432" s="2920">
        <f t="shared" si="128"/>
        <v>38202.400000000001</v>
      </c>
      <c r="AD432" s="2559">
        <f t="shared" si="126"/>
        <v>470000</v>
      </c>
      <c r="AE432" s="2560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</row>
    <row r="433" spans="1:41" ht="15.95" customHeight="1" x14ac:dyDescent="0.3">
      <c r="A433" s="2839" t="s">
        <v>1019</v>
      </c>
      <c r="B433" s="2840"/>
      <c r="C433" s="120" t="s">
        <v>496</v>
      </c>
      <c r="D433" s="170" t="s">
        <v>497</v>
      </c>
      <c r="E433" s="2576">
        <v>3</v>
      </c>
      <c r="F433" s="2880"/>
      <c r="G433" s="2576">
        <v>47000</v>
      </c>
      <c r="H433" s="2577"/>
      <c r="I433" s="2559">
        <f t="shared" si="125"/>
        <v>141000</v>
      </c>
      <c r="J433" s="2560"/>
      <c r="K433" s="279"/>
      <c r="L433" s="7" t="s">
        <v>1528</v>
      </c>
      <c r="M433" s="45"/>
      <c r="N433" s="45"/>
      <c r="O433" s="45"/>
      <c r="P433" s="45"/>
      <c r="Q433" s="45"/>
      <c r="R433" s="45"/>
      <c r="S433" s="45"/>
      <c r="T433" s="45"/>
      <c r="U433" s="45"/>
      <c r="V433" s="2839" t="s">
        <v>1019</v>
      </c>
      <c r="W433" s="2840"/>
      <c r="X433" s="120" t="s">
        <v>496</v>
      </c>
      <c r="Y433" s="170" t="s">
        <v>497</v>
      </c>
      <c r="Z433" s="2576">
        <v>2</v>
      </c>
      <c r="AA433" s="2880"/>
      <c r="AB433" s="2919">
        <v>47000</v>
      </c>
      <c r="AC433" s="2920">
        <f t="shared" si="128"/>
        <v>38202.400000000001</v>
      </c>
      <c r="AD433" s="2559">
        <f t="shared" si="126"/>
        <v>94000</v>
      </c>
      <c r="AE433" s="2560"/>
      <c r="AF433" s="45"/>
      <c r="AG433" s="7" t="s">
        <v>1528</v>
      </c>
      <c r="AH433" s="45"/>
      <c r="AI433" s="45"/>
      <c r="AJ433" s="45"/>
      <c r="AK433" s="45"/>
      <c r="AL433" s="45"/>
      <c r="AM433" s="45"/>
      <c r="AN433" s="45"/>
      <c r="AO433" s="45"/>
    </row>
    <row r="434" spans="1:41" ht="15.95" customHeight="1" x14ac:dyDescent="0.3">
      <c r="A434" s="2839" t="s">
        <v>1020</v>
      </c>
      <c r="B434" s="2840"/>
      <c r="C434" s="187"/>
      <c r="D434" s="170"/>
      <c r="E434" s="2576"/>
      <c r="F434" s="2880"/>
      <c r="G434" s="2576"/>
      <c r="H434" s="2880"/>
      <c r="I434" s="2559">
        <f t="shared" si="125"/>
        <v>0</v>
      </c>
      <c r="J434" s="2560"/>
      <c r="K434" s="279"/>
      <c r="L434" s="597" t="s">
        <v>1584</v>
      </c>
      <c r="M434" s="266"/>
      <c r="N434" s="266"/>
      <c r="O434" s="266"/>
      <c r="P434" s="266"/>
      <c r="Q434" s="1783"/>
      <c r="R434" s="266"/>
      <c r="S434" s="266"/>
      <c r="T434" s="45"/>
      <c r="U434" s="45"/>
      <c r="V434" s="2839" t="s">
        <v>1020</v>
      </c>
      <c r="W434" s="2840"/>
      <c r="X434" s="187"/>
      <c r="Y434" s="170"/>
      <c r="Z434" s="2576"/>
      <c r="AA434" s="2880"/>
      <c r="AB434" s="2576"/>
      <c r="AC434" s="2880"/>
      <c r="AD434" s="2559">
        <f t="shared" si="126"/>
        <v>0</v>
      </c>
      <c r="AE434" s="2560"/>
      <c r="AF434" s="45"/>
      <c r="AG434" s="597" t="s">
        <v>1584</v>
      </c>
      <c r="AH434" s="266"/>
      <c r="AI434" s="266"/>
      <c r="AJ434" s="266"/>
      <c r="AK434" s="266"/>
      <c r="AL434" s="1783"/>
      <c r="AM434" s="266"/>
      <c r="AN434" s="266"/>
      <c r="AO434" s="45"/>
    </row>
    <row r="435" spans="1:41" ht="15.95" customHeight="1" x14ac:dyDescent="0.3">
      <c r="A435" s="2839" t="s">
        <v>1021</v>
      </c>
      <c r="B435" s="2840"/>
      <c r="C435" s="187"/>
      <c r="D435" s="170"/>
      <c r="E435" s="2576"/>
      <c r="F435" s="2880"/>
      <c r="G435" s="2576"/>
      <c r="H435" s="2880"/>
      <c r="I435" s="2559">
        <f t="shared" si="125"/>
        <v>0</v>
      </c>
      <c r="J435" s="2560"/>
      <c r="K435" s="279"/>
      <c r="L435" s="45"/>
      <c r="M435" s="206"/>
      <c r="N435" s="206"/>
      <c r="O435" s="206"/>
      <c r="P435" s="206"/>
      <c r="Q435" s="107"/>
      <c r="R435" s="44"/>
      <c r="S435" s="44"/>
      <c r="T435" s="45"/>
      <c r="U435" s="45"/>
      <c r="V435" s="2839" t="s">
        <v>1021</v>
      </c>
      <c r="W435" s="2840"/>
      <c r="X435" s="187"/>
      <c r="Y435" s="170"/>
      <c r="Z435" s="2576"/>
      <c r="AA435" s="2880"/>
      <c r="AB435" s="2576"/>
      <c r="AC435" s="2880"/>
      <c r="AD435" s="2559">
        <f t="shared" si="126"/>
        <v>0</v>
      </c>
      <c r="AE435" s="2560"/>
      <c r="AF435" s="45"/>
      <c r="AG435" s="45"/>
      <c r="AH435" s="2834"/>
      <c r="AI435" s="2834"/>
      <c r="AJ435" s="2834"/>
      <c r="AK435" s="2834"/>
      <c r="AL435" s="300"/>
      <c r="AM435" s="44"/>
      <c r="AN435" s="44"/>
      <c r="AO435" s="45"/>
    </row>
    <row r="436" spans="1:41" ht="15.95" customHeight="1" x14ac:dyDescent="0.2">
      <c r="A436" s="2839" t="s">
        <v>1022</v>
      </c>
      <c r="B436" s="2840"/>
      <c r="C436" s="120" t="s">
        <v>496</v>
      </c>
      <c r="D436" s="170" t="s">
        <v>497</v>
      </c>
      <c r="E436" s="2559">
        <v>10</v>
      </c>
      <c r="F436" s="2560"/>
      <c r="G436" s="2576">
        <v>47000</v>
      </c>
      <c r="H436" s="2577"/>
      <c r="I436" s="2559">
        <f t="shared" si="125"/>
        <v>470000</v>
      </c>
      <c r="J436" s="2560"/>
      <c r="K436" s="279"/>
      <c r="L436" s="45"/>
      <c r="M436" s="2834"/>
      <c r="N436" s="2834"/>
      <c r="O436" s="2834"/>
      <c r="P436" s="2834"/>
      <c r="Q436" s="107"/>
      <c r="R436" s="44"/>
      <c r="S436" s="45"/>
      <c r="T436" s="45"/>
      <c r="U436" s="45"/>
      <c r="V436" s="2839" t="s">
        <v>1022</v>
      </c>
      <c r="W436" s="2840"/>
      <c r="X436" s="120" t="s">
        <v>496</v>
      </c>
      <c r="Y436" s="170" t="s">
        <v>497</v>
      </c>
      <c r="Z436" s="2559">
        <v>12</v>
      </c>
      <c r="AA436" s="2560"/>
      <c r="AB436" s="2919">
        <v>47000</v>
      </c>
      <c r="AC436" s="2920">
        <f t="shared" ref="AC436:AC438" si="129">(36040*6%)+36040</f>
        <v>38202.400000000001</v>
      </c>
      <c r="AD436" s="2559">
        <f t="shared" si="126"/>
        <v>564000</v>
      </c>
      <c r="AE436" s="2560"/>
      <c r="AF436" s="45"/>
      <c r="AG436" s="45"/>
      <c r="AH436" s="206"/>
      <c r="AI436" s="206"/>
      <c r="AJ436" s="206"/>
      <c r="AK436" s="206"/>
      <c r="AL436" s="107"/>
      <c r="AM436" s="44"/>
      <c r="AN436" s="45"/>
      <c r="AO436" s="45"/>
    </row>
    <row r="437" spans="1:41" ht="15.95" customHeight="1" x14ac:dyDescent="0.2">
      <c r="A437" s="2839" t="s">
        <v>881</v>
      </c>
      <c r="B437" s="2840"/>
      <c r="C437" s="120" t="s">
        <v>496</v>
      </c>
      <c r="D437" s="170" t="s">
        <v>497</v>
      </c>
      <c r="E437" s="2559">
        <v>8</v>
      </c>
      <c r="F437" s="2560"/>
      <c r="G437" s="2576">
        <v>47000</v>
      </c>
      <c r="H437" s="2577"/>
      <c r="I437" s="2559">
        <f t="shared" si="125"/>
        <v>376000</v>
      </c>
      <c r="J437" s="2560"/>
      <c r="K437" s="279"/>
      <c r="L437" s="45"/>
      <c r="M437" s="2834"/>
      <c r="N437" s="2834"/>
      <c r="O437" s="2834"/>
      <c r="P437" s="2834"/>
      <c r="Q437" s="107"/>
      <c r="R437" s="45"/>
      <c r="S437" s="45"/>
      <c r="T437" s="45"/>
      <c r="U437" s="45"/>
      <c r="V437" s="2839" t="s">
        <v>881</v>
      </c>
      <c r="W437" s="2840"/>
      <c r="X437" s="120" t="s">
        <v>496</v>
      </c>
      <c r="Y437" s="170" t="s">
        <v>497</v>
      </c>
      <c r="Z437" s="2559">
        <v>10</v>
      </c>
      <c r="AA437" s="2560"/>
      <c r="AB437" s="2919">
        <v>47000</v>
      </c>
      <c r="AC437" s="2920">
        <f t="shared" si="129"/>
        <v>38202.400000000001</v>
      </c>
      <c r="AD437" s="2559">
        <f t="shared" si="126"/>
        <v>470000</v>
      </c>
      <c r="AE437" s="2560"/>
      <c r="AF437" s="45"/>
      <c r="AG437" s="45"/>
      <c r="AH437" s="206"/>
      <c r="AI437" s="206"/>
      <c r="AJ437" s="206"/>
      <c r="AK437" s="206"/>
      <c r="AL437" s="107"/>
      <c r="AM437" s="45"/>
      <c r="AN437" s="45"/>
      <c r="AO437" s="45"/>
    </row>
    <row r="438" spans="1:41" ht="15.95" customHeight="1" x14ac:dyDescent="0.3">
      <c r="A438" s="2839" t="s">
        <v>882</v>
      </c>
      <c r="B438" s="2840"/>
      <c r="C438" s="120" t="s">
        <v>496</v>
      </c>
      <c r="D438" s="170" t="s">
        <v>497</v>
      </c>
      <c r="E438" s="2576">
        <v>2</v>
      </c>
      <c r="F438" s="2880"/>
      <c r="G438" s="2576">
        <v>47000</v>
      </c>
      <c r="H438" s="2577"/>
      <c r="I438" s="2559">
        <f t="shared" si="125"/>
        <v>94000</v>
      </c>
      <c r="J438" s="2560"/>
      <c r="K438" s="279"/>
      <c r="L438" s="45"/>
      <c r="M438" s="2834"/>
      <c r="N438" s="2834"/>
      <c r="O438" s="2834"/>
      <c r="P438" s="2834"/>
      <c r="Q438" s="273"/>
      <c r="R438" s="44"/>
      <c r="S438" s="45"/>
      <c r="T438" s="45"/>
      <c r="U438" s="45"/>
      <c r="V438" s="2839" t="s">
        <v>882</v>
      </c>
      <c r="W438" s="2840"/>
      <c r="X438" s="120" t="s">
        <v>496</v>
      </c>
      <c r="Y438" s="170" t="s">
        <v>497</v>
      </c>
      <c r="Z438" s="2576">
        <v>5</v>
      </c>
      <c r="AA438" s="2880"/>
      <c r="AB438" s="2919">
        <v>47000</v>
      </c>
      <c r="AC438" s="2920">
        <f t="shared" si="129"/>
        <v>38202.400000000001</v>
      </c>
      <c r="AD438" s="2559">
        <f t="shared" si="126"/>
        <v>235000</v>
      </c>
      <c r="AE438" s="2560"/>
      <c r="AF438" s="45"/>
      <c r="AG438" s="45"/>
      <c r="AH438" s="2834"/>
      <c r="AI438" s="2834"/>
      <c r="AJ438" s="2834"/>
      <c r="AK438" s="2834"/>
      <c r="AL438" s="107"/>
      <c r="AM438" s="44"/>
      <c r="AN438" s="45"/>
      <c r="AO438" s="45"/>
    </row>
    <row r="439" spans="1:41" ht="15.95" customHeight="1" x14ac:dyDescent="0.3">
      <c r="A439" s="2911" t="s">
        <v>1023</v>
      </c>
      <c r="B439" s="2912"/>
      <c r="C439" s="187"/>
      <c r="D439" s="170"/>
      <c r="E439" s="2576"/>
      <c r="F439" s="2880"/>
      <c r="G439" s="2576"/>
      <c r="H439" s="2880"/>
      <c r="I439" s="2565">
        <f>SUM(I440:J445)</f>
        <v>1241614.496</v>
      </c>
      <c r="J439" s="2566"/>
      <c r="K439" s="279"/>
      <c r="L439" s="45"/>
      <c r="M439" s="45"/>
      <c r="N439" s="45"/>
      <c r="O439" s="45"/>
      <c r="P439" s="45"/>
      <c r="Q439" s="45"/>
      <c r="R439" s="44"/>
      <c r="S439" s="45"/>
      <c r="T439" s="45"/>
      <c r="U439" s="45"/>
      <c r="V439" s="2911" t="s">
        <v>1023</v>
      </c>
      <c r="W439" s="2912"/>
      <c r="X439" s="197"/>
      <c r="Y439" s="170"/>
      <c r="Z439" s="2576"/>
      <c r="AA439" s="2880"/>
      <c r="AB439" s="2576"/>
      <c r="AC439" s="2880"/>
      <c r="AD439" s="2565">
        <f>SUM(AD440:AE445)</f>
        <v>4919846.25</v>
      </c>
      <c r="AE439" s="2566"/>
      <c r="AF439" s="45"/>
      <c r="AG439" s="45"/>
      <c r="AH439" s="2834"/>
      <c r="AI439" s="2834"/>
      <c r="AJ439" s="2834"/>
      <c r="AK439" s="2834"/>
      <c r="AL439" s="107"/>
      <c r="AM439" s="44"/>
      <c r="AN439" s="45"/>
      <c r="AO439" s="45"/>
    </row>
    <row r="440" spans="1:41" ht="15.95" customHeight="1" x14ac:dyDescent="0.3">
      <c r="A440" s="2839" t="s">
        <v>884</v>
      </c>
      <c r="B440" s="2840"/>
      <c r="C440" s="120" t="s">
        <v>496</v>
      </c>
      <c r="D440" s="170" t="s">
        <v>497</v>
      </c>
      <c r="E440" s="2576">
        <v>5</v>
      </c>
      <c r="F440" s="2880"/>
      <c r="G440" s="2576">
        <v>47000</v>
      </c>
      <c r="H440" s="2577"/>
      <c r="I440" s="2559">
        <f>E440*G440</f>
        <v>235000</v>
      </c>
      <c r="J440" s="2560"/>
      <c r="K440" s="279"/>
      <c r="L440" s="45"/>
      <c r="M440" s="45"/>
      <c r="N440" s="45"/>
      <c r="O440" s="45"/>
      <c r="P440" s="45"/>
      <c r="Q440" s="45"/>
      <c r="R440" s="44"/>
      <c r="S440" s="45"/>
      <c r="T440" s="45"/>
      <c r="U440" s="45"/>
      <c r="V440" s="2839" t="s">
        <v>884</v>
      </c>
      <c r="W440" s="2840"/>
      <c r="X440" s="120" t="s">
        <v>496</v>
      </c>
      <c r="Y440" s="170" t="s">
        <v>497</v>
      </c>
      <c r="Z440" s="2576">
        <v>40</v>
      </c>
      <c r="AA440" s="2880"/>
      <c r="AB440" s="2919">
        <v>47000</v>
      </c>
      <c r="AC440" s="2920">
        <f t="shared" ref="AC440:AC443" si="130">(36040*6%)+36040</f>
        <v>38202.400000000001</v>
      </c>
      <c r="AD440" s="2559">
        <f>Z440*AB440</f>
        <v>1880000</v>
      </c>
      <c r="AE440" s="2560"/>
      <c r="AF440" s="45"/>
      <c r="AG440" s="45"/>
      <c r="AH440" s="2834"/>
      <c r="AI440" s="2834"/>
      <c r="AJ440" s="2834"/>
      <c r="AK440" s="2834"/>
      <c r="AL440" s="273"/>
      <c r="AM440" s="44"/>
      <c r="AN440" s="45"/>
      <c r="AO440" s="45"/>
    </row>
    <row r="441" spans="1:41" ht="15.95" customHeight="1" x14ac:dyDescent="0.3">
      <c r="A441" s="2839" t="s">
        <v>1024</v>
      </c>
      <c r="B441" s="2840"/>
      <c r="C441" s="120" t="s">
        <v>496</v>
      </c>
      <c r="D441" s="170" t="s">
        <v>497</v>
      </c>
      <c r="E441" s="2576">
        <v>1</v>
      </c>
      <c r="F441" s="2880"/>
      <c r="G441" s="2576">
        <v>47000</v>
      </c>
      <c r="H441" s="2577"/>
      <c r="I441" s="2559">
        <f>E441*G441</f>
        <v>47000</v>
      </c>
      <c r="J441" s="2560"/>
      <c r="K441" s="279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2839" t="s">
        <v>1024</v>
      </c>
      <c r="W441" s="2840"/>
      <c r="X441" s="120" t="s">
        <v>496</v>
      </c>
      <c r="Y441" s="170" t="s">
        <v>497</v>
      </c>
      <c r="Z441" s="2576">
        <v>5</v>
      </c>
      <c r="AA441" s="2880"/>
      <c r="AB441" s="2919">
        <v>47000</v>
      </c>
      <c r="AC441" s="2920">
        <f t="shared" si="130"/>
        <v>38202.400000000001</v>
      </c>
      <c r="AD441" s="2559">
        <f>Z441*AB441</f>
        <v>235000</v>
      </c>
      <c r="AE441" s="2560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</row>
    <row r="442" spans="1:41" ht="15.95" customHeight="1" x14ac:dyDescent="0.3">
      <c r="A442" s="2839" t="s">
        <v>893</v>
      </c>
      <c r="B442" s="2840"/>
      <c r="C442" s="120" t="s">
        <v>496</v>
      </c>
      <c r="D442" s="170" t="s">
        <v>497</v>
      </c>
      <c r="E442" s="2576">
        <v>2</v>
      </c>
      <c r="F442" s="2880"/>
      <c r="G442" s="2576">
        <v>47000</v>
      </c>
      <c r="H442" s="2577"/>
      <c r="I442" s="2559">
        <f>E442*G442</f>
        <v>94000</v>
      </c>
      <c r="J442" s="2560"/>
      <c r="K442" s="279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2839" t="s">
        <v>893</v>
      </c>
      <c r="W442" s="2840"/>
      <c r="X442" s="120" t="s">
        <v>496</v>
      </c>
      <c r="Y442" s="170" t="s">
        <v>497</v>
      </c>
      <c r="Z442" s="2576">
        <v>10</v>
      </c>
      <c r="AA442" s="2880"/>
      <c r="AB442" s="2919">
        <v>47000</v>
      </c>
      <c r="AC442" s="2920">
        <f t="shared" si="130"/>
        <v>38202.400000000001</v>
      </c>
      <c r="AD442" s="2559">
        <f>Z442*AB442</f>
        <v>470000</v>
      </c>
      <c r="AE442" s="2560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</row>
    <row r="443" spans="1:41" ht="15.95" customHeight="1" x14ac:dyDescent="0.3">
      <c r="A443" s="2839" t="s">
        <v>728</v>
      </c>
      <c r="B443" s="2840"/>
      <c r="C443" s="120" t="s">
        <v>496</v>
      </c>
      <c r="D443" s="170" t="s">
        <v>497</v>
      </c>
      <c r="E443" s="2576">
        <v>1</v>
      </c>
      <c r="F443" s="2880"/>
      <c r="G443" s="2576">
        <v>47000</v>
      </c>
      <c r="H443" s="2577"/>
      <c r="I443" s="2559">
        <f>E443*G443</f>
        <v>47000</v>
      </c>
      <c r="J443" s="2560"/>
      <c r="L443" s="45"/>
      <c r="M443" s="45"/>
      <c r="N443" s="45"/>
      <c r="O443" s="45"/>
      <c r="P443" s="45"/>
      <c r="Q443" s="45"/>
      <c r="U443" s="45"/>
      <c r="V443" s="2839" t="s">
        <v>728</v>
      </c>
      <c r="W443" s="2840"/>
      <c r="X443" s="120" t="s">
        <v>496</v>
      </c>
      <c r="Y443" s="170" t="s">
        <v>497</v>
      </c>
      <c r="Z443" s="2576">
        <v>5</v>
      </c>
      <c r="AA443" s="2880"/>
      <c r="AB443" s="2919">
        <v>47000</v>
      </c>
      <c r="AC443" s="2920">
        <f t="shared" si="130"/>
        <v>38202.400000000001</v>
      </c>
      <c r="AD443" s="2559">
        <f>Z443*AB443</f>
        <v>235000</v>
      </c>
      <c r="AE443" s="2560"/>
      <c r="AF443" s="45"/>
      <c r="AG443" s="45"/>
      <c r="AH443" s="45"/>
      <c r="AI443" s="45"/>
      <c r="AJ443" s="45"/>
      <c r="AK443" s="45"/>
      <c r="AL443" s="45"/>
    </row>
    <row r="444" spans="1:41" ht="15.95" customHeight="1" x14ac:dyDescent="0.3">
      <c r="A444" s="2839" t="s">
        <v>765</v>
      </c>
      <c r="B444" s="2840"/>
      <c r="C444" s="187"/>
      <c r="D444" s="170" t="s">
        <v>794</v>
      </c>
      <c r="E444" s="2576"/>
      <c r="F444" s="2880"/>
      <c r="G444" s="2576"/>
      <c r="H444" s="2880"/>
      <c r="I444" s="2559">
        <v>350000</v>
      </c>
      <c r="J444" s="2560"/>
      <c r="L444" s="45"/>
      <c r="M444" s="45"/>
      <c r="N444" s="45"/>
      <c r="O444" s="45"/>
      <c r="P444" s="45"/>
      <c r="Q444" s="45"/>
      <c r="U444" s="45"/>
      <c r="V444" s="2839" t="s">
        <v>1559</v>
      </c>
      <c r="W444" s="2840"/>
      <c r="X444" s="120" t="s">
        <v>794</v>
      </c>
      <c r="Y444" s="170"/>
      <c r="Z444" s="2576"/>
      <c r="AA444" s="2880"/>
      <c r="AB444" s="2576"/>
      <c r="AC444" s="2880"/>
      <c r="AD444" s="2559">
        <f>450000*1.0928</f>
        <v>491760</v>
      </c>
      <c r="AE444" s="2560"/>
      <c r="AF444" s="45"/>
      <c r="AG444" s="45"/>
      <c r="AH444" s="45"/>
      <c r="AI444" s="45"/>
      <c r="AJ444" s="45"/>
      <c r="AK444" s="45"/>
      <c r="AL444" s="45"/>
    </row>
    <row r="445" spans="1:41" ht="15.95" customHeight="1" x14ac:dyDescent="0.3">
      <c r="A445" s="2839" t="s">
        <v>615</v>
      </c>
      <c r="B445" s="2840"/>
      <c r="C445" s="170" t="s">
        <v>587</v>
      </c>
      <c r="D445" s="170" t="s">
        <v>556</v>
      </c>
      <c r="E445" s="2576">
        <v>4</v>
      </c>
      <c r="F445" s="2880"/>
      <c r="G445" s="3004">
        <f>107205*1.0928</f>
        <v>117153.624</v>
      </c>
      <c r="H445" s="3005">
        <f t="shared" ref="H445" si="131">(95294*6%)+95294</f>
        <v>101011.64</v>
      </c>
      <c r="I445" s="2559">
        <f>E445*G445</f>
        <v>468614.49599999998</v>
      </c>
      <c r="J445" s="2560"/>
      <c r="U445" s="45"/>
      <c r="V445" s="2839" t="s">
        <v>615</v>
      </c>
      <c r="W445" s="2840"/>
      <c r="X445" s="187"/>
      <c r="Y445" s="170" t="s">
        <v>556</v>
      </c>
      <c r="Z445" s="2576">
        <v>15</v>
      </c>
      <c r="AA445" s="2880"/>
      <c r="AB445" s="2576">
        <f>+(95294*12.5%)+95294</f>
        <v>107205.75</v>
      </c>
      <c r="AC445" s="2880"/>
      <c r="AD445" s="2559">
        <f>Z445*AB445</f>
        <v>1608086.25</v>
      </c>
      <c r="AE445" s="2560"/>
      <c r="AF445" s="45"/>
    </row>
    <row r="446" spans="1:41" ht="15.95" customHeight="1" thickBot="1" x14ac:dyDescent="0.25">
      <c r="A446" s="208" t="s">
        <v>558</v>
      </c>
      <c r="B446" s="209"/>
      <c r="C446" s="210"/>
      <c r="D446" s="209"/>
      <c r="E446" s="2561">
        <f>SUM(E414:F443)+SUM(E403:F408)</f>
        <v>123</v>
      </c>
      <c r="F446" s="2562"/>
      <c r="G446" s="2561"/>
      <c r="H446" s="2562"/>
      <c r="I446" s="2561">
        <f>SUM(I439+I420+I409+I405+I402)</f>
        <v>7242548.0767999999</v>
      </c>
      <c r="J446" s="2562"/>
      <c r="U446" s="45"/>
      <c r="V446" s="208" t="s">
        <v>558</v>
      </c>
      <c r="W446" s="209"/>
      <c r="X446" s="210"/>
      <c r="Y446" s="209"/>
      <c r="Z446" s="2561">
        <f>SUM(Z427:AA444)</f>
        <v>114</v>
      </c>
      <c r="AA446" s="2562"/>
      <c r="AB446" s="2561"/>
      <c r="AC446" s="2562"/>
      <c r="AD446" s="2561">
        <f>SUM(AD439+AD420+AD409+AD405+AD402)</f>
        <v>7457846.25</v>
      </c>
      <c r="AE446" s="2562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</row>
    <row r="447" spans="1:41" ht="15.95" customHeight="1" x14ac:dyDescent="0.2">
      <c r="A447" s="45"/>
      <c r="B447" s="45"/>
      <c r="C447" s="45"/>
      <c r="D447" s="45"/>
      <c r="E447" s="45"/>
      <c r="F447" s="45"/>
      <c r="G447" s="45"/>
      <c r="H447" s="275"/>
      <c r="I447" s="275"/>
      <c r="J447" s="275"/>
      <c r="K447" s="295"/>
      <c r="L447" s="45"/>
      <c r="M447" s="45"/>
      <c r="N447" s="45"/>
      <c r="O447" s="45"/>
      <c r="P447" s="45"/>
      <c r="Q447" s="45"/>
      <c r="R447" s="45"/>
      <c r="S447" s="295"/>
      <c r="T447" s="295"/>
      <c r="U447" s="276"/>
      <c r="V447" s="45"/>
      <c r="W447" s="45"/>
      <c r="X447" s="45"/>
      <c r="Y447" s="45"/>
      <c r="Z447" s="45"/>
      <c r="AA447" s="45"/>
      <c r="AB447" s="45"/>
      <c r="AC447" s="275"/>
      <c r="AD447" s="275"/>
      <c r="AE447" s="275"/>
      <c r="AF447" s="276"/>
      <c r="AG447" s="45"/>
      <c r="AH447" s="45"/>
      <c r="AI447" s="45"/>
      <c r="AJ447" s="45"/>
      <c r="AK447" s="45"/>
      <c r="AL447" s="45"/>
      <c r="AM447" s="45"/>
      <c r="AN447" s="276"/>
      <c r="AO447" s="276"/>
    </row>
    <row r="448" spans="1:41" ht="15.95" customHeight="1" x14ac:dyDescent="0.2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2909"/>
      <c r="T448" s="2909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2909"/>
      <c r="AO448" s="2909"/>
    </row>
    <row r="449" spans="1:41" ht="15.95" customHeight="1" x14ac:dyDescent="0.2">
      <c r="A449" s="2654"/>
      <c r="B449" s="2654"/>
      <c r="C449" s="2654"/>
      <c r="D449" s="2654"/>
      <c r="E449" s="2654"/>
      <c r="F449" s="2654"/>
      <c r="G449" s="2654"/>
      <c r="H449" s="2654"/>
      <c r="I449" s="2654"/>
      <c r="J449" s="2654"/>
      <c r="K449" s="2654"/>
      <c r="L449" s="2654"/>
      <c r="M449" s="2654"/>
      <c r="N449" s="2654"/>
      <c r="O449" s="2654"/>
      <c r="P449" s="2654"/>
      <c r="Q449" s="2654"/>
      <c r="R449" s="2654"/>
      <c r="S449" s="2654"/>
      <c r="T449" s="2654"/>
      <c r="U449" s="2654"/>
      <c r="V449" s="2654"/>
      <c r="W449" s="2654"/>
      <c r="X449" s="2654"/>
      <c r="Y449" s="2654"/>
      <c r="Z449" s="2654"/>
      <c r="AA449" s="2654"/>
      <c r="AB449" s="2654"/>
      <c r="AC449" s="2654"/>
      <c r="AD449" s="2654"/>
      <c r="AE449" s="2654"/>
      <c r="AF449" s="2654"/>
      <c r="AG449" s="2654"/>
      <c r="AH449" s="2654"/>
      <c r="AI449" s="2654"/>
      <c r="AJ449" s="2654"/>
      <c r="AK449" s="2654"/>
      <c r="AL449" s="2654"/>
      <c r="AM449" s="2654"/>
      <c r="AN449" s="2654"/>
      <c r="AO449" s="2654"/>
    </row>
    <row r="450" spans="1:41" ht="15.95" customHeight="1" x14ac:dyDescent="0.2">
      <c r="A450" s="277"/>
      <c r="B450" s="277"/>
      <c r="C450" s="277"/>
      <c r="D450" s="277"/>
      <c r="E450" s="275"/>
      <c r="F450" s="275"/>
      <c r="G450" s="275"/>
      <c r="H450" s="275"/>
      <c r="I450" s="275"/>
      <c r="J450" s="275"/>
      <c r="K450" s="295"/>
      <c r="L450" s="295"/>
      <c r="M450" s="295"/>
      <c r="N450" s="295"/>
      <c r="O450" s="295"/>
      <c r="P450" s="295"/>
      <c r="Q450" s="295"/>
      <c r="R450" s="295"/>
      <c r="S450" s="295"/>
      <c r="T450" s="295"/>
      <c r="U450" s="276"/>
      <c r="V450" s="277"/>
      <c r="W450" s="277"/>
      <c r="X450" s="277"/>
      <c r="Y450" s="277"/>
      <c r="Z450" s="275"/>
      <c r="AA450" s="275"/>
      <c r="AB450" s="275"/>
      <c r="AC450" s="275"/>
      <c r="AD450" s="275"/>
      <c r="AE450" s="275"/>
      <c r="AF450" s="276"/>
      <c r="AG450" s="276"/>
      <c r="AH450" s="276"/>
      <c r="AI450" s="276"/>
      <c r="AJ450" s="276"/>
      <c r="AK450" s="276"/>
      <c r="AL450" s="276"/>
      <c r="AM450" s="276"/>
      <c r="AN450" s="276"/>
      <c r="AO450" s="276"/>
    </row>
    <row r="451" spans="1:41" ht="15.95" customHeight="1" x14ac:dyDescent="0.2">
      <c r="A451" s="2611" t="s">
        <v>1960</v>
      </c>
      <c r="B451" s="2611"/>
      <c r="C451" s="2611"/>
      <c r="D451" s="2611"/>
      <c r="E451" s="2611"/>
      <c r="F451" s="2611"/>
      <c r="G451" s="2611"/>
      <c r="H451" s="2611"/>
      <c r="I451" s="2611"/>
      <c r="J451" s="2611"/>
      <c r="K451" s="2611"/>
      <c r="L451" s="2611"/>
      <c r="M451" s="2611"/>
      <c r="N451" s="2611"/>
      <c r="O451" s="2611"/>
      <c r="P451" s="2611"/>
      <c r="Q451" s="2611"/>
      <c r="R451" s="2611"/>
      <c r="S451" s="2611"/>
      <c r="T451" s="2611"/>
      <c r="U451" s="47"/>
      <c r="V451" s="2611" t="s">
        <v>1961</v>
      </c>
      <c r="W451" s="2611"/>
      <c r="X451" s="2611"/>
      <c r="Y451" s="2611"/>
      <c r="Z451" s="2611"/>
      <c r="AA451" s="2611"/>
      <c r="AB451" s="2611"/>
      <c r="AC451" s="2611"/>
      <c r="AD451" s="2611"/>
      <c r="AE451" s="2611"/>
      <c r="AF451" s="2611"/>
      <c r="AG451" s="2611"/>
      <c r="AH451" s="2611"/>
      <c r="AI451" s="2611"/>
      <c r="AJ451" s="2611"/>
      <c r="AK451" s="2611"/>
      <c r="AL451" s="2611"/>
      <c r="AM451" s="2611"/>
      <c r="AN451" s="2611"/>
      <c r="AO451" s="2611"/>
    </row>
    <row r="452" spans="1:41" ht="15.95" customHeight="1" thickBot="1" x14ac:dyDescent="0.25">
      <c r="A452" s="2611"/>
      <c r="B452" s="2611"/>
      <c r="C452" s="2611"/>
      <c r="D452" s="2611"/>
      <c r="E452" s="2611"/>
      <c r="F452" s="2611"/>
      <c r="G452" s="2611"/>
      <c r="H452" s="2611"/>
      <c r="I452" s="2611"/>
      <c r="J452" s="2611"/>
      <c r="K452" s="2611"/>
      <c r="L452" s="2611"/>
      <c r="M452" s="2611"/>
      <c r="N452" s="2611"/>
      <c r="O452" s="2611"/>
      <c r="P452" s="2611"/>
      <c r="Q452" s="2611"/>
      <c r="R452" s="2611"/>
      <c r="S452" s="2611"/>
      <c r="T452" s="2611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</row>
    <row r="453" spans="1:41" ht="15.95" customHeight="1" x14ac:dyDescent="0.3">
      <c r="A453" s="2618" t="s">
        <v>435</v>
      </c>
      <c r="B453" s="2620"/>
      <c r="C453" s="2618" t="s">
        <v>436</v>
      </c>
      <c r="D453" s="2619"/>
      <c r="E453" s="2619"/>
      <c r="F453" s="2620"/>
      <c r="G453" s="2618" t="s">
        <v>437</v>
      </c>
      <c r="H453" s="2620"/>
      <c r="I453" s="2618" t="s">
        <v>438</v>
      </c>
      <c r="J453" s="2620"/>
      <c r="K453" s="45"/>
      <c r="L453" s="2633" t="s">
        <v>435</v>
      </c>
      <c r="M453" s="2618" t="s">
        <v>436</v>
      </c>
      <c r="N453" s="2619"/>
      <c r="O453" s="2619"/>
      <c r="P453" s="2620"/>
      <c r="Q453" s="2618" t="s">
        <v>437</v>
      </c>
      <c r="R453" s="2620"/>
      <c r="S453" s="2618"/>
      <c r="T453" s="2620"/>
      <c r="U453" s="268"/>
      <c r="V453" s="2618" t="s">
        <v>435</v>
      </c>
      <c r="W453" s="2620"/>
      <c r="X453" s="2618" t="s">
        <v>436</v>
      </c>
      <c r="Y453" s="2619"/>
      <c r="Z453" s="2619"/>
      <c r="AA453" s="2620"/>
      <c r="AB453" s="2618" t="s">
        <v>437</v>
      </c>
      <c r="AC453" s="2620"/>
      <c r="AD453" s="2618" t="s">
        <v>438</v>
      </c>
      <c r="AE453" s="2620"/>
      <c r="AF453" s="45"/>
      <c r="AG453" s="2633" t="s">
        <v>435</v>
      </c>
      <c r="AH453" s="2618" t="s">
        <v>436</v>
      </c>
      <c r="AI453" s="2619"/>
      <c r="AJ453" s="2619"/>
      <c r="AK453" s="2620"/>
      <c r="AL453" s="2618" t="s">
        <v>437</v>
      </c>
      <c r="AM453" s="2620"/>
      <c r="AN453" s="2618"/>
      <c r="AO453" s="2900"/>
    </row>
    <row r="454" spans="1:41" ht="15.95" customHeight="1" thickBot="1" x14ac:dyDescent="0.35">
      <c r="A454" s="2631"/>
      <c r="B454" s="2632"/>
      <c r="C454" s="2621"/>
      <c r="D454" s="2622"/>
      <c r="E454" s="2622"/>
      <c r="F454" s="2623"/>
      <c r="G454" s="2631" t="s">
        <v>440</v>
      </c>
      <c r="H454" s="2632"/>
      <c r="I454" s="2631"/>
      <c r="J454" s="2632"/>
      <c r="K454" s="45"/>
      <c r="L454" s="2670"/>
      <c r="M454" s="2621"/>
      <c r="N454" s="2622"/>
      <c r="O454" s="2622"/>
      <c r="P454" s="2623"/>
      <c r="Q454" s="2631" t="s">
        <v>440</v>
      </c>
      <c r="R454" s="2632"/>
      <c r="S454" s="2631" t="s">
        <v>274</v>
      </c>
      <c r="T454" s="2632"/>
      <c r="U454" s="268"/>
      <c r="V454" s="2631"/>
      <c r="W454" s="2632"/>
      <c r="X454" s="2621"/>
      <c r="Y454" s="2622"/>
      <c r="Z454" s="2622"/>
      <c r="AA454" s="2623"/>
      <c r="AB454" s="2631" t="s">
        <v>440</v>
      </c>
      <c r="AC454" s="2632"/>
      <c r="AD454" s="2631"/>
      <c r="AE454" s="2632"/>
      <c r="AF454" s="45"/>
      <c r="AG454" s="2670"/>
      <c r="AH454" s="2621"/>
      <c r="AI454" s="2622"/>
      <c r="AJ454" s="2622"/>
      <c r="AK454" s="2623"/>
      <c r="AL454" s="2631" t="s">
        <v>440</v>
      </c>
      <c r="AM454" s="2632"/>
      <c r="AN454" s="2631" t="s">
        <v>274</v>
      </c>
      <c r="AO454" s="2880"/>
    </row>
    <row r="455" spans="1:41" ht="15.95" customHeight="1" x14ac:dyDescent="0.3">
      <c r="A455" s="2631"/>
      <c r="B455" s="2632"/>
      <c r="C455" s="53" t="s">
        <v>441</v>
      </c>
      <c r="D455" s="2670" t="s">
        <v>442</v>
      </c>
      <c r="E455" s="2631" t="s">
        <v>443</v>
      </c>
      <c r="F455" s="2632"/>
      <c r="G455" s="2631" t="s">
        <v>444</v>
      </c>
      <c r="H455" s="2632"/>
      <c r="I455" s="2631" t="s">
        <v>348</v>
      </c>
      <c r="J455" s="2632"/>
      <c r="K455" s="45"/>
      <c r="L455" s="2670"/>
      <c r="M455" s="51" t="s">
        <v>441</v>
      </c>
      <c r="N455" s="2633" t="s">
        <v>442</v>
      </c>
      <c r="O455" s="2618" t="s">
        <v>443</v>
      </c>
      <c r="P455" s="2620"/>
      <c r="Q455" s="2631" t="s">
        <v>444</v>
      </c>
      <c r="R455" s="2632"/>
      <c r="S455" s="2631" t="s">
        <v>348</v>
      </c>
      <c r="T455" s="2632"/>
      <c r="U455" s="268"/>
      <c r="V455" s="2631"/>
      <c r="W455" s="2632"/>
      <c r="X455" s="53" t="s">
        <v>441</v>
      </c>
      <c r="Y455" s="2670" t="s">
        <v>442</v>
      </c>
      <c r="Z455" s="2631" t="s">
        <v>443</v>
      </c>
      <c r="AA455" s="2632"/>
      <c r="AB455" s="2631" t="s">
        <v>444</v>
      </c>
      <c r="AC455" s="2632"/>
      <c r="AD455" s="2631" t="s">
        <v>348</v>
      </c>
      <c r="AE455" s="2632"/>
      <c r="AF455" s="45"/>
      <c r="AG455" s="2670"/>
      <c r="AH455" s="51" t="s">
        <v>441</v>
      </c>
      <c r="AI455" s="2670" t="s">
        <v>442</v>
      </c>
      <c r="AJ455" s="2631" t="s">
        <v>443</v>
      </c>
      <c r="AK455" s="2632"/>
      <c r="AL455" s="2631" t="s">
        <v>444</v>
      </c>
      <c r="AM455" s="2632"/>
      <c r="AN455" s="2631" t="s">
        <v>348</v>
      </c>
      <c r="AO455" s="2880"/>
    </row>
    <row r="456" spans="1:41" ht="15.95" customHeight="1" thickBot="1" x14ac:dyDescent="0.35">
      <c r="A456" s="2621"/>
      <c r="B456" s="2623"/>
      <c r="C456" s="54" t="s">
        <v>445</v>
      </c>
      <c r="D456" s="2634"/>
      <c r="E456" s="2621"/>
      <c r="F456" s="2623"/>
      <c r="G456" s="2621"/>
      <c r="H456" s="2623"/>
      <c r="I456" s="2621"/>
      <c r="J456" s="2623"/>
      <c r="K456" s="45"/>
      <c r="L456" s="2634"/>
      <c r="M456" s="50" t="s">
        <v>445</v>
      </c>
      <c r="N456" s="2634"/>
      <c r="O456" s="2621"/>
      <c r="P456" s="2623"/>
      <c r="Q456" s="2621"/>
      <c r="R456" s="2623"/>
      <c r="S456" s="2621"/>
      <c r="T456" s="2623"/>
      <c r="U456" s="268"/>
      <c r="V456" s="2621"/>
      <c r="W456" s="2623"/>
      <c r="X456" s="54" t="s">
        <v>445</v>
      </c>
      <c r="Y456" s="2634"/>
      <c r="Z456" s="2621"/>
      <c r="AA456" s="2623"/>
      <c r="AB456" s="2621"/>
      <c r="AC456" s="2623"/>
      <c r="AD456" s="2621"/>
      <c r="AE456" s="2623"/>
      <c r="AF456" s="45"/>
      <c r="AG456" s="2634"/>
      <c r="AH456" s="50" t="s">
        <v>445</v>
      </c>
      <c r="AI456" s="2634"/>
      <c r="AJ456" s="2621"/>
      <c r="AK456" s="2623"/>
      <c r="AL456" s="2621"/>
      <c r="AM456" s="2623"/>
      <c r="AN456" s="2901"/>
      <c r="AO456" s="2902"/>
    </row>
    <row r="457" spans="1:41" ht="15.95" customHeight="1" x14ac:dyDescent="0.3">
      <c r="A457" s="2913" t="s">
        <v>446</v>
      </c>
      <c r="B457" s="2914"/>
      <c r="C457" s="184"/>
      <c r="D457" s="170"/>
      <c r="E457" s="2576"/>
      <c r="F457" s="2880"/>
      <c r="G457" s="2576"/>
      <c r="H457" s="2880"/>
      <c r="I457" s="2576"/>
      <c r="J457" s="2880"/>
      <c r="K457" s="279"/>
      <c r="L457" s="119" t="s">
        <v>447</v>
      </c>
      <c r="M457" s="185"/>
      <c r="N457" s="186"/>
      <c r="O457" s="2605"/>
      <c r="P457" s="2606"/>
      <c r="Q457" s="2605"/>
      <c r="R457" s="2606"/>
      <c r="S457" s="2605"/>
      <c r="T457" s="2606"/>
      <c r="U457" s="45"/>
      <c r="V457" s="2913" t="s">
        <v>446</v>
      </c>
      <c r="W457" s="2914"/>
      <c r="X457" s="184"/>
      <c r="Y457" s="170"/>
      <c r="Z457" s="2576"/>
      <c r="AA457" s="2880"/>
      <c r="AB457" s="2576"/>
      <c r="AC457" s="2880"/>
      <c r="AD457" s="2576"/>
      <c r="AE457" s="2880"/>
      <c r="AF457" s="45"/>
      <c r="AG457" s="119" t="s">
        <v>447</v>
      </c>
      <c r="AH457" s="185"/>
      <c r="AI457" s="186"/>
      <c r="AJ457" s="2605"/>
      <c r="AK457" s="2606"/>
      <c r="AL457" s="2605"/>
      <c r="AM457" s="2606"/>
      <c r="AN457" s="2605"/>
      <c r="AO457" s="2606"/>
    </row>
    <row r="458" spans="1:41" ht="15.95" customHeight="1" x14ac:dyDescent="0.35">
      <c r="A458" s="2911" t="s">
        <v>979</v>
      </c>
      <c r="B458" s="2912"/>
      <c r="C458" s="45"/>
      <c r="D458" s="288"/>
      <c r="E458" s="2576"/>
      <c r="F458" s="2880"/>
      <c r="G458" s="2576"/>
      <c r="H458" s="2880"/>
      <c r="I458" s="2565">
        <f>SUM(I459:J460)</f>
        <v>0</v>
      </c>
      <c r="J458" s="2892"/>
      <c r="K458" s="279"/>
      <c r="L458" s="122"/>
      <c r="M458" s="188"/>
      <c r="N458" s="170"/>
      <c r="O458" s="2559"/>
      <c r="P458" s="2560"/>
      <c r="Q458" s="2559"/>
      <c r="R458" s="2560"/>
      <c r="S458" s="2559"/>
      <c r="T458" s="2560"/>
      <c r="U458" s="45"/>
      <c r="V458" s="2911" t="s">
        <v>979</v>
      </c>
      <c r="W458" s="2912"/>
      <c r="X458" s="187"/>
      <c r="Y458" s="170"/>
      <c r="Z458" s="2576"/>
      <c r="AA458" s="2880"/>
      <c r="AB458" s="2576"/>
      <c r="AC458" s="2880"/>
      <c r="AD458" s="2897">
        <f>SUM(AD459:AE460)</f>
        <v>0</v>
      </c>
      <c r="AE458" s="2892"/>
      <c r="AF458" s="45"/>
      <c r="AG458" s="122"/>
      <c r="AH458" s="188"/>
      <c r="AI458" s="170"/>
      <c r="AJ458" s="2559"/>
      <c r="AK458" s="2560"/>
      <c r="AL458" s="2559"/>
      <c r="AM458" s="2560"/>
      <c r="AN458" s="2559"/>
      <c r="AO458" s="2560"/>
    </row>
    <row r="459" spans="1:41" ht="15.95" customHeight="1" x14ac:dyDescent="0.3">
      <c r="A459" s="2915" t="s">
        <v>980</v>
      </c>
      <c r="B459" s="2916"/>
      <c r="C459" s="187"/>
      <c r="D459" s="170"/>
      <c r="E459" s="2576"/>
      <c r="F459" s="2880"/>
      <c r="G459" s="2576"/>
      <c r="H459" s="2880"/>
      <c r="I459" s="2559">
        <f>E459*G459</f>
        <v>0</v>
      </c>
      <c r="J459" s="2560"/>
      <c r="K459" s="279"/>
      <c r="L459" s="122" t="s">
        <v>450</v>
      </c>
      <c r="M459" s="170"/>
      <c r="N459" s="170"/>
      <c r="O459" s="2559"/>
      <c r="P459" s="2560"/>
      <c r="Q459" s="2559"/>
      <c r="R459" s="2560"/>
      <c r="S459" s="2559"/>
      <c r="T459" s="2560"/>
      <c r="U459" s="45"/>
      <c r="V459" s="2915" t="s">
        <v>980</v>
      </c>
      <c r="W459" s="2916"/>
      <c r="X459" s="187"/>
      <c r="Y459" s="170"/>
      <c r="Z459" s="2576"/>
      <c r="AA459" s="2880"/>
      <c r="AB459" s="2576"/>
      <c r="AC459" s="2880"/>
      <c r="AD459" s="2559">
        <f>Z459*AB459</f>
        <v>0</v>
      </c>
      <c r="AE459" s="2560"/>
      <c r="AF459" s="45"/>
      <c r="AG459" s="122" t="s">
        <v>450</v>
      </c>
      <c r="AH459" s="170"/>
      <c r="AI459" s="170"/>
      <c r="AJ459" s="2559"/>
      <c r="AK459" s="2560"/>
      <c r="AL459" s="2559"/>
      <c r="AM459" s="2560"/>
      <c r="AN459" s="2559"/>
      <c r="AO459" s="2560"/>
    </row>
    <row r="460" spans="1:41" ht="15.95" customHeight="1" x14ac:dyDescent="0.3">
      <c r="A460" s="2915" t="s">
        <v>981</v>
      </c>
      <c r="B460" s="2916"/>
      <c r="C460" s="187"/>
      <c r="D460" s="170"/>
      <c r="E460" s="2576"/>
      <c r="F460" s="2880"/>
      <c r="G460" s="2576"/>
      <c r="H460" s="2880"/>
      <c r="I460" s="2559">
        <f>E460*G460</f>
        <v>0</v>
      </c>
      <c r="J460" s="2560"/>
      <c r="K460" s="279"/>
      <c r="L460" s="122" t="s">
        <v>853</v>
      </c>
      <c r="M460" s="170" t="s">
        <v>1080</v>
      </c>
      <c r="N460" s="170" t="s">
        <v>1108</v>
      </c>
      <c r="O460" s="2559">
        <v>1200</v>
      </c>
      <c r="P460" s="2560"/>
      <c r="Q460" s="2559">
        <f>3101*1.0928</f>
        <v>3388.7728000000002</v>
      </c>
      <c r="R460" s="2560"/>
      <c r="S460" s="2559">
        <f t="shared" ref="S460:S475" si="132">O460*Q460</f>
        <v>4066527.3600000003</v>
      </c>
      <c r="T460" s="2560"/>
      <c r="U460" s="45"/>
      <c r="V460" s="2915" t="s">
        <v>981</v>
      </c>
      <c r="W460" s="2916"/>
      <c r="X460" s="187"/>
      <c r="Y460" s="170"/>
      <c r="Z460" s="2576"/>
      <c r="AA460" s="2880"/>
      <c r="AB460" s="2576"/>
      <c r="AC460" s="2880"/>
      <c r="AD460" s="2559">
        <f>Z460*AB460</f>
        <v>0</v>
      </c>
      <c r="AE460" s="2560"/>
      <c r="AF460" s="45"/>
      <c r="AG460" s="122" t="s">
        <v>853</v>
      </c>
      <c r="AH460" s="170"/>
      <c r="AI460" s="170"/>
      <c r="AJ460" s="2559"/>
      <c r="AK460" s="2560"/>
      <c r="AL460" s="2559"/>
      <c r="AM460" s="2560"/>
      <c r="AN460" s="2559">
        <f t="shared" ref="AN460:AN476" si="133">AJ460*AL460</f>
        <v>0</v>
      </c>
      <c r="AO460" s="2560"/>
    </row>
    <row r="461" spans="1:41" ht="15.95" customHeight="1" x14ac:dyDescent="0.35">
      <c r="A461" s="2911" t="s">
        <v>990</v>
      </c>
      <c r="B461" s="2912"/>
      <c r="C461" s="197"/>
      <c r="D461" s="170"/>
      <c r="E461" s="2576"/>
      <c r="F461" s="2880"/>
      <c r="G461" s="2576"/>
      <c r="H461" s="2880"/>
      <c r="I461" s="2565">
        <f>SUM(I462:J464)</f>
        <v>0</v>
      </c>
      <c r="J461" s="2892"/>
      <c r="K461" s="279"/>
      <c r="L461" s="122" t="s">
        <v>859</v>
      </c>
      <c r="M461" s="170"/>
      <c r="N461" s="170"/>
      <c r="O461" s="2559"/>
      <c r="P461" s="2560"/>
      <c r="Q461" s="2559"/>
      <c r="R461" s="2560"/>
      <c r="S461" s="2559">
        <f t="shared" si="132"/>
        <v>0</v>
      </c>
      <c r="T461" s="2560"/>
      <c r="U461" s="45"/>
      <c r="V461" s="2911" t="s">
        <v>990</v>
      </c>
      <c r="W461" s="2912"/>
      <c r="X461" s="187"/>
      <c r="Y461" s="170"/>
      <c r="Z461" s="2576"/>
      <c r="AA461" s="2880"/>
      <c r="AB461" s="2576"/>
      <c r="AC461" s="2880"/>
      <c r="AD461" s="2565">
        <f>SUM(AD462:AE464)</f>
        <v>0</v>
      </c>
      <c r="AE461" s="2892"/>
      <c r="AF461" s="45"/>
      <c r="AG461" s="122" t="s">
        <v>859</v>
      </c>
      <c r="AH461" s="170"/>
      <c r="AI461" s="170"/>
      <c r="AJ461" s="2559"/>
      <c r="AK461" s="2560"/>
      <c r="AL461" s="2559"/>
      <c r="AM461" s="2560"/>
      <c r="AN461" s="2559">
        <f t="shared" si="133"/>
        <v>0</v>
      </c>
      <c r="AO461" s="2560"/>
    </row>
    <row r="462" spans="1:41" ht="15.95" customHeight="1" x14ac:dyDescent="0.3">
      <c r="A462" s="2915" t="s">
        <v>991</v>
      </c>
      <c r="B462" s="2916"/>
      <c r="C462" s="120"/>
      <c r="D462" s="170"/>
      <c r="E462" s="2576"/>
      <c r="F462" s="2880"/>
      <c r="G462" s="2559"/>
      <c r="H462" s="2880"/>
      <c r="I462" s="2559">
        <f>E462*G462</f>
        <v>0</v>
      </c>
      <c r="J462" s="2560"/>
      <c r="K462" s="279"/>
      <c r="L462" s="122" t="s">
        <v>861</v>
      </c>
      <c r="M462" s="170" t="s">
        <v>748</v>
      </c>
      <c r="N462" s="170" t="s">
        <v>473</v>
      </c>
      <c r="O462" s="2559">
        <v>2</v>
      </c>
      <c r="P462" s="2560"/>
      <c r="Q462" s="2559">
        <v>52332</v>
      </c>
      <c r="R462" s="2560"/>
      <c r="S462" s="2559">
        <f t="shared" si="132"/>
        <v>104664</v>
      </c>
      <c r="T462" s="2560"/>
      <c r="U462" s="45"/>
      <c r="V462" s="2915" t="s">
        <v>991</v>
      </c>
      <c r="W462" s="2916"/>
      <c r="X462" s="187"/>
      <c r="Y462" s="170"/>
      <c r="Z462" s="2576"/>
      <c r="AA462" s="2880"/>
      <c r="AB462" s="2576"/>
      <c r="AC462" s="2880"/>
      <c r="AD462" s="2559">
        <f>Z462*AB462</f>
        <v>0</v>
      </c>
      <c r="AE462" s="2560"/>
      <c r="AF462" s="45"/>
      <c r="AG462" s="122" t="s">
        <v>861</v>
      </c>
      <c r="AH462" s="170" t="s">
        <v>572</v>
      </c>
      <c r="AI462" s="170" t="s">
        <v>473</v>
      </c>
      <c r="AJ462" s="2559">
        <v>2</v>
      </c>
      <c r="AK462" s="2560"/>
      <c r="AL462" s="2559">
        <f>173531*1.0928</f>
        <v>189634.67679999999</v>
      </c>
      <c r="AM462" s="2560">
        <f t="shared" ref="AM462" si="134">(154250*6%)+154250</f>
        <v>163505</v>
      </c>
      <c r="AN462" s="2559">
        <f t="shared" si="133"/>
        <v>379269.35359999997</v>
      </c>
      <c r="AO462" s="2560"/>
    </row>
    <row r="463" spans="1:41" ht="15.95" customHeight="1" x14ac:dyDescent="0.3">
      <c r="A463" s="2915" t="s">
        <v>981</v>
      </c>
      <c r="B463" s="2916"/>
      <c r="C463" s="187"/>
      <c r="D463" s="170"/>
      <c r="E463" s="2576"/>
      <c r="F463" s="2880"/>
      <c r="G463" s="2559"/>
      <c r="H463" s="2880"/>
      <c r="I463" s="2559">
        <f>E463*G463</f>
        <v>0</v>
      </c>
      <c r="J463" s="2560"/>
      <c r="K463" s="279"/>
      <c r="L463" s="122" t="s">
        <v>863</v>
      </c>
      <c r="M463" s="170" t="s">
        <v>791</v>
      </c>
      <c r="N463" s="170" t="s">
        <v>1101</v>
      </c>
      <c r="O463" s="2559">
        <v>2</v>
      </c>
      <c r="P463" s="2560"/>
      <c r="Q463" s="2559">
        <v>25849</v>
      </c>
      <c r="R463" s="2560"/>
      <c r="S463" s="2559">
        <f t="shared" si="132"/>
        <v>51698</v>
      </c>
      <c r="T463" s="2560"/>
      <c r="U463" s="45"/>
      <c r="V463" s="2915" t="s">
        <v>981</v>
      </c>
      <c r="W463" s="2916"/>
      <c r="X463" s="187"/>
      <c r="Y463" s="170"/>
      <c r="Z463" s="2576"/>
      <c r="AA463" s="2880"/>
      <c r="AB463" s="2576"/>
      <c r="AC463" s="2880"/>
      <c r="AD463" s="2559">
        <f>Z463*AB463</f>
        <v>0</v>
      </c>
      <c r="AE463" s="2560"/>
      <c r="AF463" s="45"/>
      <c r="AG463" s="122" t="s">
        <v>863</v>
      </c>
      <c r="AH463" s="170" t="s">
        <v>791</v>
      </c>
      <c r="AI463" s="170" t="s">
        <v>452</v>
      </c>
      <c r="AJ463" s="2559">
        <v>4</v>
      </c>
      <c r="AK463" s="2560"/>
      <c r="AL463" s="2559">
        <v>25849</v>
      </c>
      <c r="AM463" s="2560"/>
      <c r="AN463" s="2559">
        <f t="shared" si="133"/>
        <v>103396</v>
      </c>
      <c r="AO463" s="2560"/>
    </row>
    <row r="464" spans="1:41" ht="15.95" customHeight="1" x14ac:dyDescent="0.3">
      <c r="A464" s="2915" t="s">
        <v>992</v>
      </c>
      <c r="B464" s="2916"/>
      <c r="C464" s="187"/>
      <c r="D464" s="170"/>
      <c r="E464" s="2576"/>
      <c r="F464" s="2880"/>
      <c r="G464" s="2559"/>
      <c r="H464" s="2880"/>
      <c r="I464" s="2559">
        <f>E464*G464</f>
        <v>0</v>
      </c>
      <c r="J464" s="2560"/>
      <c r="K464" s="279"/>
      <c r="L464" s="122" t="s">
        <v>534</v>
      </c>
      <c r="M464" s="170"/>
      <c r="N464" s="170"/>
      <c r="O464" s="2559"/>
      <c r="P464" s="2560"/>
      <c r="Q464" s="2559"/>
      <c r="R464" s="2560"/>
      <c r="S464" s="2559">
        <f t="shared" si="132"/>
        <v>0</v>
      </c>
      <c r="T464" s="2560"/>
      <c r="U464" s="45"/>
      <c r="V464" s="2915" t="s">
        <v>992</v>
      </c>
      <c r="W464" s="2916"/>
      <c r="X464" s="187"/>
      <c r="Y464" s="170"/>
      <c r="Z464" s="2576"/>
      <c r="AA464" s="2880"/>
      <c r="AB464" s="2576"/>
      <c r="AC464" s="2880"/>
      <c r="AD464" s="2559">
        <f>Z464*AB464</f>
        <v>0</v>
      </c>
      <c r="AE464" s="2560"/>
      <c r="AF464" s="45"/>
      <c r="AG464" s="122" t="s">
        <v>534</v>
      </c>
      <c r="AH464" s="170"/>
      <c r="AI464" s="170"/>
      <c r="AJ464" s="2559"/>
      <c r="AK464" s="2560"/>
      <c r="AL464" s="2559"/>
      <c r="AM464" s="2560"/>
      <c r="AN464" s="2559">
        <f t="shared" si="133"/>
        <v>0</v>
      </c>
      <c r="AO464" s="2560"/>
    </row>
    <row r="465" spans="1:41" ht="15.95" customHeight="1" x14ac:dyDescent="0.35">
      <c r="A465" s="2998" t="s">
        <v>993</v>
      </c>
      <c r="B465" s="2999"/>
      <c r="C465" s="187"/>
      <c r="D465" s="170"/>
      <c r="E465" s="2576"/>
      <c r="F465" s="2880"/>
      <c r="G465" s="2559"/>
      <c r="H465" s="2560"/>
      <c r="I465" s="2565">
        <f>SUM(I466:J475)</f>
        <v>1363000</v>
      </c>
      <c r="J465" s="2892"/>
      <c r="K465" s="279"/>
      <c r="L465" s="288" t="s">
        <v>535</v>
      </c>
      <c r="M465" s="170" t="s">
        <v>753</v>
      </c>
      <c r="N465" s="170" t="s">
        <v>460</v>
      </c>
      <c r="O465" s="2559">
        <v>3</v>
      </c>
      <c r="P465" s="2560"/>
      <c r="Q465" s="2895">
        <v>188974</v>
      </c>
      <c r="R465" s="2896"/>
      <c r="S465" s="2559">
        <f t="shared" si="132"/>
        <v>566922</v>
      </c>
      <c r="T465" s="2560"/>
      <c r="U465" s="45"/>
      <c r="V465" s="2998" t="s">
        <v>1035</v>
      </c>
      <c r="W465" s="2999"/>
      <c r="X465" s="288"/>
      <c r="Y465" s="170"/>
      <c r="Z465" s="2576"/>
      <c r="AA465" s="2880"/>
      <c r="AB465" s="2576"/>
      <c r="AC465" s="2880"/>
      <c r="AD465" s="2565">
        <f>SUM(AD466:AE475)</f>
        <v>0</v>
      </c>
      <c r="AE465" s="2892"/>
      <c r="AF465" s="45"/>
      <c r="AG465" s="288" t="s">
        <v>535</v>
      </c>
      <c r="AH465" s="170" t="s">
        <v>590</v>
      </c>
      <c r="AI465" s="170" t="s">
        <v>851</v>
      </c>
      <c r="AJ465" s="2559">
        <v>12</v>
      </c>
      <c r="AK465" s="2560"/>
      <c r="AL465" s="2895">
        <v>223254</v>
      </c>
      <c r="AM465" s="2896"/>
      <c r="AN465" s="2559">
        <f t="shared" si="133"/>
        <v>2679048</v>
      </c>
      <c r="AO465" s="2560"/>
    </row>
    <row r="466" spans="1:41" ht="15.95" customHeight="1" x14ac:dyDescent="0.2">
      <c r="A466" s="2839" t="s">
        <v>995</v>
      </c>
      <c r="B466" s="2840"/>
      <c r="C466" s="170"/>
      <c r="D466" s="170"/>
      <c r="E466" s="2559"/>
      <c r="F466" s="2560"/>
      <c r="G466" s="2559"/>
      <c r="H466" s="2560"/>
      <c r="I466" s="2559">
        <f t="shared" ref="I466:I475" si="135">E466*G466</f>
        <v>0</v>
      </c>
      <c r="J466" s="2560"/>
      <c r="K466" s="279"/>
      <c r="L466" s="122" t="s">
        <v>537</v>
      </c>
      <c r="M466" s="170"/>
      <c r="N466" s="170"/>
      <c r="O466" s="2559"/>
      <c r="P466" s="2560"/>
      <c r="Q466" s="2559"/>
      <c r="R466" s="2560"/>
      <c r="S466" s="2559">
        <f t="shared" si="132"/>
        <v>0</v>
      </c>
      <c r="T466" s="2560"/>
      <c r="U466" s="45"/>
      <c r="V466" s="2839" t="s">
        <v>991</v>
      </c>
      <c r="W466" s="2840"/>
      <c r="X466" s="288"/>
      <c r="Y466" s="170"/>
      <c r="Z466" s="2559"/>
      <c r="AA466" s="2560"/>
      <c r="AB466" s="2559"/>
      <c r="AC466" s="2560"/>
      <c r="AD466" s="2559">
        <f>Z466*AB466</f>
        <v>0</v>
      </c>
      <c r="AE466" s="2560"/>
      <c r="AF466" s="45"/>
      <c r="AG466" s="122" t="s">
        <v>537</v>
      </c>
      <c r="AH466" s="170"/>
      <c r="AI466" s="170"/>
      <c r="AJ466" s="2559"/>
      <c r="AK466" s="2560"/>
      <c r="AL466" s="2559"/>
      <c r="AM466" s="2560"/>
      <c r="AN466" s="2559">
        <f t="shared" si="133"/>
        <v>0</v>
      </c>
      <c r="AO466" s="2560"/>
    </row>
    <row r="467" spans="1:41" ht="15.95" customHeight="1" x14ac:dyDescent="0.2">
      <c r="A467" s="2839" t="s">
        <v>1109</v>
      </c>
      <c r="B467" s="2840"/>
      <c r="C467" s="170" t="s">
        <v>496</v>
      </c>
      <c r="D467" s="170" t="s">
        <v>497</v>
      </c>
      <c r="E467" s="2559">
        <v>10</v>
      </c>
      <c r="F467" s="2560"/>
      <c r="G467" s="2559">
        <v>47000</v>
      </c>
      <c r="H467" s="2560">
        <f t="shared" ref="H467" si="136">(36040*6%)+36040</f>
        <v>38202.400000000001</v>
      </c>
      <c r="I467" s="2559">
        <f t="shared" si="135"/>
        <v>470000</v>
      </c>
      <c r="J467" s="2560"/>
      <c r="K467" s="279"/>
      <c r="L467" s="122" t="s">
        <v>866</v>
      </c>
      <c r="M467" s="170"/>
      <c r="N467" s="170"/>
      <c r="O467" s="2559"/>
      <c r="P467" s="2560"/>
      <c r="Q467" s="2559"/>
      <c r="R467" s="2560"/>
      <c r="S467" s="2559">
        <f t="shared" si="132"/>
        <v>0</v>
      </c>
      <c r="T467" s="2560"/>
      <c r="U467" s="45"/>
      <c r="V467" s="2839" t="s">
        <v>996</v>
      </c>
      <c r="W467" s="2840"/>
      <c r="X467" s="187"/>
      <c r="Y467" s="170"/>
      <c r="Z467" s="2559"/>
      <c r="AA467" s="2560"/>
      <c r="AB467" s="2559"/>
      <c r="AC467" s="2560"/>
      <c r="AD467" s="2559">
        <f>Z467*AB467</f>
        <v>0</v>
      </c>
      <c r="AE467" s="2560"/>
      <c r="AF467" s="45"/>
      <c r="AG467" s="122" t="s">
        <v>866</v>
      </c>
      <c r="AH467" s="170" t="s">
        <v>1110</v>
      </c>
      <c r="AI467" s="170" t="s">
        <v>452</v>
      </c>
      <c r="AJ467" s="2559">
        <v>200</v>
      </c>
      <c r="AK467" s="2560"/>
      <c r="AL467" s="2559">
        <f>185*1.0928</f>
        <v>202.16800000000001</v>
      </c>
      <c r="AM467" s="2560"/>
      <c r="AN467" s="2559">
        <f t="shared" si="133"/>
        <v>40433.599999999999</v>
      </c>
      <c r="AO467" s="2560"/>
    </row>
    <row r="468" spans="1:41" ht="15.95" customHeight="1" x14ac:dyDescent="0.2">
      <c r="A468" s="2839" t="s">
        <v>469</v>
      </c>
      <c r="B468" s="2840"/>
      <c r="C468" s="120"/>
      <c r="D468" s="170"/>
      <c r="E468" s="2559"/>
      <c r="F468" s="2560"/>
      <c r="G468" s="2559"/>
      <c r="H468" s="2560"/>
      <c r="I468" s="2559">
        <f t="shared" si="135"/>
        <v>0</v>
      </c>
      <c r="J468" s="2560"/>
      <c r="K468" s="279"/>
      <c r="L468" s="122" t="s">
        <v>456</v>
      </c>
      <c r="M468" s="170" t="s">
        <v>1111</v>
      </c>
      <c r="N468" s="170" t="s">
        <v>452</v>
      </c>
      <c r="O468" s="2559">
        <v>1500</v>
      </c>
      <c r="P468" s="2560"/>
      <c r="Q468" s="2559">
        <f>632*1.0928</f>
        <v>690.64959999999996</v>
      </c>
      <c r="R468" s="2560"/>
      <c r="S468" s="2559">
        <f t="shared" si="132"/>
        <v>1035974.3999999999</v>
      </c>
      <c r="T468" s="2560"/>
      <c r="U468" s="45"/>
      <c r="V468" s="2839" t="s">
        <v>469</v>
      </c>
      <c r="W468" s="2840"/>
      <c r="X468" s="187"/>
      <c r="Y468" s="170"/>
      <c r="Z468" s="2559"/>
      <c r="AA468" s="2560"/>
      <c r="AB468" s="2559"/>
      <c r="AC468" s="2560"/>
      <c r="AD468" s="2559">
        <f t="shared" ref="AD468:AD475" si="137">Z468*AB468</f>
        <v>0</v>
      </c>
      <c r="AE468" s="2560"/>
      <c r="AF468" s="45"/>
      <c r="AG468" s="122" t="s">
        <v>456</v>
      </c>
      <c r="AH468" s="170" t="s">
        <v>710</v>
      </c>
      <c r="AI468" s="170" t="s">
        <v>452</v>
      </c>
      <c r="AJ468" s="2559">
        <v>1000</v>
      </c>
      <c r="AK468" s="2560"/>
      <c r="AL468" s="2559">
        <f>239*1.0928</f>
        <v>261.17919999999998</v>
      </c>
      <c r="AM468" s="2560">
        <f t="shared" ref="AM468" si="138">(212*6%)+212</f>
        <v>224.72</v>
      </c>
      <c r="AN468" s="2559">
        <f t="shared" si="133"/>
        <v>261179.19999999998</v>
      </c>
      <c r="AO468" s="2560"/>
    </row>
    <row r="469" spans="1:41" ht="15.95" customHeight="1" x14ac:dyDescent="0.3">
      <c r="A469" s="2839" t="s">
        <v>470</v>
      </c>
      <c r="B469" s="2840"/>
      <c r="C469" s="299"/>
      <c r="D469" s="120"/>
      <c r="E469" s="2559"/>
      <c r="F469" s="2560"/>
      <c r="G469" s="2559"/>
      <c r="H469" s="2560"/>
      <c r="I469" s="2559">
        <f t="shared" si="135"/>
        <v>0</v>
      </c>
      <c r="J469" s="2560"/>
      <c r="K469" s="279"/>
      <c r="L469" s="122" t="s">
        <v>871</v>
      </c>
      <c r="M469" s="170"/>
      <c r="N469" s="170"/>
      <c r="O469" s="2559"/>
      <c r="P469" s="2560"/>
      <c r="Q469" s="2559"/>
      <c r="R469" s="2560"/>
      <c r="S469" s="2559">
        <f t="shared" si="132"/>
        <v>0</v>
      </c>
      <c r="T469" s="2560"/>
      <c r="U469" s="45"/>
      <c r="V469" s="2839" t="s">
        <v>470</v>
      </c>
      <c r="W469" s="2840"/>
      <c r="X469" s="187"/>
      <c r="Y469" s="170"/>
      <c r="Z469" s="2559"/>
      <c r="AA469" s="2560"/>
      <c r="AB469" s="2559"/>
      <c r="AC469" s="2560"/>
      <c r="AD469" s="2559">
        <f t="shared" si="137"/>
        <v>0</v>
      </c>
      <c r="AE469" s="2560"/>
      <c r="AF469" s="45"/>
      <c r="AG469" s="122" t="s">
        <v>871</v>
      </c>
      <c r="AH469" s="170"/>
      <c r="AI469" s="170"/>
      <c r="AJ469" s="2559"/>
      <c r="AK469" s="2560"/>
      <c r="AL469" s="2559"/>
      <c r="AM469" s="2560"/>
      <c r="AN469" s="2559">
        <f t="shared" si="133"/>
        <v>0</v>
      </c>
      <c r="AO469" s="2560"/>
    </row>
    <row r="470" spans="1:41" ht="15.95" customHeight="1" x14ac:dyDescent="0.3">
      <c r="A470" s="2839" t="s">
        <v>1113</v>
      </c>
      <c r="B470" s="2840"/>
      <c r="C470" s="170" t="s">
        <v>496</v>
      </c>
      <c r="D470" s="170" t="s">
        <v>497</v>
      </c>
      <c r="E470" s="2559">
        <v>14</v>
      </c>
      <c r="F470" s="2560"/>
      <c r="G470" s="2559">
        <v>47000</v>
      </c>
      <c r="H470" s="2560">
        <f t="shared" ref="H470" si="139">(36040*6%)+36040</f>
        <v>38202.400000000001</v>
      </c>
      <c r="I470" s="2559">
        <f t="shared" si="135"/>
        <v>658000</v>
      </c>
      <c r="J470" s="2560"/>
      <c r="K470" s="279"/>
      <c r="L470" s="122" t="s">
        <v>595</v>
      </c>
      <c r="M470" s="170"/>
      <c r="N470" s="170"/>
      <c r="O470" s="2559"/>
      <c r="P470" s="2560"/>
      <c r="Q470" s="2559"/>
      <c r="R470" s="2560"/>
      <c r="S470" s="2559">
        <f t="shared" si="132"/>
        <v>0</v>
      </c>
      <c r="T470" s="2560"/>
      <c r="U470" s="45"/>
      <c r="V470" s="2839" t="s">
        <v>1068</v>
      </c>
      <c r="W470" s="2840"/>
      <c r="X470" s="288"/>
      <c r="Y470" s="170"/>
      <c r="Z470" s="2559"/>
      <c r="AA470" s="2560"/>
      <c r="AB470" s="2559"/>
      <c r="AC470" s="2880"/>
      <c r="AD470" s="2559">
        <f t="shared" si="137"/>
        <v>0</v>
      </c>
      <c r="AE470" s="2560"/>
      <c r="AF470" s="45"/>
      <c r="AG470" s="122" t="s">
        <v>595</v>
      </c>
      <c r="AH470" s="170"/>
      <c r="AI470" s="170"/>
      <c r="AJ470" s="2559"/>
      <c r="AK470" s="2560"/>
      <c r="AL470" s="2559"/>
      <c r="AM470" s="2560"/>
      <c r="AN470" s="2559">
        <f t="shared" si="133"/>
        <v>0</v>
      </c>
      <c r="AO470" s="2560"/>
    </row>
    <row r="471" spans="1:41" ht="15.95" customHeight="1" x14ac:dyDescent="0.3">
      <c r="A471" s="2839" t="s">
        <v>998</v>
      </c>
      <c r="B471" s="2840"/>
      <c r="C471" s="170"/>
      <c r="D471" s="170"/>
      <c r="E471" s="2576"/>
      <c r="F471" s="2880"/>
      <c r="G471" s="2559"/>
      <c r="H471" s="2880"/>
      <c r="I471" s="2559">
        <f t="shared" si="135"/>
        <v>0</v>
      </c>
      <c r="J471" s="2560"/>
      <c r="K471" s="279"/>
      <c r="L471" s="122" t="s">
        <v>507</v>
      </c>
      <c r="M471" s="214" t="s">
        <v>479</v>
      </c>
      <c r="N471" s="120" t="s">
        <v>1108</v>
      </c>
      <c r="O471" s="2559">
        <v>80</v>
      </c>
      <c r="P471" s="2560"/>
      <c r="Q471" s="2559">
        <f>3339*1.0928</f>
        <v>3648.8591999999999</v>
      </c>
      <c r="R471" s="2560"/>
      <c r="S471" s="2559">
        <f t="shared" si="132"/>
        <v>291908.73599999998</v>
      </c>
      <c r="T471" s="2560"/>
      <c r="U471" s="45"/>
      <c r="V471" s="2839" t="s">
        <v>998</v>
      </c>
      <c r="W471" s="2840"/>
      <c r="X471" s="187"/>
      <c r="Y471" s="170"/>
      <c r="Z471" s="2576"/>
      <c r="AA471" s="2880"/>
      <c r="AB471" s="2576"/>
      <c r="AC471" s="2880"/>
      <c r="AD471" s="2559">
        <f t="shared" si="137"/>
        <v>0</v>
      </c>
      <c r="AE471" s="2560"/>
      <c r="AF471" s="45"/>
      <c r="AG471" s="122" t="s">
        <v>507</v>
      </c>
      <c r="AH471" s="214" t="s">
        <v>479</v>
      </c>
      <c r="AI471" s="120" t="s">
        <v>479</v>
      </c>
      <c r="AJ471" s="2559">
        <v>280</v>
      </c>
      <c r="AK471" s="2560"/>
      <c r="AL471" s="2559">
        <f>3339*1.0928</f>
        <v>3648.8591999999999</v>
      </c>
      <c r="AM471" s="2560">
        <f t="shared" ref="AM471" si="140">(2968*6%)+2968</f>
        <v>3146.08</v>
      </c>
      <c r="AN471" s="2559">
        <f t="shared" si="133"/>
        <v>1021680.576</v>
      </c>
      <c r="AO471" s="2560"/>
    </row>
    <row r="472" spans="1:41" ht="15.95" customHeight="1" x14ac:dyDescent="0.3">
      <c r="A472" s="2839" t="s">
        <v>999</v>
      </c>
      <c r="B472" s="2840"/>
      <c r="C472" s="187"/>
      <c r="D472" s="170"/>
      <c r="E472" s="2576"/>
      <c r="F472" s="2880"/>
      <c r="G472" s="2576"/>
      <c r="H472" s="2880"/>
      <c r="I472" s="2559">
        <f t="shared" si="135"/>
        <v>0</v>
      </c>
      <c r="J472" s="2560"/>
      <c r="K472" s="279"/>
      <c r="L472" s="122" t="s">
        <v>801</v>
      </c>
      <c r="M472" s="170"/>
      <c r="N472" s="170"/>
      <c r="O472" s="2559"/>
      <c r="P472" s="2560"/>
      <c r="Q472" s="2559"/>
      <c r="R472" s="2560"/>
      <c r="S472" s="2559">
        <f t="shared" si="132"/>
        <v>0</v>
      </c>
      <c r="T472" s="2560"/>
      <c r="U472" s="45"/>
      <c r="V472" s="2839" t="s">
        <v>999</v>
      </c>
      <c r="W472" s="2840"/>
      <c r="X472" s="120"/>
      <c r="Y472" s="170"/>
      <c r="Z472" s="2576"/>
      <c r="AA472" s="2880"/>
      <c r="AB472" s="2576"/>
      <c r="AC472" s="2880"/>
      <c r="AD472" s="2559">
        <f t="shared" si="137"/>
        <v>0</v>
      </c>
      <c r="AE472" s="2560"/>
      <c r="AF472" s="45"/>
      <c r="AG472" s="122" t="s">
        <v>801</v>
      </c>
      <c r="AH472" s="170"/>
      <c r="AI472" s="170"/>
      <c r="AJ472" s="2559"/>
      <c r="AK472" s="2560"/>
      <c r="AL472" s="2559"/>
      <c r="AM472" s="2560"/>
      <c r="AN472" s="2559">
        <f t="shared" si="133"/>
        <v>0</v>
      </c>
      <c r="AO472" s="2560"/>
    </row>
    <row r="473" spans="1:41" ht="15.95" customHeight="1" x14ac:dyDescent="0.3">
      <c r="A473" s="2839" t="s">
        <v>873</v>
      </c>
      <c r="B473" s="2840"/>
      <c r="C473" s="170" t="s">
        <v>496</v>
      </c>
      <c r="D473" s="170" t="s">
        <v>497</v>
      </c>
      <c r="E473" s="2576">
        <v>5</v>
      </c>
      <c r="F473" s="2880"/>
      <c r="G473" s="2559">
        <v>47000</v>
      </c>
      <c r="H473" s="2560">
        <f t="shared" ref="H473" si="141">(36040*6%)+36040</f>
        <v>38202.400000000001</v>
      </c>
      <c r="I473" s="2559">
        <f t="shared" si="135"/>
        <v>235000</v>
      </c>
      <c r="J473" s="2560"/>
      <c r="K473" s="279"/>
      <c r="L473" s="122" t="s">
        <v>575</v>
      </c>
      <c r="M473" s="170" t="s">
        <v>1114</v>
      </c>
      <c r="N473" s="170" t="s">
        <v>452</v>
      </c>
      <c r="O473" s="2559">
        <v>200</v>
      </c>
      <c r="P473" s="2560"/>
      <c r="Q473" s="2559">
        <f>6320*1.0928</f>
        <v>6906.4960000000001</v>
      </c>
      <c r="R473" s="2560"/>
      <c r="S473" s="2559">
        <f t="shared" si="132"/>
        <v>1381299.2</v>
      </c>
      <c r="T473" s="2560"/>
      <c r="U473" s="45"/>
      <c r="V473" s="2839" t="s">
        <v>873</v>
      </c>
      <c r="W473" s="2840"/>
      <c r="X473" s="120"/>
      <c r="Y473" s="170"/>
      <c r="Z473" s="2576"/>
      <c r="AA473" s="2880"/>
      <c r="AB473" s="2576"/>
      <c r="AC473" s="2880"/>
      <c r="AD473" s="2559">
        <f t="shared" si="137"/>
        <v>0</v>
      </c>
      <c r="AE473" s="2560"/>
      <c r="AF473" s="45"/>
      <c r="AG473" s="122" t="s">
        <v>575</v>
      </c>
      <c r="AH473" s="170"/>
      <c r="AI473" s="170"/>
      <c r="AJ473" s="2559"/>
      <c r="AK473" s="2560"/>
      <c r="AL473" s="2559"/>
      <c r="AM473" s="2560"/>
      <c r="AN473" s="2559">
        <f t="shared" si="133"/>
        <v>0</v>
      </c>
      <c r="AO473" s="2560"/>
    </row>
    <row r="474" spans="1:41" ht="15.95" customHeight="1" x14ac:dyDescent="0.3">
      <c r="A474" s="2839" t="s">
        <v>1000</v>
      </c>
      <c r="B474" s="2840"/>
      <c r="C474" s="187"/>
      <c r="D474" s="170"/>
      <c r="E474" s="2576"/>
      <c r="F474" s="2880"/>
      <c r="G474" s="2576"/>
      <c r="H474" s="2880"/>
      <c r="I474" s="2559">
        <f t="shared" si="135"/>
        <v>0</v>
      </c>
      <c r="J474" s="2560"/>
      <c r="K474" s="279"/>
      <c r="L474" s="122" t="s">
        <v>874</v>
      </c>
      <c r="M474" s="170"/>
      <c r="N474" s="170"/>
      <c r="O474" s="2559"/>
      <c r="P474" s="2560"/>
      <c r="Q474" s="2559"/>
      <c r="R474" s="2560"/>
      <c r="S474" s="2559">
        <f t="shared" si="132"/>
        <v>0</v>
      </c>
      <c r="T474" s="2560"/>
      <c r="U474" s="45"/>
      <c r="V474" s="2839" t="s">
        <v>1000</v>
      </c>
      <c r="W474" s="2840"/>
      <c r="X474" s="120"/>
      <c r="Y474" s="170"/>
      <c r="Z474" s="2576"/>
      <c r="AA474" s="2880"/>
      <c r="AB474" s="2576"/>
      <c r="AC474" s="2880"/>
      <c r="AD474" s="2559">
        <f t="shared" si="137"/>
        <v>0</v>
      </c>
      <c r="AE474" s="2560"/>
      <c r="AF474" s="45"/>
      <c r="AG474" s="122" t="s">
        <v>874</v>
      </c>
      <c r="AH474" s="170"/>
      <c r="AI474" s="170"/>
      <c r="AJ474" s="2559"/>
      <c r="AK474" s="2560"/>
      <c r="AL474" s="2559"/>
      <c r="AM474" s="2560"/>
      <c r="AN474" s="2559">
        <f t="shared" si="133"/>
        <v>0</v>
      </c>
      <c r="AO474" s="2560"/>
    </row>
    <row r="475" spans="1:41" ht="15.95" customHeight="1" x14ac:dyDescent="0.3">
      <c r="A475" s="2839" t="s">
        <v>504</v>
      </c>
      <c r="B475" s="2840"/>
      <c r="C475" s="187"/>
      <c r="D475" s="170"/>
      <c r="E475" s="2576"/>
      <c r="F475" s="2880"/>
      <c r="G475" s="2576"/>
      <c r="H475" s="2880"/>
      <c r="I475" s="2559">
        <f t="shared" si="135"/>
        <v>0</v>
      </c>
      <c r="J475" s="2560"/>
      <c r="K475" s="279"/>
      <c r="L475" s="196" t="s">
        <v>1107</v>
      </c>
      <c r="M475" s="120" t="s">
        <v>719</v>
      </c>
      <c r="N475" s="120" t="s">
        <v>1108</v>
      </c>
      <c r="O475" s="2643">
        <v>1100</v>
      </c>
      <c r="P475" s="2643"/>
      <c r="Q475" s="2643">
        <f>5056*1.0928</f>
        <v>5525.1967999999997</v>
      </c>
      <c r="R475" s="2643"/>
      <c r="S475" s="2559">
        <f t="shared" si="132"/>
        <v>6077716.4799999995</v>
      </c>
      <c r="T475" s="2560"/>
      <c r="U475" s="45"/>
      <c r="V475" s="2839" t="s">
        <v>504</v>
      </c>
      <c r="W475" s="2840"/>
      <c r="X475" s="120"/>
      <c r="Y475" s="170"/>
      <c r="Z475" s="2576"/>
      <c r="AA475" s="2880"/>
      <c r="AB475" s="2576"/>
      <c r="AC475" s="2880"/>
      <c r="AD475" s="2559">
        <f t="shared" si="137"/>
        <v>0</v>
      </c>
      <c r="AE475" s="2560"/>
      <c r="AF475" s="45"/>
      <c r="AG475" s="196" t="s">
        <v>515</v>
      </c>
      <c r="AH475" s="120"/>
      <c r="AI475" s="120"/>
      <c r="AJ475" s="2643"/>
      <c r="AK475" s="2643"/>
      <c r="AL475" s="2643"/>
      <c r="AM475" s="2643"/>
      <c r="AN475" s="2559">
        <f t="shared" si="133"/>
        <v>0</v>
      </c>
      <c r="AO475" s="2560"/>
    </row>
    <row r="476" spans="1:41" ht="15.95" customHeight="1" x14ac:dyDescent="0.35">
      <c r="A476" s="2911" t="s">
        <v>1001</v>
      </c>
      <c r="B476" s="2912"/>
      <c r="C476" s="187"/>
      <c r="D476" s="170"/>
      <c r="E476" s="2576"/>
      <c r="F476" s="2880"/>
      <c r="G476" s="2576"/>
      <c r="H476" s="2880"/>
      <c r="I476" s="2565">
        <f>SUM(I477:J494)</f>
        <v>3666000</v>
      </c>
      <c r="J476" s="2892"/>
      <c r="K476" s="279"/>
      <c r="L476" s="196" t="s">
        <v>1115</v>
      </c>
      <c r="M476" s="120" t="s">
        <v>1115</v>
      </c>
      <c r="N476" s="120" t="s">
        <v>1101</v>
      </c>
      <c r="O476" s="2643">
        <v>5</v>
      </c>
      <c r="P476" s="2643"/>
      <c r="Q476" s="2643">
        <f>3220*1.0928</f>
        <v>3518.8159999999998</v>
      </c>
      <c r="R476" s="2643"/>
      <c r="S476" s="2559">
        <f>O476*Q476</f>
        <v>17594.079999999998</v>
      </c>
      <c r="T476" s="2560"/>
      <c r="U476" s="45"/>
      <c r="V476" s="2911" t="s">
        <v>1001</v>
      </c>
      <c r="W476" s="2912"/>
      <c r="X476" s="120"/>
      <c r="Y476" s="170"/>
      <c r="Z476" s="2576"/>
      <c r="AA476" s="2880"/>
      <c r="AB476" s="2576"/>
      <c r="AC476" s="2880"/>
      <c r="AD476" s="2565">
        <f>SUM(AD477:AE494)</f>
        <v>2679000</v>
      </c>
      <c r="AE476" s="2892"/>
      <c r="AF476" s="45"/>
      <c r="AG476" s="196" t="s">
        <v>1093</v>
      </c>
      <c r="AH476" s="120"/>
      <c r="AI476" s="120"/>
      <c r="AJ476" s="2643"/>
      <c r="AK476" s="2643"/>
      <c r="AL476" s="2643"/>
      <c r="AM476" s="2643"/>
      <c r="AN476" s="2559">
        <f t="shared" si="133"/>
        <v>0</v>
      </c>
      <c r="AO476" s="2560"/>
    </row>
    <row r="477" spans="1:41" ht="15.95" customHeight="1" x14ac:dyDescent="0.2">
      <c r="A477" s="2839" t="s">
        <v>852</v>
      </c>
      <c r="B477" s="2840"/>
      <c r="C477" s="170" t="s">
        <v>496</v>
      </c>
      <c r="D477" s="170" t="s">
        <v>497</v>
      </c>
      <c r="E477" s="2559">
        <v>10</v>
      </c>
      <c r="F477" s="2560"/>
      <c r="G477" s="2559">
        <v>47000</v>
      </c>
      <c r="H477" s="2560">
        <f t="shared" ref="H477:H479" si="142">(36040*6%)+36040</f>
        <v>38202.400000000001</v>
      </c>
      <c r="I477" s="2559">
        <f t="shared" ref="I477:I494" si="143">E477*G477</f>
        <v>470000</v>
      </c>
      <c r="J477" s="2560"/>
      <c r="K477" s="279"/>
      <c r="L477" s="199" t="s">
        <v>876</v>
      </c>
      <c r="M477" s="53"/>
      <c r="N477" s="200"/>
      <c r="O477" s="2893"/>
      <c r="P477" s="2893"/>
      <c r="Q477" s="2893"/>
      <c r="R477" s="2893"/>
      <c r="S477" s="2894">
        <f>SUM(S459:T476)</f>
        <v>13594304.255999999</v>
      </c>
      <c r="T477" s="2894"/>
      <c r="U477" s="45"/>
      <c r="V477" s="2839" t="s">
        <v>852</v>
      </c>
      <c r="W477" s="2840"/>
      <c r="X477" s="120"/>
      <c r="Y477" s="170"/>
      <c r="Z477" s="2559"/>
      <c r="AA477" s="2560"/>
      <c r="AB477" s="2559"/>
      <c r="AC477" s="2560"/>
      <c r="AD477" s="2559">
        <f t="shared" ref="AD477:AD494" si="144">Z477*AB477</f>
        <v>0</v>
      </c>
      <c r="AE477" s="2560"/>
      <c r="AF477" s="45"/>
      <c r="AG477" s="199" t="s">
        <v>876</v>
      </c>
      <c r="AH477" s="53"/>
      <c r="AI477" s="200"/>
      <c r="AJ477" s="2893"/>
      <c r="AK477" s="2893"/>
      <c r="AL477" s="2893"/>
      <c r="AM477" s="2893"/>
      <c r="AN477" s="2894">
        <f>SUM(AN459:AO475)</f>
        <v>4485006.7296000002</v>
      </c>
      <c r="AO477" s="2894"/>
    </row>
    <row r="478" spans="1:41" ht="15.95" customHeight="1" x14ac:dyDescent="0.2">
      <c r="A478" s="2839" t="s">
        <v>495</v>
      </c>
      <c r="B478" s="2840"/>
      <c r="C478" s="170" t="s">
        <v>496</v>
      </c>
      <c r="D478" s="170" t="s">
        <v>497</v>
      </c>
      <c r="E478" s="2559">
        <v>5</v>
      </c>
      <c r="F478" s="2560"/>
      <c r="G478" s="2559">
        <v>47000</v>
      </c>
      <c r="H478" s="2560">
        <f t="shared" si="142"/>
        <v>38202.400000000001</v>
      </c>
      <c r="I478" s="2559">
        <f t="shared" si="143"/>
        <v>235000</v>
      </c>
      <c r="J478" s="2560"/>
      <c r="K478" s="279"/>
      <c r="L478" s="148"/>
      <c r="M478" s="197"/>
      <c r="N478" s="120"/>
      <c r="O478" s="2643"/>
      <c r="P478" s="2643"/>
      <c r="Q478" s="2643"/>
      <c r="R478" s="2643"/>
      <c r="S478" s="2643"/>
      <c r="T478" s="2643"/>
      <c r="U478" s="45"/>
      <c r="V478" s="2839" t="s">
        <v>495</v>
      </c>
      <c r="W478" s="2840"/>
      <c r="X478" s="120" t="s">
        <v>496</v>
      </c>
      <c r="Y478" s="170" t="s">
        <v>497</v>
      </c>
      <c r="Z478" s="2559">
        <v>2</v>
      </c>
      <c r="AA478" s="2560"/>
      <c r="AB478" s="2919">
        <v>47000</v>
      </c>
      <c r="AC478" s="2920">
        <f t="shared" ref="AC478" si="145">(36040*6%)+36040</f>
        <v>38202.400000000001</v>
      </c>
      <c r="AD478" s="2559">
        <f t="shared" si="144"/>
        <v>94000</v>
      </c>
      <c r="AE478" s="2560"/>
      <c r="AF478" s="45"/>
      <c r="AG478" s="148"/>
      <c r="AH478" s="197"/>
      <c r="AI478" s="120"/>
      <c r="AJ478" s="2643"/>
      <c r="AK478" s="2643"/>
      <c r="AL478" s="2643"/>
      <c r="AM478" s="2643"/>
      <c r="AN478" s="2643"/>
      <c r="AO478" s="2643"/>
    </row>
    <row r="479" spans="1:41" ht="15.95" customHeight="1" x14ac:dyDescent="0.3">
      <c r="A479" s="2839" t="s">
        <v>1003</v>
      </c>
      <c r="B479" s="2840"/>
      <c r="C479" s="170" t="s">
        <v>496</v>
      </c>
      <c r="D479" s="170" t="s">
        <v>497</v>
      </c>
      <c r="E479" s="2576">
        <v>10</v>
      </c>
      <c r="F479" s="2880"/>
      <c r="G479" s="2559">
        <v>47000</v>
      </c>
      <c r="H479" s="2560">
        <f t="shared" si="142"/>
        <v>38202.400000000001</v>
      </c>
      <c r="I479" s="2559">
        <f t="shared" si="143"/>
        <v>470000</v>
      </c>
      <c r="J479" s="2560"/>
      <c r="K479" s="279"/>
      <c r="L479" s="144" t="s">
        <v>577</v>
      </c>
      <c r="M479" s="145"/>
      <c r="N479" s="145"/>
      <c r="O479" s="2890"/>
      <c r="P479" s="2890"/>
      <c r="Q479" s="2890"/>
      <c r="R479" s="2890"/>
      <c r="S479" s="2890"/>
      <c r="T479" s="2891"/>
      <c r="U479" s="45"/>
      <c r="V479" s="2839" t="s">
        <v>1003</v>
      </c>
      <c r="W479" s="2840"/>
      <c r="X479" s="120"/>
      <c r="Y479" s="170"/>
      <c r="Z479" s="2576"/>
      <c r="AA479" s="2880"/>
      <c r="AB479" s="2576"/>
      <c r="AC479" s="2880"/>
      <c r="AD479" s="2559">
        <f t="shared" si="144"/>
        <v>0</v>
      </c>
      <c r="AE479" s="2560"/>
      <c r="AF479" s="45"/>
      <c r="AG479" s="144" t="s">
        <v>577</v>
      </c>
      <c r="AH479" s="145"/>
      <c r="AI479" s="145"/>
      <c r="AJ479" s="2890"/>
      <c r="AK479" s="2890"/>
      <c r="AL479" s="2890"/>
      <c r="AM479" s="2890"/>
      <c r="AN479" s="2890"/>
      <c r="AO479" s="2891"/>
    </row>
    <row r="480" spans="1:41" ht="15.95" customHeight="1" x14ac:dyDescent="0.3">
      <c r="A480" s="2839" t="s">
        <v>1004</v>
      </c>
      <c r="B480" s="2840"/>
      <c r="C480" s="187"/>
      <c r="D480" s="170"/>
      <c r="E480" s="2576"/>
      <c r="F480" s="2880"/>
      <c r="G480" s="2576"/>
      <c r="H480" s="2880"/>
      <c r="I480" s="2559">
        <f t="shared" si="143"/>
        <v>0</v>
      </c>
      <c r="J480" s="2560"/>
      <c r="K480" s="279"/>
      <c r="L480" s="148" t="s">
        <v>1005</v>
      </c>
      <c r="M480" s="296">
        <v>0.05</v>
      </c>
      <c r="N480" s="45"/>
      <c r="O480" s="2575"/>
      <c r="P480" s="2575"/>
      <c r="Q480" s="2575"/>
      <c r="R480" s="2575"/>
      <c r="S480" s="2575">
        <f>+(S477+I502)*0.05</f>
        <v>978783.37520000013</v>
      </c>
      <c r="T480" s="2560"/>
      <c r="U480" s="45"/>
      <c r="V480" s="2839" t="s">
        <v>1004</v>
      </c>
      <c r="W480" s="2840"/>
      <c r="X480" s="120"/>
      <c r="Y480" s="170"/>
      <c r="Z480" s="2576"/>
      <c r="AA480" s="2880"/>
      <c r="AB480" s="2576"/>
      <c r="AC480" s="2880"/>
      <c r="AD480" s="2559">
        <f t="shared" si="144"/>
        <v>0</v>
      </c>
      <c r="AE480" s="2560"/>
      <c r="AF480" s="45"/>
      <c r="AG480" s="148" t="s">
        <v>1005</v>
      </c>
      <c r="AH480" s="296">
        <v>0.05</v>
      </c>
      <c r="AI480" s="45"/>
      <c r="AJ480" s="2575"/>
      <c r="AK480" s="2575"/>
      <c r="AL480" s="2575"/>
      <c r="AM480" s="2575"/>
      <c r="AN480" s="2575">
        <f>+(AN477+AD502)*0.05</f>
        <v>513838.84398000001</v>
      </c>
      <c r="AO480" s="2560"/>
    </row>
    <row r="481" spans="1:41" ht="15.95" customHeight="1" x14ac:dyDescent="0.3">
      <c r="A481" s="2839" t="s">
        <v>1006</v>
      </c>
      <c r="B481" s="2840"/>
      <c r="C481" s="187"/>
      <c r="D481" s="170"/>
      <c r="E481" s="2576"/>
      <c r="F481" s="2880"/>
      <c r="G481" s="2576"/>
      <c r="H481" s="2880"/>
      <c r="I481" s="2559">
        <f t="shared" si="143"/>
        <v>0</v>
      </c>
      <c r="J481" s="2560"/>
      <c r="K481" s="279"/>
      <c r="L481" s="151" t="s">
        <v>527</v>
      </c>
      <c r="M481" s="45"/>
      <c r="N481" s="45"/>
      <c r="O481" s="2575"/>
      <c r="P481" s="2575"/>
      <c r="Q481" s="2575"/>
      <c r="R481" s="2575"/>
      <c r="S481" s="2575">
        <f>200000*1.0928</f>
        <v>218560</v>
      </c>
      <c r="T481" s="2560"/>
      <c r="U481" s="45"/>
      <c r="V481" s="2839" t="s">
        <v>1006</v>
      </c>
      <c r="W481" s="2840"/>
      <c r="X481" s="120"/>
      <c r="Y481" s="170"/>
      <c r="Z481" s="2576"/>
      <c r="AA481" s="2880"/>
      <c r="AB481" s="2576"/>
      <c r="AC481" s="2880"/>
      <c r="AD481" s="2559">
        <f t="shared" si="144"/>
        <v>0</v>
      </c>
      <c r="AE481" s="2560"/>
      <c r="AF481" s="45"/>
      <c r="AG481" s="151" t="s">
        <v>527</v>
      </c>
      <c r="AH481" s="45"/>
      <c r="AI481" s="45"/>
      <c r="AJ481" s="2575"/>
      <c r="AK481" s="2575"/>
      <c r="AL481" s="2575"/>
      <c r="AM481" s="2575"/>
      <c r="AN481" s="2575">
        <f>120000*1.0928</f>
        <v>131136</v>
      </c>
      <c r="AO481" s="2560"/>
    </row>
    <row r="482" spans="1:41" ht="15.95" customHeight="1" x14ac:dyDescent="0.3">
      <c r="A482" s="2839" t="s">
        <v>1007</v>
      </c>
      <c r="B482" s="2840"/>
      <c r="C482" s="187"/>
      <c r="D482" s="170"/>
      <c r="E482" s="2576"/>
      <c r="F482" s="2880"/>
      <c r="G482" s="2576"/>
      <c r="H482" s="2880"/>
      <c r="I482" s="2559">
        <f t="shared" si="143"/>
        <v>0</v>
      </c>
      <c r="J482" s="2560"/>
      <c r="K482" s="279"/>
      <c r="L482" s="152" t="s">
        <v>529</v>
      </c>
      <c r="M482" s="45"/>
      <c r="N482" s="45"/>
      <c r="O482" s="2575"/>
      <c r="P482" s="2575"/>
      <c r="Q482" s="2575"/>
      <c r="R482" s="2575"/>
      <c r="S482" s="2575">
        <f>500000*1.0928</f>
        <v>546400</v>
      </c>
      <c r="T482" s="2560"/>
      <c r="U482" s="45"/>
      <c r="V482" s="2839" t="s">
        <v>1007</v>
      </c>
      <c r="W482" s="2840"/>
      <c r="X482" s="120"/>
      <c r="Y482" s="170"/>
      <c r="Z482" s="2576"/>
      <c r="AA482" s="2880"/>
      <c r="AB482" s="2576"/>
      <c r="AC482" s="2880"/>
      <c r="AD482" s="2559">
        <f t="shared" si="144"/>
        <v>0</v>
      </c>
      <c r="AE482" s="2560"/>
      <c r="AF482" s="45"/>
      <c r="AG482" s="152" t="s">
        <v>529</v>
      </c>
      <c r="AH482" s="45"/>
      <c r="AI482" s="45"/>
      <c r="AJ482" s="2575"/>
      <c r="AK482" s="2575"/>
      <c r="AL482" s="2575"/>
      <c r="AM482" s="2575"/>
      <c r="AN482" s="2575">
        <f>500000*1.0928</f>
        <v>546400</v>
      </c>
      <c r="AO482" s="2560"/>
    </row>
    <row r="483" spans="1:41" ht="15.95" customHeight="1" x14ac:dyDescent="0.3">
      <c r="A483" s="2839" t="s">
        <v>1008</v>
      </c>
      <c r="B483" s="2840"/>
      <c r="C483" s="170" t="s">
        <v>496</v>
      </c>
      <c r="D483" s="170" t="s">
        <v>497</v>
      </c>
      <c r="E483" s="2576">
        <v>10</v>
      </c>
      <c r="F483" s="2880"/>
      <c r="G483" s="2559">
        <v>47000</v>
      </c>
      <c r="H483" s="2560">
        <f t="shared" ref="H483:H485" si="146">(36040*6%)+36040</f>
        <v>38202.400000000001</v>
      </c>
      <c r="I483" s="2559">
        <f t="shared" si="143"/>
        <v>470000</v>
      </c>
      <c r="J483" s="2560"/>
      <c r="K483" s="279"/>
      <c r="L483" s="152" t="s">
        <v>726</v>
      </c>
      <c r="M483" s="45"/>
      <c r="N483" s="45"/>
      <c r="O483" s="2575"/>
      <c r="P483" s="2575"/>
      <c r="Q483" s="2575"/>
      <c r="R483" s="2575"/>
      <c r="S483" s="2575">
        <f>(S477+I502)*0.03</f>
        <v>587270.02512000001</v>
      </c>
      <c r="T483" s="2560"/>
      <c r="U483" s="45"/>
      <c r="V483" s="2839" t="s">
        <v>1008</v>
      </c>
      <c r="W483" s="2840"/>
      <c r="X483" s="120"/>
      <c r="Y483" s="170"/>
      <c r="Z483" s="2576"/>
      <c r="AA483" s="2880"/>
      <c r="AB483" s="2576"/>
      <c r="AC483" s="2880"/>
      <c r="AD483" s="2559">
        <f t="shared" si="144"/>
        <v>0</v>
      </c>
      <c r="AE483" s="2560"/>
      <c r="AF483" s="45"/>
      <c r="AG483" s="152" t="s">
        <v>531</v>
      </c>
      <c r="AH483" s="45"/>
      <c r="AI483" s="45"/>
      <c r="AJ483" s="2575"/>
      <c r="AK483" s="2575"/>
      <c r="AL483" s="2575"/>
      <c r="AM483" s="2575"/>
      <c r="AN483" s="2575">
        <f>(AN477+AD502)*0.04</f>
        <v>411071.07518400002</v>
      </c>
      <c r="AO483" s="2560"/>
    </row>
    <row r="484" spans="1:41" ht="15.95" customHeight="1" x14ac:dyDescent="0.3">
      <c r="A484" s="2839" t="s">
        <v>1009</v>
      </c>
      <c r="B484" s="2840"/>
      <c r="C484" s="170" t="s">
        <v>496</v>
      </c>
      <c r="D484" s="170" t="s">
        <v>497</v>
      </c>
      <c r="E484" s="2576">
        <v>5</v>
      </c>
      <c r="F484" s="2880"/>
      <c r="G484" s="2559">
        <v>47000</v>
      </c>
      <c r="H484" s="2560">
        <f t="shared" si="146"/>
        <v>38202.400000000001</v>
      </c>
      <c r="I484" s="2559">
        <f t="shared" si="143"/>
        <v>235000</v>
      </c>
      <c r="J484" s="2560"/>
      <c r="K484" s="279"/>
      <c r="L484" s="166" t="s">
        <v>504</v>
      </c>
      <c r="M484" s="155"/>
      <c r="N484" s="155"/>
      <c r="O484" s="2557"/>
      <c r="P484" s="2557"/>
      <c r="Q484" s="2557"/>
      <c r="R484" s="2557"/>
      <c r="S484" s="2557">
        <f>150000*1.0928</f>
        <v>163920</v>
      </c>
      <c r="T484" s="2558"/>
      <c r="U484" s="45"/>
      <c r="V484" s="2839" t="s">
        <v>1009</v>
      </c>
      <c r="W484" s="2840"/>
      <c r="X484" s="120" t="s">
        <v>496</v>
      </c>
      <c r="Y484" s="170" t="s">
        <v>497</v>
      </c>
      <c r="Z484" s="2576">
        <v>5</v>
      </c>
      <c r="AA484" s="2880"/>
      <c r="AB484" s="2919">
        <v>47000</v>
      </c>
      <c r="AC484" s="2920">
        <f t="shared" ref="AC484" si="147">(36040*6%)+36040</f>
        <v>38202.400000000001</v>
      </c>
      <c r="AD484" s="2559">
        <f t="shared" si="144"/>
        <v>235000</v>
      </c>
      <c r="AE484" s="2560"/>
      <c r="AF484" s="45"/>
      <c r="AG484" s="166" t="s">
        <v>504</v>
      </c>
      <c r="AH484" s="155"/>
      <c r="AI484" s="155"/>
      <c r="AJ484" s="2557"/>
      <c r="AK484" s="2557"/>
      <c r="AL484" s="2557"/>
      <c r="AM484" s="2557"/>
      <c r="AN484" s="2557">
        <f>100000*1.0928</f>
        <v>109280</v>
      </c>
      <c r="AO484" s="2558"/>
    </row>
    <row r="485" spans="1:41" ht="15.95" customHeight="1" x14ac:dyDescent="0.3">
      <c r="A485" s="2839" t="s">
        <v>1010</v>
      </c>
      <c r="B485" s="2840"/>
      <c r="C485" s="170" t="s">
        <v>496</v>
      </c>
      <c r="D485" s="170" t="s">
        <v>497</v>
      </c>
      <c r="E485" s="2576">
        <v>5</v>
      </c>
      <c r="F485" s="2880"/>
      <c r="G485" s="2559">
        <v>47000</v>
      </c>
      <c r="H485" s="2560">
        <f t="shared" si="146"/>
        <v>38202.400000000001</v>
      </c>
      <c r="I485" s="2559">
        <f t="shared" si="143"/>
        <v>235000</v>
      </c>
      <c r="J485" s="2560"/>
      <c r="K485" s="279"/>
      <c r="L485" s="156" t="s">
        <v>533</v>
      </c>
      <c r="M485" s="201"/>
      <c r="N485" s="201"/>
      <c r="O485" s="2885"/>
      <c r="P485" s="2885"/>
      <c r="Q485" s="2886"/>
      <c r="R485" s="2886"/>
      <c r="S485" s="2887">
        <f>SUM(S480:T484)</f>
        <v>2494933.40032</v>
      </c>
      <c r="T485" s="2887"/>
      <c r="U485" s="45"/>
      <c r="V485" s="2839" t="s">
        <v>1090</v>
      </c>
      <c r="W485" s="2840"/>
      <c r="X485" s="120"/>
      <c r="Y485" s="170"/>
      <c r="Z485" s="2576"/>
      <c r="AA485" s="2880"/>
      <c r="AB485" s="2576"/>
      <c r="AC485" s="2880"/>
      <c r="AD485" s="2559">
        <f t="shared" si="144"/>
        <v>0</v>
      </c>
      <c r="AE485" s="2560"/>
      <c r="AF485" s="45"/>
      <c r="AG485" s="156" t="s">
        <v>533</v>
      </c>
      <c r="AH485" s="201"/>
      <c r="AI485" s="201"/>
      <c r="AJ485" s="2885"/>
      <c r="AK485" s="2885"/>
      <c r="AL485" s="2886"/>
      <c r="AM485" s="2886"/>
      <c r="AN485" s="2887">
        <f>SUM(AN480:AO484)</f>
        <v>1711725.9191639998</v>
      </c>
      <c r="AO485" s="2887"/>
    </row>
    <row r="486" spans="1:41" ht="15.95" customHeight="1" x14ac:dyDescent="0.3">
      <c r="A486" s="2839" t="s">
        <v>1011</v>
      </c>
      <c r="B486" s="2840"/>
      <c r="C486" s="120"/>
      <c r="D486" s="170"/>
      <c r="E486" s="2576"/>
      <c r="F486" s="2880"/>
      <c r="G486" s="2576"/>
      <c r="H486" s="2880"/>
      <c r="I486" s="2559">
        <f t="shared" si="143"/>
        <v>0</v>
      </c>
      <c r="J486" s="2560"/>
      <c r="K486" s="279"/>
      <c r="L486" s="159"/>
      <c r="M486" s="45"/>
      <c r="N486" s="45"/>
      <c r="O486" s="2575"/>
      <c r="P486" s="2575"/>
      <c r="Q486" s="2575"/>
      <c r="R486" s="2575"/>
      <c r="S486" s="2575"/>
      <c r="T486" s="2560"/>
      <c r="U486" s="45"/>
      <c r="V486" s="2839" t="s">
        <v>1011</v>
      </c>
      <c r="W486" s="2840"/>
      <c r="X486" s="120"/>
      <c r="Y486" s="170"/>
      <c r="Z486" s="2576"/>
      <c r="AA486" s="2880"/>
      <c r="AB486" s="2576"/>
      <c r="AC486" s="2880"/>
      <c r="AD486" s="2559">
        <f t="shared" si="144"/>
        <v>0</v>
      </c>
      <c r="AE486" s="2560"/>
      <c r="AF486" s="45"/>
      <c r="AG486" s="159"/>
      <c r="AH486" s="45"/>
      <c r="AI486" s="45"/>
      <c r="AJ486" s="2575"/>
      <c r="AK486" s="2575"/>
      <c r="AL486" s="2575"/>
      <c r="AM486" s="2575"/>
      <c r="AN486" s="2575"/>
      <c r="AO486" s="2560"/>
    </row>
    <row r="487" spans="1:41" ht="15.95" customHeight="1" thickBot="1" x14ac:dyDescent="0.35">
      <c r="A487" s="2839" t="s">
        <v>1012</v>
      </c>
      <c r="B487" s="2840"/>
      <c r="C487" s="170" t="s">
        <v>496</v>
      </c>
      <c r="D487" s="170" t="s">
        <v>497</v>
      </c>
      <c r="E487" s="2576">
        <v>5</v>
      </c>
      <c r="F487" s="2880"/>
      <c r="G487" s="2559">
        <v>47000</v>
      </c>
      <c r="H487" s="2560">
        <f t="shared" ref="H487:H488" si="148">(36040*6%)+36040</f>
        <v>38202.400000000001</v>
      </c>
      <c r="I487" s="2559">
        <f t="shared" si="143"/>
        <v>235000</v>
      </c>
      <c r="J487" s="2560"/>
      <c r="K487" s="279"/>
      <c r="L487" s="160" t="s">
        <v>583</v>
      </c>
      <c r="M487" s="205"/>
      <c r="N487" s="205"/>
      <c r="O487" s="205"/>
      <c r="P487" s="205"/>
      <c r="Q487" s="161"/>
      <c r="R487" s="161"/>
      <c r="S487" s="2580">
        <f>SUM(S485+S477+I502)</f>
        <v>22070600.904319998</v>
      </c>
      <c r="T487" s="2581"/>
      <c r="U487" s="45"/>
      <c r="V487" s="2839" t="s">
        <v>1012</v>
      </c>
      <c r="W487" s="2840"/>
      <c r="X487" s="120" t="s">
        <v>496</v>
      </c>
      <c r="Y487" s="170" t="s">
        <v>497</v>
      </c>
      <c r="Z487" s="2576">
        <v>20</v>
      </c>
      <c r="AA487" s="2880"/>
      <c r="AB487" s="2919">
        <v>47000</v>
      </c>
      <c r="AC487" s="2920">
        <f t="shared" ref="AC487:AC488" si="149">(36040*6%)+36040</f>
        <v>38202.400000000001</v>
      </c>
      <c r="AD487" s="2559">
        <f t="shared" si="144"/>
        <v>940000</v>
      </c>
      <c r="AE487" s="2560"/>
      <c r="AF487" s="45"/>
      <c r="AG487" s="160" t="s">
        <v>583</v>
      </c>
      <c r="AH487" s="205"/>
      <c r="AI487" s="205"/>
      <c r="AJ487" s="205"/>
      <c r="AK487" s="205"/>
      <c r="AL487" s="161"/>
      <c r="AM487" s="161"/>
      <c r="AN487" s="2580">
        <f>SUM(AN485+AN477+AD502)</f>
        <v>11988502.798764002</v>
      </c>
      <c r="AO487" s="2581"/>
    </row>
    <row r="488" spans="1:41" ht="15.95" customHeight="1" x14ac:dyDescent="0.2">
      <c r="A488" s="2839" t="s">
        <v>1052</v>
      </c>
      <c r="B488" s="2840"/>
      <c r="C488" s="170" t="s">
        <v>496</v>
      </c>
      <c r="D488" s="170" t="s">
        <v>497</v>
      </c>
      <c r="E488" s="2559">
        <v>10</v>
      </c>
      <c r="F488" s="2560"/>
      <c r="G488" s="2559">
        <v>47000</v>
      </c>
      <c r="H488" s="2560">
        <f t="shared" si="148"/>
        <v>38202.400000000001</v>
      </c>
      <c r="I488" s="2559">
        <f t="shared" si="143"/>
        <v>470000</v>
      </c>
      <c r="J488" s="2560"/>
      <c r="K488" s="284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2839" t="s">
        <v>1018</v>
      </c>
      <c r="W488" s="2840"/>
      <c r="X488" s="120" t="s">
        <v>496</v>
      </c>
      <c r="Y488" s="170" t="s">
        <v>497</v>
      </c>
      <c r="Z488" s="2559">
        <v>15</v>
      </c>
      <c r="AA488" s="2560"/>
      <c r="AB488" s="2919">
        <v>47000</v>
      </c>
      <c r="AC488" s="2920">
        <f t="shared" si="149"/>
        <v>38202.400000000001</v>
      </c>
      <c r="AD488" s="2559">
        <f t="shared" si="144"/>
        <v>705000</v>
      </c>
      <c r="AE488" s="2560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</row>
    <row r="489" spans="1:41" ht="15.95" customHeight="1" x14ac:dyDescent="0.3">
      <c r="A489" s="2839" t="s">
        <v>1019</v>
      </c>
      <c r="B489" s="2840"/>
      <c r="C489" s="120"/>
      <c r="D489" s="120"/>
      <c r="E489" s="2576"/>
      <c r="F489" s="2880"/>
      <c r="G489" s="2559"/>
      <c r="H489" s="2918"/>
      <c r="I489" s="2559">
        <f t="shared" si="143"/>
        <v>0</v>
      </c>
      <c r="J489" s="2560"/>
      <c r="K489" s="279"/>
      <c r="L489" s="7" t="s">
        <v>1528</v>
      </c>
      <c r="M489" s="45"/>
      <c r="N489" s="45"/>
      <c r="O489" s="45"/>
      <c r="P489" s="45"/>
      <c r="Q489" s="45"/>
      <c r="R489" s="45"/>
      <c r="S489" s="45"/>
      <c r="T489" s="45"/>
      <c r="U489" s="45"/>
      <c r="V489" s="2839" t="s">
        <v>1019</v>
      </c>
      <c r="W489" s="2840"/>
      <c r="X489" s="120"/>
      <c r="Y489" s="170"/>
      <c r="Z489" s="2576"/>
      <c r="AA489" s="2880"/>
      <c r="AB489" s="2576"/>
      <c r="AC489" s="2880"/>
      <c r="AD489" s="2559">
        <f t="shared" si="144"/>
        <v>0</v>
      </c>
      <c r="AE489" s="2560"/>
      <c r="AF489" s="45"/>
      <c r="AG489" s="7" t="s">
        <v>1528</v>
      </c>
      <c r="AH489" s="45"/>
      <c r="AI489" s="45"/>
      <c r="AJ489" s="45"/>
      <c r="AK489" s="45"/>
      <c r="AL489" s="45"/>
      <c r="AM489" s="45"/>
      <c r="AN489" s="45"/>
      <c r="AO489" s="45"/>
    </row>
    <row r="490" spans="1:41" ht="15.95" customHeight="1" x14ac:dyDescent="0.3">
      <c r="A490" s="2839" t="s">
        <v>1020</v>
      </c>
      <c r="B490" s="2840"/>
      <c r="C490" s="187"/>
      <c r="D490" s="170"/>
      <c r="E490" s="2576"/>
      <c r="F490" s="2880"/>
      <c r="G490" s="2576"/>
      <c r="H490" s="2880"/>
      <c r="I490" s="2559">
        <f t="shared" si="143"/>
        <v>0</v>
      </c>
      <c r="J490" s="2560"/>
      <c r="K490" s="279"/>
      <c r="L490" s="597" t="s">
        <v>1584</v>
      </c>
      <c r="M490" s="266"/>
      <c r="N490" s="266"/>
      <c r="O490" s="266"/>
      <c r="P490" s="266"/>
      <c r="Q490" s="1783"/>
      <c r="R490" s="266"/>
      <c r="S490" s="266"/>
      <c r="T490" s="45"/>
      <c r="U490" s="45"/>
      <c r="V490" s="2839" t="s">
        <v>1020</v>
      </c>
      <c r="W490" s="2840"/>
      <c r="X490" s="120"/>
      <c r="Y490" s="170"/>
      <c r="Z490" s="2576"/>
      <c r="AA490" s="2880"/>
      <c r="AB490" s="2576"/>
      <c r="AC490" s="2880"/>
      <c r="AD490" s="2559">
        <f t="shared" si="144"/>
        <v>0</v>
      </c>
      <c r="AE490" s="2560"/>
      <c r="AF490" s="45"/>
      <c r="AG490" s="597" t="s">
        <v>1584</v>
      </c>
      <c r="AH490" s="266"/>
      <c r="AI490" s="266"/>
      <c r="AJ490" s="266"/>
      <c r="AK490" s="266"/>
      <c r="AL490" s="1783"/>
      <c r="AM490" s="266"/>
      <c r="AN490" s="266"/>
      <c r="AO490" s="45"/>
    </row>
    <row r="491" spans="1:41" ht="15.95" customHeight="1" x14ac:dyDescent="0.3">
      <c r="A491" s="2839" t="s">
        <v>1021</v>
      </c>
      <c r="B491" s="2840"/>
      <c r="C491" s="187"/>
      <c r="D491" s="170"/>
      <c r="E491" s="2576"/>
      <c r="F491" s="2880"/>
      <c r="G491" s="2576"/>
      <c r="H491" s="2880"/>
      <c r="I491" s="2559">
        <f t="shared" si="143"/>
        <v>0</v>
      </c>
      <c r="J491" s="2560"/>
      <c r="K491" s="279"/>
      <c r="L491" s="45"/>
      <c r="M491" s="206"/>
      <c r="N491" s="206"/>
      <c r="O491" s="206"/>
      <c r="P491" s="206"/>
      <c r="Q491" s="107"/>
      <c r="R491" s="44"/>
      <c r="S491" s="44"/>
      <c r="T491" s="45"/>
      <c r="U491" s="45"/>
      <c r="V491" s="2839" t="s">
        <v>1021</v>
      </c>
      <c r="W491" s="2840"/>
      <c r="X491" s="120"/>
      <c r="Y491" s="170"/>
      <c r="Z491" s="2576"/>
      <c r="AA491" s="2880"/>
      <c r="AB491" s="2576"/>
      <c r="AC491" s="2880"/>
      <c r="AD491" s="2559">
        <f t="shared" si="144"/>
        <v>0</v>
      </c>
      <c r="AE491" s="2560"/>
      <c r="AF491" s="45"/>
      <c r="AG491" s="45"/>
      <c r="AH491" s="2834"/>
      <c r="AI491" s="2834"/>
      <c r="AJ491" s="2834"/>
      <c r="AK491" s="2834"/>
      <c r="AL491" s="300"/>
      <c r="AM491" s="44"/>
      <c r="AN491" s="44"/>
      <c r="AO491" s="45"/>
    </row>
    <row r="492" spans="1:41" ht="15.95" customHeight="1" x14ac:dyDescent="0.2">
      <c r="A492" s="2839" t="s">
        <v>1022</v>
      </c>
      <c r="B492" s="2840"/>
      <c r="C492" s="170" t="s">
        <v>496</v>
      </c>
      <c r="D492" s="170" t="s">
        <v>497</v>
      </c>
      <c r="E492" s="2559">
        <v>8</v>
      </c>
      <c r="F492" s="2560"/>
      <c r="G492" s="2559">
        <v>47000</v>
      </c>
      <c r="H492" s="2560">
        <f t="shared" ref="H492:H494" si="150">(36040*6%)+36040</f>
        <v>38202.400000000001</v>
      </c>
      <c r="I492" s="2559">
        <f t="shared" si="143"/>
        <v>376000</v>
      </c>
      <c r="J492" s="2560"/>
      <c r="K492" s="279"/>
      <c r="L492" s="45"/>
      <c r="M492" s="2834"/>
      <c r="N492" s="2834"/>
      <c r="O492" s="2834"/>
      <c r="P492" s="2834"/>
      <c r="Q492" s="107"/>
      <c r="R492" s="44"/>
      <c r="S492" s="45"/>
      <c r="T492" s="45"/>
      <c r="U492" s="45"/>
      <c r="V492" s="2839" t="s">
        <v>1022</v>
      </c>
      <c r="W492" s="2840"/>
      <c r="X492" s="120" t="s">
        <v>496</v>
      </c>
      <c r="Y492" s="170" t="s">
        <v>497</v>
      </c>
      <c r="Z492" s="2559">
        <v>5</v>
      </c>
      <c r="AA492" s="2560"/>
      <c r="AB492" s="2919">
        <v>47000</v>
      </c>
      <c r="AC492" s="2920">
        <f t="shared" ref="AC492:AC494" si="151">(36040*6%)+36040</f>
        <v>38202.400000000001</v>
      </c>
      <c r="AD492" s="2559">
        <f t="shared" si="144"/>
        <v>235000</v>
      </c>
      <c r="AE492" s="2560"/>
      <c r="AF492" s="45"/>
      <c r="AG492" s="45"/>
      <c r="AH492" s="206"/>
      <c r="AI492" s="206"/>
      <c r="AJ492" s="206"/>
      <c r="AK492" s="206"/>
      <c r="AL492" s="107"/>
      <c r="AM492" s="44"/>
      <c r="AN492" s="45"/>
      <c r="AO492" s="45"/>
    </row>
    <row r="493" spans="1:41" ht="15.95" customHeight="1" x14ac:dyDescent="0.2">
      <c r="A493" s="2839" t="s">
        <v>881</v>
      </c>
      <c r="B493" s="2840"/>
      <c r="C493" s="170" t="s">
        <v>496</v>
      </c>
      <c r="D493" s="170" t="s">
        <v>497</v>
      </c>
      <c r="E493" s="2559">
        <v>5</v>
      </c>
      <c r="F493" s="2560"/>
      <c r="G493" s="2559">
        <v>47000</v>
      </c>
      <c r="H493" s="2560">
        <f t="shared" si="150"/>
        <v>38202.400000000001</v>
      </c>
      <c r="I493" s="2559">
        <f t="shared" si="143"/>
        <v>235000</v>
      </c>
      <c r="J493" s="2560"/>
      <c r="K493" s="279"/>
      <c r="L493" s="45"/>
      <c r="M493" s="2834"/>
      <c r="N493" s="2834"/>
      <c r="O493" s="2834"/>
      <c r="P493" s="2834"/>
      <c r="Q493" s="107"/>
      <c r="R493" s="45"/>
      <c r="S493" s="45"/>
      <c r="T493" s="45"/>
      <c r="U493" s="45"/>
      <c r="V493" s="2839" t="s">
        <v>881</v>
      </c>
      <c r="W493" s="2840"/>
      <c r="X493" s="120" t="s">
        <v>496</v>
      </c>
      <c r="Y493" s="170" t="s">
        <v>497</v>
      </c>
      <c r="Z493" s="2559">
        <v>5</v>
      </c>
      <c r="AA493" s="2560"/>
      <c r="AB493" s="2919">
        <v>47000</v>
      </c>
      <c r="AC493" s="2920">
        <f t="shared" si="151"/>
        <v>38202.400000000001</v>
      </c>
      <c r="AD493" s="2559">
        <f t="shared" si="144"/>
        <v>235000</v>
      </c>
      <c r="AE493" s="2560"/>
      <c r="AF493" s="45"/>
      <c r="AG493" s="45"/>
      <c r="AH493" s="206"/>
      <c r="AI493" s="206"/>
      <c r="AJ493" s="206"/>
      <c r="AK493" s="206"/>
      <c r="AL493" s="107"/>
      <c r="AM493" s="45"/>
      <c r="AN493" s="45"/>
      <c r="AO493" s="45"/>
    </row>
    <row r="494" spans="1:41" ht="15.95" customHeight="1" x14ac:dyDescent="0.3">
      <c r="A494" s="2839" t="s">
        <v>882</v>
      </c>
      <c r="B494" s="2840"/>
      <c r="C494" s="170" t="s">
        <v>496</v>
      </c>
      <c r="D494" s="170" t="s">
        <v>497</v>
      </c>
      <c r="E494" s="2576">
        <v>5</v>
      </c>
      <c r="F494" s="2880"/>
      <c r="G494" s="2559">
        <v>47000</v>
      </c>
      <c r="H494" s="2560">
        <f t="shared" si="150"/>
        <v>38202.400000000001</v>
      </c>
      <c r="I494" s="2559">
        <f t="shared" si="143"/>
        <v>235000</v>
      </c>
      <c r="J494" s="2560"/>
      <c r="K494" s="279"/>
      <c r="L494" s="45"/>
      <c r="M494" s="2834"/>
      <c r="N494" s="2834"/>
      <c r="O494" s="2834"/>
      <c r="P494" s="2834"/>
      <c r="Q494" s="273"/>
      <c r="R494" s="44"/>
      <c r="S494" s="45"/>
      <c r="T494" s="45"/>
      <c r="U494" s="45"/>
      <c r="V494" s="2839" t="s">
        <v>882</v>
      </c>
      <c r="W494" s="2840"/>
      <c r="X494" s="120" t="s">
        <v>496</v>
      </c>
      <c r="Y494" s="170" t="s">
        <v>497</v>
      </c>
      <c r="Z494" s="2576">
        <v>5</v>
      </c>
      <c r="AA494" s="2880"/>
      <c r="AB494" s="2919">
        <v>47000</v>
      </c>
      <c r="AC494" s="2920">
        <f t="shared" si="151"/>
        <v>38202.400000000001</v>
      </c>
      <c r="AD494" s="2559">
        <f t="shared" si="144"/>
        <v>235000</v>
      </c>
      <c r="AE494" s="2560"/>
      <c r="AF494" s="45"/>
      <c r="AG494" s="45"/>
      <c r="AH494" s="2834"/>
      <c r="AI494" s="2834"/>
      <c r="AJ494" s="2834"/>
      <c r="AK494" s="2834"/>
      <c r="AL494" s="107"/>
      <c r="AM494" s="44"/>
      <c r="AN494" s="45"/>
      <c r="AO494" s="45"/>
    </row>
    <row r="495" spans="1:41" ht="15.95" customHeight="1" x14ac:dyDescent="0.3">
      <c r="A495" s="2911" t="s">
        <v>1023</v>
      </c>
      <c r="B495" s="2912"/>
      <c r="C495" s="187"/>
      <c r="D495" s="170"/>
      <c r="E495" s="2576"/>
      <c r="F495" s="2880"/>
      <c r="G495" s="2576"/>
      <c r="H495" s="2880"/>
      <c r="I495" s="2565">
        <f>SUM(I496:J501)</f>
        <v>952363.24800000002</v>
      </c>
      <c r="J495" s="2566"/>
      <c r="K495" s="279"/>
      <c r="L495" s="45"/>
      <c r="M495" s="45"/>
      <c r="N495" s="45"/>
      <c r="O495" s="45"/>
      <c r="P495" s="45"/>
      <c r="Q495" s="45"/>
      <c r="R495" s="44"/>
      <c r="S495" s="45"/>
      <c r="T495" s="45"/>
      <c r="U495" s="45"/>
      <c r="V495" s="2911" t="s">
        <v>1023</v>
      </c>
      <c r="W495" s="2912"/>
      <c r="X495" s="120"/>
      <c r="Y495" s="170"/>
      <c r="Z495" s="2576"/>
      <c r="AA495" s="2880"/>
      <c r="AB495" s="2576"/>
      <c r="AC495" s="2880"/>
      <c r="AD495" s="2565">
        <f>SUM(AD496:AE501)</f>
        <v>3112770.15</v>
      </c>
      <c r="AE495" s="2566"/>
      <c r="AF495" s="45"/>
      <c r="AG495" s="45"/>
      <c r="AH495" s="2834"/>
      <c r="AI495" s="2834"/>
      <c r="AJ495" s="2834"/>
      <c r="AK495" s="2834"/>
      <c r="AL495" s="107"/>
      <c r="AM495" s="44"/>
      <c r="AN495" s="45"/>
      <c r="AO495" s="45"/>
    </row>
    <row r="496" spans="1:41" ht="15.95" customHeight="1" x14ac:dyDescent="0.3">
      <c r="A496" s="2839" t="s">
        <v>884</v>
      </c>
      <c r="B496" s="2840"/>
      <c r="C496" s="170" t="s">
        <v>496</v>
      </c>
      <c r="D496" s="170" t="s">
        <v>497</v>
      </c>
      <c r="E496" s="2576">
        <v>8</v>
      </c>
      <c r="F496" s="2880"/>
      <c r="G496" s="2559">
        <v>47000</v>
      </c>
      <c r="H496" s="2560">
        <f t="shared" ref="H496" si="152">(36040*6%)+36040</f>
        <v>38202.400000000001</v>
      </c>
      <c r="I496" s="2559">
        <f>E496*G496</f>
        <v>376000</v>
      </c>
      <c r="J496" s="2560"/>
      <c r="K496" s="279"/>
      <c r="L496" s="45"/>
      <c r="M496" s="45"/>
      <c r="N496" s="45"/>
      <c r="O496" s="45"/>
      <c r="P496" s="45"/>
      <c r="Q496" s="45"/>
      <c r="R496" s="44"/>
      <c r="S496" s="45"/>
      <c r="T496" s="45"/>
      <c r="U496" s="45"/>
      <c r="V496" s="2839" t="s">
        <v>884</v>
      </c>
      <c r="W496" s="2840"/>
      <c r="X496" s="120" t="s">
        <v>496</v>
      </c>
      <c r="Y496" s="170" t="s">
        <v>497</v>
      </c>
      <c r="Z496" s="2576">
        <v>35</v>
      </c>
      <c r="AA496" s="2880"/>
      <c r="AB496" s="2919">
        <v>47000</v>
      </c>
      <c r="AC496" s="2920">
        <f t="shared" ref="AC496:AC498" si="153">(36040*6%)+36040</f>
        <v>38202.400000000001</v>
      </c>
      <c r="AD496" s="2559">
        <f>Z496*AB496</f>
        <v>1645000</v>
      </c>
      <c r="AE496" s="2560"/>
      <c r="AF496" s="45"/>
      <c r="AG496" s="45"/>
      <c r="AH496" s="2834"/>
      <c r="AI496" s="2834"/>
      <c r="AJ496" s="2834"/>
      <c r="AK496" s="2834"/>
      <c r="AL496" s="273"/>
      <c r="AM496" s="44"/>
      <c r="AN496" s="45"/>
      <c r="AO496" s="45"/>
    </row>
    <row r="497" spans="1:41" ht="15.95" customHeight="1" x14ac:dyDescent="0.3">
      <c r="A497" s="2839" t="s">
        <v>1024</v>
      </c>
      <c r="B497" s="2840"/>
      <c r="C497" s="120"/>
      <c r="D497" s="120"/>
      <c r="E497" s="2576"/>
      <c r="F497" s="2880"/>
      <c r="G497" s="2559"/>
      <c r="H497" s="2560"/>
      <c r="I497" s="2559">
        <f>E497*G497</f>
        <v>0</v>
      </c>
      <c r="J497" s="2560"/>
      <c r="K497" s="279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2839" t="s">
        <v>1024</v>
      </c>
      <c r="W497" s="2840"/>
      <c r="X497" s="120" t="s">
        <v>496</v>
      </c>
      <c r="Y497" s="170" t="s">
        <v>497</v>
      </c>
      <c r="Z497" s="2576">
        <v>5</v>
      </c>
      <c r="AA497" s="2880"/>
      <c r="AB497" s="2919">
        <v>47000</v>
      </c>
      <c r="AC497" s="2920">
        <f t="shared" si="153"/>
        <v>38202.400000000001</v>
      </c>
      <c r="AD497" s="2559">
        <f>Z497*AB497</f>
        <v>235000</v>
      </c>
      <c r="AE497" s="2560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</row>
    <row r="498" spans="1:41" ht="15.95" customHeight="1" x14ac:dyDescent="0.3">
      <c r="A498" s="2839" t="s">
        <v>893</v>
      </c>
      <c r="B498" s="2840"/>
      <c r="C498" s="170" t="s">
        <v>496</v>
      </c>
      <c r="D498" s="170" t="s">
        <v>497</v>
      </c>
      <c r="E498" s="2576">
        <v>1</v>
      </c>
      <c r="F498" s="2880"/>
      <c r="G498" s="2559">
        <v>47000</v>
      </c>
      <c r="H498" s="2560">
        <f t="shared" ref="H498" si="154">(36040*6%)+36040</f>
        <v>38202.400000000001</v>
      </c>
      <c r="I498" s="2559">
        <f>E498*G498</f>
        <v>47000</v>
      </c>
      <c r="J498" s="2560"/>
      <c r="K498" s="279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2839" t="s">
        <v>893</v>
      </c>
      <c r="W498" s="2840"/>
      <c r="X498" s="120" t="s">
        <v>496</v>
      </c>
      <c r="Y498" s="170" t="s">
        <v>497</v>
      </c>
      <c r="Z498" s="2576">
        <v>6</v>
      </c>
      <c r="AA498" s="2880"/>
      <c r="AB498" s="2919">
        <v>47000</v>
      </c>
      <c r="AC498" s="2920">
        <f t="shared" si="153"/>
        <v>38202.400000000001</v>
      </c>
      <c r="AD498" s="2559">
        <f>Z498*AB498</f>
        <v>282000</v>
      </c>
      <c r="AE498" s="2560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</row>
    <row r="499" spans="1:41" ht="15.95" customHeight="1" x14ac:dyDescent="0.3">
      <c r="A499" s="2839" t="s">
        <v>728</v>
      </c>
      <c r="B499" s="2840"/>
      <c r="C499" s="120"/>
      <c r="D499" s="170"/>
      <c r="E499" s="2576"/>
      <c r="F499" s="2880"/>
      <c r="G499" s="2559"/>
      <c r="H499" s="2918"/>
      <c r="I499" s="2559">
        <f>E499*G499</f>
        <v>0</v>
      </c>
      <c r="J499" s="2560"/>
      <c r="L499" s="45"/>
      <c r="M499" s="45"/>
      <c r="N499" s="45"/>
      <c r="O499" s="45"/>
      <c r="P499" s="45"/>
      <c r="Q499" s="45"/>
      <c r="U499" s="45"/>
      <c r="V499" s="2839" t="s">
        <v>728</v>
      </c>
      <c r="W499" s="2840"/>
      <c r="X499" s="120"/>
      <c r="Y499" s="170"/>
      <c r="Z499" s="2576"/>
      <c r="AA499" s="2880"/>
      <c r="AB499" s="2576"/>
      <c r="AC499" s="2880"/>
      <c r="AD499" s="2559">
        <f>Z499*AB499</f>
        <v>0</v>
      </c>
      <c r="AE499" s="2560"/>
      <c r="AF499" s="45"/>
      <c r="AG499" s="45"/>
      <c r="AH499" s="45"/>
      <c r="AI499" s="45"/>
      <c r="AJ499" s="45"/>
      <c r="AK499" s="45"/>
      <c r="AL499" s="45"/>
    </row>
    <row r="500" spans="1:41" ht="15.95" customHeight="1" x14ac:dyDescent="0.3">
      <c r="A500" s="2839" t="s">
        <v>765</v>
      </c>
      <c r="B500" s="2840"/>
      <c r="C500" s="187"/>
      <c r="D500" s="170" t="s">
        <v>794</v>
      </c>
      <c r="E500" s="2576"/>
      <c r="F500" s="2880"/>
      <c r="G500" s="2576"/>
      <c r="H500" s="2880"/>
      <c r="I500" s="2559">
        <f>270000*1.0928</f>
        <v>295056</v>
      </c>
      <c r="J500" s="2560"/>
      <c r="L500" s="45"/>
      <c r="M500" s="45"/>
      <c r="N500" s="45"/>
      <c r="O500" s="45"/>
      <c r="P500" s="45"/>
      <c r="Q500" s="45"/>
      <c r="U500" s="45"/>
      <c r="V500" s="2839" t="s">
        <v>765</v>
      </c>
      <c r="W500" s="2840"/>
      <c r="X500" s="120"/>
      <c r="Y500" s="170" t="s">
        <v>794</v>
      </c>
      <c r="Z500" s="2576"/>
      <c r="AA500" s="2880"/>
      <c r="AB500" s="2576"/>
      <c r="AC500" s="2880"/>
      <c r="AD500" s="2559">
        <f>200000*1.0928</f>
        <v>218560</v>
      </c>
      <c r="AE500" s="2560"/>
      <c r="AF500" s="45"/>
      <c r="AG500" s="45"/>
      <c r="AH500" s="45"/>
      <c r="AI500" s="45"/>
      <c r="AJ500" s="45"/>
      <c r="AK500" s="45"/>
      <c r="AL500" s="45"/>
    </row>
    <row r="501" spans="1:41" ht="15.95" customHeight="1" x14ac:dyDescent="0.3">
      <c r="A501" s="2839" t="s">
        <v>615</v>
      </c>
      <c r="B501" s="2840"/>
      <c r="C501" s="120"/>
      <c r="D501" s="170" t="s">
        <v>556</v>
      </c>
      <c r="E501" s="2576">
        <v>2</v>
      </c>
      <c r="F501" s="2880"/>
      <c r="G501" s="2903">
        <f>107205*1.0928</f>
        <v>117153.624</v>
      </c>
      <c r="H501" s="3000">
        <f t="shared" ref="H501" si="155">(95294*6%)+95294</f>
        <v>101011.64</v>
      </c>
      <c r="I501" s="2559">
        <f>E501*G501</f>
        <v>234307.24799999999</v>
      </c>
      <c r="J501" s="2560"/>
      <c r="U501" s="45"/>
      <c r="V501" s="2839" t="s">
        <v>615</v>
      </c>
      <c r="W501" s="2840"/>
      <c r="X501" s="120"/>
      <c r="Y501" s="170" t="s">
        <v>556</v>
      </c>
      <c r="Z501" s="2576">
        <v>6.25</v>
      </c>
      <c r="AA501" s="2880"/>
      <c r="AB501" s="2559">
        <f>+G501</f>
        <v>117153.624</v>
      </c>
      <c r="AC501" s="2918"/>
      <c r="AD501" s="2559">
        <f>Z501*AB501</f>
        <v>732210.15</v>
      </c>
      <c r="AE501" s="2560"/>
      <c r="AF501" s="45"/>
    </row>
    <row r="502" spans="1:41" ht="15.95" customHeight="1" thickBot="1" x14ac:dyDescent="0.25">
      <c r="A502" s="208" t="s">
        <v>558</v>
      </c>
      <c r="B502" s="209"/>
      <c r="C502" s="210"/>
      <c r="D502" s="209"/>
      <c r="E502" s="2561">
        <f>SUM(E467:F496)</f>
        <v>115</v>
      </c>
      <c r="F502" s="2562"/>
      <c r="G502" s="2561"/>
      <c r="H502" s="2562"/>
      <c r="I502" s="2561">
        <f>SUM(I495+I476+I465+I461+I458)</f>
        <v>5981363.2479999997</v>
      </c>
      <c r="J502" s="2562"/>
      <c r="U502" s="45"/>
      <c r="V502" s="208" t="s">
        <v>558</v>
      </c>
      <c r="W502" s="209"/>
      <c r="X502" s="210"/>
      <c r="Y502" s="209"/>
      <c r="Z502" s="2561">
        <f>SUM(Z478:AA498)</f>
        <v>103</v>
      </c>
      <c r="AA502" s="2562"/>
      <c r="AB502" s="2561"/>
      <c r="AC502" s="2562"/>
      <c r="AD502" s="2561">
        <f>SUM(AD495+AD476+AD465+AD461+AD458)</f>
        <v>5791770.1500000004</v>
      </c>
      <c r="AE502" s="2562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</row>
    <row r="503" spans="1:41" ht="15.95" customHeight="1" x14ac:dyDescent="0.2">
      <c r="A503" s="45"/>
      <c r="B503" s="45"/>
      <c r="C503" s="45"/>
      <c r="D503" s="45"/>
      <c r="E503" s="45"/>
      <c r="F503" s="45"/>
      <c r="G503" s="45"/>
      <c r="H503" s="275"/>
      <c r="I503" s="275"/>
      <c r="J503" s="275"/>
      <c r="K503" s="295"/>
      <c r="L503" s="45"/>
      <c r="M503" s="45"/>
      <c r="N503" s="45"/>
      <c r="O503" s="45"/>
      <c r="P503" s="45"/>
      <c r="Q503" s="45"/>
      <c r="R503" s="45"/>
      <c r="S503" s="295"/>
      <c r="T503" s="295"/>
      <c r="U503" s="276"/>
      <c r="V503" s="45"/>
      <c r="W503" s="45"/>
      <c r="X503" s="45"/>
      <c r="Y503" s="45"/>
      <c r="Z503" s="45"/>
      <c r="AA503" s="45"/>
      <c r="AB503" s="45"/>
      <c r="AC503" s="275"/>
      <c r="AD503" s="275"/>
      <c r="AE503" s="275"/>
      <c r="AF503" s="276"/>
      <c r="AG503" s="45"/>
      <c r="AH503" s="45"/>
      <c r="AI503" s="45"/>
      <c r="AJ503" s="45"/>
      <c r="AK503" s="45"/>
      <c r="AL503" s="45"/>
      <c r="AM503" s="45"/>
      <c r="AN503" s="276"/>
      <c r="AO503" s="276"/>
    </row>
    <row r="504" spans="1:41" ht="15.95" customHeight="1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2909"/>
      <c r="T504" s="2909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2909"/>
      <c r="AO504" s="2909"/>
    </row>
    <row r="505" spans="1:41" ht="15.95" customHeight="1" x14ac:dyDescent="0.2">
      <c r="A505" s="2654"/>
      <c r="B505" s="2654"/>
      <c r="C505" s="2654"/>
      <c r="D505" s="2654"/>
      <c r="E505" s="2654"/>
      <c r="F505" s="2654"/>
      <c r="G505" s="2654"/>
      <c r="H505" s="2654"/>
      <c r="I505" s="2654"/>
      <c r="J505" s="2654"/>
      <c r="K505" s="2654"/>
      <c r="L505" s="2654"/>
      <c r="M505" s="2654"/>
      <c r="N505" s="2654"/>
      <c r="O505" s="2654"/>
      <c r="P505" s="2654"/>
      <c r="Q505" s="2654"/>
      <c r="R505" s="2654"/>
      <c r="S505" s="2654"/>
      <c r="T505" s="2654"/>
      <c r="U505" s="2654"/>
      <c r="V505" s="2654"/>
      <c r="W505" s="2654"/>
      <c r="X505" s="2654"/>
      <c r="Y505" s="2654"/>
      <c r="Z505" s="2654"/>
      <c r="AA505" s="2654"/>
      <c r="AB505" s="2654"/>
      <c r="AC505" s="2654"/>
      <c r="AD505" s="2654"/>
      <c r="AE505" s="2654"/>
      <c r="AF505" s="2654"/>
      <c r="AG505" s="2654"/>
      <c r="AH505" s="2654"/>
      <c r="AI505" s="2654"/>
      <c r="AJ505" s="2654"/>
      <c r="AK505" s="2654"/>
      <c r="AL505" s="2654"/>
      <c r="AM505" s="2654"/>
      <c r="AN505" s="2654"/>
      <c r="AO505" s="2654"/>
    </row>
    <row r="506" spans="1:41" ht="15.95" customHeight="1" x14ac:dyDescent="0.2">
      <c r="A506" s="277"/>
      <c r="B506" s="277"/>
      <c r="C506" s="277"/>
      <c r="D506" s="277"/>
      <c r="E506" s="275"/>
      <c r="F506" s="275"/>
      <c r="G506" s="275"/>
      <c r="H506" s="275"/>
      <c r="I506" s="275"/>
      <c r="J506" s="275"/>
      <c r="K506" s="295"/>
      <c r="L506" s="295"/>
      <c r="M506" s="295"/>
      <c r="N506" s="295"/>
      <c r="O506" s="295"/>
      <c r="P506" s="295"/>
      <c r="Q506" s="295"/>
      <c r="R506" s="295"/>
      <c r="S506" s="295"/>
      <c r="T506" s="295"/>
      <c r="U506" s="276"/>
      <c r="V506" s="277"/>
      <c r="W506" s="277"/>
      <c r="X506" s="277"/>
      <c r="Y506" s="277"/>
      <c r="Z506" s="275"/>
      <c r="AA506" s="275"/>
      <c r="AB506" s="275"/>
      <c r="AC506" s="275"/>
      <c r="AD506" s="275"/>
      <c r="AE506" s="275"/>
      <c r="AF506" s="276"/>
      <c r="AG506" s="276"/>
      <c r="AH506" s="276"/>
      <c r="AI506" s="276"/>
      <c r="AJ506" s="276"/>
      <c r="AK506" s="276"/>
      <c r="AL506" s="276"/>
      <c r="AM506" s="276"/>
      <c r="AN506" s="276"/>
      <c r="AO506" s="276"/>
    </row>
    <row r="507" spans="1:41" ht="15.95" customHeight="1" x14ac:dyDescent="0.2">
      <c r="A507" s="2611" t="s">
        <v>1962</v>
      </c>
      <c r="B507" s="2611"/>
      <c r="C507" s="2611"/>
      <c r="D507" s="2611"/>
      <c r="E507" s="2611"/>
      <c r="F507" s="2611"/>
      <c r="G507" s="2611"/>
      <c r="H507" s="2611"/>
      <c r="I507" s="2611"/>
      <c r="J507" s="2611"/>
      <c r="K507" s="2611"/>
      <c r="L507" s="2611"/>
      <c r="M507" s="2611"/>
      <c r="N507" s="2611"/>
      <c r="O507" s="2611"/>
      <c r="P507" s="2611"/>
      <c r="Q507" s="2611"/>
      <c r="R507" s="2611"/>
      <c r="S507" s="2611"/>
      <c r="T507" s="2611"/>
      <c r="U507" s="47"/>
      <c r="V507" s="2611" t="s">
        <v>1963</v>
      </c>
      <c r="W507" s="2611"/>
      <c r="X507" s="2611"/>
      <c r="Y507" s="2611"/>
      <c r="Z507" s="2611"/>
      <c r="AA507" s="2611"/>
      <c r="AB507" s="2611"/>
      <c r="AC507" s="2611"/>
      <c r="AD507" s="2611"/>
      <c r="AE507" s="2611"/>
      <c r="AF507" s="2611"/>
      <c r="AG507" s="2611"/>
      <c r="AH507" s="2611"/>
      <c r="AI507" s="2611"/>
      <c r="AJ507" s="2611"/>
      <c r="AK507" s="2611"/>
      <c r="AL507" s="2611"/>
      <c r="AM507" s="2611"/>
      <c r="AN507" s="2611"/>
      <c r="AO507" s="2611"/>
    </row>
    <row r="508" spans="1:41" ht="15.95" customHeight="1" thickBot="1" x14ac:dyDescent="0.25">
      <c r="A508" s="2611"/>
      <c r="B508" s="2611"/>
      <c r="C508" s="2611"/>
      <c r="D508" s="2611"/>
      <c r="E508" s="2611"/>
      <c r="F508" s="2611"/>
      <c r="G508" s="2611"/>
      <c r="H508" s="2611"/>
      <c r="I508" s="2611"/>
      <c r="J508" s="2611"/>
      <c r="K508" s="2611"/>
      <c r="L508" s="2611"/>
      <c r="M508" s="2611"/>
      <c r="N508" s="2611"/>
      <c r="O508" s="2611"/>
      <c r="P508" s="2611"/>
      <c r="Q508" s="2611"/>
      <c r="R508" s="2611"/>
      <c r="S508" s="2611"/>
      <c r="T508" s="2611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</row>
    <row r="509" spans="1:41" ht="15.95" customHeight="1" x14ac:dyDescent="0.3">
      <c r="A509" s="2618" t="s">
        <v>435</v>
      </c>
      <c r="B509" s="2620"/>
      <c r="C509" s="2618" t="s">
        <v>436</v>
      </c>
      <c r="D509" s="2619"/>
      <c r="E509" s="2619"/>
      <c r="F509" s="2620"/>
      <c r="G509" s="2618" t="s">
        <v>437</v>
      </c>
      <c r="H509" s="2620"/>
      <c r="I509" s="2618" t="s">
        <v>438</v>
      </c>
      <c r="J509" s="2620"/>
      <c r="K509" s="45"/>
      <c r="L509" s="2633" t="s">
        <v>435</v>
      </c>
      <c r="M509" s="2618" t="s">
        <v>436</v>
      </c>
      <c r="N509" s="2619"/>
      <c r="O509" s="2619"/>
      <c r="P509" s="2620"/>
      <c r="Q509" s="2618" t="s">
        <v>437</v>
      </c>
      <c r="R509" s="2620"/>
      <c r="S509" s="2618"/>
      <c r="T509" s="2620"/>
      <c r="U509" s="268"/>
      <c r="V509" s="2618" t="s">
        <v>435</v>
      </c>
      <c r="W509" s="2620"/>
      <c r="X509" s="2618" t="s">
        <v>436</v>
      </c>
      <c r="Y509" s="2619"/>
      <c r="Z509" s="2619"/>
      <c r="AA509" s="2620"/>
      <c r="AB509" s="2618" t="s">
        <v>437</v>
      </c>
      <c r="AC509" s="2620"/>
      <c r="AD509" s="2618" t="s">
        <v>438</v>
      </c>
      <c r="AE509" s="2620"/>
      <c r="AF509" s="45"/>
      <c r="AG509" s="2633" t="s">
        <v>435</v>
      </c>
      <c r="AH509" s="2618" t="s">
        <v>436</v>
      </c>
      <c r="AI509" s="2619"/>
      <c r="AJ509" s="2619"/>
      <c r="AK509" s="2620"/>
      <c r="AL509" s="2618" t="s">
        <v>437</v>
      </c>
      <c r="AM509" s="2620"/>
      <c r="AN509" s="2618"/>
      <c r="AO509" s="2900"/>
    </row>
    <row r="510" spans="1:41" ht="15.95" customHeight="1" thickBot="1" x14ac:dyDescent="0.35">
      <c r="A510" s="2631"/>
      <c r="B510" s="2632"/>
      <c r="C510" s="2621"/>
      <c r="D510" s="2622"/>
      <c r="E510" s="2622"/>
      <c r="F510" s="2623"/>
      <c r="G510" s="2631" t="s">
        <v>440</v>
      </c>
      <c r="H510" s="2632"/>
      <c r="I510" s="2631"/>
      <c r="J510" s="2632"/>
      <c r="K510" s="45"/>
      <c r="L510" s="2670"/>
      <c r="M510" s="2621"/>
      <c r="N510" s="2622"/>
      <c r="O510" s="2622"/>
      <c r="P510" s="2623"/>
      <c r="Q510" s="2631" t="s">
        <v>440</v>
      </c>
      <c r="R510" s="2632"/>
      <c r="S510" s="2631" t="s">
        <v>274</v>
      </c>
      <c r="T510" s="2632"/>
      <c r="U510" s="268"/>
      <c r="V510" s="2631"/>
      <c r="W510" s="2632"/>
      <c r="X510" s="2621"/>
      <c r="Y510" s="2622"/>
      <c r="Z510" s="2622"/>
      <c r="AA510" s="2623"/>
      <c r="AB510" s="2631" t="s">
        <v>440</v>
      </c>
      <c r="AC510" s="2632"/>
      <c r="AD510" s="2631"/>
      <c r="AE510" s="2632"/>
      <c r="AF510" s="45"/>
      <c r="AG510" s="2670"/>
      <c r="AH510" s="2621"/>
      <c r="AI510" s="2622"/>
      <c r="AJ510" s="2622"/>
      <c r="AK510" s="2623"/>
      <c r="AL510" s="2631" t="s">
        <v>440</v>
      </c>
      <c r="AM510" s="2632"/>
      <c r="AN510" s="2631" t="s">
        <v>274</v>
      </c>
      <c r="AO510" s="2880"/>
    </row>
    <row r="511" spans="1:41" ht="15.95" customHeight="1" x14ac:dyDescent="0.3">
      <c r="A511" s="2631"/>
      <c r="B511" s="2632"/>
      <c r="C511" s="53" t="s">
        <v>441</v>
      </c>
      <c r="D511" s="2670" t="s">
        <v>442</v>
      </c>
      <c r="E511" s="2631" t="s">
        <v>443</v>
      </c>
      <c r="F511" s="2632"/>
      <c r="G511" s="2631" t="s">
        <v>444</v>
      </c>
      <c r="H511" s="2632"/>
      <c r="I511" s="2631" t="s">
        <v>348</v>
      </c>
      <c r="J511" s="2632"/>
      <c r="K511" s="45"/>
      <c r="L511" s="2670"/>
      <c r="M511" s="51" t="s">
        <v>441</v>
      </c>
      <c r="N511" s="2633" t="s">
        <v>442</v>
      </c>
      <c r="O511" s="2618" t="s">
        <v>443</v>
      </c>
      <c r="P511" s="2620"/>
      <c r="Q511" s="2631" t="s">
        <v>444</v>
      </c>
      <c r="R511" s="2632"/>
      <c r="S511" s="2631" t="s">
        <v>348</v>
      </c>
      <c r="T511" s="2632"/>
      <c r="U511" s="268"/>
      <c r="V511" s="2631"/>
      <c r="W511" s="2632"/>
      <c r="X511" s="53" t="s">
        <v>441</v>
      </c>
      <c r="Y511" s="2670" t="s">
        <v>442</v>
      </c>
      <c r="Z511" s="2631" t="s">
        <v>443</v>
      </c>
      <c r="AA511" s="2632"/>
      <c r="AB511" s="2631" t="s">
        <v>444</v>
      </c>
      <c r="AC511" s="2632"/>
      <c r="AD511" s="2631" t="s">
        <v>348</v>
      </c>
      <c r="AE511" s="2632"/>
      <c r="AF511" s="45"/>
      <c r="AG511" s="2670"/>
      <c r="AH511" s="51" t="s">
        <v>441</v>
      </c>
      <c r="AI511" s="2670" t="s">
        <v>442</v>
      </c>
      <c r="AJ511" s="2631" t="s">
        <v>443</v>
      </c>
      <c r="AK511" s="2632"/>
      <c r="AL511" s="2631" t="s">
        <v>444</v>
      </c>
      <c r="AM511" s="2632"/>
      <c r="AN511" s="2631" t="s">
        <v>348</v>
      </c>
      <c r="AO511" s="2880"/>
    </row>
    <row r="512" spans="1:41" ht="15.95" customHeight="1" thickBot="1" x14ac:dyDescent="0.35">
      <c r="A512" s="2621"/>
      <c r="B512" s="2623"/>
      <c r="C512" s="54" t="s">
        <v>445</v>
      </c>
      <c r="D512" s="2634"/>
      <c r="E512" s="2621"/>
      <c r="F512" s="2623"/>
      <c r="G512" s="2621"/>
      <c r="H512" s="2623"/>
      <c r="I512" s="2621"/>
      <c r="J512" s="2623"/>
      <c r="K512" s="45"/>
      <c r="L512" s="2634"/>
      <c r="M512" s="50" t="s">
        <v>445</v>
      </c>
      <c r="N512" s="2634"/>
      <c r="O512" s="2621"/>
      <c r="P512" s="2623"/>
      <c r="Q512" s="2621"/>
      <c r="R512" s="2623"/>
      <c r="S512" s="2621"/>
      <c r="T512" s="2623"/>
      <c r="U512" s="268"/>
      <c r="V512" s="2621"/>
      <c r="W512" s="2623"/>
      <c r="X512" s="54" t="s">
        <v>445</v>
      </c>
      <c r="Y512" s="2634"/>
      <c r="Z512" s="2621"/>
      <c r="AA512" s="2623"/>
      <c r="AB512" s="2621"/>
      <c r="AC512" s="2623"/>
      <c r="AD512" s="2621"/>
      <c r="AE512" s="2623"/>
      <c r="AF512" s="45"/>
      <c r="AG512" s="2634"/>
      <c r="AH512" s="50" t="s">
        <v>445</v>
      </c>
      <c r="AI512" s="2634"/>
      <c r="AJ512" s="2621"/>
      <c r="AK512" s="2623"/>
      <c r="AL512" s="2621"/>
      <c r="AM512" s="2623"/>
      <c r="AN512" s="2901"/>
      <c r="AO512" s="2902"/>
    </row>
    <row r="513" spans="1:41" ht="15.95" customHeight="1" x14ac:dyDescent="0.3">
      <c r="A513" s="2913" t="s">
        <v>446</v>
      </c>
      <c r="B513" s="2914"/>
      <c r="C513" s="184"/>
      <c r="D513" s="170"/>
      <c r="E513" s="2576"/>
      <c r="F513" s="2880"/>
      <c r="G513" s="2576"/>
      <c r="H513" s="2880"/>
      <c r="I513" s="2576"/>
      <c r="J513" s="2880"/>
      <c r="K513" s="279"/>
      <c r="L513" s="119" t="s">
        <v>447</v>
      </c>
      <c r="M513" s="185"/>
      <c r="N513" s="186"/>
      <c r="O513" s="2605"/>
      <c r="P513" s="2606"/>
      <c r="Q513" s="2605"/>
      <c r="R513" s="2606"/>
      <c r="S513" s="2605"/>
      <c r="T513" s="2606"/>
      <c r="U513" s="45"/>
      <c r="V513" s="2913" t="s">
        <v>446</v>
      </c>
      <c r="W513" s="2914"/>
      <c r="X513" s="184"/>
      <c r="Y513" s="170"/>
      <c r="Z513" s="2576"/>
      <c r="AA513" s="2880"/>
      <c r="AB513" s="2576"/>
      <c r="AC513" s="2880"/>
      <c r="AD513" s="2576"/>
      <c r="AE513" s="2880"/>
      <c r="AF513" s="45"/>
      <c r="AG513" s="119" t="s">
        <v>447</v>
      </c>
      <c r="AH513" s="185"/>
      <c r="AI513" s="186"/>
      <c r="AJ513" s="2605"/>
      <c r="AK513" s="2606"/>
      <c r="AL513" s="2605"/>
      <c r="AM513" s="2606"/>
      <c r="AN513" s="2605"/>
      <c r="AO513" s="2606"/>
    </row>
    <row r="514" spans="1:41" ht="15.95" customHeight="1" x14ac:dyDescent="0.35">
      <c r="A514" s="2911" t="s">
        <v>979</v>
      </c>
      <c r="B514" s="2912"/>
      <c r="C514" s="45"/>
      <c r="D514" s="288"/>
      <c r="E514" s="2576"/>
      <c r="F514" s="2880"/>
      <c r="G514" s="2576"/>
      <c r="H514" s="2880"/>
      <c r="I514" s="2565">
        <f>SUM(I515:J516)</f>
        <v>0</v>
      </c>
      <c r="J514" s="2892"/>
      <c r="K514" s="279"/>
      <c r="L514" s="122"/>
      <c r="M514" s="188"/>
      <c r="N514" s="170"/>
      <c r="O514" s="2559"/>
      <c r="P514" s="2560"/>
      <c r="Q514" s="2559"/>
      <c r="R514" s="2560"/>
      <c r="S514" s="2559"/>
      <c r="T514" s="2560"/>
      <c r="U514" s="45"/>
      <c r="V514" s="2911" t="s">
        <v>979</v>
      </c>
      <c r="W514" s="2912"/>
      <c r="X514" s="187"/>
      <c r="Y514" s="170"/>
      <c r="Z514" s="2576"/>
      <c r="AA514" s="2880"/>
      <c r="AB514" s="2576"/>
      <c r="AC514" s="2880"/>
      <c r="AD514" s="2897">
        <f>SUM(AD515:AE516)</f>
        <v>0</v>
      </c>
      <c r="AE514" s="2892"/>
      <c r="AF514" s="45"/>
      <c r="AG514" s="122"/>
      <c r="AH514" s="188"/>
      <c r="AI514" s="170"/>
      <c r="AJ514" s="2559"/>
      <c r="AK514" s="2560"/>
      <c r="AL514" s="2559"/>
      <c r="AM514" s="2560"/>
      <c r="AN514" s="2559"/>
      <c r="AO514" s="2560"/>
    </row>
    <row r="515" spans="1:41" ht="15.95" customHeight="1" x14ac:dyDescent="0.3">
      <c r="A515" s="2915" t="s">
        <v>980</v>
      </c>
      <c r="B515" s="2916"/>
      <c r="C515" s="187"/>
      <c r="D515" s="170"/>
      <c r="E515" s="2576"/>
      <c r="F515" s="2880"/>
      <c r="G515" s="2576"/>
      <c r="H515" s="2880"/>
      <c r="I515" s="2559">
        <f>E515*G515</f>
        <v>0</v>
      </c>
      <c r="J515" s="2560"/>
      <c r="K515" s="279"/>
      <c r="L515" s="122" t="s">
        <v>450</v>
      </c>
      <c r="M515" s="170"/>
      <c r="N515" s="170"/>
      <c r="O515" s="2559"/>
      <c r="P515" s="2560"/>
      <c r="Q515" s="2559"/>
      <c r="R515" s="2560"/>
      <c r="S515" s="2559"/>
      <c r="T515" s="2560"/>
      <c r="U515" s="45"/>
      <c r="V515" s="2915" t="s">
        <v>980</v>
      </c>
      <c r="W515" s="2916"/>
      <c r="X515" s="187"/>
      <c r="Y515" s="170"/>
      <c r="Z515" s="2576"/>
      <c r="AA515" s="2880"/>
      <c r="AB515" s="2576"/>
      <c r="AC515" s="2880"/>
      <c r="AD515" s="2559">
        <f>Z515*AB515</f>
        <v>0</v>
      </c>
      <c r="AE515" s="2560"/>
      <c r="AF515" s="45"/>
      <c r="AG515" s="122" t="s">
        <v>450</v>
      </c>
      <c r="AH515" s="170"/>
      <c r="AI515" s="170"/>
      <c r="AJ515" s="2559"/>
      <c r="AK515" s="2560"/>
      <c r="AL515" s="2559"/>
      <c r="AM515" s="2560"/>
      <c r="AN515" s="2559"/>
      <c r="AO515" s="2560"/>
    </row>
    <row r="516" spans="1:41" ht="15.95" customHeight="1" x14ac:dyDescent="0.3">
      <c r="A516" s="2915" t="s">
        <v>981</v>
      </c>
      <c r="B516" s="2916"/>
      <c r="C516" s="187"/>
      <c r="D516" s="170"/>
      <c r="E516" s="2576"/>
      <c r="F516" s="2880"/>
      <c r="G516" s="2576"/>
      <c r="H516" s="2880"/>
      <c r="I516" s="2559">
        <f>E516*G516</f>
        <v>0</v>
      </c>
      <c r="J516" s="2560"/>
      <c r="K516" s="279"/>
      <c r="L516" s="122" t="s">
        <v>853</v>
      </c>
      <c r="M516" s="170" t="s">
        <v>1031</v>
      </c>
      <c r="N516" s="170" t="s">
        <v>497</v>
      </c>
      <c r="O516" s="2559">
        <v>28000</v>
      </c>
      <c r="P516" s="2560"/>
      <c r="Q516" s="2559">
        <f>656*1.0928</f>
        <v>716.8768</v>
      </c>
      <c r="R516" s="2560"/>
      <c r="S516" s="2559">
        <f t="shared" ref="S516:S531" si="156">O516*Q516</f>
        <v>20072550.399999999</v>
      </c>
      <c r="T516" s="2560"/>
      <c r="U516" s="45"/>
      <c r="V516" s="2915" t="s">
        <v>981</v>
      </c>
      <c r="W516" s="2916"/>
      <c r="X516" s="187"/>
      <c r="Y516" s="170"/>
      <c r="Z516" s="2576"/>
      <c r="AA516" s="2880"/>
      <c r="AB516" s="2576"/>
      <c r="AC516" s="2880"/>
      <c r="AD516" s="2559">
        <f>Z516*AB516</f>
        <v>0</v>
      </c>
      <c r="AE516" s="2560"/>
      <c r="AF516" s="45"/>
      <c r="AG516" s="122" t="s">
        <v>853</v>
      </c>
      <c r="AH516" s="170"/>
      <c r="AI516" s="170"/>
      <c r="AJ516" s="2559"/>
      <c r="AK516" s="2560"/>
      <c r="AL516" s="2559"/>
      <c r="AM516" s="2560"/>
      <c r="AN516" s="2559">
        <f t="shared" ref="AN516:AN532" si="157">AJ516*AL516</f>
        <v>0</v>
      </c>
      <c r="AO516" s="2560"/>
    </row>
    <row r="517" spans="1:41" ht="15.95" customHeight="1" x14ac:dyDescent="0.35">
      <c r="A517" s="2911" t="s">
        <v>990</v>
      </c>
      <c r="B517" s="2912"/>
      <c r="C517" s="197"/>
      <c r="D517" s="170"/>
      <c r="E517" s="2576"/>
      <c r="F517" s="2880"/>
      <c r="G517" s="2576"/>
      <c r="H517" s="2880"/>
      <c r="I517" s="2565">
        <f>SUM(I518:J520)</f>
        <v>0</v>
      </c>
      <c r="J517" s="2892"/>
      <c r="K517" s="279"/>
      <c r="L517" s="122" t="s">
        <v>859</v>
      </c>
      <c r="M517" s="170" t="s">
        <v>186</v>
      </c>
      <c r="N517" s="170" t="s">
        <v>473</v>
      </c>
      <c r="O517" s="2559">
        <v>12</v>
      </c>
      <c r="P517" s="2560"/>
      <c r="Q517" s="2559">
        <f>100528*1.0928</f>
        <v>109856.9984</v>
      </c>
      <c r="R517" s="2560"/>
      <c r="S517" s="2559">
        <f t="shared" si="156"/>
        <v>1318283.9808</v>
      </c>
      <c r="T517" s="2560"/>
      <c r="U517" s="45"/>
      <c r="V517" s="2911" t="s">
        <v>990</v>
      </c>
      <c r="W517" s="2912"/>
      <c r="X517" s="187"/>
      <c r="Y517" s="170"/>
      <c r="Z517" s="2576"/>
      <c r="AA517" s="2880"/>
      <c r="AB517" s="2576"/>
      <c r="AC517" s="2880"/>
      <c r="AD517" s="2565">
        <f>SUM(AD518:AE520)</f>
        <v>0</v>
      </c>
      <c r="AE517" s="2892"/>
      <c r="AF517" s="45"/>
      <c r="AG517" s="122" t="s">
        <v>859</v>
      </c>
      <c r="AH517" s="170" t="s">
        <v>186</v>
      </c>
      <c r="AI517" s="170" t="s">
        <v>473</v>
      </c>
      <c r="AJ517" s="2559">
        <v>5</v>
      </c>
      <c r="AK517" s="2560"/>
      <c r="AL517" s="2559">
        <f>100528*1.0928</f>
        <v>109856.9984</v>
      </c>
      <c r="AM517" s="2560">
        <f t="shared" ref="AM517" si="158">(89358*6%)+89358</f>
        <v>94719.48</v>
      </c>
      <c r="AN517" s="2559">
        <f t="shared" si="157"/>
        <v>549284.99199999997</v>
      </c>
      <c r="AO517" s="2560"/>
    </row>
    <row r="518" spans="1:41" ht="15.95" customHeight="1" x14ac:dyDescent="0.3">
      <c r="A518" s="2915" t="s">
        <v>991</v>
      </c>
      <c r="B518" s="2916"/>
      <c r="C518" s="120"/>
      <c r="D518" s="170"/>
      <c r="E518" s="2576"/>
      <c r="F518" s="2880"/>
      <c r="G518" s="2559"/>
      <c r="H518" s="2880"/>
      <c r="I518" s="2559">
        <f>E518*G518</f>
        <v>0</v>
      </c>
      <c r="J518" s="2560"/>
      <c r="K518" s="279"/>
      <c r="L518" s="122" t="s">
        <v>861</v>
      </c>
      <c r="M518" s="170" t="s">
        <v>748</v>
      </c>
      <c r="N518" s="170" t="s">
        <v>473</v>
      </c>
      <c r="O518" s="2559">
        <v>2</v>
      </c>
      <c r="P518" s="2560"/>
      <c r="Q518" s="2559">
        <v>52332</v>
      </c>
      <c r="R518" s="2560"/>
      <c r="S518" s="2559">
        <f t="shared" si="156"/>
        <v>104664</v>
      </c>
      <c r="T518" s="2560"/>
      <c r="U518" s="45"/>
      <c r="V518" s="2915" t="s">
        <v>991</v>
      </c>
      <c r="W518" s="2916"/>
      <c r="X518" s="187"/>
      <c r="Y518" s="170"/>
      <c r="Z518" s="2576"/>
      <c r="AA518" s="2880"/>
      <c r="AB518" s="2576"/>
      <c r="AC518" s="2880"/>
      <c r="AD518" s="2559">
        <f>Z518*AB518</f>
        <v>0</v>
      </c>
      <c r="AE518" s="2560"/>
      <c r="AF518" s="45"/>
      <c r="AG518" s="122" t="s">
        <v>861</v>
      </c>
      <c r="AH518" s="170" t="s">
        <v>748</v>
      </c>
      <c r="AI518" s="170" t="s">
        <v>473</v>
      </c>
      <c r="AJ518" s="2559">
        <v>2</v>
      </c>
      <c r="AK518" s="2560"/>
      <c r="AL518" s="2559">
        <v>52332</v>
      </c>
      <c r="AM518" s="2560"/>
      <c r="AN518" s="2559">
        <f t="shared" si="157"/>
        <v>104664</v>
      </c>
      <c r="AO518" s="2560"/>
    </row>
    <row r="519" spans="1:41" ht="15.95" customHeight="1" x14ac:dyDescent="0.3">
      <c r="A519" s="2915" t="s">
        <v>981</v>
      </c>
      <c r="B519" s="2916"/>
      <c r="C519" s="187"/>
      <c r="D519" s="170"/>
      <c r="E519" s="2576"/>
      <c r="F519" s="2880"/>
      <c r="G519" s="2559"/>
      <c r="H519" s="2880"/>
      <c r="I519" s="2559">
        <f>E519*G519</f>
        <v>0</v>
      </c>
      <c r="J519" s="2560"/>
      <c r="K519" s="279"/>
      <c r="L519" s="122" t="s">
        <v>863</v>
      </c>
      <c r="M519" s="170" t="s">
        <v>612</v>
      </c>
      <c r="N519" s="170" t="s">
        <v>1101</v>
      </c>
      <c r="O519" s="2571">
        <v>0.5</v>
      </c>
      <c r="P519" s="2572"/>
      <c r="Q519" s="2559">
        <f>107304*1.0928</f>
        <v>117261.8112</v>
      </c>
      <c r="R519" s="2560"/>
      <c r="S519" s="2559">
        <f t="shared" si="156"/>
        <v>58630.905599999998</v>
      </c>
      <c r="T519" s="2560"/>
      <c r="U519" s="45"/>
      <c r="V519" s="2915" t="s">
        <v>981</v>
      </c>
      <c r="W519" s="2916"/>
      <c r="X519" s="187"/>
      <c r="Y519" s="170"/>
      <c r="Z519" s="2576"/>
      <c r="AA519" s="2880"/>
      <c r="AB519" s="2576"/>
      <c r="AC519" s="2880"/>
      <c r="AD519" s="2559">
        <f>Z519*AB519</f>
        <v>0</v>
      </c>
      <c r="AE519" s="2560"/>
      <c r="AF519" s="45"/>
      <c r="AG519" s="122" t="s">
        <v>863</v>
      </c>
      <c r="AH519" s="170" t="s">
        <v>612</v>
      </c>
      <c r="AI519" s="170" t="s">
        <v>1101</v>
      </c>
      <c r="AJ519" s="2571">
        <v>0.5</v>
      </c>
      <c r="AK519" s="2572"/>
      <c r="AL519" s="2559">
        <f>114643*1.0928</f>
        <v>125281.8704</v>
      </c>
      <c r="AM519" s="2560">
        <f t="shared" ref="AM519" si="159">(101230*6%)+101989</f>
        <v>108062.8</v>
      </c>
      <c r="AN519" s="2559">
        <f t="shared" si="157"/>
        <v>62640.9352</v>
      </c>
      <c r="AO519" s="2560"/>
    </row>
    <row r="520" spans="1:41" ht="15.95" customHeight="1" x14ac:dyDescent="0.3">
      <c r="A520" s="2915" t="s">
        <v>992</v>
      </c>
      <c r="B520" s="2916"/>
      <c r="C520" s="187"/>
      <c r="D520" s="170"/>
      <c r="E520" s="2576"/>
      <c r="F520" s="2880"/>
      <c r="G520" s="2559"/>
      <c r="H520" s="2880"/>
      <c r="I520" s="2559">
        <f>E520*G520</f>
        <v>0</v>
      </c>
      <c r="J520" s="2560"/>
      <c r="K520" s="279"/>
      <c r="L520" s="122" t="s">
        <v>534</v>
      </c>
      <c r="M520" s="170"/>
      <c r="N520" s="170"/>
      <c r="O520" s="2559"/>
      <c r="P520" s="2560"/>
      <c r="Q520" s="2559"/>
      <c r="R520" s="2560"/>
      <c r="S520" s="2559">
        <f t="shared" si="156"/>
        <v>0</v>
      </c>
      <c r="T520" s="2560"/>
      <c r="U520" s="45"/>
      <c r="V520" s="2915" t="s">
        <v>992</v>
      </c>
      <c r="W520" s="2916"/>
      <c r="X520" s="187"/>
      <c r="Y520" s="170"/>
      <c r="Z520" s="2576"/>
      <c r="AA520" s="2880"/>
      <c r="AB520" s="2576"/>
      <c r="AC520" s="2880"/>
      <c r="AD520" s="2559">
        <f>Z520*AB520</f>
        <v>0</v>
      </c>
      <c r="AE520" s="2560"/>
      <c r="AF520" s="45"/>
      <c r="AG520" s="122" t="s">
        <v>534</v>
      </c>
      <c r="AH520" s="170"/>
      <c r="AI520" s="170"/>
      <c r="AJ520" s="2559"/>
      <c r="AK520" s="2560"/>
      <c r="AL520" s="2559"/>
      <c r="AM520" s="2560"/>
      <c r="AN520" s="2559">
        <f t="shared" si="157"/>
        <v>0</v>
      </c>
      <c r="AO520" s="2560"/>
    </row>
    <row r="521" spans="1:41" ht="15.95" customHeight="1" x14ac:dyDescent="0.35">
      <c r="A521" s="2998" t="s">
        <v>993</v>
      </c>
      <c r="B521" s="2999"/>
      <c r="C521" s="187"/>
      <c r="D521" s="170"/>
      <c r="E521" s="2576"/>
      <c r="F521" s="2880"/>
      <c r="G521" s="2559"/>
      <c r="H521" s="2560"/>
      <c r="I521" s="2565">
        <f>SUM(I522:J531)</f>
        <v>1739000</v>
      </c>
      <c r="J521" s="2892"/>
      <c r="K521" s="279"/>
      <c r="L521" s="288" t="s">
        <v>535</v>
      </c>
      <c r="M521" s="170" t="s">
        <v>590</v>
      </c>
      <c r="N521" s="170" t="s">
        <v>460</v>
      </c>
      <c r="O521" s="2559">
        <v>16</v>
      </c>
      <c r="P521" s="2560"/>
      <c r="Q521" s="2895">
        <v>223254</v>
      </c>
      <c r="R521" s="2896"/>
      <c r="S521" s="2559">
        <f t="shared" si="156"/>
        <v>3572064</v>
      </c>
      <c r="T521" s="2560"/>
      <c r="U521" s="45"/>
      <c r="V521" s="2998" t="s">
        <v>1035</v>
      </c>
      <c r="W521" s="2999"/>
      <c r="X521" s="288"/>
      <c r="Y521" s="170"/>
      <c r="Z521" s="2576"/>
      <c r="AA521" s="2880"/>
      <c r="AB521" s="2576"/>
      <c r="AC521" s="2880"/>
      <c r="AD521" s="2565">
        <f>SUM(AD522:AE531)</f>
        <v>0</v>
      </c>
      <c r="AE521" s="2892"/>
      <c r="AF521" s="45"/>
      <c r="AG521" s="288" t="s">
        <v>535</v>
      </c>
      <c r="AH521" s="170" t="s">
        <v>590</v>
      </c>
      <c r="AI521" s="170" t="s">
        <v>460</v>
      </c>
      <c r="AJ521" s="2559">
        <v>8</v>
      </c>
      <c r="AK521" s="2560"/>
      <c r="AL521" s="2895">
        <v>223254</v>
      </c>
      <c r="AM521" s="2896"/>
      <c r="AN521" s="2559">
        <f>AJ521*AL521</f>
        <v>1786032</v>
      </c>
      <c r="AO521" s="2560"/>
    </row>
    <row r="522" spans="1:41" ht="15.95" customHeight="1" x14ac:dyDescent="0.2">
      <c r="A522" s="2839" t="s">
        <v>995</v>
      </c>
      <c r="B522" s="2840"/>
      <c r="C522" s="170" t="s">
        <v>1116</v>
      </c>
      <c r="D522" s="170" t="s">
        <v>497</v>
      </c>
      <c r="E522" s="2559">
        <v>12</v>
      </c>
      <c r="F522" s="2560"/>
      <c r="G522" s="2559">
        <v>47000</v>
      </c>
      <c r="H522" s="2560">
        <f t="shared" ref="H522" si="160">(36040*6%)+36040</f>
        <v>38202.400000000001</v>
      </c>
      <c r="I522" s="2559">
        <f t="shared" ref="I522:I531" si="161">E522*G522</f>
        <v>564000</v>
      </c>
      <c r="J522" s="2560"/>
      <c r="K522" s="279"/>
      <c r="L522" s="122" t="s">
        <v>537</v>
      </c>
      <c r="M522" s="170" t="s">
        <v>1117</v>
      </c>
      <c r="N522" s="170" t="s">
        <v>1118</v>
      </c>
      <c r="O522" s="2559"/>
      <c r="P522" s="2560"/>
      <c r="Q522" s="2559"/>
      <c r="R522" s="2560"/>
      <c r="S522" s="2559">
        <v>130000</v>
      </c>
      <c r="T522" s="2560"/>
      <c r="U522" s="45"/>
      <c r="V522" s="2839" t="s">
        <v>991</v>
      </c>
      <c r="W522" s="2840"/>
      <c r="X522" s="288"/>
      <c r="Y522" s="170"/>
      <c r="Z522" s="2559"/>
      <c r="AA522" s="2560"/>
      <c r="AB522" s="2559"/>
      <c r="AC522" s="2560"/>
      <c r="AD522" s="2559">
        <f>Z522*AB522</f>
        <v>0</v>
      </c>
      <c r="AE522" s="2560"/>
      <c r="AF522" s="45"/>
      <c r="AG522" s="122" t="s">
        <v>537</v>
      </c>
      <c r="AH522" s="170" t="s">
        <v>1117</v>
      </c>
      <c r="AI522" s="170" t="s">
        <v>1118</v>
      </c>
      <c r="AJ522" s="2559">
        <v>1</v>
      </c>
      <c r="AK522" s="2560"/>
      <c r="AL522" s="2559">
        <f>78750*1.0928</f>
        <v>86058</v>
      </c>
      <c r="AM522" s="2560"/>
      <c r="AN522" s="2559">
        <f>+AJ522*AL522</f>
        <v>86058</v>
      </c>
      <c r="AO522" s="2560"/>
    </row>
    <row r="523" spans="1:41" ht="15.95" customHeight="1" x14ac:dyDescent="0.2">
      <c r="A523" s="2839" t="s">
        <v>1109</v>
      </c>
      <c r="B523" s="2840"/>
      <c r="C523" s="170"/>
      <c r="D523" s="170"/>
      <c r="E523" s="2559"/>
      <c r="F523" s="2560"/>
      <c r="G523" s="2559"/>
      <c r="H523" s="2560"/>
      <c r="I523" s="2559">
        <f t="shared" si="161"/>
        <v>0</v>
      </c>
      <c r="J523" s="2560"/>
      <c r="K523" s="279"/>
      <c r="L523" s="122" t="s">
        <v>866</v>
      </c>
      <c r="M523" s="170" t="s">
        <v>1050</v>
      </c>
      <c r="N523" s="170" t="s">
        <v>556</v>
      </c>
      <c r="O523" s="2571">
        <v>1.5</v>
      </c>
      <c r="P523" s="2572"/>
      <c r="Q523" s="2559">
        <f>190836*1.0928</f>
        <v>208545.5808</v>
      </c>
      <c r="R523" s="2560"/>
      <c r="S523" s="2559">
        <f t="shared" si="156"/>
        <v>312818.37119999999</v>
      </c>
      <c r="T523" s="2560"/>
      <c r="U523" s="45"/>
      <c r="V523" s="2839" t="s">
        <v>996</v>
      </c>
      <c r="W523" s="2840"/>
      <c r="X523" s="187"/>
      <c r="Y523" s="170"/>
      <c r="Z523" s="2559"/>
      <c r="AA523" s="2560"/>
      <c r="AB523" s="2559"/>
      <c r="AC523" s="2560"/>
      <c r="AD523" s="2559">
        <f>Z523*AB523</f>
        <v>0</v>
      </c>
      <c r="AE523" s="2560"/>
      <c r="AF523" s="45"/>
      <c r="AG523" s="122" t="s">
        <v>866</v>
      </c>
      <c r="AH523" s="170"/>
      <c r="AI523" s="170"/>
      <c r="AJ523" s="2571"/>
      <c r="AK523" s="2572"/>
      <c r="AL523" s="2559"/>
      <c r="AM523" s="2560"/>
      <c r="AN523" s="2559">
        <f t="shared" si="157"/>
        <v>0</v>
      </c>
      <c r="AO523" s="2560"/>
    </row>
    <row r="524" spans="1:41" ht="15.95" customHeight="1" x14ac:dyDescent="0.2">
      <c r="A524" s="2839" t="s">
        <v>469</v>
      </c>
      <c r="B524" s="2840"/>
      <c r="C524" s="120"/>
      <c r="D524" s="170"/>
      <c r="E524" s="2559"/>
      <c r="F524" s="2560"/>
      <c r="G524" s="2559"/>
      <c r="H524" s="2560"/>
      <c r="I524" s="2559">
        <f t="shared" si="161"/>
        <v>0</v>
      </c>
      <c r="J524" s="2560"/>
      <c r="K524" s="279"/>
      <c r="L524" s="122" t="s">
        <v>456</v>
      </c>
      <c r="M524" s="170" t="s">
        <v>710</v>
      </c>
      <c r="N524" s="170" t="s">
        <v>556</v>
      </c>
      <c r="O524" s="2559">
        <v>2</v>
      </c>
      <c r="P524" s="2560"/>
      <c r="Q524" s="2559">
        <f>180902*1.0928</f>
        <v>197689.70559999999</v>
      </c>
      <c r="R524" s="2560"/>
      <c r="S524" s="2559">
        <f t="shared" si="156"/>
        <v>395379.41119999997</v>
      </c>
      <c r="T524" s="2560"/>
      <c r="U524" s="45"/>
      <c r="V524" s="2839" t="s">
        <v>469</v>
      </c>
      <c r="W524" s="2840"/>
      <c r="X524" s="187"/>
      <c r="Y524" s="170"/>
      <c r="Z524" s="2559"/>
      <c r="AA524" s="2560"/>
      <c r="AB524" s="2559"/>
      <c r="AC524" s="2560"/>
      <c r="AD524" s="2559">
        <f t="shared" ref="AD524:AD531" si="162">Z524*AB524</f>
        <v>0</v>
      </c>
      <c r="AE524" s="2560"/>
      <c r="AF524" s="45"/>
      <c r="AG524" s="122" t="s">
        <v>456</v>
      </c>
      <c r="AH524" s="170"/>
      <c r="AI524" s="170"/>
      <c r="AJ524" s="2559"/>
      <c r="AK524" s="2560"/>
      <c r="AL524" s="2559"/>
      <c r="AM524" s="2560"/>
      <c r="AN524" s="2559">
        <f t="shared" si="157"/>
        <v>0</v>
      </c>
      <c r="AO524" s="2560"/>
    </row>
    <row r="525" spans="1:41" ht="15.95" customHeight="1" x14ac:dyDescent="0.3">
      <c r="A525" s="2839" t="s">
        <v>470</v>
      </c>
      <c r="B525" s="2840"/>
      <c r="C525" s="299"/>
      <c r="D525" s="120"/>
      <c r="E525" s="2559"/>
      <c r="F525" s="2560"/>
      <c r="G525" s="2559"/>
      <c r="H525" s="2560"/>
      <c r="I525" s="2559">
        <f t="shared" si="161"/>
        <v>0</v>
      </c>
      <c r="J525" s="2560"/>
      <c r="K525" s="279"/>
      <c r="L525" s="122" t="s">
        <v>871</v>
      </c>
      <c r="M525" s="170"/>
      <c r="N525" s="170"/>
      <c r="O525" s="2559"/>
      <c r="P525" s="2560"/>
      <c r="Q525" s="2559"/>
      <c r="R525" s="2560"/>
      <c r="S525" s="2559">
        <f t="shared" si="156"/>
        <v>0</v>
      </c>
      <c r="T525" s="2560"/>
      <c r="U525" s="45"/>
      <c r="V525" s="2839" t="s">
        <v>470</v>
      </c>
      <c r="W525" s="2840"/>
      <c r="X525" s="187"/>
      <c r="Y525" s="170"/>
      <c r="Z525" s="2559"/>
      <c r="AA525" s="2560"/>
      <c r="AB525" s="2559"/>
      <c r="AC525" s="2560"/>
      <c r="AD525" s="2559">
        <f t="shared" si="162"/>
        <v>0</v>
      </c>
      <c r="AE525" s="2560"/>
      <c r="AF525" s="45"/>
      <c r="AG525" s="122" t="s">
        <v>871</v>
      </c>
      <c r="AH525" s="170"/>
      <c r="AI525" s="170"/>
      <c r="AJ525" s="2559"/>
      <c r="AK525" s="2560"/>
      <c r="AL525" s="2559"/>
      <c r="AM525" s="2560"/>
      <c r="AN525" s="2559">
        <f t="shared" si="157"/>
        <v>0</v>
      </c>
      <c r="AO525" s="2560"/>
    </row>
    <row r="526" spans="1:41" ht="15.95" customHeight="1" x14ac:dyDescent="0.3">
      <c r="A526" s="2839" t="s">
        <v>1113</v>
      </c>
      <c r="B526" s="2840"/>
      <c r="C526" s="170" t="s">
        <v>1116</v>
      </c>
      <c r="D526" s="170" t="s">
        <v>497</v>
      </c>
      <c r="E526" s="2559">
        <v>4</v>
      </c>
      <c r="F526" s="2560"/>
      <c r="G526" s="2559">
        <v>47000</v>
      </c>
      <c r="H526" s="2560">
        <f t="shared" ref="H526:H528" si="163">(36040*6%)+36040</f>
        <v>38202.400000000001</v>
      </c>
      <c r="I526" s="2559">
        <f t="shared" si="161"/>
        <v>188000</v>
      </c>
      <c r="J526" s="2560"/>
      <c r="K526" s="279"/>
      <c r="L526" s="122" t="s">
        <v>595</v>
      </c>
      <c r="M526" s="170"/>
      <c r="N526" s="170"/>
      <c r="O526" s="2559"/>
      <c r="P526" s="2560"/>
      <c r="Q526" s="2559"/>
      <c r="R526" s="2560"/>
      <c r="S526" s="2559">
        <f t="shared" si="156"/>
        <v>0</v>
      </c>
      <c r="T526" s="2560"/>
      <c r="U526" s="45"/>
      <c r="V526" s="2839" t="s">
        <v>1068</v>
      </c>
      <c r="W526" s="2840"/>
      <c r="X526" s="288"/>
      <c r="Y526" s="170"/>
      <c r="Z526" s="2559"/>
      <c r="AA526" s="2560"/>
      <c r="AB526" s="2559"/>
      <c r="AC526" s="2880"/>
      <c r="AD526" s="2559">
        <f t="shared" si="162"/>
        <v>0</v>
      </c>
      <c r="AE526" s="2560"/>
      <c r="AF526" s="45"/>
      <c r="AG526" s="122" t="s">
        <v>595</v>
      </c>
      <c r="AH526" s="170"/>
      <c r="AI526" s="170"/>
      <c r="AJ526" s="2559"/>
      <c r="AK526" s="2560"/>
      <c r="AL526" s="2559"/>
      <c r="AM526" s="2560"/>
      <c r="AN526" s="2559">
        <f t="shared" si="157"/>
        <v>0</v>
      </c>
      <c r="AO526" s="2560"/>
    </row>
    <row r="527" spans="1:41" ht="15.95" customHeight="1" x14ac:dyDescent="0.3">
      <c r="A527" s="2839" t="s">
        <v>998</v>
      </c>
      <c r="B527" s="2840"/>
      <c r="C527" s="170" t="s">
        <v>1116</v>
      </c>
      <c r="D527" s="170" t="s">
        <v>497</v>
      </c>
      <c r="E527" s="2576">
        <v>6</v>
      </c>
      <c r="F527" s="2880"/>
      <c r="G527" s="2559">
        <v>47000</v>
      </c>
      <c r="H527" s="2560">
        <f t="shared" si="163"/>
        <v>38202.400000000001</v>
      </c>
      <c r="I527" s="2559">
        <f t="shared" si="161"/>
        <v>282000</v>
      </c>
      <c r="J527" s="2560"/>
      <c r="K527" s="279"/>
      <c r="L527" s="122" t="s">
        <v>507</v>
      </c>
      <c r="M527" s="214"/>
      <c r="N527" s="120"/>
      <c r="O527" s="2559"/>
      <c r="P527" s="2560"/>
      <c r="Q527" s="2559"/>
      <c r="R527" s="2560"/>
      <c r="S527" s="2559">
        <f t="shared" si="156"/>
        <v>0</v>
      </c>
      <c r="T527" s="2560"/>
      <c r="U527" s="45"/>
      <c r="V527" s="2839" t="s">
        <v>998</v>
      </c>
      <c r="W527" s="2840"/>
      <c r="X527" s="187"/>
      <c r="Y527" s="170"/>
      <c r="Z527" s="2576"/>
      <c r="AA527" s="2880"/>
      <c r="AB527" s="2576"/>
      <c r="AC527" s="2880"/>
      <c r="AD527" s="2559">
        <f t="shared" si="162"/>
        <v>0</v>
      </c>
      <c r="AE527" s="2560"/>
      <c r="AF527" s="45"/>
      <c r="AG527" s="122" t="s">
        <v>507</v>
      </c>
      <c r="AH527" s="214" t="s">
        <v>1079</v>
      </c>
      <c r="AI527" s="120" t="s">
        <v>497</v>
      </c>
      <c r="AJ527" s="2559">
        <v>650</v>
      </c>
      <c r="AK527" s="2560"/>
      <c r="AL527" s="2559">
        <f>3160*1.0928</f>
        <v>3453.248</v>
      </c>
      <c r="AM527" s="2560"/>
      <c r="AN527" s="2559">
        <f t="shared" si="157"/>
        <v>2244611.2000000002</v>
      </c>
      <c r="AO527" s="2560"/>
    </row>
    <row r="528" spans="1:41" ht="15.95" customHeight="1" x14ac:dyDescent="0.3">
      <c r="A528" s="2839" t="s">
        <v>999</v>
      </c>
      <c r="B528" s="2840"/>
      <c r="C528" s="170" t="s">
        <v>1116</v>
      </c>
      <c r="D528" s="170" t="s">
        <v>497</v>
      </c>
      <c r="E528" s="2576">
        <v>5</v>
      </c>
      <c r="F528" s="2880"/>
      <c r="G528" s="2559">
        <v>47000</v>
      </c>
      <c r="H528" s="2560">
        <f t="shared" si="163"/>
        <v>38202.400000000001</v>
      </c>
      <c r="I528" s="2559">
        <f t="shared" si="161"/>
        <v>235000</v>
      </c>
      <c r="J528" s="2560"/>
      <c r="K528" s="279"/>
      <c r="L528" s="122" t="s">
        <v>801</v>
      </c>
      <c r="M528" s="170"/>
      <c r="N528" s="170"/>
      <c r="O528" s="2559"/>
      <c r="P528" s="2560"/>
      <c r="Q528" s="2559"/>
      <c r="R528" s="2560"/>
      <c r="S528" s="2559">
        <f t="shared" si="156"/>
        <v>0</v>
      </c>
      <c r="T528" s="2560"/>
      <c r="U528" s="45"/>
      <c r="V528" s="2839" t="s">
        <v>999</v>
      </c>
      <c r="W528" s="2840"/>
      <c r="X528" s="120"/>
      <c r="Y528" s="170"/>
      <c r="Z528" s="2576"/>
      <c r="AA528" s="2880"/>
      <c r="AB528" s="2576"/>
      <c r="AC528" s="2880"/>
      <c r="AD528" s="2559">
        <f t="shared" si="162"/>
        <v>0</v>
      </c>
      <c r="AE528" s="2560"/>
      <c r="AF528" s="45"/>
      <c r="AG528" s="122" t="s">
        <v>801</v>
      </c>
      <c r="AH528" s="170"/>
      <c r="AI528" s="170"/>
      <c r="AJ528" s="2559"/>
      <c r="AK528" s="2560"/>
      <c r="AL528" s="2559"/>
      <c r="AM528" s="2560"/>
      <c r="AN528" s="2559">
        <f t="shared" si="157"/>
        <v>0</v>
      </c>
      <c r="AO528" s="2560"/>
    </row>
    <row r="529" spans="1:41" ht="15.95" customHeight="1" x14ac:dyDescent="0.3">
      <c r="A529" s="2839" t="s">
        <v>873</v>
      </c>
      <c r="B529" s="2840"/>
      <c r="C529" s="170"/>
      <c r="D529" s="170"/>
      <c r="E529" s="2576"/>
      <c r="F529" s="2880"/>
      <c r="G529" s="2559"/>
      <c r="H529" s="2560"/>
      <c r="I529" s="2559">
        <f t="shared" si="161"/>
        <v>0</v>
      </c>
      <c r="J529" s="2560"/>
      <c r="K529" s="279"/>
      <c r="L529" s="122" t="s">
        <v>575</v>
      </c>
      <c r="M529" s="170"/>
      <c r="N529" s="170"/>
      <c r="O529" s="2559"/>
      <c r="P529" s="2560"/>
      <c r="Q529" s="2559"/>
      <c r="R529" s="2560"/>
      <c r="S529" s="2559">
        <f t="shared" si="156"/>
        <v>0</v>
      </c>
      <c r="T529" s="2560"/>
      <c r="U529" s="45"/>
      <c r="V529" s="2839" t="s">
        <v>873</v>
      </c>
      <c r="W529" s="2840"/>
      <c r="X529" s="120"/>
      <c r="Y529" s="170"/>
      <c r="Z529" s="2576"/>
      <c r="AA529" s="2880"/>
      <c r="AB529" s="2576"/>
      <c r="AC529" s="2880"/>
      <c r="AD529" s="2559">
        <f t="shared" si="162"/>
        <v>0</v>
      </c>
      <c r="AE529" s="2560"/>
      <c r="AF529" s="45"/>
      <c r="AG529" s="122" t="s">
        <v>575</v>
      </c>
      <c r="AH529" s="170"/>
      <c r="AI529" s="170"/>
      <c r="AJ529" s="2559"/>
      <c r="AK529" s="2560"/>
      <c r="AL529" s="2559"/>
      <c r="AM529" s="2560"/>
      <c r="AN529" s="2559">
        <f t="shared" si="157"/>
        <v>0</v>
      </c>
      <c r="AO529" s="2560"/>
    </row>
    <row r="530" spans="1:41" ht="15.95" customHeight="1" x14ac:dyDescent="0.3">
      <c r="A530" s="2839" t="s">
        <v>1000</v>
      </c>
      <c r="B530" s="2840"/>
      <c r="C530" s="170" t="s">
        <v>1116</v>
      </c>
      <c r="D530" s="170" t="s">
        <v>497</v>
      </c>
      <c r="E530" s="2576">
        <v>10</v>
      </c>
      <c r="F530" s="2880"/>
      <c r="G530" s="2559">
        <v>47000</v>
      </c>
      <c r="H530" s="2560">
        <f t="shared" ref="H530" si="164">(36040*6%)+36040</f>
        <v>38202.400000000001</v>
      </c>
      <c r="I530" s="2559">
        <f t="shared" si="161"/>
        <v>470000</v>
      </c>
      <c r="J530" s="2560"/>
      <c r="K530" s="279"/>
      <c r="L530" s="122" t="s">
        <v>874</v>
      </c>
      <c r="M530" s="170"/>
      <c r="N530" s="170"/>
      <c r="O530" s="2559"/>
      <c r="P530" s="2560"/>
      <c r="Q530" s="2559"/>
      <c r="R530" s="2560"/>
      <c r="S530" s="2559">
        <f t="shared" si="156"/>
        <v>0</v>
      </c>
      <c r="T530" s="2560"/>
      <c r="U530" s="45"/>
      <c r="V530" s="2839" t="s">
        <v>1000</v>
      </c>
      <c r="W530" s="2840"/>
      <c r="X530" s="120"/>
      <c r="Y530" s="170"/>
      <c r="Z530" s="2576"/>
      <c r="AA530" s="2880"/>
      <c r="AB530" s="2576"/>
      <c r="AC530" s="2880"/>
      <c r="AD530" s="2559">
        <f t="shared" si="162"/>
        <v>0</v>
      </c>
      <c r="AE530" s="2560"/>
      <c r="AF530" s="45"/>
      <c r="AG530" s="122" t="s">
        <v>874</v>
      </c>
      <c r="AH530" s="170"/>
      <c r="AI530" s="170"/>
      <c r="AJ530" s="2559"/>
      <c r="AK530" s="2560"/>
      <c r="AL530" s="2559"/>
      <c r="AM530" s="2560"/>
      <c r="AN530" s="2559">
        <f t="shared" si="157"/>
        <v>0</v>
      </c>
      <c r="AO530" s="2560"/>
    </row>
    <row r="531" spans="1:41" ht="15.95" customHeight="1" x14ac:dyDescent="0.3">
      <c r="A531" s="2839" t="s">
        <v>504</v>
      </c>
      <c r="B531" s="2840"/>
      <c r="C531" s="187"/>
      <c r="D531" s="170"/>
      <c r="E531" s="2576"/>
      <c r="F531" s="2880"/>
      <c r="G531" s="2576"/>
      <c r="H531" s="2880"/>
      <c r="I531" s="2559">
        <f t="shared" si="161"/>
        <v>0</v>
      </c>
      <c r="J531" s="2560"/>
      <c r="K531" s="279"/>
      <c r="L531" s="196" t="s">
        <v>1107</v>
      </c>
      <c r="M531" s="120"/>
      <c r="N531" s="120"/>
      <c r="O531" s="2643"/>
      <c r="P531" s="2643"/>
      <c r="Q531" s="2643"/>
      <c r="R531" s="2643"/>
      <c r="S531" s="2559">
        <f t="shared" si="156"/>
        <v>0</v>
      </c>
      <c r="T531" s="2560"/>
      <c r="U531" s="45"/>
      <c r="V531" s="2839" t="s">
        <v>504</v>
      </c>
      <c r="W531" s="2840"/>
      <c r="X531" s="120"/>
      <c r="Y531" s="170"/>
      <c r="Z531" s="2576"/>
      <c r="AA531" s="2880"/>
      <c r="AB531" s="2576"/>
      <c r="AC531" s="2880"/>
      <c r="AD531" s="2559">
        <f t="shared" si="162"/>
        <v>0</v>
      </c>
      <c r="AE531" s="2560"/>
      <c r="AF531" s="45"/>
      <c r="AG531" s="196" t="s">
        <v>515</v>
      </c>
      <c r="AH531" s="120"/>
      <c r="AI531" s="120"/>
      <c r="AJ531" s="2643"/>
      <c r="AK531" s="2643"/>
      <c r="AL531" s="2643"/>
      <c r="AM531" s="2643"/>
      <c r="AN531" s="2559">
        <f t="shared" si="157"/>
        <v>0</v>
      </c>
      <c r="AO531" s="2560"/>
    </row>
    <row r="532" spans="1:41" ht="15.95" customHeight="1" x14ac:dyDescent="0.35">
      <c r="A532" s="2911" t="s">
        <v>1001</v>
      </c>
      <c r="B532" s="2912"/>
      <c r="C532" s="187"/>
      <c r="D532" s="170"/>
      <c r="E532" s="2576"/>
      <c r="F532" s="2880"/>
      <c r="G532" s="2576"/>
      <c r="H532" s="2880"/>
      <c r="I532" s="2565">
        <f>SUM(I533:J550)</f>
        <v>2632000</v>
      </c>
      <c r="J532" s="2892"/>
      <c r="K532" s="279"/>
      <c r="L532" s="196" t="s">
        <v>805</v>
      </c>
      <c r="M532" s="120"/>
      <c r="N532" s="120"/>
      <c r="O532" s="2643"/>
      <c r="P532" s="2643"/>
      <c r="Q532" s="2643"/>
      <c r="R532" s="2643"/>
      <c r="S532" s="2559">
        <f>300000*1.0928</f>
        <v>327840</v>
      </c>
      <c r="T532" s="2560"/>
      <c r="U532" s="45"/>
      <c r="V532" s="2911" t="s">
        <v>1001</v>
      </c>
      <c r="W532" s="2912"/>
      <c r="X532" s="120"/>
      <c r="Y532" s="170"/>
      <c r="Z532" s="2576"/>
      <c r="AA532" s="2880"/>
      <c r="AB532" s="2576"/>
      <c r="AC532" s="2880"/>
      <c r="AD532" s="2565">
        <f>SUM(AD533:AE550)</f>
        <v>1269000</v>
      </c>
      <c r="AE532" s="2892"/>
      <c r="AF532" s="45"/>
      <c r="AG532" s="196" t="s">
        <v>1093</v>
      </c>
      <c r="AH532" s="120"/>
      <c r="AI532" s="120"/>
      <c r="AJ532" s="2643"/>
      <c r="AK532" s="2643"/>
      <c r="AL532" s="2643"/>
      <c r="AM532" s="2643"/>
      <c r="AN532" s="2559">
        <f t="shared" si="157"/>
        <v>0</v>
      </c>
      <c r="AO532" s="2560"/>
    </row>
    <row r="533" spans="1:41" ht="15.95" customHeight="1" x14ac:dyDescent="0.2">
      <c r="A533" s="2839" t="s">
        <v>852</v>
      </c>
      <c r="B533" s="2840"/>
      <c r="C533" s="170" t="s">
        <v>1116</v>
      </c>
      <c r="D533" s="170" t="s">
        <v>497</v>
      </c>
      <c r="E533" s="2559">
        <v>12</v>
      </c>
      <c r="F533" s="2560"/>
      <c r="G533" s="2559">
        <v>47000</v>
      </c>
      <c r="H533" s="2560">
        <f t="shared" ref="H533:H534" si="165">(36040*6%)+36040</f>
        <v>38202.400000000001</v>
      </c>
      <c r="I533" s="2559">
        <f t="shared" ref="I533:I550" si="166">E533*G533</f>
        <v>564000</v>
      </c>
      <c r="J533" s="2560"/>
      <c r="K533" s="279"/>
      <c r="L533" s="199" t="s">
        <v>876</v>
      </c>
      <c r="M533" s="53"/>
      <c r="N533" s="200"/>
      <c r="O533" s="2893"/>
      <c r="P533" s="2893"/>
      <c r="Q533" s="2893"/>
      <c r="R533" s="2893"/>
      <c r="S533" s="2894">
        <f>SUM(S515:T532)</f>
        <v>26292231.068799995</v>
      </c>
      <c r="T533" s="2894"/>
      <c r="U533" s="45"/>
      <c r="V533" s="2839" t="s">
        <v>852</v>
      </c>
      <c r="W533" s="2840"/>
      <c r="X533" s="120"/>
      <c r="Y533" s="170"/>
      <c r="Z533" s="2559"/>
      <c r="AA533" s="2560"/>
      <c r="AB533" s="2559"/>
      <c r="AC533" s="2560"/>
      <c r="AD533" s="2559">
        <f t="shared" ref="AD533:AD550" si="167">Z533*AB533</f>
        <v>0</v>
      </c>
      <c r="AE533" s="2560"/>
      <c r="AF533" s="45"/>
      <c r="AG533" s="199" t="s">
        <v>876</v>
      </c>
      <c r="AH533" s="53"/>
      <c r="AI533" s="200"/>
      <c r="AJ533" s="2893"/>
      <c r="AK533" s="2893"/>
      <c r="AL533" s="2893"/>
      <c r="AM533" s="2893"/>
      <c r="AN533" s="2894">
        <f>SUM(AN515:AO531)</f>
        <v>4833291.1272</v>
      </c>
      <c r="AO533" s="2894"/>
    </row>
    <row r="534" spans="1:41" ht="15.95" customHeight="1" x14ac:dyDescent="0.2">
      <c r="A534" s="2839" t="s">
        <v>495</v>
      </c>
      <c r="B534" s="2840"/>
      <c r="C534" s="170" t="s">
        <v>1116</v>
      </c>
      <c r="D534" s="170" t="s">
        <v>497</v>
      </c>
      <c r="E534" s="2559">
        <v>5</v>
      </c>
      <c r="F534" s="2560"/>
      <c r="G534" s="2559">
        <v>47000</v>
      </c>
      <c r="H534" s="2560">
        <f t="shared" si="165"/>
        <v>38202.400000000001</v>
      </c>
      <c r="I534" s="2559">
        <f t="shared" si="166"/>
        <v>235000</v>
      </c>
      <c r="J534" s="2560"/>
      <c r="K534" s="279"/>
      <c r="L534" s="148"/>
      <c r="M534" s="197"/>
      <c r="N534" s="120"/>
      <c r="O534" s="2643"/>
      <c r="P534" s="2643"/>
      <c r="Q534" s="2643"/>
      <c r="R534" s="2643"/>
      <c r="S534" s="2643"/>
      <c r="T534" s="2643"/>
      <c r="U534" s="45"/>
      <c r="V534" s="2839" t="s">
        <v>495</v>
      </c>
      <c r="W534" s="2840"/>
      <c r="X534" s="120"/>
      <c r="Y534" s="170"/>
      <c r="Z534" s="2559"/>
      <c r="AA534" s="2560"/>
      <c r="AB534" s="2559"/>
      <c r="AC534" s="2560"/>
      <c r="AD534" s="2559">
        <f t="shared" si="167"/>
        <v>0</v>
      </c>
      <c r="AE534" s="2560"/>
      <c r="AF534" s="45"/>
      <c r="AG534" s="148"/>
      <c r="AH534" s="197"/>
      <c r="AI534" s="120"/>
      <c r="AJ534" s="2643"/>
      <c r="AK534" s="2643"/>
      <c r="AL534" s="2643"/>
      <c r="AM534" s="2643"/>
      <c r="AN534" s="2643"/>
      <c r="AO534" s="2643"/>
    </row>
    <row r="535" spans="1:41" ht="15.95" customHeight="1" x14ac:dyDescent="0.3">
      <c r="A535" s="2839" t="s">
        <v>1003</v>
      </c>
      <c r="B535" s="2840"/>
      <c r="C535" s="170"/>
      <c r="D535" s="170"/>
      <c r="E535" s="2576"/>
      <c r="F535" s="2880"/>
      <c r="G535" s="2559"/>
      <c r="H535" s="2560"/>
      <c r="I535" s="2559">
        <f t="shared" si="166"/>
        <v>0</v>
      </c>
      <c r="J535" s="2560"/>
      <c r="K535" s="279"/>
      <c r="L535" s="144" t="s">
        <v>577</v>
      </c>
      <c r="M535" s="145"/>
      <c r="N535" s="145"/>
      <c r="O535" s="2890"/>
      <c r="P535" s="2890"/>
      <c r="Q535" s="2890"/>
      <c r="R535" s="2890"/>
      <c r="S535" s="2890"/>
      <c r="T535" s="2891"/>
      <c r="U535" s="45"/>
      <c r="V535" s="2839" t="s">
        <v>1003</v>
      </c>
      <c r="W535" s="2840"/>
      <c r="X535" s="120"/>
      <c r="Y535" s="170"/>
      <c r="Z535" s="2576"/>
      <c r="AA535" s="2880"/>
      <c r="AB535" s="2576"/>
      <c r="AC535" s="2880"/>
      <c r="AD535" s="2559">
        <f t="shared" si="167"/>
        <v>0</v>
      </c>
      <c r="AE535" s="2560"/>
      <c r="AF535" s="45"/>
      <c r="AG535" s="144" t="s">
        <v>577</v>
      </c>
      <c r="AH535" s="145"/>
      <c r="AI535" s="145"/>
      <c r="AJ535" s="2890"/>
      <c r="AK535" s="2890"/>
      <c r="AL535" s="2890"/>
      <c r="AM535" s="2890"/>
      <c r="AN535" s="2890"/>
      <c r="AO535" s="2891"/>
    </row>
    <row r="536" spans="1:41" ht="15.95" customHeight="1" x14ac:dyDescent="0.3">
      <c r="A536" s="2839" t="s">
        <v>1004</v>
      </c>
      <c r="B536" s="2840"/>
      <c r="C536" s="187"/>
      <c r="D536" s="170"/>
      <c r="E536" s="2576"/>
      <c r="F536" s="2880"/>
      <c r="G536" s="2576"/>
      <c r="H536" s="2880"/>
      <c r="I536" s="2559">
        <f t="shared" si="166"/>
        <v>0</v>
      </c>
      <c r="J536" s="2560"/>
      <c r="K536" s="279"/>
      <c r="L536" s="148" t="s">
        <v>1005</v>
      </c>
      <c r="M536" s="296">
        <v>0.05</v>
      </c>
      <c r="N536" s="45"/>
      <c r="O536" s="2575"/>
      <c r="P536" s="2575"/>
      <c r="Q536" s="2575"/>
      <c r="R536" s="2575"/>
      <c r="S536" s="2575">
        <f>+(S533+I558)*0.05</f>
        <v>1555017.5534399999</v>
      </c>
      <c r="T536" s="2560"/>
      <c r="U536" s="45"/>
      <c r="V536" s="2839" t="s">
        <v>1004</v>
      </c>
      <c r="W536" s="2840"/>
      <c r="X536" s="120"/>
      <c r="Y536" s="170"/>
      <c r="Z536" s="2576"/>
      <c r="AA536" s="2880"/>
      <c r="AB536" s="2576"/>
      <c r="AC536" s="2880"/>
      <c r="AD536" s="2559">
        <f t="shared" si="167"/>
        <v>0</v>
      </c>
      <c r="AE536" s="2560"/>
      <c r="AF536" s="45"/>
      <c r="AG536" s="148" t="s">
        <v>1005</v>
      </c>
      <c r="AH536" s="296">
        <v>0.05</v>
      </c>
      <c r="AI536" s="45"/>
      <c r="AJ536" s="2575"/>
      <c r="AK536" s="2575"/>
      <c r="AL536" s="2575"/>
      <c r="AM536" s="2575"/>
      <c r="AN536" s="2575">
        <f>+(AN533+AD558)*0.05</f>
        <v>502968.35964000004</v>
      </c>
      <c r="AO536" s="2560"/>
    </row>
    <row r="537" spans="1:41" ht="15.95" customHeight="1" x14ac:dyDescent="0.3">
      <c r="A537" s="2839" t="s">
        <v>1006</v>
      </c>
      <c r="B537" s="2840"/>
      <c r="C537" s="187"/>
      <c r="D537" s="170"/>
      <c r="E537" s="2576"/>
      <c r="F537" s="2880"/>
      <c r="G537" s="2576"/>
      <c r="H537" s="2880"/>
      <c r="I537" s="2559">
        <f t="shared" si="166"/>
        <v>0</v>
      </c>
      <c r="J537" s="2560"/>
      <c r="K537" s="279"/>
      <c r="L537" s="151" t="s">
        <v>527</v>
      </c>
      <c r="M537" s="45"/>
      <c r="N537" s="45"/>
      <c r="O537" s="2575"/>
      <c r="P537" s="2575"/>
      <c r="Q537" s="2575"/>
      <c r="R537" s="2575"/>
      <c r="S537" s="2575">
        <f>200000*1.0928</f>
        <v>218560</v>
      </c>
      <c r="T537" s="2560"/>
      <c r="U537" s="45"/>
      <c r="V537" s="2839" t="s">
        <v>1006</v>
      </c>
      <c r="W537" s="2840"/>
      <c r="X537" s="120"/>
      <c r="Y537" s="170"/>
      <c r="Z537" s="2576"/>
      <c r="AA537" s="2880"/>
      <c r="AB537" s="2576"/>
      <c r="AC537" s="2880"/>
      <c r="AD537" s="2559">
        <f t="shared" si="167"/>
        <v>0</v>
      </c>
      <c r="AE537" s="2560"/>
      <c r="AF537" s="45"/>
      <c r="AG537" s="151" t="s">
        <v>527</v>
      </c>
      <c r="AH537" s="45"/>
      <c r="AI537" s="45"/>
      <c r="AJ537" s="2575"/>
      <c r="AK537" s="2575"/>
      <c r="AL537" s="2575"/>
      <c r="AM537" s="2575"/>
      <c r="AN537" s="2575">
        <f>120000*1.0928</f>
        <v>131136</v>
      </c>
      <c r="AO537" s="2560"/>
    </row>
    <row r="538" spans="1:41" ht="15.95" customHeight="1" x14ac:dyDescent="0.3">
      <c r="A538" s="2839" t="s">
        <v>1007</v>
      </c>
      <c r="B538" s="2840"/>
      <c r="C538" s="187"/>
      <c r="D538" s="170"/>
      <c r="E538" s="2576"/>
      <c r="F538" s="2880"/>
      <c r="G538" s="2576"/>
      <c r="H538" s="2880"/>
      <c r="I538" s="2559">
        <f t="shared" si="166"/>
        <v>0</v>
      </c>
      <c r="J538" s="2560"/>
      <c r="K538" s="279"/>
      <c r="L538" s="152" t="s">
        <v>529</v>
      </c>
      <c r="M538" s="45"/>
      <c r="N538" s="45"/>
      <c r="O538" s="2575"/>
      <c r="P538" s="2575"/>
      <c r="Q538" s="2575"/>
      <c r="R538" s="2575"/>
      <c r="S538" s="2575">
        <f>550000*1.0928</f>
        <v>601040</v>
      </c>
      <c r="T538" s="2560"/>
      <c r="U538" s="45"/>
      <c r="V538" s="2839" t="s">
        <v>1007</v>
      </c>
      <c r="W538" s="2840"/>
      <c r="X538" s="120"/>
      <c r="Y538" s="170"/>
      <c r="Z538" s="2576"/>
      <c r="AA538" s="2880"/>
      <c r="AB538" s="2576"/>
      <c r="AC538" s="2880"/>
      <c r="AD538" s="2559">
        <f t="shared" si="167"/>
        <v>0</v>
      </c>
      <c r="AE538" s="2560"/>
      <c r="AF538" s="45"/>
      <c r="AG538" s="152" t="s">
        <v>529</v>
      </c>
      <c r="AH538" s="45"/>
      <c r="AI538" s="45"/>
      <c r="AJ538" s="2575"/>
      <c r="AK538" s="2575"/>
      <c r="AL538" s="2575"/>
      <c r="AM538" s="2575"/>
      <c r="AN538" s="2575">
        <f>550000*1.0928</f>
        <v>601040</v>
      </c>
      <c r="AO538" s="2560"/>
    </row>
    <row r="539" spans="1:41" ht="15.95" customHeight="1" x14ac:dyDescent="0.3">
      <c r="A539" s="2839" t="s">
        <v>1008</v>
      </c>
      <c r="B539" s="2840"/>
      <c r="C539" s="170"/>
      <c r="D539" s="170"/>
      <c r="E539" s="2576"/>
      <c r="F539" s="2880"/>
      <c r="G539" s="2559"/>
      <c r="H539" s="2560"/>
      <c r="I539" s="2559">
        <f t="shared" si="166"/>
        <v>0</v>
      </c>
      <c r="J539" s="2560"/>
      <c r="K539" s="279"/>
      <c r="L539" s="152" t="s">
        <v>726</v>
      </c>
      <c r="M539" s="45"/>
      <c r="N539" s="45"/>
      <c r="O539" s="2575"/>
      <c r="P539" s="2575"/>
      <c r="Q539" s="2575"/>
      <c r="R539" s="2575"/>
      <c r="S539" s="2575">
        <f>(S533+I558)*5%</f>
        <v>1555017.5534399999</v>
      </c>
      <c r="T539" s="2560"/>
      <c r="U539" s="45"/>
      <c r="V539" s="2839" t="s">
        <v>1008</v>
      </c>
      <c r="W539" s="2840"/>
      <c r="X539" s="120"/>
      <c r="Y539" s="170"/>
      <c r="Z539" s="2576"/>
      <c r="AA539" s="2880"/>
      <c r="AB539" s="2576"/>
      <c r="AC539" s="2880"/>
      <c r="AD539" s="2559">
        <f t="shared" si="167"/>
        <v>0</v>
      </c>
      <c r="AE539" s="2560"/>
      <c r="AF539" s="45"/>
      <c r="AG539" s="152" t="s">
        <v>726</v>
      </c>
      <c r="AH539" s="45"/>
      <c r="AI539" s="45"/>
      <c r="AJ539" s="2575"/>
      <c r="AK539" s="2575"/>
      <c r="AL539" s="2575"/>
      <c r="AM539" s="2575"/>
      <c r="AN539" s="2575">
        <f>(AN533+AD558)*0.04</f>
        <v>402374.68771200004</v>
      </c>
      <c r="AO539" s="2560"/>
    </row>
    <row r="540" spans="1:41" ht="15.95" customHeight="1" x14ac:dyDescent="0.3">
      <c r="A540" s="2839" t="s">
        <v>1009</v>
      </c>
      <c r="B540" s="2840"/>
      <c r="C540" s="170" t="s">
        <v>1116</v>
      </c>
      <c r="D540" s="170" t="s">
        <v>497</v>
      </c>
      <c r="E540" s="2576">
        <v>20</v>
      </c>
      <c r="F540" s="2880"/>
      <c r="G540" s="2559">
        <v>47000</v>
      </c>
      <c r="H540" s="2560">
        <f t="shared" ref="H540" si="168">(36040*6%)+36040</f>
        <v>38202.400000000001</v>
      </c>
      <c r="I540" s="2559">
        <f t="shared" si="166"/>
        <v>940000</v>
      </c>
      <c r="J540" s="2560"/>
      <c r="K540" s="279"/>
      <c r="L540" s="166" t="s">
        <v>504</v>
      </c>
      <c r="M540" s="155"/>
      <c r="N540" s="155"/>
      <c r="O540" s="2557"/>
      <c r="P540" s="2557"/>
      <c r="Q540" s="2557"/>
      <c r="R540" s="2557"/>
      <c r="S540" s="2557">
        <f>200000*1.0928</f>
        <v>218560</v>
      </c>
      <c r="T540" s="2558"/>
      <c r="U540" s="45"/>
      <c r="V540" s="2839" t="s">
        <v>1009</v>
      </c>
      <c r="W540" s="2840"/>
      <c r="X540" s="120"/>
      <c r="Y540" s="170"/>
      <c r="Z540" s="2576"/>
      <c r="AA540" s="2880"/>
      <c r="AB540" s="2559"/>
      <c r="AC540" s="2560"/>
      <c r="AD540" s="2559">
        <f t="shared" si="167"/>
        <v>0</v>
      </c>
      <c r="AE540" s="2560"/>
      <c r="AF540" s="45"/>
      <c r="AG540" s="166" t="s">
        <v>504</v>
      </c>
      <c r="AH540" s="155"/>
      <c r="AI540" s="155"/>
      <c r="AJ540" s="2557"/>
      <c r="AK540" s="2557"/>
      <c r="AL540" s="2557"/>
      <c r="AM540" s="2557"/>
      <c r="AN540" s="2557">
        <f>150000*1.0928</f>
        <v>163920</v>
      </c>
      <c r="AO540" s="2558"/>
    </row>
    <row r="541" spans="1:41" ht="15.95" customHeight="1" x14ac:dyDescent="0.3">
      <c r="A541" s="2839" t="s">
        <v>1010</v>
      </c>
      <c r="B541" s="2840"/>
      <c r="C541" s="170"/>
      <c r="D541" s="170"/>
      <c r="E541" s="2576"/>
      <c r="F541" s="2880"/>
      <c r="G541" s="2559"/>
      <c r="H541" s="2560"/>
      <c r="I541" s="2559">
        <f t="shared" si="166"/>
        <v>0</v>
      </c>
      <c r="J541" s="2560"/>
      <c r="K541" s="279"/>
      <c r="L541" s="156" t="s">
        <v>533</v>
      </c>
      <c r="M541" s="201"/>
      <c r="N541" s="201"/>
      <c r="O541" s="2885"/>
      <c r="P541" s="2885"/>
      <c r="Q541" s="2886"/>
      <c r="R541" s="2886"/>
      <c r="S541" s="2887">
        <f>SUM(S536:T540)</f>
        <v>4148195.1068799999</v>
      </c>
      <c r="T541" s="2887"/>
      <c r="U541" s="45"/>
      <c r="V541" s="2839" t="s">
        <v>1090</v>
      </c>
      <c r="W541" s="2840"/>
      <c r="X541" s="120"/>
      <c r="Y541" s="170"/>
      <c r="Z541" s="2576"/>
      <c r="AA541" s="2880"/>
      <c r="AB541" s="2576"/>
      <c r="AC541" s="2880"/>
      <c r="AD541" s="2559">
        <f t="shared" si="167"/>
        <v>0</v>
      </c>
      <c r="AE541" s="2560"/>
      <c r="AF541" s="45"/>
      <c r="AG541" s="156" t="s">
        <v>533</v>
      </c>
      <c r="AH541" s="201"/>
      <c r="AI541" s="201"/>
      <c r="AJ541" s="2885"/>
      <c r="AK541" s="2885"/>
      <c r="AL541" s="2886"/>
      <c r="AM541" s="2886"/>
      <c r="AN541" s="2887">
        <f>SUM(AN536:AO540)</f>
        <v>1801439.0473519999</v>
      </c>
      <c r="AO541" s="2887"/>
    </row>
    <row r="542" spans="1:41" ht="15.95" customHeight="1" x14ac:dyDescent="0.3">
      <c r="A542" s="2839" t="s">
        <v>1011</v>
      </c>
      <c r="B542" s="2840"/>
      <c r="C542" s="120"/>
      <c r="D542" s="170"/>
      <c r="E542" s="2576"/>
      <c r="F542" s="2880"/>
      <c r="G542" s="2576"/>
      <c r="H542" s="2880"/>
      <c r="I542" s="2559">
        <f t="shared" si="166"/>
        <v>0</v>
      </c>
      <c r="J542" s="2560"/>
      <c r="K542" s="279"/>
      <c r="L542" s="159"/>
      <c r="M542" s="45"/>
      <c r="N542" s="45"/>
      <c r="O542" s="2575"/>
      <c r="P542" s="2575"/>
      <c r="Q542" s="2575"/>
      <c r="R542" s="2575"/>
      <c r="S542" s="2575"/>
      <c r="T542" s="2560"/>
      <c r="U542" s="45"/>
      <c r="V542" s="2839" t="s">
        <v>1011</v>
      </c>
      <c r="W542" s="2840"/>
      <c r="X542" s="120"/>
      <c r="Y542" s="170"/>
      <c r="Z542" s="2576"/>
      <c r="AA542" s="2880"/>
      <c r="AB542" s="2576"/>
      <c r="AC542" s="2880"/>
      <c r="AD542" s="2559">
        <f t="shared" si="167"/>
        <v>0</v>
      </c>
      <c r="AE542" s="2560"/>
      <c r="AF542" s="45"/>
      <c r="AG542" s="159"/>
      <c r="AH542" s="45"/>
      <c r="AI542" s="45"/>
      <c r="AJ542" s="2575"/>
      <c r="AK542" s="2575"/>
      <c r="AL542" s="2575"/>
      <c r="AM542" s="2575"/>
      <c r="AN542" s="2575"/>
      <c r="AO542" s="2560"/>
    </row>
    <row r="543" spans="1:41" ht="15.95" customHeight="1" thickBot="1" x14ac:dyDescent="0.35">
      <c r="A543" s="2839" t="s">
        <v>1012</v>
      </c>
      <c r="B543" s="2840"/>
      <c r="C543" s="170"/>
      <c r="D543" s="170"/>
      <c r="E543" s="2576"/>
      <c r="F543" s="2880"/>
      <c r="G543" s="2559"/>
      <c r="H543" s="2560"/>
      <c r="I543" s="2559">
        <f t="shared" si="166"/>
        <v>0</v>
      </c>
      <c r="J543" s="2560"/>
      <c r="K543" s="279"/>
      <c r="L543" s="160" t="s">
        <v>583</v>
      </c>
      <c r="M543" s="205"/>
      <c r="N543" s="205"/>
      <c r="O543" s="205"/>
      <c r="P543" s="205"/>
      <c r="Q543" s="161"/>
      <c r="R543" s="161"/>
      <c r="S543" s="2580">
        <f>SUM(S541+S533+I558)</f>
        <v>35248546.175679997</v>
      </c>
      <c r="T543" s="2581"/>
      <c r="U543" s="45"/>
      <c r="V543" s="2839" t="s">
        <v>1012</v>
      </c>
      <c r="W543" s="2840"/>
      <c r="X543" s="120"/>
      <c r="Y543" s="170"/>
      <c r="Z543" s="2576"/>
      <c r="AA543" s="2880"/>
      <c r="AB543" s="2559"/>
      <c r="AC543" s="2560"/>
      <c r="AD543" s="2559">
        <f t="shared" si="167"/>
        <v>0</v>
      </c>
      <c r="AE543" s="2560"/>
      <c r="AF543" s="45"/>
      <c r="AG543" s="160" t="s">
        <v>583</v>
      </c>
      <c r="AH543" s="205"/>
      <c r="AI543" s="205"/>
      <c r="AJ543" s="205"/>
      <c r="AK543" s="205"/>
      <c r="AL543" s="161"/>
      <c r="AM543" s="161"/>
      <c r="AN543" s="2580">
        <f>SUM(AN541+AN533+AD558)</f>
        <v>11860806.240152001</v>
      </c>
      <c r="AO543" s="2581"/>
    </row>
    <row r="544" spans="1:41" ht="15.95" customHeight="1" x14ac:dyDescent="0.2">
      <c r="A544" s="2839" t="s">
        <v>1052</v>
      </c>
      <c r="B544" s="2840"/>
      <c r="C544" s="170" t="s">
        <v>1116</v>
      </c>
      <c r="D544" s="170" t="s">
        <v>497</v>
      </c>
      <c r="E544" s="2559">
        <v>8</v>
      </c>
      <c r="F544" s="2560"/>
      <c r="G544" s="2559">
        <v>47000</v>
      </c>
      <c r="H544" s="2560">
        <f t="shared" ref="H544:H545" si="169">(36040*6%)+36040</f>
        <v>38202.400000000001</v>
      </c>
      <c r="I544" s="2559">
        <f t="shared" si="166"/>
        <v>376000</v>
      </c>
      <c r="J544" s="2560"/>
      <c r="K544" s="284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2839" t="s">
        <v>1052</v>
      </c>
      <c r="W544" s="2840"/>
      <c r="X544" s="120" t="s">
        <v>496</v>
      </c>
      <c r="Y544" s="170" t="s">
        <v>497</v>
      </c>
      <c r="Z544" s="2559">
        <v>10</v>
      </c>
      <c r="AA544" s="2560"/>
      <c r="AB544" s="2559">
        <v>47000</v>
      </c>
      <c r="AC544" s="2560">
        <f t="shared" ref="AC544:AC545" si="170">(36040*6%)+36040</f>
        <v>38202.400000000001</v>
      </c>
      <c r="AD544" s="2559">
        <f t="shared" si="167"/>
        <v>470000</v>
      </c>
      <c r="AE544" s="2560"/>
      <c r="AF544" s="45"/>
      <c r="AG544" s="7" t="s">
        <v>1585</v>
      </c>
      <c r="AH544" s="45"/>
      <c r="AI544" s="45"/>
      <c r="AJ544" s="45"/>
      <c r="AK544" s="45"/>
      <c r="AL544" s="45"/>
      <c r="AM544" s="45"/>
      <c r="AN544" s="45"/>
      <c r="AO544" s="45"/>
    </row>
    <row r="545" spans="1:41" ht="15.95" customHeight="1" x14ac:dyDescent="0.3">
      <c r="A545" s="2839" t="s">
        <v>1019</v>
      </c>
      <c r="B545" s="2840"/>
      <c r="C545" s="170" t="s">
        <v>1116</v>
      </c>
      <c r="D545" s="170" t="s">
        <v>497</v>
      </c>
      <c r="E545" s="2576">
        <v>3</v>
      </c>
      <c r="F545" s="2880"/>
      <c r="G545" s="2559">
        <v>47000</v>
      </c>
      <c r="H545" s="2560">
        <f t="shared" si="169"/>
        <v>38202.400000000001</v>
      </c>
      <c r="I545" s="2559">
        <f t="shared" si="166"/>
        <v>141000</v>
      </c>
      <c r="J545" s="2560"/>
      <c r="K545" s="279"/>
      <c r="L545" s="7" t="s">
        <v>1585</v>
      </c>
      <c r="M545" s="45"/>
      <c r="N545" s="45"/>
      <c r="O545" s="45"/>
      <c r="P545" s="45"/>
      <c r="Q545" s="45"/>
      <c r="R545" s="45"/>
      <c r="S545" s="45"/>
      <c r="T545" s="45"/>
      <c r="U545" s="45"/>
      <c r="V545" s="2839" t="s">
        <v>1019</v>
      </c>
      <c r="W545" s="2840"/>
      <c r="X545" s="120" t="s">
        <v>496</v>
      </c>
      <c r="Y545" s="170" t="s">
        <v>497</v>
      </c>
      <c r="Z545" s="2576">
        <v>6</v>
      </c>
      <c r="AA545" s="2880"/>
      <c r="AB545" s="2559">
        <v>47000</v>
      </c>
      <c r="AC545" s="2560">
        <f t="shared" si="170"/>
        <v>38202.400000000001</v>
      </c>
      <c r="AD545" s="2559">
        <f t="shared" si="167"/>
        <v>282000</v>
      </c>
      <c r="AE545" s="2560"/>
      <c r="AF545" s="45"/>
      <c r="AG545" s="597" t="s">
        <v>1584</v>
      </c>
      <c r="AH545" s="266"/>
      <c r="AI545" s="266"/>
      <c r="AJ545" s="266"/>
      <c r="AK545" s="266"/>
      <c r="AL545" s="1783"/>
      <c r="AM545" s="266"/>
      <c r="AN545" s="266"/>
      <c r="AO545" s="45"/>
    </row>
    <row r="546" spans="1:41" ht="15.95" customHeight="1" x14ac:dyDescent="0.3">
      <c r="A546" s="2839" t="s">
        <v>1020</v>
      </c>
      <c r="B546" s="2840"/>
      <c r="C546" s="187"/>
      <c r="D546" s="170"/>
      <c r="E546" s="2576"/>
      <c r="F546" s="2880"/>
      <c r="G546" s="2576"/>
      <c r="H546" s="2880"/>
      <c r="I546" s="2559">
        <f t="shared" si="166"/>
        <v>0</v>
      </c>
      <c r="J546" s="2560"/>
      <c r="K546" s="279"/>
      <c r="L546" s="597" t="s">
        <v>1584</v>
      </c>
      <c r="M546" s="266"/>
      <c r="N546" s="266"/>
      <c r="O546" s="266"/>
      <c r="P546" s="266"/>
      <c r="Q546" s="1783"/>
      <c r="R546" s="266"/>
      <c r="S546" s="266"/>
      <c r="T546" s="45"/>
      <c r="U546" s="45"/>
      <c r="V546" s="2839" t="s">
        <v>1020</v>
      </c>
      <c r="W546" s="2840"/>
      <c r="X546" s="120"/>
      <c r="Y546" s="170"/>
      <c r="Z546" s="2576"/>
      <c r="AA546" s="2880"/>
      <c r="AB546" s="2576"/>
      <c r="AC546" s="2880"/>
      <c r="AD546" s="2559">
        <f t="shared" si="167"/>
        <v>0</v>
      </c>
      <c r="AE546" s="2560"/>
      <c r="AF546" s="45"/>
      <c r="AG546" s="45"/>
      <c r="AH546" s="47"/>
      <c r="AI546" s="47"/>
      <c r="AJ546" s="47"/>
      <c r="AK546" s="47"/>
      <c r="AL546" s="46"/>
      <c r="AM546" s="47"/>
      <c r="AN546" s="44"/>
      <c r="AO546" s="45"/>
    </row>
    <row r="547" spans="1:41" ht="15.95" customHeight="1" x14ac:dyDescent="0.3">
      <c r="A547" s="2839" t="s">
        <v>1021</v>
      </c>
      <c r="B547" s="2840"/>
      <c r="C547" s="187"/>
      <c r="D547" s="170"/>
      <c r="E547" s="2576"/>
      <c r="F547" s="2880"/>
      <c r="G547" s="2576"/>
      <c r="H547" s="2880"/>
      <c r="I547" s="2559">
        <f t="shared" si="166"/>
        <v>0</v>
      </c>
      <c r="J547" s="2560"/>
      <c r="K547" s="279"/>
      <c r="L547" s="45"/>
      <c r="M547" s="206"/>
      <c r="N547" s="206"/>
      <c r="O547" s="206"/>
      <c r="P547" s="206"/>
      <c r="Q547" s="107"/>
      <c r="R547" s="44"/>
      <c r="S547" s="45"/>
      <c r="T547" s="45"/>
      <c r="U547" s="45"/>
      <c r="V547" s="2839" t="s">
        <v>1021</v>
      </c>
      <c r="W547" s="2840"/>
      <c r="X547" s="120"/>
      <c r="Y547" s="170"/>
      <c r="Z547" s="2576"/>
      <c r="AA547" s="2880"/>
      <c r="AB547" s="2576"/>
      <c r="AC547" s="2880"/>
      <c r="AD547" s="2559">
        <f t="shared" si="167"/>
        <v>0</v>
      </c>
      <c r="AE547" s="2560"/>
      <c r="AF547" s="45"/>
      <c r="AG547" s="45"/>
      <c r="AH547" s="2834"/>
      <c r="AI547" s="2834"/>
      <c r="AJ547" s="2834"/>
      <c r="AK547" s="2834"/>
      <c r="AL547" s="300"/>
      <c r="AM547" s="44"/>
      <c r="AN547" s="45"/>
      <c r="AO547" s="45"/>
    </row>
    <row r="548" spans="1:41" ht="15.95" customHeight="1" x14ac:dyDescent="0.2">
      <c r="A548" s="2839" t="s">
        <v>1022</v>
      </c>
      <c r="B548" s="2840"/>
      <c r="C548" s="170" t="s">
        <v>1116</v>
      </c>
      <c r="D548" s="170" t="s">
        <v>497</v>
      </c>
      <c r="E548" s="2559">
        <v>4</v>
      </c>
      <c r="F548" s="2560"/>
      <c r="G548" s="2559">
        <v>47000</v>
      </c>
      <c r="H548" s="2560">
        <f t="shared" ref="H548" si="171">(36040*6%)+36040</f>
        <v>38202.400000000001</v>
      </c>
      <c r="I548" s="2559">
        <f t="shared" si="166"/>
        <v>188000</v>
      </c>
      <c r="J548" s="2560"/>
      <c r="K548" s="279"/>
      <c r="L548" s="45"/>
      <c r="M548" s="2834"/>
      <c r="N548" s="2834"/>
      <c r="O548" s="2834"/>
      <c r="P548" s="2834"/>
      <c r="Q548" s="107"/>
      <c r="R548" s="44"/>
      <c r="S548" s="45"/>
      <c r="T548" s="45"/>
      <c r="U548" s="45"/>
      <c r="V548" s="2839" t="s">
        <v>1022</v>
      </c>
      <c r="W548" s="2840"/>
      <c r="X548" s="120" t="s">
        <v>496</v>
      </c>
      <c r="Y548" s="170" t="s">
        <v>497</v>
      </c>
      <c r="Z548" s="2559">
        <v>6</v>
      </c>
      <c r="AA548" s="2560"/>
      <c r="AB548" s="2559">
        <v>47000</v>
      </c>
      <c r="AC548" s="2560">
        <f t="shared" ref="AC548:AC549" si="172">(36040*6%)+36040</f>
        <v>38202.400000000001</v>
      </c>
      <c r="AD548" s="2559">
        <f t="shared" si="167"/>
        <v>282000</v>
      </c>
      <c r="AE548" s="2560"/>
      <c r="AF548" s="45"/>
      <c r="AG548" s="45"/>
      <c r="AH548" s="206"/>
      <c r="AI548" s="206"/>
      <c r="AJ548" s="206"/>
      <c r="AK548" s="206"/>
      <c r="AL548" s="107"/>
      <c r="AM548" s="44"/>
      <c r="AN548" s="45"/>
      <c r="AO548" s="45"/>
    </row>
    <row r="549" spans="1:41" ht="15.95" customHeight="1" x14ac:dyDescent="0.2">
      <c r="A549" s="2839" t="s">
        <v>881</v>
      </c>
      <c r="B549" s="2840"/>
      <c r="C549" s="170"/>
      <c r="D549" s="170"/>
      <c r="E549" s="2559"/>
      <c r="F549" s="2560"/>
      <c r="G549" s="2559"/>
      <c r="H549" s="2560"/>
      <c r="I549" s="2559">
        <f t="shared" si="166"/>
        <v>0</v>
      </c>
      <c r="J549" s="2560"/>
      <c r="K549" s="279"/>
      <c r="L549" s="45"/>
      <c r="M549" s="2834"/>
      <c r="N549" s="2834"/>
      <c r="O549" s="2834"/>
      <c r="P549" s="2834"/>
      <c r="Q549" s="107"/>
      <c r="R549" s="45"/>
      <c r="S549" s="45"/>
      <c r="T549" s="45"/>
      <c r="U549" s="45"/>
      <c r="V549" s="2839" t="s">
        <v>881</v>
      </c>
      <c r="W549" s="2840"/>
      <c r="X549" s="120" t="s">
        <v>496</v>
      </c>
      <c r="Y549" s="170" t="s">
        <v>497</v>
      </c>
      <c r="Z549" s="2559">
        <v>5</v>
      </c>
      <c r="AA549" s="2560"/>
      <c r="AB549" s="2559">
        <v>47000</v>
      </c>
      <c r="AC549" s="2560">
        <f t="shared" si="172"/>
        <v>38202.400000000001</v>
      </c>
      <c r="AD549" s="2559">
        <f t="shared" si="167"/>
        <v>235000</v>
      </c>
      <c r="AE549" s="2560"/>
      <c r="AF549" s="45"/>
      <c r="AG549" s="45"/>
      <c r="AH549" s="206"/>
      <c r="AI549" s="206"/>
      <c r="AJ549" s="206"/>
      <c r="AK549" s="206"/>
      <c r="AL549" s="107"/>
      <c r="AM549" s="45"/>
      <c r="AN549" s="45"/>
      <c r="AO549" s="45"/>
    </row>
    <row r="550" spans="1:41" ht="15.95" customHeight="1" x14ac:dyDescent="0.3">
      <c r="A550" s="2839" t="s">
        <v>882</v>
      </c>
      <c r="B550" s="2840"/>
      <c r="C550" s="170" t="s">
        <v>1116</v>
      </c>
      <c r="D550" s="170" t="s">
        <v>497</v>
      </c>
      <c r="E550" s="2576">
        <v>4</v>
      </c>
      <c r="F550" s="2880"/>
      <c r="G550" s="2559">
        <v>47000</v>
      </c>
      <c r="H550" s="2560">
        <f t="shared" ref="H550" si="173">(36040*6%)+36040</f>
        <v>38202.400000000001</v>
      </c>
      <c r="I550" s="2559">
        <f t="shared" si="166"/>
        <v>188000</v>
      </c>
      <c r="J550" s="2560"/>
      <c r="K550" s="279"/>
      <c r="L550" s="45"/>
      <c r="M550" s="2834"/>
      <c r="N550" s="2834"/>
      <c r="O550" s="2834"/>
      <c r="P550" s="2834"/>
      <c r="Q550" s="273"/>
      <c r="R550" s="44"/>
      <c r="S550" s="45"/>
      <c r="T550" s="45"/>
      <c r="U550" s="45"/>
      <c r="V550" s="2839" t="s">
        <v>882</v>
      </c>
      <c r="W550" s="2840"/>
      <c r="X550" s="120"/>
      <c r="Y550" s="170"/>
      <c r="Z550" s="2576"/>
      <c r="AA550" s="2880"/>
      <c r="AB550" s="2559"/>
      <c r="AC550" s="2560"/>
      <c r="AD550" s="2559">
        <f t="shared" si="167"/>
        <v>0</v>
      </c>
      <c r="AE550" s="2560"/>
      <c r="AF550" s="45"/>
      <c r="AG550" s="45"/>
      <c r="AH550" s="2834"/>
      <c r="AI550" s="2834"/>
      <c r="AJ550" s="2834"/>
      <c r="AK550" s="2834"/>
      <c r="AL550" s="107"/>
      <c r="AM550" s="44"/>
      <c r="AN550" s="45"/>
      <c r="AO550" s="45"/>
    </row>
    <row r="551" spans="1:41" ht="15.95" customHeight="1" x14ac:dyDescent="0.3">
      <c r="A551" s="2911" t="s">
        <v>1023</v>
      </c>
      <c r="B551" s="2912"/>
      <c r="C551" s="187"/>
      <c r="D551" s="170"/>
      <c r="E551" s="2576"/>
      <c r="F551" s="2880"/>
      <c r="G551" s="2576"/>
      <c r="H551" s="2880"/>
      <c r="I551" s="2565">
        <f>SUM(I552:J557)</f>
        <v>437120</v>
      </c>
      <c r="J551" s="2566"/>
      <c r="K551" s="279"/>
      <c r="L551" s="45"/>
      <c r="M551" s="45"/>
      <c r="N551" s="45"/>
      <c r="O551" s="45"/>
      <c r="P551" s="45"/>
      <c r="Q551" s="45"/>
      <c r="R551" s="44"/>
      <c r="S551" s="45"/>
      <c r="T551" s="45"/>
      <c r="U551" s="45"/>
      <c r="V551" s="2911" t="s">
        <v>1023</v>
      </c>
      <c r="W551" s="2912"/>
      <c r="X551" s="120"/>
      <c r="Y551" s="170"/>
      <c r="Z551" s="2576"/>
      <c r="AA551" s="2880"/>
      <c r="AB551" s="2576"/>
      <c r="AC551" s="2880"/>
      <c r="AD551" s="2565">
        <f>SUM(AD552:AE557)</f>
        <v>3957076.0656000003</v>
      </c>
      <c r="AE551" s="2566"/>
      <c r="AF551" s="45"/>
      <c r="AG551" s="45"/>
      <c r="AH551" s="2834"/>
      <c r="AI551" s="2834"/>
      <c r="AJ551" s="2834"/>
      <c r="AK551" s="2834"/>
      <c r="AL551" s="107"/>
      <c r="AM551" s="44"/>
      <c r="AN551" s="45"/>
      <c r="AO551" s="45"/>
    </row>
    <row r="552" spans="1:41" ht="15.95" customHeight="1" x14ac:dyDescent="0.3">
      <c r="A552" s="2839" t="s">
        <v>884</v>
      </c>
      <c r="B552" s="2840"/>
      <c r="C552" s="170"/>
      <c r="D552" s="170"/>
      <c r="E552" s="2576"/>
      <c r="F552" s="2880"/>
      <c r="G552" s="2559"/>
      <c r="H552" s="2560"/>
      <c r="I552" s="2559">
        <f>E552*G552</f>
        <v>0</v>
      </c>
      <c r="J552" s="2560"/>
      <c r="K552" s="279"/>
      <c r="L552" s="45"/>
      <c r="M552" s="45"/>
      <c r="N552" s="45"/>
      <c r="O552" s="45"/>
      <c r="P552" s="45"/>
      <c r="Q552" s="45"/>
      <c r="R552" s="44"/>
      <c r="S552" s="45"/>
      <c r="T552" s="45"/>
      <c r="U552" s="45"/>
      <c r="V552" s="2839" t="s">
        <v>884</v>
      </c>
      <c r="W552" s="2840"/>
      <c r="X552" s="120" t="s">
        <v>496</v>
      </c>
      <c r="Y552" s="170" t="s">
        <v>497</v>
      </c>
      <c r="Z552" s="2576">
        <v>22</v>
      </c>
      <c r="AA552" s="2880"/>
      <c r="AB552" s="2559">
        <v>47000</v>
      </c>
      <c r="AC552" s="2560">
        <f t="shared" ref="AC552:AC554" si="174">(36040*6%)+36040</f>
        <v>38202.400000000001</v>
      </c>
      <c r="AD552" s="2559">
        <f>Z552*AB552</f>
        <v>1034000</v>
      </c>
      <c r="AE552" s="2560"/>
      <c r="AF552" s="45"/>
      <c r="AG552" s="45"/>
      <c r="AH552" s="2834"/>
      <c r="AI552" s="2834"/>
      <c r="AJ552" s="2834"/>
      <c r="AK552" s="2834"/>
      <c r="AL552" s="273"/>
      <c r="AM552" s="44"/>
      <c r="AN552" s="45"/>
      <c r="AO552" s="45"/>
    </row>
    <row r="553" spans="1:41" ht="15.95" customHeight="1" x14ac:dyDescent="0.3">
      <c r="A553" s="2839" t="s">
        <v>1024</v>
      </c>
      <c r="B553" s="2840"/>
      <c r="C553" s="120"/>
      <c r="D553" s="120"/>
      <c r="E553" s="2576"/>
      <c r="F553" s="2880"/>
      <c r="G553" s="2559"/>
      <c r="H553" s="2880"/>
      <c r="I553" s="2559">
        <f>E553*G553</f>
        <v>0</v>
      </c>
      <c r="J553" s="2560"/>
      <c r="K553" s="279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2839" t="s">
        <v>1024</v>
      </c>
      <c r="W553" s="2840"/>
      <c r="X553" s="120" t="s">
        <v>496</v>
      </c>
      <c r="Y553" s="170" t="s">
        <v>497</v>
      </c>
      <c r="Z553" s="2576">
        <v>8</v>
      </c>
      <c r="AA553" s="2880"/>
      <c r="AB553" s="2559">
        <v>47000</v>
      </c>
      <c r="AC553" s="2560">
        <f t="shared" si="174"/>
        <v>38202.400000000001</v>
      </c>
      <c r="AD553" s="2559">
        <f>Z553*AB553</f>
        <v>376000</v>
      </c>
      <c r="AE553" s="2560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</row>
    <row r="554" spans="1:41" ht="15.95" customHeight="1" x14ac:dyDescent="0.3">
      <c r="A554" s="2839" t="s">
        <v>893</v>
      </c>
      <c r="B554" s="2840"/>
      <c r="C554" s="170"/>
      <c r="D554" s="170"/>
      <c r="E554" s="2576"/>
      <c r="F554" s="2880"/>
      <c r="G554" s="2559"/>
      <c r="H554" s="2880"/>
      <c r="I554" s="2559">
        <f>E554*G554</f>
        <v>0</v>
      </c>
      <c r="J554" s="2560"/>
      <c r="K554" s="279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2839" t="s">
        <v>893</v>
      </c>
      <c r="W554" s="2840"/>
      <c r="X554" s="120" t="s">
        <v>496</v>
      </c>
      <c r="Y554" s="170" t="s">
        <v>497</v>
      </c>
      <c r="Z554" s="2576">
        <v>6</v>
      </c>
      <c r="AA554" s="2880"/>
      <c r="AB554" s="2559">
        <v>47000</v>
      </c>
      <c r="AC554" s="2560">
        <f t="shared" si="174"/>
        <v>38202.400000000001</v>
      </c>
      <c r="AD554" s="2559">
        <f>Z554*AB554</f>
        <v>282000</v>
      </c>
      <c r="AE554" s="2560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</row>
    <row r="555" spans="1:41" ht="15.95" customHeight="1" x14ac:dyDescent="0.3">
      <c r="A555" s="2839" t="s">
        <v>728</v>
      </c>
      <c r="B555" s="2840"/>
      <c r="C555" s="120"/>
      <c r="D555" s="170"/>
      <c r="E555" s="2576"/>
      <c r="F555" s="2880"/>
      <c r="G555" s="2559"/>
      <c r="H555" s="2918"/>
      <c r="I555" s="2559">
        <f>E555*G555</f>
        <v>0</v>
      </c>
      <c r="J555" s="2560"/>
      <c r="L555" s="45"/>
      <c r="M555" s="45"/>
      <c r="N555" s="45"/>
      <c r="O555" s="45"/>
      <c r="P555" s="45"/>
      <c r="Q555" s="45"/>
      <c r="U555" s="45"/>
      <c r="V555" s="2839" t="s">
        <v>728</v>
      </c>
      <c r="W555" s="2840"/>
      <c r="X555" s="120"/>
      <c r="Y555" s="170"/>
      <c r="Z555" s="2576"/>
      <c r="AA555" s="2880"/>
      <c r="AB555" s="2576"/>
      <c r="AC555" s="2880"/>
      <c r="AD555" s="2559">
        <f>Z555*AB555</f>
        <v>0</v>
      </c>
      <c r="AE555" s="2560"/>
      <c r="AF555" s="45"/>
      <c r="AG555" s="45"/>
      <c r="AH555" s="45"/>
      <c r="AI555" s="45"/>
      <c r="AJ555" s="45"/>
      <c r="AK555" s="45"/>
      <c r="AL555" s="45"/>
    </row>
    <row r="556" spans="1:41" ht="15.95" customHeight="1" x14ac:dyDescent="0.3">
      <c r="A556" s="2839" t="s">
        <v>765</v>
      </c>
      <c r="B556" s="2840"/>
      <c r="C556" s="187"/>
      <c r="D556" s="170" t="s">
        <v>794</v>
      </c>
      <c r="E556" s="2576"/>
      <c r="F556" s="2880"/>
      <c r="G556" s="2576"/>
      <c r="H556" s="2880"/>
      <c r="I556" s="2559">
        <f>400000*1.0928</f>
        <v>437120</v>
      </c>
      <c r="J556" s="2560"/>
      <c r="L556" s="45"/>
      <c r="M556" s="45"/>
      <c r="N556" s="45"/>
      <c r="O556" s="45"/>
      <c r="P556" s="45"/>
      <c r="Q556" s="45"/>
      <c r="U556" s="45"/>
      <c r="V556" s="2839" t="s">
        <v>765</v>
      </c>
      <c r="W556" s="2840"/>
      <c r="X556" s="120"/>
      <c r="Y556" s="170" t="s">
        <v>794</v>
      </c>
      <c r="Z556" s="2576"/>
      <c r="AA556" s="2880"/>
      <c r="AB556" s="2576"/>
      <c r="AC556" s="2880"/>
      <c r="AD556" s="2559">
        <f>300000*1.0928</f>
        <v>327840</v>
      </c>
      <c r="AE556" s="2560"/>
      <c r="AF556" s="45"/>
      <c r="AG556" s="45"/>
      <c r="AH556" s="45"/>
      <c r="AI556" s="45"/>
      <c r="AJ556" s="45"/>
      <c r="AK556" s="45"/>
      <c r="AL556" s="45"/>
    </row>
    <row r="557" spans="1:41" ht="15.95" customHeight="1" x14ac:dyDescent="0.3">
      <c r="A557" s="2839" t="s">
        <v>615</v>
      </c>
      <c r="B557" s="2840"/>
      <c r="C557" s="288"/>
      <c r="D557" s="170"/>
      <c r="E557" s="2576"/>
      <c r="F557" s="2880"/>
      <c r="G557" s="2576"/>
      <c r="H557" s="2880"/>
      <c r="I557" s="2559"/>
      <c r="J557" s="2560"/>
      <c r="U557" s="45"/>
      <c r="V557" s="2839" t="s">
        <v>615</v>
      </c>
      <c r="W557" s="2840"/>
      <c r="X557" s="120" t="s">
        <v>763</v>
      </c>
      <c r="Y557" s="170" t="s">
        <v>556</v>
      </c>
      <c r="Z557" s="2576">
        <v>16.5</v>
      </c>
      <c r="AA557" s="2880"/>
      <c r="AB557" s="2559">
        <f>107438*1.0928</f>
        <v>117408.2464</v>
      </c>
      <c r="AC557" s="2918"/>
      <c r="AD557" s="2559">
        <f>Z557*AB557</f>
        <v>1937236.0656000001</v>
      </c>
      <c r="AE557" s="2560"/>
      <c r="AF557" s="45"/>
    </row>
    <row r="558" spans="1:41" ht="15.95" customHeight="1" thickBot="1" x14ac:dyDescent="0.25">
      <c r="A558" s="208" t="s">
        <v>558</v>
      </c>
      <c r="B558" s="209"/>
      <c r="C558" s="210"/>
      <c r="D558" s="209"/>
      <c r="E558" s="2561">
        <f>SUM(E522:F552)</f>
        <v>93</v>
      </c>
      <c r="F558" s="2562"/>
      <c r="G558" s="2561"/>
      <c r="H558" s="2562"/>
      <c r="I558" s="2561">
        <f>SUM(I551+I532+I521+I517+I514)</f>
        <v>4808120</v>
      </c>
      <c r="J558" s="2562"/>
      <c r="U558" s="45"/>
      <c r="V558" s="208" t="s">
        <v>558</v>
      </c>
      <c r="W558" s="209"/>
      <c r="X558" s="210"/>
      <c r="Y558" s="209"/>
      <c r="Z558" s="2561">
        <f>SUM(Z534:AA554)</f>
        <v>63</v>
      </c>
      <c r="AA558" s="2562"/>
      <c r="AB558" s="2561"/>
      <c r="AC558" s="2562"/>
      <c r="AD558" s="2561">
        <f>SUM(AD551+AD532+AD521+AD517+AD514)</f>
        <v>5226076.0656000003</v>
      </c>
      <c r="AE558" s="2562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</row>
    <row r="559" spans="1:41" ht="15.95" customHeight="1" x14ac:dyDescent="0.2">
      <c r="A559" s="45"/>
      <c r="B559" s="45"/>
      <c r="C559" s="45"/>
      <c r="D559" s="45"/>
      <c r="E559" s="45"/>
      <c r="F559" s="45"/>
      <c r="G559" s="45"/>
      <c r="H559" s="275"/>
      <c r="I559" s="275"/>
      <c r="J559" s="275"/>
      <c r="K559" s="295"/>
      <c r="L559" s="45"/>
      <c r="M559" s="45"/>
      <c r="N559" s="45"/>
      <c r="O559" s="45"/>
      <c r="P559" s="45"/>
      <c r="Q559" s="45"/>
      <c r="R559" s="45"/>
      <c r="S559" s="295"/>
      <c r="T559" s="295"/>
      <c r="U559" s="276"/>
      <c r="V559" s="45"/>
      <c r="W559" s="45"/>
      <c r="X559" s="45"/>
      <c r="Y559" s="45"/>
      <c r="Z559" s="45"/>
      <c r="AA559" s="45"/>
      <c r="AB559" s="45"/>
      <c r="AC559" s="275"/>
      <c r="AD559" s="275"/>
      <c r="AE559" s="275"/>
      <c r="AF559" s="276"/>
      <c r="AG559" s="45"/>
      <c r="AH559" s="45"/>
      <c r="AI559" s="45"/>
      <c r="AJ559" s="45"/>
      <c r="AK559" s="45"/>
      <c r="AL559" s="45"/>
      <c r="AM559" s="45"/>
      <c r="AN559" s="276"/>
      <c r="AO559" s="276"/>
    </row>
    <row r="560" spans="1:41" ht="15.95" customHeight="1" x14ac:dyDescent="0.2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2909"/>
      <c r="T560" s="2909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2909"/>
      <c r="AO560" s="2909"/>
    </row>
    <row r="561" spans="1:41" ht="15.95" customHeight="1" x14ac:dyDescent="0.2">
      <c r="A561" s="2654"/>
      <c r="B561" s="2654"/>
      <c r="C561" s="2654"/>
      <c r="D561" s="2654"/>
      <c r="E561" s="2654"/>
      <c r="F561" s="2654"/>
      <c r="G561" s="2654"/>
      <c r="H561" s="2654"/>
      <c r="I561" s="2654"/>
      <c r="J561" s="2654"/>
      <c r="K561" s="2654"/>
      <c r="L561" s="2654"/>
      <c r="M561" s="2654"/>
      <c r="N561" s="2654"/>
      <c r="O561" s="2654"/>
      <c r="P561" s="2654"/>
      <c r="Q561" s="2654"/>
      <c r="R561" s="2654"/>
      <c r="S561" s="2654"/>
      <c r="T561" s="2654"/>
      <c r="U561" s="2654"/>
      <c r="V561" s="2654"/>
      <c r="W561" s="2654"/>
      <c r="X561" s="2654"/>
      <c r="Y561" s="2654"/>
      <c r="Z561" s="2654"/>
      <c r="AA561" s="2654"/>
      <c r="AB561" s="2654"/>
      <c r="AC561" s="2654"/>
      <c r="AD561" s="2654"/>
      <c r="AE561" s="2654"/>
      <c r="AF561" s="2654"/>
      <c r="AG561" s="2654"/>
      <c r="AH561" s="2654"/>
      <c r="AI561" s="2654"/>
      <c r="AJ561" s="2654"/>
      <c r="AK561" s="2654"/>
      <c r="AL561" s="2654"/>
      <c r="AM561" s="2654"/>
      <c r="AN561" s="2654"/>
      <c r="AO561" s="2654"/>
    </row>
    <row r="562" spans="1:41" ht="15.95" customHeight="1" x14ac:dyDescent="0.2">
      <c r="A562" s="277"/>
      <c r="B562" s="277"/>
      <c r="C562" s="277"/>
      <c r="D562" s="277"/>
      <c r="E562" s="275"/>
      <c r="F562" s="275"/>
      <c r="G562" s="275"/>
      <c r="H562" s="275"/>
      <c r="I562" s="275"/>
      <c r="J562" s="275"/>
      <c r="K562" s="295"/>
      <c r="L562" s="295"/>
      <c r="M562" s="295"/>
      <c r="N562" s="295"/>
      <c r="O562" s="295"/>
      <c r="P562" s="295"/>
      <c r="Q562" s="295"/>
      <c r="R562" s="295"/>
      <c r="S562" s="295"/>
      <c r="T562" s="295"/>
      <c r="U562" s="276"/>
      <c r="V562" s="45"/>
      <c r="W562" s="45"/>
      <c r="X562" s="45"/>
      <c r="Y562" s="45"/>
      <c r="Z562" s="45"/>
      <c r="AA562" s="45"/>
      <c r="AB562" s="45"/>
      <c r="AC562" s="275"/>
      <c r="AD562" s="275"/>
      <c r="AE562" s="275"/>
      <c r="AF562" s="276"/>
      <c r="AG562" s="45"/>
      <c r="AH562" s="45"/>
      <c r="AI562" s="45"/>
      <c r="AJ562" s="45"/>
      <c r="AK562" s="45"/>
      <c r="AL562" s="45"/>
      <c r="AM562" s="45"/>
      <c r="AN562" s="276"/>
      <c r="AO562" s="276"/>
    </row>
    <row r="563" spans="1:41" ht="15.95" customHeight="1" x14ac:dyDescent="0.2">
      <c r="A563" s="2611" t="s">
        <v>1964</v>
      </c>
      <c r="B563" s="2611"/>
      <c r="C563" s="2611"/>
      <c r="D563" s="2611"/>
      <c r="E563" s="2611"/>
      <c r="F563" s="2611"/>
      <c r="G563" s="2611"/>
      <c r="H563" s="2611"/>
      <c r="I563" s="2611"/>
      <c r="J563" s="2611"/>
      <c r="K563" s="2611"/>
      <c r="L563" s="2611"/>
      <c r="M563" s="2611"/>
      <c r="N563" s="2611"/>
      <c r="O563" s="2611"/>
      <c r="P563" s="2611"/>
      <c r="Q563" s="2611"/>
      <c r="R563" s="2611"/>
      <c r="S563" s="2611"/>
      <c r="T563" s="2611"/>
      <c r="U563" s="276"/>
      <c r="V563" s="45"/>
      <c r="W563" s="45"/>
      <c r="X563" s="45"/>
      <c r="Y563" s="45"/>
      <c r="Z563" s="45"/>
      <c r="AA563" s="45"/>
      <c r="AB563" s="45"/>
      <c r="AC563" s="275"/>
      <c r="AD563" s="275"/>
      <c r="AE563" s="275"/>
      <c r="AF563" s="276"/>
      <c r="AG563" s="45"/>
      <c r="AH563" s="45"/>
      <c r="AI563" s="45"/>
      <c r="AJ563" s="45"/>
      <c r="AK563" s="45"/>
      <c r="AL563" s="45"/>
      <c r="AM563" s="45"/>
      <c r="AN563" s="276"/>
      <c r="AO563" s="276"/>
    </row>
    <row r="564" spans="1:41" ht="15.95" customHeight="1" thickBot="1" x14ac:dyDescent="0.25">
      <c r="A564" s="2611"/>
      <c r="B564" s="2611"/>
      <c r="C564" s="2611"/>
      <c r="D564" s="2611"/>
      <c r="E564" s="2611"/>
      <c r="F564" s="2611"/>
      <c r="G564" s="2611"/>
      <c r="H564" s="2611"/>
      <c r="I564" s="2611"/>
      <c r="J564" s="2611"/>
      <c r="K564" s="2611"/>
      <c r="L564" s="2611"/>
      <c r="M564" s="2611"/>
      <c r="N564" s="2611"/>
      <c r="O564" s="2611"/>
      <c r="P564" s="2611"/>
      <c r="Q564" s="2611"/>
      <c r="R564" s="2611"/>
      <c r="S564" s="2611"/>
      <c r="T564" s="2611"/>
      <c r="U564" s="276"/>
      <c r="V564" s="45"/>
      <c r="W564" s="45"/>
      <c r="X564" s="45"/>
      <c r="Y564" s="45"/>
      <c r="Z564" s="45"/>
      <c r="AA564" s="45"/>
      <c r="AB564" s="45"/>
      <c r="AC564" s="275"/>
      <c r="AD564" s="275"/>
      <c r="AE564" s="275"/>
      <c r="AF564" s="276"/>
      <c r="AG564" s="45"/>
      <c r="AH564" s="45"/>
      <c r="AI564" s="45"/>
      <c r="AJ564" s="45"/>
      <c r="AK564" s="45"/>
      <c r="AL564" s="45"/>
      <c r="AM564" s="45"/>
      <c r="AN564" s="276"/>
      <c r="AO564" s="276"/>
    </row>
    <row r="565" spans="1:41" ht="15.95" customHeight="1" x14ac:dyDescent="0.3">
      <c r="A565" s="2618" t="s">
        <v>435</v>
      </c>
      <c r="B565" s="2620"/>
      <c r="C565" s="2618" t="s">
        <v>436</v>
      </c>
      <c r="D565" s="2619"/>
      <c r="E565" s="2619"/>
      <c r="F565" s="2620"/>
      <c r="G565" s="2618" t="s">
        <v>437</v>
      </c>
      <c r="H565" s="2620"/>
      <c r="I565" s="2618" t="s">
        <v>438</v>
      </c>
      <c r="J565" s="2620"/>
      <c r="K565" s="45"/>
      <c r="L565" s="2633" t="s">
        <v>435</v>
      </c>
      <c r="M565" s="2618" t="s">
        <v>436</v>
      </c>
      <c r="N565" s="2619"/>
      <c r="O565" s="2619"/>
      <c r="P565" s="2620"/>
      <c r="Q565" s="2618" t="s">
        <v>437</v>
      </c>
      <c r="R565" s="2620"/>
      <c r="S565" s="2618"/>
      <c r="T565" s="2620"/>
      <c r="U565" s="268"/>
      <c r="V565" s="2618" t="s">
        <v>435</v>
      </c>
      <c r="W565" s="2620"/>
      <c r="X565" s="2618" t="s">
        <v>436</v>
      </c>
      <c r="Y565" s="2619"/>
      <c r="Z565" s="2619"/>
      <c r="AA565" s="2620"/>
      <c r="AB565" s="2618" t="s">
        <v>437</v>
      </c>
      <c r="AC565" s="2620"/>
      <c r="AD565" s="2618" t="s">
        <v>438</v>
      </c>
      <c r="AE565" s="2620"/>
      <c r="AF565" s="45"/>
      <c r="AG565" s="2633" t="s">
        <v>435</v>
      </c>
      <c r="AH565" s="2618" t="s">
        <v>436</v>
      </c>
      <c r="AI565" s="2619"/>
      <c r="AJ565" s="2619"/>
      <c r="AK565" s="2620"/>
      <c r="AL565" s="2618" t="s">
        <v>437</v>
      </c>
      <c r="AM565" s="2620"/>
      <c r="AN565" s="2618"/>
      <c r="AO565" s="2900"/>
    </row>
    <row r="566" spans="1:41" ht="15.95" customHeight="1" thickBot="1" x14ac:dyDescent="0.35">
      <c r="A566" s="2631"/>
      <c r="B566" s="2632"/>
      <c r="C566" s="2621"/>
      <c r="D566" s="2622"/>
      <c r="E566" s="2622"/>
      <c r="F566" s="2623"/>
      <c r="G566" s="2631" t="s">
        <v>440</v>
      </c>
      <c r="H566" s="2632"/>
      <c r="I566" s="2631"/>
      <c r="J566" s="2632"/>
      <c r="K566" s="45"/>
      <c r="L566" s="2670"/>
      <c r="M566" s="2621"/>
      <c r="N566" s="2622"/>
      <c r="O566" s="2622"/>
      <c r="P566" s="2623"/>
      <c r="Q566" s="2631" t="s">
        <v>440</v>
      </c>
      <c r="R566" s="2632"/>
      <c r="S566" s="2631" t="s">
        <v>274</v>
      </c>
      <c r="T566" s="2632"/>
      <c r="U566" s="268"/>
      <c r="V566" s="2631"/>
      <c r="W566" s="2632"/>
      <c r="X566" s="2621"/>
      <c r="Y566" s="2622"/>
      <c r="Z566" s="2622"/>
      <c r="AA566" s="2623"/>
      <c r="AB566" s="2631" t="s">
        <v>440</v>
      </c>
      <c r="AC566" s="2632"/>
      <c r="AD566" s="2631"/>
      <c r="AE566" s="2632"/>
      <c r="AF566" s="45"/>
      <c r="AG566" s="2670"/>
      <c r="AH566" s="2621"/>
      <c r="AI566" s="2622"/>
      <c r="AJ566" s="2622"/>
      <c r="AK566" s="2623"/>
      <c r="AL566" s="2631" t="s">
        <v>440</v>
      </c>
      <c r="AM566" s="2632"/>
      <c r="AN566" s="2631" t="s">
        <v>274</v>
      </c>
      <c r="AO566" s="2880"/>
    </row>
    <row r="567" spans="1:41" ht="15.95" customHeight="1" x14ac:dyDescent="0.3">
      <c r="A567" s="2631"/>
      <c r="B567" s="2632"/>
      <c r="C567" s="53" t="s">
        <v>441</v>
      </c>
      <c r="D567" s="2670" t="s">
        <v>442</v>
      </c>
      <c r="E567" s="2631" t="s">
        <v>443</v>
      </c>
      <c r="F567" s="2632"/>
      <c r="G567" s="2631" t="s">
        <v>444</v>
      </c>
      <c r="H567" s="2632"/>
      <c r="I567" s="2631" t="s">
        <v>348</v>
      </c>
      <c r="J567" s="2632"/>
      <c r="K567" s="45"/>
      <c r="L567" s="2670"/>
      <c r="M567" s="51" t="s">
        <v>441</v>
      </c>
      <c r="N567" s="2633" t="s">
        <v>442</v>
      </c>
      <c r="O567" s="2618" t="s">
        <v>443</v>
      </c>
      <c r="P567" s="2620"/>
      <c r="Q567" s="2631" t="s">
        <v>444</v>
      </c>
      <c r="R567" s="2632"/>
      <c r="S567" s="2631" t="s">
        <v>348</v>
      </c>
      <c r="T567" s="2632"/>
      <c r="U567" s="268"/>
      <c r="V567" s="2631"/>
      <c r="W567" s="2632"/>
      <c r="X567" s="53" t="s">
        <v>441</v>
      </c>
      <c r="Y567" s="2670" t="s">
        <v>442</v>
      </c>
      <c r="Z567" s="2631" t="s">
        <v>443</v>
      </c>
      <c r="AA567" s="2632"/>
      <c r="AB567" s="2631" t="s">
        <v>444</v>
      </c>
      <c r="AC567" s="2632"/>
      <c r="AD567" s="2631" t="s">
        <v>348</v>
      </c>
      <c r="AE567" s="2632"/>
      <c r="AF567" s="45"/>
      <c r="AG567" s="2670"/>
      <c r="AH567" s="51" t="s">
        <v>441</v>
      </c>
      <c r="AI567" s="2670" t="s">
        <v>442</v>
      </c>
      <c r="AJ567" s="2631" t="s">
        <v>443</v>
      </c>
      <c r="AK567" s="2632"/>
      <c r="AL567" s="2631" t="s">
        <v>444</v>
      </c>
      <c r="AM567" s="2632"/>
      <c r="AN567" s="2631" t="s">
        <v>348</v>
      </c>
      <c r="AO567" s="2880"/>
    </row>
    <row r="568" spans="1:41" ht="15.95" customHeight="1" thickBot="1" x14ac:dyDescent="0.35">
      <c r="A568" s="2621"/>
      <c r="B568" s="2623"/>
      <c r="C568" s="54" t="s">
        <v>445</v>
      </c>
      <c r="D568" s="2634"/>
      <c r="E568" s="2621"/>
      <c r="F568" s="2623"/>
      <c r="G568" s="2621"/>
      <c r="H568" s="2623"/>
      <c r="I568" s="2621"/>
      <c r="J568" s="2623"/>
      <c r="K568" s="45"/>
      <c r="L568" s="2634"/>
      <c r="M568" s="50" t="s">
        <v>445</v>
      </c>
      <c r="N568" s="2634"/>
      <c r="O568" s="2621"/>
      <c r="P568" s="2623"/>
      <c r="Q568" s="2621"/>
      <c r="R568" s="2623"/>
      <c r="S568" s="2621"/>
      <c r="T568" s="2623"/>
      <c r="U568" s="268"/>
      <c r="V568" s="2621"/>
      <c r="W568" s="2623"/>
      <c r="X568" s="54" t="s">
        <v>445</v>
      </c>
      <c r="Y568" s="2634"/>
      <c r="Z568" s="2621"/>
      <c r="AA568" s="2623"/>
      <c r="AB568" s="2621"/>
      <c r="AC568" s="2623"/>
      <c r="AD568" s="2621"/>
      <c r="AE568" s="2623"/>
      <c r="AF568" s="45"/>
      <c r="AG568" s="2634"/>
      <c r="AH568" s="50" t="s">
        <v>445</v>
      </c>
      <c r="AI568" s="2634"/>
      <c r="AJ568" s="2621"/>
      <c r="AK568" s="2623"/>
      <c r="AL568" s="2621"/>
      <c r="AM568" s="2623"/>
      <c r="AN568" s="2901"/>
      <c r="AO568" s="2902"/>
    </row>
    <row r="569" spans="1:41" ht="15.95" customHeight="1" x14ac:dyDescent="0.3">
      <c r="A569" s="2913" t="s">
        <v>446</v>
      </c>
      <c r="B569" s="2914"/>
      <c r="C569" s="184"/>
      <c r="D569" s="170"/>
      <c r="E569" s="2576"/>
      <c r="F569" s="2880"/>
      <c r="G569" s="2576"/>
      <c r="H569" s="2880"/>
      <c r="I569" s="2576"/>
      <c r="J569" s="2880"/>
      <c r="K569" s="279"/>
      <c r="L569" s="119" t="s">
        <v>447</v>
      </c>
      <c r="M569" s="185"/>
      <c r="N569" s="186"/>
      <c r="O569" s="2605"/>
      <c r="P569" s="2606"/>
      <c r="Q569" s="2605"/>
      <c r="R569" s="2606"/>
      <c r="S569" s="2605"/>
      <c r="T569" s="2606"/>
      <c r="U569" s="276"/>
      <c r="V569" s="45"/>
      <c r="W569" s="45"/>
      <c r="X569" s="45"/>
      <c r="Y569" s="45"/>
      <c r="Z569" s="45"/>
      <c r="AA569" s="45"/>
      <c r="AB569" s="45"/>
      <c r="AC569" s="275"/>
      <c r="AD569" s="275"/>
      <c r="AE569" s="275"/>
      <c r="AF569" s="276"/>
      <c r="AG569" s="45"/>
      <c r="AH569" s="45"/>
      <c r="AI569" s="45"/>
      <c r="AJ569" s="45"/>
      <c r="AK569" s="45"/>
      <c r="AL569" s="45"/>
      <c r="AM569" s="45"/>
      <c r="AN569" s="276"/>
      <c r="AO569" s="276"/>
    </row>
    <row r="570" spans="1:41" ht="15.95" customHeight="1" x14ac:dyDescent="0.35">
      <c r="A570" s="2911" t="s">
        <v>979</v>
      </c>
      <c r="B570" s="2912"/>
      <c r="C570" s="45"/>
      <c r="D570" s="288"/>
      <c r="E570" s="2576"/>
      <c r="F570" s="2880"/>
      <c r="G570" s="2576"/>
      <c r="H570" s="2880"/>
      <c r="I570" s="2565">
        <f>SUM(I571:J572)</f>
        <v>0</v>
      </c>
      <c r="J570" s="2892"/>
      <c r="K570" s="279"/>
      <c r="L570" s="122"/>
      <c r="M570" s="188"/>
      <c r="N570" s="170"/>
      <c r="O570" s="2559"/>
      <c r="P570" s="2560"/>
      <c r="Q570" s="2559"/>
      <c r="R570" s="2560"/>
      <c r="S570" s="2559"/>
      <c r="T570" s="2560"/>
      <c r="U570" s="276"/>
      <c r="V570" s="45"/>
      <c r="W570" s="45"/>
      <c r="X570" s="45"/>
      <c r="Y570" s="45"/>
      <c r="Z570" s="45"/>
      <c r="AA570" s="45"/>
      <c r="AB570" s="45"/>
      <c r="AC570" s="275"/>
      <c r="AD570" s="275"/>
      <c r="AE570" s="275"/>
      <c r="AF570" s="276"/>
      <c r="AG570" s="45"/>
      <c r="AH570" s="45"/>
      <c r="AI570" s="45"/>
      <c r="AJ570" s="45"/>
      <c r="AK570" s="45"/>
      <c r="AL570" s="45"/>
      <c r="AM570" s="45"/>
      <c r="AN570" s="276"/>
      <c r="AO570" s="276"/>
    </row>
    <row r="571" spans="1:41" ht="15.95" customHeight="1" x14ac:dyDescent="0.3">
      <c r="A571" s="2915" t="s">
        <v>980</v>
      </c>
      <c r="B571" s="2916"/>
      <c r="C571" s="187"/>
      <c r="D571" s="170"/>
      <c r="E571" s="2576"/>
      <c r="F571" s="2880"/>
      <c r="G571" s="2576"/>
      <c r="H571" s="2880"/>
      <c r="I571" s="2559">
        <f>E571*G571</f>
        <v>0</v>
      </c>
      <c r="J571" s="2560"/>
      <c r="K571" s="279"/>
      <c r="L571" s="122" t="s">
        <v>450</v>
      </c>
      <c r="M571" s="170"/>
      <c r="N571" s="170"/>
      <c r="O571" s="2559"/>
      <c r="P571" s="2560"/>
      <c r="Q571" s="2559"/>
      <c r="R571" s="2560"/>
      <c r="S571" s="2559"/>
      <c r="T571" s="2560"/>
      <c r="U571" s="276"/>
      <c r="V571" s="45"/>
      <c r="W571" s="45"/>
      <c r="X571" s="45"/>
      <c r="Y571" s="45"/>
      <c r="Z571" s="45"/>
      <c r="AA571" s="45"/>
      <c r="AB571" s="45"/>
      <c r="AC571" s="275"/>
      <c r="AD571" s="275"/>
      <c r="AE571" s="275"/>
      <c r="AF571" s="276"/>
      <c r="AG571" s="45"/>
      <c r="AH571" s="45"/>
      <c r="AI571" s="45"/>
      <c r="AJ571" s="45"/>
      <c r="AK571" s="45"/>
      <c r="AL571" s="45"/>
      <c r="AM571" s="45"/>
      <c r="AN571" s="276"/>
      <c r="AO571" s="276"/>
    </row>
    <row r="572" spans="1:41" ht="15.95" customHeight="1" x14ac:dyDescent="0.3">
      <c r="A572" s="2915" t="s">
        <v>981</v>
      </c>
      <c r="B572" s="2916"/>
      <c r="C572" s="187"/>
      <c r="D572" s="170"/>
      <c r="E572" s="2576"/>
      <c r="F572" s="2880"/>
      <c r="G572" s="2576"/>
      <c r="H572" s="2880"/>
      <c r="I572" s="2559">
        <f>E572*G572</f>
        <v>0</v>
      </c>
      <c r="J572" s="2560"/>
      <c r="K572" s="279"/>
      <c r="L572" s="122" t="s">
        <v>853</v>
      </c>
      <c r="M572" s="170" t="s">
        <v>1029</v>
      </c>
      <c r="N572" s="170" t="s">
        <v>497</v>
      </c>
      <c r="O572" s="2559">
        <v>2000</v>
      </c>
      <c r="P572" s="2560"/>
      <c r="Q572" s="2559">
        <f>1670*1.0928</f>
        <v>1824.9759999999999</v>
      </c>
      <c r="R572" s="2560"/>
      <c r="S572" s="2559">
        <f t="shared" ref="S572:S577" si="175">O572*Q572</f>
        <v>3649952</v>
      </c>
      <c r="T572" s="2560"/>
      <c r="U572" s="276"/>
      <c r="V572" s="45"/>
      <c r="W572" s="45"/>
      <c r="X572" s="45"/>
      <c r="Y572" s="45"/>
      <c r="Z572" s="45"/>
      <c r="AA572" s="45"/>
      <c r="AB572" s="45"/>
      <c r="AC572" s="275"/>
      <c r="AD572" s="275"/>
      <c r="AE572" s="275"/>
      <c r="AF572" s="276"/>
      <c r="AG572" s="45"/>
      <c r="AH572" s="45"/>
      <c r="AI572" s="45"/>
      <c r="AJ572" s="45"/>
      <c r="AK572" s="45"/>
      <c r="AL572" s="45"/>
      <c r="AM572" s="45"/>
      <c r="AN572" s="276"/>
      <c r="AO572" s="276"/>
    </row>
    <row r="573" spans="1:41" ht="15.95" customHeight="1" x14ac:dyDescent="0.35">
      <c r="A573" s="2911" t="s">
        <v>990</v>
      </c>
      <c r="B573" s="2912"/>
      <c r="C573" s="197"/>
      <c r="D573" s="170"/>
      <c r="E573" s="2576"/>
      <c r="F573" s="2880"/>
      <c r="G573" s="2576"/>
      <c r="H573" s="2880"/>
      <c r="I573" s="2565">
        <f>SUM(I574:J576)</f>
        <v>0</v>
      </c>
      <c r="J573" s="2892"/>
      <c r="K573" s="279"/>
      <c r="L573" s="122" t="s">
        <v>859</v>
      </c>
      <c r="M573" s="170"/>
      <c r="N573" s="170"/>
      <c r="O573" s="2559"/>
      <c r="P573" s="2560"/>
      <c r="Q573" s="2559"/>
      <c r="R573" s="2560"/>
      <c r="S573" s="2559">
        <f t="shared" si="175"/>
        <v>0</v>
      </c>
      <c r="T573" s="2560"/>
      <c r="U573" s="276"/>
      <c r="V573" s="45"/>
      <c r="W573" s="45"/>
      <c r="X573" s="45"/>
      <c r="Y573" s="45"/>
      <c r="Z573" s="45"/>
      <c r="AA573" s="45"/>
      <c r="AB573" s="45"/>
      <c r="AC573" s="275"/>
      <c r="AD573" s="275"/>
      <c r="AE573" s="275"/>
      <c r="AF573" s="276"/>
      <c r="AG573" s="45"/>
      <c r="AH573" s="45"/>
      <c r="AI573" s="45"/>
      <c r="AJ573" s="45"/>
      <c r="AK573" s="45"/>
      <c r="AL573" s="45"/>
      <c r="AM573" s="45"/>
      <c r="AN573" s="276"/>
      <c r="AO573" s="276"/>
    </row>
    <row r="574" spans="1:41" ht="15.95" customHeight="1" x14ac:dyDescent="0.3">
      <c r="A574" s="2915" t="s">
        <v>991</v>
      </c>
      <c r="B574" s="2916"/>
      <c r="C574" s="120"/>
      <c r="D574" s="170"/>
      <c r="E574" s="2576"/>
      <c r="F574" s="2880"/>
      <c r="G574" s="2559"/>
      <c r="H574" s="2880"/>
      <c r="I574" s="2559">
        <f>E574*G574</f>
        <v>0</v>
      </c>
      <c r="J574" s="2560"/>
      <c r="K574" s="279"/>
      <c r="L574" s="122" t="s">
        <v>861</v>
      </c>
      <c r="M574" s="170"/>
      <c r="N574" s="170"/>
      <c r="O574" s="2559"/>
      <c r="P574" s="2560"/>
      <c r="Q574" s="2559"/>
      <c r="R574" s="2560"/>
      <c r="S574" s="2559">
        <f t="shared" si="175"/>
        <v>0</v>
      </c>
      <c r="T574" s="2560"/>
      <c r="U574" s="276"/>
      <c r="V574" s="45"/>
      <c r="W574" s="45"/>
      <c r="X574" s="45"/>
      <c r="Y574" s="45"/>
      <c r="Z574" s="45"/>
      <c r="AA574" s="45"/>
      <c r="AB574" s="45"/>
      <c r="AC574" s="275"/>
      <c r="AD574" s="275"/>
      <c r="AE574" s="275"/>
      <c r="AF574" s="276"/>
      <c r="AG574" s="45"/>
      <c r="AH574" s="45"/>
      <c r="AI574" s="45"/>
      <c r="AJ574" s="45"/>
      <c r="AK574" s="45"/>
      <c r="AL574" s="45"/>
      <c r="AM574" s="45"/>
      <c r="AN574" s="276"/>
      <c r="AO574" s="276"/>
    </row>
    <row r="575" spans="1:41" ht="15.95" customHeight="1" x14ac:dyDescent="0.3">
      <c r="A575" s="2915" t="s">
        <v>981</v>
      </c>
      <c r="B575" s="2916"/>
      <c r="C575" s="187"/>
      <c r="D575" s="170"/>
      <c r="E575" s="2576"/>
      <c r="F575" s="2880"/>
      <c r="G575" s="2559"/>
      <c r="H575" s="2880"/>
      <c r="I575" s="2559">
        <f>E575*G575</f>
        <v>0</v>
      </c>
      <c r="J575" s="2560"/>
      <c r="K575" s="279"/>
      <c r="L575" s="122" t="s">
        <v>863</v>
      </c>
      <c r="M575" s="170"/>
      <c r="N575" s="170"/>
      <c r="O575" s="2559"/>
      <c r="P575" s="2560"/>
      <c r="Q575" s="2559"/>
      <c r="R575" s="2560"/>
      <c r="S575" s="2559">
        <f t="shared" si="175"/>
        <v>0</v>
      </c>
      <c r="T575" s="2560"/>
      <c r="U575" s="276"/>
      <c r="V575" s="45"/>
      <c r="W575" s="45"/>
      <c r="X575" s="45"/>
      <c r="Y575" s="45"/>
      <c r="Z575" s="45"/>
      <c r="AA575" s="45"/>
      <c r="AB575" s="45"/>
      <c r="AC575" s="275"/>
      <c r="AD575" s="275"/>
      <c r="AE575" s="275"/>
      <c r="AF575" s="276"/>
      <c r="AG575" s="45"/>
      <c r="AH575" s="45"/>
      <c r="AI575" s="45"/>
      <c r="AJ575" s="45"/>
      <c r="AK575" s="45"/>
      <c r="AL575" s="45"/>
      <c r="AM575" s="45"/>
      <c r="AN575" s="276"/>
      <c r="AO575" s="276"/>
    </row>
    <row r="576" spans="1:41" ht="15.95" customHeight="1" x14ac:dyDescent="0.3">
      <c r="A576" s="2915" t="s">
        <v>992</v>
      </c>
      <c r="B576" s="2916"/>
      <c r="C576" s="187"/>
      <c r="D576" s="170"/>
      <c r="E576" s="2576"/>
      <c r="F576" s="2880"/>
      <c r="G576" s="2559"/>
      <c r="H576" s="2880"/>
      <c r="I576" s="2559">
        <f>E576*G576</f>
        <v>0</v>
      </c>
      <c r="J576" s="2560"/>
      <c r="K576" s="279"/>
      <c r="L576" s="122" t="s">
        <v>534</v>
      </c>
      <c r="M576" s="170"/>
      <c r="N576" s="170"/>
      <c r="O576" s="2559"/>
      <c r="P576" s="2560"/>
      <c r="Q576" s="2559"/>
      <c r="R576" s="2560"/>
      <c r="S576" s="2559">
        <f t="shared" si="175"/>
        <v>0</v>
      </c>
      <c r="T576" s="2560"/>
      <c r="U576" s="276"/>
      <c r="V576" s="45"/>
      <c r="W576" s="45"/>
      <c r="X576" s="45"/>
      <c r="Y576" s="45"/>
      <c r="Z576" s="45"/>
      <c r="AA576" s="45"/>
      <c r="AB576" s="45"/>
      <c r="AC576" s="275"/>
      <c r="AD576" s="275"/>
      <c r="AE576" s="275"/>
      <c r="AF576" s="276"/>
      <c r="AG576" s="45"/>
      <c r="AH576" s="45"/>
      <c r="AI576" s="45"/>
      <c r="AJ576" s="45"/>
      <c r="AK576" s="45"/>
      <c r="AL576" s="45"/>
      <c r="AM576" s="45"/>
      <c r="AN576" s="276"/>
      <c r="AO576" s="276"/>
    </row>
    <row r="577" spans="1:41" ht="15.95" customHeight="1" x14ac:dyDescent="0.35">
      <c r="A577" s="2998" t="s">
        <v>993</v>
      </c>
      <c r="B577" s="2999"/>
      <c r="C577" s="187"/>
      <c r="D577" s="170"/>
      <c r="E577" s="2576"/>
      <c r="F577" s="2880"/>
      <c r="G577" s="2559"/>
      <c r="H577" s="2560"/>
      <c r="I577" s="2565">
        <f>SUM(I578:J587)</f>
        <v>1598000</v>
      </c>
      <c r="J577" s="2892"/>
      <c r="K577" s="279"/>
      <c r="L577" s="288" t="s">
        <v>535</v>
      </c>
      <c r="M577" s="170" t="s">
        <v>753</v>
      </c>
      <c r="N577" s="170" t="s">
        <v>460</v>
      </c>
      <c r="O577" s="2559">
        <v>24</v>
      </c>
      <c r="P577" s="2560"/>
      <c r="Q577" s="2895">
        <v>188974</v>
      </c>
      <c r="R577" s="2896"/>
      <c r="S577" s="2559">
        <f t="shared" si="175"/>
        <v>4535376</v>
      </c>
      <c r="T577" s="2560"/>
      <c r="U577" s="276"/>
      <c r="V577" s="45"/>
      <c r="W577" s="45"/>
      <c r="X577" s="45"/>
      <c r="Y577" s="45"/>
      <c r="Z577" s="45"/>
      <c r="AA577" s="45"/>
      <c r="AB577" s="45"/>
      <c r="AC577" s="275"/>
      <c r="AD577" s="275"/>
      <c r="AE577" s="275"/>
      <c r="AF577" s="276"/>
      <c r="AG577" s="45"/>
      <c r="AH577" s="45"/>
      <c r="AI577" s="45"/>
      <c r="AJ577" s="45"/>
      <c r="AK577" s="45"/>
      <c r="AL577" s="45"/>
      <c r="AM577" s="45"/>
      <c r="AN577" s="276"/>
      <c r="AO577" s="276"/>
    </row>
    <row r="578" spans="1:41" ht="15.95" customHeight="1" x14ac:dyDescent="0.2">
      <c r="A578" s="2839" t="s">
        <v>995</v>
      </c>
      <c r="B578" s="2840"/>
      <c r="C578" s="170"/>
      <c r="D578" s="170"/>
      <c r="E578" s="2559"/>
      <c r="F578" s="2560"/>
      <c r="G578" s="2559"/>
      <c r="H578" s="2560"/>
      <c r="I578" s="2559">
        <f t="shared" ref="I578:I587" si="176">E578*G578</f>
        <v>0</v>
      </c>
      <c r="J578" s="2560"/>
      <c r="K578" s="279"/>
      <c r="L578" s="122" t="s">
        <v>537</v>
      </c>
      <c r="M578" s="170"/>
      <c r="N578" s="170"/>
      <c r="O578" s="2559"/>
      <c r="P578" s="2560"/>
      <c r="Q578" s="2559"/>
      <c r="R578" s="2560"/>
      <c r="S578" s="2559"/>
      <c r="T578" s="2560"/>
      <c r="U578" s="276"/>
      <c r="V578" s="45"/>
      <c r="W578" s="45"/>
      <c r="X578" s="45"/>
      <c r="Y578" s="45"/>
      <c r="Z578" s="45"/>
      <c r="AA578" s="45"/>
      <c r="AB578" s="45"/>
      <c r="AC578" s="275"/>
      <c r="AD578" s="275"/>
      <c r="AE578" s="275"/>
      <c r="AF578" s="276"/>
      <c r="AG578" s="45"/>
      <c r="AH578" s="45"/>
      <c r="AI578" s="45"/>
      <c r="AJ578" s="45"/>
      <c r="AK578" s="45"/>
      <c r="AL578" s="45"/>
      <c r="AM578" s="45"/>
      <c r="AN578" s="276"/>
      <c r="AO578" s="276"/>
    </row>
    <row r="579" spans="1:41" ht="15.95" customHeight="1" x14ac:dyDescent="0.2">
      <c r="A579" s="2839" t="s">
        <v>1109</v>
      </c>
      <c r="B579" s="2840"/>
      <c r="C579" s="170" t="s">
        <v>496</v>
      </c>
      <c r="D579" s="170" t="s">
        <v>497</v>
      </c>
      <c r="E579" s="2559">
        <v>4</v>
      </c>
      <c r="F579" s="2560"/>
      <c r="G579" s="2559">
        <v>47000</v>
      </c>
      <c r="H579" s="2560">
        <f t="shared" ref="H579" si="177">(36040*6%)+36040</f>
        <v>38202.400000000001</v>
      </c>
      <c r="I579" s="2559">
        <f t="shared" si="176"/>
        <v>188000</v>
      </c>
      <c r="J579" s="2560"/>
      <c r="K579" s="279"/>
      <c r="L579" s="122" t="s">
        <v>866</v>
      </c>
      <c r="M579" s="170"/>
      <c r="N579" s="170"/>
      <c r="O579" s="2571"/>
      <c r="P579" s="2572"/>
      <c r="Q579" s="2559"/>
      <c r="R579" s="2560"/>
      <c r="S579" s="2559">
        <f t="shared" ref="S579:S587" si="178">O579*Q579</f>
        <v>0</v>
      </c>
      <c r="T579" s="2560"/>
      <c r="U579" s="276"/>
      <c r="V579" s="45"/>
      <c r="W579" s="45"/>
      <c r="X579" s="45"/>
      <c r="Y579" s="45"/>
      <c r="Z579" s="45"/>
      <c r="AA579" s="45"/>
      <c r="AB579" s="45"/>
      <c r="AC579" s="275"/>
      <c r="AD579" s="275"/>
      <c r="AE579" s="275"/>
      <c r="AF579" s="276"/>
      <c r="AG579" s="45"/>
      <c r="AH579" s="45"/>
      <c r="AI579" s="45"/>
      <c r="AJ579" s="45"/>
      <c r="AK579" s="45"/>
      <c r="AL579" s="45"/>
      <c r="AM579" s="45"/>
      <c r="AN579" s="276"/>
      <c r="AO579" s="276"/>
    </row>
    <row r="580" spans="1:41" ht="15.95" customHeight="1" x14ac:dyDescent="0.2">
      <c r="A580" s="2839" t="s">
        <v>469</v>
      </c>
      <c r="B580" s="2840"/>
      <c r="C580" s="120"/>
      <c r="D580" s="170"/>
      <c r="E580" s="2559"/>
      <c r="F580" s="2560"/>
      <c r="G580" s="2559"/>
      <c r="H580" s="2560"/>
      <c r="I580" s="2559">
        <f t="shared" si="176"/>
        <v>0</v>
      </c>
      <c r="J580" s="2560"/>
      <c r="K580" s="279"/>
      <c r="L580" s="122" t="s">
        <v>456</v>
      </c>
      <c r="M580" s="170"/>
      <c r="N580" s="170"/>
      <c r="O580" s="2559"/>
      <c r="P580" s="2560"/>
      <c r="Q580" s="2559"/>
      <c r="R580" s="2560"/>
      <c r="S580" s="2559">
        <f t="shared" si="178"/>
        <v>0</v>
      </c>
      <c r="T580" s="2560"/>
      <c r="U580" s="276"/>
      <c r="V580" s="45"/>
      <c r="W580" s="45"/>
      <c r="X580" s="45"/>
      <c r="Y580" s="45"/>
      <c r="Z580" s="45"/>
      <c r="AA580" s="45"/>
      <c r="AB580" s="45"/>
      <c r="AC580" s="275"/>
      <c r="AD580" s="275"/>
      <c r="AE580" s="275"/>
      <c r="AF580" s="276"/>
      <c r="AG580" s="45"/>
      <c r="AH580" s="45"/>
      <c r="AI580" s="45"/>
      <c r="AJ580" s="45"/>
      <c r="AK580" s="45"/>
      <c r="AL580" s="45"/>
      <c r="AM580" s="45"/>
      <c r="AN580" s="276"/>
      <c r="AO580" s="276"/>
    </row>
    <row r="581" spans="1:41" ht="15.95" customHeight="1" x14ac:dyDescent="0.3">
      <c r="A581" s="2839" t="s">
        <v>470</v>
      </c>
      <c r="B581" s="2840"/>
      <c r="C581" s="299"/>
      <c r="D581" s="120"/>
      <c r="E581" s="2559"/>
      <c r="F581" s="2560"/>
      <c r="G581" s="2559"/>
      <c r="H581" s="2560"/>
      <c r="I581" s="2559">
        <f t="shared" si="176"/>
        <v>0</v>
      </c>
      <c r="J581" s="2560"/>
      <c r="K581" s="279"/>
      <c r="L581" s="122" t="s">
        <v>871</v>
      </c>
      <c r="M581" s="170"/>
      <c r="N581" s="170"/>
      <c r="O581" s="2559"/>
      <c r="P581" s="2560"/>
      <c r="Q581" s="2559"/>
      <c r="R581" s="2560"/>
      <c r="S581" s="2559">
        <f t="shared" si="178"/>
        <v>0</v>
      </c>
      <c r="T581" s="2560"/>
      <c r="U581" s="276"/>
      <c r="V581" s="45"/>
      <c r="W581" s="45"/>
      <c r="X581" s="45"/>
      <c r="Y581" s="45"/>
      <c r="Z581" s="45"/>
      <c r="AA581" s="45"/>
      <c r="AB581" s="45"/>
      <c r="AC581" s="275"/>
      <c r="AD581" s="275"/>
      <c r="AE581" s="275"/>
      <c r="AF581" s="276"/>
      <c r="AG581" s="45"/>
      <c r="AH581" s="45"/>
      <c r="AI581" s="45"/>
      <c r="AJ581" s="45"/>
      <c r="AK581" s="45"/>
      <c r="AL581" s="45"/>
      <c r="AM581" s="45"/>
      <c r="AN581" s="276"/>
      <c r="AO581" s="276"/>
    </row>
    <row r="582" spans="1:41" ht="15.95" customHeight="1" x14ac:dyDescent="0.2">
      <c r="A582" s="2839" t="s">
        <v>1119</v>
      </c>
      <c r="B582" s="2840"/>
      <c r="C582" s="170" t="s">
        <v>496</v>
      </c>
      <c r="D582" s="170" t="s">
        <v>497</v>
      </c>
      <c r="E582" s="2559">
        <v>3</v>
      </c>
      <c r="F582" s="2560"/>
      <c r="G582" s="2559">
        <v>47000</v>
      </c>
      <c r="H582" s="2560">
        <f t="shared" ref="H582:H583" si="179">(36040*6%)+36040</f>
        <v>38202.400000000001</v>
      </c>
      <c r="I582" s="2559">
        <f t="shared" si="176"/>
        <v>141000</v>
      </c>
      <c r="J582" s="2560"/>
      <c r="K582" s="279"/>
      <c r="L582" s="122" t="s">
        <v>595</v>
      </c>
      <c r="M582" s="170"/>
      <c r="N582" s="170"/>
      <c r="O582" s="2559"/>
      <c r="P582" s="2560"/>
      <c r="Q582" s="2559"/>
      <c r="R582" s="2560"/>
      <c r="S582" s="2559">
        <f t="shared" si="178"/>
        <v>0</v>
      </c>
      <c r="T582" s="2560"/>
      <c r="U582" s="276"/>
      <c r="V582" s="45"/>
      <c r="W582" s="45"/>
      <c r="X582" s="45"/>
      <c r="Y582" s="45"/>
      <c r="Z582" s="45"/>
      <c r="AA582" s="45"/>
      <c r="AB582" s="45"/>
      <c r="AC582" s="275"/>
      <c r="AD582" s="275"/>
      <c r="AE582" s="275"/>
      <c r="AF582" s="276"/>
      <c r="AG582" s="45"/>
      <c r="AH582" s="45"/>
      <c r="AI582" s="45"/>
      <c r="AJ582" s="45"/>
      <c r="AK582" s="45"/>
      <c r="AL582" s="45"/>
      <c r="AM582" s="45"/>
      <c r="AN582" s="276"/>
      <c r="AO582" s="276"/>
    </row>
    <row r="583" spans="1:41" ht="15.95" customHeight="1" x14ac:dyDescent="0.3">
      <c r="A583" s="2839" t="s">
        <v>1663</v>
      </c>
      <c r="B583" s="2840"/>
      <c r="C583" s="170" t="s">
        <v>496</v>
      </c>
      <c r="D583" s="170" t="s">
        <v>497</v>
      </c>
      <c r="E583" s="2576">
        <v>15</v>
      </c>
      <c r="F583" s="2880"/>
      <c r="G583" s="2559">
        <v>47000</v>
      </c>
      <c r="H583" s="2560">
        <f t="shared" si="179"/>
        <v>38202.400000000001</v>
      </c>
      <c r="I583" s="2559">
        <f t="shared" si="176"/>
        <v>705000</v>
      </c>
      <c r="J583" s="2560"/>
      <c r="K583" s="279"/>
      <c r="L583" s="122" t="s">
        <v>507</v>
      </c>
      <c r="M583" s="214"/>
      <c r="N583" s="120"/>
      <c r="O583" s="2559"/>
      <c r="P583" s="2560"/>
      <c r="Q583" s="2559"/>
      <c r="R583" s="2560"/>
      <c r="S583" s="2559">
        <f t="shared" si="178"/>
        <v>0</v>
      </c>
      <c r="T583" s="2560"/>
      <c r="U583" s="276"/>
      <c r="V583" s="45"/>
      <c r="W583" s="45"/>
      <c r="X583" s="45"/>
      <c r="Y583" s="45"/>
      <c r="Z583" s="45"/>
      <c r="AA583" s="45"/>
      <c r="AB583" s="45"/>
      <c r="AC583" s="275"/>
      <c r="AD583" s="275"/>
      <c r="AE583" s="275"/>
      <c r="AF583" s="276"/>
      <c r="AG583" s="45"/>
      <c r="AH583" s="45"/>
      <c r="AI583" s="45"/>
      <c r="AJ583" s="45"/>
      <c r="AK583" s="45"/>
      <c r="AL583" s="45"/>
      <c r="AM583" s="45"/>
      <c r="AN583" s="276"/>
      <c r="AO583" s="276"/>
    </row>
    <row r="584" spans="1:41" ht="15.95" customHeight="1" x14ac:dyDescent="0.3">
      <c r="A584" s="2839" t="s">
        <v>999</v>
      </c>
      <c r="B584" s="2840"/>
      <c r="C584" s="170"/>
      <c r="D584" s="170"/>
      <c r="E584" s="2576"/>
      <c r="F584" s="2880"/>
      <c r="G584" s="2576"/>
      <c r="H584" s="2880"/>
      <c r="I584" s="2559">
        <f t="shared" si="176"/>
        <v>0</v>
      </c>
      <c r="J584" s="2560"/>
      <c r="K584" s="279"/>
      <c r="L584" s="122" t="s">
        <v>805</v>
      </c>
      <c r="M584" s="170"/>
      <c r="N584" s="170"/>
      <c r="O584" s="2559"/>
      <c r="P584" s="2560"/>
      <c r="Q584" s="2559"/>
      <c r="R584" s="2560"/>
      <c r="S584" s="2559">
        <f t="shared" si="178"/>
        <v>0</v>
      </c>
      <c r="T584" s="2560"/>
      <c r="U584" s="276"/>
      <c r="V584" s="45"/>
      <c r="W584" s="45"/>
      <c r="X584" s="45"/>
      <c r="Y584" s="45"/>
      <c r="Z584" s="45"/>
      <c r="AA584" s="45"/>
      <c r="AB584" s="45"/>
      <c r="AC584" s="275"/>
      <c r="AD584" s="275"/>
      <c r="AE584" s="275"/>
      <c r="AF584" s="276"/>
      <c r="AG584" s="45"/>
      <c r="AH584" s="45"/>
      <c r="AI584" s="45"/>
      <c r="AJ584" s="45"/>
      <c r="AK584" s="45"/>
      <c r="AL584" s="45"/>
      <c r="AM584" s="45"/>
      <c r="AN584" s="276"/>
      <c r="AO584" s="276"/>
    </row>
    <row r="585" spans="1:41" ht="15.95" customHeight="1" x14ac:dyDescent="0.3">
      <c r="A585" s="2839" t="s">
        <v>873</v>
      </c>
      <c r="B585" s="2840"/>
      <c r="C585" s="170"/>
      <c r="D585" s="170"/>
      <c r="E585" s="2576"/>
      <c r="F585" s="2880"/>
      <c r="G585" s="2559"/>
      <c r="H585" s="2560"/>
      <c r="I585" s="2559">
        <f t="shared" si="176"/>
        <v>0</v>
      </c>
      <c r="J585" s="2560"/>
      <c r="K585" s="279"/>
      <c r="L585" s="122" t="s">
        <v>187</v>
      </c>
      <c r="M585" s="170" t="s">
        <v>1664</v>
      </c>
      <c r="N585" s="170" t="s">
        <v>452</v>
      </c>
      <c r="O585" s="2559">
        <v>313</v>
      </c>
      <c r="P585" s="2560"/>
      <c r="Q585" s="2559">
        <f>6320*1.0928</f>
        <v>6906.4960000000001</v>
      </c>
      <c r="R585" s="2560"/>
      <c r="S585" s="2559">
        <f t="shared" si="178"/>
        <v>2161733.2480000001</v>
      </c>
      <c r="T585" s="2560"/>
      <c r="U585" s="276"/>
      <c r="V585" s="45"/>
      <c r="W585" s="45"/>
      <c r="X585" s="45"/>
      <c r="Y585" s="45"/>
      <c r="Z585" s="45"/>
      <c r="AA585" s="45"/>
      <c r="AB585" s="45"/>
      <c r="AC585" s="275"/>
      <c r="AD585" s="275"/>
      <c r="AE585" s="275"/>
      <c r="AF585" s="276"/>
      <c r="AG585" s="45"/>
      <c r="AH585" s="45"/>
      <c r="AI585" s="45"/>
      <c r="AJ585" s="45"/>
      <c r="AK585" s="45"/>
      <c r="AL585" s="45"/>
      <c r="AM585" s="45"/>
      <c r="AN585" s="276"/>
      <c r="AO585" s="276"/>
    </row>
    <row r="586" spans="1:41" ht="15.95" customHeight="1" x14ac:dyDescent="0.3">
      <c r="A586" s="2839" t="s">
        <v>1000</v>
      </c>
      <c r="B586" s="2840"/>
      <c r="C586" s="170" t="s">
        <v>496</v>
      </c>
      <c r="D586" s="170" t="s">
        <v>497</v>
      </c>
      <c r="E586" s="2576">
        <v>12</v>
      </c>
      <c r="F586" s="2880"/>
      <c r="G586" s="2559">
        <v>47000</v>
      </c>
      <c r="H586" s="2560">
        <f t="shared" ref="H586" si="180">(36040*6%)+36040</f>
        <v>38202.400000000001</v>
      </c>
      <c r="I586" s="2559">
        <f t="shared" si="176"/>
        <v>564000</v>
      </c>
      <c r="J586" s="2560"/>
      <c r="K586" s="279"/>
      <c r="L586" s="122" t="s">
        <v>805</v>
      </c>
      <c r="M586" s="170"/>
      <c r="N586" s="170" t="s">
        <v>794</v>
      </c>
      <c r="O586" s="2559"/>
      <c r="P586" s="2560"/>
      <c r="Q586" s="2559"/>
      <c r="R586" s="2560"/>
      <c r="S586" s="2559">
        <v>350000</v>
      </c>
      <c r="T586" s="2560"/>
      <c r="U586" s="276"/>
      <c r="V586" s="45"/>
      <c r="W586" s="45"/>
      <c r="X586" s="45"/>
      <c r="Y586" s="45"/>
      <c r="Z586" s="45"/>
      <c r="AA586" s="45"/>
      <c r="AB586" s="45"/>
      <c r="AC586" s="275"/>
      <c r="AD586" s="275"/>
      <c r="AE586" s="275"/>
      <c r="AF586" s="276"/>
      <c r="AG586" s="45"/>
      <c r="AH586" s="45"/>
      <c r="AI586" s="45"/>
      <c r="AJ586" s="45"/>
      <c r="AK586" s="45"/>
      <c r="AL586" s="45"/>
      <c r="AM586" s="45"/>
      <c r="AN586" s="276"/>
      <c r="AO586" s="276"/>
    </row>
    <row r="587" spans="1:41" ht="15.95" customHeight="1" x14ac:dyDescent="0.3">
      <c r="A587" s="2839" t="s">
        <v>504</v>
      </c>
      <c r="B587" s="2840"/>
      <c r="C587" s="187"/>
      <c r="D587" s="170"/>
      <c r="E587" s="2576"/>
      <c r="F587" s="2880"/>
      <c r="G587" s="2576"/>
      <c r="H587" s="2880"/>
      <c r="I587" s="2559">
        <f t="shared" si="176"/>
        <v>0</v>
      </c>
      <c r="J587" s="2560"/>
      <c r="K587" s="279"/>
      <c r="L587" s="196" t="s">
        <v>1107</v>
      </c>
      <c r="M587" s="120" t="s">
        <v>719</v>
      </c>
      <c r="N587" s="120" t="s">
        <v>497</v>
      </c>
      <c r="O587" s="2643">
        <v>1000</v>
      </c>
      <c r="P587" s="2643"/>
      <c r="Q587" s="2643">
        <f>12760*1.0928</f>
        <v>13944.128000000001</v>
      </c>
      <c r="R587" s="2643"/>
      <c r="S587" s="2559">
        <f t="shared" si="178"/>
        <v>13944128</v>
      </c>
      <c r="T587" s="2560"/>
      <c r="U587" s="276"/>
      <c r="V587" s="45"/>
      <c r="W587" s="45"/>
      <c r="X587" s="45"/>
      <c r="Y587" s="45"/>
      <c r="Z587" s="45"/>
      <c r="AA587" s="45"/>
      <c r="AB587" s="45"/>
      <c r="AC587" s="275"/>
      <c r="AD587" s="275"/>
      <c r="AE587" s="275"/>
      <c r="AF587" s="276"/>
      <c r="AG587" s="45"/>
      <c r="AH587" s="45"/>
      <c r="AI587" s="45"/>
      <c r="AJ587" s="45"/>
      <c r="AK587" s="45"/>
      <c r="AL587" s="45"/>
      <c r="AM587" s="45"/>
      <c r="AN587" s="276"/>
      <c r="AO587" s="276"/>
    </row>
    <row r="588" spans="1:41" ht="15.95" customHeight="1" x14ac:dyDescent="0.35">
      <c r="A588" s="2911" t="s">
        <v>1001</v>
      </c>
      <c r="B588" s="2912"/>
      <c r="C588" s="187"/>
      <c r="D588" s="170"/>
      <c r="E588" s="2576"/>
      <c r="F588" s="2880"/>
      <c r="G588" s="2576"/>
      <c r="H588" s="2880"/>
      <c r="I588" s="2565">
        <f>SUM(I589:J606)</f>
        <v>5538960.9167999998</v>
      </c>
      <c r="J588" s="2892"/>
      <c r="K588" s="279"/>
      <c r="L588" s="196" t="s">
        <v>1115</v>
      </c>
      <c r="M588" s="120"/>
      <c r="N588" s="120" t="s">
        <v>1101</v>
      </c>
      <c r="O588" s="2643">
        <v>5</v>
      </c>
      <c r="P588" s="2643"/>
      <c r="Q588" s="2643">
        <f>88722*1.0928</f>
        <v>96955.401599999997</v>
      </c>
      <c r="R588" s="2643"/>
      <c r="S588" s="2559">
        <f>O588*Q588</f>
        <v>484777.00799999997</v>
      </c>
      <c r="T588" s="2560"/>
      <c r="U588" s="276"/>
      <c r="V588" s="45"/>
      <c r="W588" s="45"/>
      <c r="X588" s="45"/>
      <c r="Y588" s="45"/>
      <c r="Z588" s="45"/>
      <c r="AA588" s="45"/>
      <c r="AB588" s="45"/>
      <c r="AC588" s="275"/>
      <c r="AD588" s="275"/>
      <c r="AE588" s="275"/>
      <c r="AF588" s="276"/>
      <c r="AG588" s="45"/>
      <c r="AH588" s="45"/>
      <c r="AI588" s="45"/>
      <c r="AJ588" s="45"/>
      <c r="AK588" s="45"/>
      <c r="AL588" s="45"/>
      <c r="AM588" s="45"/>
      <c r="AN588" s="276"/>
      <c r="AO588" s="276"/>
    </row>
    <row r="589" spans="1:41" ht="15.95" customHeight="1" x14ac:dyDescent="0.2">
      <c r="A589" s="2839" t="s">
        <v>852</v>
      </c>
      <c r="B589" s="2840"/>
      <c r="C589" s="170" t="s">
        <v>496</v>
      </c>
      <c r="D589" s="170" t="s">
        <v>497</v>
      </c>
      <c r="E589" s="2559">
        <v>8</v>
      </c>
      <c r="F589" s="2560"/>
      <c r="G589" s="2559">
        <v>47000</v>
      </c>
      <c r="H589" s="2560">
        <f t="shared" ref="H589" si="181">(36040*6%)+36040</f>
        <v>38202.400000000001</v>
      </c>
      <c r="I589" s="2559">
        <f t="shared" ref="I589:I606" si="182">E589*G589</f>
        <v>376000</v>
      </c>
      <c r="J589" s="2560"/>
      <c r="K589" s="279"/>
      <c r="L589" s="199" t="s">
        <v>876</v>
      </c>
      <c r="M589" s="53"/>
      <c r="N589" s="200"/>
      <c r="O589" s="2893"/>
      <c r="P589" s="2893"/>
      <c r="Q589" s="2893"/>
      <c r="R589" s="2893"/>
      <c r="S589" s="2894">
        <f>SUM(S571:T588)</f>
        <v>25125966.256000001</v>
      </c>
      <c r="T589" s="2894"/>
      <c r="U589" s="276"/>
      <c r="V589" s="45"/>
      <c r="W589" s="45"/>
      <c r="X589" s="45"/>
      <c r="Y589" s="45"/>
      <c r="Z589" s="45"/>
      <c r="AA589" s="45"/>
      <c r="AB589" s="45"/>
      <c r="AC589" s="275"/>
      <c r="AD589" s="275"/>
      <c r="AE589" s="275"/>
      <c r="AF589" s="276"/>
      <c r="AG589" s="45"/>
      <c r="AH589" s="45"/>
      <c r="AI589" s="45"/>
      <c r="AJ589" s="45"/>
      <c r="AK589" s="45"/>
      <c r="AL589" s="45"/>
      <c r="AM589" s="45"/>
      <c r="AN589" s="276"/>
      <c r="AO589" s="276"/>
    </row>
    <row r="590" spans="1:41" ht="15.95" customHeight="1" x14ac:dyDescent="0.2">
      <c r="A590" s="2839" t="s">
        <v>495</v>
      </c>
      <c r="B590" s="2840"/>
      <c r="C590" s="170"/>
      <c r="D590" s="170"/>
      <c r="E590" s="2559"/>
      <c r="F590" s="2560"/>
      <c r="G590" s="2559"/>
      <c r="H590" s="2560"/>
      <c r="I590" s="2559">
        <f t="shared" si="182"/>
        <v>0</v>
      </c>
      <c r="J590" s="2560"/>
      <c r="K590" s="279"/>
      <c r="L590" s="148"/>
      <c r="M590" s="197"/>
      <c r="N590" s="120"/>
      <c r="O590" s="2643"/>
      <c r="P590" s="2643"/>
      <c r="Q590" s="2643"/>
      <c r="R590" s="2643"/>
      <c r="S590" s="2643"/>
      <c r="T590" s="2643"/>
      <c r="U590" s="276"/>
      <c r="V590" s="45"/>
      <c r="W590" s="45"/>
      <c r="X590" s="45"/>
      <c r="Y590" s="45"/>
      <c r="Z590" s="45"/>
      <c r="AA590" s="45"/>
      <c r="AB590" s="45"/>
      <c r="AC590" s="275"/>
      <c r="AD590" s="275"/>
      <c r="AE590" s="275"/>
      <c r="AF590" s="276"/>
      <c r="AG590" s="45"/>
      <c r="AH590" s="45"/>
      <c r="AI590" s="45"/>
      <c r="AJ590" s="45"/>
      <c r="AK590" s="45"/>
      <c r="AL590" s="45"/>
      <c r="AM590" s="45"/>
      <c r="AN590" s="276"/>
      <c r="AO590" s="276"/>
    </row>
    <row r="591" spans="1:41" ht="15.95" customHeight="1" x14ac:dyDescent="0.3">
      <c r="A591" s="2839" t="s">
        <v>1003</v>
      </c>
      <c r="B591" s="2840"/>
      <c r="C591" s="170" t="s">
        <v>496</v>
      </c>
      <c r="D591" s="170" t="s">
        <v>497</v>
      </c>
      <c r="E591" s="2576">
        <v>9</v>
      </c>
      <c r="F591" s="2880"/>
      <c r="G591" s="2559">
        <v>47000</v>
      </c>
      <c r="H591" s="2560">
        <f t="shared" ref="H591" si="183">(36040*6%)+36040</f>
        <v>38202.400000000001</v>
      </c>
      <c r="I591" s="2559">
        <f t="shared" si="182"/>
        <v>423000</v>
      </c>
      <c r="J591" s="2560"/>
      <c r="K591" s="279"/>
      <c r="L591" s="144" t="s">
        <v>577</v>
      </c>
      <c r="M591" s="145"/>
      <c r="N591" s="145"/>
      <c r="O591" s="2890"/>
      <c r="P591" s="2890"/>
      <c r="Q591" s="2890"/>
      <c r="R591" s="2890"/>
      <c r="S591" s="2890"/>
      <c r="T591" s="2891"/>
      <c r="U591" s="276"/>
      <c r="V591" s="45"/>
      <c r="W591" s="45"/>
      <c r="X591" s="45"/>
      <c r="Y591" s="45"/>
      <c r="Z591" s="45"/>
      <c r="AA591" s="45"/>
      <c r="AB591" s="45"/>
      <c r="AC591" s="275"/>
      <c r="AD591" s="275"/>
      <c r="AE591" s="275"/>
      <c r="AF591" s="276"/>
      <c r="AG591" s="45"/>
      <c r="AH591" s="45"/>
      <c r="AI591" s="45"/>
      <c r="AJ591" s="45"/>
      <c r="AK591" s="45"/>
      <c r="AL591" s="45"/>
      <c r="AM591" s="45"/>
      <c r="AN591" s="276"/>
      <c r="AO591" s="276"/>
    </row>
    <row r="592" spans="1:41" ht="15.95" customHeight="1" x14ac:dyDescent="0.3">
      <c r="A592" s="2839" t="s">
        <v>1004</v>
      </c>
      <c r="B592" s="2840"/>
      <c r="C592" s="187"/>
      <c r="D592" s="170"/>
      <c r="E592" s="2576"/>
      <c r="F592" s="2880"/>
      <c r="G592" s="2576"/>
      <c r="H592" s="2880"/>
      <c r="I592" s="2559">
        <f t="shared" si="182"/>
        <v>0</v>
      </c>
      <c r="J592" s="2560"/>
      <c r="K592" s="279"/>
      <c r="L592" s="148" t="s">
        <v>1005</v>
      </c>
      <c r="M592" s="296">
        <v>0.03</v>
      </c>
      <c r="N592" s="45"/>
      <c r="O592" s="2575"/>
      <c r="P592" s="2575"/>
      <c r="Q592" s="2575"/>
      <c r="R592" s="2575"/>
      <c r="S592" s="2575">
        <f>+(S589+I614)*0.03</f>
        <v>979362.21518399997</v>
      </c>
      <c r="T592" s="2560"/>
      <c r="U592" s="276"/>
      <c r="V592" s="45"/>
      <c r="W592" s="45"/>
      <c r="X592" s="45"/>
      <c r="Y592" s="45"/>
      <c r="Z592" s="45"/>
      <c r="AA592" s="45"/>
      <c r="AB592" s="45"/>
      <c r="AC592" s="275"/>
      <c r="AD592" s="275"/>
      <c r="AE592" s="275"/>
      <c r="AF592" s="276"/>
      <c r="AG592" s="45"/>
      <c r="AH592" s="45"/>
      <c r="AI592" s="45"/>
      <c r="AJ592" s="45"/>
      <c r="AK592" s="45"/>
      <c r="AL592" s="45"/>
      <c r="AM592" s="45"/>
      <c r="AN592" s="276"/>
      <c r="AO592" s="276"/>
    </row>
    <row r="593" spans="1:41" ht="15.95" customHeight="1" x14ac:dyDescent="0.3">
      <c r="A593" s="2839" t="s">
        <v>1006</v>
      </c>
      <c r="B593" s="2840"/>
      <c r="C593" s="187"/>
      <c r="D593" s="170"/>
      <c r="E593" s="2576"/>
      <c r="F593" s="2880"/>
      <c r="G593" s="2576"/>
      <c r="H593" s="2880"/>
      <c r="I593" s="2559">
        <f t="shared" si="182"/>
        <v>0</v>
      </c>
      <c r="J593" s="2560"/>
      <c r="K593" s="279"/>
      <c r="L593" s="151" t="s">
        <v>527</v>
      </c>
      <c r="M593" s="45"/>
      <c r="N593" s="45"/>
      <c r="O593" s="2575"/>
      <c r="P593" s="2575"/>
      <c r="Q593" s="2575"/>
      <c r="R593" s="2575"/>
      <c r="S593" s="2575">
        <f>250000*1.0928</f>
        <v>273200</v>
      </c>
      <c r="T593" s="2560"/>
      <c r="U593" s="276"/>
      <c r="V593" s="45"/>
      <c r="W593" s="45"/>
      <c r="X593" s="45"/>
      <c r="Y593" s="45"/>
      <c r="Z593" s="45"/>
      <c r="AA593" s="45"/>
      <c r="AB593" s="45"/>
      <c r="AC593" s="275"/>
      <c r="AD593" s="275"/>
      <c r="AE593" s="275"/>
      <c r="AF593" s="276"/>
      <c r="AG593" s="45"/>
      <c r="AH593" s="45"/>
      <c r="AI593" s="45"/>
      <c r="AJ593" s="45"/>
      <c r="AK593" s="45"/>
      <c r="AL593" s="45"/>
      <c r="AM593" s="45"/>
      <c r="AN593" s="276"/>
      <c r="AO593" s="276"/>
    </row>
    <row r="594" spans="1:41" ht="15.95" customHeight="1" x14ac:dyDescent="0.3">
      <c r="A594" s="2839" t="s">
        <v>1007</v>
      </c>
      <c r="B594" s="2840"/>
      <c r="C594" s="187"/>
      <c r="D594" s="170"/>
      <c r="E594" s="2576"/>
      <c r="F594" s="2880"/>
      <c r="G594" s="2576"/>
      <c r="H594" s="2880"/>
      <c r="I594" s="2559">
        <f t="shared" si="182"/>
        <v>0</v>
      </c>
      <c r="J594" s="2560"/>
      <c r="K594" s="279"/>
      <c r="L594" s="152" t="s">
        <v>529</v>
      </c>
      <c r="M594" s="45"/>
      <c r="N594" s="45"/>
      <c r="O594" s="2575"/>
      <c r="P594" s="2575"/>
      <c r="Q594" s="2575"/>
      <c r="R594" s="2575"/>
      <c r="S594" s="2575">
        <f>600000*1.0928</f>
        <v>655680</v>
      </c>
      <c r="T594" s="2560"/>
      <c r="U594" s="276"/>
      <c r="V594" s="45"/>
      <c r="W594" s="45"/>
      <c r="X594" s="45"/>
      <c r="Y594" s="45"/>
      <c r="Z594" s="45"/>
      <c r="AA594" s="45"/>
      <c r="AB594" s="45"/>
      <c r="AC594" s="275"/>
      <c r="AD594" s="275"/>
      <c r="AE594" s="275"/>
      <c r="AF594" s="276"/>
      <c r="AG594" s="45"/>
      <c r="AH594" s="45"/>
      <c r="AI594" s="45"/>
      <c r="AJ594" s="45"/>
      <c r="AK594" s="45"/>
      <c r="AL594" s="45"/>
      <c r="AM594" s="45"/>
      <c r="AN594" s="276"/>
      <c r="AO594" s="276"/>
    </row>
    <row r="595" spans="1:41" ht="15.95" customHeight="1" x14ac:dyDescent="0.3">
      <c r="A595" s="2839" t="s">
        <v>1008</v>
      </c>
      <c r="B595" s="2840"/>
      <c r="C595" s="170"/>
      <c r="D595" s="170"/>
      <c r="E595" s="2576"/>
      <c r="F595" s="2880"/>
      <c r="G595" s="2559"/>
      <c r="H595" s="2560"/>
      <c r="I595" s="2559">
        <f t="shared" si="182"/>
        <v>0</v>
      </c>
      <c r="J595" s="2560"/>
      <c r="K595" s="279"/>
      <c r="L595" s="152" t="s">
        <v>531</v>
      </c>
      <c r="M595" s="45"/>
      <c r="N595" s="45"/>
      <c r="O595" s="2575"/>
      <c r="P595" s="2575"/>
      <c r="Q595" s="2575"/>
      <c r="R595" s="2575"/>
      <c r="S595" s="2575">
        <f>+(S589+I614)*0.04</f>
        <v>1305816.286912</v>
      </c>
      <c r="T595" s="2560"/>
      <c r="U595" s="276"/>
      <c r="V595" s="45"/>
      <c r="W595" s="45"/>
      <c r="X595" s="45"/>
      <c r="Y595" s="45"/>
      <c r="Z595" s="45"/>
      <c r="AA595" s="45"/>
      <c r="AB595" s="45"/>
      <c r="AC595" s="275"/>
      <c r="AD595" s="275"/>
      <c r="AE595" s="275"/>
      <c r="AF595" s="276"/>
      <c r="AG595" s="45"/>
      <c r="AH595" s="45"/>
      <c r="AI595" s="45"/>
      <c r="AJ595" s="45"/>
      <c r="AK595" s="45"/>
      <c r="AL595" s="45"/>
      <c r="AM595" s="45"/>
      <c r="AN595" s="276"/>
      <c r="AO595" s="276"/>
    </row>
    <row r="596" spans="1:41" ht="15.95" customHeight="1" x14ac:dyDescent="0.3">
      <c r="A596" s="2839" t="s">
        <v>1009</v>
      </c>
      <c r="B596" s="2840"/>
      <c r="C596" s="170" t="s">
        <v>496</v>
      </c>
      <c r="D596" s="170" t="s">
        <v>497</v>
      </c>
      <c r="E596" s="2576">
        <v>24</v>
      </c>
      <c r="F596" s="2880"/>
      <c r="G596" s="2559">
        <v>47000</v>
      </c>
      <c r="H596" s="2560">
        <f t="shared" ref="H596" si="184">(36040*6%)+36040</f>
        <v>38202.400000000001</v>
      </c>
      <c r="I596" s="2559">
        <f t="shared" si="182"/>
        <v>1128000</v>
      </c>
      <c r="J596" s="2560"/>
      <c r="K596" s="279"/>
      <c r="L596" s="166" t="s">
        <v>504</v>
      </c>
      <c r="M596" s="155"/>
      <c r="N596" s="155"/>
      <c r="O596" s="2557"/>
      <c r="P596" s="2557"/>
      <c r="Q596" s="2557"/>
      <c r="R596" s="2557"/>
      <c r="S596" s="2557">
        <f>200000*1.0928</f>
        <v>218560</v>
      </c>
      <c r="T596" s="2558"/>
      <c r="U596" s="276"/>
      <c r="V596" s="45"/>
      <c r="W596" s="45"/>
      <c r="X596" s="45"/>
      <c r="Y596" s="45"/>
      <c r="Z596" s="45"/>
      <c r="AA596" s="45"/>
      <c r="AB596" s="45"/>
      <c r="AC596" s="275"/>
      <c r="AD596" s="275"/>
      <c r="AE596" s="275"/>
      <c r="AF596" s="276"/>
      <c r="AG596" s="45"/>
      <c r="AH596" s="45"/>
      <c r="AI596" s="45"/>
      <c r="AJ596" s="45"/>
      <c r="AK596" s="45"/>
      <c r="AL596" s="45"/>
      <c r="AM596" s="45"/>
      <c r="AN596" s="276"/>
      <c r="AO596" s="276"/>
    </row>
    <row r="597" spans="1:41" ht="15.95" customHeight="1" x14ac:dyDescent="0.3">
      <c r="A597" s="2839" t="s">
        <v>1010</v>
      </c>
      <c r="B597" s="2840"/>
      <c r="C597" s="170"/>
      <c r="D597" s="170"/>
      <c r="E597" s="2576"/>
      <c r="F597" s="2880"/>
      <c r="G597" s="2559"/>
      <c r="H597" s="2560"/>
      <c r="I597" s="2559">
        <f t="shared" si="182"/>
        <v>0</v>
      </c>
      <c r="J597" s="2560"/>
      <c r="K597" s="279"/>
      <c r="L597" s="156" t="s">
        <v>533</v>
      </c>
      <c r="M597" s="201"/>
      <c r="N597" s="201"/>
      <c r="O597" s="2885"/>
      <c r="P597" s="2885"/>
      <c r="Q597" s="2886"/>
      <c r="R597" s="2886"/>
      <c r="S597" s="2887">
        <f>SUM(S592:T596)</f>
        <v>3432618.5020960001</v>
      </c>
      <c r="T597" s="2887"/>
      <c r="U597" s="276"/>
      <c r="V597" s="45"/>
      <c r="W597" s="45"/>
      <c r="X597" s="45"/>
      <c r="Y597" s="45"/>
      <c r="Z597" s="45"/>
      <c r="AA597" s="45"/>
      <c r="AB597" s="45"/>
      <c r="AC597" s="275"/>
      <c r="AD597" s="275"/>
      <c r="AE597" s="275"/>
      <c r="AF597" s="276"/>
      <c r="AG597" s="45"/>
      <c r="AH597" s="45"/>
      <c r="AI597" s="45"/>
      <c r="AJ597" s="45"/>
      <c r="AK597" s="45"/>
      <c r="AL597" s="45"/>
      <c r="AM597" s="45"/>
      <c r="AN597" s="276"/>
      <c r="AO597" s="276"/>
    </row>
    <row r="598" spans="1:41" ht="15.95" customHeight="1" x14ac:dyDescent="0.3">
      <c r="A598" s="2839" t="s">
        <v>1011</v>
      </c>
      <c r="B598" s="2840"/>
      <c r="C598" s="120"/>
      <c r="D598" s="170"/>
      <c r="E598" s="2576"/>
      <c r="F598" s="2880"/>
      <c r="G598" s="2576"/>
      <c r="H598" s="2880"/>
      <c r="I598" s="2559">
        <f t="shared" si="182"/>
        <v>0</v>
      </c>
      <c r="J598" s="2560"/>
      <c r="K598" s="279"/>
      <c r="L598" s="159"/>
      <c r="M598" s="45"/>
      <c r="N598" s="45"/>
      <c r="O598" s="2575"/>
      <c r="P598" s="2575"/>
      <c r="Q598" s="2575"/>
      <c r="R598" s="2575"/>
      <c r="S598" s="2575"/>
      <c r="T598" s="2560"/>
      <c r="U598" s="276"/>
      <c r="V598" s="45"/>
      <c r="W598" s="45"/>
      <c r="X598" s="45"/>
      <c r="Y598" s="45"/>
      <c r="Z598" s="45"/>
      <c r="AA598" s="45"/>
      <c r="AB598" s="45"/>
      <c r="AC598" s="275"/>
      <c r="AD598" s="275"/>
      <c r="AE598" s="275"/>
      <c r="AF598" s="276"/>
      <c r="AG598" s="45"/>
      <c r="AH598" s="45"/>
      <c r="AI598" s="45"/>
      <c r="AJ598" s="45"/>
      <c r="AK598" s="45"/>
      <c r="AL598" s="45"/>
      <c r="AM598" s="45"/>
      <c r="AN598" s="276"/>
      <c r="AO598" s="276"/>
    </row>
    <row r="599" spans="1:41" ht="15.95" customHeight="1" thickBot="1" x14ac:dyDescent="0.35">
      <c r="A599" s="2839" t="s">
        <v>1012</v>
      </c>
      <c r="B599" s="2840"/>
      <c r="C599" s="170" t="s">
        <v>496</v>
      </c>
      <c r="D599" s="170" t="s">
        <v>497</v>
      </c>
      <c r="E599" s="2576">
        <v>10</v>
      </c>
      <c r="F599" s="2880"/>
      <c r="G599" s="2559">
        <v>47000</v>
      </c>
      <c r="H599" s="2560">
        <f t="shared" ref="H599" si="185">(36040*6%)+36040</f>
        <v>38202.400000000001</v>
      </c>
      <c r="I599" s="2559">
        <f t="shared" si="182"/>
        <v>470000</v>
      </c>
      <c r="J599" s="2560"/>
      <c r="K599" s="279"/>
      <c r="L599" s="160" t="s">
        <v>583</v>
      </c>
      <c r="M599" s="205"/>
      <c r="N599" s="205"/>
      <c r="O599" s="205"/>
      <c r="P599" s="205"/>
      <c r="Q599" s="161"/>
      <c r="R599" s="161"/>
      <c r="S599" s="2580">
        <f>SUM(S597+S589+I614)</f>
        <v>36078025.674896002</v>
      </c>
      <c r="T599" s="2581"/>
      <c r="U599" s="276"/>
      <c r="V599" s="45"/>
      <c r="W599" s="45"/>
      <c r="X599" s="45"/>
      <c r="Y599" s="45"/>
      <c r="Z599" s="45"/>
      <c r="AA599" s="45"/>
      <c r="AB599" s="45"/>
      <c r="AC599" s="275"/>
      <c r="AD599" s="275"/>
      <c r="AE599" s="275"/>
      <c r="AF599" s="276"/>
      <c r="AG599" s="45"/>
      <c r="AH599" s="45"/>
      <c r="AI599" s="45"/>
      <c r="AJ599" s="45"/>
      <c r="AK599" s="45"/>
      <c r="AL599" s="45"/>
      <c r="AM599" s="45"/>
      <c r="AN599" s="276"/>
      <c r="AO599" s="276"/>
    </row>
    <row r="600" spans="1:41" ht="15.95" customHeight="1" x14ac:dyDescent="0.2">
      <c r="A600" s="2839" t="s">
        <v>1052</v>
      </c>
      <c r="B600" s="2840"/>
      <c r="C600" s="170" t="s">
        <v>1120</v>
      </c>
      <c r="D600" s="170"/>
      <c r="E600" s="2559">
        <v>11</v>
      </c>
      <c r="F600" s="2560"/>
      <c r="G600" s="2559">
        <f>120621*1.0928</f>
        <v>131814.62880000001</v>
      </c>
      <c r="H600" s="2560">
        <f t="shared" ref="H600" si="186">(107219*6%)+107219</f>
        <v>113652.14</v>
      </c>
      <c r="I600" s="2559">
        <f t="shared" si="182"/>
        <v>1449960.9168</v>
      </c>
      <c r="J600" s="2560"/>
      <c r="K600" s="284"/>
      <c r="L600" s="45"/>
      <c r="M600" s="45"/>
      <c r="N600" s="45"/>
      <c r="O600" s="45"/>
      <c r="P600" s="45"/>
      <c r="Q600" s="45"/>
      <c r="R600" s="45"/>
      <c r="S600" s="45"/>
      <c r="T600" s="45"/>
      <c r="U600" s="276"/>
      <c r="V600" s="45"/>
      <c r="W600" s="45"/>
      <c r="X600" s="45"/>
      <c r="Y600" s="45"/>
      <c r="Z600" s="45"/>
      <c r="AA600" s="45"/>
      <c r="AB600" s="45"/>
      <c r="AC600" s="275"/>
      <c r="AD600" s="275"/>
      <c r="AE600" s="275"/>
      <c r="AF600" s="276"/>
      <c r="AG600" s="45"/>
      <c r="AH600" s="45"/>
      <c r="AI600" s="45"/>
      <c r="AJ600" s="45"/>
      <c r="AK600" s="45"/>
      <c r="AL600" s="45"/>
      <c r="AM600" s="45"/>
      <c r="AN600" s="276"/>
      <c r="AO600" s="276"/>
    </row>
    <row r="601" spans="1:41" ht="15.95" customHeight="1" x14ac:dyDescent="0.3">
      <c r="A601" s="2839" t="s">
        <v>1019</v>
      </c>
      <c r="B601" s="2840"/>
      <c r="C601" s="170"/>
      <c r="D601" s="170"/>
      <c r="E601" s="2576"/>
      <c r="F601" s="2880"/>
      <c r="G601" s="2559"/>
      <c r="H601" s="2918"/>
      <c r="I601" s="2559">
        <f t="shared" si="182"/>
        <v>0</v>
      </c>
      <c r="J601" s="2560"/>
      <c r="K601" s="279"/>
      <c r="L601" s="7" t="s">
        <v>1528</v>
      </c>
      <c r="M601" s="45"/>
      <c r="N601" s="45"/>
      <c r="O601" s="45"/>
      <c r="P601" s="45"/>
      <c r="Q601" s="45"/>
      <c r="R601" s="45"/>
      <c r="S601" s="45"/>
      <c r="T601" s="45"/>
      <c r="U601" s="276"/>
      <c r="V601" s="45"/>
      <c r="W601" s="45"/>
      <c r="X601" s="45"/>
      <c r="Y601" s="45"/>
      <c r="Z601" s="45"/>
      <c r="AA601" s="45"/>
      <c r="AB601" s="45"/>
      <c r="AC601" s="275"/>
      <c r="AD601" s="275"/>
      <c r="AE601" s="275"/>
      <c r="AF601" s="276"/>
      <c r="AG601" s="45"/>
      <c r="AH601" s="45"/>
      <c r="AI601" s="45"/>
      <c r="AJ601" s="45"/>
      <c r="AK601" s="45"/>
      <c r="AL601" s="45"/>
      <c r="AM601" s="45"/>
      <c r="AN601" s="276"/>
      <c r="AO601" s="276"/>
    </row>
    <row r="602" spans="1:41" ht="15.95" customHeight="1" x14ac:dyDescent="0.3">
      <c r="A602" s="2839" t="s">
        <v>1020</v>
      </c>
      <c r="B602" s="2840"/>
      <c r="C602" s="187"/>
      <c r="D602" s="170"/>
      <c r="E602" s="2576"/>
      <c r="F602" s="2880"/>
      <c r="G602" s="2576"/>
      <c r="H602" s="2880"/>
      <c r="I602" s="2559">
        <f t="shared" si="182"/>
        <v>0</v>
      </c>
      <c r="J602" s="2560"/>
      <c r="K602" s="279"/>
      <c r="L602" s="597" t="s">
        <v>1584</v>
      </c>
      <c r="M602" s="266"/>
      <c r="N602" s="266"/>
      <c r="O602" s="266"/>
      <c r="P602" s="266"/>
      <c r="Q602" s="1783"/>
      <c r="R602" s="266"/>
      <c r="S602" s="266"/>
      <c r="T602" s="45"/>
      <c r="U602" s="276"/>
      <c r="V602" s="45"/>
      <c r="W602" s="45"/>
      <c r="X602" s="45"/>
      <c r="Y602" s="45"/>
      <c r="Z602" s="45"/>
      <c r="AA602" s="45"/>
      <c r="AB602" s="45"/>
      <c r="AC602" s="275"/>
      <c r="AD602" s="275"/>
      <c r="AE602" s="275"/>
      <c r="AF602" s="276"/>
      <c r="AG602" s="45"/>
      <c r="AH602" s="45"/>
      <c r="AI602" s="45"/>
      <c r="AJ602" s="45"/>
      <c r="AK602" s="45"/>
      <c r="AL602" s="45"/>
      <c r="AM602" s="45"/>
      <c r="AN602" s="276"/>
      <c r="AO602" s="276"/>
    </row>
    <row r="603" spans="1:41" ht="15.95" customHeight="1" x14ac:dyDescent="0.3">
      <c r="A603" s="2839" t="s">
        <v>1021</v>
      </c>
      <c r="B603" s="2840"/>
      <c r="C603" s="187"/>
      <c r="D603" s="170"/>
      <c r="E603" s="2576"/>
      <c r="F603" s="2880"/>
      <c r="G603" s="2576"/>
      <c r="H603" s="2880"/>
      <c r="I603" s="2559">
        <f t="shared" si="182"/>
        <v>0</v>
      </c>
      <c r="J603" s="2560"/>
      <c r="K603" s="279"/>
      <c r="L603" s="45"/>
      <c r="M603" s="206"/>
      <c r="N603" s="206"/>
      <c r="O603" s="206"/>
      <c r="P603" s="206"/>
      <c r="Q603" s="107"/>
      <c r="R603" s="44"/>
      <c r="S603" s="45"/>
      <c r="T603" s="45"/>
      <c r="U603" s="276"/>
      <c r="V603" s="45"/>
      <c r="W603" s="45"/>
      <c r="X603" s="45"/>
      <c r="Y603" s="45"/>
      <c r="Z603" s="45"/>
      <c r="AA603" s="45"/>
      <c r="AB603" s="45"/>
      <c r="AC603" s="275"/>
      <c r="AD603" s="275"/>
      <c r="AE603" s="275"/>
      <c r="AF603" s="276"/>
      <c r="AG603" s="45"/>
      <c r="AH603" s="45"/>
      <c r="AI603" s="45"/>
      <c r="AJ603" s="45"/>
      <c r="AK603" s="45"/>
      <c r="AL603" s="45"/>
      <c r="AM603" s="45"/>
      <c r="AN603" s="276"/>
      <c r="AO603" s="276"/>
    </row>
    <row r="604" spans="1:41" ht="15.95" customHeight="1" x14ac:dyDescent="0.2">
      <c r="A604" s="2839" t="s">
        <v>1022</v>
      </c>
      <c r="B604" s="2840"/>
      <c r="C604" s="170" t="s">
        <v>496</v>
      </c>
      <c r="D604" s="170" t="s">
        <v>497</v>
      </c>
      <c r="E604" s="2559">
        <v>12</v>
      </c>
      <c r="F604" s="2560"/>
      <c r="G604" s="2559">
        <v>47000</v>
      </c>
      <c r="H604" s="2560">
        <f t="shared" ref="H604:H605" si="187">(36040*6%)+36040</f>
        <v>38202.400000000001</v>
      </c>
      <c r="I604" s="2559">
        <f t="shared" si="182"/>
        <v>564000</v>
      </c>
      <c r="J604" s="2560"/>
      <c r="K604" s="279"/>
      <c r="L604" s="45"/>
      <c r="M604" s="2834"/>
      <c r="N604" s="2834"/>
      <c r="O604" s="2834"/>
      <c r="P604" s="2834"/>
      <c r="Q604" s="107"/>
      <c r="R604" s="44"/>
      <c r="S604" s="45"/>
      <c r="T604" s="45"/>
      <c r="U604" s="276"/>
      <c r="V604" s="45"/>
      <c r="W604" s="45"/>
      <c r="X604" s="45"/>
      <c r="Y604" s="45"/>
      <c r="Z604" s="45"/>
      <c r="AA604" s="45"/>
      <c r="AB604" s="45"/>
      <c r="AC604" s="275"/>
      <c r="AD604" s="275"/>
      <c r="AE604" s="275"/>
      <c r="AF604" s="276"/>
      <c r="AG604" s="45"/>
      <c r="AH604" s="45"/>
      <c r="AI604" s="45"/>
      <c r="AJ604" s="45"/>
      <c r="AK604" s="45"/>
      <c r="AL604" s="45"/>
      <c r="AM604" s="45"/>
      <c r="AN604" s="276"/>
      <c r="AO604" s="276"/>
    </row>
    <row r="605" spans="1:41" ht="15.95" customHeight="1" x14ac:dyDescent="0.2">
      <c r="A605" s="2839" t="s">
        <v>881</v>
      </c>
      <c r="B605" s="2840"/>
      <c r="C605" s="170" t="s">
        <v>496</v>
      </c>
      <c r="D605" s="170" t="s">
        <v>497</v>
      </c>
      <c r="E605" s="2559">
        <v>24</v>
      </c>
      <c r="F605" s="2560"/>
      <c r="G605" s="2559">
        <v>47000</v>
      </c>
      <c r="H605" s="2560">
        <f t="shared" si="187"/>
        <v>38202.400000000001</v>
      </c>
      <c r="I605" s="2559">
        <f t="shared" si="182"/>
        <v>1128000</v>
      </c>
      <c r="J605" s="2560"/>
      <c r="K605" s="279"/>
      <c r="L605" s="45" t="s">
        <v>1705</v>
      </c>
      <c r="M605" s="45"/>
      <c r="N605" s="45"/>
      <c r="O605" s="45"/>
      <c r="P605" s="45"/>
      <c r="Q605" s="107"/>
      <c r="R605" s="45"/>
      <c r="S605" s="45"/>
      <c r="T605" s="45"/>
      <c r="U605" s="276"/>
      <c r="V605" s="45"/>
      <c r="W605" s="45"/>
      <c r="X605" s="45"/>
      <c r="Y605" s="45"/>
      <c r="Z605" s="45"/>
      <c r="AA605" s="45"/>
      <c r="AB605" s="45"/>
      <c r="AC605" s="275"/>
      <c r="AD605" s="275"/>
      <c r="AE605" s="275"/>
      <c r="AF605" s="276"/>
      <c r="AG605" s="45"/>
      <c r="AH605" s="45"/>
      <c r="AI605" s="45"/>
      <c r="AJ605" s="45"/>
      <c r="AK605" s="45"/>
      <c r="AL605" s="45"/>
      <c r="AM605" s="45"/>
      <c r="AN605" s="276"/>
      <c r="AO605" s="276"/>
    </row>
    <row r="606" spans="1:41" ht="15.95" customHeight="1" x14ac:dyDescent="0.3">
      <c r="A606" s="2839" t="s">
        <v>882</v>
      </c>
      <c r="B606" s="2840"/>
      <c r="C606" s="170"/>
      <c r="D606" s="170"/>
      <c r="E606" s="2576"/>
      <c r="F606" s="2880"/>
      <c r="G606" s="2559"/>
      <c r="H606" s="2560"/>
      <c r="I606" s="2559">
        <f t="shared" si="182"/>
        <v>0</v>
      </c>
      <c r="J606" s="2560"/>
      <c r="K606" s="279"/>
      <c r="L606" s="2089" t="s">
        <v>1668</v>
      </c>
      <c r="M606" s="2089" t="s">
        <v>497</v>
      </c>
      <c r="N606" s="2090" t="s">
        <v>1665</v>
      </c>
      <c r="O606" s="3008" t="s">
        <v>433</v>
      </c>
      <c r="P606" s="3009"/>
      <c r="S606" s="45"/>
      <c r="T606" s="45"/>
      <c r="U606" s="276"/>
      <c r="V606" s="45"/>
      <c r="W606" s="45"/>
      <c r="X606" s="45"/>
      <c r="Y606" s="45"/>
      <c r="Z606" s="45"/>
      <c r="AA606" s="45"/>
      <c r="AB606" s="45"/>
      <c r="AC606" s="275"/>
      <c r="AD606" s="275"/>
      <c r="AE606" s="275"/>
      <c r="AF606" s="276"/>
      <c r="AG606" s="45"/>
      <c r="AH606" s="45"/>
      <c r="AI606" s="45"/>
      <c r="AJ606" s="45"/>
      <c r="AK606" s="45"/>
      <c r="AL606" s="45"/>
      <c r="AM606" s="45"/>
      <c r="AN606" s="276"/>
      <c r="AO606" s="276"/>
    </row>
    <row r="607" spans="1:41" ht="15.95" customHeight="1" x14ac:dyDescent="0.3">
      <c r="A607" s="2911" t="s">
        <v>1023</v>
      </c>
      <c r="B607" s="2912"/>
      <c r="C607" s="187"/>
      <c r="D607" s="170"/>
      <c r="E607" s="2576"/>
      <c r="F607" s="2880"/>
      <c r="G607" s="2576"/>
      <c r="H607" s="2880"/>
      <c r="I607" s="2565">
        <f>SUM(I608:J613)</f>
        <v>382480</v>
      </c>
      <c r="J607" s="2566"/>
      <c r="K607" s="279"/>
      <c r="L607" s="2087" t="s">
        <v>1666</v>
      </c>
      <c r="M607" s="2088">
        <v>1000</v>
      </c>
      <c r="N607" s="2088">
        <v>32500</v>
      </c>
      <c r="O607" s="3006">
        <f>N607*M607</f>
        <v>32500000</v>
      </c>
      <c r="P607" s="3006"/>
      <c r="Q607" s="45"/>
      <c r="R607" s="44"/>
      <c r="S607" s="45"/>
      <c r="T607" s="45"/>
      <c r="U607" s="276"/>
      <c r="V607" s="45"/>
      <c r="W607" s="45"/>
      <c r="X607" s="45"/>
      <c r="Y607" s="45"/>
      <c r="Z607" s="45"/>
      <c r="AA607" s="45"/>
      <c r="AB607" s="45"/>
      <c r="AC607" s="275"/>
      <c r="AD607" s="275"/>
      <c r="AE607" s="275"/>
      <c r="AF607" s="276"/>
      <c r="AG607" s="45"/>
      <c r="AH607" s="45"/>
      <c r="AI607" s="45"/>
      <c r="AJ607" s="45"/>
      <c r="AK607" s="45"/>
      <c r="AL607" s="45"/>
      <c r="AM607" s="45"/>
      <c r="AN607" s="276"/>
      <c r="AO607" s="276"/>
    </row>
    <row r="608" spans="1:41" ht="15.95" customHeight="1" x14ac:dyDescent="0.3">
      <c r="A608" s="2839" t="s">
        <v>884</v>
      </c>
      <c r="B608" s="2840"/>
      <c r="C608" s="170"/>
      <c r="D608" s="170"/>
      <c r="E608" s="2576"/>
      <c r="F608" s="2880"/>
      <c r="G608" s="2559"/>
      <c r="H608" s="2560"/>
      <c r="I608" s="2559">
        <f>E608*G608</f>
        <v>0</v>
      </c>
      <c r="J608" s="2560"/>
      <c r="K608" s="279"/>
      <c r="L608" s="2085" t="s">
        <v>1667</v>
      </c>
      <c r="M608" s="2086">
        <v>74</v>
      </c>
      <c r="N608" s="2086">
        <f>25000*1.3</f>
        <v>32500</v>
      </c>
      <c r="O608" s="3006">
        <f>N608*M608</f>
        <v>2405000</v>
      </c>
      <c r="P608" s="3006"/>
      <c r="Q608" s="45"/>
      <c r="R608" s="44"/>
      <c r="S608" s="45"/>
      <c r="T608" s="45"/>
      <c r="U608" s="276"/>
      <c r="V608" s="45"/>
      <c r="W608" s="45"/>
      <c r="X608" s="45"/>
      <c r="Y608" s="45"/>
      <c r="Z608" s="45"/>
      <c r="AA608" s="45"/>
      <c r="AB608" s="45"/>
      <c r="AC608" s="275"/>
      <c r="AD608" s="275"/>
      <c r="AE608" s="275"/>
      <c r="AF608" s="276"/>
      <c r="AG608" s="45"/>
      <c r="AH608" s="45"/>
      <c r="AI608" s="45"/>
      <c r="AJ608" s="45"/>
      <c r="AK608" s="45"/>
      <c r="AL608" s="45"/>
      <c r="AM608" s="45"/>
      <c r="AN608" s="276"/>
      <c r="AO608" s="276"/>
    </row>
    <row r="609" spans="1:41" ht="15.95" customHeight="1" x14ac:dyDescent="0.3">
      <c r="A609" s="2839" t="s">
        <v>1024</v>
      </c>
      <c r="B609" s="2840"/>
      <c r="C609" s="120"/>
      <c r="D609" s="120"/>
      <c r="E609" s="2576"/>
      <c r="F609" s="2880"/>
      <c r="G609" s="2559"/>
      <c r="H609" s="2880"/>
      <c r="I609" s="2559">
        <f>E609*G609</f>
        <v>0</v>
      </c>
      <c r="J609" s="2560"/>
      <c r="K609" s="279"/>
      <c r="L609" s="2089" t="s">
        <v>433</v>
      </c>
      <c r="M609" s="2089"/>
      <c r="N609" s="2089"/>
      <c r="O609" s="3007">
        <f>SUM(O607:P608)</f>
        <v>34905000</v>
      </c>
      <c r="P609" s="3007"/>
      <c r="Q609" s="45"/>
      <c r="R609" s="45"/>
      <c r="S609" s="45"/>
      <c r="T609" s="45"/>
      <c r="U609" s="276"/>
      <c r="V609" s="45"/>
      <c r="W609" s="45"/>
      <c r="X609" s="45"/>
      <c r="Y609" s="45"/>
      <c r="Z609" s="45"/>
      <c r="AA609" s="45"/>
      <c r="AB609" s="45"/>
      <c r="AC609" s="275"/>
      <c r="AD609" s="275"/>
      <c r="AE609" s="275"/>
      <c r="AF609" s="276"/>
      <c r="AG609" s="45"/>
      <c r="AH609" s="45"/>
      <c r="AI609" s="45"/>
      <c r="AJ609" s="45"/>
      <c r="AK609" s="45"/>
      <c r="AL609" s="45"/>
      <c r="AM609" s="45"/>
      <c r="AN609" s="276"/>
      <c r="AO609" s="276"/>
    </row>
    <row r="610" spans="1:41" ht="15.95" customHeight="1" x14ac:dyDescent="0.3">
      <c r="A610" s="2839" t="s">
        <v>893</v>
      </c>
      <c r="B610" s="2840"/>
      <c r="C610" s="170"/>
      <c r="D610" s="170"/>
      <c r="E610" s="2576"/>
      <c r="F610" s="2880"/>
      <c r="G610" s="2559"/>
      <c r="H610" s="2880"/>
      <c r="I610" s="2559">
        <f>E610*G610</f>
        <v>0</v>
      </c>
      <c r="J610" s="2560"/>
      <c r="K610" s="279"/>
      <c r="L610" s="45"/>
      <c r="M610" s="45"/>
      <c r="N610" s="45"/>
      <c r="O610" s="45"/>
      <c r="P610" s="45"/>
      <c r="Q610" s="45"/>
      <c r="R610" s="45"/>
      <c r="S610" s="45"/>
      <c r="T610" s="45"/>
      <c r="U610" s="276"/>
      <c r="V610" s="45"/>
      <c r="W610" s="45"/>
      <c r="X610" s="45"/>
      <c r="Y610" s="45"/>
      <c r="Z610" s="45"/>
      <c r="AA610" s="45"/>
      <c r="AB610" s="45"/>
      <c r="AC610" s="275"/>
      <c r="AD610" s="275"/>
      <c r="AE610" s="275"/>
      <c r="AF610" s="276"/>
      <c r="AG610" s="45"/>
      <c r="AH610" s="45"/>
      <c r="AI610" s="45"/>
      <c r="AJ610" s="45"/>
      <c r="AK610" s="45"/>
      <c r="AL610" s="45"/>
      <c r="AM610" s="45"/>
      <c r="AN610" s="276"/>
      <c r="AO610" s="276"/>
    </row>
    <row r="611" spans="1:41" ht="15.95" customHeight="1" x14ac:dyDescent="0.3">
      <c r="A611" s="2839" t="s">
        <v>728</v>
      </c>
      <c r="B611" s="2840"/>
      <c r="C611" s="120"/>
      <c r="D611" s="170"/>
      <c r="E611" s="2576"/>
      <c r="F611" s="2880"/>
      <c r="G611" s="2559"/>
      <c r="H611" s="2918"/>
      <c r="I611" s="2559">
        <f>E611*G611</f>
        <v>0</v>
      </c>
      <c r="J611" s="2560"/>
      <c r="L611" s="45"/>
      <c r="M611" s="45"/>
      <c r="N611" s="45"/>
      <c r="O611" s="45"/>
      <c r="P611" s="45"/>
      <c r="Q611" s="45"/>
      <c r="U611" s="276"/>
      <c r="V611" s="45"/>
      <c r="W611" s="45"/>
      <c r="X611" s="45"/>
      <c r="Y611" s="45"/>
      <c r="Z611" s="45"/>
      <c r="AA611" s="45"/>
      <c r="AB611" s="45"/>
      <c r="AC611" s="275"/>
      <c r="AD611" s="275"/>
      <c r="AE611" s="275"/>
      <c r="AF611" s="276"/>
      <c r="AG611" s="45"/>
      <c r="AH611" s="45"/>
      <c r="AI611" s="45"/>
      <c r="AJ611" s="45"/>
      <c r="AK611" s="45"/>
      <c r="AL611" s="45"/>
      <c r="AM611" s="45"/>
      <c r="AN611" s="276"/>
      <c r="AO611" s="276"/>
    </row>
    <row r="612" spans="1:41" ht="15.95" customHeight="1" x14ac:dyDescent="0.3">
      <c r="A612" s="2839" t="s">
        <v>765</v>
      </c>
      <c r="B612" s="2840"/>
      <c r="C612" s="187"/>
      <c r="D612" s="170" t="s">
        <v>794</v>
      </c>
      <c r="E612" s="2576"/>
      <c r="F612" s="2880"/>
      <c r="G612" s="2576"/>
      <c r="H612" s="2880"/>
      <c r="I612" s="2559">
        <f>350000*1.0928</f>
        <v>382480</v>
      </c>
      <c r="J612" s="2560"/>
      <c r="L612" s="45"/>
      <c r="M612" s="45"/>
      <c r="N612" s="45"/>
      <c r="O612" s="45"/>
      <c r="P612" s="45"/>
      <c r="Q612" s="45"/>
      <c r="U612" s="276"/>
      <c r="V612" s="45"/>
      <c r="W612" s="45"/>
      <c r="X612" s="45"/>
      <c r="Y612" s="45"/>
      <c r="Z612" s="45"/>
      <c r="AA612" s="45"/>
      <c r="AB612" s="45"/>
      <c r="AC612" s="275"/>
      <c r="AD612" s="275"/>
      <c r="AE612" s="275"/>
      <c r="AF612" s="276"/>
      <c r="AG612" s="45"/>
      <c r="AH612" s="45"/>
      <c r="AI612" s="45"/>
      <c r="AJ612" s="45"/>
      <c r="AK612" s="45"/>
      <c r="AL612" s="45"/>
      <c r="AM612" s="45"/>
      <c r="AN612" s="276"/>
      <c r="AO612" s="276"/>
    </row>
    <row r="613" spans="1:41" ht="15.95" customHeight="1" x14ac:dyDescent="0.3">
      <c r="A613" s="2839" t="s">
        <v>615</v>
      </c>
      <c r="B613" s="2840"/>
      <c r="C613" s="288"/>
      <c r="D613" s="170"/>
      <c r="E613" s="2576"/>
      <c r="F613" s="2880"/>
      <c r="G613" s="2576"/>
      <c r="H613" s="2880"/>
      <c r="I613" s="2559"/>
      <c r="J613" s="2560"/>
      <c r="U613" s="276"/>
      <c r="V613" s="45"/>
      <c r="W613" s="45"/>
      <c r="X613" s="45"/>
      <c r="Y613" s="45"/>
      <c r="Z613" s="45"/>
      <c r="AA613" s="45"/>
      <c r="AB613" s="45"/>
      <c r="AC613" s="275"/>
      <c r="AD613" s="275"/>
      <c r="AE613" s="275"/>
      <c r="AF613" s="276"/>
      <c r="AG613" s="45"/>
      <c r="AH613" s="45"/>
      <c r="AI613" s="45"/>
      <c r="AJ613" s="45"/>
      <c r="AK613" s="45"/>
      <c r="AL613" s="45"/>
      <c r="AM613" s="45"/>
      <c r="AN613" s="276"/>
      <c r="AO613" s="276"/>
    </row>
    <row r="614" spans="1:41" ht="15.95" customHeight="1" thickBot="1" x14ac:dyDescent="0.25">
      <c r="A614" s="208" t="s">
        <v>558</v>
      </c>
      <c r="B614" s="209"/>
      <c r="C614" s="210"/>
      <c r="D614" s="209"/>
      <c r="E614" s="2561">
        <f>SUM(E578:F608)</f>
        <v>132</v>
      </c>
      <c r="F614" s="2562"/>
      <c r="G614" s="2561"/>
      <c r="H614" s="2562"/>
      <c r="I614" s="2561">
        <f>SUM(I607+I588+I577+I573+I570)</f>
        <v>7519440.9167999998</v>
      </c>
      <c r="J614" s="2562"/>
      <c r="U614" s="276"/>
      <c r="V614" s="45"/>
      <c r="W614" s="45"/>
      <c r="X614" s="45"/>
      <c r="Y614" s="45"/>
      <c r="Z614" s="45"/>
      <c r="AA614" s="45"/>
      <c r="AB614" s="45"/>
      <c r="AC614" s="275"/>
      <c r="AD614" s="275"/>
      <c r="AE614" s="275"/>
      <c r="AF614" s="276"/>
      <c r="AG614" s="45"/>
      <c r="AH614" s="45"/>
      <c r="AI614" s="45"/>
      <c r="AJ614" s="45"/>
      <c r="AK614" s="45"/>
      <c r="AL614" s="45"/>
      <c r="AM614" s="45"/>
      <c r="AN614" s="276"/>
      <c r="AO614" s="276"/>
    </row>
    <row r="615" spans="1:41" ht="15.95" customHeight="1" x14ac:dyDescent="0.2">
      <c r="A615" s="45"/>
      <c r="B615" s="45"/>
      <c r="C615" s="45"/>
      <c r="D615" s="45"/>
      <c r="E615" s="45"/>
      <c r="F615" s="45"/>
      <c r="G615" s="45"/>
      <c r="H615" s="275"/>
      <c r="I615" s="275"/>
      <c r="J615" s="275"/>
      <c r="K615" s="295"/>
      <c r="L615" s="45"/>
      <c r="M615" s="45"/>
      <c r="N615" s="45"/>
      <c r="O615" s="45"/>
      <c r="P615" s="45"/>
      <c r="Q615" s="45"/>
      <c r="R615" s="45"/>
      <c r="S615" s="295"/>
      <c r="T615" s="295"/>
      <c r="U615" s="276"/>
      <c r="V615" s="45"/>
      <c r="W615" s="45"/>
      <c r="X615" s="45"/>
      <c r="Y615" s="45"/>
      <c r="Z615" s="45"/>
      <c r="AA615" s="45"/>
      <c r="AB615" s="45"/>
      <c r="AC615" s="275"/>
      <c r="AD615" s="275"/>
      <c r="AE615" s="275"/>
      <c r="AF615" s="276"/>
      <c r="AG615" s="45"/>
      <c r="AH615" s="45"/>
      <c r="AI615" s="45"/>
      <c r="AJ615" s="45"/>
      <c r="AK615" s="45"/>
      <c r="AL615" s="45"/>
      <c r="AM615" s="45"/>
      <c r="AN615" s="276"/>
      <c r="AO615" s="276"/>
    </row>
    <row r="616" spans="1:41" ht="15.95" customHeight="1" x14ac:dyDescent="0.2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2909"/>
      <c r="T616" s="2909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3001"/>
      <c r="AO616" s="3001"/>
    </row>
    <row r="617" spans="1:41" ht="15.95" customHeight="1" x14ac:dyDescent="0.2">
      <c r="A617" s="2654"/>
      <c r="B617" s="2654"/>
      <c r="C617" s="2654"/>
      <c r="D617" s="2654"/>
      <c r="E617" s="2654"/>
      <c r="F617" s="2654"/>
      <c r="G617" s="2654"/>
      <c r="H617" s="2654"/>
      <c r="I617" s="2654"/>
      <c r="J617" s="2654"/>
      <c r="K617" s="2654"/>
      <c r="L617" s="2654"/>
      <c r="M617" s="2654"/>
      <c r="N617" s="2654"/>
      <c r="O617" s="2654"/>
      <c r="P617" s="2654"/>
      <c r="Q617" s="2654"/>
      <c r="R617" s="2654"/>
      <c r="S617" s="2654"/>
      <c r="T617" s="2654"/>
      <c r="U617" s="2654"/>
      <c r="V617" s="2654"/>
      <c r="W617" s="2654"/>
      <c r="X617" s="2654"/>
      <c r="Y617" s="2654"/>
      <c r="Z617" s="2654"/>
      <c r="AA617" s="2654"/>
      <c r="AB617" s="2654"/>
      <c r="AC617" s="2654"/>
      <c r="AD617" s="2654"/>
      <c r="AE617" s="2654"/>
      <c r="AF617" s="2654"/>
      <c r="AG617" s="2654"/>
      <c r="AH617" s="2654"/>
      <c r="AI617" s="2654"/>
      <c r="AJ617" s="2654"/>
      <c r="AK617" s="2654"/>
      <c r="AL617" s="2654"/>
      <c r="AM617" s="2654"/>
      <c r="AN617" s="2654"/>
      <c r="AO617" s="2654"/>
    </row>
    <row r="618" spans="1:41" s="2006" customFormat="1" ht="15.95" customHeight="1" x14ac:dyDescent="0.2">
      <c r="A618" s="2362"/>
      <c r="B618" s="2362"/>
      <c r="C618" s="2362"/>
      <c r="D618" s="2362"/>
      <c r="E618" s="2363"/>
      <c r="F618" s="2363"/>
      <c r="G618" s="2363"/>
      <c r="H618" s="2363"/>
      <c r="I618" s="2363"/>
      <c r="J618" s="2363"/>
      <c r="U618" s="2364"/>
      <c r="V618" s="2362"/>
      <c r="W618" s="2362"/>
      <c r="X618" s="2362"/>
      <c r="Y618" s="2362"/>
      <c r="Z618" s="2363"/>
      <c r="AA618" s="2363"/>
      <c r="AB618" s="2363"/>
      <c r="AC618" s="2363"/>
      <c r="AD618" s="2363"/>
      <c r="AE618" s="2363"/>
      <c r="AF618" s="2364"/>
      <c r="AG618" s="2364"/>
      <c r="AH618" s="2364"/>
      <c r="AI618" s="2364"/>
      <c r="AJ618" s="2364"/>
      <c r="AK618" s="2364"/>
      <c r="AL618" s="2364"/>
      <c r="AM618" s="2364"/>
      <c r="AN618" s="2364"/>
      <c r="AO618" s="2364"/>
    </row>
    <row r="619" spans="1:41" ht="15.95" customHeight="1" x14ac:dyDescent="0.2">
      <c r="A619" s="2611" t="s">
        <v>1965</v>
      </c>
      <c r="B619" s="2611"/>
      <c r="C619" s="2611"/>
      <c r="D619" s="2611"/>
      <c r="E619" s="2611"/>
      <c r="F619" s="2611"/>
      <c r="G619" s="2611"/>
      <c r="H619" s="2611"/>
      <c r="I619" s="2611"/>
      <c r="J619" s="2611"/>
      <c r="K619" s="2611"/>
      <c r="L619" s="2611"/>
      <c r="M619" s="2611"/>
      <c r="N619" s="2611"/>
      <c r="O619" s="2611"/>
      <c r="P619" s="2611"/>
      <c r="Q619" s="2611"/>
      <c r="R619" s="2611"/>
      <c r="S619" s="2611"/>
      <c r="T619" s="2611"/>
      <c r="U619" s="47"/>
      <c r="V619" s="2611" t="s">
        <v>1966</v>
      </c>
      <c r="W619" s="2611"/>
      <c r="X619" s="2611"/>
      <c r="Y619" s="2611"/>
      <c r="Z619" s="2611"/>
      <c r="AA619" s="2611"/>
      <c r="AB619" s="2611"/>
      <c r="AC619" s="2611"/>
      <c r="AD619" s="2611"/>
      <c r="AE619" s="2611"/>
      <c r="AF619" s="2611"/>
      <c r="AG619" s="2611"/>
      <c r="AH619" s="2611"/>
      <c r="AI619" s="2611"/>
      <c r="AJ619" s="2611"/>
      <c r="AK619" s="2611"/>
      <c r="AL619" s="2611"/>
      <c r="AM619" s="2611"/>
      <c r="AN619" s="2611"/>
      <c r="AO619" s="2611"/>
    </row>
    <row r="620" spans="1:41" ht="15.95" customHeight="1" thickBot="1" x14ac:dyDescent="0.25">
      <c r="A620" s="2611"/>
      <c r="B620" s="2611"/>
      <c r="C620" s="2611"/>
      <c r="D620" s="2611"/>
      <c r="E620" s="2611"/>
      <c r="F620" s="2611"/>
      <c r="G620" s="2611"/>
      <c r="H620" s="2611"/>
      <c r="I620" s="2611"/>
      <c r="J620" s="2611"/>
      <c r="K620" s="2611"/>
      <c r="L620" s="2611"/>
      <c r="M620" s="2611"/>
      <c r="N620" s="2611"/>
      <c r="O620" s="2611"/>
      <c r="P620" s="2611"/>
      <c r="Q620" s="2611"/>
      <c r="R620" s="2611"/>
      <c r="S620" s="2611"/>
      <c r="T620" s="2611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</row>
    <row r="621" spans="1:41" ht="15.95" customHeight="1" x14ac:dyDescent="0.3">
      <c r="A621" s="2618" t="s">
        <v>435</v>
      </c>
      <c r="B621" s="2620"/>
      <c r="C621" s="2618" t="s">
        <v>436</v>
      </c>
      <c r="D621" s="2619"/>
      <c r="E621" s="2619"/>
      <c r="F621" s="2620"/>
      <c r="G621" s="2618" t="s">
        <v>437</v>
      </c>
      <c r="H621" s="2620"/>
      <c r="I621" s="2618" t="s">
        <v>438</v>
      </c>
      <c r="J621" s="2620"/>
      <c r="K621" s="45"/>
      <c r="L621" s="2633" t="s">
        <v>435</v>
      </c>
      <c r="M621" s="2618" t="s">
        <v>436</v>
      </c>
      <c r="N621" s="2619"/>
      <c r="O621" s="2619"/>
      <c r="P621" s="2620"/>
      <c r="Q621" s="2618" t="s">
        <v>437</v>
      </c>
      <c r="R621" s="2620"/>
      <c r="S621" s="2618"/>
      <c r="T621" s="2620"/>
      <c r="U621" s="268"/>
      <c r="V621" s="2618" t="s">
        <v>435</v>
      </c>
      <c r="W621" s="2620"/>
      <c r="X621" s="2618" t="s">
        <v>436</v>
      </c>
      <c r="Y621" s="2619"/>
      <c r="Z621" s="2619"/>
      <c r="AA621" s="2620"/>
      <c r="AB621" s="2618" t="s">
        <v>437</v>
      </c>
      <c r="AC621" s="2620"/>
      <c r="AD621" s="2618" t="s">
        <v>438</v>
      </c>
      <c r="AE621" s="2620"/>
      <c r="AF621" s="45"/>
      <c r="AG621" s="2633" t="s">
        <v>435</v>
      </c>
      <c r="AH621" s="2618" t="s">
        <v>436</v>
      </c>
      <c r="AI621" s="2619"/>
      <c r="AJ621" s="2619"/>
      <c r="AK621" s="2620"/>
      <c r="AL621" s="2618" t="s">
        <v>437</v>
      </c>
      <c r="AM621" s="2620"/>
      <c r="AN621" s="2618"/>
      <c r="AO621" s="2900"/>
    </row>
    <row r="622" spans="1:41" ht="15.95" customHeight="1" thickBot="1" x14ac:dyDescent="0.35">
      <c r="A622" s="2631"/>
      <c r="B622" s="2632"/>
      <c r="C622" s="2621"/>
      <c r="D622" s="2622"/>
      <c r="E622" s="2622"/>
      <c r="F622" s="2623"/>
      <c r="G622" s="2631" t="s">
        <v>440</v>
      </c>
      <c r="H622" s="2632"/>
      <c r="I622" s="2631"/>
      <c r="J622" s="2632"/>
      <c r="K622" s="45"/>
      <c r="L622" s="2670"/>
      <c r="M622" s="2621"/>
      <c r="N622" s="2622"/>
      <c r="O622" s="2622"/>
      <c r="P622" s="2623"/>
      <c r="Q622" s="2631" t="s">
        <v>440</v>
      </c>
      <c r="R622" s="2632"/>
      <c r="S622" s="2631" t="s">
        <v>274</v>
      </c>
      <c r="T622" s="2632"/>
      <c r="U622" s="268"/>
      <c r="V622" s="2631"/>
      <c r="W622" s="2632"/>
      <c r="X622" s="2621"/>
      <c r="Y622" s="2622"/>
      <c r="Z622" s="2622"/>
      <c r="AA622" s="2623"/>
      <c r="AB622" s="2631" t="s">
        <v>440</v>
      </c>
      <c r="AC622" s="2632"/>
      <c r="AD622" s="2631"/>
      <c r="AE622" s="2632"/>
      <c r="AF622" s="45"/>
      <c r="AG622" s="2670"/>
      <c r="AH622" s="2621"/>
      <c r="AI622" s="2622"/>
      <c r="AJ622" s="2622"/>
      <c r="AK622" s="2623"/>
      <c r="AL622" s="2631" t="s">
        <v>440</v>
      </c>
      <c r="AM622" s="2632"/>
      <c r="AN622" s="2631" t="s">
        <v>274</v>
      </c>
      <c r="AO622" s="2880"/>
    </row>
    <row r="623" spans="1:41" ht="15.95" customHeight="1" x14ac:dyDescent="0.3">
      <c r="A623" s="2631"/>
      <c r="B623" s="2632"/>
      <c r="C623" s="53" t="s">
        <v>441</v>
      </c>
      <c r="D623" s="2670" t="s">
        <v>442</v>
      </c>
      <c r="E623" s="2631" t="s">
        <v>443</v>
      </c>
      <c r="F623" s="2632"/>
      <c r="G623" s="2631" t="s">
        <v>444</v>
      </c>
      <c r="H623" s="2632"/>
      <c r="I623" s="2631" t="s">
        <v>348</v>
      </c>
      <c r="J623" s="2632"/>
      <c r="K623" s="45"/>
      <c r="L623" s="2670"/>
      <c r="M623" s="51" t="s">
        <v>441</v>
      </c>
      <c r="N623" s="2633" t="s">
        <v>442</v>
      </c>
      <c r="O623" s="2618" t="s">
        <v>443</v>
      </c>
      <c r="P623" s="2620"/>
      <c r="Q623" s="2631" t="s">
        <v>444</v>
      </c>
      <c r="R623" s="2632"/>
      <c r="S623" s="2631" t="s">
        <v>348</v>
      </c>
      <c r="T623" s="2632"/>
      <c r="U623" s="268"/>
      <c r="V623" s="2631"/>
      <c r="W623" s="2632"/>
      <c r="X623" s="53" t="s">
        <v>441</v>
      </c>
      <c r="Y623" s="2670" t="s">
        <v>442</v>
      </c>
      <c r="Z623" s="2631" t="s">
        <v>443</v>
      </c>
      <c r="AA623" s="2632"/>
      <c r="AB623" s="2631" t="s">
        <v>444</v>
      </c>
      <c r="AC623" s="2632"/>
      <c r="AD623" s="2631" t="s">
        <v>348</v>
      </c>
      <c r="AE623" s="2632"/>
      <c r="AF623" s="45"/>
      <c r="AG623" s="2670"/>
      <c r="AH623" s="51" t="s">
        <v>441</v>
      </c>
      <c r="AI623" s="2670" t="s">
        <v>442</v>
      </c>
      <c r="AJ623" s="2631" t="s">
        <v>443</v>
      </c>
      <c r="AK623" s="2632"/>
      <c r="AL623" s="2631" t="s">
        <v>444</v>
      </c>
      <c r="AM623" s="2632"/>
      <c r="AN623" s="2631" t="s">
        <v>348</v>
      </c>
      <c r="AO623" s="2880"/>
    </row>
    <row r="624" spans="1:41" ht="15.95" customHeight="1" thickBot="1" x14ac:dyDescent="0.35">
      <c r="A624" s="2621"/>
      <c r="B624" s="2623"/>
      <c r="C624" s="54" t="s">
        <v>445</v>
      </c>
      <c r="D624" s="2634"/>
      <c r="E624" s="2621"/>
      <c r="F624" s="2623"/>
      <c r="G624" s="2621"/>
      <c r="H624" s="2623"/>
      <c r="I624" s="2621"/>
      <c r="J624" s="2623"/>
      <c r="K624" s="45"/>
      <c r="L624" s="2634"/>
      <c r="M624" s="50" t="s">
        <v>445</v>
      </c>
      <c r="N624" s="2634"/>
      <c r="O624" s="2621"/>
      <c r="P624" s="2623"/>
      <c r="Q624" s="2621"/>
      <c r="R624" s="2623"/>
      <c r="S624" s="2621"/>
      <c r="T624" s="2623"/>
      <c r="U624" s="268"/>
      <c r="V624" s="2621"/>
      <c r="W624" s="2623"/>
      <c r="X624" s="54" t="s">
        <v>445</v>
      </c>
      <c r="Y624" s="2634"/>
      <c r="Z624" s="2621"/>
      <c r="AA624" s="2623"/>
      <c r="AB624" s="2621"/>
      <c r="AC624" s="2623"/>
      <c r="AD624" s="2621"/>
      <c r="AE624" s="2623"/>
      <c r="AF624" s="45"/>
      <c r="AG624" s="2634"/>
      <c r="AH624" s="50" t="s">
        <v>445</v>
      </c>
      <c r="AI624" s="2634"/>
      <c r="AJ624" s="2621"/>
      <c r="AK624" s="2623"/>
      <c r="AL624" s="2621"/>
      <c r="AM624" s="2623"/>
      <c r="AN624" s="2901"/>
      <c r="AO624" s="2902"/>
    </row>
    <row r="625" spans="1:41" ht="15.95" customHeight="1" x14ac:dyDescent="0.3">
      <c r="A625" s="2913" t="s">
        <v>446</v>
      </c>
      <c r="B625" s="2914"/>
      <c r="C625" s="184"/>
      <c r="D625" s="170"/>
      <c r="E625" s="2576"/>
      <c r="F625" s="2880"/>
      <c r="G625" s="2576"/>
      <c r="H625" s="2880"/>
      <c r="I625" s="2576"/>
      <c r="J625" s="2880"/>
      <c r="K625" s="279"/>
      <c r="L625" s="119" t="s">
        <v>447</v>
      </c>
      <c r="M625" s="185"/>
      <c r="N625" s="186"/>
      <c r="O625" s="2605"/>
      <c r="P625" s="2606"/>
      <c r="Q625" s="2605"/>
      <c r="R625" s="2606"/>
      <c r="S625" s="2605"/>
      <c r="T625" s="2606"/>
      <c r="U625" s="45"/>
      <c r="V625" s="2913" t="s">
        <v>446</v>
      </c>
      <c r="W625" s="2914"/>
      <c r="X625" s="184"/>
      <c r="Y625" s="170"/>
      <c r="Z625" s="2576"/>
      <c r="AA625" s="2880"/>
      <c r="AB625" s="2576"/>
      <c r="AC625" s="2880"/>
      <c r="AD625" s="2576"/>
      <c r="AE625" s="2880"/>
      <c r="AF625" s="45"/>
      <c r="AG625" s="119" t="s">
        <v>447</v>
      </c>
      <c r="AH625" s="185"/>
      <c r="AI625" s="186"/>
      <c r="AJ625" s="2605"/>
      <c r="AK625" s="2606"/>
      <c r="AL625" s="2605"/>
      <c r="AM625" s="2606"/>
      <c r="AN625" s="2605"/>
      <c r="AO625" s="2606"/>
    </row>
    <row r="626" spans="1:41" ht="15.95" customHeight="1" x14ac:dyDescent="0.35">
      <c r="A626" s="2911" t="s">
        <v>979</v>
      </c>
      <c r="B626" s="2912"/>
      <c r="C626" s="45"/>
      <c r="D626" s="288"/>
      <c r="E626" s="2576"/>
      <c r="F626" s="2880"/>
      <c r="G626" s="2576"/>
      <c r="H626" s="2880"/>
      <c r="I626" s="2565">
        <f>SUM(I627:J628)</f>
        <v>0</v>
      </c>
      <c r="J626" s="2892"/>
      <c r="K626" s="279"/>
      <c r="L626" s="122"/>
      <c r="M626" s="188"/>
      <c r="N626" s="170"/>
      <c r="O626" s="2559"/>
      <c r="P626" s="2560"/>
      <c r="Q626" s="2559"/>
      <c r="R626" s="2560"/>
      <c r="S626" s="2559"/>
      <c r="T626" s="2560"/>
      <c r="U626" s="45"/>
      <c r="V626" s="2911" t="s">
        <v>979</v>
      </c>
      <c r="W626" s="2912"/>
      <c r="X626" s="187"/>
      <c r="Y626" s="170"/>
      <c r="Z626" s="2576"/>
      <c r="AA626" s="2880"/>
      <c r="AB626" s="2576"/>
      <c r="AC626" s="2880"/>
      <c r="AD626" s="2897">
        <f>SUM(AD627:AE628)</f>
        <v>0</v>
      </c>
      <c r="AE626" s="2892"/>
      <c r="AF626" s="45"/>
      <c r="AG626" s="122"/>
      <c r="AH626" s="188"/>
      <c r="AI626" s="170"/>
      <c r="AJ626" s="2559"/>
      <c r="AK626" s="2560"/>
      <c r="AL626" s="2559"/>
      <c r="AM626" s="2560"/>
      <c r="AN626" s="2559"/>
      <c r="AO626" s="2560"/>
    </row>
    <row r="627" spans="1:41" ht="15.95" customHeight="1" x14ac:dyDescent="0.3">
      <c r="A627" s="2915" t="s">
        <v>980</v>
      </c>
      <c r="B627" s="2916"/>
      <c r="C627" s="187"/>
      <c r="D627" s="170"/>
      <c r="E627" s="2576"/>
      <c r="F627" s="2880"/>
      <c r="G627" s="2576"/>
      <c r="H627" s="2880"/>
      <c r="I627" s="2559">
        <f>E627*G627</f>
        <v>0</v>
      </c>
      <c r="J627" s="2560"/>
      <c r="K627" s="279"/>
      <c r="L627" s="122" t="s">
        <v>450</v>
      </c>
      <c r="M627" s="170" t="s">
        <v>1031</v>
      </c>
      <c r="N627" s="170" t="s">
        <v>767</v>
      </c>
      <c r="O627" s="2559">
        <v>600</v>
      </c>
      <c r="P627" s="2560"/>
      <c r="Q627" s="2559">
        <f>2867*1.0928</f>
        <v>3133.0576000000001</v>
      </c>
      <c r="R627" s="2560"/>
      <c r="S627" s="2559">
        <f>O627*Q627</f>
        <v>1879834.56</v>
      </c>
      <c r="T627" s="2560"/>
      <c r="U627" s="45"/>
      <c r="V627" s="2915" t="s">
        <v>980</v>
      </c>
      <c r="W627" s="2916"/>
      <c r="X627" s="187"/>
      <c r="Y627" s="170"/>
      <c r="Z627" s="2576"/>
      <c r="AA627" s="2880"/>
      <c r="AB627" s="2576"/>
      <c r="AC627" s="2880"/>
      <c r="AD627" s="2559">
        <f>Z627*AB627</f>
        <v>0</v>
      </c>
      <c r="AE627" s="2560"/>
      <c r="AF627" s="45"/>
      <c r="AG627" s="122" t="s">
        <v>450</v>
      </c>
      <c r="AH627" s="170"/>
      <c r="AI627" s="170"/>
      <c r="AJ627" s="2559"/>
      <c r="AK627" s="2560"/>
      <c r="AL627" s="2559"/>
      <c r="AM627" s="2560"/>
      <c r="AN627" s="2559"/>
      <c r="AO627" s="2560"/>
    </row>
    <row r="628" spans="1:41" ht="15.95" customHeight="1" x14ac:dyDescent="0.3">
      <c r="A628" s="2915" t="s">
        <v>981</v>
      </c>
      <c r="B628" s="2916"/>
      <c r="C628" s="187"/>
      <c r="D628" s="170"/>
      <c r="E628" s="2576"/>
      <c r="F628" s="2880"/>
      <c r="G628" s="2576"/>
      <c r="H628" s="2880"/>
      <c r="I628" s="2559">
        <f>E628*G628</f>
        <v>0</v>
      </c>
      <c r="J628" s="2560"/>
      <c r="K628" s="279"/>
      <c r="L628" s="122" t="s">
        <v>853</v>
      </c>
      <c r="M628" s="170"/>
      <c r="N628" s="170"/>
      <c r="O628" s="2559"/>
      <c r="P628" s="2560"/>
      <c r="Q628" s="2559"/>
      <c r="R628" s="2560"/>
      <c r="S628" s="2559">
        <f t="shared" ref="S628:S643" si="188">O628*Q628</f>
        <v>0</v>
      </c>
      <c r="T628" s="2560"/>
      <c r="U628" s="45"/>
      <c r="V628" s="2915" t="s">
        <v>981</v>
      </c>
      <c r="W628" s="2916"/>
      <c r="X628" s="187"/>
      <c r="Y628" s="170"/>
      <c r="Z628" s="2576"/>
      <c r="AA628" s="2880"/>
      <c r="AB628" s="2576"/>
      <c r="AC628" s="2880"/>
      <c r="AD628" s="2559">
        <f>Z628*AB628</f>
        <v>0</v>
      </c>
      <c r="AE628" s="2560"/>
      <c r="AF628" s="45"/>
      <c r="AG628" s="122" t="s">
        <v>853</v>
      </c>
      <c r="AH628" s="170"/>
      <c r="AI628" s="170"/>
      <c r="AJ628" s="2559"/>
      <c r="AK628" s="2560"/>
      <c r="AL628" s="2559"/>
      <c r="AM628" s="2560"/>
      <c r="AN628" s="2559">
        <f t="shared" ref="AN628:AN644" si="189">AJ628*AL628</f>
        <v>0</v>
      </c>
      <c r="AO628" s="2560"/>
    </row>
    <row r="629" spans="1:41" ht="15.95" customHeight="1" x14ac:dyDescent="0.35">
      <c r="A629" s="2911" t="s">
        <v>990</v>
      </c>
      <c r="B629" s="2912"/>
      <c r="C629" s="197"/>
      <c r="D629" s="170"/>
      <c r="E629" s="2576"/>
      <c r="F629" s="2880"/>
      <c r="G629" s="2576"/>
      <c r="H629" s="2880"/>
      <c r="I629" s="2565">
        <f>SUM(I630:J632)</f>
        <v>0</v>
      </c>
      <c r="J629" s="2892"/>
      <c r="K629" s="279"/>
      <c r="L629" s="122" t="s">
        <v>859</v>
      </c>
      <c r="M629" s="170"/>
      <c r="N629" s="170"/>
      <c r="O629" s="2559"/>
      <c r="P629" s="2560"/>
      <c r="Q629" s="2559"/>
      <c r="R629" s="2560"/>
      <c r="S629" s="2559">
        <f t="shared" si="188"/>
        <v>0</v>
      </c>
      <c r="T629" s="2560"/>
      <c r="U629" s="45"/>
      <c r="V629" s="2911" t="s">
        <v>990</v>
      </c>
      <c r="W629" s="2912"/>
      <c r="X629" s="187"/>
      <c r="Y629" s="170"/>
      <c r="Z629" s="2576"/>
      <c r="AA629" s="2880"/>
      <c r="AB629" s="2576"/>
      <c r="AC629" s="2880"/>
      <c r="AD629" s="2565">
        <f>SUM(AD630:AE632)</f>
        <v>0</v>
      </c>
      <c r="AE629" s="2892"/>
      <c r="AF629" s="45"/>
      <c r="AG629" s="122" t="s">
        <v>859</v>
      </c>
      <c r="AH629" s="170"/>
      <c r="AI629" s="170"/>
      <c r="AJ629" s="2559"/>
      <c r="AK629" s="2560"/>
      <c r="AL629" s="2559"/>
      <c r="AM629" s="2560"/>
      <c r="AN629" s="2559">
        <f t="shared" si="189"/>
        <v>0</v>
      </c>
      <c r="AO629" s="2560"/>
    </row>
    <row r="630" spans="1:41" ht="15.95" customHeight="1" x14ac:dyDescent="0.3">
      <c r="A630" s="2915" t="s">
        <v>991</v>
      </c>
      <c r="B630" s="2916"/>
      <c r="C630" s="120"/>
      <c r="D630" s="170"/>
      <c r="E630" s="2576"/>
      <c r="F630" s="2880"/>
      <c r="G630" s="2559"/>
      <c r="H630" s="2880"/>
      <c r="I630" s="2559">
        <f>E630*G630</f>
        <v>0</v>
      </c>
      <c r="J630" s="2560"/>
      <c r="K630" s="279"/>
      <c r="L630" s="122" t="s">
        <v>861</v>
      </c>
      <c r="M630" s="170" t="s">
        <v>896</v>
      </c>
      <c r="N630" s="170" t="s">
        <v>452</v>
      </c>
      <c r="O630" s="2559">
        <v>1</v>
      </c>
      <c r="P630" s="2560"/>
      <c r="Q630" s="2559">
        <f>44242*1.0928</f>
        <v>48347.657599999999</v>
      </c>
      <c r="R630" s="2560"/>
      <c r="S630" s="2559">
        <f t="shared" si="188"/>
        <v>48347.657599999999</v>
      </c>
      <c r="T630" s="2560"/>
      <c r="U630" s="45"/>
      <c r="V630" s="2915" t="s">
        <v>991</v>
      </c>
      <c r="W630" s="2916"/>
      <c r="X630" s="187"/>
      <c r="Y630" s="170"/>
      <c r="Z630" s="2576"/>
      <c r="AA630" s="2880"/>
      <c r="AB630" s="2576"/>
      <c r="AC630" s="2880"/>
      <c r="AD630" s="2559">
        <f>Z630*AB630</f>
        <v>0</v>
      </c>
      <c r="AE630" s="2560"/>
      <c r="AF630" s="45"/>
      <c r="AG630" s="122" t="s">
        <v>861</v>
      </c>
      <c r="AH630" s="170" t="s">
        <v>896</v>
      </c>
      <c r="AI630" s="170" t="s">
        <v>452</v>
      </c>
      <c r="AJ630" s="2559">
        <v>1</v>
      </c>
      <c r="AK630" s="2560"/>
      <c r="AL630" s="2559">
        <f>+Q630</f>
        <v>48347.657599999999</v>
      </c>
      <c r="AM630" s="2560"/>
      <c r="AN630" s="2559">
        <f t="shared" si="189"/>
        <v>48347.657599999999</v>
      </c>
      <c r="AO630" s="2560"/>
    </row>
    <row r="631" spans="1:41" ht="15.95" customHeight="1" x14ac:dyDescent="0.3">
      <c r="A631" s="2915" t="s">
        <v>981</v>
      </c>
      <c r="B631" s="2916"/>
      <c r="C631" s="187"/>
      <c r="D631" s="170"/>
      <c r="E631" s="2576"/>
      <c r="F631" s="2880"/>
      <c r="G631" s="2559"/>
      <c r="H631" s="2880"/>
      <c r="I631" s="2559">
        <f>E631*G631</f>
        <v>0</v>
      </c>
      <c r="J631" s="2560"/>
      <c r="K631" s="279"/>
      <c r="L631" s="122" t="s">
        <v>863</v>
      </c>
      <c r="M631" s="170" t="s">
        <v>791</v>
      </c>
      <c r="N631" s="170" t="s">
        <v>452</v>
      </c>
      <c r="O631" s="2571">
        <v>2.5</v>
      </c>
      <c r="P631" s="2572"/>
      <c r="Q631" s="2559">
        <v>25849</v>
      </c>
      <c r="R631" s="2560"/>
      <c r="S631" s="2559">
        <f t="shared" si="188"/>
        <v>64622.5</v>
      </c>
      <c r="T631" s="2560"/>
      <c r="U631" s="45"/>
      <c r="V631" s="2915" t="s">
        <v>981</v>
      </c>
      <c r="W631" s="2916"/>
      <c r="X631" s="187"/>
      <c r="Y631" s="170"/>
      <c r="Z631" s="2576"/>
      <c r="AA631" s="2880"/>
      <c r="AB631" s="2576"/>
      <c r="AC631" s="2880"/>
      <c r="AD631" s="2559">
        <f>Z631*AB631</f>
        <v>0</v>
      </c>
      <c r="AE631" s="2560"/>
      <c r="AF631" s="45"/>
      <c r="AG631" s="122" t="s">
        <v>863</v>
      </c>
      <c r="AH631" s="170" t="s">
        <v>791</v>
      </c>
      <c r="AI631" s="170" t="s">
        <v>452</v>
      </c>
      <c r="AJ631" s="2559">
        <v>3</v>
      </c>
      <c r="AK631" s="2560"/>
      <c r="AL631" s="2559">
        <f>+Q631</f>
        <v>25849</v>
      </c>
      <c r="AM631" s="2560"/>
      <c r="AN631" s="2559">
        <f t="shared" si="189"/>
        <v>77547</v>
      </c>
      <c r="AO631" s="2560"/>
    </row>
    <row r="632" spans="1:41" ht="15.95" customHeight="1" x14ac:dyDescent="0.3">
      <c r="A632" s="2915" t="s">
        <v>992</v>
      </c>
      <c r="B632" s="2916"/>
      <c r="C632" s="187"/>
      <c r="D632" s="170"/>
      <c r="E632" s="2576"/>
      <c r="F632" s="2880"/>
      <c r="G632" s="2559"/>
      <c r="H632" s="2880"/>
      <c r="I632" s="2559">
        <f>E632*G632</f>
        <v>0</v>
      </c>
      <c r="J632" s="2560"/>
      <c r="K632" s="279"/>
      <c r="L632" s="122" t="s">
        <v>534</v>
      </c>
      <c r="M632" s="170" t="s">
        <v>459</v>
      </c>
      <c r="N632" s="170" t="s">
        <v>809</v>
      </c>
      <c r="O632" s="2559">
        <v>2</v>
      </c>
      <c r="P632" s="2560"/>
      <c r="Q632" s="2559">
        <v>149734</v>
      </c>
      <c r="R632" s="2560"/>
      <c r="S632" s="2559">
        <f t="shared" si="188"/>
        <v>299468</v>
      </c>
      <c r="T632" s="2560"/>
      <c r="U632" s="45"/>
      <c r="V632" s="2915" t="s">
        <v>992</v>
      </c>
      <c r="W632" s="2916"/>
      <c r="X632" s="187"/>
      <c r="Y632" s="170"/>
      <c r="Z632" s="2576"/>
      <c r="AA632" s="2880"/>
      <c r="AB632" s="2576"/>
      <c r="AC632" s="2880"/>
      <c r="AD632" s="2559">
        <f>Z632*AB632</f>
        <v>0</v>
      </c>
      <c r="AE632" s="2560"/>
      <c r="AF632" s="45"/>
      <c r="AG632" s="122" t="s">
        <v>534</v>
      </c>
      <c r="AH632" s="170" t="s">
        <v>459</v>
      </c>
      <c r="AI632" s="170" t="s">
        <v>809</v>
      </c>
      <c r="AJ632" s="2559">
        <v>3</v>
      </c>
      <c r="AK632" s="2560"/>
      <c r="AL632" s="2559">
        <f>+Q632</f>
        <v>149734</v>
      </c>
      <c r="AM632" s="2560"/>
      <c r="AN632" s="2559">
        <f t="shared" si="189"/>
        <v>449202</v>
      </c>
      <c r="AO632" s="2560"/>
    </row>
    <row r="633" spans="1:41" ht="15.95" customHeight="1" x14ac:dyDescent="0.35">
      <c r="A633" s="2998" t="s">
        <v>993</v>
      </c>
      <c r="B633" s="2999"/>
      <c r="C633" s="187"/>
      <c r="D633" s="170"/>
      <c r="E633" s="2576"/>
      <c r="F633" s="2880"/>
      <c r="G633" s="2559"/>
      <c r="H633" s="2560"/>
      <c r="I633" s="2565">
        <f>SUM(I634:J643)</f>
        <v>329000</v>
      </c>
      <c r="J633" s="2892"/>
      <c r="K633" s="279"/>
      <c r="L633" s="288" t="s">
        <v>535</v>
      </c>
      <c r="M633" s="170" t="s">
        <v>1034</v>
      </c>
      <c r="N633" s="170" t="s">
        <v>809</v>
      </c>
      <c r="O633" s="2559">
        <v>3</v>
      </c>
      <c r="P633" s="2560"/>
      <c r="Q633" s="2895">
        <v>179798</v>
      </c>
      <c r="R633" s="2896"/>
      <c r="S633" s="2559">
        <f t="shared" si="188"/>
        <v>539394</v>
      </c>
      <c r="T633" s="2560"/>
      <c r="U633" s="45"/>
      <c r="V633" s="2998" t="s">
        <v>1035</v>
      </c>
      <c r="W633" s="2999"/>
      <c r="X633" s="288"/>
      <c r="Y633" s="170"/>
      <c r="Z633" s="2576"/>
      <c r="AA633" s="2880"/>
      <c r="AB633" s="2576"/>
      <c r="AC633" s="2880"/>
      <c r="AD633" s="2565">
        <f>SUM(AD634:AE643)</f>
        <v>0</v>
      </c>
      <c r="AE633" s="2892"/>
      <c r="AF633" s="45"/>
      <c r="AG633" s="288" t="s">
        <v>535</v>
      </c>
      <c r="AH633" s="170" t="s">
        <v>1034</v>
      </c>
      <c r="AI633" s="170" t="s">
        <v>809</v>
      </c>
      <c r="AJ633" s="2559">
        <v>3</v>
      </c>
      <c r="AK633" s="2560"/>
      <c r="AL633" s="2559">
        <f>+Q633</f>
        <v>179798</v>
      </c>
      <c r="AM633" s="2560"/>
      <c r="AN633" s="2559">
        <f t="shared" si="189"/>
        <v>539394</v>
      </c>
      <c r="AO633" s="2560"/>
    </row>
    <row r="634" spans="1:41" ht="15.95" customHeight="1" x14ac:dyDescent="0.2">
      <c r="A634" s="2839" t="s">
        <v>995</v>
      </c>
      <c r="B634" s="2840"/>
      <c r="C634" s="170" t="s">
        <v>496</v>
      </c>
      <c r="D634" s="170" t="s">
        <v>497</v>
      </c>
      <c r="E634" s="2559">
        <v>7</v>
      </c>
      <c r="F634" s="2560"/>
      <c r="G634" s="2559">
        <v>47000</v>
      </c>
      <c r="H634" s="2560">
        <f t="shared" ref="H634" si="190">(36040*6%)+36040</f>
        <v>38202.400000000001</v>
      </c>
      <c r="I634" s="2559">
        <f t="shared" ref="I634:I643" si="191">E634*G634</f>
        <v>329000</v>
      </c>
      <c r="J634" s="2560"/>
      <c r="K634" s="279"/>
      <c r="L634" s="122" t="s">
        <v>537</v>
      </c>
      <c r="M634" s="170"/>
      <c r="N634" s="170"/>
      <c r="O634" s="2559"/>
      <c r="P634" s="2560"/>
      <c r="Q634" s="2559"/>
      <c r="R634" s="2560"/>
      <c r="S634" s="2559">
        <f t="shared" si="188"/>
        <v>0</v>
      </c>
      <c r="T634" s="2560"/>
      <c r="U634" s="45"/>
      <c r="V634" s="2839" t="s">
        <v>991</v>
      </c>
      <c r="W634" s="2840"/>
      <c r="X634" s="288"/>
      <c r="Y634" s="170"/>
      <c r="Z634" s="2559"/>
      <c r="AA634" s="2560"/>
      <c r="AB634" s="2559"/>
      <c r="AC634" s="2560"/>
      <c r="AD634" s="2559">
        <f>Z634*AB634</f>
        <v>0</v>
      </c>
      <c r="AE634" s="2560"/>
      <c r="AF634" s="45"/>
      <c r="AG634" s="122" t="s">
        <v>537</v>
      </c>
      <c r="AH634" s="170"/>
      <c r="AI634" s="170"/>
      <c r="AJ634" s="2559"/>
      <c r="AK634" s="2560"/>
      <c r="AL634" s="2559"/>
      <c r="AM634" s="2560"/>
      <c r="AN634" s="2559">
        <f t="shared" si="189"/>
        <v>0</v>
      </c>
      <c r="AO634" s="2560"/>
    </row>
    <row r="635" spans="1:41" ht="15.95" customHeight="1" x14ac:dyDescent="0.2">
      <c r="A635" s="2839" t="s">
        <v>996</v>
      </c>
      <c r="B635" s="2840"/>
      <c r="C635" s="170"/>
      <c r="D635" s="170"/>
      <c r="E635" s="2559"/>
      <c r="F635" s="2560"/>
      <c r="G635" s="2559"/>
      <c r="H635" s="2560"/>
      <c r="I635" s="2559">
        <f t="shared" si="191"/>
        <v>0</v>
      </c>
      <c r="J635" s="2560"/>
      <c r="K635" s="279"/>
      <c r="L635" s="122" t="s">
        <v>458</v>
      </c>
      <c r="M635" s="170" t="s">
        <v>1121</v>
      </c>
      <c r="N635" s="170" t="s">
        <v>809</v>
      </c>
      <c r="O635" s="2559">
        <v>3</v>
      </c>
      <c r="P635" s="2560"/>
      <c r="Q635" s="2559">
        <v>164123</v>
      </c>
      <c r="R635" s="2560"/>
      <c r="S635" s="2559">
        <f t="shared" si="188"/>
        <v>492369</v>
      </c>
      <c r="T635" s="2560"/>
      <c r="U635" s="45"/>
      <c r="V635" s="2839" t="s">
        <v>996</v>
      </c>
      <c r="W635" s="2840"/>
      <c r="X635" s="187"/>
      <c r="Y635" s="170"/>
      <c r="Z635" s="2559"/>
      <c r="AA635" s="2560"/>
      <c r="AB635" s="2559"/>
      <c r="AC635" s="2560"/>
      <c r="AD635" s="2559">
        <f>Z635*AB635</f>
        <v>0</v>
      </c>
      <c r="AE635" s="2560"/>
      <c r="AF635" s="45"/>
      <c r="AG635" s="122" t="s">
        <v>458</v>
      </c>
      <c r="AH635" s="170" t="s">
        <v>1121</v>
      </c>
      <c r="AI635" s="170" t="s">
        <v>809</v>
      </c>
      <c r="AJ635" s="2559">
        <v>3</v>
      </c>
      <c r="AK635" s="2560"/>
      <c r="AL635" s="2559">
        <f>+Q635</f>
        <v>164123</v>
      </c>
      <c r="AM635" s="2560"/>
      <c r="AN635" s="2559">
        <f t="shared" si="189"/>
        <v>492369</v>
      </c>
      <c r="AO635" s="2560"/>
    </row>
    <row r="636" spans="1:41" ht="15.95" customHeight="1" x14ac:dyDescent="0.2">
      <c r="A636" s="2839" t="s">
        <v>469</v>
      </c>
      <c r="B636" s="2840"/>
      <c r="C636" s="120"/>
      <c r="D636" s="170"/>
      <c r="E636" s="2559"/>
      <c r="F636" s="2560"/>
      <c r="G636" s="2559"/>
      <c r="H636" s="2560"/>
      <c r="I636" s="2559">
        <f t="shared" si="191"/>
        <v>0</v>
      </c>
      <c r="J636" s="2560"/>
      <c r="K636" s="279"/>
      <c r="L636" s="122" t="s">
        <v>456</v>
      </c>
      <c r="M636" s="170"/>
      <c r="N636" s="170"/>
      <c r="O636" s="2559"/>
      <c r="P636" s="2560"/>
      <c r="Q636" s="2559"/>
      <c r="R636" s="2560"/>
      <c r="S636" s="2559">
        <f t="shared" si="188"/>
        <v>0</v>
      </c>
      <c r="T636" s="2560"/>
      <c r="U636" s="45"/>
      <c r="V636" s="2839" t="s">
        <v>469</v>
      </c>
      <c r="W636" s="2840"/>
      <c r="X636" s="187"/>
      <c r="Y636" s="170"/>
      <c r="Z636" s="2559"/>
      <c r="AA636" s="2560"/>
      <c r="AB636" s="2559"/>
      <c r="AC636" s="2560"/>
      <c r="AD636" s="2559">
        <f t="shared" ref="AD636:AD643" si="192">Z636*AB636</f>
        <v>0</v>
      </c>
      <c r="AE636" s="2560"/>
      <c r="AF636" s="45"/>
      <c r="AG636" s="122" t="s">
        <v>456</v>
      </c>
      <c r="AH636" s="170"/>
      <c r="AI636" s="170"/>
      <c r="AJ636" s="2559"/>
      <c r="AK636" s="2560"/>
      <c r="AL636" s="2559"/>
      <c r="AM636" s="2560"/>
      <c r="AN636" s="2559">
        <f t="shared" si="189"/>
        <v>0</v>
      </c>
      <c r="AO636" s="2560"/>
    </row>
    <row r="637" spans="1:41" ht="15.95" customHeight="1" x14ac:dyDescent="0.3">
      <c r="A637" s="2839" t="s">
        <v>470</v>
      </c>
      <c r="B637" s="2840"/>
      <c r="C637" s="299"/>
      <c r="D637" s="120"/>
      <c r="E637" s="2559"/>
      <c r="F637" s="2560"/>
      <c r="G637" s="2559"/>
      <c r="H637" s="2560"/>
      <c r="I637" s="2559">
        <f t="shared" si="191"/>
        <v>0</v>
      </c>
      <c r="J637" s="2560"/>
      <c r="K637" s="279"/>
      <c r="L637" s="122" t="s">
        <v>871</v>
      </c>
      <c r="M637" s="170"/>
      <c r="N637" s="170"/>
      <c r="O637" s="2559"/>
      <c r="P637" s="2560"/>
      <c r="Q637" s="2559"/>
      <c r="R637" s="2560"/>
      <c r="S637" s="2559">
        <f t="shared" si="188"/>
        <v>0</v>
      </c>
      <c r="T637" s="2560"/>
      <c r="U637" s="45"/>
      <c r="V637" s="2839" t="s">
        <v>470</v>
      </c>
      <c r="W637" s="2840"/>
      <c r="X637" s="187"/>
      <c r="Y637" s="170"/>
      <c r="Z637" s="2559"/>
      <c r="AA637" s="2560"/>
      <c r="AB637" s="2559"/>
      <c r="AC637" s="2560"/>
      <c r="AD637" s="2559">
        <f t="shared" si="192"/>
        <v>0</v>
      </c>
      <c r="AE637" s="2560"/>
      <c r="AF637" s="45"/>
      <c r="AG637" s="122" t="s">
        <v>871</v>
      </c>
      <c r="AH637" s="170"/>
      <c r="AI637" s="170"/>
      <c r="AJ637" s="2559"/>
      <c r="AK637" s="2560"/>
      <c r="AL637" s="2559"/>
      <c r="AM637" s="2560"/>
      <c r="AN637" s="2559">
        <f t="shared" si="189"/>
        <v>0</v>
      </c>
      <c r="AO637" s="2560"/>
    </row>
    <row r="638" spans="1:41" ht="15.95" customHeight="1" x14ac:dyDescent="0.3">
      <c r="A638" s="2839" t="s">
        <v>902</v>
      </c>
      <c r="B638" s="2840"/>
      <c r="C638" s="170"/>
      <c r="D638" s="170"/>
      <c r="E638" s="2559"/>
      <c r="F638" s="2560"/>
      <c r="G638" s="2559"/>
      <c r="H638" s="2880"/>
      <c r="I638" s="2559">
        <f t="shared" si="191"/>
        <v>0</v>
      </c>
      <c r="J638" s="2560"/>
      <c r="K638" s="279"/>
      <c r="L638" s="122" t="s">
        <v>595</v>
      </c>
      <c r="M638" s="170"/>
      <c r="N638" s="170"/>
      <c r="O638" s="2559"/>
      <c r="P638" s="2560"/>
      <c r="Q638" s="2559"/>
      <c r="R638" s="2560"/>
      <c r="S638" s="2559">
        <f t="shared" si="188"/>
        <v>0</v>
      </c>
      <c r="T638" s="2560"/>
      <c r="U638" s="45"/>
      <c r="V638" s="2839" t="s">
        <v>1068</v>
      </c>
      <c r="W638" s="2840"/>
      <c r="X638" s="288"/>
      <c r="Y638" s="170"/>
      <c r="Z638" s="2559"/>
      <c r="AA638" s="2560"/>
      <c r="AB638" s="2559"/>
      <c r="AC638" s="2880"/>
      <c r="AD638" s="2559">
        <f t="shared" si="192"/>
        <v>0</v>
      </c>
      <c r="AE638" s="2560"/>
      <c r="AF638" s="45"/>
      <c r="AG638" s="122" t="s">
        <v>595</v>
      </c>
      <c r="AH638" s="170"/>
      <c r="AI638" s="170"/>
      <c r="AJ638" s="2559"/>
      <c r="AK638" s="2560"/>
      <c r="AL638" s="2559"/>
      <c r="AM638" s="2560"/>
      <c r="AN638" s="2559">
        <f t="shared" si="189"/>
        <v>0</v>
      </c>
      <c r="AO638" s="2560"/>
    </row>
    <row r="639" spans="1:41" ht="15.95" customHeight="1" x14ac:dyDescent="0.3">
      <c r="A639" s="2839" t="s">
        <v>998</v>
      </c>
      <c r="B639" s="2840"/>
      <c r="C639" s="170"/>
      <c r="D639" s="170"/>
      <c r="E639" s="2576"/>
      <c r="F639" s="2880"/>
      <c r="G639" s="2559"/>
      <c r="H639" s="2880"/>
      <c r="I639" s="2559">
        <f t="shared" si="191"/>
        <v>0</v>
      </c>
      <c r="J639" s="2560"/>
      <c r="K639" s="279"/>
      <c r="L639" s="122" t="s">
        <v>507</v>
      </c>
      <c r="M639" s="214"/>
      <c r="N639" s="120"/>
      <c r="O639" s="2559"/>
      <c r="P639" s="2560"/>
      <c r="Q639" s="2559"/>
      <c r="R639" s="2560"/>
      <c r="S639" s="2559">
        <f t="shared" si="188"/>
        <v>0</v>
      </c>
      <c r="T639" s="2560"/>
      <c r="U639" s="45"/>
      <c r="V639" s="2839" t="s">
        <v>998</v>
      </c>
      <c r="W639" s="2840"/>
      <c r="X639" s="187"/>
      <c r="Y639" s="170"/>
      <c r="Z639" s="2576"/>
      <c r="AA639" s="2880"/>
      <c r="AB639" s="2576"/>
      <c r="AC639" s="2880"/>
      <c r="AD639" s="2559">
        <f t="shared" si="192"/>
        <v>0</v>
      </c>
      <c r="AE639" s="2560"/>
      <c r="AF639" s="45"/>
      <c r="AG639" s="122" t="s">
        <v>507</v>
      </c>
      <c r="AH639" s="214"/>
      <c r="AI639" s="120"/>
      <c r="AJ639" s="2559"/>
      <c r="AK639" s="2560"/>
      <c r="AL639" s="2559"/>
      <c r="AM639" s="2560"/>
      <c r="AN639" s="2559">
        <f t="shared" si="189"/>
        <v>0</v>
      </c>
      <c r="AO639" s="2560"/>
    </row>
    <row r="640" spans="1:41" ht="15.95" customHeight="1" x14ac:dyDescent="0.3">
      <c r="A640" s="2839" t="s">
        <v>999</v>
      </c>
      <c r="B640" s="2840"/>
      <c r="C640" s="187"/>
      <c r="D640" s="170"/>
      <c r="E640" s="2576"/>
      <c r="F640" s="2880"/>
      <c r="G640" s="2576"/>
      <c r="H640" s="2880"/>
      <c r="I640" s="2559">
        <f t="shared" si="191"/>
        <v>0</v>
      </c>
      <c r="J640" s="2560"/>
      <c r="K640" s="279"/>
      <c r="L640" s="122" t="s">
        <v>801</v>
      </c>
      <c r="M640" s="170"/>
      <c r="N640" s="170"/>
      <c r="O640" s="2559"/>
      <c r="P640" s="2560"/>
      <c r="Q640" s="2559"/>
      <c r="R640" s="2560"/>
      <c r="S640" s="2559">
        <f t="shared" si="188"/>
        <v>0</v>
      </c>
      <c r="T640" s="2560"/>
      <c r="U640" s="45"/>
      <c r="V640" s="2839" t="s">
        <v>999</v>
      </c>
      <c r="W640" s="2840"/>
      <c r="X640" s="187"/>
      <c r="Y640" s="170"/>
      <c r="Z640" s="2576"/>
      <c r="AA640" s="2880"/>
      <c r="AB640" s="2576"/>
      <c r="AC640" s="2880"/>
      <c r="AD640" s="2559">
        <f t="shared" si="192"/>
        <v>0</v>
      </c>
      <c r="AE640" s="2560"/>
      <c r="AF640" s="45"/>
      <c r="AG640" s="122" t="s">
        <v>801</v>
      </c>
      <c r="AH640" s="170"/>
      <c r="AI640" s="170"/>
      <c r="AJ640" s="2559"/>
      <c r="AK640" s="2560"/>
      <c r="AL640" s="2559"/>
      <c r="AM640" s="2560"/>
      <c r="AN640" s="2559">
        <f t="shared" si="189"/>
        <v>0</v>
      </c>
      <c r="AO640" s="2560"/>
    </row>
    <row r="641" spans="1:41" ht="15.95" customHeight="1" x14ac:dyDescent="0.3">
      <c r="A641" s="2839" t="s">
        <v>873</v>
      </c>
      <c r="B641" s="2840"/>
      <c r="C641" s="120"/>
      <c r="D641" s="170"/>
      <c r="E641" s="2576"/>
      <c r="F641" s="2880"/>
      <c r="G641" s="2576"/>
      <c r="H641" s="2880"/>
      <c r="I641" s="2559">
        <f t="shared" si="191"/>
        <v>0</v>
      </c>
      <c r="J641" s="2560"/>
      <c r="K641" s="279"/>
      <c r="L641" s="122" t="s">
        <v>575</v>
      </c>
      <c r="M641" s="170"/>
      <c r="N641" s="170"/>
      <c r="O641" s="2559"/>
      <c r="P641" s="2560"/>
      <c r="Q641" s="2559"/>
      <c r="R641" s="2560"/>
      <c r="S641" s="2559">
        <f t="shared" si="188"/>
        <v>0</v>
      </c>
      <c r="T641" s="2560"/>
      <c r="U641" s="45"/>
      <c r="V641" s="2839" t="s">
        <v>873</v>
      </c>
      <c r="W641" s="2840"/>
      <c r="X641" s="187"/>
      <c r="Y641" s="170"/>
      <c r="Z641" s="2576"/>
      <c r="AA641" s="2880"/>
      <c r="AB641" s="2576"/>
      <c r="AC641" s="2880"/>
      <c r="AD641" s="2559">
        <f t="shared" si="192"/>
        <v>0</v>
      </c>
      <c r="AE641" s="2560"/>
      <c r="AF641" s="45"/>
      <c r="AG641" s="122" t="s">
        <v>575</v>
      </c>
      <c r="AH641" s="170"/>
      <c r="AI641" s="170"/>
      <c r="AJ641" s="2559"/>
      <c r="AK641" s="2560"/>
      <c r="AL641" s="2559"/>
      <c r="AM641" s="2560"/>
      <c r="AN641" s="2559">
        <f t="shared" si="189"/>
        <v>0</v>
      </c>
      <c r="AO641" s="2560"/>
    </row>
    <row r="642" spans="1:41" ht="15.95" customHeight="1" x14ac:dyDescent="0.3">
      <c r="A642" s="2839" t="s">
        <v>1000</v>
      </c>
      <c r="B642" s="2840"/>
      <c r="C642" s="187"/>
      <c r="D642" s="170"/>
      <c r="E642" s="2576"/>
      <c r="F642" s="2880"/>
      <c r="G642" s="2576"/>
      <c r="H642" s="2880"/>
      <c r="I642" s="2559">
        <f t="shared" si="191"/>
        <v>0</v>
      </c>
      <c r="J642" s="2560"/>
      <c r="K642" s="279"/>
      <c r="L642" s="122" t="s">
        <v>874</v>
      </c>
      <c r="M642" s="170"/>
      <c r="N642" s="170"/>
      <c r="O642" s="2559"/>
      <c r="P642" s="2560"/>
      <c r="Q642" s="2559"/>
      <c r="R642" s="2560"/>
      <c r="S642" s="2559">
        <f t="shared" si="188"/>
        <v>0</v>
      </c>
      <c r="T642" s="2560"/>
      <c r="U642" s="45"/>
      <c r="V642" s="2839" t="s">
        <v>1000</v>
      </c>
      <c r="W642" s="2840"/>
      <c r="X642" s="187"/>
      <c r="Y642" s="170"/>
      <c r="Z642" s="2576"/>
      <c r="AA642" s="2880"/>
      <c r="AB642" s="2576"/>
      <c r="AC642" s="2880"/>
      <c r="AD642" s="2559">
        <f t="shared" si="192"/>
        <v>0</v>
      </c>
      <c r="AE642" s="2560"/>
      <c r="AF642" s="45"/>
      <c r="AG642" s="122" t="s">
        <v>874</v>
      </c>
      <c r="AH642" s="170"/>
      <c r="AI642" s="170"/>
      <c r="AJ642" s="2559"/>
      <c r="AK642" s="2560"/>
      <c r="AL642" s="2559"/>
      <c r="AM642" s="2560"/>
      <c r="AN642" s="2559">
        <f t="shared" si="189"/>
        <v>0</v>
      </c>
      <c r="AO642" s="2560"/>
    </row>
    <row r="643" spans="1:41" ht="15.95" customHeight="1" x14ac:dyDescent="0.3">
      <c r="A643" s="2839" t="s">
        <v>504</v>
      </c>
      <c r="B643" s="2840"/>
      <c r="C643" s="187"/>
      <c r="D643" s="170"/>
      <c r="E643" s="2576"/>
      <c r="F643" s="2880"/>
      <c r="G643" s="2576"/>
      <c r="H643" s="2880"/>
      <c r="I643" s="2559">
        <f t="shared" si="191"/>
        <v>0</v>
      </c>
      <c r="J643" s="2560"/>
      <c r="K643" s="279"/>
      <c r="L643" s="196" t="s">
        <v>515</v>
      </c>
      <c r="M643" s="120"/>
      <c r="N643" s="120"/>
      <c r="O643" s="2643"/>
      <c r="P643" s="2643"/>
      <c r="Q643" s="2643"/>
      <c r="R643" s="2643"/>
      <c r="S643" s="2559">
        <f t="shared" si="188"/>
        <v>0</v>
      </c>
      <c r="T643" s="2560"/>
      <c r="U643" s="45"/>
      <c r="V643" s="2839" t="s">
        <v>504</v>
      </c>
      <c r="W643" s="2840"/>
      <c r="X643" s="187"/>
      <c r="Y643" s="170"/>
      <c r="Z643" s="2576"/>
      <c r="AA643" s="2880"/>
      <c r="AB643" s="2576"/>
      <c r="AC643" s="2880"/>
      <c r="AD643" s="2559">
        <f t="shared" si="192"/>
        <v>0</v>
      </c>
      <c r="AE643" s="2560"/>
      <c r="AF643" s="45"/>
      <c r="AG643" s="196" t="s">
        <v>515</v>
      </c>
      <c r="AH643" s="120"/>
      <c r="AI643" s="120"/>
      <c r="AJ643" s="2643"/>
      <c r="AK643" s="2643"/>
      <c r="AL643" s="2643"/>
      <c r="AM643" s="2643"/>
      <c r="AN643" s="2559">
        <f t="shared" si="189"/>
        <v>0</v>
      </c>
      <c r="AO643" s="2560"/>
    </row>
    <row r="644" spans="1:41" ht="15.95" customHeight="1" x14ac:dyDescent="0.35">
      <c r="A644" s="2911" t="s">
        <v>1001</v>
      </c>
      <c r="B644" s="2912"/>
      <c r="C644" s="187"/>
      <c r="D644" s="170"/>
      <c r="E644" s="2576"/>
      <c r="F644" s="2880"/>
      <c r="G644" s="2576"/>
      <c r="H644" s="2880"/>
      <c r="I644" s="2565">
        <f>SUM(I645:J662)</f>
        <v>893000</v>
      </c>
      <c r="J644" s="2892"/>
      <c r="K644" s="279"/>
      <c r="L644" s="196"/>
      <c r="M644" s="197"/>
      <c r="N644" s="120"/>
      <c r="O644" s="2643"/>
      <c r="P644" s="2643"/>
      <c r="Q644" s="2643"/>
      <c r="R644" s="2643"/>
      <c r="S644" s="2559"/>
      <c r="T644" s="2560"/>
      <c r="U644" s="45"/>
      <c r="V644" s="2911" t="s">
        <v>1001</v>
      </c>
      <c r="W644" s="2912"/>
      <c r="X644" s="187"/>
      <c r="Y644" s="170"/>
      <c r="Z644" s="2576"/>
      <c r="AA644" s="2880"/>
      <c r="AB644" s="2576"/>
      <c r="AC644" s="2880"/>
      <c r="AD644" s="2565">
        <f>SUM(AD645:AE662)</f>
        <v>658000</v>
      </c>
      <c r="AE644" s="2892"/>
      <c r="AF644" s="45"/>
      <c r="AG644" s="196" t="s">
        <v>1093</v>
      </c>
      <c r="AH644" s="120"/>
      <c r="AI644" s="120"/>
      <c r="AJ644" s="2643"/>
      <c r="AK644" s="2643"/>
      <c r="AL644" s="2643"/>
      <c r="AM644" s="2643"/>
      <c r="AN644" s="2559">
        <f t="shared" si="189"/>
        <v>0</v>
      </c>
      <c r="AO644" s="2560"/>
    </row>
    <row r="645" spans="1:41" ht="15.95" customHeight="1" x14ac:dyDescent="0.2">
      <c r="A645" s="2839" t="s">
        <v>852</v>
      </c>
      <c r="B645" s="2840"/>
      <c r="C645" s="170" t="s">
        <v>496</v>
      </c>
      <c r="D645" s="170" t="s">
        <v>497</v>
      </c>
      <c r="E645" s="2559">
        <v>7</v>
      </c>
      <c r="F645" s="2560"/>
      <c r="G645" s="2559">
        <v>47000</v>
      </c>
      <c r="H645" s="2560">
        <f t="shared" ref="H645" si="193">(36040*6%)+36040</f>
        <v>38202.400000000001</v>
      </c>
      <c r="I645" s="2559">
        <f t="shared" ref="I645:I662" si="194">E645*G645</f>
        <v>329000</v>
      </c>
      <c r="J645" s="2560"/>
      <c r="K645" s="279"/>
      <c r="L645" s="199" t="s">
        <v>876</v>
      </c>
      <c r="M645" s="53"/>
      <c r="N645" s="200"/>
      <c r="O645" s="2893"/>
      <c r="P645" s="2893"/>
      <c r="Q645" s="2893"/>
      <c r="R645" s="2893"/>
      <c r="S645" s="2894">
        <f>SUM(S627:T643)</f>
        <v>3324035.7176000001</v>
      </c>
      <c r="T645" s="2894"/>
      <c r="U645" s="45"/>
      <c r="V645" s="2839" t="s">
        <v>852</v>
      </c>
      <c r="W645" s="2840"/>
      <c r="X645" s="187"/>
      <c r="Y645" s="170"/>
      <c r="Z645" s="2559"/>
      <c r="AA645" s="2560"/>
      <c r="AB645" s="2559"/>
      <c r="AC645" s="2560"/>
      <c r="AD645" s="2559">
        <f t="shared" ref="AD645:AD662" si="195">Z645*AB645</f>
        <v>0</v>
      </c>
      <c r="AE645" s="2560"/>
      <c r="AF645" s="45"/>
      <c r="AG645" s="199" t="s">
        <v>876</v>
      </c>
      <c r="AH645" s="53"/>
      <c r="AI645" s="200"/>
      <c r="AJ645" s="2893"/>
      <c r="AK645" s="2893"/>
      <c r="AL645" s="2893"/>
      <c r="AM645" s="2893"/>
      <c r="AN645" s="2894">
        <f>SUM(AN627:AO643)</f>
        <v>1606859.6576</v>
      </c>
      <c r="AO645" s="2894"/>
    </row>
    <row r="646" spans="1:41" ht="15.95" customHeight="1" x14ac:dyDescent="0.2">
      <c r="A646" s="2839" t="s">
        <v>495</v>
      </c>
      <c r="B646" s="2840"/>
      <c r="C646" s="170"/>
      <c r="D646" s="170"/>
      <c r="E646" s="2559"/>
      <c r="F646" s="2560"/>
      <c r="G646" s="2559"/>
      <c r="H646" s="2560"/>
      <c r="I646" s="2559">
        <f t="shared" si="194"/>
        <v>0</v>
      </c>
      <c r="J646" s="2560"/>
      <c r="K646" s="279"/>
      <c r="L646" s="148"/>
      <c r="M646" s="197"/>
      <c r="N646" s="120"/>
      <c r="O646" s="2643"/>
      <c r="P646" s="2643"/>
      <c r="Q646" s="2643"/>
      <c r="R646" s="2643"/>
      <c r="S646" s="2643"/>
      <c r="T646" s="2643"/>
      <c r="U646" s="45"/>
      <c r="V646" s="2839" t="s">
        <v>495</v>
      </c>
      <c r="W646" s="2840"/>
      <c r="X646" s="187"/>
      <c r="Y646" s="170"/>
      <c r="Z646" s="2559"/>
      <c r="AA646" s="2560"/>
      <c r="AB646" s="2559"/>
      <c r="AC646" s="2560"/>
      <c r="AD646" s="2559">
        <f t="shared" si="195"/>
        <v>0</v>
      </c>
      <c r="AE646" s="2560"/>
      <c r="AF646" s="45"/>
      <c r="AG646" s="148"/>
      <c r="AH646" s="197"/>
      <c r="AI646" s="120"/>
      <c r="AJ646" s="2643"/>
      <c r="AK646" s="2643"/>
      <c r="AL646" s="2643"/>
      <c r="AM646" s="2643"/>
      <c r="AN646" s="2643"/>
      <c r="AO646" s="2643"/>
    </row>
    <row r="647" spans="1:41" ht="15.95" customHeight="1" x14ac:dyDescent="0.3">
      <c r="A647" s="2839" t="s">
        <v>1003</v>
      </c>
      <c r="B647" s="2840"/>
      <c r="C647" s="170"/>
      <c r="D647" s="170"/>
      <c r="E647" s="2576"/>
      <c r="F647" s="2880"/>
      <c r="G647" s="2559"/>
      <c r="H647" s="2880"/>
      <c r="I647" s="2559">
        <f t="shared" si="194"/>
        <v>0</v>
      </c>
      <c r="J647" s="2560"/>
      <c r="K647" s="279"/>
      <c r="L647" s="144" t="s">
        <v>577</v>
      </c>
      <c r="M647" s="145"/>
      <c r="N647" s="145"/>
      <c r="O647" s="2890"/>
      <c r="P647" s="2890"/>
      <c r="Q647" s="2890"/>
      <c r="R647" s="2890"/>
      <c r="S647" s="2890"/>
      <c r="T647" s="2891"/>
      <c r="U647" s="45"/>
      <c r="V647" s="2839" t="s">
        <v>1003</v>
      </c>
      <c r="W647" s="2840"/>
      <c r="X647" s="187"/>
      <c r="Y647" s="170"/>
      <c r="Z647" s="2576"/>
      <c r="AA647" s="2880"/>
      <c r="AB647" s="2576"/>
      <c r="AC647" s="2880"/>
      <c r="AD647" s="2559">
        <f t="shared" si="195"/>
        <v>0</v>
      </c>
      <c r="AE647" s="2560"/>
      <c r="AF647" s="45"/>
      <c r="AG647" s="144" t="s">
        <v>577</v>
      </c>
      <c r="AH647" s="145"/>
      <c r="AI647" s="145"/>
      <c r="AJ647" s="2890"/>
      <c r="AK647" s="2890"/>
      <c r="AL647" s="2890"/>
      <c r="AM647" s="2890"/>
      <c r="AN647" s="2890"/>
      <c r="AO647" s="2891"/>
    </row>
    <row r="648" spans="1:41" ht="15.95" customHeight="1" x14ac:dyDescent="0.3">
      <c r="A648" s="2839" t="s">
        <v>1004</v>
      </c>
      <c r="B648" s="2840"/>
      <c r="C648" s="187"/>
      <c r="D648" s="170"/>
      <c r="E648" s="2576"/>
      <c r="F648" s="2880"/>
      <c r="G648" s="2576"/>
      <c r="H648" s="2880"/>
      <c r="I648" s="2559">
        <f t="shared" si="194"/>
        <v>0</v>
      </c>
      <c r="J648" s="2560"/>
      <c r="K648" s="279"/>
      <c r="L648" s="148" t="s">
        <v>1005</v>
      </c>
      <c r="M648" s="296"/>
      <c r="N648" s="45"/>
      <c r="O648" s="2575"/>
      <c r="P648" s="2575"/>
      <c r="Q648" s="2575"/>
      <c r="R648" s="2575"/>
      <c r="S648" s="2575">
        <f>(S645+I670)*0.03</f>
        <v>143399.1605808</v>
      </c>
      <c r="T648" s="2560"/>
      <c r="U648" s="45"/>
      <c r="V648" s="2839" t="s">
        <v>1004</v>
      </c>
      <c r="W648" s="2840"/>
      <c r="X648" s="187"/>
      <c r="Y648" s="170"/>
      <c r="Z648" s="2576"/>
      <c r="AA648" s="2880"/>
      <c r="AB648" s="2576"/>
      <c r="AC648" s="2880"/>
      <c r="AD648" s="2559">
        <f t="shared" si="195"/>
        <v>0</v>
      </c>
      <c r="AE648" s="2560"/>
      <c r="AF648" s="45"/>
      <c r="AG648" s="148" t="s">
        <v>1005</v>
      </c>
      <c r="AH648" s="296"/>
      <c r="AI648" s="45"/>
      <c r="AJ648" s="2575"/>
      <c r="AK648" s="2575"/>
      <c r="AL648" s="2575"/>
      <c r="AM648" s="2575"/>
      <c r="AN648" s="2575">
        <f>(AN645+AD670)*0.04</f>
        <v>132656.45118336001</v>
      </c>
      <c r="AO648" s="2560"/>
    </row>
    <row r="649" spans="1:41" ht="15.95" customHeight="1" x14ac:dyDescent="0.3">
      <c r="A649" s="2839" t="s">
        <v>1006</v>
      </c>
      <c r="B649" s="2840"/>
      <c r="C649" s="187"/>
      <c r="D649" s="170"/>
      <c r="E649" s="2576"/>
      <c r="F649" s="2880"/>
      <c r="G649" s="2576"/>
      <c r="H649" s="2880"/>
      <c r="I649" s="2559">
        <f t="shared" si="194"/>
        <v>0</v>
      </c>
      <c r="J649" s="2560"/>
      <c r="K649" s="279"/>
      <c r="L649" s="151" t="s">
        <v>527</v>
      </c>
      <c r="M649" s="45"/>
      <c r="N649" s="45"/>
      <c r="O649" s="2575"/>
      <c r="P649" s="2575"/>
      <c r="Q649" s="2575"/>
      <c r="R649" s="2575"/>
      <c r="S649" s="2575"/>
      <c r="T649" s="2560"/>
      <c r="U649" s="45"/>
      <c r="V649" s="2839" t="s">
        <v>1006</v>
      </c>
      <c r="W649" s="2840"/>
      <c r="X649" s="187"/>
      <c r="Y649" s="170"/>
      <c r="Z649" s="2576"/>
      <c r="AA649" s="2880"/>
      <c r="AB649" s="2576"/>
      <c r="AC649" s="2880"/>
      <c r="AD649" s="2559">
        <f t="shared" si="195"/>
        <v>0</v>
      </c>
      <c r="AE649" s="2560"/>
      <c r="AF649" s="45"/>
      <c r="AG649" s="151" t="s">
        <v>527</v>
      </c>
      <c r="AH649" s="45"/>
      <c r="AI649" s="45"/>
      <c r="AJ649" s="2575"/>
      <c r="AK649" s="2575"/>
      <c r="AL649" s="2575"/>
      <c r="AM649" s="2575"/>
      <c r="AN649" s="2575"/>
      <c r="AO649" s="2560"/>
    </row>
    <row r="650" spans="1:41" ht="15.95" customHeight="1" x14ac:dyDescent="0.3">
      <c r="A650" s="2839" t="s">
        <v>1007</v>
      </c>
      <c r="B650" s="2840"/>
      <c r="C650" s="187"/>
      <c r="D650" s="170"/>
      <c r="E650" s="2576"/>
      <c r="F650" s="2880"/>
      <c r="G650" s="2576"/>
      <c r="H650" s="2880"/>
      <c r="I650" s="2559">
        <f t="shared" si="194"/>
        <v>0</v>
      </c>
      <c r="J650" s="2560"/>
      <c r="K650" s="279"/>
      <c r="L650" s="152" t="s">
        <v>529</v>
      </c>
      <c r="M650" s="45"/>
      <c r="N650" s="45"/>
      <c r="O650" s="2575"/>
      <c r="P650" s="2575"/>
      <c r="Q650" s="2575"/>
      <c r="R650" s="2575"/>
      <c r="S650" s="2575"/>
      <c r="T650" s="2560"/>
      <c r="U650" s="45"/>
      <c r="V650" s="2839" t="s">
        <v>1007</v>
      </c>
      <c r="W650" s="2840"/>
      <c r="X650" s="187"/>
      <c r="Y650" s="170"/>
      <c r="Z650" s="2576"/>
      <c r="AA650" s="2880"/>
      <c r="AB650" s="2576"/>
      <c r="AC650" s="2880"/>
      <c r="AD650" s="2559">
        <f t="shared" si="195"/>
        <v>0</v>
      </c>
      <c r="AE650" s="2560"/>
      <c r="AF650" s="45"/>
      <c r="AG650" s="152" t="s">
        <v>529</v>
      </c>
      <c r="AH650" s="45"/>
      <c r="AI650" s="45"/>
      <c r="AJ650" s="2575"/>
      <c r="AK650" s="2575"/>
      <c r="AL650" s="2575"/>
      <c r="AM650" s="2575"/>
      <c r="AN650" s="2575"/>
      <c r="AO650" s="2560"/>
    </row>
    <row r="651" spans="1:41" ht="15.95" customHeight="1" x14ac:dyDescent="0.3">
      <c r="A651" s="2839" t="s">
        <v>1008</v>
      </c>
      <c r="B651" s="2840"/>
      <c r="C651" s="170"/>
      <c r="D651" s="170"/>
      <c r="E651" s="2576"/>
      <c r="F651" s="2880"/>
      <c r="G651" s="2559"/>
      <c r="H651" s="2880"/>
      <c r="I651" s="2559">
        <f t="shared" si="194"/>
        <v>0</v>
      </c>
      <c r="J651" s="2560"/>
      <c r="K651" s="279"/>
      <c r="L651" s="152" t="s">
        <v>726</v>
      </c>
      <c r="M651" s="45"/>
      <c r="N651" s="45"/>
      <c r="O651" s="2575"/>
      <c r="P651" s="2575"/>
      <c r="Q651" s="2575"/>
      <c r="R651" s="2575"/>
      <c r="S651" s="2575"/>
      <c r="T651" s="2560"/>
      <c r="U651" s="45"/>
      <c r="V651" s="2839" t="s">
        <v>1008</v>
      </c>
      <c r="W651" s="2840"/>
      <c r="X651" s="120"/>
      <c r="Y651" s="170"/>
      <c r="Z651" s="2576"/>
      <c r="AA651" s="2880"/>
      <c r="AB651" s="2576"/>
      <c r="AC651" s="2880"/>
      <c r="AD651" s="2559">
        <f t="shared" si="195"/>
        <v>0</v>
      </c>
      <c r="AE651" s="2560"/>
      <c r="AF651" s="45"/>
      <c r="AG651" s="152" t="s">
        <v>726</v>
      </c>
      <c r="AH651" s="45"/>
      <c r="AI651" s="45"/>
      <c r="AJ651" s="2575"/>
      <c r="AK651" s="2575"/>
      <c r="AL651" s="2575"/>
      <c r="AM651" s="2575"/>
      <c r="AN651" s="2575"/>
      <c r="AO651" s="2560"/>
    </row>
    <row r="652" spans="1:41" ht="15.95" customHeight="1" x14ac:dyDescent="0.3">
      <c r="A652" s="2839" t="s">
        <v>1009</v>
      </c>
      <c r="B652" s="2840"/>
      <c r="C652" s="170"/>
      <c r="D652" s="170"/>
      <c r="E652" s="2576"/>
      <c r="F652" s="2880"/>
      <c r="G652" s="2559"/>
      <c r="H652" s="2918"/>
      <c r="I652" s="2559">
        <f t="shared" si="194"/>
        <v>0</v>
      </c>
      <c r="J652" s="2560"/>
      <c r="K652" s="279"/>
      <c r="L652" s="166" t="s">
        <v>504</v>
      </c>
      <c r="M652" s="155"/>
      <c r="N652" s="155"/>
      <c r="O652" s="2557"/>
      <c r="P652" s="2557"/>
      <c r="Q652" s="2557"/>
      <c r="R652" s="2557"/>
      <c r="S652" s="2557">
        <f>50000*1.0928</f>
        <v>54640</v>
      </c>
      <c r="T652" s="2558"/>
      <c r="U652" s="45"/>
      <c r="V652" s="2839" t="s">
        <v>1009</v>
      </c>
      <c r="W652" s="2840"/>
      <c r="X652" s="187"/>
      <c r="Y652" s="170"/>
      <c r="Z652" s="2576"/>
      <c r="AA652" s="2880"/>
      <c r="AB652" s="2576"/>
      <c r="AC652" s="2880"/>
      <c r="AD652" s="2559">
        <f t="shared" si="195"/>
        <v>0</v>
      </c>
      <c r="AE652" s="2560"/>
      <c r="AF652" s="45"/>
      <c r="AG652" s="166" t="s">
        <v>504</v>
      </c>
      <c r="AH652" s="155"/>
      <c r="AI652" s="155"/>
      <c r="AJ652" s="2557"/>
      <c r="AK652" s="2557"/>
      <c r="AL652" s="2557"/>
      <c r="AM652" s="2557"/>
      <c r="AN652" s="2557">
        <f>100000*1.0928</f>
        <v>109280</v>
      </c>
      <c r="AO652" s="2558"/>
    </row>
    <row r="653" spans="1:41" ht="15.95" customHeight="1" x14ac:dyDescent="0.3">
      <c r="A653" s="2839" t="s">
        <v>1010</v>
      </c>
      <c r="B653" s="2840"/>
      <c r="C653" s="170"/>
      <c r="D653" s="170"/>
      <c r="E653" s="2576"/>
      <c r="F653" s="2880"/>
      <c r="G653" s="2559"/>
      <c r="H653" s="2918"/>
      <c r="I653" s="2559">
        <f t="shared" si="194"/>
        <v>0</v>
      </c>
      <c r="J653" s="2560"/>
      <c r="K653" s="279"/>
      <c r="L653" s="156" t="s">
        <v>533</v>
      </c>
      <c r="M653" s="201"/>
      <c r="N653" s="201"/>
      <c r="O653" s="2885"/>
      <c r="P653" s="2885"/>
      <c r="Q653" s="2886"/>
      <c r="R653" s="2886"/>
      <c r="S653" s="2887">
        <f>SUM(S648:T652)</f>
        <v>198039.1605808</v>
      </c>
      <c r="T653" s="2887"/>
      <c r="U653" s="45"/>
      <c r="V653" s="2839" t="s">
        <v>1090</v>
      </c>
      <c r="W653" s="2840"/>
      <c r="X653" s="288"/>
      <c r="Y653" s="170"/>
      <c r="Z653" s="2576"/>
      <c r="AA653" s="2880"/>
      <c r="AB653" s="2576"/>
      <c r="AC653" s="2880"/>
      <c r="AD653" s="2559">
        <f t="shared" si="195"/>
        <v>0</v>
      </c>
      <c r="AE653" s="2560"/>
      <c r="AF653" s="45"/>
      <c r="AG653" s="156" t="s">
        <v>533</v>
      </c>
      <c r="AH653" s="201"/>
      <c r="AI653" s="201"/>
      <c r="AJ653" s="2885"/>
      <c r="AK653" s="2885"/>
      <c r="AL653" s="2886"/>
      <c r="AM653" s="2886"/>
      <c r="AN653" s="2887">
        <f>SUM(AN648:AO652)</f>
        <v>241936.45118336001</v>
      </c>
      <c r="AO653" s="2887"/>
    </row>
    <row r="654" spans="1:41" ht="15.95" customHeight="1" x14ac:dyDescent="0.3">
      <c r="A654" s="2839" t="s">
        <v>1011</v>
      </c>
      <c r="B654" s="2840"/>
      <c r="C654" s="120"/>
      <c r="D654" s="170"/>
      <c r="E654" s="2576"/>
      <c r="F654" s="2880"/>
      <c r="G654" s="2576"/>
      <c r="H654" s="2880"/>
      <c r="I654" s="2559">
        <f t="shared" si="194"/>
        <v>0</v>
      </c>
      <c r="J654" s="2560"/>
      <c r="K654" s="279"/>
      <c r="L654" s="159"/>
      <c r="M654" s="45"/>
      <c r="N654" s="45"/>
      <c r="O654" s="2575"/>
      <c r="P654" s="2575"/>
      <c r="Q654" s="2575"/>
      <c r="R654" s="2575"/>
      <c r="S654" s="2575"/>
      <c r="T654" s="2560"/>
      <c r="U654" s="45"/>
      <c r="V654" s="2839" t="s">
        <v>1011</v>
      </c>
      <c r="W654" s="2840"/>
      <c r="X654" s="187"/>
      <c r="Y654" s="170"/>
      <c r="Z654" s="2576"/>
      <c r="AA654" s="2880"/>
      <c r="AB654" s="2576"/>
      <c r="AC654" s="2880"/>
      <c r="AD654" s="2559">
        <f t="shared" si="195"/>
        <v>0</v>
      </c>
      <c r="AE654" s="2560"/>
      <c r="AF654" s="45"/>
      <c r="AG654" s="159"/>
      <c r="AH654" s="45"/>
      <c r="AI654" s="45"/>
      <c r="AJ654" s="2575"/>
      <c r="AK654" s="2575"/>
      <c r="AL654" s="2575"/>
      <c r="AM654" s="2575"/>
      <c r="AN654" s="2575"/>
      <c r="AO654" s="2560"/>
    </row>
    <row r="655" spans="1:41" ht="15.95" customHeight="1" thickBot="1" x14ac:dyDescent="0.35">
      <c r="A655" s="2839" t="s">
        <v>1012</v>
      </c>
      <c r="B655" s="2840"/>
      <c r="C655" s="120"/>
      <c r="D655" s="120"/>
      <c r="E655" s="2576"/>
      <c r="F655" s="2880"/>
      <c r="G655" s="2576"/>
      <c r="H655" s="2880"/>
      <c r="I655" s="2559">
        <f t="shared" si="194"/>
        <v>0</v>
      </c>
      <c r="J655" s="2560"/>
      <c r="K655" s="279"/>
      <c r="L655" s="160" t="s">
        <v>583</v>
      </c>
      <c r="M655" s="205"/>
      <c r="N655" s="205"/>
      <c r="O655" s="205"/>
      <c r="P655" s="205"/>
      <c r="Q655" s="161"/>
      <c r="R655" s="161"/>
      <c r="S655" s="2580">
        <f>SUM(S653+S645+I670)</f>
        <v>4978011.1799408002</v>
      </c>
      <c r="T655" s="2581"/>
      <c r="U655" s="45"/>
      <c r="V655" s="2839" t="s">
        <v>1012</v>
      </c>
      <c r="W655" s="2840"/>
      <c r="X655" s="120"/>
      <c r="Y655" s="170"/>
      <c r="Z655" s="2576"/>
      <c r="AA655" s="2880"/>
      <c r="AB655" s="2576"/>
      <c r="AC655" s="2880"/>
      <c r="AD655" s="2559">
        <f t="shared" si="195"/>
        <v>0</v>
      </c>
      <c r="AE655" s="2560"/>
      <c r="AF655" s="45"/>
      <c r="AG655" s="160" t="s">
        <v>583</v>
      </c>
      <c r="AH655" s="205"/>
      <c r="AI655" s="205"/>
      <c r="AJ655" s="205"/>
      <c r="AK655" s="205"/>
      <c r="AL655" s="161"/>
      <c r="AM655" s="161"/>
      <c r="AN655" s="2580">
        <f>SUM(AN653+AN645+AD670)</f>
        <v>3558347.73076736</v>
      </c>
      <c r="AO655" s="2581"/>
    </row>
    <row r="656" spans="1:41" ht="15.95" customHeight="1" x14ac:dyDescent="0.2">
      <c r="A656" s="2839" t="s">
        <v>1052</v>
      </c>
      <c r="B656" s="2840"/>
      <c r="C656" s="170" t="s">
        <v>496</v>
      </c>
      <c r="D656" s="170" t="s">
        <v>497</v>
      </c>
      <c r="E656" s="2559">
        <v>6</v>
      </c>
      <c r="F656" s="2560"/>
      <c r="G656" s="2559">
        <v>47000</v>
      </c>
      <c r="H656" s="2560">
        <f t="shared" ref="H656" si="196">(36040*6%)+36040</f>
        <v>38202.400000000001</v>
      </c>
      <c r="I656" s="2559">
        <f t="shared" si="194"/>
        <v>282000</v>
      </c>
      <c r="J656" s="2560"/>
      <c r="K656" s="284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2839" t="s">
        <v>1018</v>
      </c>
      <c r="W656" s="2840"/>
      <c r="X656" s="120" t="s">
        <v>496</v>
      </c>
      <c r="Y656" s="170" t="s">
        <v>497</v>
      </c>
      <c r="Z656" s="2559">
        <v>10</v>
      </c>
      <c r="AA656" s="2560"/>
      <c r="AB656" s="2559">
        <v>47000</v>
      </c>
      <c r="AC656" s="2560">
        <f t="shared" ref="AC656" si="197">(36040*6%)+36040</f>
        <v>38202.400000000001</v>
      </c>
      <c r="AD656" s="2559">
        <f t="shared" si="195"/>
        <v>470000</v>
      </c>
      <c r="AE656" s="2560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</row>
    <row r="657" spans="1:41" ht="15.95" customHeight="1" x14ac:dyDescent="0.3">
      <c r="A657" s="2839" t="s">
        <v>1019</v>
      </c>
      <c r="B657" s="2840"/>
      <c r="C657" s="120"/>
      <c r="D657" s="120"/>
      <c r="E657" s="2576"/>
      <c r="F657" s="2880"/>
      <c r="G657" s="2559"/>
      <c r="H657" s="2918"/>
      <c r="I657" s="2559">
        <f t="shared" si="194"/>
        <v>0</v>
      </c>
      <c r="J657" s="2560"/>
      <c r="K657" s="279"/>
      <c r="L657" s="7" t="s">
        <v>1528</v>
      </c>
      <c r="M657" s="45"/>
      <c r="N657" s="45"/>
      <c r="O657" s="45"/>
      <c r="P657" s="45"/>
      <c r="Q657" s="45"/>
      <c r="R657" s="45"/>
      <c r="S657" s="45"/>
      <c r="T657" s="45"/>
      <c r="U657" s="45"/>
      <c r="V657" s="2839" t="s">
        <v>1019</v>
      </c>
      <c r="W657" s="2840"/>
      <c r="X657" s="120"/>
      <c r="Y657" s="170"/>
      <c r="Z657" s="2576"/>
      <c r="AA657" s="2880"/>
      <c r="AB657" s="2576"/>
      <c r="AC657" s="2880"/>
      <c r="AD657" s="2559">
        <f t="shared" si="195"/>
        <v>0</v>
      </c>
      <c r="AE657" s="2560"/>
      <c r="AF657" s="45"/>
      <c r="AG657" s="7" t="s">
        <v>1528</v>
      </c>
      <c r="AH657" s="45"/>
      <c r="AI657" s="45"/>
      <c r="AJ657" s="45"/>
      <c r="AK657" s="45"/>
      <c r="AL657" s="45"/>
      <c r="AM657" s="45"/>
      <c r="AN657" s="45"/>
      <c r="AO657" s="45"/>
    </row>
    <row r="658" spans="1:41" ht="15.95" customHeight="1" x14ac:dyDescent="0.3">
      <c r="A658" s="2839" t="s">
        <v>1020</v>
      </c>
      <c r="B658" s="2840"/>
      <c r="C658" s="187"/>
      <c r="D658" s="170"/>
      <c r="E658" s="2576"/>
      <c r="F658" s="2880"/>
      <c r="G658" s="2576"/>
      <c r="H658" s="2880"/>
      <c r="I658" s="2559">
        <f t="shared" si="194"/>
        <v>0</v>
      </c>
      <c r="J658" s="2560"/>
      <c r="K658" s="279"/>
      <c r="L658" s="597" t="s">
        <v>1584</v>
      </c>
      <c r="M658" s="266"/>
      <c r="N658" s="266"/>
      <c r="O658" s="266"/>
      <c r="P658" s="266"/>
      <c r="Q658" s="1783"/>
      <c r="R658" s="266"/>
      <c r="S658" s="266"/>
      <c r="T658" s="45"/>
      <c r="U658" s="45"/>
      <c r="V658" s="2839" t="s">
        <v>1020</v>
      </c>
      <c r="W658" s="2840"/>
      <c r="X658" s="187"/>
      <c r="Y658" s="170"/>
      <c r="Z658" s="2576"/>
      <c r="AA658" s="2880"/>
      <c r="AB658" s="2576"/>
      <c r="AC658" s="2880"/>
      <c r="AD658" s="2559">
        <f t="shared" si="195"/>
        <v>0</v>
      </c>
      <c r="AE658" s="2560"/>
      <c r="AF658" s="45"/>
      <c r="AG658" s="597" t="s">
        <v>1584</v>
      </c>
      <c r="AH658" s="266"/>
      <c r="AI658" s="266"/>
      <c r="AJ658" s="266"/>
      <c r="AK658" s="266"/>
      <c r="AL658" s="1783"/>
      <c r="AM658" s="266"/>
      <c r="AN658" s="266"/>
      <c r="AO658" s="45"/>
    </row>
    <row r="659" spans="1:41" ht="15.95" customHeight="1" x14ac:dyDescent="0.3">
      <c r="A659" s="2839" t="s">
        <v>1021</v>
      </c>
      <c r="B659" s="2840"/>
      <c r="C659" s="187"/>
      <c r="D659" s="170"/>
      <c r="E659" s="2576"/>
      <c r="F659" s="2880"/>
      <c r="G659" s="2576"/>
      <c r="H659" s="2880"/>
      <c r="I659" s="2559">
        <f t="shared" si="194"/>
        <v>0</v>
      </c>
      <c r="J659" s="2560"/>
      <c r="K659" s="279"/>
      <c r="L659" s="45"/>
      <c r="M659" s="206"/>
      <c r="N659" s="206"/>
      <c r="O659" s="206"/>
      <c r="P659" s="206"/>
      <c r="Q659" s="107"/>
      <c r="R659" s="44"/>
      <c r="S659" s="45"/>
      <c r="T659" s="45"/>
      <c r="U659" s="45"/>
      <c r="V659" s="2839" t="s">
        <v>1021</v>
      </c>
      <c r="W659" s="2840"/>
      <c r="X659" s="187"/>
      <c r="Y659" s="170"/>
      <c r="Z659" s="2576"/>
      <c r="AA659" s="2880"/>
      <c r="AB659" s="2576"/>
      <c r="AC659" s="2880"/>
      <c r="AD659" s="2559">
        <f t="shared" si="195"/>
        <v>0</v>
      </c>
      <c r="AE659" s="2560"/>
      <c r="AF659" s="45"/>
      <c r="AG659" s="45"/>
      <c r="AH659" s="2834"/>
      <c r="AI659" s="2834"/>
      <c r="AJ659" s="2834"/>
      <c r="AK659" s="2834"/>
      <c r="AL659" s="300"/>
      <c r="AM659" s="44"/>
      <c r="AN659" s="45"/>
      <c r="AO659" s="45"/>
    </row>
    <row r="660" spans="1:41" ht="15.95" customHeight="1" x14ac:dyDescent="0.2">
      <c r="A660" s="2839" t="s">
        <v>1022</v>
      </c>
      <c r="B660" s="2840"/>
      <c r="C660" s="170" t="s">
        <v>496</v>
      </c>
      <c r="D660" s="170" t="s">
        <v>497</v>
      </c>
      <c r="E660" s="2559">
        <v>3</v>
      </c>
      <c r="F660" s="2560"/>
      <c r="G660" s="2559">
        <v>47000</v>
      </c>
      <c r="H660" s="2560">
        <f t="shared" ref="H660:H662" si="198">(36040*6%)+36040</f>
        <v>38202.400000000001</v>
      </c>
      <c r="I660" s="2559">
        <f t="shared" si="194"/>
        <v>141000</v>
      </c>
      <c r="J660" s="2560"/>
      <c r="K660" s="279"/>
      <c r="L660" s="45"/>
      <c r="M660" s="2834"/>
      <c r="N660" s="2834"/>
      <c r="O660" s="2834"/>
      <c r="P660" s="2834"/>
      <c r="Q660" s="107"/>
      <c r="R660" s="44"/>
      <c r="S660" s="45"/>
      <c r="T660" s="45"/>
      <c r="U660" s="45"/>
      <c r="V660" s="2839" t="s">
        <v>1022</v>
      </c>
      <c r="W660" s="2840"/>
      <c r="X660" s="120" t="s">
        <v>496</v>
      </c>
      <c r="Y660" s="170" t="s">
        <v>497</v>
      </c>
      <c r="Z660" s="2559">
        <v>2</v>
      </c>
      <c r="AA660" s="2560"/>
      <c r="AB660" s="2559">
        <v>47000</v>
      </c>
      <c r="AC660" s="2560">
        <f t="shared" ref="AC660:AC662" si="199">(36040*6%)+36040</f>
        <v>38202.400000000001</v>
      </c>
      <c r="AD660" s="2559">
        <f t="shared" si="195"/>
        <v>94000</v>
      </c>
      <c r="AE660" s="2560"/>
      <c r="AF660" s="45"/>
      <c r="AG660" s="45"/>
      <c r="AH660" s="206"/>
      <c r="AI660" s="206"/>
      <c r="AJ660" s="206"/>
      <c r="AK660" s="206"/>
      <c r="AL660" s="107"/>
      <c r="AM660" s="44"/>
      <c r="AN660" s="45"/>
      <c r="AO660" s="45"/>
    </row>
    <row r="661" spans="1:41" ht="15.95" customHeight="1" x14ac:dyDescent="0.2">
      <c r="A661" s="2839" t="s">
        <v>881</v>
      </c>
      <c r="B661" s="2840"/>
      <c r="C661" s="170" t="s">
        <v>496</v>
      </c>
      <c r="D661" s="170" t="s">
        <v>497</v>
      </c>
      <c r="E661" s="2559">
        <v>2</v>
      </c>
      <c r="F661" s="2560"/>
      <c r="G661" s="2559">
        <v>47000</v>
      </c>
      <c r="H661" s="2560">
        <f t="shared" si="198"/>
        <v>38202.400000000001</v>
      </c>
      <c r="I661" s="2559">
        <f t="shared" si="194"/>
        <v>94000</v>
      </c>
      <c r="J661" s="2560"/>
      <c r="K661" s="279"/>
      <c r="L661" s="45"/>
      <c r="M661" s="2834"/>
      <c r="N661" s="2834"/>
      <c r="O661" s="2834"/>
      <c r="P661" s="2834"/>
      <c r="Q661" s="107"/>
      <c r="R661" s="45"/>
      <c r="S661" s="45"/>
      <c r="T661" s="45"/>
      <c r="U661" s="45"/>
      <c r="V661" s="2839" t="s">
        <v>881</v>
      </c>
      <c r="W661" s="2840"/>
      <c r="X661" s="120" t="s">
        <v>496</v>
      </c>
      <c r="Y661" s="170" t="s">
        <v>497</v>
      </c>
      <c r="Z661" s="2559">
        <v>1</v>
      </c>
      <c r="AA661" s="2560"/>
      <c r="AB661" s="2559">
        <v>47000</v>
      </c>
      <c r="AC661" s="2560">
        <f t="shared" si="199"/>
        <v>38202.400000000001</v>
      </c>
      <c r="AD661" s="2559">
        <f t="shared" si="195"/>
        <v>47000</v>
      </c>
      <c r="AE661" s="2560"/>
      <c r="AF661" s="45"/>
      <c r="AG661" s="45"/>
      <c r="AH661" s="206"/>
      <c r="AI661" s="206"/>
      <c r="AJ661" s="206"/>
      <c r="AK661" s="206"/>
      <c r="AL661" s="107"/>
      <c r="AM661" s="45"/>
      <c r="AN661" s="45"/>
      <c r="AO661" s="45"/>
    </row>
    <row r="662" spans="1:41" ht="15.95" customHeight="1" x14ac:dyDescent="0.3">
      <c r="A662" s="2839" t="s">
        <v>882</v>
      </c>
      <c r="B662" s="2840"/>
      <c r="C662" s="170" t="s">
        <v>496</v>
      </c>
      <c r="D662" s="170" t="s">
        <v>497</v>
      </c>
      <c r="E662" s="2576">
        <v>1</v>
      </c>
      <c r="F662" s="2880"/>
      <c r="G662" s="2559">
        <v>47000</v>
      </c>
      <c r="H662" s="2560">
        <f t="shared" si="198"/>
        <v>38202.400000000001</v>
      </c>
      <c r="I662" s="2559">
        <f t="shared" si="194"/>
        <v>47000</v>
      </c>
      <c r="J662" s="2560"/>
      <c r="K662" s="279"/>
      <c r="L662" s="45"/>
      <c r="M662" s="2834"/>
      <c r="N662" s="2834"/>
      <c r="O662" s="2834"/>
      <c r="P662" s="2834"/>
      <c r="Q662" s="273"/>
      <c r="R662" s="44"/>
      <c r="S662" s="45"/>
      <c r="T662" s="45"/>
      <c r="U662" s="45"/>
      <c r="V662" s="2839" t="s">
        <v>882</v>
      </c>
      <c r="W662" s="2840"/>
      <c r="X662" s="120" t="s">
        <v>496</v>
      </c>
      <c r="Y662" s="170" t="s">
        <v>497</v>
      </c>
      <c r="Z662" s="2576">
        <v>1</v>
      </c>
      <c r="AA662" s="2880"/>
      <c r="AB662" s="2559">
        <v>47000</v>
      </c>
      <c r="AC662" s="2560">
        <f t="shared" si="199"/>
        <v>38202.400000000001</v>
      </c>
      <c r="AD662" s="2559">
        <f t="shared" si="195"/>
        <v>47000</v>
      </c>
      <c r="AE662" s="2560"/>
      <c r="AF662" s="45"/>
      <c r="AG662" s="45"/>
      <c r="AH662" s="2834"/>
      <c r="AI662" s="2834"/>
      <c r="AJ662" s="2834"/>
      <c r="AK662" s="2834"/>
      <c r="AL662" s="107"/>
      <c r="AM662" s="44"/>
      <c r="AN662" s="45"/>
      <c r="AO662" s="45"/>
    </row>
    <row r="663" spans="1:41" ht="15.95" customHeight="1" x14ac:dyDescent="0.3">
      <c r="A663" s="2911" t="s">
        <v>1023</v>
      </c>
      <c r="B663" s="2912"/>
      <c r="C663" s="187"/>
      <c r="D663" s="170"/>
      <c r="E663" s="2576"/>
      <c r="F663" s="2880"/>
      <c r="G663" s="2576"/>
      <c r="H663" s="2880"/>
      <c r="I663" s="2565">
        <f>SUM(I664:J669)</f>
        <v>233936.30176</v>
      </c>
      <c r="J663" s="2566"/>
      <c r="K663" s="279"/>
      <c r="L663" s="45"/>
      <c r="M663" s="45"/>
      <c r="N663" s="45"/>
      <c r="O663" s="45"/>
      <c r="P663" s="45"/>
      <c r="Q663" s="45"/>
      <c r="R663" s="44"/>
      <c r="S663" s="45"/>
      <c r="T663" s="45"/>
      <c r="U663" s="45"/>
      <c r="V663" s="2911" t="s">
        <v>1023</v>
      </c>
      <c r="W663" s="2912"/>
      <c r="X663" s="197"/>
      <c r="Y663" s="170"/>
      <c r="Z663" s="2576"/>
      <c r="AA663" s="2880"/>
      <c r="AB663" s="2576"/>
      <c r="AC663" s="2880"/>
      <c r="AD663" s="2565">
        <f>SUM(AD664:AE669)</f>
        <v>1051551.6219839999</v>
      </c>
      <c r="AE663" s="2566"/>
      <c r="AF663" s="45"/>
      <c r="AG663" s="45"/>
      <c r="AH663" s="2834"/>
      <c r="AI663" s="2834"/>
      <c r="AJ663" s="2834"/>
      <c r="AK663" s="2834"/>
      <c r="AL663" s="107"/>
      <c r="AM663" s="44"/>
      <c r="AN663" s="45"/>
      <c r="AO663" s="45"/>
    </row>
    <row r="664" spans="1:41" ht="15.95" customHeight="1" x14ac:dyDescent="0.3">
      <c r="A664" s="2839" t="s">
        <v>884</v>
      </c>
      <c r="B664" s="2840"/>
      <c r="C664" s="170" t="s">
        <v>496</v>
      </c>
      <c r="D664" s="170" t="s">
        <v>497</v>
      </c>
      <c r="E664" s="2576">
        <v>3</v>
      </c>
      <c r="F664" s="2880"/>
      <c r="G664" s="2559">
        <v>47000</v>
      </c>
      <c r="H664" s="2560">
        <f t="shared" ref="H664" si="200">(36040*6%)+36040</f>
        <v>38202.400000000001</v>
      </c>
      <c r="I664" s="2559">
        <f>E664*G664</f>
        <v>141000</v>
      </c>
      <c r="J664" s="2560"/>
      <c r="K664" s="279"/>
      <c r="L664" s="45"/>
      <c r="M664" s="45"/>
      <c r="N664" s="45"/>
      <c r="O664" s="45"/>
      <c r="P664" s="45"/>
      <c r="Q664" s="45"/>
      <c r="R664" s="44"/>
      <c r="S664" s="45"/>
      <c r="T664" s="45"/>
      <c r="U664" s="45"/>
      <c r="V664" s="2839" t="s">
        <v>884</v>
      </c>
      <c r="W664" s="2840"/>
      <c r="X664" s="120" t="s">
        <v>496</v>
      </c>
      <c r="Y664" s="170" t="s">
        <v>497</v>
      </c>
      <c r="Z664" s="2576">
        <v>11</v>
      </c>
      <c r="AA664" s="2880"/>
      <c r="AB664" s="2559">
        <v>47000</v>
      </c>
      <c r="AC664" s="2560">
        <f t="shared" ref="AC664" si="201">(36040*6%)+36040</f>
        <v>38202.400000000001</v>
      </c>
      <c r="AD664" s="2559">
        <f t="shared" ref="AD664:AD669" si="202">Z664*AB664</f>
        <v>517000</v>
      </c>
      <c r="AE664" s="2560"/>
      <c r="AF664" s="45"/>
      <c r="AG664" s="45"/>
      <c r="AH664" s="2834"/>
      <c r="AI664" s="2834"/>
      <c r="AJ664" s="2834"/>
      <c r="AK664" s="2834"/>
      <c r="AL664" s="273"/>
      <c r="AM664" s="44"/>
      <c r="AN664" s="45"/>
      <c r="AO664" s="45"/>
    </row>
    <row r="665" spans="1:41" ht="15.95" customHeight="1" x14ac:dyDescent="0.3">
      <c r="A665" s="2839" t="s">
        <v>1024</v>
      </c>
      <c r="B665" s="2840"/>
      <c r="C665" s="120"/>
      <c r="D665" s="120"/>
      <c r="E665" s="2576"/>
      <c r="F665" s="2880"/>
      <c r="G665" s="2559"/>
      <c r="H665" s="2880"/>
      <c r="I665" s="2559">
        <f>E665*G665</f>
        <v>0</v>
      </c>
      <c r="J665" s="2560"/>
      <c r="K665" s="279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2839" t="s">
        <v>1024</v>
      </c>
      <c r="W665" s="2840"/>
      <c r="X665" s="120"/>
      <c r="Y665" s="170"/>
      <c r="Z665" s="2576"/>
      <c r="AA665" s="2880"/>
      <c r="AB665" s="2576"/>
      <c r="AC665" s="2880"/>
      <c r="AD665" s="2559">
        <f t="shared" si="202"/>
        <v>0</v>
      </c>
      <c r="AE665" s="2560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</row>
    <row r="666" spans="1:41" ht="15.95" customHeight="1" x14ac:dyDescent="0.3">
      <c r="A666" s="2839" t="s">
        <v>893</v>
      </c>
      <c r="B666" s="2840"/>
      <c r="C666" s="120"/>
      <c r="D666" s="120"/>
      <c r="E666" s="2576"/>
      <c r="F666" s="2880"/>
      <c r="G666" s="2559"/>
      <c r="H666" s="2880"/>
      <c r="I666" s="2559">
        <f>E666*G666</f>
        <v>0</v>
      </c>
      <c r="J666" s="2560"/>
      <c r="K666" s="279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2839" t="s">
        <v>893</v>
      </c>
      <c r="W666" s="2840"/>
      <c r="X666" s="120"/>
      <c r="Y666" s="170"/>
      <c r="Z666" s="2576"/>
      <c r="AA666" s="2880"/>
      <c r="AB666" s="2576"/>
      <c r="AC666" s="2880"/>
      <c r="AD666" s="2559">
        <f t="shared" si="202"/>
        <v>0</v>
      </c>
      <c r="AE666" s="2560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</row>
    <row r="667" spans="1:41" ht="15.95" customHeight="1" x14ac:dyDescent="0.3">
      <c r="A667" s="2839" t="s">
        <v>728</v>
      </c>
      <c r="B667" s="2840"/>
      <c r="C667" s="120"/>
      <c r="D667" s="170"/>
      <c r="E667" s="2576"/>
      <c r="F667" s="2880"/>
      <c r="G667" s="2559"/>
      <c r="H667" s="2918"/>
      <c r="I667" s="2559">
        <f>E667*G667</f>
        <v>0</v>
      </c>
      <c r="J667" s="2560"/>
      <c r="L667" s="45"/>
      <c r="M667" s="45"/>
      <c r="N667" s="45"/>
      <c r="O667" s="45"/>
      <c r="P667" s="45"/>
      <c r="Q667" s="45"/>
      <c r="U667" s="45"/>
      <c r="V667" s="2839" t="s">
        <v>728</v>
      </c>
      <c r="W667" s="2840"/>
      <c r="X667" s="120"/>
      <c r="Y667" s="170"/>
      <c r="Z667" s="2576"/>
      <c r="AA667" s="2880"/>
      <c r="AB667" s="2576"/>
      <c r="AC667" s="2880"/>
      <c r="AD667" s="2559">
        <f t="shared" si="202"/>
        <v>0</v>
      </c>
      <c r="AE667" s="2560"/>
      <c r="AF667" s="45"/>
      <c r="AG667" s="45"/>
      <c r="AH667" s="45"/>
      <c r="AI667" s="45"/>
      <c r="AJ667" s="45"/>
      <c r="AK667" s="45"/>
      <c r="AL667" s="45"/>
    </row>
    <row r="668" spans="1:41" ht="15.95" customHeight="1" x14ac:dyDescent="0.3">
      <c r="A668" s="2839" t="s">
        <v>765</v>
      </c>
      <c r="B668" s="2840"/>
      <c r="C668" s="187"/>
      <c r="D668" s="170" t="s">
        <v>1243</v>
      </c>
      <c r="E668" s="2576"/>
      <c r="F668" s="2880"/>
      <c r="G668" s="2576"/>
      <c r="H668" s="2880"/>
      <c r="I668" s="2559">
        <f>10000*1.0928</f>
        <v>10928</v>
      </c>
      <c r="J668" s="2560"/>
      <c r="L668" s="45"/>
      <c r="M668" s="45"/>
      <c r="N668" s="45"/>
      <c r="O668" s="45"/>
      <c r="P668" s="45"/>
      <c r="Q668" s="45"/>
      <c r="U668" s="45"/>
      <c r="V668" s="2839" t="s">
        <v>765</v>
      </c>
      <c r="W668" s="2840"/>
      <c r="X668" s="187"/>
      <c r="Y668" s="170" t="s">
        <v>794</v>
      </c>
      <c r="Z668" s="2576"/>
      <c r="AA668" s="2880"/>
      <c r="AB668" s="2576"/>
      <c r="AC668" s="2880"/>
      <c r="AD668" s="2559">
        <f>100000*1.0928</f>
        <v>109280</v>
      </c>
      <c r="AE668" s="2560"/>
      <c r="AF668" s="45"/>
      <c r="AG668" s="45"/>
      <c r="AH668" s="45"/>
      <c r="AI668" s="45"/>
      <c r="AJ668" s="45"/>
      <c r="AK668" s="45"/>
      <c r="AL668" s="45"/>
    </row>
    <row r="669" spans="1:41" ht="15.95" customHeight="1" x14ac:dyDescent="0.3">
      <c r="A669" s="2839" t="s">
        <v>615</v>
      </c>
      <c r="B669" s="2840"/>
      <c r="C669" s="288" t="s">
        <v>763</v>
      </c>
      <c r="D669" s="170" t="s">
        <v>556</v>
      </c>
      <c r="E669" s="2576">
        <v>0.7</v>
      </c>
      <c r="F669" s="2880"/>
      <c r="G669" s="2559">
        <f>107206*1.0928</f>
        <v>117154.71679999999</v>
      </c>
      <c r="H669" s="2918">
        <f t="shared" ref="H669" si="203">(95294*6%)+95294</f>
        <v>101011.64</v>
      </c>
      <c r="I669" s="2559">
        <f>E669*G669</f>
        <v>82008.301759999988</v>
      </c>
      <c r="J669" s="2560"/>
      <c r="U669" s="45"/>
      <c r="V669" s="2839" t="s">
        <v>615</v>
      </c>
      <c r="W669" s="2840"/>
      <c r="X669" s="120" t="s">
        <v>763</v>
      </c>
      <c r="Y669" s="170" t="s">
        <v>556</v>
      </c>
      <c r="Z669" s="2576">
        <v>3.63</v>
      </c>
      <c r="AA669" s="2880"/>
      <c r="AB669" s="2559">
        <f>+G669</f>
        <v>117154.71679999999</v>
      </c>
      <c r="AC669" s="2918"/>
      <c r="AD669" s="2559">
        <f t="shared" si="202"/>
        <v>425271.62198399997</v>
      </c>
      <c r="AE669" s="2560"/>
      <c r="AF669" s="45"/>
    </row>
    <row r="670" spans="1:41" ht="15.95" customHeight="1" thickBot="1" x14ac:dyDescent="0.25">
      <c r="A670" s="208" t="s">
        <v>558</v>
      </c>
      <c r="B670" s="209"/>
      <c r="C670" s="210"/>
      <c r="D670" s="209"/>
      <c r="E670" s="2561">
        <f>SUM(E633:F664)</f>
        <v>29</v>
      </c>
      <c r="F670" s="2562"/>
      <c r="G670" s="2561"/>
      <c r="H670" s="2562"/>
      <c r="I670" s="2561">
        <f>SUM(I663+I644+I633+I629+I626)</f>
        <v>1455936.3017599999</v>
      </c>
      <c r="J670" s="2562"/>
      <c r="U670" s="45"/>
      <c r="V670" s="208" t="s">
        <v>558</v>
      </c>
      <c r="W670" s="209"/>
      <c r="X670" s="210"/>
      <c r="Y670" s="209"/>
      <c r="Z670" s="2561">
        <f>SUM(Z656:AA664)</f>
        <v>25</v>
      </c>
      <c r="AA670" s="2562"/>
      <c r="AB670" s="2561"/>
      <c r="AC670" s="2562"/>
      <c r="AD670" s="2561">
        <f>SUM(AD663+AD644+AD633+AD629+AD626)</f>
        <v>1709551.6219839999</v>
      </c>
      <c r="AE670" s="2562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</row>
    <row r="671" spans="1:41" ht="15.95" customHeight="1" x14ac:dyDescent="0.2">
      <c r="A671" s="45"/>
      <c r="B671" s="45"/>
      <c r="C671" s="45"/>
      <c r="D671" s="45"/>
      <c r="E671" s="45"/>
      <c r="F671" s="45"/>
      <c r="G671" s="45"/>
      <c r="H671" s="275"/>
      <c r="I671" s="275"/>
      <c r="J671" s="275"/>
      <c r="K671" s="295"/>
      <c r="L671" s="45"/>
      <c r="M671" s="45"/>
      <c r="N671" s="45"/>
      <c r="O671" s="45"/>
      <c r="P671" s="45"/>
      <c r="Q671" s="45"/>
      <c r="R671" s="45"/>
      <c r="S671" s="295"/>
      <c r="T671" s="295"/>
      <c r="U671" s="276"/>
      <c r="V671" s="45"/>
      <c r="W671" s="45"/>
      <c r="X671" s="45"/>
      <c r="Y671" s="45"/>
      <c r="Z671" s="45"/>
      <c r="AA671" s="45"/>
      <c r="AB671" s="45"/>
      <c r="AC671" s="275"/>
      <c r="AD671" s="275"/>
      <c r="AE671" s="275"/>
      <c r="AF671" s="276"/>
      <c r="AG671" s="45"/>
      <c r="AH671" s="45"/>
      <c r="AI671" s="45"/>
      <c r="AJ671" s="45"/>
      <c r="AK671" s="45"/>
      <c r="AL671" s="45"/>
      <c r="AM671" s="45"/>
      <c r="AN671" s="276"/>
      <c r="AO671" s="276"/>
    </row>
    <row r="672" spans="1:41" ht="15.95" customHeight="1" x14ac:dyDescent="0.2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2909"/>
      <c r="T672" s="2909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2909"/>
      <c r="AO672" s="2909"/>
    </row>
    <row r="673" spans="1:41" ht="15.95" customHeight="1" x14ac:dyDescent="0.2">
      <c r="A673" s="2654"/>
      <c r="B673" s="2654"/>
      <c r="C673" s="2654"/>
      <c r="D673" s="2654"/>
      <c r="E673" s="2654"/>
      <c r="F673" s="2654"/>
      <c r="G673" s="2654"/>
      <c r="H673" s="2654"/>
      <c r="I673" s="2654"/>
      <c r="J673" s="2654"/>
      <c r="K673" s="2654"/>
      <c r="L673" s="2654"/>
      <c r="M673" s="2654"/>
      <c r="N673" s="2654"/>
      <c r="O673" s="2654"/>
      <c r="P673" s="2654"/>
      <c r="Q673" s="2654"/>
      <c r="R673" s="2654"/>
      <c r="S673" s="2654"/>
      <c r="T673" s="2654"/>
      <c r="U673" s="2654"/>
      <c r="V673" s="2654"/>
      <c r="W673" s="2654"/>
      <c r="X673" s="2654"/>
      <c r="Y673" s="2654"/>
      <c r="Z673" s="2654"/>
      <c r="AA673" s="2654"/>
      <c r="AB673" s="2654"/>
      <c r="AC673" s="2654"/>
      <c r="AD673" s="2654"/>
      <c r="AE673" s="2654"/>
      <c r="AF673" s="2654"/>
      <c r="AG673" s="2654"/>
      <c r="AH673" s="2654"/>
      <c r="AI673" s="2654"/>
      <c r="AJ673" s="2654"/>
      <c r="AK673" s="2654"/>
      <c r="AL673" s="2654"/>
      <c r="AM673" s="2654"/>
      <c r="AN673" s="2654"/>
      <c r="AO673" s="2654"/>
    </row>
    <row r="674" spans="1:41" ht="15.95" customHeight="1" x14ac:dyDescent="0.2">
      <c r="A674" s="277"/>
      <c r="B674" s="277"/>
      <c r="C674" s="277"/>
      <c r="D674" s="277"/>
      <c r="E674" s="275"/>
      <c r="F674" s="275"/>
      <c r="G674" s="275"/>
      <c r="H674" s="275"/>
      <c r="I674" s="275"/>
      <c r="J674" s="275"/>
      <c r="K674" s="295"/>
      <c r="L674" s="295"/>
      <c r="M674" s="295"/>
      <c r="N674" s="295"/>
      <c r="O674" s="295"/>
      <c r="P674" s="295"/>
      <c r="Q674" s="295"/>
      <c r="R674" s="295"/>
      <c r="S674" s="295"/>
      <c r="T674" s="295"/>
      <c r="U674" s="276"/>
      <c r="V674" s="277"/>
      <c r="W674" s="277"/>
      <c r="X674" s="277"/>
      <c r="Y674" s="277"/>
      <c r="Z674" s="275"/>
      <c r="AA674" s="275"/>
      <c r="AB674" s="275"/>
      <c r="AC674" s="275"/>
      <c r="AD674" s="275"/>
      <c r="AE674" s="275"/>
      <c r="AF674" s="276"/>
      <c r="AG674" s="276"/>
      <c r="AH674" s="276"/>
      <c r="AI674" s="276"/>
      <c r="AJ674" s="276"/>
      <c r="AK674" s="276"/>
      <c r="AL674" s="276"/>
      <c r="AM674" s="276"/>
      <c r="AN674" s="276"/>
      <c r="AO674" s="276"/>
    </row>
    <row r="675" spans="1:41" ht="15.95" customHeight="1" x14ac:dyDescent="0.2">
      <c r="A675" s="2611" t="s">
        <v>1967</v>
      </c>
      <c r="B675" s="2611"/>
      <c r="C675" s="2611"/>
      <c r="D675" s="2611"/>
      <c r="E675" s="2611"/>
      <c r="F675" s="2611"/>
      <c r="G675" s="2611"/>
      <c r="H675" s="2611"/>
      <c r="I675" s="2611"/>
      <c r="J675" s="2611"/>
      <c r="K675" s="2611"/>
      <c r="L675" s="2611"/>
      <c r="M675" s="2611"/>
      <c r="N675" s="2611"/>
      <c r="O675" s="2611"/>
      <c r="P675" s="2611"/>
      <c r="Q675" s="2611"/>
      <c r="R675" s="2611"/>
      <c r="S675" s="2611"/>
      <c r="T675" s="2611"/>
      <c r="U675" s="47"/>
      <c r="V675" s="2611" t="s">
        <v>1968</v>
      </c>
      <c r="W675" s="2611"/>
      <c r="X675" s="2611"/>
      <c r="Y675" s="2611"/>
      <c r="Z675" s="2611"/>
      <c r="AA675" s="2611"/>
      <c r="AB675" s="2611"/>
      <c r="AC675" s="2611"/>
      <c r="AD675" s="2611"/>
      <c r="AE675" s="2611"/>
      <c r="AF675" s="2611"/>
      <c r="AG675" s="2611"/>
      <c r="AH675" s="2611"/>
      <c r="AI675" s="2611"/>
      <c r="AJ675" s="2611"/>
      <c r="AK675" s="2611"/>
      <c r="AL675" s="2611"/>
      <c r="AM675" s="2611"/>
      <c r="AN675" s="2611"/>
      <c r="AO675" s="2611"/>
    </row>
    <row r="676" spans="1:41" ht="15.95" customHeight="1" thickBot="1" x14ac:dyDescent="0.25">
      <c r="A676" s="2611"/>
      <c r="B676" s="2611"/>
      <c r="C676" s="2611"/>
      <c r="D676" s="2611"/>
      <c r="E676" s="2611"/>
      <c r="F676" s="2611"/>
      <c r="G676" s="2611"/>
      <c r="H676" s="2611"/>
      <c r="I676" s="2611"/>
      <c r="J676" s="2611"/>
      <c r="K676" s="2611"/>
      <c r="L676" s="2611"/>
      <c r="M676" s="2611"/>
      <c r="N676" s="2611"/>
      <c r="O676" s="2611"/>
      <c r="P676" s="2611"/>
      <c r="Q676" s="2611"/>
      <c r="R676" s="2611"/>
      <c r="S676" s="2611"/>
      <c r="T676" s="2611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</row>
    <row r="677" spans="1:41" ht="15.95" customHeight="1" x14ac:dyDescent="0.3">
      <c r="A677" s="2618" t="s">
        <v>435</v>
      </c>
      <c r="B677" s="2620"/>
      <c r="C677" s="2618" t="s">
        <v>436</v>
      </c>
      <c r="D677" s="2619"/>
      <c r="E677" s="2619"/>
      <c r="F677" s="2620"/>
      <c r="G677" s="2618" t="s">
        <v>437</v>
      </c>
      <c r="H677" s="2620"/>
      <c r="I677" s="2618" t="s">
        <v>438</v>
      </c>
      <c r="J677" s="2620"/>
      <c r="K677" s="45"/>
      <c r="L677" s="2633" t="s">
        <v>435</v>
      </c>
      <c r="M677" s="2618" t="s">
        <v>436</v>
      </c>
      <c r="N677" s="2619"/>
      <c r="O677" s="2619"/>
      <c r="P677" s="2620"/>
      <c r="Q677" s="2618" t="s">
        <v>437</v>
      </c>
      <c r="R677" s="2620"/>
      <c r="S677" s="2618"/>
      <c r="T677" s="2620"/>
      <c r="U677" s="268"/>
      <c r="V677" s="2618" t="s">
        <v>435</v>
      </c>
      <c r="W677" s="2620"/>
      <c r="X677" s="2618" t="s">
        <v>436</v>
      </c>
      <c r="Y677" s="2619"/>
      <c r="Z677" s="2619"/>
      <c r="AA677" s="2620"/>
      <c r="AB677" s="2618" t="s">
        <v>437</v>
      </c>
      <c r="AC677" s="2620"/>
      <c r="AD677" s="2618" t="s">
        <v>438</v>
      </c>
      <c r="AE677" s="2620"/>
      <c r="AF677" s="45"/>
      <c r="AG677" s="2633" t="s">
        <v>435</v>
      </c>
      <c r="AH677" s="2618" t="s">
        <v>436</v>
      </c>
      <c r="AI677" s="2619"/>
      <c r="AJ677" s="2619"/>
      <c r="AK677" s="2620"/>
      <c r="AL677" s="2618" t="s">
        <v>437</v>
      </c>
      <c r="AM677" s="2620"/>
      <c r="AN677" s="2618"/>
      <c r="AO677" s="2900"/>
    </row>
    <row r="678" spans="1:41" ht="15.95" customHeight="1" thickBot="1" x14ac:dyDescent="0.35">
      <c r="A678" s="2631"/>
      <c r="B678" s="2632"/>
      <c r="C678" s="2621"/>
      <c r="D678" s="2622"/>
      <c r="E678" s="2622"/>
      <c r="F678" s="2623"/>
      <c r="G678" s="2631" t="s">
        <v>440</v>
      </c>
      <c r="H678" s="2632"/>
      <c r="I678" s="2631"/>
      <c r="J678" s="2632"/>
      <c r="K678" s="45"/>
      <c r="L678" s="2670"/>
      <c r="M678" s="2621"/>
      <c r="N678" s="2622"/>
      <c r="O678" s="2622"/>
      <c r="P678" s="2623"/>
      <c r="Q678" s="2631" t="s">
        <v>440</v>
      </c>
      <c r="R678" s="2632"/>
      <c r="S678" s="2631" t="s">
        <v>274</v>
      </c>
      <c r="T678" s="2632"/>
      <c r="U678" s="268"/>
      <c r="V678" s="2631"/>
      <c r="W678" s="2632"/>
      <c r="X678" s="2621"/>
      <c r="Y678" s="2622"/>
      <c r="Z678" s="2622"/>
      <c r="AA678" s="2623"/>
      <c r="AB678" s="2631" t="s">
        <v>440</v>
      </c>
      <c r="AC678" s="2632"/>
      <c r="AD678" s="2631"/>
      <c r="AE678" s="2632"/>
      <c r="AF678" s="45"/>
      <c r="AG678" s="2670"/>
      <c r="AH678" s="2621"/>
      <c r="AI678" s="2622"/>
      <c r="AJ678" s="2622"/>
      <c r="AK678" s="2623"/>
      <c r="AL678" s="2631" t="s">
        <v>440</v>
      </c>
      <c r="AM678" s="2632"/>
      <c r="AN678" s="2631" t="s">
        <v>274</v>
      </c>
      <c r="AO678" s="2880"/>
    </row>
    <row r="679" spans="1:41" ht="15.95" customHeight="1" x14ac:dyDescent="0.3">
      <c r="A679" s="2631"/>
      <c r="B679" s="2632"/>
      <c r="C679" s="53" t="s">
        <v>441</v>
      </c>
      <c r="D679" s="2670" t="s">
        <v>442</v>
      </c>
      <c r="E679" s="2631" t="s">
        <v>443</v>
      </c>
      <c r="F679" s="2632"/>
      <c r="G679" s="2631" t="s">
        <v>444</v>
      </c>
      <c r="H679" s="2632"/>
      <c r="I679" s="2631" t="s">
        <v>348</v>
      </c>
      <c r="J679" s="2632"/>
      <c r="K679" s="45"/>
      <c r="L679" s="2670"/>
      <c r="M679" s="51" t="s">
        <v>441</v>
      </c>
      <c r="N679" s="2633" t="s">
        <v>442</v>
      </c>
      <c r="O679" s="2618" t="s">
        <v>443</v>
      </c>
      <c r="P679" s="2620"/>
      <c r="Q679" s="2631" t="s">
        <v>444</v>
      </c>
      <c r="R679" s="2632"/>
      <c r="S679" s="2631" t="s">
        <v>348</v>
      </c>
      <c r="T679" s="2632"/>
      <c r="U679" s="268"/>
      <c r="V679" s="2631"/>
      <c r="W679" s="2632"/>
      <c r="X679" s="53" t="s">
        <v>441</v>
      </c>
      <c r="Y679" s="2670" t="s">
        <v>442</v>
      </c>
      <c r="Z679" s="2631" t="s">
        <v>443</v>
      </c>
      <c r="AA679" s="2632"/>
      <c r="AB679" s="2631" t="s">
        <v>444</v>
      </c>
      <c r="AC679" s="2632"/>
      <c r="AD679" s="2631" t="s">
        <v>348</v>
      </c>
      <c r="AE679" s="2632"/>
      <c r="AF679" s="45"/>
      <c r="AG679" s="2670"/>
      <c r="AH679" s="51" t="s">
        <v>441</v>
      </c>
      <c r="AI679" s="2670" t="s">
        <v>442</v>
      </c>
      <c r="AJ679" s="2631" t="s">
        <v>443</v>
      </c>
      <c r="AK679" s="2632"/>
      <c r="AL679" s="2631" t="s">
        <v>444</v>
      </c>
      <c r="AM679" s="2632"/>
      <c r="AN679" s="2631" t="s">
        <v>348</v>
      </c>
      <c r="AO679" s="2880"/>
    </row>
    <row r="680" spans="1:41" ht="15.95" customHeight="1" thickBot="1" x14ac:dyDescent="0.35">
      <c r="A680" s="2621"/>
      <c r="B680" s="2623"/>
      <c r="C680" s="54" t="s">
        <v>445</v>
      </c>
      <c r="D680" s="2634"/>
      <c r="E680" s="2621"/>
      <c r="F680" s="2623"/>
      <c r="G680" s="2621"/>
      <c r="H680" s="2623"/>
      <c r="I680" s="2621"/>
      <c r="J680" s="2623"/>
      <c r="K680" s="45"/>
      <c r="L680" s="2634"/>
      <c r="M680" s="50" t="s">
        <v>445</v>
      </c>
      <c r="N680" s="2634"/>
      <c r="O680" s="2621"/>
      <c r="P680" s="2623"/>
      <c r="Q680" s="2621"/>
      <c r="R680" s="2623"/>
      <c r="S680" s="2621"/>
      <c r="T680" s="2623"/>
      <c r="U680" s="268"/>
      <c r="V680" s="2621"/>
      <c r="W680" s="2623"/>
      <c r="X680" s="54" t="s">
        <v>445</v>
      </c>
      <c r="Y680" s="2634"/>
      <c r="Z680" s="2621"/>
      <c r="AA680" s="2623"/>
      <c r="AB680" s="2621"/>
      <c r="AC680" s="2623"/>
      <c r="AD680" s="2621"/>
      <c r="AE680" s="2623"/>
      <c r="AF680" s="45"/>
      <c r="AG680" s="2634"/>
      <c r="AH680" s="50" t="s">
        <v>445</v>
      </c>
      <c r="AI680" s="2634"/>
      <c r="AJ680" s="2621"/>
      <c r="AK680" s="2623"/>
      <c r="AL680" s="2621"/>
      <c r="AM680" s="2623"/>
      <c r="AN680" s="2901"/>
      <c r="AO680" s="2902"/>
    </row>
    <row r="681" spans="1:41" ht="15.95" customHeight="1" x14ac:dyDescent="0.3">
      <c r="A681" s="2913" t="s">
        <v>446</v>
      </c>
      <c r="B681" s="2914"/>
      <c r="C681" s="184"/>
      <c r="D681" s="170"/>
      <c r="E681" s="2576"/>
      <c r="F681" s="2880"/>
      <c r="G681" s="2576"/>
      <c r="H681" s="2880"/>
      <c r="I681" s="2576"/>
      <c r="J681" s="2880"/>
      <c r="K681" s="279"/>
      <c r="L681" s="119" t="s">
        <v>447</v>
      </c>
      <c r="M681" s="185"/>
      <c r="N681" s="186"/>
      <c r="O681" s="2605"/>
      <c r="P681" s="2606"/>
      <c r="Q681" s="2605"/>
      <c r="R681" s="2606"/>
      <c r="S681" s="2605"/>
      <c r="T681" s="2606"/>
      <c r="U681" s="45"/>
      <c r="V681" s="2913" t="s">
        <v>446</v>
      </c>
      <c r="W681" s="2914"/>
      <c r="X681" s="184"/>
      <c r="Y681" s="170"/>
      <c r="Z681" s="2576"/>
      <c r="AA681" s="2880"/>
      <c r="AB681" s="2576"/>
      <c r="AC681" s="2880"/>
      <c r="AD681" s="2576"/>
      <c r="AE681" s="2880"/>
      <c r="AF681" s="45"/>
      <c r="AG681" s="119" t="s">
        <v>447</v>
      </c>
      <c r="AH681" s="185"/>
      <c r="AI681" s="186"/>
      <c r="AJ681" s="2605"/>
      <c r="AK681" s="2606"/>
      <c r="AL681" s="2605"/>
      <c r="AM681" s="2606"/>
      <c r="AN681" s="2605"/>
      <c r="AO681" s="2606"/>
    </row>
    <row r="682" spans="1:41" ht="15.95" customHeight="1" x14ac:dyDescent="0.35">
      <c r="A682" s="2911" t="s">
        <v>979</v>
      </c>
      <c r="B682" s="2912"/>
      <c r="C682" s="45"/>
      <c r="D682" s="288"/>
      <c r="E682" s="2576"/>
      <c r="F682" s="2880"/>
      <c r="G682" s="2576"/>
      <c r="H682" s="2880"/>
      <c r="I682" s="2565">
        <f>SUM(I683:J684)</f>
        <v>282000</v>
      </c>
      <c r="J682" s="2892"/>
      <c r="K682" s="279"/>
      <c r="L682" s="122"/>
      <c r="M682" s="188"/>
      <c r="N682" s="170"/>
      <c r="O682" s="2559"/>
      <c r="P682" s="2560"/>
      <c r="Q682" s="2559"/>
      <c r="R682" s="2560"/>
      <c r="S682" s="2559"/>
      <c r="T682" s="2560"/>
      <c r="U682" s="45"/>
      <c r="V682" s="2911" t="s">
        <v>979</v>
      </c>
      <c r="W682" s="2912"/>
      <c r="X682" s="187"/>
      <c r="Y682" s="170"/>
      <c r="Z682" s="2576"/>
      <c r="AA682" s="2880"/>
      <c r="AB682" s="2576"/>
      <c r="AC682" s="2880"/>
      <c r="AD682" s="2897">
        <f>SUM(AD683:AE684)</f>
        <v>0</v>
      </c>
      <c r="AE682" s="2892"/>
      <c r="AF682" s="45"/>
      <c r="AG682" s="122"/>
      <c r="AH682" s="188"/>
      <c r="AI682" s="170"/>
      <c r="AJ682" s="2559"/>
      <c r="AK682" s="2560"/>
      <c r="AL682" s="2559"/>
      <c r="AM682" s="2560"/>
      <c r="AN682" s="2559"/>
      <c r="AO682" s="2560"/>
    </row>
    <row r="683" spans="1:41" ht="15.95" customHeight="1" x14ac:dyDescent="0.3">
      <c r="A683" s="2915" t="s">
        <v>980</v>
      </c>
      <c r="B683" s="2916"/>
      <c r="C683" s="187"/>
      <c r="D683" s="170"/>
      <c r="E683" s="2576"/>
      <c r="F683" s="2880"/>
      <c r="G683" s="2576"/>
      <c r="H683" s="2880"/>
      <c r="I683" s="2559">
        <f>E683*G683</f>
        <v>0</v>
      </c>
      <c r="J683" s="2560"/>
      <c r="K683" s="279"/>
      <c r="L683" s="122" t="s">
        <v>450</v>
      </c>
      <c r="M683" s="170"/>
      <c r="N683" s="170"/>
      <c r="O683" s="2559"/>
      <c r="P683" s="2560"/>
      <c r="Q683" s="2559"/>
      <c r="R683" s="2560"/>
      <c r="S683" s="2559">
        <f>O683*Q683</f>
        <v>0</v>
      </c>
      <c r="T683" s="2560"/>
      <c r="U683" s="45"/>
      <c r="V683" s="2915" t="s">
        <v>980</v>
      </c>
      <c r="W683" s="2916"/>
      <c r="X683" s="187"/>
      <c r="Y683" s="170"/>
      <c r="Z683" s="2576"/>
      <c r="AA683" s="2880"/>
      <c r="AB683" s="2576"/>
      <c r="AC683" s="2880"/>
      <c r="AD683" s="2559">
        <f>Z683*AB683</f>
        <v>0</v>
      </c>
      <c r="AE683" s="2560"/>
      <c r="AF683" s="45"/>
      <c r="AG683" s="122" t="s">
        <v>450</v>
      </c>
      <c r="AH683" s="170"/>
      <c r="AI683" s="170"/>
      <c r="AJ683" s="2559"/>
      <c r="AK683" s="2560"/>
      <c r="AL683" s="2559"/>
      <c r="AM683" s="2560"/>
      <c r="AN683" s="2559"/>
      <c r="AO683" s="2560"/>
    </row>
    <row r="684" spans="1:41" ht="15.95" customHeight="1" x14ac:dyDescent="0.3">
      <c r="A684" s="2915" t="s">
        <v>981</v>
      </c>
      <c r="B684" s="2916"/>
      <c r="C684" s="120" t="s">
        <v>496</v>
      </c>
      <c r="D684" s="170" t="s">
        <v>497</v>
      </c>
      <c r="E684" s="2576">
        <v>6</v>
      </c>
      <c r="F684" s="2880"/>
      <c r="G684" s="2576">
        <v>47000</v>
      </c>
      <c r="H684" s="2880">
        <f t="shared" ref="H684" si="204">(36040*6%)+36040</f>
        <v>38202.400000000001</v>
      </c>
      <c r="I684" s="2559">
        <f>E684*G684</f>
        <v>282000</v>
      </c>
      <c r="J684" s="2560"/>
      <c r="K684" s="279"/>
      <c r="L684" s="122" t="s">
        <v>853</v>
      </c>
      <c r="M684" s="170" t="s">
        <v>1031</v>
      </c>
      <c r="N684" s="170" t="s">
        <v>497</v>
      </c>
      <c r="O684" s="2559">
        <v>1200</v>
      </c>
      <c r="P684" s="2560"/>
      <c r="Q684" s="2559">
        <f>2907*1.0928</f>
        <v>3176.7696000000001</v>
      </c>
      <c r="R684" s="2560"/>
      <c r="S684" s="2559">
        <f t="shared" ref="S684:S699" si="205">O684*Q684</f>
        <v>3812123.52</v>
      </c>
      <c r="T684" s="2560"/>
      <c r="U684" s="45"/>
      <c r="V684" s="2915" t="s">
        <v>981</v>
      </c>
      <c r="W684" s="2916"/>
      <c r="X684" s="187"/>
      <c r="Y684" s="170"/>
      <c r="Z684" s="2576"/>
      <c r="AA684" s="2880"/>
      <c r="AB684" s="2576"/>
      <c r="AC684" s="2880"/>
      <c r="AD684" s="2559">
        <f>Z684*AB684</f>
        <v>0</v>
      </c>
      <c r="AE684" s="2560"/>
      <c r="AF684" s="45"/>
      <c r="AG684" s="122" t="s">
        <v>853</v>
      </c>
      <c r="AH684" s="170"/>
      <c r="AI684" s="170"/>
      <c r="AJ684" s="2559"/>
      <c r="AK684" s="2560"/>
      <c r="AL684" s="2559"/>
      <c r="AM684" s="2560"/>
      <c r="AN684" s="2559">
        <f t="shared" ref="AN684:AN700" si="206">AJ684*AL684</f>
        <v>0</v>
      </c>
      <c r="AO684" s="2560"/>
    </row>
    <row r="685" spans="1:41" ht="15.95" customHeight="1" x14ac:dyDescent="0.35">
      <c r="A685" s="2911" t="s">
        <v>990</v>
      </c>
      <c r="B685" s="2912"/>
      <c r="C685" s="197"/>
      <c r="D685" s="170"/>
      <c r="E685" s="2576"/>
      <c r="F685" s="2880"/>
      <c r="G685" s="2576"/>
      <c r="H685" s="2880"/>
      <c r="I685" s="2565">
        <f>SUM(I686:J688)</f>
        <v>0</v>
      </c>
      <c r="J685" s="2892"/>
      <c r="K685" s="279"/>
      <c r="L685" s="122" t="s">
        <v>859</v>
      </c>
      <c r="M685" s="170" t="s">
        <v>1047</v>
      </c>
      <c r="N685" s="170" t="s">
        <v>473</v>
      </c>
      <c r="O685" s="2559">
        <v>4.5</v>
      </c>
      <c r="P685" s="2560"/>
      <c r="Q685" s="2559">
        <v>38296</v>
      </c>
      <c r="R685" s="2560"/>
      <c r="S685" s="2559">
        <f t="shared" si="205"/>
        <v>172332</v>
      </c>
      <c r="T685" s="2560"/>
      <c r="U685" s="45"/>
      <c r="V685" s="2911" t="s">
        <v>990</v>
      </c>
      <c r="W685" s="2912"/>
      <c r="X685" s="187"/>
      <c r="Y685" s="170"/>
      <c r="Z685" s="2576"/>
      <c r="AA685" s="2880"/>
      <c r="AB685" s="2576"/>
      <c r="AC685" s="2880"/>
      <c r="AD685" s="2565">
        <f>SUM(AD686:AE688)</f>
        <v>0</v>
      </c>
      <c r="AE685" s="2892"/>
      <c r="AF685" s="45"/>
      <c r="AG685" s="122" t="s">
        <v>859</v>
      </c>
      <c r="AH685" s="170" t="s">
        <v>1122</v>
      </c>
      <c r="AI685" s="170" t="s">
        <v>473</v>
      </c>
      <c r="AJ685" s="2559">
        <v>4.5</v>
      </c>
      <c r="AK685" s="2560"/>
      <c r="AL685" s="2559">
        <f>+Q685</f>
        <v>38296</v>
      </c>
      <c r="AM685" s="2560"/>
      <c r="AN685" s="2559">
        <f t="shared" si="206"/>
        <v>172332</v>
      </c>
      <c r="AO685" s="2560"/>
    </row>
    <row r="686" spans="1:41" ht="15.95" customHeight="1" x14ac:dyDescent="0.3">
      <c r="A686" s="2915" t="s">
        <v>991</v>
      </c>
      <c r="B686" s="2916"/>
      <c r="C686" s="120"/>
      <c r="D686" s="170"/>
      <c r="E686" s="2576"/>
      <c r="F686" s="2880"/>
      <c r="G686" s="2559"/>
      <c r="H686" s="2880"/>
      <c r="I686" s="2559">
        <f>E686*G686</f>
        <v>0</v>
      </c>
      <c r="J686" s="2560"/>
      <c r="K686" s="279"/>
      <c r="L686" s="122" t="s">
        <v>861</v>
      </c>
      <c r="M686" s="170" t="s">
        <v>896</v>
      </c>
      <c r="N686" s="170" t="s">
        <v>1101</v>
      </c>
      <c r="O686" s="2559">
        <v>3</v>
      </c>
      <c r="P686" s="2560"/>
      <c r="Q686" s="2559">
        <f>36782*1.0928</f>
        <v>40195.369599999998</v>
      </c>
      <c r="R686" s="2560"/>
      <c r="S686" s="2559">
        <f t="shared" si="205"/>
        <v>120586.10879999999</v>
      </c>
      <c r="T686" s="2560"/>
      <c r="U686" s="45"/>
      <c r="V686" s="2915" t="s">
        <v>991</v>
      </c>
      <c r="W686" s="2916"/>
      <c r="X686" s="187"/>
      <c r="Y686" s="170"/>
      <c r="Z686" s="2576"/>
      <c r="AA686" s="2880"/>
      <c r="AB686" s="2576"/>
      <c r="AC686" s="2880"/>
      <c r="AD686" s="2559">
        <f>Z686*AB686</f>
        <v>0</v>
      </c>
      <c r="AE686" s="2560"/>
      <c r="AF686" s="45"/>
      <c r="AG686" s="122" t="s">
        <v>861</v>
      </c>
      <c r="AH686" s="170" t="s">
        <v>896</v>
      </c>
      <c r="AI686" s="170" t="s">
        <v>473</v>
      </c>
      <c r="AJ686" s="2559">
        <v>3</v>
      </c>
      <c r="AK686" s="2560"/>
      <c r="AL686" s="2559">
        <f>+Q686</f>
        <v>40195.369599999998</v>
      </c>
      <c r="AM686" s="2560"/>
      <c r="AN686" s="2559">
        <f t="shared" si="206"/>
        <v>120586.10879999999</v>
      </c>
      <c r="AO686" s="2560"/>
    </row>
    <row r="687" spans="1:41" ht="15.95" customHeight="1" x14ac:dyDescent="0.3">
      <c r="A687" s="2915" t="s">
        <v>981</v>
      </c>
      <c r="B687" s="2916"/>
      <c r="C687" s="187"/>
      <c r="D687" s="170"/>
      <c r="E687" s="2576"/>
      <c r="F687" s="2880"/>
      <c r="G687" s="2559"/>
      <c r="H687" s="2880"/>
      <c r="I687" s="2559">
        <f>E687*G687</f>
        <v>0</v>
      </c>
      <c r="J687" s="2560"/>
      <c r="K687" s="279"/>
      <c r="L687" s="122" t="s">
        <v>863</v>
      </c>
      <c r="M687" s="170" t="s">
        <v>1100</v>
      </c>
      <c r="N687" s="170" t="s">
        <v>1101</v>
      </c>
      <c r="O687" s="2571">
        <v>5</v>
      </c>
      <c r="P687" s="2572"/>
      <c r="Q687" s="2559">
        <v>25849</v>
      </c>
      <c r="R687" s="2560"/>
      <c r="S687" s="2559">
        <f t="shared" si="205"/>
        <v>129245</v>
      </c>
      <c r="T687" s="2560"/>
      <c r="U687" s="45"/>
      <c r="V687" s="2915" t="s">
        <v>981</v>
      </c>
      <c r="W687" s="2916"/>
      <c r="X687" s="187"/>
      <c r="Y687" s="170"/>
      <c r="Z687" s="2576"/>
      <c r="AA687" s="2880"/>
      <c r="AB687" s="2576"/>
      <c r="AC687" s="2880"/>
      <c r="AD687" s="2559">
        <f>Z687*AB687</f>
        <v>0</v>
      </c>
      <c r="AE687" s="2560"/>
      <c r="AF687" s="45"/>
      <c r="AG687" s="122" t="s">
        <v>863</v>
      </c>
      <c r="AH687" s="170" t="s">
        <v>1100</v>
      </c>
      <c r="AI687" s="170" t="s">
        <v>1101</v>
      </c>
      <c r="AJ687" s="2571">
        <v>3</v>
      </c>
      <c r="AK687" s="2572"/>
      <c r="AL687" s="2559">
        <f>+Q687</f>
        <v>25849</v>
      </c>
      <c r="AM687" s="2560"/>
      <c r="AN687" s="2559">
        <f t="shared" si="206"/>
        <v>77547</v>
      </c>
      <c r="AO687" s="2560"/>
    </row>
    <row r="688" spans="1:41" ht="15.95" customHeight="1" x14ac:dyDescent="0.3">
      <c r="A688" s="2915" t="s">
        <v>992</v>
      </c>
      <c r="B688" s="2916"/>
      <c r="C688" s="187"/>
      <c r="D688" s="170"/>
      <c r="E688" s="2576"/>
      <c r="F688" s="2880"/>
      <c r="G688" s="2559"/>
      <c r="H688" s="2880"/>
      <c r="I688" s="2559">
        <f>E688*G688</f>
        <v>0</v>
      </c>
      <c r="J688" s="2560"/>
      <c r="K688" s="279"/>
      <c r="L688" s="122" t="s">
        <v>534</v>
      </c>
      <c r="M688" s="170"/>
      <c r="N688" s="170"/>
      <c r="O688" s="2559"/>
      <c r="P688" s="2560"/>
      <c r="Q688" s="2559"/>
      <c r="R688" s="2560"/>
      <c r="S688" s="2559">
        <f t="shared" si="205"/>
        <v>0</v>
      </c>
      <c r="T688" s="2560"/>
      <c r="U688" s="45"/>
      <c r="V688" s="2915" t="s">
        <v>992</v>
      </c>
      <c r="W688" s="2916"/>
      <c r="X688" s="187"/>
      <c r="Y688" s="170"/>
      <c r="Z688" s="2576"/>
      <c r="AA688" s="2880"/>
      <c r="AB688" s="2576"/>
      <c r="AC688" s="2880"/>
      <c r="AD688" s="2559">
        <f>Z688*AB688</f>
        <v>0</v>
      </c>
      <c r="AE688" s="2560"/>
      <c r="AF688" s="45"/>
      <c r="AG688" s="122" t="s">
        <v>534</v>
      </c>
      <c r="AH688" s="170"/>
      <c r="AI688" s="170"/>
      <c r="AJ688" s="2559"/>
      <c r="AK688" s="2560"/>
      <c r="AL688" s="2559"/>
      <c r="AM688" s="2560"/>
      <c r="AN688" s="2559">
        <f t="shared" si="206"/>
        <v>0</v>
      </c>
      <c r="AO688" s="2560"/>
    </row>
    <row r="689" spans="1:41" ht="15.95" customHeight="1" x14ac:dyDescent="0.35">
      <c r="A689" s="2998" t="s">
        <v>993</v>
      </c>
      <c r="B689" s="2999"/>
      <c r="C689" s="187"/>
      <c r="D689" s="170"/>
      <c r="E689" s="2576"/>
      <c r="F689" s="2880"/>
      <c r="G689" s="2559"/>
      <c r="H689" s="2560"/>
      <c r="I689" s="2565">
        <f>SUM(I690:J699)</f>
        <v>1645000</v>
      </c>
      <c r="J689" s="2892"/>
      <c r="K689" s="279"/>
      <c r="L689" s="288" t="s">
        <v>535</v>
      </c>
      <c r="M689" s="170" t="s">
        <v>753</v>
      </c>
      <c r="N689" s="170" t="s">
        <v>460</v>
      </c>
      <c r="O689" s="2559">
        <v>7</v>
      </c>
      <c r="P689" s="2560"/>
      <c r="Q689" s="2895">
        <v>188974</v>
      </c>
      <c r="R689" s="2896"/>
      <c r="S689" s="2559">
        <f t="shared" si="205"/>
        <v>1322818</v>
      </c>
      <c r="T689" s="2560"/>
      <c r="U689" s="45"/>
      <c r="V689" s="2998" t="s">
        <v>1035</v>
      </c>
      <c r="W689" s="2999"/>
      <c r="X689" s="288"/>
      <c r="Y689" s="170"/>
      <c r="Z689" s="2576"/>
      <c r="AA689" s="2880"/>
      <c r="AB689" s="2576"/>
      <c r="AC689" s="2880"/>
      <c r="AD689" s="2565">
        <f>SUM(AD690:AE699)</f>
        <v>0</v>
      </c>
      <c r="AE689" s="2892"/>
      <c r="AF689" s="45"/>
      <c r="AG689" s="288" t="s">
        <v>535</v>
      </c>
      <c r="AH689" s="170" t="s">
        <v>753</v>
      </c>
      <c r="AI689" s="170" t="s">
        <v>460</v>
      </c>
      <c r="AJ689" s="2571">
        <v>5.5</v>
      </c>
      <c r="AK689" s="2572"/>
      <c r="AL689" s="2895">
        <f>+Q689</f>
        <v>188974</v>
      </c>
      <c r="AM689" s="2896"/>
      <c r="AN689" s="2559">
        <f t="shared" si="206"/>
        <v>1039357</v>
      </c>
      <c r="AO689" s="2560"/>
    </row>
    <row r="690" spans="1:41" ht="15.95" customHeight="1" x14ac:dyDescent="0.3">
      <c r="A690" s="2839" t="s">
        <v>995</v>
      </c>
      <c r="B690" s="2840"/>
      <c r="C690" s="120" t="s">
        <v>496</v>
      </c>
      <c r="D690" s="170" t="s">
        <v>497</v>
      </c>
      <c r="E690" s="2559">
        <v>12</v>
      </c>
      <c r="F690" s="2560"/>
      <c r="G690" s="2576">
        <v>47000</v>
      </c>
      <c r="H690" s="2880">
        <f t="shared" ref="H690" si="207">(36040*6%)+36040</f>
        <v>38202.400000000001</v>
      </c>
      <c r="I690" s="2559">
        <f t="shared" ref="I690:I699" si="208">E690*G690</f>
        <v>564000</v>
      </c>
      <c r="J690" s="2560"/>
      <c r="K690" s="279"/>
      <c r="L690" s="122" t="s">
        <v>537</v>
      </c>
      <c r="M690" s="170"/>
      <c r="N690" s="170"/>
      <c r="O690" s="2559"/>
      <c r="P690" s="2560"/>
      <c r="Q690" s="2559"/>
      <c r="R690" s="2560"/>
      <c r="S690" s="2559">
        <f t="shared" si="205"/>
        <v>0</v>
      </c>
      <c r="T690" s="2560"/>
      <c r="U690" s="45"/>
      <c r="V690" s="2839" t="s">
        <v>991</v>
      </c>
      <c r="W690" s="2840"/>
      <c r="X690" s="288"/>
      <c r="Y690" s="170"/>
      <c r="Z690" s="2559"/>
      <c r="AA690" s="2560"/>
      <c r="AB690" s="2559"/>
      <c r="AC690" s="2560"/>
      <c r="AD690" s="2559">
        <f>Z690*AB690</f>
        <v>0</v>
      </c>
      <c r="AE690" s="2560"/>
      <c r="AF690" s="45"/>
      <c r="AG690" s="122" t="s">
        <v>537</v>
      </c>
      <c r="AH690" s="170"/>
      <c r="AI690" s="170"/>
      <c r="AJ690" s="2559"/>
      <c r="AK690" s="2560"/>
      <c r="AL690" s="2559"/>
      <c r="AM690" s="2560"/>
      <c r="AN690" s="2559">
        <f t="shared" si="206"/>
        <v>0</v>
      </c>
      <c r="AO690" s="2560"/>
    </row>
    <row r="691" spans="1:41" ht="15.95" customHeight="1" x14ac:dyDescent="0.2">
      <c r="A691" s="2839" t="s">
        <v>996</v>
      </c>
      <c r="B691" s="2840"/>
      <c r="C691" s="170"/>
      <c r="D691" s="170"/>
      <c r="E691" s="2559"/>
      <c r="F691" s="2560"/>
      <c r="G691" s="2559"/>
      <c r="H691" s="2560"/>
      <c r="I691" s="2559">
        <f t="shared" si="208"/>
        <v>0</v>
      </c>
      <c r="J691" s="2560"/>
      <c r="K691" s="279"/>
      <c r="L691" s="122" t="s">
        <v>458</v>
      </c>
      <c r="M691" s="170" t="s">
        <v>1123</v>
      </c>
      <c r="N691" s="170" t="s">
        <v>809</v>
      </c>
      <c r="O691" s="2559">
        <v>4</v>
      </c>
      <c r="P691" s="2560"/>
      <c r="Q691" s="2559">
        <v>164123</v>
      </c>
      <c r="R691" s="2560"/>
      <c r="S691" s="2559">
        <f t="shared" si="205"/>
        <v>656492</v>
      </c>
      <c r="T691" s="2560"/>
      <c r="U691" s="45"/>
      <c r="V691" s="2839" t="s">
        <v>996</v>
      </c>
      <c r="W691" s="2840"/>
      <c r="X691" s="187"/>
      <c r="Y691" s="170"/>
      <c r="Z691" s="2559"/>
      <c r="AA691" s="2560"/>
      <c r="AB691" s="2559"/>
      <c r="AC691" s="2560"/>
      <c r="AD691" s="2559">
        <f>Z691*AB691</f>
        <v>0</v>
      </c>
      <c r="AE691" s="2560"/>
      <c r="AF691" s="45"/>
      <c r="AG691" s="122" t="s">
        <v>458</v>
      </c>
      <c r="AH691" s="170"/>
      <c r="AI691" s="170"/>
      <c r="AJ691" s="2559"/>
      <c r="AK691" s="2560"/>
      <c r="AL691" s="2559"/>
      <c r="AM691" s="2560"/>
      <c r="AN691" s="2559">
        <f t="shared" si="206"/>
        <v>0</v>
      </c>
      <c r="AO691" s="2560"/>
    </row>
    <row r="692" spans="1:41" ht="15.95" customHeight="1" x14ac:dyDescent="0.2">
      <c r="A692" s="2839" t="s">
        <v>469</v>
      </c>
      <c r="B692" s="2840"/>
      <c r="C692" s="120"/>
      <c r="D692" s="170"/>
      <c r="E692" s="2559"/>
      <c r="F692" s="2560"/>
      <c r="G692" s="2559"/>
      <c r="H692" s="2560"/>
      <c r="I692" s="2559">
        <f t="shared" si="208"/>
        <v>0</v>
      </c>
      <c r="J692" s="2560"/>
      <c r="K692" s="279"/>
      <c r="L692" s="122" t="s">
        <v>456</v>
      </c>
      <c r="M692" s="170" t="s">
        <v>710</v>
      </c>
      <c r="N692" s="170" t="s">
        <v>556</v>
      </c>
      <c r="O692" s="2559">
        <v>1</v>
      </c>
      <c r="P692" s="2560"/>
      <c r="Q692" s="2559">
        <f>180902*1.0928</f>
        <v>197689.70559999999</v>
      </c>
      <c r="R692" s="2560"/>
      <c r="S692" s="2559">
        <f t="shared" si="205"/>
        <v>197689.70559999999</v>
      </c>
      <c r="T692" s="2560"/>
      <c r="U692" s="45"/>
      <c r="V692" s="2839" t="s">
        <v>469</v>
      </c>
      <c r="W692" s="2840"/>
      <c r="X692" s="187"/>
      <c r="Y692" s="170"/>
      <c r="Z692" s="2559"/>
      <c r="AA692" s="2560"/>
      <c r="AB692" s="2559"/>
      <c r="AC692" s="2560"/>
      <c r="AD692" s="2559">
        <f t="shared" ref="AD692:AD699" si="209">Z692*AB692</f>
        <v>0</v>
      </c>
      <c r="AE692" s="2560"/>
      <c r="AF692" s="45"/>
      <c r="AG692" s="122" t="s">
        <v>456</v>
      </c>
      <c r="AH692" s="170"/>
      <c r="AI692" s="170"/>
      <c r="AJ692" s="2559"/>
      <c r="AK692" s="2560"/>
      <c r="AL692" s="2559"/>
      <c r="AM692" s="2560"/>
      <c r="AN692" s="2559">
        <f t="shared" si="206"/>
        <v>0</v>
      </c>
      <c r="AO692" s="2560"/>
    </row>
    <row r="693" spans="1:41" ht="15.95" customHeight="1" x14ac:dyDescent="0.3">
      <c r="A693" s="2839" t="s">
        <v>470</v>
      </c>
      <c r="B693" s="2840"/>
      <c r="C693" s="299"/>
      <c r="D693" s="120"/>
      <c r="E693" s="2559"/>
      <c r="F693" s="2560"/>
      <c r="G693" s="2559"/>
      <c r="H693" s="2560"/>
      <c r="I693" s="2559">
        <f t="shared" si="208"/>
        <v>0</v>
      </c>
      <c r="J693" s="2560"/>
      <c r="K693" s="279"/>
      <c r="L693" s="122" t="s">
        <v>871</v>
      </c>
      <c r="M693" s="170"/>
      <c r="N693" s="170"/>
      <c r="O693" s="2559"/>
      <c r="P693" s="2560"/>
      <c r="Q693" s="2559"/>
      <c r="R693" s="2560"/>
      <c r="S693" s="2559">
        <f t="shared" si="205"/>
        <v>0</v>
      </c>
      <c r="T693" s="2560"/>
      <c r="U693" s="45"/>
      <c r="V693" s="2839" t="s">
        <v>470</v>
      </c>
      <c r="W693" s="2840"/>
      <c r="X693" s="187"/>
      <c r="Y693" s="170"/>
      <c r="Z693" s="2559"/>
      <c r="AA693" s="2560"/>
      <c r="AB693" s="2559"/>
      <c r="AC693" s="2560"/>
      <c r="AD693" s="2559">
        <f t="shared" si="209"/>
        <v>0</v>
      </c>
      <c r="AE693" s="2560"/>
      <c r="AF693" s="45"/>
      <c r="AG693" s="122" t="s">
        <v>871</v>
      </c>
      <c r="AH693" s="170"/>
      <c r="AI693" s="170"/>
      <c r="AJ693" s="2559"/>
      <c r="AK693" s="2560"/>
      <c r="AL693" s="2559"/>
      <c r="AM693" s="2560"/>
      <c r="AN693" s="2559">
        <f t="shared" si="206"/>
        <v>0</v>
      </c>
      <c r="AO693" s="2560"/>
    </row>
    <row r="694" spans="1:41" ht="15.95" customHeight="1" x14ac:dyDescent="0.3">
      <c r="A694" s="2839" t="s">
        <v>902</v>
      </c>
      <c r="B694" s="2840"/>
      <c r="C694" s="120" t="s">
        <v>496</v>
      </c>
      <c r="D694" s="170" t="s">
        <v>497</v>
      </c>
      <c r="E694" s="2559">
        <v>3</v>
      </c>
      <c r="F694" s="2560"/>
      <c r="G694" s="2576">
        <v>47000</v>
      </c>
      <c r="H694" s="2880">
        <f t="shared" ref="H694:H696" si="210">(36040*6%)+36040</f>
        <v>38202.400000000001</v>
      </c>
      <c r="I694" s="2559">
        <f t="shared" si="208"/>
        <v>141000</v>
      </c>
      <c r="J694" s="2560"/>
      <c r="K694" s="279"/>
      <c r="L694" s="122" t="s">
        <v>595</v>
      </c>
      <c r="M694" s="170"/>
      <c r="N694" s="170"/>
      <c r="O694" s="2559"/>
      <c r="P694" s="2560"/>
      <c r="Q694" s="2559"/>
      <c r="R694" s="2560"/>
      <c r="S694" s="2559">
        <f t="shared" si="205"/>
        <v>0</v>
      </c>
      <c r="T694" s="2560"/>
      <c r="U694" s="45"/>
      <c r="V694" s="2839" t="s">
        <v>1068</v>
      </c>
      <c r="W694" s="2840"/>
      <c r="X694" s="288"/>
      <c r="Y694" s="170"/>
      <c r="Z694" s="2559"/>
      <c r="AA694" s="2560"/>
      <c r="AB694" s="2559"/>
      <c r="AC694" s="2880"/>
      <c r="AD694" s="2559">
        <f t="shared" si="209"/>
        <v>0</v>
      </c>
      <c r="AE694" s="2560"/>
      <c r="AF694" s="45"/>
      <c r="AG694" s="122" t="s">
        <v>595</v>
      </c>
      <c r="AH694" s="170"/>
      <c r="AI694" s="170"/>
      <c r="AJ694" s="2559"/>
      <c r="AK694" s="2560"/>
      <c r="AL694" s="2559"/>
      <c r="AM694" s="2560"/>
      <c r="AN694" s="2559">
        <f t="shared" si="206"/>
        <v>0</v>
      </c>
      <c r="AO694" s="2560"/>
    </row>
    <row r="695" spans="1:41" ht="15.95" customHeight="1" x14ac:dyDescent="0.3">
      <c r="A695" s="2839" t="s">
        <v>998</v>
      </c>
      <c r="B695" s="2840"/>
      <c r="C695" s="120" t="s">
        <v>496</v>
      </c>
      <c r="D695" s="170" t="s">
        <v>497</v>
      </c>
      <c r="E695" s="2576">
        <v>12</v>
      </c>
      <c r="F695" s="2880"/>
      <c r="G695" s="2576">
        <v>47000</v>
      </c>
      <c r="H695" s="2880">
        <f t="shared" si="210"/>
        <v>38202.400000000001</v>
      </c>
      <c r="I695" s="2559">
        <f t="shared" si="208"/>
        <v>564000</v>
      </c>
      <c r="J695" s="2560"/>
      <c r="K695" s="279"/>
      <c r="L695" s="122" t="s">
        <v>507</v>
      </c>
      <c r="M695" s="214"/>
      <c r="N695" s="120"/>
      <c r="O695" s="2559"/>
      <c r="P695" s="2560"/>
      <c r="Q695" s="2559"/>
      <c r="R695" s="2560"/>
      <c r="S695" s="2559">
        <f t="shared" si="205"/>
        <v>0</v>
      </c>
      <c r="T695" s="2560"/>
      <c r="U695" s="45"/>
      <c r="V695" s="2839" t="s">
        <v>998</v>
      </c>
      <c r="W695" s="2840"/>
      <c r="X695" s="187"/>
      <c r="Y695" s="170"/>
      <c r="Z695" s="2576"/>
      <c r="AA695" s="2880"/>
      <c r="AB695" s="2576"/>
      <c r="AC695" s="2880"/>
      <c r="AD695" s="2559">
        <f t="shared" si="209"/>
        <v>0</v>
      </c>
      <c r="AE695" s="2560"/>
      <c r="AF695" s="45"/>
      <c r="AG695" s="122" t="s">
        <v>507</v>
      </c>
      <c r="AH695" s="214"/>
      <c r="AI695" s="120"/>
      <c r="AJ695" s="2559"/>
      <c r="AK695" s="2560"/>
      <c r="AL695" s="2559"/>
      <c r="AM695" s="2560"/>
      <c r="AN695" s="2559">
        <f t="shared" si="206"/>
        <v>0</v>
      </c>
      <c r="AO695" s="2560"/>
    </row>
    <row r="696" spans="1:41" ht="15.95" customHeight="1" x14ac:dyDescent="0.3">
      <c r="A696" s="2839" t="s">
        <v>999</v>
      </c>
      <c r="B696" s="2840"/>
      <c r="C696" s="120" t="s">
        <v>496</v>
      </c>
      <c r="D696" s="170" t="s">
        <v>497</v>
      </c>
      <c r="E696" s="2576">
        <v>3</v>
      </c>
      <c r="F696" s="2880"/>
      <c r="G696" s="2576">
        <v>47000</v>
      </c>
      <c r="H696" s="2880">
        <f t="shared" si="210"/>
        <v>38202.400000000001</v>
      </c>
      <c r="I696" s="2559">
        <f t="shared" si="208"/>
        <v>141000</v>
      </c>
      <c r="J696" s="2560"/>
      <c r="K696" s="279"/>
      <c r="L696" s="122" t="s">
        <v>801</v>
      </c>
      <c r="M696" s="170"/>
      <c r="N696" s="170"/>
      <c r="O696" s="2559"/>
      <c r="P696" s="2560"/>
      <c r="Q696" s="2559"/>
      <c r="R696" s="2560"/>
      <c r="S696" s="2559">
        <f t="shared" si="205"/>
        <v>0</v>
      </c>
      <c r="T696" s="2560"/>
      <c r="U696" s="45"/>
      <c r="V696" s="2839" t="s">
        <v>999</v>
      </c>
      <c r="W696" s="2840"/>
      <c r="X696" s="187"/>
      <c r="Y696" s="170"/>
      <c r="Z696" s="2576"/>
      <c r="AA696" s="2880"/>
      <c r="AB696" s="2576"/>
      <c r="AC696" s="2880"/>
      <c r="AD696" s="2559">
        <f t="shared" si="209"/>
        <v>0</v>
      </c>
      <c r="AE696" s="2560"/>
      <c r="AF696" s="45"/>
      <c r="AG696" s="122" t="s">
        <v>801</v>
      </c>
      <c r="AH696" s="170"/>
      <c r="AI696" s="170"/>
      <c r="AJ696" s="2559"/>
      <c r="AK696" s="2560"/>
      <c r="AL696" s="2559"/>
      <c r="AM696" s="2560"/>
      <c r="AN696" s="2559">
        <f t="shared" si="206"/>
        <v>0</v>
      </c>
      <c r="AO696" s="2560"/>
    </row>
    <row r="697" spans="1:41" ht="15.95" customHeight="1" x14ac:dyDescent="0.3">
      <c r="A697" s="2839" t="s">
        <v>873</v>
      </c>
      <c r="B697" s="2840"/>
      <c r="C697" s="120"/>
      <c r="D697" s="170"/>
      <c r="E697" s="2576"/>
      <c r="F697" s="2880"/>
      <c r="G697" s="2576"/>
      <c r="H697" s="2880"/>
      <c r="I697" s="2559">
        <f t="shared" si="208"/>
        <v>0</v>
      </c>
      <c r="J697" s="2560"/>
      <c r="K697" s="279"/>
      <c r="L697" s="122" t="s">
        <v>575</v>
      </c>
      <c r="M697" s="170"/>
      <c r="N697" s="170"/>
      <c r="O697" s="2559"/>
      <c r="P697" s="2560"/>
      <c r="Q697" s="2559"/>
      <c r="R697" s="2560"/>
      <c r="S697" s="2559">
        <f t="shared" si="205"/>
        <v>0</v>
      </c>
      <c r="T697" s="2560"/>
      <c r="U697" s="45"/>
      <c r="V697" s="2839" t="s">
        <v>873</v>
      </c>
      <c r="W697" s="2840"/>
      <c r="X697" s="187"/>
      <c r="Y697" s="170"/>
      <c r="Z697" s="2576"/>
      <c r="AA697" s="2880"/>
      <c r="AB697" s="2576"/>
      <c r="AC697" s="2880"/>
      <c r="AD697" s="2559">
        <f t="shared" si="209"/>
        <v>0</v>
      </c>
      <c r="AE697" s="2560"/>
      <c r="AF697" s="45"/>
      <c r="AG697" s="122" t="s">
        <v>575</v>
      </c>
      <c r="AH697" s="170"/>
      <c r="AI697" s="170"/>
      <c r="AJ697" s="2559"/>
      <c r="AK697" s="2560"/>
      <c r="AL697" s="2559"/>
      <c r="AM697" s="2560"/>
      <c r="AN697" s="2559">
        <f t="shared" si="206"/>
        <v>0</v>
      </c>
      <c r="AO697" s="2560"/>
    </row>
    <row r="698" spans="1:41" ht="15.95" customHeight="1" x14ac:dyDescent="0.3">
      <c r="A698" s="2839" t="s">
        <v>1000</v>
      </c>
      <c r="B698" s="2840"/>
      <c r="C698" s="120" t="s">
        <v>496</v>
      </c>
      <c r="D698" s="170" t="s">
        <v>497</v>
      </c>
      <c r="E698" s="2576">
        <v>5</v>
      </c>
      <c r="F698" s="2880"/>
      <c r="G698" s="2576">
        <v>47000</v>
      </c>
      <c r="H698" s="2880">
        <f t="shared" ref="H698" si="211">(36040*6%)+36040</f>
        <v>38202.400000000001</v>
      </c>
      <c r="I698" s="2559">
        <f t="shared" si="208"/>
        <v>235000</v>
      </c>
      <c r="J698" s="2560"/>
      <c r="K698" s="279"/>
      <c r="L698" s="122" t="s">
        <v>874</v>
      </c>
      <c r="M698" s="170"/>
      <c r="N698" s="170"/>
      <c r="O698" s="2559"/>
      <c r="P698" s="2560"/>
      <c r="Q698" s="2559"/>
      <c r="R698" s="2560"/>
      <c r="S698" s="2559">
        <f t="shared" si="205"/>
        <v>0</v>
      </c>
      <c r="T698" s="2560"/>
      <c r="U698" s="45"/>
      <c r="V698" s="2839" t="s">
        <v>1000</v>
      </c>
      <c r="W698" s="2840"/>
      <c r="X698" s="187"/>
      <c r="Y698" s="170"/>
      <c r="Z698" s="2576"/>
      <c r="AA698" s="2880"/>
      <c r="AB698" s="2576"/>
      <c r="AC698" s="2880"/>
      <c r="AD698" s="2559">
        <f t="shared" si="209"/>
        <v>0</v>
      </c>
      <c r="AE698" s="2560"/>
      <c r="AF698" s="45"/>
      <c r="AG698" s="122" t="s">
        <v>874</v>
      </c>
      <c r="AH698" s="170"/>
      <c r="AI698" s="170"/>
      <c r="AJ698" s="2559"/>
      <c r="AK698" s="2560"/>
      <c r="AL698" s="2559"/>
      <c r="AM698" s="2560"/>
      <c r="AN698" s="2559">
        <f t="shared" si="206"/>
        <v>0</v>
      </c>
      <c r="AO698" s="2560"/>
    </row>
    <row r="699" spans="1:41" ht="15.95" customHeight="1" x14ac:dyDescent="0.3">
      <c r="A699" s="2839" t="s">
        <v>504</v>
      </c>
      <c r="B699" s="2840"/>
      <c r="C699" s="187"/>
      <c r="D699" s="170"/>
      <c r="E699" s="2576"/>
      <c r="F699" s="2880"/>
      <c r="G699" s="2576"/>
      <c r="H699" s="2880"/>
      <c r="I699" s="2559">
        <f t="shared" si="208"/>
        <v>0</v>
      </c>
      <c r="J699" s="2560"/>
      <c r="K699" s="279"/>
      <c r="L699" s="196" t="s">
        <v>515</v>
      </c>
      <c r="M699" s="120"/>
      <c r="N699" s="120"/>
      <c r="O699" s="2643"/>
      <c r="P699" s="2643"/>
      <c r="Q699" s="2643"/>
      <c r="R699" s="2643"/>
      <c r="S699" s="2559">
        <f t="shared" si="205"/>
        <v>0</v>
      </c>
      <c r="T699" s="2560"/>
      <c r="U699" s="45"/>
      <c r="V699" s="2839" t="s">
        <v>504</v>
      </c>
      <c r="W699" s="2840"/>
      <c r="X699" s="187"/>
      <c r="Y699" s="170"/>
      <c r="Z699" s="2576"/>
      <c r="AA699" s="2880"/>
      <c r="AB699" s="2576"/>
      <c r="AC699" s="2880"/>
      <c r="AD699" s="2559">
        <f t="shared" si="209"/>
        <v>0</v>
      </c>
      <c r="AE699" s="2560"/>
      <c r="AF699" s="45"/>
      <c r="AG699" s="196" t="s">
        <v>515</v>
      </c>
      <c r="AH699" s="120"/>
      <c r="AI699" s="120"/>
      <c r="AJ699" s="2643"/>
      <c r="AK699" s="2643"/>
      <c r="AL699" s="2643"/>
      <c r="AM699" s="2643"/>
      <c r="AN699" s="2559">
        <f t="shared" si="206"/>
        <v>0</v>
      </c>
      <c r="AO699" s="2560"/>
    </row>
    <row r="700" spans="1:41" ht="15.95" customHeight="1" x14ac:dyDescent="0.35">
      <c r="A700" s="2911" t="s">
        <v>1001</v>
      </c>
      <c r="B700" s="2912"/>
      <c r="C700" s="187"/>
      <c r="D700" s="170"/>
      <c r="E700" s="2576"/>
      <c r="F700" s="2880"/>
      <c r="G700" s="2576"/>
      <c r="H700" s="2880"/>
      <c r="I700" s="2565">
        <f>SUM(I701:J718)</f>
        <v>2021000</v>
      </c>
      <c r="J700" s="2892"/>
      <c r="K700" s="279"/>
      <c r="L700" s="196"/>
      <c r="M700" s="197"/>
      <c r="N700" s="120"/>
      <c r="O700" s="2643"/>
      <c r="P700" s="2643"/>
      <c r="Q700" s="2643"/>
      <c r="R700" s="2643"/>
      <c r="S700" s="2559"/>
      <c r="T700" s="2560"/>
      <c r="U700" s="45"/>
      <c r="V700" s="2911" t="s">
        <v>1001</v>
      </c>
      <c r="W700" s="2912"/>
      <c r="X700" s="187"/>
      <c r="Y700" s="170"/>
      <c r="Z700" s="2576"/>
      <c r="AA700" s="2880"/>
      <c r="AB700" s="2576"/>
      <c r="AC700" s="2880"/>
      <c r="AD700" s="2565">
        <f>SUM(AD701:AE718)</f>
        <v>2115000</v>
      </c>
      <c r="AE700" s="2892"/>
      <c r="AF700" s="45"/>
      <c r="AG700" s="196" t="s">
        <v>1093</v>
      </c>
      <c r="AH700" s="120"/>
      <c r="AI700" s="120"/>
      <c r="AJ700" s="2643"/>
      <c r="AK700" s="2643"/>
      <c r="AL700" s="2643"/>
      <c r="AM700" s="2643"/>
      <c r="AN700" s="2559">
        <f t="shared" si="206"/>
        <v>0</v>
      </c>
      <c r="AO700" s="2560"/>
    </row>
    <row r="701" spans="1:41" ht="15.95" customHeight="1" x14ac:dyDescent="0.3">
      <c r="A701" s="2839" t="s">
        <v>852</v>
      </c>
      <c r="B701" s="2840"/>
      <c r="C701" s="120" t="s">
        <v>496</v>
      </c>
      <c r="D701" s="170" t="s">
        <v>497</v>
      </c>
      <c r="E701" s="2559">
        <v>8</v>
      </c>
      <c r="F701" s="2560"/>
      <c r="G701" s="2576">
        <v>47000</v>
      </c>
      <c r="H701" s="2880">
        <f t="shared" ref="H701" si="212">(36040*6%)+36040</f>
        <v>38202.400000000001</v>
      </c>
      <c r="I701" s="2559">
        <f t="shared" ref="I701:I718" si="213">E701*G701</f>
        <v>376000</v>
      </c>
      <c r="J701" s="2560"/>
      <c r="K701" s="279"/>
      <c r="L701" s="199" t="s">
        <v>876</v>
      </c>
      <c r="M701" s="53"/>
      <c r="N701" s="200"/>
      <c r="O701" s="2893"/>
      <c r="P701" s="2893"/>
      <c r="Q701" s="2893"/>
      <c r="R701" s="2893"/>
      <c r="S701" s="2894">
        <f>SUM(S683:T699)</f>
        <v>6411286.3344000001</v>
      </c>
      <c r="T701" s="2894"/>
      <c r="U701" s="45"/>
      <c r="V701" s="2839" t="s">
        <v>852</v>
      </c>
      <c r="W701" s="2840"/>
      <c r="X701" s="187"/>
      <c r="Y701" s="170"/>
      <c r="Z701" s="2559"/>
      <c r="AA701" s="2560"/>
      <c r="AB701" s="2559"/>
      <c r="AC701" s="2560"/>
      <c r="AD701" s="2559">
        <f t="shared" ref="AD701:AD718" si="214">Z701*AB701</f>
        <v>0</v>
      </c>
      <c r="AE701" s="2560"/>
      <c r="AF701" s="45"/>
      <c r="AG701" s="199" t="s">
        <v>876</v>
      </c>
      <c r="AH701" s="53"/>
      <c r="AI701" s="200"/>
      <c r="AJ701" s="2893"/>
      <c r="AK701" s="2893"/>
      <c r="AL701" s="2893"/>
      <c r="AM701" s="2893"/>
      <c r="AN701" s="2894">
        <f>SUM(AN683:AO699)</f>
        <v>1409822.1088</v>
      </c>
      <c r="AO701" s="2894"/>
    </row>
    <row r="702" spans="1:41" ht="15.95" customHeight="1" x14ac:dyDescent="0.2">
      <c r="A702" s="2839" t="s">
        <v>495</v>
      </c>
      <c r="B702" s="2840"/>
      <c r="C702" s="170"/>
      <c r="D702" s="170"/>
      <c r="E702" s="2559"/>
      <c r="F702" s="2560"/>
      <c r="G702" s="2559"/>
      <c r="H702" s="2560"/>
      <c r="I702" s="2559">
        <f t="shared" si="213"/>
        <v>0</v>
      </c>
      <c r="J702" s="2560"/>
      <c r="K702" s="279"/>
      <c r="L702" s="148"/>
      <c r="M702" s="197"/>
      <c r="N702" s="120"/>
      <c r="O702" s="2643"/>
      <c r="P702" s="2643"/>
      <c r="Q702" s="2643"/>
      <c r="R702" s="2643"/>
      <c r="S702" s="2643"/>
      <c r="T702" s="2643"/>
      <c r="U702" s="45"/>
      <c r="V702" s="2839" t="s">
        <v>495</v>
      </c>
      <c r="W702" s="2840"/>
      <c r="X702" s="187"/>
      <c r="Y702" s="170"/>
      <c r="Z702" s="2559"/>
      <c r="AA702" s="2560"/>
      <c r="AB702" s="2559"/>
      <c r="AC702" s="2560"/>
      <c r="AD702" s="2559">
        <f t="shared" si="214"/>
        <v>0</v>
      </c>
      <c r="AE702" s="2560"/>
      <c r="AF702" s="45"/>
      <c r="AG702" s="148"/>
      <c r="AH702" s="197"/>
      <c r="AI702" s="120"/>
      <c r="AJ702" s="2643"/>
      <c r="AK702" s="2643"/>
      <c r="AL702" s="2643"/>
      <c r="AM702" s="2643"/>
      <c r="AN702" s="2643"/>
      <c r="AO702" s="2643"/>
    </row>
    <row r="703" spans="1:41" ht="15.95" customHeight="1" x14ac:dyDescent="0.3">
      <c r="A703" s="2839" t="s">
        <v>1003</v>
      </c>
      <c r="B703" s="2840"/>
      <c r="C703" s="170"/>
      <c r="D703" s="170"/>
      <c r="E703" s="2576"/>
      <c r="F703" s="2880"/>
      <c r="G703" s="2559"/>
      <c r="H703" s="2880"/>
      <c r="I703" s="2559">
        <f t="shared" si="213"/>
        <v>0</v>
      </c>
      <c r="J703" s="2560"/>
      <c r="K703" s="279"/>
      <c r="L703" s="144" t="s">
        <v>577</v>
      </c>
      <c r="M703" s="145"/>
      <c r="N703" s="145"/>
      <c r="O703" s="2890"/>
      <c r="P703" s="2890"/>
      <c r="Q703" s="2890"/>
      <c r="R703" s="2890"/>
      <c r="S703" s="2890"/>
      <c r="T703" s="2891"/>
      <c r="U703" s="45"/>
      <c r="V703" s="2839" t="s">
        <v>1003</v>
      </c>
      <c r="W703" s="2840"/>
      <c r="X703" s="187"/>
      <c r="Y703" s="170"/>
      <c r="Z703" s="2576"/>
      <c r="AA703" s="2880"/>
      <c r="AB703" s="2576"/>
      <c r="AC703" s="2880"/>
      <c r="AD703" s="2559">
        <f t="shared" si="214"/>
        <v>0</v>
      </c>
      <c r="AE703" s="2560"/>
      <c r="AF703" s="45"/>
      <c r="AG703" s="144" t="s">
        <v>577</v>
      </c>
      <c r="AH703" s="145"/>
      <c r="AI703" s="145"/>
      <c r="AJ703" s="2890"/>
      <c r="AK703" s="2890"/>
      <c r="AL703" s="2890"/>
      <c r="AM703" s="2890"/>
      <c r="AN703" s="2890"/>
      <c r="AO703" s="2891"/>
    </row>
    <row r="704" spans="1:41" ht="15.95" customHeight="1" x14ac:dyDescent="0.3">
      <c r="A704" s="2839" t="s">
        <v>1004</v>
      </c>
      <c r="B704" s="2840"/>
      <c r="C704" s="187"/>
      <c r="D704" s="170"/>
      <c r="E704" s="2576"/>
      <c r="F704" s="2880"/>
      <c r="G704" s="2576"/>
      <c r="H704" s="2880"/>
      <c r="I704" s="2559">
        <f t="shared" si="213"/>
        <v>0</v>
      </c>
      <c r="J704" s="2560"/>
      <c r="K704" s="279"/>
      <c r="L704" s="148" t="s">
        <v>1005</v>
      </c>
      <c r="M704" s="296"/>
      <c r="N704" s="45"/>
      <c r="O704" s="2575"/>
      <c r="P704" s="2575"/>
      <c r="Q704" s="2575"/>
      <c r="R704" s="2575"/>
      <c r="S704" s="2575">
        <f>+(S701+I726)*0.05</f>
        <v>546579.78839999996</v>
      </c>
      <c r="T704" s="2560"/>
      <c r="U704" s="45"/>
      <c r="V704" s="2839" t="s">
        <v>1004</v>
      </c>
      <c r="W704" s="2840"/>
      <c r="X704" s="187"/>
      <c r="Y704" s="170"/>
      <c r="Z704" s="2576"/>
      <c r="AA704" s="2880"/>
      <c r="AB704" s="2576"/>
      <c r="AC704" s="2880"/>
      <c r="AD704" s="2559">
        <f t="shared" si="214"/>
        <v>0</v>
      </c>
      <c r="AE704" s="2560"/>
      <c r="AF704" s="45"/>
      <c r="AG704" s="148" t="s">
        <v>1005</v>
      </c>
      <c r="AH704" s="296"/>
      <c r="AI704" s="45"/>
      <c r="AJ704" s="2575"/>
      <c r="AK704" s="2575"/>
      <c r="AL704" s="2575"/>
      <c r="AM704" s="2575"/>
      <c r="AN704" s="2575">
        <f>+(AN701+AD726)*0.05</f>
        <v>263041.25631999999</v>
      </c>
      <c r="AO704" s="2560"/>
    </row>
    <row r="705" spans="1:41" ht="15.95" customHeight="1" x14ac:dyDescent="0.3">
      <c r="A705" s="2839" t="s">
        <v>1006</v>
      </c>
      <c r="B705" s="2840"/>
      <c r="C705" s="187"/>
      <c r="D705" s="170"/>
      <c r="E705" s="2576"/>
      <c r="F705" s="2880"/>
      <c r="G705" s="2576"/>
      <c r="H705" s="2880"/>
      <c r="I705" s="2559">
        <f t="shared" si="213"/>
        <v>0</v>
      </c>
      <c r="J705" s="2560"/>
      <c r="K705" s="279"/>
      <c r="L705" s="151" t="s">
        <v>527</v>
      </c>
      <c r="M705" s="45"/>
      <c r="N705" s="45"/>
      <c r="O705" s="2575"/>
      <c r="P705" s="2575"/>
      <c r="Q705" s="2575"/>
      <c r="R705" s="2575"/>
      <c r="S705" s="2575">
        <f>120000*1.0928</f>
        <v>131136</v>
      </c>
      <c r="T705" s="2560"/>
      <c r="U705" s="45"/>
      <c r="V705" s="2839" t="s">
        <v>1006</v>
      </c>
      <c r="W705" s="2840"/>
      <c r="X705" s="187"/>
      <c r="Y705" s="170"/>
      <c r="Z705" s="2576"/>
      <c r="AA705" s="2880"/>
      <c r="AB705" s="2576"/>
      <c r="AC705" s="2880"/>
      <c r="AD705" s="2559">
        <f t="shared" si="214"/>
        <v>0</v>
      </c>
      <c r="AE705" s="2560"/>
      <c r="AF705" s="45"/>
      <c r="AG705" s="151" t="s">
        <v>527</v>
      </c>
      <c r="AH705" s="45"/>
      <c r="AI705" s="45"/>
      <c r="AJ705" s="2575"/>
      <c r="AK705" s="2575"/>
      <c r="AL705" s="2575"/>
      <c r="AM705" s="2575"/>
      <c r="AN705" s="2575">
        <f>100000*1.0928</f>
        <v>109280</v>
      </c>
      <c r="AO705" s="2560"/>
    </row>
    <row r="706" spans="1:41" ht="15.95" customHeight="1" x14ac:dyDescent="0.3">
      <c r="A706" s="2839" t="s">
        <v>1007</v>
      </c>
      <c r="B706" s="2840"/>
      <c r="C706" s="187"/>
      <c r="D706" s="170"/>
      <c r="E706" s="2576"/>
      <c r="F706" s="2880"/>
      <c r="G706" s="2576"/>
      <c r="H706" s="2880"/>
      <c r="I706" s="2559">
        <f t="shared" si="213"/>
        <v>0</v>
      </c>
      <c r="J706" s="2560"/>
      <c r="K706" s="279"/>
      <c r="L706" s="152" t="s">
        <v>529</v>
      </c>
      <c r="M706" s="45"/>
      <c r="N706" s="45"/>
      <c r="O706" s="2575"/>
      <c r="P706" s="2575"/>
      <c r="Q706" s="2575"/>
      <c r="R706" s="2575"/>
      <c r="S706" s="2575">
        <f>400000*1.0928</f>
        <v>437120</v>
      </c>
      <c r="T706" s="2560"/>
      <c r="U706" s="45"/>
      <c r="V706" s="2839" t="s">
        <v>1007</v>
      </c>
      <c r="W706" s="2840"/>
      <c r="X706" s="187"/>
      <c r="Y706" s="170"/>
      <c r="Z706" s="2576"/>
      <c r="AA706" s="2880"/>
      <c r="AB706" s="2576"/>
      <c r="AC706" s="2880"/>
      <c r="AD706" s="2559">
        <f t="shared" si="214"/>
        <v>0</v>
      </c>
      <c r="AE706" s="2560"/>
      <c r="AF706" s="45"/>
      <c r="AG706" s="152" t="s">
        <v>529</v>
      </c>
      <c r="AH706" s="45"/>
      <c r="AI706" s="45"/>
      <c r="AJ706" s="2575"/>
      <c r="AK706" s="2575"/>
      <c r="AL706" s="2575"/>
      <c r="AM706" s="2575"/>
      <c r="AN706" s="2575">
        <f>400000*1.0928</f>
        <v>437120</v>
      </c>
      <c r="AO706" s="2560"/>
    </row>
    <row r="707" spans="1:41" ht="15.95" customHeight="1" x14ac:dyDescent="0.3">
      <c r="A707" s="2839" t="s">
        <v>1008</v>
      </c>
      <c r="B707" s="2840"/>
      <c r="C707" s="170"/>
      <c r="D707" s="170"/>
      <c r="E707" s="2576"/>
      <c r="F707" s="2880"/>
      <c r="G707" s="2559"/>
      <c r="H707" s="2880"/>
      <c r="I707" s="2559">
        <f t="shared" si="213"/>
        <v>0</v>
      </c>
      <c r="J707" s="2560"/>
      <c r="K707" s="279"/>
      <c r="L707" s="152" t="s">
        <v>726</v>
      </c>
      <c r="M707" s="45"/>
      <c r="N707" s="45"/>
      <c r="O707" s="2575"/>
      <c r="P707" s="2575"/>
      <c r="Q707" s="2575"/>
      <c r="R707" s="2575"/>
      <c r="S707" s="2575">
        <f>(I726+S701)*5%</f>
        <v>546579.78839999996</v>
      </c>
      <c r="T707" s="2560"/>
      <c r="U707" s="45"/>
      <c r="V707" s="2839" t="s">
        <v>1008</v>
      </c>
      <c r="W707" s="2840"/>
      <c r="X707" s="120"/>
      <c r="Y707" s="170"/>
      <c r="Z707" s="2576"/>
      <c r="AA707" s="2880"/>
      <c r="AB707" s="2576"/>
      <c r="AC707" s="2880"/>
      <c r="AD707" s="2559">
        <f t="shared" si="214"/>
        <v>0</v>
      </c>
      <c r="AE707" s="2560"/>
      <c r="AF707" s="45"/>
      <c r="AG707" s="152" t="s">
        <v>726</v>
      </c>
      <c r="AH707" s="45"/>
      <c r="AI707" s="45"/>
      <c r="AJ707" s="2575"/>
      <c r="AK707" s="2575"/>
      <c r="AL707" s="2575"/>
      <c r="AM707" s="2575"/>
      <c r="AN707" s="2575">
        <f>(AN701+AD726)*0.05</f>
        <v>263041.25631999999</v>
      </c>
      <c r="AO707" s="2560"/>
    </row>
    <row r="708" spans="1:41" ht="15.95" customHeight="1" x14ac:dyDescent="0.3">
      <c r="A708" s="2839" t="s">
        <v>1009</v>
      </c>
      <c r="B708" s="2840"/>
      <c r="C708" s="120" t="s">
        <v>496</v>
      </c>
      <c r="D708" s="170" t="s">
        <v>497</v>
      </c>
      <c r="E708" s="2576">
        <v>12</v>
      </c>
      <c r="F708" s="2880"/>
      <c r="G708" s="2576">
        <v>47000</v>
      </c>
      <c r="H708" s="2880">
        <f t="shared" ref="H708:H709" si="215">(36040*6%)+36040</f>
        <v>38202.400000000001</v>
      </c>
      <c r="I708" s="2559">
        <f t="shared" si="213"/>
        <v>564000</v>
      </c>
      <c r="J708" s="2560"/>
      <c r="K708" s="279"/>
      <c r="L708" s="166" t="s">
        <v>504</v>
      </c>
      <c r="M708" s="155"/>
      <c r="N708" s="155"/>
      <c r="O708" s="2557"/>
      <c r="P708" s="2557"/>
      <c r="Q708" s="2557"/>
      <c r="R708" s="2557"/>
      <c r="S708" s="2557">
        <f>150000*1.0928</f>
        <v>163920</v>
      </c>
      <c r="T708" s="2558"/>
      <c r="U708" s="45"/>
      <c r="V708" s="2839" t="s">
        <v>1009</v>
      </c>
      <c r="W708" s="2840"/>
      <c r="X708" s="187"/>
      <c r="Y708" s="170"/>
      <c r="Z708" s="2576">
        <v>12</v>
      </c>
      <c r="AA708" s="2880"/>
      <c r="AB708" s="2576">
        <f>+G708</f>
        <v>47000</v>
      </c>
      <c r="AC708" s="2880">
        <f t="shared" ref="AC708:AC709" si="216">(36040*6%)+36040</f>
        <v>38202.400000000001</v>
      </c>
      <c r="AD708" s="2559">
        <f t="shared" si="214"/>
        <v>564000</v>
      </c>
      <c r="AE708" s="2560"/>
      <c r="AF708" s="45"/>
      <c r="AG708" s="166" t="s">
        <v>504</v>
      </c>
      <c r="AH708" s="155"/>
      <c r="AI708" s="155"/>
      <c r="AJ708" s="2557"/>
      <c r="AK708" s="2557"/>
      <c r="AL708" s="2557"/>
      <c r="AM708" s="2557"/>
      <c r="AN708" s="2557">
        <f>150000*1.0928</f>
        <v>163920</v>
      </c>
      <c r="AO708" s="2558"/>
    </row>
    <row r="709" spans="1:41" ht="15.95" customHeight="1" x14ac:dyDescent="0.3">
      <c r="A709" s="2839" t="s">
        <v>1010</v>
      </c>
      <c r="B709" s="2840"/>
      <c r="C709" s="120" t="s">
        <v>496</v>
      </c>
      <c r="D709" s="170" t="s">
        <v>497</v>
      </c>
      <c r="E709" s="2576">
        <v>15</v>
      </c>
      <c r="F709" s="2880"/>
      <c r="G709" s="2576">
        <v>47000</v>
      </c>
      <c r="H709" s="2880">
        <f t="shared" si="215"/>
        <v>38202.400000000001</v>
      </c>
      <c r="I709" s="2559">
        <f t="shared" si="213"/>
        <v>705000</v>
      </c>
      <c r="J709" s="2560"/>
      <c r="K709" s="279"/>
      <c r="L709" s="156" t="s">
        <v>533</v>
      </c>
      <c r="M709" s="201"/>
      <c r="N709" s="201"/>
      <c r="O709" s="2885"/>
      <c r="P709" s="2885"/>
      <c r="Q709" s="2886"/>
      <c r="R709" s="2886"/>
      <c r="S709" s="2887">
        <f>SUM(S704:T708)</f>
        <v>1825335.5767999999</v>
      </c>
      <c r="T709" s="2887"/>
      <c r="U709" s="45"/>
      <c r="V709" s="2839" t="s">
        <v>1090</v>
      </c>
      <c r="W709" s="2840"/>
      <c r="X709" s="288"/>
      <c r="Y709" s="170"/>
      <c r="Z709" s="2576">
        <v>15</v>
      </c>
      <c r="AA709" s="2880"/>
      <c r="AB709" s="2576">
        <f t="shared" ref="AB709" si="217">+G709</f>
        <v>47000</v>
      </c>
      <c r="AC709" s="2880">
        <f t="shared" si="216"/>
        <v>38202.400000000001</v>
      </c>
      <c r="AD709" s="2559">
        <f t="shared" si="214"/>
        <v>705000</v>
      </c>
      <c r="AE709" s="2560"/>
      <c r="AF709" s="45"/>
      <c r="AG709" s="156" t="s">
        <v>533</v>
      </c>
      <c r="AH709" s="201"/>
      <c r="AI709" s="201"/>
      <c r="AJ709" s="2885"/>
      <c r="AK709" s="2885"/>
      <c r="AL709" s="2886"/>
      <c r="AM709" s="2886"/>
      <c r="AN709" s="2887">
        <f>SUM(AN704:AO708)</f>
        <v>1236402.5126399999</v>
      </c>
      <c r="AO709" s="2887"/>
    </row>
    <row r="710" spans="1:41" ht="15.95" customHeight="1" x14ac:dyDescent="0.3">
      <c r="A710" s="2839" t="s">
        <v>1011</v>
      </c>
      <c r="B710" s="2840"/>
      <c r="C710" s="120"/>
      <c r="D710" s="170"/>
      <c r="E710" s="2576"/>
      <c r="F710" s="2880"/>
      <c r="G710" s="2576"/>
      <c r="H710" s="2880"/>
      <c r="I710" s="2559">
        <f t="shared" si="213"/>
        <v>0</v>
      </c>
      <c r="J710" s="2560"/>
      <c r="K710" s="279"/>
      <c r="L710" s="159"/>
      <c r="M710" s="45"/>
      <c r="N710" s="45"/>
      <c r="O710" s="2575"/>
      <c r="P710" s="2575"/>
      <c r="Q710" s="2575"/>
      <c r="R710" s="2575"/>
      <c r="S710" s="2575"/>
      <c r="T710" s="2560"/>
      <c r="U710" s="45"/>
      <c r="V710" s="2839" t="s">
        <v>1124</v>
      </c>
      <c r="W710" s="2840"/>
      <c r="X710" s="187"/>
      <c r="Y710" s="170"/>
      <c r="Z710" s="2576">
        <v>10</v>
      </c>
      <c r="AA710" s="2880"/>
      <c r="AB710" s="2576">
        <v>47000</v>
      </c>
      <c r="AC710" s="2880">
        <v>38202.400000000001</v>
      </c>
      <c r="AD710" s="2559">
        <f t="shared" si="214"/>
        <v>470000</v>
      </c>
      <c r="AE710" s="2560"/>
      <c r="AF710" s="45"/>
      <c r="AG710" s="159"/>
      <c r="AH710" s="45"/>
      <c r="AI710" s="45"/>
      <c r="AJ710" s="2575"/>
      <c r="AK710" s="2575"/>
      <c r="AL710" s="2575"/>
      <c r="AM710" s="2575"/>
      <c r="AN710" s="2575"/>
      <c r="AO710" s="2560"/>
    </row>
    <row r="711" spans="1:41" ht="15.95" customHeight="1" thickBot="1" x14ac:dyDescent="0.35">
      <c r="A711" s="2839" t="s">
        <v>1012</v>
      </c>
      <c r="B711" s="2840"/>
      <c r="C711" s="120"/>
      <c r="D711" s="120"/>
      <c r="E711" s="2576"/>
      <c r="F711" s="2880"/>
      <c r="G711" s="2576"/>
      <c r="H711" s="2880"/>
      <c r="I711" s="2559">
        <f t="shared" si="213"/>
        <v>0</v>
      </c>
      <c r="J711" s="2560"/>
      <c r="K711" s="279"/>
      <c r="L711" s="160" t="s">
        <v>583</v>
      </c>
      <c r="M711" s="205"/>
      <c r="N711" s="205"/>
      <c r="O711" s="205"/>
      <c r="P711" s="205"/>
      <c r="Q711" s="161"/>
      <c r="R711" s="161"/>
      <c r="S711" s="2580">
        <f>SUM(S709+S701+I726)</f>
        <v>12756931.344799999</v>
      </c>
      <c r="T711" s="2581"/>
      <c r="U711" s="45"/>
      <c r="V711" s="2839" t="s">
        <v>1012</v>
      </c>
      <c r="W711" s="2840"/>
      <c r="X711" s="120"/>
      <c r="Y711" s="170"/>
      <c r="Z711" s="2576"/>
      <c r="AA711" s="2880"/>
      <c r="AB711" s="2576"/>
      <c r="AC711" s="2880"/>
      <c r="AD711" s="2559">
        <f t="shared" si="214"/>
        <v>0</v>
      </c>
      <c r="AE711" s="2560"/>
      <c r="AF711" s="45"/>
      <c r="AG711" s="160" t="s">
        <v>583</v>
      </c>
      <c r="AH711" s="205"/>
      <c r="AI711" s="205"/>
      <c r="AJ711" s="205"/>
      <c r="AK711" s="205"/>
      <c r="AL711" s="161"/>
      <c r="AM711" s="161"/>
      <c r="AN711" s="2580">
        <f>SUM(AN709+AN701+AD726)</f>
        <v>6497227.6390399998</v>
      </c>
      <c r="AO711" s="2581"/>
    </row>
    <row r="712" spans="1:41" ht="15.95" customHeight="1" x14ac:dyDescent="0.3">
      <c r="A712" s="2839" t="s">
        <v>1052</v>
      </c>
      <c r="B712" s="2840"/>
      <c r="C712" s="120"/>
      <c r="D712" s="120"/>
      <c r="E712" s="2559"/>
      <c r="F712" s="2560"/>
      <c r="G712" s="2559"/>
      <c r="H712" s="2560"/>
      <c r="I712" s="2559">
        <f t="shared" si="213"/>
        <v>0</v>
      </c>
      <c r="J712" s="2560"/>
      <c r="K712" s="284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2839" t="s">
        <v>1018</v>
      </c>
      <c r="W712" s="2840"/>
      <c r="X712" s="120"/>
      <c r="Y712" s="170"/>
      <c r="Z712" s="2559"/>
      <c r="AA712" s="2560"/>
      <c r="AB712" s="2576"/>
      <c r="AC712" s="2880"/>
      <c r="AD712" s="2559">
        <f t="shared" si="214"/>
        <v>0</v>
      </c>
      <c r="AE712" s="2560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</row>
    <row r="713" spans="1:41" ht="15.95" customHeight="1" x14ac:dyDescent="0.3">
      <c r="A713" s="2839" t="s">
        <v>1019</v>
      </c>
      <c r="B713" s="2840"/>
      <c r="C713" s="120" t="s">
        <v>496</v>
      </c>
      <c r="D713" s="170" t="s">
        <v>497</v>
      </c>
      <c r="E713" s="2576">
        <v>8</v>
      </c>
      <c r="F713" s="2880"/>
      <c r="G713" s="2576">
        <v>47000</v>
      </c>
      <c r="H713" s="2880">
        <f t="shared" ref="H713" si="218">(36040*6%)+36040</f>
        <v>38202.400000000001</v>
      </c>
      <c r="I713" s="2559">
        <f t="shared" si="213"/>
        <v>376000</v>
      </c>
      <c r="J713" s="2560"/>
      <c r="K713" s="279"/>
      <c r="L713" s="7" t="s">
        <v>1528</v>
      </c>
      <c r="M713" s="45"/>
      <c r="N713" s="45"/>
      <c r="O713" s="45"/>
      <c r="P713" s="45"/>
      <c r="Q713" s="45"/>
      <c r="R713" s="45"/>
      <c r="S713" s="45"/>
      <c r="T713" s="45"/>
      <c r="U713" s="45"/>
      <c r="V713" s="2839" t="s">
        <v>1019</v>
      </c>
      <c r="W713" s="2840"/>
      <c r="X713" s="120"/>
      <c r="Y713" s="170"/>
      <c r="Z713" s="2576">
        <v>8</v>
      </c>
      <c r="AA713" s="2880"/>
      <c r="AB713" s="2576">
        <v>47000</v>
      </c>
      <c r="AC713" s="2880">
        <v>38202.400000000001</v>
      </c>
      <c r="AD713" s="2559">
        <f t="shared" si="214"/>
        <v>376000</v>
      </c>
      <c r="AE713" s="2560"/>
      <c r="AF713" s="45"/>
      <c r="AG713" s="7" t="s">
        <v>1528</v>
      </c>
      <c r="AH713" s="45"/>
      <c r="AI713" s="45"/>
      <c r="AJ713" s="45"/>
      <c r="AK713" s="45"/>
      <c r="AL713" s="45"/>
      <c r="AM713" s="45"/>
      <c r="AN713" s="45"/>
      <c r="AO713" s="45"/>
    </row>
    <row r="714" spans="1:41" ht="15.95" customHeight="1" x14ac:dyDescent="0.3">
      <c r="A714" s="2839" t="s">
        <v>1020</v>
      </c>
      <c r="B714" s="2840"/>
      <c r="C714" s="187"/>
      <c r="D714" s="170"/>
      <c r="E714" s="2576"/>
      <c r="F714" s="2880"/>
      <c r="G714" s="2576"/>
      <c r="H714" s="2880"/>
      <c r="I714" s="2559">
        <f t="shared" si="213"/>
        <v>0</v>
      </c>
      <c r="J714" s="2560"/>
      <c r="K714" s="279"/>
      <c r="L714" s="597" t="s">
        <v>1584</v>
      </c>
      <c r="M714" s="266"/>
      <c r="N714" s="266"/>
      <c r="O714" s="266"/>
      <c r="P714" s="266"/>
      <c r="Q714" s="1783"/>
      <c r="R714" s="266"/>
      <c r="S714" s="266"/>
      <c r="T714" s="45"/>
      <c r="U714" s="45"/>
      <c r="V714" s="2839" t="s">
        <v>1020</v>
      </c>
      <c r="W714" s="2840"/>
      <c r="X714" s="187"/>
      <c r="Y714" s="170"/>
      <c r="Z714" s="2576"/>
      <c r="AA714" s="2880"/>
      <c r="AB714" s="2559"/>
      <c r="AC714" s="2918"/>
      <c r="AD714" s="2559">
        <f t="shared" si="214"/>
        <v>0</v>
      </c>
      <c r="AE714" s="2560"/>
      <c r="AF714" s="45"/>
      <c r="AG714" s="597" t="s">
        <v>1584</v>
      </c>
      <c r="AH714" s="266"/>
      <c r="AI714" s="266"/>
      <c r="AJ714" s="266"/>
      <c r="AK714" s="266"/>
      <c r="AL714" s="1783"/>
      <c r="AM714" s="266"/>
      <c r="AN714" s="266"/>
      <c r="AO714" s="45"/>
    </row>
    <row r="715" spans="1:41" ht="15.95" customHeight="1" x14ac:dyDescent="0.3">
      <c r="A715" s="2839" t="s">
        <v>1021</v>
      </c>
      <c r="B715" s="2840"/>
      <c r="C715" s="187"/>
      <c r="D715" s="170"/>
      <c r="E715" s="2576"/>
      <c r="F715" s="2880"/>
      <c r="G715" s="2576"/>
      <c r="H715" s="2880"/>
      <c r="I715" s="2559">
        <f t="shared" si="213"/>
        <v>0</v>
      </c>
      <c r="J715" s="2560"/>
      <c r="K715" s="279"/>
      <c r="L715" s="45"/>
      <c r="M715" s="206"/>
      <c r="N715" s="206"/>
      <c r="O715" s="206"/>
      <c r="P715" s="206"/>
      <c r="Q715" s="107"/>
      <c r="R715" s="44"/>
      <c r="S715" s="45"/>
      <c r="T715" s="45"/>
      <c r="U715" s="45"/>
      <c r="V715" s="2839" t="s">
        <v>1021</v>
      </c>
      <c r="W715" s="2840"/>
      <c r="X715" s="187"/>
      <c r="Y715" s="170"/>
      <c r="Z715" s="2576"/>
      <c r="AA715" s="2880"/>
      <c r="AB715" s="2559"/>
      <c r="AC715" s="2918"/>
      <c r="AD715" s="2559">
        <f t="shared" si="214"/>
        <v>0</v>
      </c>
      <c r="AE715" s="2560"/>
      <c r="AF715" s="45"/>
      <c r="AG715" s="45"/>
      <c r="AH715" s="2834"/>
      <c r="AI715" s="2834"/>
      <c r="AJ715" s="2834"/>
      <c r="AK715" s="2834"/>
      <c r="AL715" s="300"/>
      <c r="AM715" s="44"/>
      <c r="AN715" s="45"/>
      <c r="AO715" s="45"/>
    </row>
    <row r="716" spans="1:41" ht="15.95" customHeight="1" x14ac:dyDescent="0.2">
      <c r="A716" s="2839" t="s">
        <v>1022</v>
      </c>
      <c r="B716" s="2840"/>
      <c r="C716" s="120"/>
      <c r="D716" s="120"/>
      <c r="E716" s="2559"/>
      <c r="F716" s="2560"/>
      <c r="G716" s="2559"/>
      <c r="H716" s="2560"/>
      <c r="I716" s="2559">
        <f t="shared" si="213"/>
        <v>0</v>
      </c>
      <c r="J716" s="2560"/>
      <c r="K716" s="279"/>
      <c r="L716" s="45"/>
      <c r="M716" s="2834"/>
      <c r="N716" s="2834"/>
      <c r="O716" s="2834"/>
      <c r="P716" s="2834"/>
      <c r="Q716" s="107"/>
      <c r="R716" s="44"/>
      <c r="S716" s="45"/>
      <c r="T716" s="45"/>
      <c r="U716" s="45"/>
      <c r="V716" s="2839" t="s">
        <v>1022</v>
      </c>
      <c r="W716" s="2840"/>
      <c r="X716" s="120"/>
      <c r="Y716" s="170"/>
      <c r="Z716" s="2559"/>
      <c r="AA716" s="2560"/>
      <c r="AB716" s="2559"/>
      <c r="AC716" s="2560"/>
      <c r="AD716" s="2559">
        <f t="shared" si="214"/>
        <v>0</v>
      </c>
      <c r="AE716" s="2560"/>
      <c r="AF716" s="45"/>
      <c r="AG716" s="45"/>
      <c r="AH716" s="206"/>
      <c r="AI716" s="206"/>
      <c r="AJ716" s="206"/>
      <c r="AK716" s="206"/>
      <c r="AL716" s="107"/>
      <c r="AM716" s="44"/>
      <c r="AN716" s="45"/>
      <c r="AO716" s="45"/>
    </row>
    <row r="717" spans="1:41" ht="15.95" customHeight="1" x14ac:dyDescent="0.2">
      <c r="A717" s="2839" t="s">
        <v>881</v>
      </c>
      <c r="B717" s="2840"/>
      <c r="C717" s="120"/>
      <c r="D717" s="120"/>
      <c r="E717" s="2559"/>
      <c r="F717" s="2560"/>
      <c r="G717" s="2559"/>
      <c r="H717" s="2560"/>
      <c r="I717" s="2559">
        <f t="shared" si="213"/>
        <v>0</v>
      </c>
      <c r="J717" s="2560"/>
      <c r="K717" s="279"/>
      <c r="L717" s="45"/>
      <c r="M717" s="2834"/>
      <c r="N717" s="2834"/>
      <c r="O717" s="2834"/>
      <c r="P717" s="2834"/>
      <c r="Q717" s="107"/>
      <c r="R717" s="45"/>
      <c r="S717" s="45"/>
      <c r="T717" s="45"/>
      <c r="U717" s="45"/>
      <c r="V717" s="2839" t="s">
        <v>881</v>
      </c>
      <c r="W717" s="2840"/>
      <c r="X717" s="120"/>
      <c r="Y717" s="170"/>
      <c r="Z717" s="2559"/>
      <c r="AA717" s="2560"/>
      <c r="AB717" s="2559"/>
      <c r="AC717" s="2560"/>
      <c r="AD717" s="2559">
        <f t="shared" si="214"/>
        <v>0</v>
      </c>
      <c r="AE717" s="2560"/>
      <c r="AF717" s="45"/>
      <c r="AG717" s="45"/>
      <c r="AH717" s="206"/>
      <c r="AI717" s="206"/>
      <c r="AJ717" s="206"/>
      <c r="AK717" s="206"/>
      <c r="AL717" s="107"/>
      <c r="AM717" s="45"/>
      <c r="AN717" s="45"/>
      <c r="AO717" s="45"/>
    </row>
    <row r="718" spans="1:41" ht="15.95" customHeight="1" x14ac:dyDescent="0.3">
      <c r="A718" s="2839" t="s">
        <v>882</v>
      </c>
      <c r="B718" s="2840"/>
      <c r="C718" s="120"/>
      <c r="D718" s="120"/>
      <c r="E718" s="2576"/>
      <c r="F718" s="2880"/>
      <c r="G718" s="2559"/>
      <c r="H718" s="2880"/>
      <c r="I718" s="2559">
        <f t="shared" si="213"/>
        <v>0</v>
      </c>
      <c r="J718" s="2560"/>
      <c r="K718" s="279"/>
      <c r="L718" s="45"/>
      <c r="M718" s="2834"/>
      <c r="N718" s="2834"/>
      <c r="O718" s="2834"/>
      <c r="P718" s="2834"/>
      <c r="Q718" s="273"/>
      <c r="R718" s="44"/>
      <c r="S718" s="45"/>
      <c r="T718" s="45"/>
      <c r="U718" s="45"/>
      <c r="V718" s="2839" t="s">
        <v>882</v>
      </c>
      <c r="W718" s="2840"/>
      <c r="X718" s="120"/>
      <c r="Y718" s="170"/>
      <c r="Z718" s="2576"/>
      <c r="AA718" s="2880"/>
      <c r="AB718" s="2559"/>
      <c r="AC718" s="2918"/>
      <c r="AD718" s="2559">
        <f t="shared" si="214"/>
        <v>0</v>
      </c>
      <c r="AE718" s="2560"/>
      <c r="AF718" s="45"/>
      <c r="AG718" s="45"/>
      <c r="AH718" s="2834"/>
      <c r="AI718" s="2834"/>
      <c r="AJ718" s="2834"/>
      <c r="AK718" s="2834"/>
      <c r="AL718" s="107"/>
      <c r="AM718" s="44"/>
      <c r="AN718" s="45"/>
      <c r="AO718" s="45"/>
    </row>
    <row r="719" spans="1:41" ht="15.95" customHeight="1" x14ac:dyDescent="0.3">
      <c r="A719" s="2911" t="s">
        <v>1023</v>
      </c>
      <c r="B719" s="2912"/>
      <c r="C719" s="187"/>
      <c r="D719" s="170"/>
      <c r="E719" s="2576"/>
      <c r="F719" s="2880"/>
      <c r="G719" s="2576"/>
      <c r="H719" s="2880"/>
      <c r="I719" s="2565">
        <f>SUM(I720:J725)</f>
        <v>572309.43359999999</v>
      </c>
      <c r="J719" s="2566"/>
      <c r="K719" s="279"/>
      <c r="L719" s="45"/>
      <c r="M719" s="45"/>
      <c r="N719" s="45"/>
      <c r="O719" s="45"/>
      <c r="P719" s="45"/>
      <c r="Q719" s="45"/>
      <c r="R719" s="44"/>
      <c r="S719" s="45"/>
      <c r="T719" s="45"/>
      <c r="U719" s="45"/>
      <c r="V719" s="2911" t="s">
        <v>1023</v>
      </c>
      <c r="W719" s="2912"/>
      <c r="X719" s="197"/>
      <c r="Y719" s="170"/>
      <c r="Z719" s="2576"/>
      <c r="AA719" s="2880"/>
      <c r="AB719" s="2559"/>
      <c r="AC719" s="2918"/>
      <c r="AD719" s="2565">
        <f>SUM(AD720:AE725)</f>
        <v>1736003.0175999999</v>
      </c>
      <c r="AE719" s="2566"/>
      <c r="AF719" s="45"/>
      <c r="AG719" s="45"/>
      <c r="AH719" s="2834"/>
      <c r="AI719" s="2834"/>
      <c r="AJ719" s="2834"/>
      <c r="AK719" s="2834"/>
      <c r="AL719" s="107"/>
      <c r="AM719" s="44"/>
      <c r="AN719" s="45"/>
      <c r="AO719" s="45"/>
    </row>
    <row r="720" spans="1:41" ht="15.95" customHeight="1" x14ac:dyDescent="0.3">
      <c r="A720" s="2839" t="s">
        <v>884</v>
      </c>
      <c r="B720" s="2840"/>
      <c r="C720" s="120" t="s">
        <v>496</v>
      </c>
      <c r="D720" s="170" t="s">
        <v>497</v>
      </c>
      <c r="E720" s="2576">
        <v>4</v>
      </c>
      <c r="F720" s="2880"/>
      <c r="G720" s="2576">
        <v>47000</v>
      </c>
      <c r="H720" s="2880">
        <f t="shared" ref="H720" si="219">(36040*6%)+36040</f>
        <v>38202.400000000001</v>
      </c>
      <c r="I720" s="2559">
        <f>E720*G720</f>
        <v>188000</v>
      </c>
      <c r="J720" s="2560"/>
      <c r="K720" s="279"/>
      <c r="L720" s="45"/>
      <c r="M720" s="45"/>
      <c r="N720" s="45"/>
      <c r="O720" s="45"/>
      <c r="P720" s="45"/>
      <c r="Q720" s="45"/>
      <c r="R720" s="44"/>
      <c r="S720" s="45"/>
      <c r="T720" s="45"/>
      <c r="U720" s="45"/>
      <c r="V720" s="2839" t="s">
        <v>884</v>
      </c>
      <c r="W720" s="2840"/>
      <c r="X720" s="120"/>
      <c r="Y720" s="170"/>
      <c r="Z720" s="2576">
        <v>16</v>
      </c>
      <c r="AA720" s="2880"/>
      <c r="AB720" s="2576">
        <v>47000</v>
      </c>
      <c r="AC720" s="2880">
        <v>38202.400000000001</v>
      </c>
      <c r="AD720" s="2559">
        <f t="shared" ref="AD720:AD725" si="220">Z720*AB720</f>
        <v>752000</v>
      </c>
      <c r="AE720" s="2560"/>
      <c r="AF720" s="45"/>
      <c r="AG720" s="45"/>
      <c r="AH720" s="2834"/>
      <c r="AI720" s="2834"/>
      <c r="AJ720" s="2834"/>
      <c r="AK720" s="2834"/>
      <c r="AL720" s="273"/>
      <c r="AM720" s="44"/>
      <c r="AN720" s="45"/>
      <c r="AO720" s="45"/>
    </row>
    <row r="721" spans="1:41" ht="15.95" customHeight="1" x14ac:dyDescent="0.3">
      <c r="A721" s="2839" t="s">
        <v>1024</v>
      </c>
      <c r="B721" s="2840"/>
      <c r="C721" s="120"/>
      <c r="D721" s="120"/>
      <c r="E721" s="2576"/>
      <c r="F721" s="2880"/>
      <c r="G721" s="2559"/>
      <c r="H721" s="2880"/>
      <c r="I721" s="2559">
        <f>E721*G721</f>
        <v>0</v>
      </c>
      <c r="J721" s="2560"/>
      <c r="K721" s="279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2839" t="s">
        <v>1024</v>
      </c>
      <c r="W721" s="2840"/>
      <c r="X721" s="120"/>
      <c r="Y721" s="170"/>
      <c r="Z721" s="2576"/>
      <c r="AA721" s="2880"/>
      <c r="AB721" s="2559"/>
      <c r="AC721" s="2918"/>
      <c r="AD721" s="2559">
        <f t="shared" si="220"/>
        <v>0</v>
      </c>
      <c r="AE721" s="2560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</row>
    <row r="722" spans="1:41" ht="15.95" customHeight="1" x14ac:dyDescent="0.3">
      <c r="A722" s="2839" t="s">
        <v>893</v>
      </c>
      <c r="B722" s="2840"/>
      <c r="C722" s="120"/>
      <c r="D722" s="120"/>
      <c r="E722" s="2576"/>
      <c r="F722" s="2880"/>
      <c r="G722" s="2559"/>
      <c r="H722" s="2880"/>
      <c r="I722" s="2559">
        <f>E722*G722</f>
        <v>0</v>
      </c>
      <c r="J722" s="2560"/>
      <c r="K722" s="279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2839" t="s">
        <v>893</v>
      </c>
      <c r="W722" s="2840"/>
      <c r="X722" s="120"/>
      <c r="Y722" s="170"/>
      <c r="Z722" s="2576"/>
      <c r="AA722" s="2880"/>
      <c r="AB722" s="2559"/>
      <c r="AC722" s="2918"/>
      <c r="AD722" s="2559">
        <f t="shared" si="220"/>
        <v>0</v>
      </c>
      <c r="AE722" s="2560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</row>
    <row r="723" spans="1:41" ht="15.95" customHeight="1" x14ac:dyDescent="0.3">
      <c r="A723" s="2839" t="s">
        <v>728</v>
      </c>
      <c r="B723" s="2840"/>
      <c r="C723" s="120"/>
      <c r="D723" s="170"/>
      <c r="E723" s="2576"/>
      <c r="F723" s="2880"/>
      <c r="G723" s="2559"/>
      <c r="H723" s="2918"/>
      <c r="I723" s="2559">
        <f>E723*G723</f>
        <v>0</v>
      </c>
      <c r="J723" s="2560"/>
      <c r="L723" s="45"/>
      <c r="M723" s="45"/>
      <c r="N723" s="45"/>
      <c r="O723" s="45"/>
      <c r="P723" s="45"/>
      <c r="Q723" s="45"/>
      <c r="U723" s="45"/>
      <c r="V723" s="2839" t="s">
        <v>728</v>
      </c>
      <c r="W723" s="2840"/>
      <c r="X723" s="120"/>
      <c r="Y723" s="170"/>
      <c r="Z723" s="2576"/>
      <c r="AA723" s="2880"/>
      <c r="AB723" s="2559"/>
      <c r="AC723" s="2918"/>
      <c r="AD723" s="2559">
        <f t="shared" si="220"/>
        <v>0</v>
      </c>
      <c r="AE723" s="2560"/>
      <c r="AF723" s="45"/>
      <c r="AG723" s="45"/>
      <c r="AH723" s="45"/>
      <c r="AI723" s="45"/>
      <c r="AJ723" s="45"/>
      <c r="AK723" s="45"/>
      <c r="AL723" s="45"/>
    </row>
    <row r="724" spans="1:41" ht="15.95" customHeight="1" x14ac:dyDescent="0.3">
      <c r="A724" s="2839" t="s">
        <v>765</v>
      </c>
      <c r="B724" s="2840"/>
      <c r="C724" s="187"/>
      <c r="D724" s="170" t="s">
        <v>794</v>
      </c>
      <c r="E724" s="2576"/>
      <c r="F724" s="2880"/>
      <c r="G724" s="2576"/>
      <c r="H724" s="2880"/>
      <c r="I724" s="2559">
        <v>150000</v>
      </c>
      <c r="J724" s="2560"/>
      <c r="L724" s="45"/>
      <c r="M724" s="45"/>
      <c r="N724" s="45"/>
      <c r="O724" s="45"/>
      <c r="P724" s="45"/>
      <c r="Q724" s="45"/>
      <c r="U724" s="45"/>
      <c r="V724" s="2839" t="s">
        <v>765</v>
      </c>
      <c r="W724" s="2840"/>
      <c r="X724" s="187"/>
      <c r="Y724" s="170" t="s">
        <v>1243</v>
      </c>
      <c r="Z724" s="2576"/>
      <c r="AA724" s="2880"/>
      <c r="AB724" s="2559"/>
      <c r="AC724" s="2918"/>
      <c r="AD724" s="2559">
        <f>150000*1.0928</f>
        <v>163920</v>
      </c>
      <c r="AE724" s="2560"/>
      <c r="AF724" s="45"/>
      <c r="AG724" s="45"/>
      <c r="AH724" s="45"/>
      <c r="AI724" s="45"/>
      <c r="AJ724" s="45"/>
      <c r="AK724" s="45"/>
      <c r="AL724" s="45"/>
    </row>
    <row r="725" spans="1:41" ht="15.95" customHeight="1" x14ac:dyDescent="0.3">
      <c r="A725" s="2839" t="s">
        <v>615</v>
      </c>
      <c r="B725" s="2840"/>
      <c r="C725" s="288" t="s">
        <v>763</v>
      </c>
      <c r="D725" s="170" t="s">
        <v>556</v>
      </c>
      <c r="E725" s="2576">
        <v>2</v>
      </c>
      <c r="F725" s="2880"/>
      <c r="G725" s="2559">
        <f>107206*1.0928</f>
        <v>117154.71679999999</v>
      </c>
      <c r="H725" s="2880">
        <f t="shared" ref="H725" si="221">(95294*6%)+95294</f>
        <v>101011.64</v>
      </c>
      <c r="I725" s="2559">
        <f>E725*G725</f>
        <v>234309.43359999999</v>
      </c>
      <c r="J725" s="2560"/>
      <c r="U725" s="45"/>
      <c r="V725" s="2839" t="s">
        <v>615</v>
      </c>
      <c r="W725" s="2840"/>
      <c r="X725" s="120" t="s">
        <v>763</v>
      </c>
      <c r="Y725" s="170" t="s">
        <v>556</v>
      </c>
      <c r="Z725" s="2576">
        <v>7</v>
      </c>
      <c r="AA725" s="2880"/>
      <c r="AB725" s="2559">
        <f>+G725</f>
        <v>117154.71679999999</v>
      </c>
      <c r="AC725" s="2918"/>
      <c r="AD725" s="2559">
        <f t="shared" si="220"/>
        <v>820083.0175999999</v>
      </c>
      <c r="AE725" s="2560"/>
      <c r="AF725" s="45"/>
    </row>
    <row r="726" spans="1:41" ht="15.95" customHeight="1" thickBot="1" x14ac:dyDescent="0.25">
      <c r="A726" s="208" t="s">
        <v>558</v>
      </c>
      <c r="B726" s="209"/>
      <c r="C726" s="210"/>
      <c r="D726" s="209"/>
      <c r="E726" s="2561">
        <f>SUM(E689:F720)</f>
        <v>82</v>
      </c>
      <c r="F726" s="2562"/>
      <c r="G726" s="2561"/>
      <c r="H726" s="2562"/>
      <c r="I726" s="2561">
        <f>SUM(I719+I700+I689+I685+I682)</f>
        <v>4520309.4336000001</v>
      </c>
      <c r="J726" s="2562"/>
      <c r="U726" s="45"/>
      <c r="V726" s="208" t="s">
        <v>558</v>
      </c>
      <c r="W726" s="209"/>
      <c r="X726" s="210"/>
      <c r="Y726" s="209"/>
      <c r="Z726" s="2561">
        <f>SUM(Z712:AA720)</f>
        <v>24</v>
      </c>
      <c r="AA726" s="2562"/>
      <c r="AB726" s="2561"/>
      <c r="AC726" s="2562"/>
      <c r="AD726" s="2561">
        <f>SUM(AD719+AD700+AD689+AD685+AD682)</f>
        <v>3851003.0175999999</v>
      </c>
      <c r="AE726" s="2562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</row>
    <row r="727" spans="1:41" ht="15.95" customHeight="1" x14ac:dyDescent="0.2">
      <c r="A727" s="45"/>
      <c r="B727" s="45"/>
      <c r="C727" s="45"/>
      <c r="D727" s="45"/>
      <c r="E727" s="45"/>
      <c r="F727" s="45"/>
      <c r="G727" s="45"/>
      <c r="H727" s="275"/>
      <c r="I727" s="275"/>
      <c r="J727" s="275"/>
      <c r="K727" s="295"/>
      <c r="L727" s="45"/>
      <c r="M727" s="45"/>
      <c r="N727" s="45"/>
      <c r="O727" s="45"/>
      <c r="P727" s="45"/>
      <c r="Q727" s="45"/>
      <c r="R727" s="45"/>
      <c r="S727" s="295"/>
      <c r="T727" s="295"/>
      <c r="U727" s="276"/>
      <c r="V727" s="45"/>
      <c r="W727" s="45"/>
      <c r="X727" s="45"/>
      <c r="Y727" s="45"/>
      <c r="Z727" s="45"/>
      <c r="AA727" s="45"/>
      <c r="AB727" s="45"/>
      <c r="AC727" s="275"/>
      <c r="AD727" s="275"/>
      <c r="AE727" s="275"/>
      <c r="AF727" s="276"/>
      <c r="AG727" s="45"/>
      <c r="AH727" s="45"/>
      <c r="AI727" s="45"/>
      <c r="AJ727" s="45"/>
      <c r="AK727" s="45"/>
      <c r="AL727" s="45"/>
      <c r="AM727" s="45"/>
      <c r="AN727" s="276"/>
      <c r="AO727" s="276"/>
    </row>
    <row r="728" spans="1:41" ht="15.95" customHeight="1" x14ac:dyDescent="0.2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2917"/>
      <c r="T728" s="2917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2909"/>
      <c r="AO728" s="2909"/>
    </row>
    <row r="729" spans="1:41" ht="15.95" customHeight="1" x14ac:dyDescent="0.2">
      <c r="A729" s="2654"/>
      <c r="B729" s="2654"/>
      <c r="C729" s="2654"/>
      <c r="D729" s="2654"/>
      <c r="E729" s="2654"/>
      <c r="F729" s="2654"/>
      <c r="G729" s="2654"/>
      <c r="H729" s="2654"/>
      <c r="I729" s="2654"/>
      <c r="J729" s="2654"/>
      <c r="K729" s="2654"/>
      <c r="L729" s="2654"/>
      <c r="M729" s="2654"/>
      <c r="N729" s="2654"/>
      <c r="O729" s="2654"/>
      <c r="P729" s="2654"/>
      <c r="Q729" s="2654"/>
      <c r="R729" s="2654"/>
      <c r="S729" s="2654"/>
      <c r="T729" s="2654"/>
      <c r="U729" s="2654"/>
      <c r="V729" s="2654"/>
      <c r="W729" s="2654"/>
      <c r="X729" s="2654"/>
      <c r="Y729" s="2654"/>
      <c r="Z729" s="2654"/>
      <c r="AA729" s="2654"/>
      <c r="AB729" s="2654"/>
      <c r="AC729" s="2654"/>
      <c r="AD729" s="2654"/>
      <c r="AE729" s="2654"/>
      <c r="AF729" s="2654"/>
      <c r="AG729" s="2654"/>
      <c r="AH729" s="2654"/>
      <c r="AI729" s="2654"/>
      <c r="AJ729" s="2654"/>
      <c r="AK729" s="2654"/>
      <c r="AL729" s="2654"/>
      <c r="AM729" s="2654"/>
      <c r="AN729" s="2654"/>
      <c r="AO729" s="2654"/>
    </row>
    <row r="730" spans="1:41" ht="15.95" customHeight="1" x14ac:dyDescent="0.2">
      <c r="A730" s="45"/>
      <c r="B730" s="45"/>
      <c r="C730" s="45"/>
      <c r="D730" s="45"/>
      <c r="E730" s="45"/>
      <c r="F730" s="45"/>
      <c r="G730" s="45"/>
      <c r="H730" s="275"/>
      <c r="I730" s="275"/>
      <c r="J730" s="275"/>
      <c r="K730" s="295"/>
      <c r="L730" s="293"/>
      <c r="M730" s="293"/>
      <c r="N730" s="293"/>
      <c r="O730" s="293"/>
      <c r="P730" s="293"/>
      <c r="Q730" s="45"/>
      <c r="R730" s="45"/>
      <c r="S730" s="295"/>
      <c r="T730" s="295"/>
      <c r="U730" s="276"/>
      <c r="AC730" s="275"/>
      <c r="AD730" s="275"/>
      <c r="AE730" s="275"/>
      <c r="AF730" s="276"/>
      <c r="AM730" s="45"/>
      <c r="AN730" s="276"/>
      <c r="AO730" s="276"/>
    </row>
    <row r="731" spans="1:41" ht="15.95" customHeight="1" x14ac:dyDescent="0.2">
      <c r="A731" s="2611" t="s">
        <v>1969</v>
      </c>
      <c r="B731" s="2611"/>
      <c r="C731" s="2611"/>
      <c r="D731" s="2611"/>
      <c r="E731" s="2611"/>
      <c r="F731" s="2611"/>
      <c r="G731" s="2611"/>
      <c r="H731" s="2611"/>
      <c r="I731" s="2611"/>
      <c r="J731" s="2611"/>
      <c r="K731" s="2611"/>
      <c r="L731" s="2611"/>
      <c r="M731" s="2611"/>
      <c r="N731" s="2611"/>
      <c r="O731" s="2611"/>
      <c r="P731" s="2611"/>
      <c r="Q731" s="2611"/>
      <c r="R731" s="2611"/>
      <c r="S731" s="2611"/>
      <c r="T731" s="2611"/>
      <c r="U731" s="47"/>
      <c r="V731" s="2611" t="s">
        <v>1970</v>
      </c>
      <c r="W731" s="2611"/>
      <c r="X731" s="2611"/>
      <c r="Y731" s="2611"/>
      <c r="Z731" s="2611"/>
      <c r="AA731" s="2611"/>
      <c r="AB731" s="2611"/>
      <c r="AC731" s="2611"/>
      <c r="AD731" s="2611"/>
      <c r="AE731" s="2611"/>
      <c r="AF731" s="2611"/>
      <c r="AG731" s="2611"/>
      <c r="AH731" s="2611"/>
      <c r="AI731" s="2611"/>
      <c r="AJ731" s="2611"/>
      <c r="AK731" s="2611"/>
      <c r="AL731" s="2611"/>
      <c r="AM731" s="2611"/>
      <c r="AN731" s="2611"/>
      <c r="AO731" s="2611"/>
    </row>
    <row r="732" spans="1:41" ht="15.95" customHeight="1" thickBot="1" x14ac:dyDescent="0.25">
      <c r="A732" s="2611"/>
      <c r="B732" s="2611"/>
      <c r="C732" s="2611"/>
      <c r="D732" s="2611"/>
      <c r="E732" s="2611"/>
      <c r="F732" s="2611"/>
      <c r="G732" s="2611"/>
      <c r="H732" s="2611"/>
      <c r="I732" s="2611"/>
      <c r="J732" s="2611"/>
      <c r="K732" s="2611"/>
      <c r="L732" s="2611"/>
      <c r="M732" s="2611"/>
      <c r="N732" s="2611"/>
      <c r="O732" s="2611"/>
      <c r="P732" s="2611"/>
      <c r="Q732" s="2611"/>
      <c r="R732" s="2611"/>
      <c r="S732" s="2611"/>
      <c r="T732" s="2611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</row>
    <row r="733" spans="1:41" ht="15.95" customHeight="1" x14ac:dyDescent="0.3">
      <c r="A733" s="2618" t="s">
        <v>435</v>
      </c>
      <c r="B733" s="2620"/>
      <c r="C733" s="2618" t="s">
        <v>436</v>
      </c>
      <c r="D733" s="2619"/>
      <c r="E733" s="2619"/>
      <c r="F733" s="2620"/>
      <c r="G733" s="2618" t="s">
        <v>437</v>
      </c>
      <c r="H733" s="2620"/>
      <c r="I733" s="2618" t="s">
        <v>438</v>
      </c>
      <c r="J733" s="2620"/>
      <c r="K733" s="45"/>
      <c r="L733" s="2633" t="s">
        <v>435</v>
      </c>
      <c r="M733" s="2618" t="s">
        <v>436</v>
      </c>
      <c r="N733" s="2619"/>
      <c r="O733" s="2619"/>
      <c r="P733" s="2620"/>
      <c r="Q733" s="2618" t="s">
        <v>437</v>
      </c>
      <c r="R733" s="2620"/>
      <c r="S733" s="2618"/>
      <c r="T733" s="2620"/>
      <c r="U733" s="268"/>
      <c r="V733" s="2618" t="s">
        <v>435</v>
      </c>
      <c r="W733" s="2620"/>
      <c r="X733" s="2618" t="s">
        <v>436</v>
      </c>
      <c r="Y733" s="2619"/>
      <c r="Z733" s="2619"/>
      <c r="AA733" s="2620"/>
      <c r="AB733" s="2618" t="s">
        <v>437</v>
      </c>
      <c r="AC733" s="2620"/>
      <c r="AD733" s="2618" t="s">
        <v>438</v>
      </c>
      <c r="AE733" s="2620"/>
      <c r="AF733" s="45"/>
      <c r="AG733" s="2633" t="s">
        <v>435</v>
      </c>
      <c r="AH733" s="2618" t="s">
        <v>436</v>
      </c>
      <c r="AI733" s="2619"/>
      <c r="AJ733" s="2619"/>
      <c r="AK733" s="2620"/>
      <c r="AL733" s="2618" t="s">
        <v>437</v>
      </c>
      <c r="AM733" s="2620"/>
      <c r="AN733" s="2618"/>
      <c r="AO733" s="2900"/>
    </row>
    <row r="734" spans="1:41" ht="15.95" customHeight="1" thickBot="1" x14ac:dyDescent="0.35">
      <c r="A734" s="2631"/>
      <c r="B734" s="2632"/>
      <c r="C734" s="2621"/>
      <c r="D734" s="2622"/>
      <c r="E734" s="2622"/>
      <c r="F734" s="2623"/>
      <c r="G734" s="2631" t="s">
        <v>440</v>
      </c>
      <c r="H734" s="2632"/>
      <c r="I734" s="2631"/>
      <c r="J734" s="2632"/>
      <c r="K734" s="45"/>
      <c r="L734" s="2670"/>
      <c r="M734" s="2621"/>
      <c r="N734" s="2622"/>
      <c r="O734" s="2622"/>
      <c r="P734" s="2623"/>
      <c r="Q734" s="2631" t="s">
        <v>440</v>
      </c>
      <c r="R734" s="2632"/>
      <c r="S734" s="2631" t="s">
        <v>274</v>
      </c>
      <c r="T734" s="2632"/>
      <c r="U734" s="268"/>
      <c r="V734" s="2631"/>
      <c r="W734" s="2632"/>
      <c r="X734" s="2621"/>
      <c r="Y734" s="2622"/>
      <c r="Z734" s="2622"/>
      <c r="AA734" s="2623"/>
      <c r="AB734" s="2631" t="s">
        <v>440</v>
      </c>
      <c r="AC734" s="2632"/>
      <c r="AD734" s="2631"/>
      <c r="AE734" s="2632"/>
      <c r="AF734" s="45"/>
      <c r="AG734" s="2670"/>
      <c r="AH734" s="2621"/>
      <c r="AI734" s="2622"/>
      <c r="AJ734" s="2622"/>
      <c r="AK734" s="2623"/>
      <c r="AL734" s="2631" t="s">
        <v>440</v>
      </c>
      <c r="AM734" s="2632"/>
      <c r="AN734" s="2631" t="s">
        <v>274</v>
      </c>
      <c r="AO734" s="2880"/>
    </row>
    <row r="735" spans="1:41" ht="15.95" customHeight="1" x14ac:dyDescent="0.3">
      <c r="A735" s="2631"/>
      <c r="B735" s="2632"/>
      <c r="C735" s="53" t="s">
        <v>441</v>
      </c>
      <c r="D735" s="2670" t="s">
        <v>442</v>
      </c>
      <c r="E735" s="2631" t="s">
        <v>443</v>
      </c>
      <c r="F735" s="2632"/>
      <c r="G735" s="2631" t="s">
        <v>444</v>
      </c>
      <c r="H735" s="2632"/>
      <c r="I735" s="2631" t="s">
        <v>348</v>
      </c>
      <c r="J735" s="2632"/>
      <c r="K735" s="45"/>
      <c r="L735" s="2670"/>
      <c r="M735" s="51" t="s">
        <v>441</v>
      </c>
      <c r="N735" s="2633" t="s">
        <v>442</v>
      </c>
      <c r="O735" s="2618" t="s">
        <v>443</v>
      </c>
      <c r="P735" s="2620"/>
      <c r="Q735" s="2631" t="s">
        <v>444</v>
      </c>
      <c r="R735" s="2632"/>
      <c r="S735" s="2631" t="s">
        <v>348</v>
      </c>
      <c r="T735" s="2632"/>
      <c r="U735" s="268"/>
      <c r="V735" s="2631"/>
      <c r="W735" s="2632"/>
      <c r="X735" s="53" t="s">
        <v>441</v>
      </c>
      <c r="Y735" s="2670" t="s">
        <v>442</v>
      </c>
      <c r="Z735" s="2631" t="s">
        <v>443</v>
      </c>
      <c r="AA735" s="2632"/>
      <c r="AB735" s="2631" t="s">
        <v>444</v>
      </c>
      <c r="AC735" s="2632"/>
      <c r="AD735" s="2631" t="s">
        <v>348</v>
      </c>
      <c r="AE735" s="2632"/>
      <c r="AF735" s="45"/>
      <c r="AG735" s="2670"/>
      <c r="AH735" s="51" t="s">
        <v>441</v>
      </c>
      <c r="AI735" s="2670" t="s">
        <v>442</v>
      </c>
      <c r="AJ735" s="2631" t="s">
        <v>443</v>
      </c>
      <c r="AK735" s="2632"/>
      <c r="AL735" s="2631" t="s">
        <v>444</v>
      </c>
      <c r="AM735" s="2632"/>
      <c r="AN735" s="2631" t="s">
        <v>348</v>
      </c>
      <c r="AO735" s="2880"/>
    </row>
    <row r="736" spans="1:41" ht="15.95" customHeight="1" thickBot="1" x14ac:dyDescent="0.35">
      <c r="A736" s="2621"/>
      <c r="B736" s="2623"/>
      <c r="C736" s="54" t="s">
        <v>445</v>
      </c>
      <c r="D736" s="2634"/>
      <c r="E736" s="2621"/>
      <c r="F736" s="2623"/>
      <c r="G736" s="2621"/>
      <c r="H736" s="2623"/>
      <c r="I736" s="2621"/>
      <c r="J736" s="2623"/>
      <c r="K736" s="45"/>
      <c r="L736" s="2634"/>
      <c r="M736" s="50" t="s">
        <v>445</v>
      </c>
      <c r="N736" s="2634"/>
      <c r="O736" s="2621"/>
      <c r="P736" s="2623"/>
      <c r="Q736" s="2621"/>
      <c r="R736" s="2623"/>
      <c r="S736" s="2621"/>
      <c r="T736" s="2623"/>
      <c r="U736" s="268"/>
      <c r="V736" s="2621"/>
      <c r="W736" s="2623"/>
      <c r="X736" s="54" t="s">
        <v>445</v>
      </c>
      <c r="Y736" s="2634"/>
      <c r="Z736" s="2621"/>
      <c r="AA736" s="2623"/>
      <c r="AB736" s="2621"/>
      <c r="AC736" s="2623"/>
      <c r="AD736" s="2621"/>
      <c r="AE736" s="2623"/>
      <c r="AF736" s="45"/>
      <c r="AG736" s="2634"/>
      <c r="AH736" s="50" t="s">
        <v>445</v>
      </c>
      <c r="AI736" s="2634"/>
      <c r="AJ736" s="2621"/>
      <c r="AK736" s="2623"/>
      <c r="AL736" s="2621"/>
      <c r="AM736" s="2623"/>
      <c r="AN736" s="2901"/>
      <c r="AO736" s="2902"/>
    </row>
    <row r="737" spans="1:41" ht="15.95" customHeight="1" x14ac:dyDescent="0.3">
      <c r="A737" s="2913" t="s">
        <v>446</v>
      </c>
      <c r="B737" s="2914"/>
      <c r="C737" s="184"/>
      <c r="D737" s="170"/>
      <c r="E737" s="2576"/>
      <c r="F737" s="2880"/>
      <c r="G737" s="2576"/>
      <c r="H737" s="2880"/>
      <c r="I737" s="2576"/>
      <c r="J737" s="2880"/>
      <c r="K737" s="279"/>
      <c r="L737" s="119" t="s">
        <v>447</v>
      </c>
      <c r="M737" s="185"/>
      <c r="N737" s="186"/>
      <c r="O737" s="2605"/>
      <c r="P737" s="2606"/>
      <c r="Q737" s="2605"/>
      <c r="R737" s="2606"/>
      <c r="S737" s="2605"/>
      <c r="T737" s="2606"/>
      <c r="U737" s="45"/>
      <c r="V737" s="2913" t="s">
        <v>446</v>
      </c>
      <c r="W737" s="2914"/>
      <c r="X737" s="184"/>
      <c r="Y737" s="170"/>
      <c r="Z737" s="2576"/>
      <c r="AA737" s="2880"/>
      <c r="AB737" s="2576"/>
      <c r="AC737" s="2880"/>
      <c r="AD737" s="2576"/>
      <c r="AE737" s="2880"/>
      <c r="AF737" s="45"/>
      <c r="AG737" s="119" t="s">
        <v>447</v>
      </c>
      <c r="AH737" s="185"/>
      <c r="AI737" s="186"/>
      <c r="AJ737" s="2605"/>
      <c r="AK737" s="2606"/>
      <c r="AL737" s="2605"/>
      <c r="AM737" s="2606"/>
      <c r="AN737" s="2605"/>
      <c r="AO737" s="2606"/>
    </row>
    <row r="738" spans="1:41" ht="15.95" customHeight="1" x14ac:dyDescent="0.35">
      <c r="A738" s="2911" t="s">
        <v>979</v>
      </c>
      <c r="B738" s="2912"/>
      <c r="C738" s="45"/>
      <c r="D738" s="288"/>
      <c r="E738" s="2576"/>
      <c r="F738" s="2880"/>
      <c r="G738" s="2576"/>
      <c r="H738" s="2880"/>
      <c r="I738" s="2565">
        <f>SUM(I739:J740)</f>
        <v>94000</v>
      </c>
      <c r="J738" s="2892"/>
      <c r="K738" s="279"/>
      <c r="L738" s="122"/>
      <c r="M738" s="188"/>
      <c r="N738" s="170"/>
      <c r="O738" s="2559"/>
      <c r="P738" s="2560"/>
      <c r="Q738" s="2559"/>
      <c r="R738" s="2560"/>
      <c r="S738" s="2559"/>
      <c r="T738" s="2560"/>
      <c r="U738" s="45"/>
      <c r="V738" s="2911" t="s">
        <v>979</v>
      </c>
      <c r="W738" s="2912"/>
      <c r="X738" s="120"/>
      <c r="Y738" s="170"/>
      <c r="Z738" s="2576"/>
      <c r="AA738" s="2880"/>
      <c r="AB738" s="2576"/>
      <c r="AC738" s="2880"/>
      <c r="AD738" s="2897">
        <f>SUM(AD739:AE740)</f>
        <v>0</v>
      </c>
      <c r="AE738" s="2892"/>
      <c r="AF738" s="45"/>
      <c r="AG738" s="122"/>
      <c r="AH738" s="188"/>
      <c r="AI738" s="170"/>
      <c r="AJ738" s="2559"/>
      <c r="AK738" s="2560"/>
      <c r="AL738" s="2559"/>
      <c r="AM738" s="2560"/>
      <c r="AN738" s="2559"/>
      <c r="AO738" s="2560"/>
    </row>
    <row r="739" spans="1:41" ht="15.95" customHeight="1" x14ac:dyDescent="0.3">
      <c r="A739" s="2915" t="s">
        <v>980</v>
      </c>
      <c r="B739" s="2916"/>
      <c r="C739" s="120" t="s">
        <v>496</v>
      </c>
      <c r="D739" s="170" t="s">
        <v>497</v>
      </c>
      <c r="E739" s="2576">
        <v>1</v>
      </c>
      <c r="F739" s="2880"/>
      <c r="G739" s="2576">
        <v>47000</v>
      </c>
      <c r="H739" s="2880">
        <f t="shared" ref="H739:H742" si="222">(36040*6%)+36040</f>
        <v>38202.400000000001</v>
      </c>
      <c r="I739" s="2559">
        <f>E739*G739</f>
        <v>47000</v>
      </c>
      <c r="J739" s="2560"/>
      <c r="K739" s="279"/>
      <c r="L739" s="122" t="s">
        <v>450</v>
      </c>
      <c r="M739" s="170"/>
      <c r="N739" s="170"/>
      <c r="O739" s="2559"/>
      <c r="P739" s="2560"/>
      <c r="Q739" s="2559"/>
      <c r="R739" s="2560"/>
      <c r="S739" s="2559"/>
      <c r="T739" s="2560"/>
      <c r="U739" s="45"/>
      <c r="V739" s="2915" t="s">
        <v>980</v>
      </c>
      <c r="W739" s="2916"/>
      <c r="X739" s="120"/>
      <c r="Y739" s="170"/>
      <c r="Z739" s="2576"/>
      <c r="AA739" s="2880"/>
      <c r="AB739" s="2576"/>
      <c r="AC739" s="2880"/>
      <c r="AD739" s="2559">
        <f>Z739*AB739</f>
        <v>0</v>
      </c>
      <c r="AE739" s="2560"/>
      <c r="AF739" s="45"/>
      <c r="AG739" s="122" t="s">
        <v>450</v>
      </c>
      <c r="AH739" s="170"/>
      <c r="AI739" s="170"/>
      <c r="AJ739" s="2559"/>
      <c r="AK739" s="2560"/>
      <c r="AL739" s="2559"/>
      <c r="AM739" s="2560"/>
      <c r="AN739" s="2559"/>
      <c r="AO739" s="2560"/>
    </row>
    <row r="740" spans="1:41" ht="15.95" customHeight="1" x14ac:dyDescent="0.3">
      <c r="A740" s="2915" t="s">
        <v>981</v>
      </c>
      <c r="B740" s="2916"/>
      <c r="C740" s="120" t="s">
        <v>496</v>
      </c>
      <c r="D740" s="170" t="s">
        <v>497</v>
      </c>
      <c r="E740" s="2576">
        <v>1</v>
      </c>
      <c r="F740" s="2880"/>
      <c r="G740" s="2576">
        <v>47000</v>
      </c>
      <c r="H740" s="2880">
        <f t="shared" si="222"/>
        <v>38202.400000000001</v>
      </c>
      <c r="I740" s="2559">
        <f>E740*G740</f>
        <v>47000</v>
      </c>
      <c r="J740" s="2560"/>
      <c r="K740" s="279"/>
      <c r="L740" s="122" t="s">
        <v>853</v>
      </c>
      <c r="M740" s="170" t="s">
        <v>767</v>
      </c>
      <c r="N740" s="170" t="s">
        <v>1108</v>
      </c>
      <c r="O740" s="2559">
        <v>1600</v>
      </c>
      <c r="P740" s="2560"/>
      <c r="Q740" s="2559">
        <f>1200*1.0928</f>
        <v>1311.36</v>
      </c>
      <c r="R740" s="2560"/>
      <c r="S740" s="2559">
        <f t="shared" ref="S740:S755" si="223">O740*Q740</f>
        <v>2098176</v>
      </c>
      <c r="T740" s="2560"/>
      <c r="U740" s="45"/>
      <c r="V740" s="2915" t="s">
        <v>981</v>
      </c>
      <c r="W740" s="2916"/>
      <c r="X740" s="120"/>
      <c r="Y740" s="170"/>
      <c r="Z740" s="2576"/>
      <c r="AA740" s="2880"/>
      <c r="AB740" s="2576"/>
      <c r="AC740" s="2880"/>
      <c r="AD740" s="2559">
        <f>Z740*AB740</f>
        <v>0</v>
      </c>
      <c r="AE740" s="2560"/>
      <c r="AF740" s="45"/>
      <c r="AG740" s="122" t="s">
        <v>853</v>
      </c>
      <c r="AH740" s="170"/>
      <c r="AI740" s="170"/>
      <c r="AJ740" s="2559"/>
      <c r="AK740" s="2560"/>
      <c r="AL740" s="2559"/>
      <c r="AM740" s="2560"/>
      <c r="AN740" s="2559">
        <f t="shared" ref="AN740:AN756" si="224">AJ740*AL740</f>
        <v>0</v>
      </c>
      <c r="AO740" s="2560"/>
    </row>
    <row r="741" spans="1:41" ht="15.95" customHeight="1" x14ac:dyDescent="0.35">
      <c r="A741" s="2911" t="s">
        <v>990</v>
      </c>
      <c r="B741" s="2912"/>
      <c r="C741" s="120"/>
      <c r="D741" s="170"/>
      <c r="E741" s="2576"/>
      <c r="F741" s="2880"/>
      <c r="G741" s="2576"/>
      <c r="H741" s="2880"/>
      <c r="I741" s="2565">
        <f>SUM(I742:J744)</f>
        <v>94000</v>
      </c>
      <c r="J741" s="2892"/>
      <c r="K741" s="279"/>
      <c r="L741" s="122" t="s">
        <v>859</v>
      </c>
      <c r="M741" s="170"/>
      <c r="N741" s="170"/>
      <c r="O741" s="2559"/>
      <c r="P741" s="2560"/>
      <c r="Q741" s="2559"/>
      <c r="R741" s="2560"/>
      <c r="S741" s="2559">
        <f t="shared" si="223"/>
        <v>0</v>
      </c>
      <c r="T741" s="2560"/>
      <c r="U741" s="45"/>
      <c r="V741" s="2911" t="s">
        <v>990</v>
      </c>
      <c r="W741" s="2912"/>
      <c r="X741" s="120"/>
      <c r="Y741" s="170"/>
      <c r="Z741" s="2576"/>
      <c r="AA741" s="2880"/>
      <c r="AB741" s="2576"/>
      <c r="AC741" s="2880"/>
      <c r="AD741" s="2565">
        <f>SUM(AD742:AE744)</f>
        <v>0</v>
      </c>
      <c r="AE741" s="2892"/>
      <c r="AF741" s="45"/>
      <c r="AG741" s="122" t="s">
        <v>859</v>
      </c>
      <c r="AH741" s="170"/>
      <c r="AI741" s="170"/>
      <c r="AJ741" s="2559"/>
      <c r="AK741" s="2560"/>
      <c r="AL741" s="2559"/>
      <c r="AM741" s="2560"/>
      <c r="AN741" s="2559">
        <f t="shared" si="224"/>
        <v>0</v>
      </c>
      <c r="AO741" s="2560"/>
    </row>
    <row r="742" spans="1:41" ht="15.95" customHeight="1" x14ac:dyDescent="0.3">
      <c r="A742" s="2915" t="s">
        <v>991</v>
      </c>
      <c r="B742" s="2916"/>
      <c r="C742" s="120" t="s">
        <v>496</v>
      </c>
      <c r="D742" s="170" t="s">
        <v>497</v>
      </c>
      <c r="E742" s="2576">
        <v>2</v>
      </c>
      <c r="F742" s="2880"/>
      <c r="G742" s="2576">
        <v>47000</v>
      </c>
      <c r="H742" s="2880">
        <f t="shared" si="222"/>
        <v>38202.400000000001</v>
      </c>
      <c r="I742" s="2559">
        <f>E742*G742</f>
        <v>94000</v>
      </c>
      <c r="J742" s="2560"/>
      <c r="K742" s="279"/>
      <c r="L742" s="122" t="s">
        <v>861</v>
      </c>
      <c r="M742" s="170" t="s">
        <v>1154</v>
      </c>
      <c r="N742" s="170" t="s">
        <v>473</v>
      </c>
      <c r="O742" s="2559">
        <v>2</v>
      </c>
      <c r="P742" s="2560"/>
      <c r="Q742" s="2559">
        <f>44242*1.0928</f>
        <v>48347.657599999999</v>
      </c>
      <c r="R742" s="2560"/>
      <c r="S742" s="2559">
        <f t="shared" si="223"/>
        <v>96695.315199999997</v>
      </c>
      <c r="T742" s="2560"/>
      <c r="U742" s="45"/>
      <c r="V742" s="2915" t="s">
        <v>991</v>
      </c>
      <c r="W742" s="2916"/>
      <c r="X742" s="120"/>
      <c r="Y742" s="170"/>
      <c r="Z742" s="2576"/>
      <c r="AA742" s="2880"/>
      <c r="AB742" s="2576"/>
      <c r="AC742" s="2880"/>
      <c r="AD742" s="2559">
        <f>Z742*AB742</f>
        <v>0</v>
      </c>
      <c r="AE742" s="2560"/>
      <c r="AF742" s="45"/>
      <c r="AG742" s="122" t="s">
        <v>861</v>
      </c>
      <c r="AH742" s="170" t="s">
        <v>1154</v>
      </c>
      <c r="AI742" s="170" t="s">
        <v>473</v>
      </c>
      <c r="AJ742" s="2559">
        <v>5</v>
      </c>
      <c r="AK742" s="2560"/>
      <c r="AL742" s="2559">
        <f>+Q742</f>
        <v>48347.657599999999</v>
      </c>
      <c r="AM742" s="2560"/>
      <c r="AN742" s="2559">
        <f t="shared" si="224"/>
        <v>241738.288</v>
      </c>
      <c r="AO742" s="2560"/>
    </row>
    <row r="743" spans="1:41" ht="15.95" customHeight="1" x14ac:dyDescent="0.3">
      <c r="A743" s="2915" t="s">
        <v>981</v>
      </c>
      <c r="B743" s="2916"/>
      <c r="C743" s="120"/>
      <c r="D743" s="170"/>
      <c r="E743" s="2576"/>
      <c r="F743" s="2880"/>
      <c r="G743" s="2559"/>
      <c r="H743" s="2560"/>
      <c r="I743" s="2559">
        <f>E743*G743</f>
        <v>0</v>
      </c>
      <c r="J743" s="2560"/>
      <c r="K743" s="279"/>
      <c r="L743" s="122" t="s">
        <v>863</v>
      </c>
      <c r="M743" s="170" t="s">
        <v>791</v>
      </c>
      <c r="N743" s="170" t="s">
        <v>452</v>
      </c>
      <c r="O743" s="2559">
        <v>2</v>
      </c>
      <c r="P743" s="2560"/>
      <c r="Q743" s="2559">
        <v>25849</v>
      </c>
      <c r="R743" s="2560"/>
      <c r="S743" s="2559">
        <f t="shared" si="223"/>
        <v>51698</v>
      </c>
      <c r="T743" s="2560"/>
      <c r="U743" s="45"/>
      <c r="V743" s="2915" t="s">
        <v>981</v>
      </c>
      <c r="W743" s="2916"/>
      <c r="X743" s="120"/>
      <c r="Y743" s="170"/>
      <c r="Z743" s="2576"/>
      <c r="AA743" s="2880"/>
      <c r="AB743" s="2576"/>
      <c r="AC743" s="2880"/>
      <c r="AD743" s="2559">
        <f>Z743*AB743</f>
        <v>0</v>
      </c>
      <c r="AE743" s="2560"/>
      <c r="AF743" s="45"/>
      <c r="AG743" s="122" t="s">
        <v>863</v>
      </c>
      <c r="AH743" s="170" t="s">
        <v>1155</v>
      </c>
      <c r="AI743" s="170" t="s">
        <v>473</v>
      </c>
      <c r="AJ743" s="2559">
        <v>5</v>
      </c>
      <c r="AK743" s="2560"/>
      <c r="AL743" s="2559">
        <f>53663*1.0928</f>
        <v>58642.926399999997</v>
      </c>
      <c r="AM743" s="2560"/>
      <c r="AN743" s="2559">
        <f t="shared" si="224"/>
        <v>293214.63199999998</v>
      </c>
      <c r="AO743" s="2560"/>
    </row>
    <row r="744" spans="1:41" ht="15.95" customHeight="1" x14ac:dyDescent="0.3">
      <c r="A744" s="2915" t="s">
        <v>992</v>
      </c>
      <c r="B744" s="2916"/>
      <c r="C744" s="120"/>
      <c r="D744" s="170"/>
      <c r="E744" s="2576"/>
      <c r="F744" s="2880"/>
      <c r="G744" s="2559"/>
      <c r="H744" s="2880"/>
      <c r="I744" s="2559">
        <f>E744*G744</f>
        <v>0</v>
      </c>
      <c r="J744" s="2560"/>
      <c r="K744" s="279"/>
      <c r="L744" s="122" t="s">
        <v>534</v>
      </c>
      <c r="M744" s="170"/>
      <c r="N744" s="170"/>
      <c r="O744" s="2559"/>
      <c r="P744" s="2560"/>
      <c r="Q744" s="2559"/>
      <c r="R744" s="2560"/>
      <c r="S744" s="2559">
        <f t="shared" si="223"/>
        <v>0</v>
      </c>
      <c r="T744" s="2560"/>
      <c r="U744" s="45"/>
      <c r="V744" s="2915" t="s">
        <v>992</v>
      </c>
      <c r="W744" s="2916"/>
      <c r="X744" s="120"/>
      <c r="Y744" s="170"/>
      <c r="Z744" s="2576"/>
      <c r="AA744" s="2880"/>
      <c r="AB744" s="2576"/>
      <c r="AC744" s="2880"/>
      <c r="AD744" s="2559">
        <f>Z744*AB744</f>
        <v>0</v>
      </c>
      <c r="AE744" s="2560"/>
      <c r="AF744" s="45"/>
      <c r="AG744" s="122" t="s">
        <v>534</v>
      </c>
      <c r="AH744" s="170"/>
      <c r="AI744" s="170"/>
      <c r="AJ744" s="2559"/>
      <c r="AK744" s="2560"/>
      <c r="AL744" s="2559"/>
      <c r="AM744" s="2560"/>
      <c r="AN744" s="2559">
        <f t="shared" si="224"/>
        <v>0</v>
      </c>
      <c r="AO744" s="2560"/>
    </row>
    <row r="745" spans="1:41" ht="15.95" customHeight="1" x14ac:dyDescent="0.35">
      <c r="A745" s="2998" t="s">
        <v>993</v>
      </c>
      <c r="B745" s="2999"/>
      <c r="C745" s="120"/>
      <c r="D745" s="170"/>
      <c r="E745" s="2576"/>
      <c r="F745" s="2880"/>
      <c r="G745" s="2559"/>
      <c r="H745" s="2560"/>
      <c r="I745" s="2565">
        <f>SUM(I746:J755)</f>
        <v>1551000</v>
      </c>
      <c r="J745" s="2892"/>
      <c r="K745" s="279"/>
      <c r="L745" s="288" t="s">
        <v>535</v>
      </c>
      <c r="M745" s="170" t="s">
        <v>753</v>
      </c>
      <c r="N745" s="170" t="s">
        <v>851</v>
      </c>
      <c r="O745" s="2559">
        <v>10</v>
      </c>
      <c r="P745" s="2560"/>
      <c r="Q745" s="2895">
        <v>188974</v>
      </c>
      <c r="R745" s="2896"/>
      <c r="S745" s="2559">
        <f t="shared" si="223"/>
        <v>1889740</v>
      </c>
      <c r="T745" s="2560"/>
      <c r="U745" s="45"/>
      <c r="V745" s="2998" t="s">
        <v>1035</v>
      </c>
      <c r="W745" s="2999"/>
      <c r="X745" s="120"/>
      <c r="Y745" s="170"/>
      <c r="Z745" s="2576"/>
      <c r="AA745" s="2880"/>
      <c r="AB745" s="2576"/>
      <c r="AC745" s="2880"/>
      <c r="AD745" s="2565">
        <f>SUM(AD746:AE755)</f>
        <v>0</v>
      </c>
      <c r="AE745" s="2892"/>
      <c r="AF745" s="45"/>
      <c r="AG745" s="288" t="s">
        <v>535</v>
      </c>
      <c r="AH745" s="170" t="s">
        <v>753</v>
      </c>
      <c r="AI745" s="170" t="s">
        <v>851</v>
      </c>
      <c r="AJ745" s="2559">
        <v>11</v>
      </c>
      <c r="AK745" s="2560"/>
      <c r="AL745" s="2559">
        <f>+Q745</f>
        <v>188974</v>
      </c>
      <c r="AM745" s="2560"/>
      <c r="AN745" s="2559">
        <f t="shared" si="224"/>
        <v>2078714</v>
      </c>
      <c r="AO745" s="2560"/>
    </row>
    <row r="746" spans="1:41" ht="15.95" customHeight="1" x14ac:dyDescent="0.3">
      <c r="A746" s="2839" t="s">
        <v>995</v>
      </c>
      <c r="B746" s="2840"/>
      <c r="C746" s="120" t="s">
        <v>496</v>
      </c>
      <c r="D746" s="170" t="s">
        <v>497</v>
      </c>
      <c r="E746" s="2559">
        <v>10</v>
      </c>
      <c r="F746" s="2560"/>
      <c r="G746" s="2576">
        <v>47000</v>
      </c>
      <c r="H746" s="2880">
        <f t="shared" ref="H746:H747" si="225">(36040*6%)+36040</f>
        <v>38202.400000000001</v>
      </c>
      <c r="I746" s="2559">
        <f t="shared" ref="I746:I755" si="226">E746*G746</f>
        <v>470000</v>
      </c>
      <c r="J746" s="2560"/>
      <c r="K746" s="279"/>
      <c r="L746" s="122" t="s">
        <v>537</v>
      </c>
      <c r="M746" s="170" t="s">
        <v>566</v>
      </c>
      <c r="N746" s="170" t="s">
        <v>473</v>
      </c>
      <c r="O746" s="2559">
        <v>2</v>
      </c>
      <c r="P746" s="2560"/>
      <c r="Q746" s="2559">
        <v>28583</v>
      </c>
      <c r="R746" s="2560"/>
      <c r="S746" s="2559">
        <f t="shared" si="223"/>
        <v>57166</v>
      </c>
      <c r="T746" s="2560"/>
      <c r="U746" s="45"/>
      <c r="V746" s="2839" t="s">
        <v>991</v>
      </c>
      <c r="W746" s="2840"/>
      <c r="X746" s="120"/>
      <c r="Y746" s="170"/>
      <c r="Z746" s="2559"/>
      <c r="AA746" s="2560"/>
      <c r="AB746" s="2559"/>
      <c r="AC746" s="2560"/>
      <c r="AD746" s="2559">
        <f>Z746*AB746</f>
        <v>0</v>
      </c>
      <c r="AE746" s="2560"/>
      <c r="AF746" s="45"/>
      <c r="AG746" s="122" t="s">
        <v>537</v>
      </c>
      <c r="AH746" s="170" t="s">
        <v>566</v>
      </c>
      <c r="AI746" s="170" t="s">
        <v>473</v>
      </c>
      <c r="AJ746" s="2559">
        <v>3</v>
      </c>
      <c r="AK746" s="2560"/>
      <c r="AL746" s="2559">
        <f>+Q746</f>
        <v>28583</v>
      </c>
      <c r="AM746" s="2560"/>
      <c r="AN746" s="2559">
        <f t="shared" si="224"/>
        <v>85749</v>
      </c>
      <c r="AO746" s="2560"/>
    </row>
    <row r="747" spans="1:41" ht="15.95" customHeight="1" x14ac:dyDescent="0.3">
      <c r="A747" s="2839" t="s">
        <v>996</v>
      </c>
      <c r="B747" s="2840"/>
      <c r="C747" s="120" t="s">
        <v>496</v>
      </c>
      <c r="D747" s="170" t="s">
        <v>497</v>
      </c>
      <c r="E747" s="2559">
        <v>2</v>
      </c>
      <c r="F747" s="2560"/>
      <c r="G747" s="2576">
        <v>47000</v>
      </c>
      <c r="H747" s="2880">
        <f t="shared" si="225"/>
        <v>38202.400000000001</v>
      </c>
      <c r="I747" s="2559">
        <f t="shared" si="226"/>
        <v>94000</v>
      </c>
      <c r="J747" s="2560"/>
      <c r="K747" s="279"/>
      <c r="L747" s="122" t="s">
        <v>866</v>
      </c>
      <c r="M747" s="170" t="s">
        <v>613</v>
      </c>
      <c r="N747" s="170" t="s">
        <v>851</v>
      </c>
      <c r="O747" s="2559">
        <v>5</v>
      </c>
      <c r="P747" s="2560"/>
      <c r="Q747" s="2559">
        <v>13291</v>
      </c>
      <c r="R747" s="2560"/>
      <c r="S747" s="2559">
        <f t="shared" si="223"/>
        <v>66455</v>
      </c>
      <c r="T747" s="2560"/>
      <c r="U747" s="45"/>
      <c r="V747" s="2839" t="s">
        <v>996</v>
      </c>
      <c r="W747" s="2840"/>
      <c r="X747" s="120"/>
      <c r="Y747" s="170"/>
      <c r="Z747" s="2559"/>
      <c r="AA747" s="2560"/>
      <c r="AB747" s="2559"/>
      <c r="AC747" s="2560"/>
      <c r="AD747" s="2559">
        <f>Z747*AB747</f>
        <v>0</v>
      </c>
      <c r="AE747" s="2560"/>
      <c r="AF747" s="45"/>
      <c r="AG747" s="122" t="s">
        <v>866</v>
      </c>
      <c r="AH747" s="170"/>
      <c r="AI747" s="170"/>
      <c r="AJ747" s="2559"/>
      <c r="AK747" s="2560"/>
      <c r="AL747" s="2559"/>
      <c r="AM747" s="2560"/>
      <c r="AN747" s="2559">
        <f t="shared" si="224"/>
        <v>0</v>
      </c>
      <c r="AO747" s="2560"/>
    </row>
    <row r="748" spans="1:41" ht="15.95" customHeight="1" x14ac:dyDescent="0.2">
      <c r="A748" s="2839" t="s">
        <v>469</v>
      </c>
      <c r="B748" s="2840"/>
      <c r="C748" s="120"/>
      <c r="D748" s="170"/>
      <c r="E748" s="2559"/>
      <c r="F748" s="2560"/>
      <c r="G748" s="2559"/>
      <c r="H748" s="2560"/>
      <c r="I748" s="2559">
        <f t="shared" si="226"/>
        <v>0</v>
      </c>
      <c r="J748" s="2560"/>
      <c r="K748" s="279"/>
      <c r="L748" s="122" t="s">
        <v>456</v>
      </c>
      <c r="M748" s="170" t="s">
        <v>710</v>
      </c>
      <c r="N748" s="170" t="s">
        <v>556</v>
      </c>
      <c r="O748" s="2559">
        <v>1</v>
      </c>
      <c r="P748" s="2560"/>
      <c r="Q748" s="2559">
        <f>180902*1.0928</f>
        <v>197689.70559999999</v>
      </c>
      <c r="R748" s="2560"/>
      <c r="S748" s="2559">
        <f t="shared" si="223"/>
        <v>197689.70559999999</v>
      </c>
      <c r="T748" s="2560"/>
      <c r="U748" s="45"/>
      <c r="V748" s="2839" t="s">
        <v>469</v>
      </c>
      <c r="W748" s="2840"/>
      <c r="X748" s="120"/>
      <c r="Y748" s="170"/>
      <c r="Z748" s="2559"/>
      <c r="AA748" s="2560"/>
      <c r="AB748" s="2559"/>
      <c r="AC748" s="2560"/>
      <c r="AD748" s="2559">
        <f t="shared" ref="AD748:AD755" si="227">Z748*AB748</f>
        <v>0</v>
      </c>
      <c r="AE748" s="2560"/>
      <c r="AF748" s="45"/>
      <c r="AG748" s="122" t="s">
        <v>456</v>
      </c>
      <c r="AH748" s="170"/>
      <c r="AI748" s="170"/>
      <c r="AJ748" s="2559"/>
      <c r="AK748" s="2560"/>
      <c r="AL748" s="2559"/>
      <c r="AM748" s="2560"/>
      <c r="AN748" s="2559">
        <f t="shared" si="224"/>
        <v>0</v>
      </c>
      <c r="AO748" s="2560"/>
    </row>
    <row r="749" spans="1:41" ht="15.95" customHeight="1" x14ac:dyDescent="0.3">
      <c r="A749" s="2839" t="s">
        <v>470</v>
      </c>
      <c r="B749" s="2840"/>
      <c r="C749" s="299"/>
      <c r="D749" s="120"/>
      <c r="E749" s="2559"/>
      <c r="F749" s="2560"/>
      <c r="G749" s="2559"/>
      <c r="H749" s="2560"/>
      <c r="I749" s="2559">
        <f t="shared" si="226"/>
        <v>0</v>
      </c>
      <c r="J749" s="2560"/>
      <c r="K749" s="279"/>
      <c r="L749" s="122" t="s">
        <v>871</v>
      </c>
      <c r="M749" s="170"/>
      <c r="N749" s="170"/>
      <c r="O749" s="2559"/>
      <c r="P749" s="2560"/>
      <c r="Q749" s="2559"/>
      <c r="R749" s="2560"/>
      <c r="S749" s="2559">
        <f t="shared" si="223"/>
        <v>0</v>
      </c>
      <c r="T749" s="2560"/>
      <c r="U749" s="45"/>
      <c r="V749" s="2839" t="s">
        <v>470</v>
      </c>
      <c r="W749" s="2840"/>
      <c r="X749" s="120"/>
      <c r="Y749" s="170"/>
      <c r="Z749" s="2559"/>
      <c r="AA749" s="2560"/>
      <c r="AB749" s="2559"/>
      <c r="AC749" s="2560"/>
      <c r="AD749" s="2559">
        <f t="shared" si="227"/>
        <v>0</v>
      </c>
      <c r="AE749" s="2560"/>
      <c r="AF749" s="45"/>
      <c r="AG749" s="122" t="s">
        <v>871</v>
      </c>
      <c r="AH749" s="170"/>
      <c r="AI749" s="170"/>
      <c r="AJ749" s="2559"/>
      <c r="AK749" s="2560"/>
      <c r="AL749" s="2559"/>
      <c r="AM749" s="2560"/>
      <c r="AN749" s="2559">
        <f t="shared" si="224"/>
        <v>0</v>
      </c>
      <c r="AO749" s="2560"/>
    </row>
    <row r="750" spans="1:41" ht="15.95" customHeight="1" x14ac:dyDescent="0.3">
      <c r="A750" s="2839" t="s">
        <v>902</v>
      </c>
      <c r="B750" s="2840"/>
      <c r="C750" s="120" t="s">
        <v>496</v>
      </c>
      <c r="D750" s="170" t="s">
        <v>497</v>
      </c>
      <c r="E750" s="2559">
        <v>3</v>
      </c>
      <c r="F750" s="2560"/>
      <c r="G750" s="2576">
        <v>47000</v>
      </c>
      <c r="H750" s="2880">
        <f t="shared" ref="H750:H752" si="228">(36040*6%)+36040</f>
        <v>38202.400000000001</v>
      </c>
      <c r="I750" s="2559">
        <f t="shared" si="226"/>
        <v>141000</v>
      </c>
      <c r="J750" s="2560"/>
      <c r="K750" s="279"/>
      <c r="L750" s="122" t="s">
        <v>595</v>
      </c>
      <c r="M750" s="170"/>
      <c r="N750" s="170"/>
      <c r="O750" s="2559"/>
      <c r="P750" s="2560"/>
      <c r="Q750" s="2559"/>
      <c r="R750" s="2560"/>
      <c r="S750" s="2559">
        <f t="shared" si="223"/>
        <v>0</v>
      </c>
      <c r="T750" s="2560"/>
      <c r="U750" s="45"/>
      <c r="V750" s="2839" t="s">
        <v>1068</v>
      </c>
      <c r="W750" s="2840"/>
      <c r="X750" s="120"/>
      <c r="Y750" s="170"/>
      <c r="Z750" s="2559"/>
      <c r="AA750" s="2560"/>
      <c r="AB750" s="2559"/>
      <c r="AC750" s="2880"/>
      <c r="AD750" s="2559">
        <f t="shared" si="227"/>
        <v>0</v>
      </c>
      <c r="AE750" s="2560"/>
      <c r="AF750" s="45"/>
      <c r="AG750" s="122" t="s">
        <v>595</v>
      </c>
      <c r="AH750" s="170"/>
      <c r="AI750" s="170"/>
      <c r="AJ750" s="2559"/>
      <c r="AK750" s="2560"/>
      <c r="AL750" s="2559"/>
      <c r="AM750" s="2560"/>
      <c r="AN750" s="2559">
        <f t="shared" si="224"/>
        <v>0</v>
      </c>
      <c r="AO750" s="2560"/>
    </row>
    <row r="751" spans="1:41" ht="15.95" customHeight="1" x14ac:dyDescent="0.3">
      <c r="A751" s="2839" t="s">
        <v>998</v>
      </c>
      <c r="B751" s="2840"/>
      <c r="C751" s="120" t="s">
        <v>496</v>
      </c>
      <c r="D751" s="170" t="s">
        <v>497</v>
      </c>
      <c r="E751" s="2576">
        <v>15</v>
      </c>
      <c r="F751" s="2880"/>
      <c r="G751" s="2576">
        <v>47000</v>
      </c>
      <c r="H751" s="2880">
        <f t="shared" si="228"/>
        <v>38202.400000000001</v>
      </c>
      <c r="I751" s="2559">
        <f t="shared" si="226"/>
        <v>705000</v>
      </c>
      <c r="J751" s="2560"/>
      <c r="K751" s="279"/>
      <c r="L751" s="122" t="s">
        <v>507</v>
      </c>
      <c r="M751" s="214" t="s">
        <v>634</v>
      </c>
      <c r="N751" s="120" t="s">
        <v>1108</v>
      </c>
      <c r="O751" s="2559">
        <v>120</v>
      </c>
      <c r="P751" s="2560"/>
      <c r="Q751" s="2559">
        <f>3101*1.0928</f>
        <v>3388.7728000000002</v>
      </c>
      <c r="R751" s="2560"/>
      <c r="S751" s="2559">
        <f t="shared" si="223"/>
        <v>406652.73600000003</v>
      </c>
      <c r="T751" s="2560"/>
      <c r="U751" s="45"/>
      <c r="V751" s="2839" t="s">
        <v>998</v>
      </c>
      <c r="W751" s="2840"/>
      <c r="X751" s="120"/>
      <c r="Y751" s="170"/>
      <c r="Z751" s="2576"/>
      <c r="AA751" s="2880"/>
      <c r="AB751" s="2576"/>
      <c r="AC751" s="2880"/>
      <c r="AD751" s="2559">
        <f t="shared" si="227"/>
        <v>0</v>
      </c>
      <c r="AE751" s="2560"/>
      <c r="AF751" s="45"/>
      <c r="AG751" s="122" t="s">
        <v>507</v>
      </c>
      <c r="AH751" s="214" t="s">
        <v>1079</v>
      </c>
      <c r="AI751" s="120" t="s">
        <v>497</v>
      </c>
      <c r="AJ751" s="2559">
        <v>450</v>
      </c>
      <c r="AK751" s="2560"/>
      <c r="AL751" s="2559">
        <f>+Q751</f>
        <v>3388.7728000000002</v>
      </c>
      <c r="AM751" s="2560"/>
      <c r="AN751" s="2559">
        <f t="shared" si="224"/>
        <v>1524947.76</v>
      </c>
      <c r="AO751" s="2560"/>
    </row>
    <row r="752" spans="1:41" ht="15.95" customHeight="1" x14ac:dyDescent="0.3">
      <c r="A752" s="2839" t="s">
        <v>999</v>
      </c>
      <c r="B752" s="2840"/>
      <c r="C752" s="120" t="s">
        <v>496</v>
      </c>
      <c r="D752" s="170" t="s">
        <v>497</v>
      </c>
      <c r="E752" s="2576">
        <v>3</v>
      </c>
      <c r="F752" s="2880"/>
      <c r="G752" s="2576">
        <v>47000</v>
      </c>
      <c r="H752" s="2880">
        <f t="shared" si="228"/>
        <v>38202.400000000001</v>
      </c>
      <c r="I752" s="2559">
        <f t="shared" si="226"/>
        <v>141000</v>
      </c>
      <c r="J752" s="2560"/>
      <c r="K752" s="279"/>
      <c r="L752" s="122" t="s">
        <v>805</v>
      </c>
      <c r="M752" s="170"/>
      <c r="N752" s="170" t="s">
        <v>794</v>
      </c>
      <c r="O752" s="2559"/>
      <c r="P752" s="2560"/>
      <c r="Q752" s="2559"/>
      <c r="R752" s="2560"/>
      <c r="S752" s="2559">
        <f>350000*1.0928</f>
        <v>382480</v>
      </c>
      <c r="T752" s="2560"/>
      <c r="U752" s="45"/>
      <c r="V752" s="2839" t="s">
        <v>999</v>
      </c>
      <c r="W752" s="2840"/>
      <c r="X752" s="120"/>
      <c r="Y752" s="170"/>
      <c r="Z752" s="2576"/>
      <c r="AA752" s="2880"/>
      <c r="AB752" s="2576"/>
      <c r="AC752" s="2880"/>
      <c r="AD752" s="2559">
        <f t="shared" si="227"/>
        <v>0</v>
      </c>
      <c r="AE752" s="2560"/>
      <c r="AF752" s="45"/>
      <c r="AG752" s="122" t="s">
        <v>801</v>
      </c>
      <c r="AH752" s="170"/>
      <c r="AI752" s="170"/>
      <c r="AJ752" s="2559"/>
      <c r="AK752" s="2560"/>
      <c r="AL752" s="2559"/>
      <c r="AM752" s="2560"/>
      <c r="AN752" s="2559">
        <f t="shared" si="224"/>
        <v>0</v>
      </c>
      <c r="AO752" s="2560"/>
    </row>
    <row r="753" spans="1:41" ht="15.95" customHeight="1" x14ac:dyDescent="0.3">
      <c r="A753" s="2839" t="s">
        <v>873</v>
      </c>
      <c r="B753" s="2840"/>
      <c r="C753" s="120"/>
      <c r="D753" s="170"/>
      <c r="E753" s="2576"/>
      <c r="F753" s="2880"/>
      <c r="G753" s="2576"/>
      <c r="H753" s="2880"/>
      <c r="I753" s="2559">
        <f t="shared" si="226"/>
        <v>0</v>
      </c>
      <c r="J753" s="2560"/>
      <c r="K753" s="279"/>
      <c r="L753" s="122" t="s">
        <v>575</v>
      </c>
      <c r="M753" s="170"/>
      <c r="N753" s="170"/>
      <c r="O753" s="2559"/>
      <c r="P753" s="2560"/>
      <c r="Q753" s="2559"/>
      <c r="R753" s="2560"/>
      <c r="S753" s="2559">
        <f t="shared" si="223"/>
        <v>0</v>
      </c>
      <c r="T753" s="2560"/>
      <c r="U753" s="45"/>
      <c r="V753" s="2839" t="s">
        <v>873</v>
      </c>
      <c r="W753" s="2840"/>
      <c r="X753" s="120"/>
      <c r="Y753" s="170"/>
      <c r="Z753" s="2576"/>
      <c r="AA753" s="2880"/>
      <c r="AB753" s="2576"/>
      <c r="AC753" s="2880"/>
      <c r="AD753" s="2559">
        <f t="shared" si="227"/>
        <v>0</v>
      </c>
      <c r="AE753" s="2560"/>
      <c r="AF753" s="45"/>
      <c r="AG753" s="122" t="s">
        <v>575</v>
      </c>
      <c r="AH753" s="170"/>
      <c r="AI753" s="170"/>
      <c r="AJ753" s="2559"/>
      <c r="AK753" s="2560"/>
      <c r="AL753" s="2559"/>
      <c r="AM753" s="2560"/>
      <c r="AN753" s="2559">
        <f t="shared" si="224"/>
        <v>0</v>
      </c>
      <c r="AO753" s="2560"/>
    </row>
    <row r="754" spans="1:41" ht="15.95" customHeight="1" x14ac:dyDescent="0.3">
      <c r="A754" s="2839" t="s">
        <v>1000</v>
      </c>
      <c r="B754" s="2840"/>
      <c r="C754" s="120"/>
      <c r="D754" s="170"/>
      <c r="E754" s="2576"/>
      <c r="F754" s="2880"/>
      <c r="G754" s="2576"/>
      <c r="H754" s="2880"/>
      <c r="I754" s="2559">
        <f t="shared" si="226"/>
        <v>0</v>
      </c>
      <c r="J754" s="2560"/>
      <c r="K754" s="279"/>
      <c r="L754" s="122" t="s">
        <v>874</v>
      </c>
      <c r="M754" s="170"/>
      <c r="N754" s="170"/>
      <c r="O754" s="2559"/>
      <c r="P754" s="2560"/>
      <c r="Q754" s="2559"/>
      <c r="R754" s="2560"/>
      <c r="S754" s="2559">
        <f t="shared" si="223"/>
        <v>0</v>
      </c>
      <c r="T754" s="2560"/>
      <c r="U754" s="45"/>
      <c r="V754" s="2839" t="s">
        <v>1000</v>
      </c>
      <c r="W754" s="2840"/>
      <c r="X754" s="120"/>
      <c r="Y754" s="170"/>
      <c r="Z754" s="2576"/>
      <c r="AA754" s="2880"/>
      <c r="AB754" s="2576"/>
      <c r="AC754" s="2880"/>
      <c r="AD754" s="2559">
        <f t="shared" si="227"/>
        <v>0</v>
      </c>
      <c r="AE754" s="2560"/>
      <c r="AF754" s="45"/>
      <c r="AG754" s="122" t="s">
        <v>874</v>
      </c>
      <c r="AH754" s="170"/>
      <c r="AI754" s="170"/>
      <c r="AJ754" s="2559"/>
      <c r="AK754" s="2560"/>
      <c r="AL754" s="2559"/>
      <c r="AM754" s="2560"/>
      <c r="AN754" s="2559">
        <f t="shared" si="224"/>
        <v>0</v>
      </c>
      <c r="AO754" s="2560"/>
    </row>
    <row r="755" spans="1:41" ht="15.95" customHeight="1" x14ac:dyDescent="0.3">
      <c r="A755" s="2839" t="s">
        <v>504</v>
      </c>
      <c r="B755" s="2840"/>
      <c r="C755" s="120"/>
      <c r="D755" s="170"/>
      <c r="E755" s="2576"/>
      <c r="F755" s="2880"/>
      <c r="G755" s="2576"/>
      <c r="H755" s="2880"/>
      <c r="I755" s="2559">
        <f t="shared" si="226"/>
        <v>0</v>
      </c>
      <c r="J755" s="2560"/>
      <c r="K755" s="279"/>
      <c r="L755" s="196" t="s">
        <v>515</v>
      </c>
      <c r="M755" s="120"/>
      <c r="N755" s="120"/>
      <c r="O755" s="2643"/>
      <c r="P755" s="2643"/>
      <c r="Q755" s="2643"/>
      <c r="R755" s="2643"/>
      <c r="S755" s="2559">
        <f t="shared" si="223"/>
        <v>0</v>
      </c>
      <c r="T755" s="2560"/>
      <c r="U755" s="45"/>
      <c r="V755" s="2839" t="s">
        <v>504</v>
      </c>
      <c r="W755" s="2840"/>
      <c r="X755" s="120"/>
      <c r="Y755" s="170"/>
      <c r="Z755" s="2576"/>
      <c r="AA755" s="2880"/>
      <c r="AB755" s="2576"/>
      <c r="AC755" s="2880"/>
      <c r="AD755" s="2559">
        <f t="shared" si="227"/>
        <v>0</v>
      </c>
      <c r="AE755" s="2560"/>
      <c r="AF755" s="45"/>
      <c r="AG755" s="196" t="s">
        <v>515</v>
      </c>
      <c r="AH755" s="120"/>
      <c r="AI755" s="120"/>
      <c r="AJ755" s="2643"/>
      <c r="AK755" s="2643"/>
      <c r="AL755" s="2643"/>
      <c r="AM755" s="2643"/>
      <c r="AN755" s="2559">
        <f t="shared" si="224"/>
        <v>0</v>
      </c>
      <c r="AO755" s="2560"/>
    </row>
    <row r="756" spans="1:41" ht="15.95" customHeight="1" x14ac:dyDescent="0.35">
      <c r="A756" s="2911" t="s">
        <v>1001</v>
      </c>
      <c r="B756" s="2912"/>
      <c r="C756" s="120"/>
      <c r="D756" s="170"/>
      <c r="E756" s="2576"/>
      <c r="F756" s="2880"/>
      <c r="G756" s="2576"/>
      <c r="H756" s="2880"/>
      <c r="I756" s="2565">
        <f>SUM(I757:J774)</f>
        <v>3149000</v>
      </c>
      <c r="J756" s="2892"/>
      <c r="K756" s="279"/>
      <c r="L756" s="196"/>
      <c r="M756" s="197"/>
      <c r="N756" s="120"/>
      <c r="O756" s="2643"/>
      <c r="P756" s="2643"/>
      <c r="Q756" s="2643"/>
      <c r="R756" s="2643"/>
      <c r="S756" s="2559"/>
      <c r="T756" s="2560"/>
      <c r="U756" s="45"/>
      <c r="V756" s="2911" t="s">
        <v>1001</v>
      </c>
      <c r="W756" s="2912"/>
      <c r="X756" s="120"/>
      <c r="Y756" s="170"/>
      <c r="Z756" s="2576"/>
      <c r="AA756" s="2880"/>
      <c r="AB756" s="2576"/>
      <c r="AC756" s="2880"/>
      <c r="AD756" s="2565">
        <f>SUM(AD757:AE774)</f>
        <v>1269000</v>
      </c>
      <c r="AE756" s="2892"/>
      <c r="AF756" s="45"/>
      <c r="AG756" s="196" t="s">
        <v>1093</v>
      </c>
      <c r="AH756" s="120"/>
      <c r="AI756" s="120"/>
      <c r="AJ756" s="2643"/>
      <c r="AK756" s="2643"/>
      <c r="AL756" s="2643"/>
      <c r="AM756" s="2643"/>
      <c r="AN756" s="2559">
        <f t="shared" si="224"/>
        <v>0</v>
      </c>
      <c r="AO756" s="2560"/>
    </row>
    <row r="757" spans="1:41" ht="15.95" customHeight="1" x14ac:dyDescent="0.3">
      <c r="A757" s="2839" t="s">
        <v>852</v>
      </c>
      <c r="B757" s="2840"/>
      <c r="C757" s="120" t="s">
        <v>496</v>
      </c>
      <c r="D757" s="170" t="s">
        <v>497</v>
      </c>
      <c r="E757" s="2559">
        <v>15</v>
      </c>
      <c r="F757" s="2560"/>
      <c r="G757" s="2576">
        <v>47000</v>
      </c>
      <c r="H757" s="2880">
        <f t="shared" ref="H757:H758" si="229">(36040*6%)+36040</f>
        <v>38202.400000000001</v>
      </c>
      <c r="I757" s="2559">
        <f t="shared" ref="I757:I774" si="230">E757*G757</f>
        <v>705000</v>
      </c>
      <c r="J757" s="2560"/>
      <c r="K757" s="279"/>
      <c r="L757" s="199" t="s">
        <v>876</v>
      </c>
      <c r="M757" s="53"/>
      <c r="N757" s="200"/>
      <c r="O757" s="2893"/>
      <c r="P757" s="2893"/>
      <c r="Q757" s="2893"/>
      <c r="R757" s="2893"/>
      <c r="S757" s="2894">
        <f>SUM(S739:T755)</f>
        <v>5246752.7567999996</v>
      </c>
      <c r="T757" s="2894"/>
      <c r="U757" s="45"/>
      <c r="V757" s="2839" t="s">
        <v>852</v>
      </c>
      <c r="W757" s="2840"/>
      <c r="X757" s="120"/>
      <c r="Y757" s="170"/>
      <c r="Z757" s="2559"/>
      <c r="AA757" s="2560"/>
      <c r="AB757" s="2559"/>
      <c r="AC757" s="2560"/>
      <c r="AD757" s="2559">
        <f t="shared" ref="AD757:AD774" si="231">Z757*AB757</f>
        <v>0</v>
      </c>
      <c r="AE757" s="2560"/>
      <c r="AF757" s="45"/>
      <c r="AG757" s="199" t="s">
        <v>876</v>
      </c>
      <c r="AH757" s="53"/>
      <c r="AI757" s="200"/>
      <c r="AJ757" s="2893"/>
      <c r="AK757" s="2893"/>
      <c r="AL757" s="2893"/>
      <c r="AM757" s="2893"/>
      <c r="AN757" s="2894">
        <f>SUM(AN739:AO755)</f>
        <v>4224363.68</v>
      </c>
      <c r="AO757" s="2894"/>
    </row>
    <row r="758" spans="1:41" ht="15.95" customHeight="1" x14ac:dyDescent="0.3">
      <c r="A758" s="2839" t="s">
        <v>495</v>
      </c>
      <c r="B758" s="2840"/>
      <c r="C758" s="120" t="s">
        <v>496</v>
      </c>
      <c r="D758" s="170" t="s">
        <v>497</v>
      </c>
      <c r="E758" s="2559">
        <v>2</v>
      </c>
      <c r="F758" s="2560"/>
      <c r="G758" s="2576">
        <v>47000</v>
      </c>
      <c r="H758" s="2880">
        <f t="shared" si="229"/>
        <v>38202.400000000001</v>
      </c>
      <c r="I758" s="2559">
        <f t="shared" si="230"/>
        <v>94000</v>
      </c>
      <c r="J758" s="2560"/>
      <c r="K758" s="279"/>
      <c r="L758" s="148"/>
      <c r="M758" s="197"/>
      <c r="N758" s="120"/>
      <c r="O758" s="2643"/>
      <c r="P758" s="2643"/>
      <c r="Q758" s="2643"/>
      <c r="R758" s="2643"/>
      <c r="S758" s="2643"/>
      <c r="T758" s="2643"/>
      <c r="U758" s="45"/>
      <c r="V758" s="2839" t="s">
        <v>495</v>
      </c>
      <c r="W758" s="2840"/>
      <c r="X758" s="120"/>
      <c r="Y758" s="170"/>
      <c r="Z758" s="2559"/>
      <c r="AA758" s="2560"/>
      <c r="AB758" s="2559"/>
      <c r="AC758" s="2560"/>
      <c r="AD758" s="2559">
        <f t="shared" si="231"/>
        <v>0</v>
      </c>
      <c r="AE758" s="2560"/>
      <c r="AF758" s="45"/>
      <c r="AG758" s="148"/>
      <c r="AH758" s="197"/>
      <c r="AI758" s="120"/>
      <c r="AJ758" s="2643"/>
      <c r="AK758" s="2643"/>
      <c r="AL758" s="2643"/>
      <c r="AM758" s="2643"/>
      <c r="AN758" s="2643"/>
      <c r="AO758" s="2643"/>
    </row>
    <row r="759" spans="1:41" ht="15.95" customHeight="1" x14ac:dyDescent="0.3">
      <c r="A759" s="2839" t="s">
        <v>1003</v>
      </c>
      <c r="B759" s="2840"/>
      <c r="C759" s="170"/>
      <c r="D759" s="170"/>
      <c r="E759" s="2576"/>
      <c r="F759" s="2880"/>
      <c r="G759" s="2559"/>
      <c r="H759" s="2880"/>
      <c r="I759" s="2559">
        <f t="shared" si="230"/>
        <v>0</v>
      </c>
      <c r="J759" s="2560"/>
      <c r="K759" s="279"/>
      <c r="L759" s="144" t="s">
        <v>577</v>
      </c>
      <c r="M759" s="145"/>
      <c r="N759" s="145"/>
      <c r="O759" s="2890"/>
      <c r="P759" s="2890"/>
      <c r="Q759" s="2890"/>
      <c r="R759" s="2890"/>
      <c r="S759" s="2890"/>
      <c r="T759" s="2891"/>
      <c r="U759" s="45"/>
      <c r="V759" s="2839" t="s">
        <v>1003</v>
      </c>
      <c r="W759" s="2840"/>
      <c r="X759" s="120"/>
      <c r="Y759" s="170"/>
      <c r="Z759" s="2576"/>
      <c r="AA759" s="2880"/>
      <c r="AB759" s="2576"/>
      <c r="AC759" s="2880"/>
      <c r="AD759" s="2559">
        <f t="shared" si="231"/>
        <v>0</v>
      </c>
      <c r="AE759" s="2560"/>
      <c r="AF759" s="45"/>
      <c r="AG759" s="144" t="s">
        <v>577</v>
      </c>
      <c r="AH759" s="145"/>
      <c r="AI759" s="145"/>
      <c r="AJ759" s="2890"/>
      <c r="AK759" s="2890"/>
      <c r="AL759" s="2890"/>
      <c r="AM759" s="2890"/>
      <c r="AN759" s="2890"/>
      <c r="AO759" s="2891"/>
    </row>
    <row r="760" spans="1:41" ht="15.95" customHeight="1" x14ac:dyDescent="0.3">
      <c r="A760" s="2839" t="s">
        <v>1004</v>
      </c>
      <c r="B760" s="2840"/>
      <c r="C760" s="120"/>
      <c r="D760" s="170"/>
      <c r="E760" s="2576"/>
      <c r="F760" s="2880"/>
      <c r="G760" s="2576"/>
      <c r="H760" s="2880"/>
      <c r="I760" s="2559">
        <f t="shared" si="230"/>
        <v>0</v>
      </c>
      <c r="J760" s="2560"/>
      <c r="K760" s="279"/>
      <c r="L760" s="148" t="s">
        <v>1005</v>
      </c>
      <c r="M760" s="296">
        <v>0.05</v>
      </c>
      <c r="N760" s="45"/>
      <c r="O760" s="2575"/>
      <c r="P760" s="2575"/>
      <c r="Q760" s="2575"/>
      <c r="R760" s="2575"/>
      <c r="S760" s="2575">
        <f>(S757+I782)*5%</f>
        <v>572210.84536000004</v>
      </c>
      <c r="T760" s="2560"/>
      <c r="U760" s="45"/>
      <c r="V760" s="2839" t="s">
        <v>1004</v>
      </c>
      <c r="W760" s="2840"/>
      <c r="X760" s="120"/>
      <c r="Y760" s="170"/>
      <c r="Z760" s="2576"/>
      <c r="AA760" s="2880"/>
      <c r="AB760" s="2576"/>
      <c r="AC760" s="2880"/>
      <c r="AD760" s="2559">
        <f t="shared" si="231"/>
        <v>0</v>
      </c>
      <c r="AE760" s="2560"/>
      <c r="AF760" s="45"/>
      <c r="AG760" s="148" t="s">
        <v>1005</v>
      </c>
      <c r="AH760" s="296">
        <v>0.05</v>
      </c>
      <c r="AI760" s="45"/>
      <c r="AJ760" s="2575"/>
      <c r="AK760" s="2575"/>
      <c r="AL760" s="2575"/>
      <c r="AM760" s="2575"/>
      <c r="AN760" s="2575">
        <f>(AN757+AD782)*5%</f>
        <v>455299.42517341749</v>
      </c>
      <c r="AO760" s="2560"/>
    </row>
    <row r="761" spans="1:41" ht="15.95" customHeight="1" x14ac:dyDescent="0.3">
      <c r="A761" s="2839" t="s">
        <v>1006</v>
      </c>
      <c r="B761" s="2840"/>
      <c r="C761" s="120"/>
      <c r="D761" s="170"/>
      <c r="E761" s="2576"/>
      <c r="F761" s="2880"/>
      <c r="G761" s="2576"/>
      <c r="H761" s="2880"/>
      <c r="I761" s="2559">
        <f t="shared" si="230"/>
        <v>0</v>
      </c>
      <c r="J761" s="2560"/>
      <c r="K761" s="279"/>
      <c r="L761" s="151" t="s">
        <v>527</v>
      </c>
      <c r="M761" s="45"/>
      <c r="N761" s="45"/>
      <c r="O761" s="2575"/>
      <c r="P761" s="2575"/>
      <c r="Q761" s="2575"/>
      <c r="R761" s="2575"/>
      <c r="S761" s="2575">
        <f>150000*1.0928</f>
        <v>163920</v>
      </c>
      <c r="T761" s="2560"/>
      <c r="U761" s="45"/>
      <c r="V761" s="2839" t="s">
        <v>1006</v>
      </c>
      <c r="W761" s="2840"/>
      <c r="X761" s="120"/>
      <c r="Y761" s="170"/>
      <c r="Z761" s="2576"/>
      <c r="AA761" s="2880"/>
      <c r="AB761" s="2576"/>
      <c r="AC761" s="2880"/>
      <c r="AD761" s="2559">
        <f t="shared" si="231"/>
        <v>0</v>
      </c>
      <c r="AE761" s="2560"/>
      <c r="AF761" s="45"/>
      <c r="AG761" s="151" t="s">
        <v>527</v>
      </c>
      <c r="AH761" s="45"/>
      <c r="AI761" s="45"/>
      <c r="AJ761" s="2575"/>
      <c r="AK761" s="2575"/>
      <c r="AL761" s="2575"/>
      <c r="AM761" s="2575"/>
      <c r="AN761" s="2575">
        <f>100000*1.0928</f>
        <v>109280</v>
      </c>
      <c r="AO761" s="2560"/>
    </row>
    <row r="762" spans="1:41" ht="15.95" customHeight="1" x14ac:dyDescent="0.3">
      <c r="A762" s="2839" t="s">
        <v>1007</v>
      </c>
      <c r="B762" s="2840"/>
      <c r="C762" s="120"/>
      <c r="D762" s="170"/>
      <c r="E762" s="2576"/>
      <c r="F762" s="2880"/>
      <c r="G762" s="2576"/>
      <c r="H762" s="2880"/>
      <c r="I762" s="2559">
        <f t="shared" si="230"/>
        <v>0</v>
      </c>
      <c r="J762" s="2560"/>
      <c r="K762" s="279"/>
      <c r="L762" s="152" t="s">
        <v>529</v>
      </c>
      <c r="M762" s="45"/>
      <c r="N762" s="45"/>
      <c r="O762" s="2575"/>
      <c r="P762" s="2575"/>
      <c r="Q762" s="2575"/>
      <c r="R762" s="2575"/>
      <c r="S762" s="2575">
        <f>400000*1.0928</f>
        <v>437120</v>
      </c>
      <c r="T762" s="2560"/>
      <c r="U762" s="45"/>
      <c r="V762" s="2839" t="s">
        <v>1007</v>
      </c>
      <c r="W762" s="2840"/>
      <c r="X762" s="120"/>
      <c r="Y762" s="170"/>
      <c r="Z762" s="2576"/>
      <c r="AA762" s="2880"/>
      <c r="AB762" s="2576"/>
      <c r="AC762" s="2880"/>
      <c r="AD762" s="2559">
        <f t="shared" si="231"/>
        <v>0</v>
      </c>
      <c r="AE762" s="2560"/>
      <c r="AF762" s="45"/>
      <c r="AG762" s="152" t="s">
        <v>529</v>
      </c>
      <c r="AH762" s="45"/>
      <c r="AI762" s="45"/>
      <c r="AJ762" s="2575"/>
      <c r="AK762" s="2575"/>
      <c r="AL762" s="2575"/>
      <c r="AM762" s="2575"/>
      <c r="AN762" s="2575">
        <f>400000*1.0928</f>
        <v>437120</v>
      </c>
      <c r="AO762" s="2560"/>
    </row>
    <row r="763" spans="1:41" ht="15.95" customHeight="1" x14ac:dyDescent="0.3">
      <c r="A763" s="2839" t="s">
        <v>1008</v>
      </c>
      <c r="B763" s="2840"/>
      <c r="C763" s="170"/>
      <c r="D763" s="170"/>
      <c r="E763" s="2576"/>
      <c r="F763" s="2880"/>
      <c r="G763" s="2559"/>
      <c r="H763" s="2880"/>
      <c r="I763" s="2559">
        <f t="shared" si="230"/>
        <v>0</v>
      </c>
      <c r="J763" s="2560"/>
      <c r="K763" s="279"/>
      <c r="L763" s="152" t="s">
        <v>580</v>
      </c>
      <c r="M763" s="45"/>
      <c r="N763" s="45"/>
      <c r="O763" s="2575"/>
      <c r="P763" s="2575"/>
      <c r="Q763" s="2575"/>
      <c r="R763" s="2575"/>
      <c r="S763" s="2575">
        <f>(I782+S757)*5%</f>
        <v>572210.84536000004</v>
      </c>
      <c r="T763" s="2560"/>
      <c r="U763" s="45"/>
      <c r="V763" s="2839" t="s">
        <v>1008</v>
      </c>
      <c r="W763" s="2840"/>
      <c r="X763" s="120"/>
      <c r="Y763" s="170"/>
      <c r="Z763" s="2576"/>
      <c r="AA763" s="2880"/>
      <c r="AB763" s="2576"/>
      <c r="AC763" s="2880"/>
      <c r="AD763" s="2559">
        <f t="shared" si="231"/>
        <v>0</v>
      </c>
      <c r="AE763" s="2560"/>
      <c r="AF763" s="45"/>
      <c r="AG763" s="152" t="s">
        <v>726</v>
      </c>
      <c r="AH763" s="45"/>
      <c r="AI763" s="45"/>
      <c r="AJ763" s="2575"/>
      <c r="AK763" s="2575"/>
      <c r="AL763" s="2575"/>
      <c r="AM763" s="2575"/>
      <c r="AN763" s="2575">
        <f>(AD782+AN757)*5%</f>
        <v>455299.42517341749</v>
      </c>
      <c r="AO763" s="2560"/>
    </row>
    <row r="764" spans="1:41" ht="15.95" customHeight="1" x14ac:dyDescent="0.3">
      <c r="A764" s="2839" t="s">
        <v>1009</v>
      </c>
      <c r="B764" s="2840"/>
      <c r="C764" s="120" t="s">
        <v>496</v>
      </c>
      <c r="D764" s="170" t="s">
        <v>497</v>
      </c>
      <c r="E764" s="2576">
        <v>10</v>
      </c>
      <c r="F764" s="2880"/>
      <c r="G764" s="2576">
        <v>47000</v>
      </c>
      <c r="H764" s="2880">
        <f t="shared" ref="H764" si="232">(36040*6%)+36040</f>
        <v>38202.400000000001</v>
      </c>
      <c r="I764" s="2559">
        <f t="shared" si="230"/>
        <v>470000</v>
      </c>
      <c r="J764" s="2560"/>
      <c r="K764" s="279"/>
      <c r="L764" s="166" t="s">
        <v>504</v>
      </c>
      <c r="M764" s="155"/>
      <c r="N764" s="155"/>
      <c r="O764" s="2557"/>
      <c r="P764" s="2557"/>
      <c r="Q764" s="2557"/>
      <c r="R764" s="2557"/>
      <c r="S764" s="2557">
        <f>150000*1.0928</f>
        <v>163920</v>
      </c>
      <c r="T764" s="2558"/>
      <c r="U764" s="45"/>
      <c r="V764" s="2839" t="s">
        <v>1009</v>
      </c>
      <c r="W764" s="2840"/>
      <c r="X764" s="120" t="s">
        <v>496</v>
      </c>
      <c r="Y764" s="170" t="s">
        <v>497</v>
      </c>
      <c r="Z764" s="2576">
        <v>5</v>
      </c>
      <c r="AA764" s="2880"/>
      <c r="AB764" s="2576">
        <v>47000</v>
      </c>
      <c r="AC764" s="2880">
        <f t="shared" ref="AC764" si="233">(36040*6%)+36040</f>
        <v>38202.400000000001</v>
      </c>
      <c r="AD764" s="2559">
        <f t="shared" si="231"/>
        <v>235000</v>
      </c>
      <c r="AE764" s="2560"/>
      <c r="AF764" s="45"/>
      <c r="AG764" s="166" t="s">
        <v>504</v>
      </c>
      <c r="AH764" s="155"/>
      <c r="AI764" s="155"/>
      <c r="AJ764" s="2557"/>
      <c r="AK764" s="2557"/>
      <c r="AL764" s="2557"/>
      <c r="AM764" s="2557"/>
      <c r="AN764" s="2557">
        <f>150000*1.0928</f>
        <v>163920</v>
      </c>
      <c r="AO764" s="2558"/>
    </row>
    <row r="765" spans="1:41" ht="15.95" customHeight="1" x14ac:dyDescent="0.3">
      <c r="A765" s="2839" t="s">
        <v>1010</v>
      </c>
      <c r="B765" s="2840"/>
      <c r="C765" s="170"/>
      <c r="D765" s="170"/>
      <c r="E765" s="2576"/>
      <c r="F765" s="2880"/>
      <c r="G765" s="2559"/>
      <c r="H765" s="2918"/>
      <c r="I765" s="2559">
        <f t="shared" si="230"/>
        <v>0</v>
      </c>
      <c r="J765" s="2560"/>
      <c r="K765" s="279"/>
      <c r="L765" s="156" t="s">
        <v>533</v>
      </c>
      <c r="M765" s="201"/>
      <c r="N765" s="201"/>
      <c r="O765" s="2885"/>
      <c r="P765" s="2885"/>
      <c r="Q765" s="2886"/>
      <c r="R765" s="2886"/>
      <c r="S765" s="2887">
        <f>SUM(S760:T764)</f>
        <v>1909381.6907200003</v>
      </c>
      <c r="T765" s="2887"/>
      <c r="U765" s="45"/>
      <c r="V765" s="2839" t="s">
        <v>1090</v>
      </c>
      <c r="W765" s="2840"/>
      <c r="X765" s="120"/>
      <c r="Y765" s="170"/>
      <c r="Z765" s="2576"/>
      <c r="AA765" s="2880"/>
      <c r="AB765" s="2576"/>
      <c r="AC765" s="2880"/>
      <c r="AD765" s="2559">
        <f t="shared" si="231"/>
        <v>0</v>
      </c>
      <c r="AE765" s="2560"/>
      <c r="AF765" s="45"/>
      <c r="AG765" s="156" t="s">
        <v>533</v>
      </c>
      <c r="AH765" s="201"/>
      <c r="AI765" s="201"/>
      <c r="AJ765" s="2885"/>
      <c r="AK765" s="2885"/>
      <c r="AL765" s="2886"/>
      <c r="AM765" s="2886"/>
      <c r="AN765" s="2887">
        <f>SUM(AN760:AO764)</f>
        <v>1620918.8503468349</v>
      </c>
      <c r="AO765" s="2887"/>
    </row>
    <row r="766" spans="1:41" ht="15.95" customHeight="1" x14ac:dyDescent="0.3">
      <c r="A766" s="2839" t="s">
        <v>1011</v>
      </c>
      <c r="B766" s="2840"/>
      <c r="C766" s="120"/>
      <c r="D766" s="170"/>
      <c r="E766" s="2576"/>
      <c r="F766" s="2880"/>
      <c r="G766" s="2576"/>
      <c r="H766" s="2880"/>
      <c r="I766" s="2559">
        <f t="shared" si="230"/>
        <v>0</v>
      </c>
      <c r="J766" s="2560"/>
      <c r="K766" s="279"/>
      <c r="L766" s="159"/>
      <c r="M766" s="45"/>
      <c r="N766" s="45"/>
      <c r="O766" s="2575"/>
      <c r="P766" s="2575"/>
      <c r="Q766" s="2575"/>
      <c r="R766" s="2575"/>
      <c r="S766" s="2575"/>
      <c r="T766" s="2560"/>
      <c r="U766" s="45"/>
      <c r="V766" s="2839" t="s">
        <v>1011</v>
      </c>
      <c r="W766" s="2840"/>
      <c r="X766" s="120"/>
      <c r="Y766" s="170"/>
      <c r="Z766" s="2576"/>
      <c r="AA766" s="2880"/>
      <c r="AB766" s="2576"/>
      <c r="AC766" s="2880"/>
      <c r="AD766" s="2559">
        <f t="shared" si="231"/>
        <v>0</v>
      </c>
      <c r="AE766" s="2560"/>
      <c r="AF766" s="45"/>
      <c r="AG766" s="159"/>
      <c r="AH766" s="45"/>
      <c r="AI766" s="45"/>
      <c r="AJ766" s="2575"/>
      <c r="AK766" s="2575"/>
      <c r="AL766" s="2575"/>
      <c r="AM766" s="2575"/>
      <c r="AN766" s="2575"/>
      <c r="AO766" s="2560"/>
    </row>
    <row r="767" spans="1:41" ht="15.95" customHeight="1" thickBot="1" x14ac:dyDescent="0.35">
      <c r="A767" s="2839" t="s">
        <v>1012</v>
      </c>
      <c r="B767" s="2840"/>
      <c r="C767" s="120" t="s">
        <v>496</v>
      </c>
      <c r="D767" s="170" t="s">
        <v>497</v>
      </c>
      <c r="E767" s="2576">
        <v>5</v>
      </c>
      <c r="F767" s="2880"/>
      <c r="G767" s="2576">
        <v>47000</v>
      </c>
      <c r="H767" s="2880">
        <f t="shared" ref="H767:H768" si="234">(36040*6%)+36040</f>
        <v>38202.400000000001</v>
      </c>
      <c r="I767" s="2559">
        <f t="shared" si="230"/>
        <v>235000</v>
      </c>
      <c r="J767" s="2560"/>
      <c r="K767" s="279"/>
      <c r="L767" s="160" t="s">
        <v>583</v>
      </c>
      <c r="M767" s="205"/>
      <c r="N767" s="205"/>
      <c r="O767" s="205"/>
      <c r="P767" s="205"/>
      <c r="Q767" s="161"/>
      <c r="R767" s="161"/>
      <c r="S767" s="2580">
        <f>SUM(S765+S757+I782)</f>
        <v>13353598.597920001</v>
      </c>
      <c r="T767" s="2581"/>
      <c r="U767" s="45"/>
      <c r="V767" s="2839" t="s">
        <v>1012</v>
      </c>
      <c r="W767" s="2840"/>
      <c r="X767" s="120"/>
      <c r="Y767" s="170"/>
      <c r="Z767" s="2576"/>
      <c r="AA767" s="2880"/>
      <c r="AB767" s="2576"/>
      <c r="AC767" s="2880"/>
      <c r="AD767" s="2559">
        <f t="shared" si="231"/>
        <v>0</v>
      </c>
      <c r="AE767" s="2560"/>
      <c r="AF767" s="45"/>
      <c r="AG767" s="160" t="s">
        <v>583</v>
      </c>
      <c r="AH767" s="205"/>
      <c r="AI767" s="205"/>
      <c r="AJ767" s="205"/>
      <c r="AK767" s="205"/>
      <c r="AL767" s="161"/>
      <c r="AM767" s="161"/>
      <c r="AN767" s="2580">
        <f>SUM(AN765+AN757+AD782)</f>
        <v>10726907.353815183</v>
      </c>
      <c r="AO767" s="2581"/>
    </row>
    <row r="768" spans="1:41" ht="15.95" customHeight="1" x14ac:dyDescent="0.3">
      <c r="A768" s="2839" t="s">
        <v>1018</v>
      </c>
      <c r="B768" s="2840"/>
      <c r="C768" s="120" t="s">
        <v>496</v>
      </c>
      <c r="D768" s="170" t="s">
        <v>497</v>
      </c>
      <c r="E768" s="2559">
        <v>10</v>
      </c>
      <c r="F768" s="2560"/>
      <c r="G768" s="2576">
        <v>47000</v>
      </c>
      <c r="H768" s="2880">
        <f t="shared" si="234"/>
        <v>38202.400000000001</v>
      </c>
      <c r="I768" s="2559">
        <f t="shared" si="230"/>
        <v>470000</v>
      </c>
      <c r="J768" s="2560"/>
      <c r="K768" s="284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2839" t="s">
        <v>1018</v>
      </c>
      <c r="W768" s="2840"/>
      <c r="X768" s="120" t="s">
        <v>496</v>
      </c>
      <c r="Y768" s="170" t="s">
        <v>497</v>
      </c>
      <c r="Z768" s="2559">
        <v>7</v>
      </c>
      <c r="AA768" s="2560"/>
      <c r="AB768" s="2576">
        <v>47000</v>
      </c>
      <c r="AC768" s="2880">
        <f t="shared" ref="AC768" si="235">(36040*6%)+36040</f>
        <v>38202.400000000001</v>
      </c>
      <c r="AD768" s="2559">
        <f t="shared" si="231"/>
        <v>329000</v>
      </c>
      <c r="AE768" s="2560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</row>
    <row r="769" spans="1:41" ht="15.95" customHeight="1" x14ac:dyDescent="0.3">
      <c r="A769" s="2839" t="s">
        <v>1019</v>
      </c>
      <c r="B769" s="2840"/>
      <c r="C769" s="120"/>
      <c r="D769" s="120"/>
      <c r="E769" s="2576"/>
      <c r="F769" s="2880"/>
      <c r="G769" s="2559"/>
      <c r="H769" s="2918"/>
      <c r="I769" s="2559">
        <f t="shared" si="230"/>
        <v>0</v>
      </c>
      <c r="J769" s="2560"/>
      <c r="K769" s="279"/>
      <c r="L769" s="7" t="s">
        <v>1528</v>
      </c>
      <c r="M769" s="45"/>
      <c r="N769" s="45"/>
      <c r="O769" s="45"/>
      <c r="P769" s="45"/>
      <c r="Q769" s="45"/>
      <c r="R769" s="45"/>
      <c r="S769" s="45"/>
      <c r="T769" s="45"/>
      <c r="U769" s="45"/>
      <c r="V769" s="2839" t="s">
        <v>1019</v>
      </c>
      <c r="W769" s="2840"/>
      <c r="X769" s="120"/>
      <c r="Y769" s="170"/>
      <c r="Z769" s="2576"/>
      <c r="AA769" s="2880"/>
      <c r="AB769" s="2576"/>
      <c r="AC769" s="2880"/>
      <c r="AD769" s="2559">
        <f t="shared" si="231"/>
        <v>0</v>
      </c>
      <c r="AE769" s="2560"/>
      <c r="AF769" s="45"/>
      <c r="AG769" s="7" t="s">
        <v>1528</v>
      </c>
      <c r="AH769" s="45"/>
      <c r="AI769" s="45"/>
      <c r="AJ769" s="45"/>
      <c r="AK769" s="45"/>
      <c r="AL769" s="45"/>
      <c r="AM769" s="45"/>
      <c r="AN769" s="45"/>
      <c r="AO769" s="45"/>
    </row>
    <row r="770" spans="1:41" ht="15.95" customHeight="1" x14ac:dyDescent="0.3">
      <c r="A770" s="2839" t="s">
        <v>1020</v>
      </c>
      <c r="B770" s="2840"/>
      <c r="C770" s="120"/>
      <c r="D770" s="170"/>
      <c r="E770" s="2576"/>
      <c r="F770" s="2880"/>
      <c r="G770" s="2576"/>
      <c r="H770" s="2880"/>
      <c r="I770" s="2559">
        <f t="shared" si="230"/>
        <v>0</v>
      </c>
      <c r="J770" s="2560"/>
      <c r="K770" s="279"/>
      <c r="L770" s="597" t="s">
        <v>1584</v>
      </c>
      <c r="M770" s="266"/>
      <c r="N770" s="266"/>
      <c r="O770" s="266"/>
      <c r="P770" s="266"/>
      <c r="Q770" s="1783"/>
      <c r="R770" s="266"/>
      <c r="S770" s="266"/>
      <c r="T770" s="45"/>
      <c r="U770" s="45"/>
      <c r="V770" s="2839" t="s">
        <v>1020</v>
      </c>
      <c r="W770" s="2840"/>
      <c r="X770" s="120"/>
      <c r="Y770" s="170"/>
      <c r="Z770" s="2576"/>
      <c r="AA770" s="2880"/>
      <c r="AB770" s="2576"/>
      <c r="AC770" s="2880"/>
      <c r="AD770" s="2559">
        <f t="shared" si="231"/>
        <v>0</v>
      </c>
      <c r="AE770" s="2560"/>
      <c r="AF770" s="45"/>
      <c r="AG770" s="597" t="s">
        <v>1584</v>
      </c>
      <c r="AH770" s="266"/>
      <c r="AI770" s="266"/>
      <c r="AJ770" s="266"/>
      <c r="AK770" s="266"/>
      <c r="AL770" s="1783"/>
      <c r="AM770" s="266"/>
      <c r="AN770" s="266"/>
      <c r="AO770" s="45"/>
    </row>
    <row r="771" spans="1:41" ht="15.95" customHeight="1" x14ac:dyDescent="0.3">
      <c r="A771" s="2839" t="s">
        <v>1021</v>
      </c>
      <c r="B771" s="2840"/>
      <c r="C771" s="120"/>
      <c r="D771" s="170"/>
      <c r="E771" s="2576"/>
      <c r="F771" s="2880"/>
      <c r="G771" s="2576"/>
      <c r="H771" s="2880"/>
      <c r="I771" s="2559">
        <f t="shared" si="230"/>
        <v>0</v>
      </c>
      <c r="J771" s="2560"/>
      <c r="K771" s="279"/>
      <c r="L771" s="45"/>
      <c r="M771" s="206"/>
      <c r="N771" s="206"/>
      <c r="O771" s="206"/>
      <c r="P771" s="206"/>
      <c r="Q771" s="107"/>
      <c r="R771" s="44"/>
      <c r="S771" s="45"/>
      <c r="T771" s="45"/>
      <c r="U771" s="45"/>
      <c r="V771" s="2839" t="s">
        <v>1021</v>
      </c>
      <c r="W771" s="2840"/>
      <c r="X771" s="120"/>
      <c r="Y771" s="170"/>
      <c r="Z771" s="2576"/>
      <c r="AA771" s="2880"/>
      <c r="AB771" s="2576"/>
      <c r="AC771" s="2880"/>
      <c r="AD771" s="2559">
        <f t="shared" si="231"/>
        <v>0</v>
      </c>
      <c r="AE771" s="2560"/>
      <c r="AF771" s="45"/>
      <c r="AG771" s="45"/>
      <c r="AH771" s="2834"/>
      <c r="AI771" s="2834"/>
      <c r="AJ771" s="2834"/>
      <c r="AK771" s="2834"/>
      <c r="AL771" s="300"/>
      <c r="AM771" s="44"/>
      <c r="AN771" s="45"/>
      <c r="AO771" s="45"/>
    </row>
    <row r="772" spans="1:41" ht="15.95" customHeight="1" x14ac:dyDescent="0.3">
      <c r="A772" s="2839" t="s">
        <v>1022</v>
      </c>
      <c r="B772" s="2840"/>
      <c r="C772" s="120" t="s">
        <v>496</v>
      </c>
      <c r="D772" s="170" t="s">
        <v>497</v>
      </c>
      <c r="E772" s="2559">
        <v>5</v>
      </c>
      <c r="F772" s="2560"/>
      <c r="G772" s="2576">
        <v>47000</v>
      </c>
      <c r="H772" s="2880">
        <f t="shared" ref="H772:H774" si="236">(36040*6%)+36040</f>
        <v>38202.400000000001</v>
      </c>
      <c r="I772" s="2559">
        <f t="shared" si="230"/>
        <v>235000</v>
      </c>
      <c r="J772" s="2560"/>
      <c r="K772" s="279"/>
      <c r="L772" s="45"/>
      <c r="M772" s="2834"/>
      <c r="N772" s="2834"/>
      <c r="O772" s="2834"/>
      <c r="P772" s="2834"/>
      <c r="Q772" s="107"/>
      <c r="R772" s="44"/>
      <c r="S772" s="45"/>
      <c r="T772" s="45"/>
      <c r="U772" s="45"/>
      <c r="V772" s="2839" t="s">
        <v>1022</v>
      </c>
      <c r="W772" s="2840"/>
      <c r="X772" s="120" t="s">
        <v>496</v>
      </c>
      <c r="Y772" s="170" t="s">
        <v>497</v>
      </c>
      <c r="Z772" s="2559">
        <v>5</v>
      </c>
      <c r="AA772" s="2560"/>
      <c r="AB772" s="2576">
        <v>47000</v>
      </c>
      <c r="AC772" s="2880">
        <f t="shared" ref="AC772:AC774" si="237">(36040*6%)+36040</f>
        <v>38202.400000000001</v>
      </c>
      <c r="AD772" s="2559">
        <f t="shared" si="231"/>
        <v>235000</v>
      </c>
      <c r="AE772" s="2560"/>
      <c r="AF772" s="45"/>
      <c r="AG772" s="45"/>
      <c r="AH772" s="206"/>
      <c r="AI772" s="206"/>
      <c r="AJ772" s="206"/>
      <c r="AK772" s="206"/>
      <c r="AL772" s="107"/>
      <c r="AM772" s="44"/>
      <c r="AN772" s="45"/>
      <c r="AO772" s="45"/>
    </row>
    <row r="773" spans="1:41" ht="15.95" customHeight="1" x14ac:dyDescent="0.3">
      <c r="A773" s="2839" t="s">
        <v>881</v>
      </c>
      <c r="B773" s="2840"/>
      <c r="C773" s="120" t="s">
        <v>496</v>
      </c>
      <c r="D773" s="170" t="s">
        <v>497</v>
      </c>
      <c r="E773" s="2559">
        <v>10</v>
      </c>
      <c r="F773" s="2560"/>
      <c r="G773" s="2576">
        <v>47000</v>
      </c>
      <c r="H773" s="2880">
        <f t="shared" si="236"/>
        <v>38202.400000000001</v>
      </c>
      <c r="I773" s="2559">
        <f t="shared" si="230"/>
        <v>470000</v>
      </c>
      <c r="J773" s="2560"/>
      <c r="K773" s="279"/>
      <c r="L773" s="45"/>
      <c r="M773" s="2834"/>
      <c r="N773" s="2834"/>
      <c r="O773" s="2834"/>
      <c r="P773" s="2834"/>
      <c r="Q773" s="107"/>
      <c r="R773" s="45"/>
      <c r="S773" s="45"/>
      <c r="T773" s="45"/>
      <c r="U773" s="45"/>
      <c r="V773" s="2839" t="s">
        <v>881</v>
      </c>
      <c r="W773" s="2840"/>
      <c r="X773" s="120" t="s">
        <v>496</v>
      </c>
      <c r="Y773" s="170" t="s">
        <v>497</v>
      </c>
      <c r="Z773" s="2559">
        <v>5</v>
      </c>
      <c r="AA773" s="2560"/>
      <c r="AB773" s="2576">
        <v>47000</v>
      </c>
      <c r="AC773" s="2880">
        <f t="shared" si="237"/>
        <v>38202.400000000001</v>
      </c>
      <c r="AD773" s="2559">
        <f t="shared" si="231"/>
        <v>235000</v>
      </c>
      <c r="AE773" s="2560"/>
      <c r="AF773" s="45"/>
      <c r="AG773" s="45"/>
      <c r="AH773" s="206"/>
      <c r="AI773" s="206"/>
      <c r="AJ773" s="206"/>
      <c r="AK773" s="206"/>
      <c r="AL773" s="107"/>
      <c r="AM773" s="45"/>
      <c r="AN773" s="45"/>
      <c r="AO773" s="45"/>
    </row>
    <row r="774" spans="1:41" ht="15.95" customHeight="1" x14ac:dyDescent="0.3">
      <c r="A774" s="2839" t="s">
        <v>882</v>
      </c>
      <c r="B774" s="2840"/>
      <c r="C774" s="120" t="s">
        <v>496</v>
      </c>
      <c r="D774" s="170" t="s">
        <v>497</v>
      </c>
      <c r="E774" s="2576">
        <v>10</v>
      </c>
      <c r="F774" s="2880"/>
      <c r="G774" s="2576">
        <v>47000</v>
      </c>
      <c r="H774" s="2880">
        <f t="shared" si="236"/>
        <v>38202.400000000001</v>
      </c>
      <c r="I774" s="2559">
        <f t="shared" si="230"/>
        <v>470000</v>
      </c>
      <c r="J774" s="2560"/>
      <c r="K774" s="279"/>
      <c r="L774" s="45"/>
      <c r="M774" s="2834"/>
      <c r="N774" s="2834"/>
      <c r="O774" s="2834"/>
      <c r="P774" s="2834"/>
      <c r="Q774" s="273"/>
      <c r="R774" s="44"/>
      <c r="S774" s="45"/>
      <c r="T774" s="45"/>
      <c r="U774" s="45"/>
      <c r="V774" s="2839" t="s">
        <v>882</v>
      </c>
      <c r="W774" s="2840"/>
      <c r="X774" s="120" t="s">
        <v>496</v>
      </c>
      <c r="Y774" s="170" t="s">
        <v>497</v>
      </c>
      <c r="Z774" s="2576">
        <v>5</v>
      </c>
      <c r="AA774" s="2880"/>
      <c r="AB774" s="2576">
        <v>47000</v>
      </c>
      <c r="AC774" s="2880">
        <f t="shared" si="237"/>
        <v>38202.400000000001</v>
      </c>
      <c r="AD774" s="2559">
        <f t="shared" si="231"/>
        <v>235000</v>
      </c>
      <c r="AE774" s="2560"/>
      <c r="AF774" s="45"/>
      <c r="AG774" s="45"/>
      <c r="AH774" s="2834"/>
      <c r="AI774" s="2834"/>
      <c r="AJ774" s="2834"/>
      <c r="AK774" s="2834"/>
      <c r="AL774" s="107"/>
      <c r="AM774" s="44"/>
      <c r="AN774" s="45"/>
      <c r="AO774" s="45"/>
    </row>
    <row r="775" spans="1:41" ht="15.95" customHeight="1" x14ac:dyDescent="0.3">
      <c r="A775" s="2911" t="s">
        <v>1023</v>
      </c>
      <c r="B775" s="2912"/>
      <c r="C775" s="120"/>
      <c r="D775" s="170"/>
      <c r="E775" s="2576"/>
      <c r="F775" s="2880"/>
      <c r="G775" s="2576"/>
      <c r="H775" s="2880"/>
      <c r="I775" s="2565">
        <f>SUM(I776:J781)</f>
        <v>1309464.1503999999</v>
      </c>
      <c r="J775" s="2566"/>
      <c r="K775" s="279"/>
      <c r="L775" s="45"/>
      <c r="M775" s="45"/>
      <c r="N775" s="45"/>
      <c r="O775" s="45"/>
      <c r="P775" s="45"/>
      <c r="Q775" s="45"/>
      <c r="R775" s="44"/>
      <c r="S775" s="45"/>
      <c r="T775" s="45"/>
      <c r="U775" s="45"/>
      <c r="V775" s="2911" t="s">
        <v>1023</v>
      </c>
      <c r="W775" s="2912"/>
      <c r="X775" s="120"/>
      <c r="Y775" s="170"/>
      <c r="Z775" s="2576"/>
      <c r="AA775" s="2880"/>
      <c r="AB775" s="2576"/>
      <c r="AC775" s="2880"/>
      <c r="AD775" s="2565">
        <f>SUM(AD776:AE781)</f>
        <v>3612624.8234683489</v>
      </c>
      <c r="AE775" s="2566"/>
      <c r="AF775" s="45"/>
      <c r="AG775" s="45"/>
      <c r="AH775" s="2834"/>
      <c r="AI775" s="2834"/>
      <c r="AJ775" s="2834"/>
      <c r="AK775" s="2834"/>
      <c r="AL775" s="107"/>
      <c r="AM775" s="44"/>
      <c r="AN775" s="45"/>
      <c r="AO775" s="45"/>
    </row>
    <row r="776" spans="1:41" ht="15.95" customHeight="1" x14ac:dyDescent="0.3">
      <c r="A776" s="2839" t="s">
        <v>884</v>
      </c>
      <c r="B776" s="2840"/>
      <c r="C776" s="120" t="s">
        <v>496</v>
      </c>
      <c r="D776" s="170" t="s">
        <v>497</v>
      </c>
      <c r="E776" s="2576">
        <v>9</v>
      </c>
      <c r="F776" s="2880"/>
      <c r="G776" s="2576">
        <v>47000</v>
      </c>
      <c r="H776" s="2880">
        <f t="shared" ref="H776" si="238">(36040*6%)+36040</f>
        <v>38202.400000000001</v>
      </c>
      <c r="I776" s="2559">
        <f>E776*G776</f>
        <v>423000</v>
      </c>
      <c r="J776" s="2560"/>
      <c r="K776" s="279"/>
      <c r="L776" s="45"/>
      <c r="M776" s="45"/>
      <c r="N776" s="45"/>
      <c r="O776" s="45"/>
      <c r="P776" s="45"/>
      <c r="Q776" s="45"/>
      <c r="R776" s="44"/>
      <c r="S776" s="45"/>
      <c r="T776" s="45"/>
      <c r="U776" s="45"/>
      <c r="V776" s="2839" t="s">
        <v>884</v>
      </c>
      <c r="W776" s="2840"/>
      <c r="X776" s="120" t="s">
        <v>496</v>
      </c>
      <c r="Y776" s="170" t="s">
        <v>497</v>
      </c>
      <c r="Z776" s="2576">
        <v>38</v>
      </c>
      <c r="AA776" s="2880"/>
      <c r="AB776" s="2576">
        <v>47000</v>
      </c>
      <c r="AC776" s="2880">
        <f t="shared" ref="AC776" si="239">(36040*6%)+36040</f>
        <v>38202.400000000001</v>
      </c>
      <c r="AD776" s="2559">
        <f t="shared" ref="AD776:AD781" si="240">Z776*AB776</f>
        <v>1786000</v>
      </c>
      <c r="AE776" s="2560"/>
      <c r="AF776" s="45"/>
      <c r="AG776" s="45"/>
      <c r="AH776" s="2834"/>
      <c r="AI776" s="2834"/>
      <c r="AJ776" s="2834"/>
      <c r="AK776" s="2834"/>
      <c r="AL776" s="273"/>
      <c r="AM776" s="44"/>
      <c r="AN776" s="45"/>
      <c r="AO776" s="45"/>
    </row>
    <row r="777" spans="1:41" ht="15.95" customHeight="1" x14ac:dyDescent="0.3">
      <c r="A777" s="2839" t="s">
        <v>1024</v>
      </c>
      <c r="B777" s="2840"/>
      <c r="C777" s="120"/>
      <c r="D777" s="120"/>
      <c r="E777" s="2576"/>
      <c r="F777" s="2880"/>
      <c r="G777" s="2559"/>
      <c r="H777" s="2560"/>
      <c r="I777" s="2559">
        <f>E777*G777</f>
        <v>0</v>
      </c>
      <c r="J777" s="2560"/>
      <c r="K777" s="279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2839" t="s">
        <v>1024</v>
      </c>
      <c r="W777" s="2840"/>
      <c r="X777" s="120"/>
      <c r="Y777" s="170"/>
      <c r="Z777" s="2576"/>
      <c r="AA777" s="2880"/>
      <c r="AB777" s="2576"/>
      <c r="AC777" s="2880"/>
      <c r="AD777" s="2559">
        <f t="shared" si="240"/>
        <v>0</v>
      </c>
      <c r="AE777" s="2560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</row>
    <row r="778" spans="1:41" ht="15.95" customHeight="1" x14ac:dyDescent="0.3">
      <c r="A778" s="2839" t="s">
        <v>893</v>
      </c>
      <c r="B778" s="2840"/>
      <c r="C778" s="120" t="s">
        <v>496</v>
      </c>
      <c r="D778" s="170" t="s">
        <v>497</v>
      </c>
      <c r="E778" s="2576">
        <v>5</v>
      </c>
      <c r="F778" s="2880"/>
      <c r="G778" s="2576">
        <v>47000</v>
      </c>
      <c r="H778" s="2880">
        <f t="shared" ref="H778" si="241">(36040*6%)+36040</f>
        <v>38202.400000000001</v>
      </c>
      <c r="I778" s="2559">
        <f>E778*G778</f>
        <v>235000</v>
      </c>
      <c r="J778" s="2560"/>
      <c r="K778" s="279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2839" t="s">
        <v>893</v>
      </c>
      <c r="W778" s="2840"/>
      <c r="X778" s="120" t="s">
        <v>496</v>
      </c>
      <c r="Y778" s="170" t="s">
        <v>497</v>
      </c>
      <c r="Z778" s="2576">
        <v>12</v>
      </c>
      <c r="AA778" s="2880"/>
      <c r="AB778" s="2576">
        <v>47000</v>
      </c>
      <c r="AC778" s="2880">
        <f t="shared" ref="AC778:AC779" si="242">(36040*6%)+36040</f>
        <v>38202.400000000001</v>
      </c>
      <c r="AD778" s="2559">
        <f t="shared" si="240"/>
        <v>564000</v>
      </c>
      <c r="AE778" s="2560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</row>
    <row r="779" spans="1:41" ht="15.95" customHeight="1" x14ac:dyDescent="0.3">
      <c r="A779" s="2839" t="s">
        <v>728</v>
      </c>
      <c r="B779" s="2840"/>
      <c r="C779" s="120"/>
      <c r="D779" s="170"/>
      <c r="E779" s="2576"/>
      <c r="F779" s="2880"/>
      <c r="G779" s="2559"/>
      <c r="H779" s="2918"/>
      <c r="I779" s="2559">
        <f>E779*G779</f>
        <v>0</v>
      </c>
      <c r="J779" s="2560"/>
      <c r="L779" s="45"/>
      <c r="M779" s="45"/>
      <c r="N779" s="45"/>
      <c r="O779" s="45"/>
      <c r="P779" s="45"/>
      <c r="Q779" s="45"/>
      <c r="U779" s="45"/>
      <c r="V779" s="2839" t="s">
        <v>728</v>
      </c>
      <c r="W779" s="2840"/>
      <c r="X779" s="120" t="s">
        <v>496</v>
      </c>
      <c r="Y779" s="170" t="s">
        <v>497</v>
      </c>
      <c r="Z779" s="2576">
        <v>6</v>
      </c>
      <c r="AA779" s="2880"/>
      <c r="AB779" s="2576">
        <v>47000</v>
      </c>
      <c r="AC779" s="2880">
        <f t="shared" si="242"/>
        <v>38202.400000000001</v>
      </c>
      <c r="AD779" s="2559">
        <f t="shared" si="240"/>
        <v>282000</v>
      </c>
      <c r="AE779" s="2560"/>
      <c r="AF779" s="45"/>
      <c r="AG779" s="45"/>
      <c r="AH779" s="45"/>
      <c r="AI779" s="45"/>
      <c r="AJ779" s="45"/>
      <c r="AK779" s="45"/>
      <c r="AL779" s="45"/>
    </row>
    <row r="780" spans="1:41" ht="15.95" customHeight="1" x14ac:dyDescent="0.3">
      <c r="A780" s="2839" t="s">
        <v>765</v>
      </c>
      <c r="B780" s="2840"/>
      <c r="C780" s="120"/>
      <c r="D780" s="170"/>
      <c r="E780" s="2576"/>
      <c r="F780" s="2880"/>
      <c r="G780" s="2576"/>
      <c r="H780" s="2880"/>
      <c r="I780" s="2559">
        <v>300000</v>
      </c>
      <c r="J780" s="2560"/>
      <c r="L780" s="45"/>
      <c r="M780" s="45"/>
      <c r="N780" s="45"/>
      <c r="O780" s="45"/>
      <c r="P780" s="45"/>
      <c r="Q780" s="45"/>
      <c r="U780" s="45"/>
      <c r="V780" s="2839" t="s">
        <v>765</v>
      </c>
      <c r="W780" s="2840"/>
      <c r="X780" s="120"/>
      <c r="Y780" s="170" t="s">
        <v>794</v>
      </c>
      <c r="Z780" s="2576"/>
      <c r="AA780" s="2880"/>
      <c r="AB780" s="2576"/>
      <c r="AC780" s="2880"/>
      <c r="AD780" s="2559">
        <f>150000*1.0928</f>
        <v>163920</v>
      </c>
      <c r="AE780" s="2560"/>
      <c r="AF780" s="45"/>
      <c r="AG780" s="45"/>
      <c r="AH780" s="45"/>
      <c r="AI780" s="45"/>
      <c r="AJ780" s="45"/>
      <c r="AK780" s="45"/>
      <c r="AL780" s="45"/>
    </row>
    <row r="781" spans="1:41" ht="15.95" customHeight="1" x14ac:dyDescent="0.3">
      <c r="A781" s="2839" t="s">
        <v>615</v>
      </c>
      <c r="B781" s="2840"/>
      <c r="C781" s="120" t="s">
        <v>587</v>
      </c>
      <c r="D781" s="170" t="s">
        <v>556</v>
      </c>
      <c r="E781" s="2576">
        <v>3</v>
      </c>
      <c r="F781" s="2880"/>
      <c r="G781" s="2559">
        <f>107206*1.0928</f>
        <v>117154.71679999999</v>
      </c>
      <c r="H781" s="2918">
        <f t="shared" ref="H781" si="243">(95294*6%)+95294</f>
        <v>101011.64</v>
      </c>
      <c r="I781" s="2559">
        <f>E781*G781</f>
        <v>351464.15039999998</v>
      </c>
      <c r="J781" s="2560"/>
      <c r="U781" s="45"/>
      <c r="V781" s="2839" t="s">
        <v>615</v>
      </c>
      <c r="W781" s="2840"/>
      <c r="X781" s="120" t="s">
        <v>763</v>
      </c>
      <c r="Y781" s="170" t="s">
        <v>556</v>
      </c>
      <c r="Z781" s="2833">
        <f>'TOTAL PERMANENTES'!K43</f>
        <v>6.9711646767289936</v>
      </c>
      <c r="AA781" s="2880"/>
      <c r="AB781" s="2559">
        <f>+G781</f>
        <v>117154.71679999999</v>
      </c>
      <c r="AC781" s="2918"/>
      <c r="AD781" s="2559">
        <f t="shared" si="240"/>
        <v>816704.82346834871</v>
      </c>
      <c r="AE781" s="2560"/>
      <c r="AF781" s="45"/>
    </row>
    <row r="782" spans="1:41" ht="15.95" customHeight="1" thickBot="1" x14ac:dyDescent="0.25">
      <c r="A782" s="208" t="s">
        <v>558</v>
      </c>
      <c r="B782" s="209"/>
      <c r="C782" s="210"/>
      <c r="D782" s="209"/>
      <c r="E782" s="2561">
        <f>SUM(E739:F778)</f>
        <v>118</v>
      </c>
      <c r="F782" s="2562"/>
      <c r="G782" s="2561"/>
      <c r="H782" s="2562"/>
      <c r="I782" s="2561">
        <f>SUM(I775+I756+I745+I741+I738)</f>
        <v>6197464.1503999997</v>
      </c>
      <c r="J782" s="2562"/>
      <c r="U782" s="45"/>
      <c r="V782" s="208" t="s">
        <v>558</v>
      </c>
      <c r="W782" s="209"/>
      <c r="X782" s="210"/>
      <c r="Y782" s="209"/>
      <c r="Z782" s="2561">
        <f>SUM(Z764:AA779)</f>
        <v>83</v>
      </c>
      <c r="AA782" s="2562"/>
      <c r="AB782" s="2561"/>
      <c r="AC782" s="2562"/>
      <c r="AD782" s="2561">
        <f>SUM(AD775+AD756+AD745+AD741+AD738)</f>
        <v>4881624.8234683489</v>
      </c>
      <c r="AE782" s="2562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</row>
    <row r="783" spans="1:41" ht="15.95" customHeight="1" x14ac:dyDescent="0.2">
      <c r="A783" s="277"/>
      <c r="B783" s="277"/>
      <c r="C783" s="277"/>
      <c r="D783" s="277"/>
      <c r="E783" s="275"/>
      <c r="F783" s="275"/>
      <c r="G783" s="275"/>
      <c r="H783" s="275"/>
      <c r="I783" s="275"/>
      <c r="J783" s="275"/>
      <c r="K783" s="295"/>
      <c r="L783" s="295"/>
      <c r="M783" s="295"/>
      <c r="N783" s="295"/>
      <c r="O783" s="295"/>
      <c r="P783" s="295"/>
      <c r="Q783" s="295"/>
      <c r="R783" s="295"/>
      <c r="S783" s="295"/>
      <c r="T783" s="295"/>
      <c r="U783" s="276"/>
      <c r="V783" s="277"/>
      <c r="W783" s="277"/>
      <c r="X783" s="277"/>
      <c r="Y783" s="277"/>
      <c r="Z783" s="275"/>
      <c r="AA783" s="275"/>
      <c r="AB783" s="275"/>
      <c r="AC783" s="275"/>
      <c r="AD783" s="275"/>
      <c r="AE783" s="275"/>
      <c r="AF783" s="276"/>
      <c r="AG783" s="276"/>
      <c r="AH783" s="276"/>
      <c r="AI783" s="276"/>
      <c r="AJ783" s="276"/>
      <c r="AK783" s="276"/>
      <c r="AL783" s="276"/>
      <c r="AM783" s="276"/>
      <c r="AN783" s="276"/>
      <c r="AO783" s="276"/>
    </row>
    <row r="784" spans="1:41" ht="15.95" customHeight="1" x14ac:dyDescent="0.2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2909"/>
      <c r="T784" s="2909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2909"/>
      <c r="AO784" s="2909"/>
    </row>
    <row r="785" spans="1:41" ht="15.95" customHeight="1" x14ac:dyDescent="0.2">
      <c r="A785" s="2654"/>
      <c r="B785" s="2654"/>
      <c r="C785" s="2654"/>
      <c r="D785" s="2654"/>
      <c r="E785" s="2654"/>
      <c r="F785" s="2654"/>
      <c r="G785" s="2654"/>
      <c r="H785" s="2654"/>
      <c r="I785" s="2654"/>
      <c r="J785" s="2654"/>
      <c r="K785" s="2654"/>
      <c r="L785" s="2654"/>
      <c r="M785" s="2654"/>
      <c r="N785" s="2654"/>
      <c r="O785" s="2654"/>
      <c r="P785" s="2654"/>
      <c r="Q785" s="2654"/>
      <c r="R785" s="2654"/>
      <c r="S785" s="2654"/>
      <c r="T785" s="2654"/>
      <c r="U785" s="2654"/>
      <c r="V785" s="2654"/>
      <c r="W785" s="2654"/>
      <c r="X785" s="2654"/>
      <c r="Y785" s="2654"/>
      <c r="Z785" s="2654"/>
      <c r="AA785" s="2654"/>
      <c r="AB785" s="2654"/>
      <c r="AC785" s="2654"/>
      <c r="AD785" s="2654"/>
      <c r="AE785" s="2654"/>
      <c r="AF785" s="2654"/>
      <c r="AG785" s="2654"/>
      <c r="AH785" s="2654"/>
      <c r="AI785" s="2654"/>
      <c r="AJ785" s="2654"/>
      <c r="AK785" s="2654"/>
      <c r="AL785" s="2654"/>
      <c r="AM785" s="2654"/>
      <c r="AN785" s="2654"/>
      <c r="AO785" s="2654"/>
    </row>
    <row r="786" spans="1:41" ht="15.95" customHeight="1" x14ac:dyDescent="0.2">
      <c r="A786" s="277"/>
      <c r="B786" s="277"/>
      <c r="C786" s="277"/>
      <c r="D786" s="277"/>
      <c r="E786" s="275"/>
      <c r="F786" s="275"/>
      <c r="G786" s="275"/>
      <c r="H786" s="275"/>
      <c r="I786" s="275"/>
      <c r="J786" s="275"/>
      <c r="K786" s="295"/>
      <c r="L786" s="295"/>
      <c r="M786" s="295"/>
      <c r="N786" s="295"/>
      <c r="O786" s="295"/>
      <c r="P786" s="295"/>
      <c r="Q786" s="295"/>
      <c r="R786" s="295"/>
      <c r="S786" s="295"/>
      <c r="T786" s="295"/>
      <c r="U786" s="276"/>
      <c r="V786" s="277"/>
      <c r="W786" s="277"/>
      <c r="X786" s="277"/>
      <c r="Y786" s="277"/>
      <c r="Z786" s="275"/>
      <c r="AA786" s="275"/>
      <c r="AB786" s="275"/>
      <c r="AC786" s="275"/>
      <c r="AD786" s="275"/>
      <c r="AE786" s="275"/>
      <c r="AF786" s="276"/>
      <c r="AG786" s="276"/>
      <c r="AH786" s="276"/>
      <c r="AI786" s="276"/>
      <c r="AJ786" s="276"/>
      <c r="AK786" s="276"/>
      <c r="AL786" s="276"/>
      <c r="AM786" s="276"/>
      <c r="AN786" s="276"/>
      <c r="AO786" s="276"/>
    </row>
    <row r="787" spans="1:41" ht="15.95" customHeight="1" x14ac:dyDescent="0.2">
      <c r="A787" s="2611" t="s">
        <v>1971</v>
      </c>
      <c r="B787" s="2611"/>
      <c r="C787" s="2611"/>
      <c r="D787" s="2611"/>
      <c r="E787" s="2611"/>
      <c r="F787" s="2611"/>
      <c r="G787" s="2611"/>
      <c r="H787" s="2611"/>
      <c r="I787" s="2611"/>
      <c r="J787" s="2611"/>
      <c r="K787" s="2611"/>
      <c r="L787" s="2611"/>
      <c r="M787" s="2611"/>
      <c r="N787" s="2611"/>
      <c r="O787" s="2611"/>
      <c r="P787" s="2611"/>
      <c r="Q787" s="2611"/>
      <c r="R787" s="2611"/>
      <c r="S787" s="2611"/>
      <c r="T787" s="2611"/>
      <c r="U787" s="47"/>
      <c r="V787" s="2611" t="s">
        <v>1972</v>
      </c>
      <c r="W787" s="2611"/>
      <c r="X787" s="2611"/>
      <c r="Y787" s="2611"/>
      <c r="Z787" s="2611"/>
      <c r="AA787" s="2611"/>
      <c r="AB787" s="2611"/>
      <c r="AC787" s="2611"/>
      <c r="AD787" s="2611"/>
      <c r="AE787" s="2611"/>
      <c r="AF787" s="2611"/>
      <c r="AG787" s="2611"/>
      <c r="AH787" s="2611"/>
      <c r="AI787" s="2611"/>
      <c r="AJ787" s="2611"/>
      <c r="AK787" s="2611"/>
      <c r="AL787" s="2611"/>
      <c r="AM787" s="2611"/>
      <c r="AN787" s="2611"/>
      <c r="AO787" s="2611"/>
    </row>
    <row r="788" spans="1:41" ht="15.95" customHeight="1" thickBot="1" x14ac:dyDescent="0.25">
      <c r="A788" s="2611"/>
      <c r="B788" s="2611"/>
      <c r="C788" s="2611"/>
      <c r="D788" s="2611"/>
      <c r="E788" s="2611"/>
      <c r="F788" s="2611"/>
      <c r="G788" s="2611"/>
      <c r="H788" s="2611"/>
      <c r="I788" s="2611"/>
      <c r="J788" s="2611"/>
      <c r="K788" s="2611"/>
      <c r="L788" s="2611"/>
      <c r="M788" s="2611"/>
      <c r="N788" s="2611"/>
      <c r="O788" s="2611"/>
      <c r="P788" s="2611"/>
      <c r="Q788" s="2611"/>
      <c r="R788" s="2611"/>
      <c r="S788" s="2611"/>
      <c r="T788" s="2611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</row>
    <row r="789" spans="1:41" ht="15.95" customHeight="1" x14ac:dyDescent="0.3">
      <c r="A789" s="2618" t="s">
        <v>435</v>
      </c>
      <c r="B789" s="2620"/>
      <c r="C789" s="2618" t="s">
        <v>436</v>
      </c>
      <c r="D789" s="2619"/>
      <c r="E789" s="2619"/>
      <c r="F789" s="2620"/>
      <c r="G789" s="2618" t="s">
        <v>437</v>
      </c>
      <c r="H789" s="2620"/>
      <c r="I789" s="2618" t="s">
        <v>438</v>
      </c>
      <c r="J789" s="2620"/>
      <c r="K789" s="45"/>
      <c r="L789" s="2633" t="s">
        <v>435</v>
      </c>
      <c r="M789" s="2618" t="s">
        <v>436</v>
      </c>
      <c r="N789" s="2619"/>
      <c r="O789" s="2619"/>
      <c r="P789" s="2620"/>
      <c r="Q789" s="2618" t="s">
        <v>437</v>
      </c>
      <c r="R789" s="2620"/>
      <c r="S789" s="2618"/>
      <c r="T789" s="2620"/>
      <c r="U789" s="268"/>
      <c r="V789" s="2618" t="s">
        <v>435</v>
      </c>
      <c r="W789" s="2620"/>
      <c r="X789" s="2618" t="s">
        <v>436</v>
      </c>
      <c r="Y789" s="2619"/>
      <c r="Z789" s="2619"/>
      <c r="AA789" s="2620"/>
      <c r="AB789" s="2618" t="s">
        <v>437</v>
      </c>
      <c r="AC789" s="2620"/>
      <c r="AD789" s="2618" t="s">
        <v>438</v>
      </c>
      <c r="AE789" s="2620"/>
      <c r="AF789" s="45"/>
      <c r="AG789" s="2633" t="s">
        <v>435</v>
      </c>
      <c r="AH789" s="2618" t="s">
        <v>436</v>
      </c>
      <c r="AI789" s="2619"/>
      <c r="AJ789" s="2619"/>
      <c r="AK789" s="2620"/>
      <c r="AL789" s="2618" t="s">
        <v>437</v>
      </c>
      <c r="AM789" s="2620"/>
      <c r="AN789" s="2618"/>
      <c r="AO789" s="2900"/>
    </row>
    <row r="790" spans="1:41" ht="15.95" customHeight="1" thickBot="1" x14ac:dyDescent="0.35">
      <c r="A790" s="2631"/>
      <c r="B790" s="2632"/>
      <c r="C790" s="2621"/>
      <c r="D790" s="2622"/>
      <c r="E790" s="2622"/>
      <c r="F790" s="2623"/>
      <c r="G790" s="2631" t="s">
        <v>440</v>
      </c>
      <c r="H790" s="2632"/>
      <c r="I790" s="2631"/>
      <c r="J790" s="2632"/>
      <c r="K790" s="45"/>
      <c r="L790" s="2670"/>
      <c r="M790" s="2621"/>
      <c r="N790" s="2622"/>
      <c r="O790" s="2622"/>
      <c r="P790" s="2623"/>
      <c r="Q790" s="2631" t="s">
        <v>440</v>
      </c>
      <c r="R790" s="2632"/>
      <c r="S790" s="2631" t="s">
        <v>274</v>
      </c>
      <c r="T790" s="2632"/>
      <c r="U790" s="268"/>
      <c r="V790" s="2631"/>
      <c r="W790" s="2632"/>
      <c r="X790" s="2621"/>
      <c r="Y790" s="2622"/>
      <c r="Z790" s="2622"/>
      <c r="AA790" s="2623"/>
      <c r="AB790" s="2631" t="s">
        <v>440</v>
      </c>
      <c r="AC790" s="2632"/>
      <c r="AD790" s="2631"/>
      <c r="AE790" s="2632"/>
      <c r="AF790" s="45"/>
      <c r="AG790" s="2670"/>
      <c r="AH790" s="2621"/>
      <c r="AI790" s="2622"/>
      <c r="AJ790" s="2622"/>
      <c r="AK790" s="2623"/>
      <c r="AL790" s="2631" t="s">
        <v>440</v>
      </c>
      <c r="AM790" s="2632"/>
      <c r="AN790" s="2631" t="s">
        <v>274</v>
      </c>
      <c r="AO790" s="2880"/>
    </row>
    <row r="791" spans="1:41" ht="15.95" customHeight="1" x14ac:dyDescent="0.3">
      <c r="A791" s="2631"/>
      <c r="B791" s="2632"/>
      <c r="C791" s="53" t="s">
        <v>441</v>
      </c>
      <c r="D791" s="2670" t="s">
        <v>442</v>
      </c>
      <c r="E791" s="2631" t="s">
        <v>443</v>
      </c>
      <c r="F791" s="2632"/>
      <c r="G791" s="2631" t="s">
        <v>444</v>
      </c>
      <c r="H791" s="2632"/>
      <c r="I791" s="2631" t="s">
        <v>348</v>
      </c>
      <c r="J791" s="2632"/>
      <c r="K791" s="45"/>
      <c r="L791" s="2670"/>
      <c r="M791" s="51" t="s">
        <v>441</v>
      </c>
      <c r="N791" s="2633" t="s">
        <v>442</v>
      </c>
      <c r="O791" s="2618" t="s">
        <v>443</v>
      </c>
      <c r="P791" s="2620"/>
      <c r="Q791" s="2631" t="s">
        <v>444</v>
      </c>
      <c r="R791" s="2632"/>
      <c r="S791" s="2631" t="s">
        <v>348</v>
      </c>
      <c r="T791" s="2632"/>
      <c r="U791" s="268"/>
      <c r="V791" s="2631"/>
      <c r="W791" s="2632"/>
      <c r="X791" s="53" t="s">
        <v>441</v>
      </c>
      <c r="Y791" s="2670" t="s">
        <v>442</v>
      </c>
      <c r="Z791" s="2631" t="s">
        <v>443</v>
      </c>
      <c r="AA791" s="2632"/>
      <c r="AB791" s="2631" t="s">
        <v>444</v>
      </c>
      <c r="AC791" s="2632"/>
      <c r="AD791" s="2631" t="s">
        <v>348</v>
      </c>
      <c r="AE791" s="2632"/>
      <c r="AF791" s="45"/>
      <c r="AG791" s="2670"/>
      <c r="AH791" s="51" t="s">
        <v>441</v>
      </c>
      <c r="AI791" s="2670" t="s">
        <v>442</v>
      </c>
      <c r="AJ791" s="2631" t="s">
        <v>443</v>
      </c>
      <c r="AK791" s="2632"/>
      <c r="AL791" s="2631" t="s">
        <v>444</v>
      </c>
      <c r="AM791" s="2632"/>
      <c r="AN791" s="2631" t="s">
        <v>348</v>
      </c>
      <c r="AO791" s="2880"/>
    </row>
    <row r="792" spans="1:41" ht="15.95" customHeight="1" thickBot="1" x14ac:dyDescent="0.35">
      <c r="A792" s="2621"/>
      <c r="B792" s="2623"/>
      <c r="C792" s="54" t="s">
        <v>445</v>
      </c>
      <c r="D792" s="2634"/>
      <c r="E792" s="2621"/>
      <c r="F792" s="2623"/>
      <c r="G792" s="2621"/>
      <c r="H792" s="2623"/>
      <c r="I792" s="2621"/>
      <c r="J792" s="2623"/>
      <c r="K792" s="45"/>
      <c r="L792" s="2634"/>
      <c r="M792" s="50" t="s">
        <v>445</v>
      </c>
      <c r="N792" s="2634"/>
      <c r="O792" s="2621"/>
      <c r="P792" s="2623"/>
      <c r="Q792" s="2621"/>
      <c r="R792" s="2623"/>
      <c r="S792" s="2621"/>
      <c r="T792" s="2623"/>
      <c r="U792" s="268"/>
      <c r="V792" s="2621"/>
      <c r="W792" s="2623"/>
      <c r="X792" s="54" t="s">
        <v>445</v>
      </c>
      <c r="Y792" s="2634"/>
      <c r="Z792" s="2621"/>
      <c r="AA792" s="2623"/>
      <c r="AB792" s="2621"/>
      <c r="AC792" s="2623"/>
      <c r="AD792" s="2621"/>
      <c r="AE792" s="2623"/>
      <c r="AF792" s="45"/>
      <c r="AG792" s="2634"/>
      <c r="AH792" s="50" t="s">
        <v>445</v>
      </c>
      <c r="AI792" s="2634"/>
      <c r="AJ792" s="2621"/>
      <c r="AK792" s="2623"/>
      <c r="AL792" s="2621"/>
      <c r="AM792" s="2623"/>
      <c r="AN792" s="2901"/>
      <c r="AO792" s="2902"/>
    </row>
    <row r="793" spans="1:41" ht="15.95" customHeight="1" x14ac:dyDescent="0.3">
      <c r="A793" s="2913" t="s">
        <v>446</v>
      </c>
      <c r="B793" s="2914"/>
      <c r="C793" s="118"/>
      <c r="D793" s="170"/>
      <c r="E793" s="2576"/>
      <c r="F793" s="2880"/>
      <c r="G793" s="2576"/>
      <c r="H793" s="2880"/>
      <c r="I793" s="2576"/>
      <c r="J793" s="2880"/>
      <c r="K793" s="279"/>
      <c r="L793" s="119" t="s">
        <v>447</v>
      </c>
      <c r="M793" s="185"/>
      <c r="N793" s="186"/>
      <c r="O793" s="2605"/>
      <c r="P793" s="2606"/>
      <c r="Q793" s="2605"/>
      <c r="R793" s="2606"/>
      <c r="S793" s="2605"/>
      <c r="T793" s="2606"/>
      <c r="U793" s="45"/>
      <c r="V793" s="2913" t="s">
        <v>446</v>
      </c>
      <c r="W793" s="2914"/>
      <c r="X793" s="184"/>
      <c r="Y793" s="170"/>
      <c r="Z793" s="2576"/>
      <c r="AA793" s="2880"/>
      <c r="AB793" s="2576"/>
      <c r="AC793" s="2880"/>
      <c r="AD793" s="2576"/>
      <c r="AE793" s="2880"/>
      <c r="AF793" s="45"/>
      <c r="AG793" s="119" t="s">
        <v>447</v>
      </c>
      <c r="AH793" s="185"/>
      <c r="AI793" s="186"/>
      <c r="AJ793" s="2605"/>
      <c r="AK793" s="2606"/>
      <c r="AL793" s="2605"/>
      <c r="AM793" s="2606"/>
      <c r="AN793" s="2605"/>
      <c r="AO793" s="2606"/>
    </row>
    <row r="794" spans="1:41" ht="15.95" customHeight="1" x14ac:dyDescent="0.35">
      <c r="A794" s="2911" t="s">
        <v>979</v>
      </c>
      <c r="B794" s="2912"/>
      <c r="C794" s="41"/>
      <c r="D794" s="288"/>
      <c r="E794" s="2576"/>
      <c r="F794" s="2880"/>
      <c r="G794" s="2576"/>
      <c r="H794" s="2880"/>
      <c r="I794" s="2565">
        <f>SUM(I795:J796)</f>
        <v>94000</v>
      </c>
      <c r="J794" s="2892"/>
      <c r="K794" s="279"/>
      <c r="L794" s="122"/>
      <c r="M794" s="188"/>
      <c r="N794" s="170"/>
      <c r="O794" s="2559"/>
      <c r="P794" s="2560"/>
      <c r="Q794" s="2559"/>
      <c r="R794" s="2560"/>
      <c r="S794" s="2559"/>
      <c r="T794" s="2560"/>
      <c r="U794" s="45"/>
      <c r="V794" s="2911" t="s">
        <v>979</v>
      </c>
      <c r="W794" s="2912"/>
      <c r="X794" s="120"/>
      <c r="Y794" s="170"/>
      <c r="Z794" s="2576"/>
      <c r="AA794" s="2880"/>
      <c r="AB794" s="2576"/>
      <c r="AC794" s="2880"/>
      <c r="AD794" s="2897">
        <f>SUM(AD795:AE796)</f>
        <v>0</v>
      </c>
      <c r="AE794" s="2892"/>
      <c r="AF794" s="45"/>
      <c r="AG794" s="122"/>
      <c r="AH794" s="188"/>
      <c r="AI794" s="170"/>
      <c r="AJ794" s="2559"/>
      <c r="AK794" s="2560"/>
      <c r="AL794" s="2559"/>
      <c r="AM794" s="2560"/>
      <c r="AN794" s="2559"/>
      <c r="AO794" s="2560"/>
    </row>
    <row r="795" spans="1:41" ht="15.95" customHeight="1" x14ac:dyDescent="0.3">
      <c r="A795" s="2915" t="s">
        <v>980</v>
      </c>
      <c r="B795" s="2916"/>
      <c r="C795" s="120" t="s">
        <v>496</v>
      </c>
      <c r="D795" s="170" t="s">
        <v>497</v>
      </c>
      <c r="E795" s="2576">
        <v>1</v>
      </c>
      <c r="F795" s="2880"/>
      <c r="G795" s="2576">
        <v>47000</v>
      </c>
      <c r="H795" s="2880">
        <f t="shared" ref="H795:H800" si="244">(36040*6%)+36040</f>
        <v>38202.400000000001</v>
      </c>
      <c r="I795" s="2559">
        <f>E795*G795</f>
        <v>47000</v>
      </c>
      <c r="J795" s="2560"/>
      <c r="K795" s="279"/>
      <c r="L795" s="122" t="s">
        <v>450</v>
      </c>
      <c r="M795" s="170"/>
      <c r="N795" s="170"/>
      <c r="O795" s="2559"/>
      <c r="P795" s="2560"/>
      <c r="Q795" s="2559"/>
      <c r="R795" s="2560"/>
      <c r="S795" s="2559"/>
      <c r="T795" s="2560"/>
      <c r="U795" s="45"/>
      <c r="V795" s="2915" t="s">
        <v>980</v>
      </c>
      <c r="W795" s="2916"/>
      <c r="X795" s="120"/>
      <c r="Y795" s="170"/>
      <c r="Z795" s="2576"/>
      <c r="AA795" s="2880"/>
      <c r="AB795" s="2576"/>
      <c r="AC795" s="2880"/>
      <c r="AD795" s="2559">
        <f>Z795*AB795</f>
        <v>0</v>
      </c>
      <c r="AE795" s="2560"/>
      <c r="AF795" s="45"/>
      <c r="AG795" s="122" t="s">
        <v>450</v>
      </c>
      <c r="AH795" s="170"/>
      <c r="AI795" s="170"/>
      <c r="AJ795" s="2559"/>
      <c r="AK795" s="2560"/>
      <c r="AL795" s="2559"/>
      <c r="AM795" s="2560"/>
      <c r="AN795" s="2559"/>
      <c r="AO795" s="2560"/>
    </row>
    <row r="796" spans="1:41" ht="15.95" customHeight="1" x14ac:dyDescent="0.3">
      <c r="A796" s="2915" t="s">
        <v>981</v>
      </c>
      <c r="B796" s="2916"/>
      <c r="C796" s="120" t="s">
        <v>496</v>
      </c>
      <c r="D796" s="170" t="s">
        <v>497</v>
      </c>
      <c r="E796" s="2576">
        <v>1</v>
      </c>
      <c r="F796" s="2880"/>
      <c r="G796" s="2576">
        <v>47000</v>
      </c>
      <c r="H796" s="2880">
        <f t="shared" si="244"/>
        <v>38202.400000000001</v>
      </c>
      <c r="I796" s="2559">
        <f>E796*G796</f>
        <v>47000</v>
      </c>
      <c r="J796" s="2560"/>
      <c r="K796" s="279"/>
      <c r="L796" s="122" t="s">
        <v>853</v>
      </c>
      <c r="M796" s="170" t="s">
        <v>574</v>
      </c>
      <c r="N796" s="170" t="s">
        <v>574</v>
      </c>
      <c r="O796" s="2559">
        <v>1200</v>
      </c>
      <c r="P796" s="2560"/>
      <c r="Q796" s="2559">
        <f>3339*1.0928</f>
        <v>3648.8591999999999</v>
      </c>
      <c r="R796" s="2560"/>
      <c r="S796" s="2559">
        <f t="shared" ref="S796:S810" si="245">O796*Q796</f>
        <v>4378631.04</v>
      </c>
      <c r="T796" s="2560"/>
      <c r="U796" s="45"/>
      <c r="V796" s="2915" t="s">
        <v>981</v>
      </c>
      <c r="W796" s="2916"/>
      <c r="X796" s="120"/>
      <c r="Y796" s="170"/>
      <c r="Z796" s="2576"/>
      <c r="AA796" s="2880"/>
      <c r="AB796" s="2576"/>
      <c r="AC796" s="2880"/>
      <c r="AD796" s="2559">
        <f>Z796*AB796</f>
        <v>0</v>
      </c>
      <c r="AE796" s="2560"/>
      <c r="AF796" s="45"/>
      <c r="AG796" s="122" t="s">
        <v>859</v>
      </c>
      <c r="AH796" s="170" t="s">
        <v>1156</v>
      </c>
      <c r="AI796" s="170" t="s">
        <v>473</v>
      </c>
      <c r="AJ796" s="2559">
        <v>4</v>
      </c>
      <c r="AK796" s="2560"/>
      <c r="AL796" s="2559">
        <f>+Q797</f>
        <v>38296</v>
      </c>
      <c r="AM796" s="2560"/>
      <c r="AN796" s="2559">
        <f t="shared" ref="AN796:AN812" si="246">AJ796*AL796</f>
        <v>153184</v>
      </c>
      <c r="AO796" s="2560"/>
    </row>
    <row r="797" spans="1:41" ht="15.95" customHeight="1" x14ac:dyDescent="0.35">
      <c r="A797" s="2911" t="s">
        <v>990</v>
      </c>
      <c r="B797" s="2912"/>
      <c r="C797" s="120"/>
      <c r="D797" s="170"/>
      <c r="E797" s="2576"/>
      <c r="F797" s="2880"/>
      <c r="G797" s="2576"/>
      <c r="H797" s="2880"/>
      <c r="I797" s="2565">
        <f>SUM(I798:J800)</f>
        <v>329000</v>
      </c>
      <c r="J797" s="2892"/>
      <c r="K797" s="279"/>
      <c r="L797" s="122" t="s">
        <v>859</v>
      </c>
      <c r="M797" s="170" t="s">
        <v>1156</v>
      </c>
      <c r="N797" s="170" t="s">
        <v>473</v>
      </c>
      <c r="O797" s="2559">
        <v>4</v>
      </c>
      <c r="P797" s="2560"/>
      <c r="Q797" s="2559">
        <v>38296</v>
      </c>
      <c r="R797" s="2560"/>
      <c r="S797" s="2559">
        <f t="shared" si="245"/>
        <v>153184</v>
      </c>
      <c r="T797" s="2560"/>
      <c r="U797" s="45"/>
      <c r="V797" s="2911" t="s">
        <v>990</v>
      </c>
      <c r="W797" s="2912"/>
      <c r="X797" s="120"/>
      <c r="Y797" s="170"/>
      <c r="Z797" s="2576"/>
      <c r="AA797" s="2880"/>
      <c r="AB797" s="2576"/>
      <c r="AC797" s="2880"/>
      <c r="AD797" s="2565">
        <f>SUM(AD798:AE800)</f>
        <v>0</v>
      </c>
      <c r="AE797" s="2892"/>
      <c r="AF797" s="45"/>
      <c r="AG797" s="122" t="s">
        <v>861</v>
      </c>
      <c r="AH797" s="170" t="s">
        <v>1157</v>
      </c>
      <c r="AI797" s="170" t="s">
        <v>473</v>
      </c>
      <c r="AJ797" s="2559">
        <v>2</v>
      </c>
      <c r="AK797" s="2560"/>
      <c r="AL797" s="2559">
        <f>+Q798</f>
        <v>46913.904000000002</v>
      </c>
      <c r="AM797" s="2560"/>
      <c r="AN797" s="2559">
        <f t="shared" si="246"/>
        <v>93827.808000000005</v>
      </c>
      <c r="AO797" s="2560"/>
    </row>
    <row r="798" spans="1:41" ht="15.95" customHeight="1" x14ac:dyDescent="0.3">
      <c r="A798" s="2915" t="s">
        <v>1158</v>
      </c>
      <c r="B798" s="2916"/>
      <c r="C798" s="120" t="s">
        <v>496</v>
      </c>
      <c r="D798" s="170" t="s">
        <v>497</v>
      </c>
      <c r="E798" s="2576">
        <v>5</v>
      </c>
      <c r="F798" s="2880"/>
      <c r="G798" s="2576">
        <v>47000</v>
      </c>
      <c r="H798" s="2880">
        <f t="shared" si="244"/>
        <v>38202.400000000001</v>
      </c>
      <c r="I798" s="2559">
        <f>E798*G798</f>
        <v>235000</v>
      </c>
      <c r="J798" s="2560"/>
      <c r="K798" s="279"/>
      <c r="L798" s="122" t="s">
        <v>861</v>
      </c>
      <c r="M798" s="170" t="s">
        <v>1157</v>
      </c>
      <c r="N798" s="170" t="s">
        <v>473</v>
      </c>
      <c r="O798" s="2559">
        <v>1</v>
      </c>
      <c r="P798" s="2560"/>
      <c r="Q798" s="2559">
        <f>42930*1.0928</f>
        <v>46913.904000000002</v>
      </c>
      <c r="R798" s="2560"/>
      <c r="S798" s="2559">
        <f t="shared" si="245"/>
        <v>46913.904000000002</v>
      </c>
      <c r="T798" s="2560"/>
      <c r="U798" s="45"/>
      <c r="V798" s="2915" t="s">
        <v>991</v>
      </c>
      <c r="W798" s="2916"/>
      <c r="X798" s="120"/>
      <c r="Y798" s="170"/>
      <c r="Z798" s="2576"/>
      <c r="AA798" s="2880"/>
      <c r="AB798" s="2576"/>
      <c r="AC798" s="2880"/>
      <c r="AD798" s="2559">
        <f>Z798*AB798</f>
        <v>0</v>
      </c>
      <c r="AE798" s="2560"/>
      <c r="AF798" s="45"/>
      <c r="AG798" s="122" t="s">
        <v>863</v>
      </c>
      <c r="AH798" s="170" t="s">
        <v>1175</v>
      </c>
      <c r="AI798" s="170" t="s">
        <v>473</v>
      </c>
      <c r="AJ798" s="2559">
        <v>1</v>
      </c>
      <c r="AK798" s="2560"/>
      <c r="AL798" s="2559">
        <f>+Q799</f>
        <v>26646</v>
      </c>
      <c r="AM798" s="2560"/>
      <c r="AN798" s="2559">
        <f t="shared" si="246"/>
        <v>26646</v>
      </c>
      <c r="AO798" s="2560"/>
    </row>
    <row r="799" spans="1:41" ht="15.95" customHeight="1" x14ac:dyDescent="0.3">
      <c r="A799" s="2915" t="s">
        <v>981</v>
      </c>
      <c r="B799" s="2916"/>
      <c r="C799" s="120" t="s">
        <v>496</v>
      </c>
      <c r="D799" s="170" t="s">
        <v>497</v>
      </c>
      <c r="E799" s="2576">
        <v>1</v>
      </c>
      <c r="F799" s="2880"/>
      <c r="G799" s="2576">
        <v>47000</v>
      </c>
      <c r="H799" s="2880">
        <f t="shared" si="244"/>
        <v>38202.400000000001</v>
      </c>
      <c r="I799" s="2559">
        <f>E799*G799</f>
        <v>47000</v>
      </c>
      <c r="J799" s="2560"/>
      <c r="K799" s="279"/>
      <c r="L799" s="122" t="s">
        <v>863</v>
      </c>
      <c r="M799" s="170" t="s">
        <v>1175</v>
      </c>
      <c r="N799" s="170" t="s">
        <v>473</v>
      </c>
      <c r="O799" s="2559">
        <v>1</v>
      </c>
      <c r="P799" s="2560"/>
      <c r="Q799" s="2559">
        <v>26646</v>
      </c>
      <c r="R799" s="2560"/>
      <c r="S799" s="2559">
        <f t="shared" si="245"/>
        <v>26646</v>
      </c>
      <c r="T799" s="2560"/>
      <c r="U799" s="45"/>
      <c r="V799" s="2915" t="s">
        <v>981</v>
      </c>
      <c r="W799" s="2916"/>
      <c r="X799" s="120"/>
      <c r="Y799" s="170"/>
      <c r="Z799" s="2576"/>
      <c r="AA799" s="2880"/>
      <c r="AB799" s="2576"/>
      <c r="AC799" s="2880"/>
      <c r="AD799" s="2559">
        <f>Z799*AB799</f>
        <v>0</v>
      </c>
      <c r="AE799" s="2560"/>
      <c r="AF799" s="45"/>
      <c r="AG799" s="122" t="s">
        <v>534</v>
      </c>
      <c r="AH799" s="170" t="s">
        <v>565</v>
      </c>
      <c r="AI799" s="170" t="s">
        <v>809</v>
      </c>
      <c r="AJ799" s="2559">
        <v>8</v>
      </c>
      <c r="AK799" s="2560"/>
      <c r="AL799" s="2559">
        <f>+Q800</f>
        <v>164123</v>
      </c>
      <c r="AM799" s="2560"/>
      <c r="AN799" s="2559">
        <f t="shared" si="246"/>
        <v>1312984</v>
      </c>
      <c r="AO799" s="2560"/>
    </row>
    <row r="800" spans="1:41" ht="15.95" customHeight="1" x14ac:dyDescent="0.3">
      <c r="A800" s="2915" t="s">
        <v>992</v>
      </c>
      <c r="B800" s="2916"/>
      <c r="C800" s="120" t="s">
        <v>496</v>
      </c>
      <c r="D800" s="170" t="s">
        <v>497</v>
      </c>
      <c r="E800" s="2576">
        <v>1</v>
      </c>
      <c r="F800" s="2880"/>
      <c r="G800" s="2576">
        <v>47000</v>
      </c>
      <c r="H800" s="2880">
        <f t="shared" si="244"/>
        <v>38202.400000000001</v>
      </c>
      <c r="I800" s="2559">
        <f>E800*G800</f>
        <v>47000</v>
      </c>
      <c r="J800" s="2560"/>
      <c r="K800" s="279"/>
      <c r="L800" s="122" t="s">
        <v>534</v>
      </c>
      <c r="M800" s="170" t="s">
        <v>468</v>
      </c>
      <c r="N800" s="170" t="s">
        <v>809</v>
      </c>
      <c r="O800" s="2571">
        <v>4.4000000000000004</v>
      </c>
      <c r="P800" s="2572"/>
      <c r="Q800" s="2559">
        <v>164123</v>
      </c>
      <c r="R800" s="2560"/>
      <c r="S800" s="2559">
        <f t="shared" si="245"/>
        <v>722141.20000000007</v>
      </c>
      <c r="T800" s="2560"/>
      <c r="U800" s="45"/>
      <c r="V800" s="2915" t="s">
        <v>992</v>
      </c>
      <c r="W800" s="2916"/>
      <c r="X800" s="120"/>
      <c r="Y800" s="170"/>
      <c r="Z800" s="2576"/>
      <c r="AA800" s="2880"/>
      <c r="AB800" s="2576"/>
      <c r="AC800" s="2880"/>
      <c r="AD800" s="2559">
        <f>Z800*AB800</f>
        <v>0</v>
      </c>
      <c r="AE800" s="2560"/>
      <c r="AF800" s="45"/>
      <c r="AG800" s="122" t="s">
        <v>863</v>
      </c>
      <c r="AH800" s="170" t="s">
        <v>188</v>
      </c>
      <c r="AI800" s="170" t="s">
        <v>452</v>
      </c>
      <c r="AJ800" s="2571">
        <v>0.5</v>
      </c>
      <c r="AK800" s="2572"/>
      <c r="AL800" s="2559">
        <f>+Q803</f>
        <v>52365.883199999997</v>
      </c>
      <c r="AM800" s="2560"/>
      <c r="AN800" s="2559">
        <f t="shared" si="246"/>
        <v>26182.941599999998</v>
      </c>
      <c r="AO800" s="2560"/>
    </row>
    <row r="801" spans="1:41" ht="15.95" customHeight="1" x14ac:dyDescent="0.35">
      <c r="A801" s="2998" t="s">
        <v>993</v>
      </c>
      <c r="B801" s="2999"/>
      <c r="C801" s="120"/>
      <c r="D801" s="170"/>
      <c r="E801" s="2576"/>
      <c r="F801" s="2880"/>
      <c r="G801" s="2559"/>
      <c r="H801" s="2560"/>
      <c r="I801" s="2565">
        <f>SUM(I802:J811)</f>
        <v>2491000</v>
      </c>
      <c r="J801" s="2892"/>
      <c r="K801" s="279"/>
      <c r="L801" s="288" t="s">
        <v>535</v>
      </c>
      <c r="M801" s="170" t="s">
        <v>753</v>
      </c>
      <c r="N801" s="170" t="s">
        <v>460</v>
      </c>
      <c r="O801" s="2559">
        <v>10</v>
      </c>
      <c r="P801" s="2560"/>
      <c r="Q801" s="2895">
        <v>188974</v>
      </c>
      <c r="R801" s="2896"/>
      <c r="S801" s="2559">
        <f t="shared" si="245"/>
        <v>1889740</v>
      </c>
      <c r="T801" s="2560"/>
      <c r="U801" s="45"/>
      <c r="V801" s="2998" t="s">
        <v>1035</v>
      </c>
      <c r="W801" s="2999"/>
      <c r="X801" s="120"/>
      <c r="Y801" s="170"/>
      <c r="Z801" s="2576"/>
      <c r="AA801" s="2880"/>
      <c r="AB801" s="2576"/>
      <c r="AC801" s="2880"/>
      <c r="AD801" s="2565">
        <f>SUM(AD802:AE811)</f>
        <v>470000</v>
      </c>
      <c r="AE801" s="2892"/>
      <c r="AF801" s="45"/>
      <c r="AG801" s="122" t="s">
        <v>863</v>
      </c>
      <c r="AH801" s="170" t="s">
        <v>762</v>
      </c>
      <c r="AI801" s="170" t="s">
        <v>452</v>
      </c>
      <c r="AJ801" s="2559">
        <v>2</v>
      </c>
      <c r="AK801" s="2560"/>
      <c r="AL801" s="2559">
        <f>+Q806</f>
        <v>75819.556800000006</v>
      </c>
      <c r="AM801" s="2560"/>
      <c r="AN801" s="2559">
        <f t="shared" si="246"/>
        <v>151639.11360000001</v>
      </c>
      <c r="AO801" s="2560"/>
    </row>
    <row r="802" spans="1:41" ht="15.95" customHeight="1" x14ac:dyDescent="0.2">
      <c r="A802" s="2839" t="s">
        <v>995</v>
      </c>
      <c r="B802" s="2840"/>
      <c r="C802" s="170"/>
      <c r="D802" s="170"/>
      <c r="E802" s="2559"/>
      <c r="F802" s="2560"/>
      <c r="G802" s="2559"/>
      <c r="H802" s="2560"/>
      <c r="I802" s="2559">
        <f t="shared" ref="I802:I811" si="247">E802*G802</f>
        <v>0</v>
      </c>
      <c r="J802" s="2560"/>
      <c r="K802" s="279"/>
      <c r="L802" s="122" t="s">
        <v>537</v>
      </c>
      <c r="M802" s="170" t="s">
        <v>566</v>
      </c>
      <c r="N802" s="170" t="s">
        <v>473</v>
      </c>
      <c r="O802" s="2559">
        <v>4</v>
      </c>
      <c r="P802" s="2560"/>
      <c r="Q802" s="2559">
        <v>28583</v>
      </c>
      <c r="R802" s="2560"/>
      <c r="S802" s="2559">
        <f t="shared" si="245"/>
        <v>114332</v>
      </c>
      <c r="T802" s="2560"/>
      <c r="U802" s="45"/>
      <c r="V802" s="2839" t="s">
        <v>991</v>
      </c>
      <c r="W802" s="2840"/>
      <c r="X802" s="120"/>
      <c r="Y802" s="170"/>
      <c r="Z802" s="2559"/>
      <c r="AA802" s="2560"/>
      <c r="AB802" s="2559"/>
      <c r="AC802" s="2560"/>
      <c r="AD802" s="2559">
        <f>Z802*AB802</f>
        <v>0</v>
      </c>
      <c r="AE802" s="2560"/>
      <c r="AF802" s="45"/>
      <c r="AG802" s="122" t="s">
        <v>1514</v>
      </c>
      <c r="AH802" s="170" t="s">
        <v>791</v>
      </c>
      <c r="AI802" s="170" t="s">
        <v>452</v>
      </c>
      <c r="AJ802" s="2559">
        <v>2</v>
      </c>
      <c r="AK802" s="2560"/>
      <c r="AL802" s="2559">
        <v>25849</v>
      </c>
      <c r="AM802" s="2560"/>
      <c r="AN802" s="2559">
        <f t="shared" si="246"/>
        <v>51698</v>
      </c>
      <c r="AO802" s="2560"/>
    </row>
    <row r="803" spans="1:41" ht="15.95" customHeight="1" x14ac:dyDescent="0.2">
      <c r="A803" s="2839" t="s">
        <v>996</v>
      </c>
      <c r="B803" s="2840"/>
      <c r="C803" s="170"/>
      <c r="D803" s="170"/>
      <c r="E803" s="2559"/>
      <c r="F803" s="2560"/>
      <c r="G803" s="2559"/>
      <c r="H803" s="2560"/>
      <c r="I803" s="2559">
        <f t="shared" si="247"/>
        <v>0</v>
      </c>
      <c r="J803" s="2560"/>
      <c r="K803" s="279"/>
      <c r="L803" s="122" t="s">
        <v>863</v>
      </c>
      <c r="M803" s="170" t="s">
        <v>188</v>
      </c>
      <c r="N803" s="170" t="s">
        <v>452</v>
      </c>
      <c r="O803" s="2571">
        <v>0.5</v>
      </c>
      <c r="P803" s="2572"/>
      <c r="Q803" s="2559">
        <f>47919*1.0928</f>
        <v>52365.883199999997</v>
      </c>
      <c r="R803" s="2560"/>
      <c r="S803" s="2559">
        <f t="shared" si="245"/>
        <v>26182.941599999998</v>
      </c>
      <c r="T803" s="2560"/>
      <c r="U803" s="45"/>
      <c r="V803" s="2839" t="s">
        <v>996</v>
      </c>
      <c r="W803" s="2840"/>
      <c r="X803" s="120"/>
      <c r="Y803" s="170"/>
      <c r="Z803" s="2559"/>
      <c r="AA803" s="2560"/>
      <c r="AB803" s="2559"/>
      <c r="AC803" s="2560"/>
      <c r="AD803" s="2559">
        <f>Z803*AB803</f>
        <v>0</v>
      </c>
      <c r="AE803" s="2560"/>
      <c r="AF803" s="45"/>
      <c r="AG803" s="122" t="s">
        <v>611</v>
      </c>
      <c r="AH803" s="170" t="s">
        <v>611</v>
      </c>
      <c r="AI803" s="170" t="s">
        <v>452</v>
      </c>
      <c r="AJ803" s="2559">
        <v>10</v>
      </c>
      <c r="AK803" s="2560"/>
      <c r="AL803" s="2559">
        <v>9373</v>
      </c>
      <c r="AM803" s="2560"/>
      <c r="AN803" s="2559">
        <f t="shared" si="246"/>
        <v>93730</v>
      </c>
      <c r="AO803" s="2560"/>
    </row>
    <row r="804" spans="1:41" ht="15.95" customHeight="1" x14ac:dyDescent="0.3">
      <c r="A804" s="2839" t="s">
        <v>469</v>
      </c>
      <c r="B804" s="2840"/>
      <c r="C804" s="120" t="s">
        <v>496</v>
      </c>
      <c r="D804" s="170" t="s">
        <v>497</v>
      </c>
      <c r="E804" s="2559">
        <v>15</v>
      </c>
      <c r="F804" s="2560"/>
      <c r="G804" s="2576">
        <v>47000</v>
      </c>
      <c r="H804" s="2880">
        <f t="shared" ref="H804:H809" si="248">(36040*6%)+36040</f>
        <v>38202.400000000001</v>
      </c>
      <c r="I804" s="2559">
        <f t="shared" si="247"/>
        <v>705000</v>
      </c>
      <c r="J804" s="2560"/>
      <c r="K804" s="279"/>
      <c r="L804" s="122" t="s">
        <v>861</v>
      </c>
      <c r="M804" s="170" t="s">
        <v>761</v>
      </c>
      <c r="N804" s="170" t="s">
        <v>473</v>
      </c>
      <c r="O804" s="2559">
        <v>3</v>
      </c>
      <c r="P804" s="2560"/>
      <c r="Q804" s="2895">
        <v>43883</v>
      </c>
      <c r="R804" s="2896"/>
      <c r="S804" s="2559">
        <f t="shared" si="245"/>
        <v>131649</v>
      </c>
      <c r="T804" s="2560"/>
      <c r="U804" s="45"/>
      <c r="V804" s="2839" t="s">
        <v>469</v>
      </c>
      <c r="W804" s="2840"/>
      <c r="X804" s="120"/>
      <c r="Y804" s="170"/>
      <c r="Z804" s="2559"/>
      <c r="AA804" s="2560"/>
      <c r="AB804" s="2559"/>
      <c r="AC804" s="2560"/>
      <c r="AD804" s="2559">
        <f t="shared" ref="AD804:AD811" si="249">Z804*AB804</f>
        <v>0</v>
      </c>
      <c r="AE804" s="2560"/>
      <c r="AF804" s="45"/>
      <c r="AG804" s="122" t="s">
        <v>1176</v>
      </c>
      <c r="AH804" s="170" t="s">
        <v>1177</v>
      </c>
      <c r="AI804" s="170" t="s">
        <v>452</v>
      </c>
      <c r="AJ804" s="2559">
        <v>150</v>
      </c>
      <c r="AK804" s="2560"/>
      <c r="AL804" s="2559">
        <f>1798*1.0928</f>
        <v>1964.8543999999999</v>
      </c>
      <c r="AM804" s="2560"/>
      <c r="AN804" s="2559">
        <f t="shared" si="246"/>
        <v>294728.15999999997</v>
      </c>
      <c r="AO804" s="2560"/>
    </row>
    <row r="805" spans="1:41" ht="15.95" customHeight="1" x14ac:dyDescent="0.3">
      <c r="A805" s="2839" t="s">
        <v>470</v>
      </c>
      <c r="B805" s="2840"/>
      <c r="C805" s="120" t="s">
        <v>496</v>
      </c>
      <c r="D805" s="170" t="s">
        <v>497</v>
      </c>
      <c r="E805" s="2559">
        <v>12</v>
      </c>
      <c r="F805" s="2560"/>
      <c r="G805" s="2576">
        <v>47000</v>
      </c>
      <c r="H805" s="2880">
        <f t="shared" si="248"/>
        <v>38202.400000000001</v>
      </c>
      <c r="I805" s="2559">
        <f t="shared" si="247"/>
        <v>564000</v>
      </c>
      <c r="J805" s="2560"/>
      <c r="K805" s="279"/>
      <c r="L805" s="122" t="s">
        <v>534</v>
      </c>
      <c r="M805" s="170" t="s">
        <v>459</v>
      </c>
      <c r="N805" s="170" t="s">
        <v>809</v>
      </c>
      <c r="O805" s="2559">
        <v>4</v>
      </c>
      <c r="P805" s="2560"/>
      <c r="Q805" s="2559">
        <v>149734</v>
      </c>
      <c r="R805" s="2560"/>
      <c r="S805" s="2559">
        <f t="shared" si="245"/>
        <v>598936</v>
      </c>
      <c r="T805" s="2560"/>
      <c r="U805" s="45"/>
      <c r="V805" s="2839" t="s">
        <v>470</v>
      </c>
      <c r="W805" s="2840"/>
      <c r="X805" s="120"/>
      <c r="Y805" s="170"/>
      <c r="Z805" s="2559"/>
      <c r="AA805" s="2560"/>
      <c r="AB805" s="2559"/>
      <c r="AC805" s="2560"/>
      <c r="AD805" s="2559">
        <f t="shared" si="249"/>
        <v>0</v>
      </c>
      <c r="AE805" s="2560"/>
      <c r="AF805" s="45"/>
      <c r="AG805" s="122" t="s">
        <v>1178</v>
      </c>
      <c r="AH805" s="170" t="s">
        <v>563</v>
      </c>
      <c r="AI805" s="170" t="s">
        <v>809</v>
      </c>
      <c r="AJ805" s="2559">
        <v>5</v>
      </c>
      <c r="AK805" s="2560"/>
      <c r="AL805" s="2559">
        <v>201451</v>
      </c>
      <c r="AM805" s="2560"/>
      <c r="AN805" s="2559">
        <f t="shared" si="246"/>
        <v>1007255</v>
      </c>
      <c r="AO805" s="2560"/>
    </row>
    <row r="806" spans="1:41" ht="15.95" customHeight="1" x14ac:dyDescent="0.3">
      <c r="A806" s="2839" t="s">
        <v>902</v>
      </c>
      <c r="B806" s="2840"/>
      <c r="C806" s="120" t="s">
        <v>496</v>
      </c>
      <c r="D806" s="170" t="s">
        <v>497</v>
      </c>
      <c r="E806" s="2559">
        <v>4</v>
      </c>
      <c r="F806" s="2560"/>
      <c r="G806" s="2576">
        <v>47000</v>
      </c>
      <c r="H806" s="2880">
        <f t="shared" si="248"/>
        <v>38202.400000000001</v>
      </c>
      <c r="I806" s="2559">
        <f t="shared" si="247"/>
        <v>188000</v>
      </c>
      <c r="J806" s="2560"/>
      <c r="K806" s="279"/>
      <c r="L806" s="122" t="s">
        <v>863</v>
      </c>
      <c r="M806" s="170" t="s">
        <v>762</v>
      </c>
      <c r="N806" s="170" t="s">
        <v>452</v>
      </c>
      <c r="O806" s="2559">
        <v>1</v>
      </c>
      <c r="P806" s="2560"/>
      <c r="Q806" s="2559">
        <f>69381*1.0928</f>
        <v>75819.556800000006</v>
      </c>
      <c r="R806" s="2560"/>
      <c r="S806" s="2559">
        <f t="shared" si="245"/>
        <v>75819.556800000006</v>
      </c>
      <c r="T806" s="2560"/>
      <c r="U806" s="45"/>
      <c r="V806" s="2839" t="s">
        <v>1068</v>
      </c>
      <c r="W806" s="2840"/>
      <c r="X806" s="120"/>
      <c r="Y806" s="170"/>
      <c r="Z806" s="2559"/>
      <c r="AA806" s="2560"/>
      <c r="AB806" s="2559"/>
      <c r="AC806" s="2880"/>
      <c r="AD806" s="2559">
        <f t="shared" si="249"/>
        <v>0</v>
      </c>
      <c r="AE806" s="2560"/>
      <c r="AF806" s="45"/>
      <c r="AG806" s="122" t="s">
        <v>861</v>
      </c>
      <c r="AH806" s="170" t="s">
        <v>761</v>
      </c>
      <c r="AI806" s="170" t="s">
        <v>473</v>
      </c>
      <c r="AJ806" s="2559">
        <v>2</v>
      </c>
      <c r="AK806" s="2560"/>
      <c r="AL806" s="2559">
        <f>+Q804</f>
        <v>43883</v>
      </c>
      <c r="AM806" s="2560"/>
      <c r="AN806" s="2559">
        <f t="shared" si="246"/>
        <v>87766</v>
      </c>
      <c r="AO806" s="2560"/>
    </row>
    <row r="807" spans="1:41" ht="15.95" customHeight="1" x14ac:dyDescent="0.3">
      <c r="A807" s="2839" t="s">
        <v>998</v>
      </c>
      <c r="B807" s="2840"/>
      <c r="C807" s="120" t="s">
        <v>496</v>
      </c>
      <c r="D807" s="170" t="s">
        <v>497</v>
      </c>
      <c r="E807" s="2576">
        <v>20</v>
      </c>
      <c r="F807" s="2880"/>
      <c r="G807" s="2576">
        <v>47000</v>
      </c>
      <c r="H807" s="2880">
        <f t="shared" si="248"/>
        <v>38202.400000000001</v>
      </c>
      <c r="I807" s="2559">
        <f t="shared" si="247"/>
        <v>940000</v>
      </c>
      <c r="J807" s="2560"/>
      <c r="K807" s="279"/>
      <c r="L807" s="122" t="s">
        <v>1179</v>
      </c>
      <c r="M807" s="170" t="s">
        <v>1114</v>
      </c>
      <c r="N807" s="170" t="s">
        <v>452</v>
      </c>
      <c r="O807" s="2559">
        <v>200</v>
      </c>
      <c r="P807" s="2560"/>
      <c r="Q807" s="2559">
        <f>75843*1.0928</f>
        <v>82881.2304</v>
      </c>
      <c r="R807" s="2560"/>
      <c r="S807" s="2559">
        <f t="shared" si="245"/>
        <v>16576246.08</v>
      </c>
      <c r="T807" s="2560"/>
      <c r="U807" s="45"/>
      <c r="V807" s="2839" t="s">
        <v>998</v>
      </c>
      <c r="W807" s="2840"/>
      <c r="X807" s="120"/>
      <c r="Y807" s="170"/>
      <c r="Z807" s="2576"/>
      <c r="AA807" s="2880"/>
      <c r="AB807" s="2576"/>
      <c r="AC807" s="2880"/>
      <c r="AD807" s="2559">
        <f t="shared" si="249"/>
        <v>0</v>
      </c>
      <c r="AE807" s="2560"/>
      <c r="AF807" s="45"/>
      <c r="AG807" s="122" t="s">
        <v>534</v>
      </c>
      <c r="AH807" s="214" t="s">
        <v>459</v>
      </c>
      <c r="AI807" s="120" t="s">
        <v>809</v>
      </c>
      <c r="AJ807" s="2559">
        <v>8</v>
      </c>
      <c r="AK807" s="2560"/>
      <c r="AL807" s="2559">
        <f>+Q805</f>
        <v>149734</v>
      </c>
      <c r="AM807" s="2560"/>
      <c r="AN807" s="2559">
        <f t="shared" si="246"/>
        <v>1197872</v>
      </c>
      <c r="AO807" s="2560"/>
    </row>
    <row r="808" spans="1:41" ht="15.95" customHeight="1" x14ac:dyDescent="0.3">
      <c r="A808" s="2839" t="s">
        <v>999</v>
      </c>
      <c r="B808" s="2840"/>
      <c r="C808" s="120"/>
      <c r="D808" s="170"/>
      <c r="E808" s="2576"/>
      <c r="F808" s="2880"/>
      <c r="G808" s="2576"/>
      <c r="H808" s="2880"/>
      <c r="I808" s="2559">
        <f t="shared" si="247"/>
        <v>0</v>
      </c>
      <c r="J808" s="2560"/>
      <c r="K808" s="279"/>
      <c r="L808" s="122" t="s">
        <v>1180</v>
      </c>
      <c r="M808" s="170" t="s">
        <v>828</v>
      </c>
      <c r="N808" s="170" t="s">
        <v>452</v>
      </c>
      <c r="O808" s="2559">
        <v>400</v>
      </c>
      <c r="P808" s="2560"/>
      <c r="Q808" s="2559">
        <f>6825*1.0928</f>
        <v>7458.36</v>
      </c>
      <c r="R808" s="2560"/>
      <c r="S808" s="2559">
        <f t="shared" si="245"/>
        <v>2983344</v>
      </c>
      <c r="T808" s="2560"/>
      <c r="U808" s="45"/>
      <c r="V808" s="2839" t="s">
        <v>999</v>
      </c>
      <c r="W808" s="2840"/>
      <c r="X808" s="120"/>
      <c r="Y808" s="170"/>
      <c r="Z808" s="2576"/>
      <c r="AA808" s="2880"/>
      <c r="AB808" s="2576"/>
      <c r="AC808" s="2880"/>
      <c r="AD808" s="2559">
        <f t="shared" si="249"/>
        <v>0</v>
      </c>
      <c r="AE808" s="2560"/>
      <c r="AF808" s="45"/>
      <c r="AG808" s="122" t="s">
        <v>1181</v>
      </c>
      <c r="AH808" s="170" t="s">
        <v>1182</v>
      </c>
      <c r="AI808" s="170" t="s">
        <v>1183</v>
      </c>
      <c r="AJ808" s="2559">
        <v>9000</v>
      </c>
      <c r="AK808" s="2560"/>
      <c r="AL808" s="2559">
        <f>126*1.0928</f>
        <v>137.69280000000001</v>
      </c>
      <c r="AM808" s="2560"/>
      <c r="AN808" s="2559">
        <f t="shared" si="246"/>
        <v>1239235.2</v>
      </c>
      <c r="AO808" s="2560"/>
    </row>
    <row r="809" spans="1:41" ht="15.95" customHeight="1" x14ac:dyDescent="0.3">
      <c r="A809" s="2839" t="s">
        <v>873</v>
      </c>
      <c r="B809" s="2840"/>
      <c r="C809" s="120" t="s">
        <v>496</v>
      </c>
      <c r="D809" s="170" t="s">
        <v>497</v>
      </c>
      <c r="E809" s="2576">
        <v>2</v>
      </c>
      <c r="F809" s="2880"/>
      <c r="G809" s="2576">
        <v>47000</v>
      </c>
      <c r="H809" s="2880">
        <f t="shared" si="248"/>
        <v>38202.400000000001</v>
      </c>
      <c r="I809" s="2559">
        <f t="shared" si="247"/>
        <v>94000</v>
      </c>
      <c r="J809" s="2560"/>
      <c r="K809" s="279"/>
      <c r="L809" s="122" t="s">
        <v>189</v>
      </c>
      <c r="M809" s="170" t="s">
        <v>719</v>
      </c>
      <c r="N809" s="170" t="s">
        <v>497</v>
      </c>
      <c r="O809" s="2559">
        <v>350</v>
      </c>
      <c r="P809" s="2560"/>
      <c r="Q809" s="2559">
        <f>12014*1.0928</f>
        <v>13128.8992</v>
      </c>
      <c r="R809" s="2560"/>
      <c r="S809" s="2559">
        <f t="shared" si="245"/>
        <v>4595114.72</v>
      </c>
      <c r="T809" s="2560"/>
      <c r="U809" s="45"/>
      <c r="V809" s="2839" t="s">
        <v>873</v>
      </c>
      <c r="W809" s="2840"/>
      <c r="X809" s="120" t="s">
        <v>496</v>
      </c>
      <c r="Y809" s="170" t="s">
        <v>497</v>
      </c>
      <c r="Z809" s="2576">
        <v>10</v>
      </c>
      <c r="AA809" s="2880"/>
      <c r="AB809" s="2576">
        <v>47000</v>
      </c>
      <c r="AC809" s="2880">
        <f t="shared" ref="AC809" si="250">(36040*6%)+36040</f>
        <v>38202.400000000001</v>
      </c>
      <c r="AD809" s="2559">
        <f t="shared" si="249"/>
        <v>470000</v>
      </c>
      <c r="AE809" s="2560"/>
      <c r="AF809" s="45"/>
      <c r="AG809" s="122" t="s">
        <v>1184</v>
      </c>
      <c r="AH809" s="170" t="s">
        <v>1185</v>
      </c>
      <c r="AI809" s="170" t="s">
        <v>1108</v>
      </c>
      <c r="AJ809" s="2559">
        <v>400</v>
      </c>
      <c r="AK809" s="2560"/>
      <c r="AL809" s="2559">
        <f>2718*1.0928</f>
        <v>2970.2303999999999</v>
      </c>
      <c r="AM809" s="2560"/>
      <c r="AN809" s="2559">
        <f t="shared" si="246"/>
        <v>1188092.1599999999</v>
      </c>
      <c r="AO809" s="2560"/>
    </row>
    <row r="810" spans="1:41" ht="15.95" customHeight="1" x14ac:dyDescent="0.3">
      <c r="A810" s="2839" t="s">
        <v>1000</v>
      </c>
      <c r="B810" s="2840"/>
      <c r="C810" s="120"/>
      <c r="D810" s="170"/>
      <c r="E810" s="2576"/>
      <c r="F810" s="2880"/>
      <c r="G810" s="2576"/>
      <c r="H810" s="2880"/>
      <c r="I810" s="2559">
        <f t="shared" si="247"/>
        <v>0</v>
      </c>
      <c r="J810" s="2560"/>
      <c r="K810" s="279"/>
      <c r="L810" s="122" t="s">
        <v>574</v>
      </c>
      <c r="M810" s="170" t="s">
        <v>1088</v>
      </c>
      <c r="N810" s="170" t="s">
        <v>497</v>
      </c>
      <c r="O810" s="2559">
        <v>800</v>
      </c>
      <c r="P810" s="2560"/>
      <c r="Q810" s="2559">
        <f>3339*1.0928</f>
        <v>3648.8591999999999</v>
      </c>
      <c r="R810" s="2560"/>
      <c r="S810" s="2559">
        <f t="shared" si="245"/>
        <v>2919087.36</v>
      </c>
      <c r="T810" s="2560"/>
      <c r="U810" s="45"/>
      <c r="V810" s="2839" t="s">
        <v>1000</v>
      </c>
      <c r="W810" s="2840"/>
      <c r="X810" s="120"/>
      <c r="Y810" s="170"/>
      <c r="Z810" s="2576"/>
      <c r="AA810" s="2880"/>
      <c r="AB810" s="2576"/>
      <c r="AC810" s="2880"/>
      <c r="AD810" s="2559">
        <f t="shared" si="249"/>
        <v>0</v>
      </c>
      <c r="AE810" s="2560"/>
      <c r="AF810" s="45"/>
      <c r="AG810" s="122" t="s">
        <v>1186</v>
      </c>
      <c r="AH810" s="170" t="s">
        <v>1077</v>
      </c>
      <c r="AI810" s="170" t="s">
        <v>1108</v>
      </c>
      <c r="AJ810" s="2559">
        <v>60</v>
      </c>
      <c r="AK810" s="2560"/>
      <c r="AL810" s="2559">
        <f>12641*1.0928</f>
        <v>13814.084800000001</v>
      </c>
      <c r="AM810" s="2560"/>
      <c r="AN810" s="2559">
        <f t="shared" si="246"/>
        <v>828845.08799999999</v>
      </c>
      <c r="AO810" s="2560"/>
    </row>
    <row r="811" spans="1:41" ht="15.95" customHeight="1" x14ac:dyDescent="0.3">
      <c r="A811" s="2839" t="s">
        <v>504</v>
      </c>
      <c r="B811" s="2840"/>
      <c r="C811" s="120"/>
      <c r="D811" s="170"/>
      <c r="E811" s="2576"/>
      <c r="F811" s="2880"/>
      <c r="G811" s="2576"/>
      <c r="H811" s="2880"/>
      <c r="I811" s="2559">
        <f t="shared" si="247"/>
        <v>0</v>
      </c>
      <c r="J811" s="2560"/>
      <c r="K811" s="279"/>
      <c r="L811" s="196" t="s">
        <v>1187</v>
      </c>
      <c r="M811" s="120" t="s">
        <v>794</v>
      </c>
      <c r="N811" s="120"/>
      <c r="O811" s="2643"/>
      <c r="P811" s="2643"/>
      <c r="Q811" s="2643"/>
      <c r="R811" s="2643"/>
      <c r="S811" s="2559">
        <f>350000*1.0928</f>
        <v>382480</v>
      </c>
      <c r="T811" s="2560"/>
      <c r="U811" s="45"/>
      <c r="V811" s="2839" t="s">
        <v>504</v>
      </c>
      <c r="W811" s="2840"/>
      <c r="X811" s="120"/>
      <c r="Y811" s="170"/>
      <c r="Z811" s="2576"/>
      <c r="AA811" s="2880"/>
      <c r="AB811" s="2576"/>
      <c r="AC811" s="2880"/>
      <c r="AD811" s="2559">
        <f t="shared" si="249"/>
        <v>0</v>
      </c>
      <c r="AE811" s="2560"/>
      <c r="AF811" s="45"/>
      <c r="AG811" s="196"/>
      <c r="AH811" s="120"/>
      <c r="AI811" s="120"/>
      <c r="AJ811" s="2643"/>
      <c r="AK811" s="2643"/>
      <c r="AL811" s="2643"/>
      <c r="AM811" s="2643"/>
      <c r="AN811" s="2559">
        <f t="shared" si="246"/>
        <v>0</v>
      </c>
      <c r="AO811" s="2560"/>
    </row>
    <row r="812" spans="1:41" ht="15.95" customHeight="1" x14ac:dyDescent="0.35">
      <c r="A812" s="2911" t="s">
        <v>1001</v>
      </c>
      <c r="B812" s="2912"/>
      <c r="C812" s="120"/>
      <c r="D812" s="170"/>
      <c r="E812" s="2576"/>
      <c r="F812" s="2880"/>
      <c r="G812" s="2576"/>
      <c r="H812" s="2880"/>
      <c r="I812" s="2565">
        <f>SUM(I813:J830)</f>
        <v>6204000</v>
      </c>
      <c r="J812" s="2892"/>
      <c r="K812" s="279"/>
      <c r="L812" s="196"/>
      <c r="M812" s="197"/>
      <c r="N812" s="120"/>
      <c r="O812" s="2643"/>
      <c r="P812" s="2643"/>
      <c r="Q812" s="2643"/>
      <c r="R812" s="2643"/>
      <c r="S812" s="2559"/>
      <c r="T812" s="2560"/>
      <c r="U812" s="45"/>
      <c r="V812" s="2911" t="s">
        <v>1001</v>
      </c>
      <c r="W812" s="2912"/>
      <c r="X812" s="120"/>
      <c r="Y812" s="170"/>
      <c r="Z812" s="2576"/>
      <c r="AA812" s="2880"/>
      <c r="AB812" s="2576"/>
      <c r="AC812" s="2880"/>
      <c r="AD812" s="2565">
        <f>SUM(AD813:AE830)</f>
        <v>4089000</v>
      </c>
      <c r="AE812" s="2892"/>
      <c r="AF812" s="45"/>
      <c r="AG812" s="196"/>
      <c r="AH812" s="120"/>
      <c r="AI812" s="120"/>
      <c r="AJ812" s="2643"/>
      <c r="AK812" s="2643"/>
      <c r="AL812" s="2643"/>
      <c r="AM812" s="2643"/>
      <c r="AN812" s="2559">
        <f t="shared" si="246"/>
        <v>0</v>
      </c>
      <c r="AO812" s="2560"/>
    </row>
    <row r="813" spans="1:41" ht="15.95" customHeight="1" x14ac:dyDescent="0.3">
      <c r="A813" s="2839" t="s">
        <v>852</v>
      </c>
      <c r="B813" s="2840"/>
      <c r="C813" s="120" t="s">
        <v>496</v>
      </c>
      <c r="D813" s="170" t="s">
        <v>497</v>
      </c>
      <c r="E813" s="2559">
        <v>10</v>
      </c>
      <c r="F813" s="2560"/>
      <c r="G813" s="2576">
        <v>47000</v>
      </c>
      <c r="H813" s="2880">
        <f t="shared" ref="H813:H815" si="251">(36040*6%)+36040</f>
        <v>38202.400000000001</v>
      </c>
      <c r="I813" s="2559">
        <f t="shared" ref="I813:I830" si="252">E813*G813</f>
        <v>470000</v>
      </c>
      <c r="J813" s="2560"/>
      <c r="K813" s="279"/>
      <c r="L813" s="199" t="s">
        <v>876</v>
      </c>
      <c r="M813" s="53"/>
      <c r="N813" s="200"/>
      <c r="O813" s="2893"/>
      <c r="P813" s="2893"/>
      <c r="Q813" s="2893"/>
      <c r="R813" s="2893"/>
      <c r="S813" s="2894">
        <f>SUM(S795:T811)</f>
        <v>35620447.8024</v>
      </c>
      <c r="T813" s="2894"/>
      <c r="U813" s="45"/>
      <c r="V813" s="2839" t="s">
        <v>852</v>
      </c>
      <c r="W813" s="2840"/>
      <c r="X813" s="120"/>
      <c r="Y813" s="170"/>
      <c r="Z813" s="2559"/>
      <c r="AA813" s="2560"/>
      <c r="AB813" s="2559"/>
      <c r="AC813" s="2560"/>
      <c r="AD813" s="2559">
        <f t="shared" ref="AD813:AD830" si="253">Z813*AB813</f>
        <v>0</v>
      </c>
      <c r="AE813" s="2560"/>
      <c r="AF813" s="45"/>
      <c r="AG813" s="199" t="s">
        <v>876</v>
      </c>
      <c r="AH813" s="53"/>
      <c r="AI813" s="200"/>
      <c r="AJ813" s="2893"/>
      <c r="AK813" s="2893"/>
      <c r="AL813" s="2893"/>
      <c r="AM813" s="2893"/>
      <c r="AN813" s="2894">
        <f>SUM(AN795:AO811)</f>
        <v>7753685.4712000005</v>
      </c>
      <c r="AO813" s="2894"/>
    </row>
    <row r="814" spans="1:41" ht="15.95" customHeight="1" x14ac:dyDescent="0.3">
      <c r="A814" s="2839" t="s">
        <v>495</v>
      </c>
      <c r="B814" s="2840"/>
      <c r="C814" s="120" t="s">
        <v>496</v>
      </c>
      <c r="D814" s="170" t="s">
        <v>497</v>
      </c>
      <c r="E814" s="2559">
        <v>2</v>
      </c>
      <c r="F814" s="2560"/>
      <c r="G814" s="2576">
        <v>47000</v>
      </c>
      <c r="H814" s="2880">
        <f t="shared" si="251"/>
        <v>38202.400000000001</v>
      </c>
      <c r="I814" s="2559">
        <f t="shared" si="252"/>
        <v>94000</v>
      </c>
      <c r="J814" s="2560"/>
      <c r="K814" s="279"/>
      <c r="L814" s="148"/>
      <c r="M814" s="197"/>
      <c r="N814" s="120"/>
      <c r="O814" s="2643"/>
      <c r="P814" s="2643"/>
      <c r="Q814" s="2643"/>
      <c r="R814" s="2643"/>
      <c r="S814" s="2643"/>
      <c r="T814" s="2643"/>
      <c r="U814" s="45"/>
      <c r="V814" s="2839" t="s">
        <v>495</v>
      </c>
      <c r="W814" s="2840"/>
      <c r="X814" s="120"/>
      <c r="Y814" s="170"/>
      <c r="Z814" s="2559"/>
      <c r="AA814" s="2560"/>
      <c r="AB814" s="2559"/>
      <c r="AC814" s="2560"/>
      <c r="AD814" s="2559">
        <f t="shared" si="253"/>
        <v>0</v>
      </c>
      <c r="AE814" s="2560"/>
      <c r="AF814" s="45"/>
      <c r="AG814" s="148"/>
      <c r="AH814" s="197"/>
      <c r="AI814" s="120"/>
      <c r="AJ814" s="2643"/>
      <c r="AK814" s="2643"/>
      <c r="AL814" s="2643"/>
      <c r="AM814" s="2643"/>
      <c r="AN814" s="2643"/>
      <c r="AO814" s="2643"/>
    </row>
    <row r="815" spans="1:41" ht="15.95" customHeight="1" x14ac:dyDescent="0.3">
      <c r="A815" s="2839" t="s">
        <v>1003</v>
      </c>
      <c r="B815" s="2840"/>
      <c r="C815" s="120" t="s">
        <v>496</v>
      </c>
      <c r="D815" s="170" t="s">
        <v>497</v>
      </c>
      <c r="E815" s="2576">
        <v>15</v>
      </c>
      <c r="F815" s="2880"/>
      <c r="G815" s="2576">
        <v>47000</v>
      </c>
      <c r="H815" s="2880">
        <f t="shared" si="251"/>
        <v>38202.400000000001</v>
      </c>
      <c r="I815" s="2559">
        <f t="shared" si="252"/>
        <v>705000</v>
      </c>
      <c r="J815" s="2560"/>
      <c r="K815" s="279"/>
      <c r="L815" s="144" t="s">
        <v>577</v>
      </c>
      <c r="M815" s="145"/>
      <c r="N815" s="145"/>
      <c r="O815" s="2890"/>
      <c r="P815" s="2890"/>
      <c r="Q815" s="2890"/>
      <c r="R815" s="2890"/>
      <c r="S815" s="2890"/>
      <c r="T815" s="2891"/>
      <c r="U815" s="45"/>
      <c r="V815" s="2839" t="s">
        <v>1003</v>
      </c>
      <c r="W815" s="2840"/>
      <c r="X815" s="120"/>
      <c r="Y815" s="170"/>
      <c r="Z815" s="2576"/>
      <c r="AA815" s="2880"/>
      <c r="AB815" s="2576"/>
      <c r="AC815" s="2880"/>
      <c r="AD815" s="2559">
        <f t="shared" si="253"/>
        <v>0</v>
      </c>
      <c r="AE815" s="2560"/>
      <c r="AF815" s="45"/>
      <c r="AG815" s="144" t="s">
        <v>577</v>
      </c>
      <c r="AH815" s="145"/>
      <c r="AI815" s="145"/>
      <c r="AJ815" s="2890"/>
      <c r="AK815" s="2890"/>
      <c r="AL815" s="2890"/>
      <c r="AM815" s="2890"/>
      <c r="AN815" s="2890"/>
      <c r="AO815" s="2891"/>
    </row>
    <row r="816" spans="1:41" ht="15.95" customHeight="1" x14ac:dyDescent="0.3">
      <c r="A816" s="2839" t="s">
        <v>1004</v>
      </c>
      <c r="B816" s="2840"/>
      <c r="C816" s="120"/>
      <c r="D816" s="170"/>
      <c r="E816" s="2576"/>
      <c r="F816" s="2880"/>
      <c r="G816" s="2576"/>
      <c r="H816" s="2880"/>
      <c r="I816" s="2559">
        <f t="shared" si="252"/>
        <v>0</v>
      </c>
      <c r="J816" s="2560"/>
      <c r="K816" s="279"/>
      <c r="L816" s="148" t="s">
        <v>1005</v>
      </c>
      <c r="M816" s="296">
        <v>0.05</v>
      </c>
      <c r="N816" s="45"/>
      <c r="O816" s="2575"/>
      <c r="P816" s="2575"/>
      <c r="Q816" s="2575"/>
      <c r="R816" s="2575"/>
      <c r="S816" s="2575">
        <f>(S813+I838)*5%</f>
        <v>2261510.3901200001</v>
      </c>
      <c r="T816" s="2560"/>
      <c r="U816" s="45"/>
      <c r="V816" s="2839" t="s">
        <v>1004</v>
      </c>
      <c r="W816" s="2840"/>
      <c r="X816" s="120"/>
      <c r="Y816" s="170"/>
      <c r="Z816" s="2576"/>
      <c r="AA816" s="2880"/>
      <c r="AB816" s="2576"/>
      <c r="AC816" s="2880"/>
      <c r="AD816" s="2559">
        <f t="shared" si="253"/>
        <v>0</v>
      </c>
      <c r="AE816" s="2560"/>
      <c r="AF816" s="45"/>
      <c r="AG816" s="148" t="s">
        <v>1005</v>
      </c>
      <c r="AH816" s="296">
        <v>0.05</v>
      </c>
      <c r="AI816" s="45"/>
      <c r="AJ816" s="2575"/>
      <c r="AK816" s="2575"/>
      <c r="AL816" s="2575"/>
      <c r="AM816" s="2575"/>
      <c r="AN816" s="2575">
        <f>(AN813+AD838)*5%</f>
        <v>847834.8113462223</v>
      </c>
      <c r="AO816" s="2560"/>
    </row>
    <row r="817" spans="1:41" ht="15.95" customHeight="1" x14ac:dyDescent="0.3">
      <c r="A817" s="2839" t="s">
        <v>1006</v>
      </c>
      <c r="B817" s="2840"/>
      <c r="C817" s="120"/>
      <c r="D817" s="170"/>
      <c r="E817" s="2576"/>
      <c r="F817" s="2880"/>
      <c r="G817" s="2576"/>
      <c r="H817" s="2880"/>
      <c r="I817" s="2559">
        <f t="shared" si="252"/>
        <v>0</v>
      </c>
      <c r="J817" s="2560"/>
      <c r="K817" s="279"/>
      <c r="L817" s="151" t="s">
        <v>527</v>
      </c>
      <c r="M817" s="45"/>
      <c r="N817" s="45"/>
      <c r="O817" s="2575"/>
      <c r="P817" s="2575"/>
      <c r="Q817" s="2575"/>
      <c r="R817" s="2575"/>
      <c r="S817" s="2575">
        <f>300000*1.0928</f>
        <v>327840</v>
      </c>
      <c r="T817" s="2560"/>
      <c r="U817" s="45"/>
      <c r="V817" s="2839" t="s">
        <v>1006</v>
      </c>
      <c r="W817" s="2840"/>
      <c r="X817" s="120"/>
      <c r="Y817" s="170"/>
      <c r="Z817" s="2576"/>
      <c r="AA817" s="2880"/>
      <c r="AB817" s="2576"/>
      <c r="AC817" s="2880"/>
      <c r="AD817" s="2559">
        <f t="shared" si="253"/>
        <v>0</v>
      </c>
      <c r="AE817" s="2560"/>
      <c r="AF817" s="45"/>
      <c r="AG817" s="151" t="s">
        <v>527</v>
      </c>
      <c r="AH817" s="45"/>
      <c r="AI817" s="45"/>
      <c r="AJ817" s="2575"/>
      <c r="AK817" s="2575"/>
      <c r="AL817" s="2575"/>
      <c r="AM817" s="2575"/>
      <c r="AN817" s="2575">
        <f>300000*1.0928</f>
        <v>327840</v>
      </c>
      <c r="AO817" s="2560"/>
    </row>
    <row r="818" spans="1:41" ht="15.95" customHeight="1" x14ac:dyDescent="0.3">
      <c r="A818" s="2839" t="s">
        <v>1007</v>
      </c>
      <c r="B818" s="2840"/>
      <c r="C818" s="120"/>
      <c r="D818" s="170"/>
      <c r="E818" s="2576"/>
      <c r="F818" s="2880"/>
      <c r="G818" s="2576"/>
      <c r="H818" s="2880"/>
      <c r="I818" s="2559">
        <f t="shared" si="252"/>
        <v>0</v>
      </c>
      <c r="J818" s="2560"/>
      <c r="K818" s="279"/>
      <c r="L818" s="152" t="s">
        <v>529</v>
      </c>
      <c r="M818" s="45"/>
      <c r="N818" s="45"/>
      <c r="O818" s="2575"/>
      <c r="P818" s="2575"/>
      <c r="Q818" s="2575"/>
      <c r="R818" s="2575"/>
      <c r="S818" s="2575">
        <f>600000*1.0928</f>
        <v>655680</v>
      </c>
      <c r="T818" s="2560"/>
      <c r="U818" s="45"/>
      <c r="V818" s="2839" t="s">
        <v>1007</v>
      </c>
      <c r="W818" s="2840"/>
      <c r="X818" s="120"/>
      <c r="Y818" s="170"/>
      <c r="Z818" s="2576"/>
      <c r="AA818" s="2880"/>
      <c r="AB818" s="2576"/>
      <c r="AC818" s="2880"/>
      <c r="AD818" s="2559">
        <f t="shared" si="253"/>
        <v>0</v>
      </c>
      <c r="AE818" s="2560"/>
      <c r="AF818" s="45"/>
      <c r="AG818" s="152" t="s">
        <v>529</v>
      </c>
      <c r="AH818" s="45"/>
      <c r="AI818" s="45"/>
      <c r="AJ818" s="2575"/>
      <c r="AK818" s="2575"/>
      <c r="AL818" s="2575"/>
      <c r="AM818" s="2575"/>
      <c r="AN818" s="2575">
        <f>600000*1.0928</f>
        <v>655680</v>
      </c>
      <c r="AO818" s="2560"/>
    </row>
    <row r="819" spans="1:41" ht="15.95" customHeight="1" x14ac:dyDescent="0.3">
      <c r="A819" s="2839" t="s">
        <v>1008</v>
      </c>
      <c r="B819" s="2840"/>
      <c r="C819" s="120" t="s">
        <v>496</v>
      </c>
      <c r="D819" s="170" t="s">
        <v>497</v>
      </c>
      <c r="E819" s="2576">
        <v>20</v>
      </c>
      <c r="F819" s="2880"/>
      <c r="G819" s="2576">
        <v>47000</v>
      </c>
      <c r="H819" s="2880">
        <f t="shared" ref="H819:H820" si="254">(36040*6%)+36040</f>
        <v>38202.400000000001</v>
      </c>
      <c r="I819" s="2559">
        <f t="shared" si="252"/>
        <v>940000</v>
      </c>
      <c r="J819" s="2560"/>
      <c r="K819" s="279"/>
      <c r="L819" s="152" t="s">
        <v>531</v>
      </c>
      <c r="M819" s="45"/>
      <c r="N819" s="45"/>
      <c r="O819" s="2575"/>
      <c r="P819" s="2575"/>
      <c r="Q819" s="2575"/>
      <c r="R819" s="2575"/>
      <c r="S819" s="2575">
        <f>(I838+S813)*5%</f>
        <v>2261510.3901200001</v>
      </c>
      <c r="T819" s="2560"/>
      <c r="U819" s="45"/>
      <c r="V819" s="2839" t="s">
        <v>1008</v>
      </c>
      <c r="W819" s="2840"/>
      <c r="X819" s="120"/>
      <c r="Y819" s="170"/>
      <c r="Z819" s="2576"/>
      <c r="AA819" s="2880"/>
      <c r="AB819" s="2576"/>
      <c r="AC819" s="2880"/>
      <c r="AD819" s="2559">
        <f t="shared" si="253"/>
        <v>0</v>
      </c>
      <c r="AE819" s="2560"/>
      <c r="AF819" s="45"/>
      <c r="AG819" s="152" t="s">
        <v>580</v>
      </c>
      <c r="AH819" s="45"/>
      <c r="AI819" s="45"/>
      <c r="AJ819" s="2575"/>
      <c r="AK819" s="2575"/>
      <c r="AL819" s="2575"/>
      <c r="AM819" s="2575"/>
      <c r="AN819" s="2575">
        <f>(AD838+AN813)*5%</f>
        <v>847834.8113462223</v>
      </c>
      <c r="AO819" s="2560"/>
    </row>
    <row r="820" spans="1:41" ht="15.95" customHeight="1" x14ac:dyDescent="0.3">
      <c r="A820" s="2839" t="s">
        <v>1009</v>
      </c>
      <c r="B820" s="2840"/>
      <c r="C820" s="120" t="s">
        <v>496</v>
      </c>
      <c r="D820" s="170" t="s">
        <v>497</v>
      </c>
      <c r="E820" s="2576">
        <v>15</v>
      </c>
      <c r="F820" s="2880"/>
      <c r="G820" s="2576">
        <v>47000</v>
      </c>
      <c r="H820" s="2880">
        <f t="shared" si="254"/>
        <v>38202.400000000001</v>
      </c>
      <c r="I820" s="2559">
        <f t="shared" si="252"/>
        <v>705000</v>
      </c>
      <c r="J820" s="2560"/>
      <c r="K820" s="279"/>
      <c r="L820" s="166" t="s">
        <v>504</v>
      </c>
      <c r="M820" s="155"/>
      <c r="N820" s="155"/>
      <c r="O820" s="2557"/>
      <c r="P820" s="2557"/>
      <c r="Q820" s="2557"/>
      <c r="R820" s="2557"/>
      <c r="S820" s="2557">
        <f>3000001.0928</f>
        <v>3000001.0928000002</v>
      </c>
      <c r="T820" s="2558"/>
      <c r="U820" s="45"/>
      <c r="V820" s="2839" t="s">
        <v>1009</v>
      </c>
      <c r="W820" s="2840"/>
      <c r="X820" s="120"/>
      <c r="Y820" s="170"/>
      <c r="Z820" s="2576"/>
      <c r="AA820" s="2880"/>
      <c r="AB820" s="2576"/>
      <c r="AC820" s="2880"/>
      <c r="AD820" s="2559">
        <f t="shared" si="253"/>
        <v>0</v>
      </c>
      <c r="AE820" s="2560"/>
      <c r="AF820" s="45"/>
      <c r="AG820" s="166" t="s">
        <v>504</v>
      </c>
      <c r="AH820" s="155"/>
      <c r="AI820" s="155"/>
      <c r="AJ820" s="2557"/>
      <c r="AK820" s="2557"/>
      <c r="AL820" s="2557"/>
      <c r="AM820" s="2557"/>
      <c r="AN820" s="2557">
        <f>150000*1.0928</f>
        <v>163920</v>
      </c>
      <c r="AO820" s="2558"/>
    </row>
    <row r="821" spans="1:41" ht="15.95" customHeight="1" x14ac:dyDescent="0.3">
      <c r="A821" s="2839" t="s">
        <v>1010</v>
      </c>
      <c r="B821" s="2840"/>
      <c r="C821" s="170"/>
      <c r="D821" s="170"/>
      <c r="E821" s="2576"/>
      <c r="F821" s="2880"/>
      <c r="G821" s="2559"/>
      <c r="H821" s="2918"/>
      <c r="I821" s="2559">
        <f t="shared" si="252"/>
        <v>0</v>
      </c>
      <c r="J821" s="2560"/>
      <c r="K821" s="279"/>
      <c r="L821" s="156" t="s">
        <v>533</v>
      </c>
      <c r="M821" s="201"/>
      <c r="N821" s="201"/>
      <c r="O821" s="2885"/>
      <c r="P821" s="2885"/>
      <c r="Q821" s="2886"/>
      <c r="R821" s="2886"/>
      <c r="S821" s="2887">
        <f>SUM(S816:T820)</f>
        <v>8506541.87304</v>
      </c>
      <c r="T821" s="2887"/>
      <c r="U821" s="45"/>
      <c r="V821" s="2839" t="s">
        <v>1078</v>
      </c>
      <c r="W821" s="2840"/>
      <c r="X821" s="120" t="s">
        <v>496</v>
      </c>
      <c r="Y821" s="170" t="s">
        <v>497</v>
      </c>
      <c r="Z821" s="2576">
        <v>15</v>
      </c>
      <c r="AA821" s="2880"/>
      <c r="AB821" s="2576">
        <v>47000</v>
      </c>
      <c r="AC821" s="2880">
        <f t="shared" ref="AC821:AC824" si="255">(36040*6%)+36040</f>
        <v>38202.400000000001</v>
      </c>
      <c r="AD821" s="2559">
        <f t="shared" si="253"/>
        <v>705000</v>
      </c>
      <c r="AE821" s="2560"/>
      <c r="AF821" s="45"/>
      <c r="AG821" s="156" t="s">
        <v>533</v>
      </c>
      <c r="AH821" s="201"/>
      <c r="AI821" s="201"/>
      <c r="AJ821" s="2885"/>
      <c r="AK821" s="2885"/>
      <c r="AL821" s="2886"/>
      <c r="AM821" s="2886"/>
      <c r="AN821" s="2887">
        <f>SUM(AN816:AO820)</f>
        <v>2843109.6226924444</v>
      </c>
      <c r="AO821" s="2887"/>
    </row>
    <row r="822" spans="1:41" ht="15.95" customHeight="1" x14ac:dyDescent="0.3">
      <c r="A822" s="2839" t="s">
        <v>1011</v>
      </c>
      <c r="B822" s="2840"/>
      <c r="C822" s="120"/>
      <c r="D822" s="170"/>
      <c r="E822" s="2576"/>
      <c r="F822" s="2880"/>
      <c r="G822" s="2576"/>
      <c r="H822" s="2880"/>
      <c r="I822" s="2559">
        <f t="shared" si="252"/>
        <v>0</v>
      </c>
      <c r="J822" s="2560"/>
      <c r="K822" s="279"/>
      <c r="L822" s="159"/>
      <c r="M822" s="45"/>
      <c r="N822" s="45"/>
      <c r="O822" s="2575"/>
      <c r="P822" s="2575"/>
      <c r="Q822" s="2575"/>
      <c r="R822" s="2575"/>
      <c r="S822" s="2575"/>
      <c r="T822" s="2560"/>
      <c r="U822" s="45"/>
      <c r="V822" s="2839" t="s">
        <v>1011</v>
      </c>
      <c r="W822" s="2840"/>
      <c r="X822" s="120" t="s">
        <v>496</v>
      </c>
      <c r="Y822" s="170" t="s">
        <v>497</v>
      </c>
      <c r="Z822" s="2576">
        <v>12</v>
      </c>
      <c r="AA822" s="2880"/>
      <c r="AB822" s="2576">
        <v>47000</v>
      </c>
      <c r="AC822" s="2880">
        <f t="shared" si="255"/>
        <v>38202.400000000001</v>
      </c>
      <c r="AD822" s="2559">
        <f t="shared" si="253"/>
        <v>564000</v>
      </c>
      <c r="AE822" s="2560"/>
      <c r="AF822" s="45"/>
      <c r="AG822" s="159"/>
      <c r="AH822" s="45"/>
      <c r="AI822" s="45"/>
      <c r="AJ822" s="2575"/>
      <c r="AK822" s="2575"/>
      <c r="AL822" s="2575"/>
      <c r="AM822" s="2575"/>
      <c r="AN822" s="2575"/>
      <c r="AO822" s="2560"/>
    </row>
    <row r="823" spans="1:41" ht="15.95" customHeight="1" thickBot="1" x14ac:dyDescent="0.35">
      <c r="A823" s="2839" t="s">
        <v>1188</v>
      </c>
      <c r="B823" s="2840"/>
      <c r="C823" s="120" t="s">
        <v>496</v>
      </c>
      <c r="D823" s="170" t="s">
        <v>497</v>
      </c>
      <c r="E823" s="2576">
        <v>10</v>
      </c>
      <c r="F823" s="2880"/>
      <c r="G823" s="2576">
        <v>47000</v>
      </c>
      <c r="H823" s="2880">
        <f t="shared" ref="H823" si="256">(36040*6%)+36040</f>
        <v>38202.400000000001</v>
      </c>
      <c r="I823" s="2559">
        <f t="shared" si="252"/>
        <v>470000</v>
      </c>
      <c r="J823" s="2560"/>
      <c r="K823" s="279"/>
      <c r="L823" s="160" t="s">
        <v>583</v>
      </c>
      <c r="M823" s="205"/>
      <c r="N823" s="205"/>
      <c r="O823" s="205"/>
      <c r="P823" s="205"/>
      <c r="Q823" s="161"/>
      <c r="R823" s="161"/>
      <c r="S823" s="2580">
        <f>SUM(S821+S813+I838)</f>
        <v>53736749.675439999</v>
      </c>
      <c r="T823" s="2581"/>
      <c r="U823" s="45"/>
      <c r="V823" s="2839" t="s">
        <v>1012</v>
      </c>
      <c r="W823" s="2840"/>
      <c r="X823" s="120" t="s">
        <v>496</v>
      </c>
      <c r="Y823" s="170" t="s">
        <v>497</v>
      </c>
      <c r="Z823" s="2576">
        <v>15</v>
      </c>
      <c r="AA823" s="2880"/>
      <c r="AB823" s="2576">
        <v>47000</v>
      </c>
      <c r="AC823" s="2880">
        <f t="shared" si="255"/>
        <v>38202.400000000001</v>
      </c>
      <c r="AD823" s="2559">
        <f t="shared" si="253"/>
        <v>705000</v>
      </c>
      <c r="AE823" s="2560"/>
      <c r="AF823" s="45"/>
      <c r="AG823" s="160" t="s">
        <v>583</v>
      </c>
      <c r="AH823" s="205"/>
      <c r="AI823" s="205"/>
      <c r="AJ823" s="205"/>
      <c r="AK823" s="205"/>
      <c r="AL823" s="161"/>
      <c r="AM823" s="161"/>
      <c r="AN823" s="2580">
        <f>SUM(AN821+AN813+AD838)</f>
        <v>19799805.849616889</v>
      </c>
      <c r="AO823" s="2581"/>
    </row>
    <row r="824" spans="1:41" ht="15.95" customHeight="1" x14ac:dyDescent="0.3">
      <c r="A824" s="2839" t="s">
        <v>1018</v>
      </c>
      <c r="B824" s="2840"/>
      <c r="C824" s="120"/>
      <c r="D824" s="120"/>
      <c r="E824" s="2559"/>
      <c r="F824" s="2560"/>
      <c r="G824" s="2559"/>
      <c r="H824" s="2560"/>
      <c r="I824" s="2559">
        <f t="shared" si="252"/>
        <v>0</v>
      </c>
      <c r="J824" s="2560"/>
      <c r="K824" s="284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2839" t="s">
        <v>1018</v>
      </c>
      <c r="W824" s="2840"/>
      <c r="X824" s="120" t="s">
        <v>496</v>
      </c>
      <c r="Y824" s="170" t="s">
        <v>497</v>
      </c>
      <c r="Z824" s="2559">
        <v>10</v>
      </c>
      <c r="AA824" s="2560"/>
      <c r="AB824" s="2576">
        <v>47000</v>
      </c>
      <c r="AC824" s="2880">
        <f t="shared" si="255"/>
        <v>38202.400000000001</v>
      </c>
      <c r="AD824" s="2559">
        <f t="shared" si="253"/>
        <v>470000</v>
      </c>
      <c r="AE824" s="2560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</row>
    <row r="825" spans="1:41" ht="15.95" customHeight="1" x14ac:dyDescent="0.3">
      <c r="A825" s="2839" t="s">
        <v>1019</v>
      </c>
      <c r="B825" s="2840"/>
      <c r="C825" s="120"/>
      <c r="D825" s="120"/>
      <c r="E825" s="2576"/>
      <c r="F825" s="2880"/>
      <c r="G825" s="2559"/>
      <c r="H825" s="2918"/>
      <c r="I825" s="2559">
        <f t="shared" si="252"/>
        <v>0</v>
      </c>
      <c r="J825" s="2560"/>
      <c r="K825" s="279"/>
      <c r="L825" s="206" t="s">
        <v>1196</v>
      </c>
      <c r="M825" s="2834"/>
      <c r="N825" s="2834"/>
      <c r="O825" s="2834"/>
      <c r="P825" s="2834"/>
      <c r="Q825" s="272"/>
      <c r="R825" s="45"/>
      <c r="S825" s="45"/>
      <c r="T825" s="45"/>
      <c r="U825" s="45"/>
      <c r="V825" s="2839" t="s">
        <v>1019</v>
      </c>
      <c r="W825" s="2840"/>
      <c r="X825" s="120"/>
      <c r="Y825" s="170"/>
      <c r="Z825" s="2576"/>
      <c r="AA825" s="2880"/>
      <c r="AB825" s="2576"/>
      <c r="AC825" s="2880"/>
      <c r="AD825" s="2559">
        <f t="shared" si="253"/>
        <v>0</v>
      </c>
      <c r="AE825" s="2560"/>
      <c r="AF825" s="45"/>
      <c r="AG825" s="7" t="s">
        <v>1528</v>
      </c>
      <c r="AH825" s="45"/>
      <c r="AI825" s="45"/>
      <c r="AJ825" s="45"/>
      <c r="AK825" s="45"/>
      <c r="AL825" s="45"/>
      <c r="AM825" s="45"/>
      <c r="AN825" s="45"/>
      <c r="AO825" s="45"/>
    </row>
    <row r="826" spans="1:41" ht="15.95" customHeight="1" x14ac:dyDescent="0.3">
      <c r="A826" s="2839" t="s">
        <v>1020</v>
      </c>
      <c r="B826" s="2840"/>
      <c r="C826" s="120"/>
      <c r="D826" s="170"/>
      <c r="E826" s="2576"/>
      <c r="F826" s="2880"/>
      <c r="G826" s="2576"/>
      <c r="H826" s="2880"/>
      <c r="I826" s="2559">
        <f t="shared" si="252"/>
        <v>0</v>
      </c>
      <c r="J826" s="2560"/>
      <c r="K826" s="279"/>
      <c r="L826" s="7" t="s">
        <v>1528</v>
      </c>
      <c r="M826" s="45"/>
      <c r="N826" s="45"/>
      <c r="O826" s="45"/>
      <c r="P826" s="45"/>
      <c r="Q826" s="45"/>
      <c r="R826" s="47"/>
      <c r="S826" s="44"/>
      <c r="T826" s="45"/>
      <c r="U826" s="45"/>
      <c r="V826" s="2839" t="s">
        <v>1020</v>
      </c>
      <c r="W826" s="2840"/>
      <c r="X826" s="120"/>
      <c r="Y826" s="170"/>
      <c r="Z826" s="2576"/>
      <c r="AA826" s="2880"/>
      <c r="AB826" s="2576"/>
      <c r="AC826" s="2880"/>
      <c r="AD826" s="2559">
        <f t="shared" si="253"/>
        <v>0</v>
      </c>
      <c r="AE826" s="2560"/>
      <c r="AF826" s="45"/>
      <c r="AG826" s="597" t="s">
        <v>1584</v>
      </c>
      <c r="AH826" s="266"/>
      <c r="AI826" s="266"/>
      <c r="AJ826" s="266"/>
      <c r="AK826" s="266"/>
      <c r="AL826" s="1783"/>
      <c r="AM826" s="266"/>
      <c r="AN826" s="266"/>
      <c r="AO826" s="45"/>
    </row>
    <row r="827" spans="1:41" ht="15.95" customHeight="1" x14ac:dyDescent="0.3">
      <c r="A827" s="2839" t="s">
        <v>1022</v>
      </c>
      <c r="B827" s="2840"/>
      <c r="C827" s="120" t="s">
        <v>496</v>
      </c>
      <c r="D827" s="170" t="s">
        <v>497</v>
      </c>
      <c r="E827" s="2559">
        <v>10</v>
      </c>
      <c r="F827" s="2560"/>
      <c r="G827" s="2576">
        <v>47000</v>
      </c>
      <c r="H827" s="2880">
        <f t="shared" ref="H827:H830" si="257">(36040*6%)+36040</f>
        <v>38202.400000000001</v>
      </c>
      <c r="I827" s="2559">
        <f t="shared" si="252"/>
        <v>470000</v>
      </c>
      <c r="J827" s="2560"/>
      <c r="K827" s="279"/>
      <c r="L827" s="597" t="s">
        <v>1584</v>
      </c>
      <c r="M827" s="266"/>
      <c r="N827" s="266"/>
      <c r="O827" s="266"/>
      <c r="P827" s="266"/>
      <c r="Q827" s="1783"/>
      <c r="R827" s="266"/>
      <c r="S827" s="266"/>
      <c r="T827" s="45"/>
      <c r="U827" s="45"/>
      <c r="V827" s="2839" t="s">
        <v>1021</v>
      </c>
      <c r="W827" s="2840"/>
      <c r="X827" s="120"/>
      <c r="Y827" s="170"/>
      <c r="Z827" s="2576"/>
      <c r="AA827" s="2880"/>
      <c r="AB827" s="2576"/>
      <c r="AC827" s="2880"/>
      <c r="AD827" s="2559">
        <f t="shared" si="253"/>
        <v>0</v>
      </c>
      <c r="AE827" s="2560"/>
      <c r="AF827" s="45"/>
      <c r="AG827" s="45"/>
      <c r="AH827" s="2834"/>
      <c r="AI827" s="2834"/>
      <c r="AJ827" s="2834"/>
      <c r="AK827" s="2834"/>
      <c r="AL827" s="300"/>
      <c r="AM827" s="44"/>
      <c r="AN827" s="45"/>
      <c r="AO827" s="45"/>
    </row>
    <row r="828" spans="1:41" ht="15.95" customHeight="1" x14ac:dyDescent="0.3">
      <c r="A828" s="2839" t="s">
        <v>881</v>
      </c>
      <c r="B828" s="2840"/>
      <c r="C828" s="120" t="s">
        <v>496</v>
      </c>
      <c r="D828" s="170" t="s">
        <v>497</v>
      </c>
      <c r="E828" s="2559">
        <v>5</v>
      </c>
      <c r="F828" s="2560"/>
      <c r="G828" s="2576">
        <v>47000</v>
      </c>
      <c r="H828" s="2880">
        <f t="shared" si="257"/>
        <v>38202.400000000001</v>
      </c>
      <c r="I828" s="2559">
        <f t="shared" si="252"/>
        <v>235000</v>
      </c>
      <c r="J828" s="2560"/>
      <c r="K828" s="279"/>
      <c r="L828" s="45"/>
      <c r="M828" s="2834"/>
      <c r="N828" s="2834"/>
      <c r="O828" s="2834"/>
      <c r="P828" s="2834"/>
      <c r="Q828" s="107"/>
      <c r="R828" s="44"/>
      <c r="S828" s="45"/>
      <c r="T828" s="45"/>
      <c r="U828" s="45"/>
      <c r="V828" s="2839" t="s">
        <v>1022</v>
      </c>
      <c r="W828" s="2840"/>
      <c r="X828" s="120" t="s">
        <v>496</v>
      </c>
      <c r="Y828" s="170" t="s">
        <v>497</v>
      </c>
      <c r="Z828" s="2559">
        <v>10</v>
      </c>
      <c r="AA828" s="2560"/>
      <c r="AB828" s="2576">
        <v>47000</v>
      </c>
      <c r="AC828" s="2880">
        <f t="shared" ref="AC828:AC830" si="258">(36040*6%)+36040</f>
        <v>38202.400000000001</v>
      </c>
      <c r="AD828" s="2559">
        <f t="shared" si="253"/>
        <v>470000</v>
      </c>
      <c r="AE828" s="2560"/>
      <c r="AF828" s="45"/>
      <c r="AG828" s="45"/>
      <c r="AH828" s="206"/>
      <c r="AI828" s="206"/>
      <c r="AJ828" s="206"/>
      <c r="AK828" s="206"/>
      <c r="AL828" s="107"/>
      <c r="AM828" s="44"/>
      <c r="AN828" s="45"/>
      <c r="AO828" s="45"/>
    </row>
    <row r="829" spans="1:41" ht="15.95" customHeight="1" x14ac:dyDescent="0.3">
      <c r="A829" s="2839" t="s">
        <v>882</v>
      </c>
      <c r="B829" s="2840"/>
      <c r="C829" s="120" t="s">
        <v>496</v>
      </c>
      <c r="D829" s="170" t="s">
        <v>497</v>
      </c>
      <c r="E829" s="2576">
        <v>10</v>
      </c>
      <c r="F829" s="2577"/>
      <c r="G829" s="2576">
        <v>47000</v>
      </c>
      <c r="H829" s="2880">
        <f t="shared" si="257"/>
        <v>38202.400000000001</v>
      </c>
      <c r="I829" s="2559">
        <f t="shared" si="252"/>
        <v>470000</v>
      </c>
      <c r="J829" s="2560"/>
      <c r="K829" s="279"/>
      <c r="L829" s="45"/>
      <c r="M829" s="2834"/>
      <c r="N829" s="2834"/>
      <c r="O829" s="2834"/>
      <c r="P829" s="2834"/>
      <c r="Q829" s="107"/>
      <c r="R829" s="45"/>
      <c r="S829" s="45"/>
      <c r="T829" s="45"/>
      <c r="U829" s="45"/>
      <c r="V829" s="2839" t="s">
        <v>881</v>
      </c>
      <c r="W829" s="2840"/>
      <c r="X829" s="120" t="s">
        <v>496</v>
      </c>
      <c r="Y829" s="170" t="s">
        <v>497</v>
      </c>
      <c r="Z829" s="2559">
        <v>15</v>
      </c>
      <c r="AA829" s="2560"/>
      <c r="AB829" s="2576">
        <v>47000</v>
      </c>
      <c r="AC829" s="2880">
        <f t="shared" si="258"/>
        <v>38202.400000000001</v>
      </c>
      <c r="AD829" s="2559">
        <f t="shared" si="253"/>
        <v>705000</v>
      </c>
      <c r="AE829" s="2560"/>
      <c r="AF829" s="45"/>
      <c r="AG829" s="45"/>
      <c r="AH829" s="206"/>
      <c r="AI829" s="206"/>
      <c r="AJ829" s="206"/>
      <c r="AK829" s="206"/>
      <c r="AL829" s="107"/>
      <c r="AM829" s="45"/>
      <c r="AN829" s="45"/>
      <c r="AO829" s="45"/>
    </row>
    <row r="830" spans="1:41" ht="15.95" customHeight="1" x14ac:dyDescent="0.3">
      <c r="A830" s="2839" t="s">
        <v>1197</v>
      </c>
      <c r="B830" s="2840"/>
      <c r="C830" s="120" t="s">
        <v>496</v>
      </c>
      <c r="D830" s="170" t="s">
        <v>497</v>
      </c>
      <c r="E830" s="2576">
        <v>35</v>
      </c>
      <c r="F830" s="3002"/>
      <c r="G830" s="2576">
        <v>47000</v>
      </c>
      <c r="H830" s="2880">
        <f t="shared" si="257"/>
        <v>38202.400000000001</v>
      </c>
      <c r="I830" s="2559">
        <f t="shared" si="252"/>
        <v>1645000</v>
      </c>
      <c r="J830" s="2560"/>
      <c r="K830" s="279"/>
      <c r="L830" s="45"/>
      <c r="M830" s="2834"/>
      <c r="N830" s="2834"/>
      <c r="O830" s="2834"/>
      <c r="P830" s="2834"/>
      <c r="Q830" s="273"/>
      <c r="R830" s="44"/>
      <c r="S830" s="45"/>
      <c r="T830" s="45"/>
      <c r="U830" s="45"/>
      <c r="V830" s="2839" t="s">
        <v>882</v>
      </c>
      <c r="W830" s="2840"/>
      <c r="X830" s="120" t="s">
        <v>496</v>
      </c>
      <c r="Y830" s="170" t="s">
        <v>497</v>
      </c>
      <c r="Z830" s="2576">
        <v>10</v>
      </c>
      <c r="AA830" s="2880"/>
      <c r="AB830" s="2576">
        <v>47000</v>
      </c>
      <c r="AC830" s="2880">
        <f t="shared" si="258"/>
        <v>38202.400000000001</v>
      </c>
      <c r="AD830" s="2559">
        <f t="shared" si="253"/>
        <v>470000</v>
      </c>
      <c r="AE830" s="2560"/>
      <c r="AF830" s="45"/>
      <c r="AG830" s="45"/>
      <c r="AH830" s="2834"/>
      <c r="AI830" s="2834"/>
      <c r="AJ830" s="2834"/>
      <c r="AK830" s="2834"/>
      <c r="AL830" s="107"/>
      <c r="AM830" s="44"/>
      <c r="AN830" s="45"/>
      <c r="AO830" s="45"/>
    </row>
    <row r="831" spans="1:41" ht="15.95" customHeight="1" x14ac:dyDescent="0.3">
      <c r="A831" s="2911" t="s">
        <v>1023</v>
      </c>
      <c r="B831" s="2912"/>
      <c r="C831" s="120"/>
      <c r="D831" s="170"/>
      <c r="E831" s="2576"/>
      <c r="F831" s="2880"/>
      <c r="G831" s="2576"/>
      <c r="H831" s="2880"/>
      <c r="I831" s="2565">
        <f>SUM(I832:J837)</f>
        <v>491760</v>
      </c>
      <c r="J831" s="2566"/>
      <c r="K831" s="279"/>
      <c r="L831" s="45"/>
      <c r="M831" s="45"/>
      <c r="N831" s="45"/>
      <c r="O831" s="45"/>
      <c r="P831" s="45"/>
      <c r="Q831" s="45"/>
      <c r="R831" s="44"/>
      <c r="S831" s="45"/>
      <c r="T831" s="45"/>
      <c r="U831" s="45"/>
      <c r="V831" s="2911" t="s">
        <v>1023</v>
      </c>
      <c r="W831" s="2912"/>
      <c r="X831" s="120"/>
      <c r="Y831" s="170"/>
      <c r="Z831" s="2576"/>
      <c r="AA831" s="2880"/>
      <c r="AB831" s="2576"/>
      <c r="AC831" s="2880"/>
      <c r="AD831" s="2565">
        <f>SUM(AD832:AE837)</f>
        <v>4644010.7557244441</v>
      </c>
      <c r="AE831" s="2566"/>
      <c r="AF831" s="45"/>
      <c r="AG831" s="45"/>
      <c r="AH831" s="2834"/>
      <c r="AI831" s="2834"/>
      <c r="AJ831" s="2834"/>
      <c r="AK831" s="2834"/>
      <c r="AL831" s="107"/>
      <c r="AM831" s="44"/>
      <c r="AN831" s="45"/>
      <c r="AO831" s="45"/>
    </row>
    <row r="832" spans="1:41" ht="15.95" customHeight="1" x14ac:dyDescent="0.3">
      <c r="A832" s="2839" t="s">
        <v>884</v>
      </c>
      <c r="B832" s="2840"/>
      <c r="C832" s="120"/>
      <c r="D832" s="120"/>
      <c r="E832" s="2576"/>
      <c r="F832" s="2880"/>
      <c r="G832" s="2559"/>
      <c r="H832" s="2880"/>
      <c r="I832" s="2559">
        <f>E832*G832</f>
        <v>0</v>
      </c>
      <c r="J832" s="2560"/>
      <c r="K832" s="279"/>
      <c r="L832" s="45"/>
      <c r="M832" s="45"/>
      <c r="N832" s="45"/>
      <c r="O832" s="45"/>
      <c r="P832" s="45"/>
      <c r="Q832" s="45"/>
      <c r="R832" s="44"/>
      <c r="S832" s="45"/>
      <c r="T832" s="45"/>
      <c r="U832" s="45"/>
      <c r="V832" s="2839" t="s">
        <v>884</v>
      </c>
      <c r="W832" s="2840"/>
      <c r="X832" s="120" t="s">
        <v>496</v>
      </c>
      <c r="Y832" s="170" t="s">
        <v>497</v>
      </c>
      <c r="Z832" s="2576">
        <v>30</v>
      </c>
      <c r="AA832" s="2880"/>
      <c r="AB832" s="2576">
        <v>47000</v>
      </c>
      <c r="AC832" s="2880">
        <f t="shared" ref="AC832:AC834" si="259">(36040*6%)+36040</f>
        <v>38202.400000000001</v>
      </c>
      <c r="AD832" s="2559">
        <f t="shared" ref="AD832:AD837" si="260">Z832*AB832</f>
        <v>1410000</v>
      </c>
      <c r="AE832" s="2560"/>
      <c r="AF832" s="45"/>
      <c r="AG832" s="45"/>
      <c r="AH832" s="2834"/>
      <c r="AI832" s="2834"/>
      <c r="AJ832" s="2834"/>
      <c r="AK832" s="2834"/>
      <c r="AL832" s="273"/>
      <c r="AM832" s="44"/>
      <c r="AN832" s="45"/>
      <c r="AO832" s="45"/>
    </row>
    <row r="833" spans="1:41" ht="15.95" customHeight="1" x14ac:dyDescent="0.3">
      <c r="A833" s="2839" t="s">
        <v>1024</v>
      </c>
      <c r="B833" s="2840"/>
      <c r="C833" s="120"/>
      <c r="D833" s="120"/>
      <c r="E833" s="2576"/>
      <c r="F833" s="2880"/>
      <c r="G833" s="2559"/>
      <c r="H833" s="2880"/>
      <c r="I833" s="2559">
        <f>E833*G833</f>
        <v>0</v>
      </c>
      <c r="J833" s="2560"/>
      <c r="K833" s="279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196" t="s">
        <v>893</v>
      </c>
      <c r="W833" s="198"/>
      <c r="X833" s="120" t="s">
        <v>496</v>
      </c>
      <c r="Y833" s="170" t="s">
        <v>497</v>
      </c>
      <c r="Z833" s="2576">
        <v>15</v>
      </c>
      <c r="AA833" s="2577"/>
      <c r="AB833" s="2576">
        <v>47000</v>
      </c>
      <c r="AC833" s="2880">
        <f t="shared" si="259"/>
        <v>38202.400000000001</v>
      </c>
      <c r="AD833" s="2559">
        <f>Z833*AB833</f>
        <v>705000</v>
      </c>
      <c r="AE833" s="2560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</row>
    <row r="834" spans="1:41" ht="15.95" customHeight="1" x14ac:dyDescent="0.3">
      <c r="A834" s="2839" t="s">
        <v>893</v>
      </c>
      <c r="B834" s="2840"/>
      <c r="C834" s="120"/>
      <c r="D834" s="120"/>
      <c r="E834" s="2576"/>
      <c r="F834" s="2880"/>
      <c r="G834" s="2559"/>
      <c r="H834" s="2880"/>
      <c r="I834" s="2559">
        <f>E834*G834</f>
        <v>0</v>
      </c>
      <c r="J834" s="2560"/>
      <c r="K834" s="279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2839" t="s">
        <v>728</v>
      </c>
      <c r="W834" s="2840"/>
      <c r="X834" s="120" t="s">
        <v>496</v>
      </c>
      <c r="Y834" s="170" t="s">
        <v>497</v>
      </c>
      <c r="Z834" s="2576">
        <v>10</v>
      </c>
      <c r="AA834" s="2880"/>
      <c r="AB834" s="2576">
        <v>47000</v>
      </c>
      <c r="AC834" s="2880">
        <f t="shared" si="259"/>
        <v>38202.400000000001</v>
      </c>
      <c r="AD834" s="2559">
        <f>Z834*AB834</f>
        <v>470000</v>
      </c>
      <c r="AE834" s="2560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</row>
    <row r="835" spans="1:41" ht="15.95" customHeight="1" x14ac:dyDescent="0.3">
      <c r="A835" s="2839" t="s">
        <v>728</v>
      </c>
      <c r="B835" s="2840"/>
      <c r="C835" s="120"/>
      <c r="D835" s="170"/>
      <c r="E835" s="2576"/>
      <c r="F835" s="2880"/>
      <c r="G835" s="2559"/>
      <c r="H835" s="2918"/>
      <c r="I835" s="2559">
        <f>E835*G835</f>
        <v>0</v>
      </c>
      <c r="J835" s="2560"/>
      <c r="L835" s="45"/>
      <c r="M835" s="45"/>
      <c r="N835" s="45"/>
      <c r="O835" s="45"/>
      <c r="P835" s="45"/>
      <c r="Q835" s="45"/>
      <c r="U835" s="45"/>
      <c r="V835" s="2839" t="s">
        <v>765</v>
      </c>
      <c r="W835" s="2840"/>
      <c r="X835" s="120"/>
      <c r="Y835" s="170" t="s">
        <v>794</v>
      </c>
      <c r="Z835" s="2576"/>
      <c r="AA835" s="2880"/>
      <c r="AB835" s="2559"/>
      <c r="AC835" s="2918"/>
      <c r="AD835" s="2559">
        <f>200000*1.0928</f>
        <v>218560</v>
      </c>
      <c r="AE835" s="2560"/>
      <c r="AF835" s="45"/>
      <c r="AG835" s="45"/>
      <c r="AH835" s="45"/>
      <c r="AI835" s="45"/>
      <c r="AJ835" s="45"/>
      <c r="AK835" s="45"/>
      <c r="AL835" s="45"/>
    </row>
    <row r="836" spans="1:41" ht="15.95" customHeight="1" x14ac:dyDescent="0.3">
      <c r="A836" s="2839" t="s">
        <v>886</v>
      </c>
      <c r="B836" s="2840"/>
      <c r="C836" s="120"/>
      <c r="D836" s="170"/>
      <c r="E836" s="2576"/>
      <c r="F836" s="2880"/>
      <c r="G836" s="2576"/>
      <c r="H836" s="2880"/>
      <c r="I836" s="2559">
        <f>E836*G836</f>
        <v>0</v>
      </c>
      <c r="J836" s="2560"/>
      <c r="L836" s="45"/>
      <c r="M836" s="45"/>
      <c r="N836" s="45"/>
      <c r="O836" s="45"/>
      <c r="P836" s="45"/>
      <c r="Q836" s="45"/>
      <c r="U836" s="45"/>
      <c r="V836" s="2839" t="s">
        <v>1198</v>
      </c>
      <c r="W836" s="2840"/>
      <c r="X836" s="120" t="s">
        <v>496</v>
      </c>
      <c r="Y836" s="170" t="s">
        <v>497</v>
      </c>
      <c r="Z836" s="2576">
        <v>8</v>
      </c>
      <c r="AA836" s="2880"/>
      <c r="AB836" s="2576">
        <v>47000</v>
      </c>
      <c r="AC836" s="2880">
        <f t="shared" ref="AC836" si="261">(36040*6%)+36040</f>
        <v>38202.400000000001</v>
      </c>
      <c r="AD836" s="2559">
        <f t="shared" si="260"/>
        <v>376000</v>
      </c>
      <c r="AE836" s="2560"/>
      <c r="AF836" s="45"/>
      <c r="AG836" s="45"/>
      <c r="AH836" s="45"/>
      <c r="AI836" s="45"/>
      <c r="AJ836" s="45"/>
      <c r="AK836" s="45"/>
      <c r="AL836" s="45"/>
    </row>
    <row r="837" spans="1:41" ht="15.95" customHeight="1" x14ac:dyDescent="0.3">
      <c r="A837" s="2839" t="s">
        <v>765</v>
      </c>
      <c r="B837" s="2840"/>
      <c r="C837" s="120"/>
      <c r="D837" s="170" t="s">
        <v>794</v>
      </c>
      <c r="E837" s="2576"/>
      <c r="F837" s="2880"/>
      <c r="G837" s="2576"/>
      <c r="H837" s="2880"/>
      <c r="I837" s="2559">
        <f>450000*1.0928</f>
        <v>491760</v>
      </c>
      <c r="J837" s="2560"/>
      <c r="L837" s="45"/>
      <c r="M837" s="45"/>
      <c r="N837" s="45"/>
      <c r="O837" s="45"/>
      <c r="P837" s="45"/>
      <c r="Q837" s="45"/>
      <c r="U837" s="45"/>
      <c r="V837" s="2839" t="s">
        <v>1199</v>
      </c>
      <c r="W837" s="2840"/>
      <c r="X837" s="120" t="s">
        <v>556</v>
      </c>
      <c r="Y837" s="170" t="s">
        <v>556</v>
      </c>
      <c r="Z837" s="2833">
        <f>'TOTAL PERMANENTES'!K44</f>
        <v>12.470016930539032</v>
      </c>
      <c r="AA837" s="2880"/>
      <c r="AB837" s="2903">
        <f>107465*1.0928</f>
        <v>117437.75199999999</v>
      </c>
      <c r="AC837" s="3003"/>
      <c r="AD837" s="2559">
        <f t="shared" si="260"/>
        <v>1464450.7557244441</v>
      </c>
      <c r="AE837" s="2560"/>
      <c r="AF837" s="45"/>
    </row>
    <row r="838" spans="1:41" ht="15.95" customHeight="1" thickBot="1" x14ac:dyDescent="0.25">
      <c r="A838" s="208" t="s">
        <v>558</v>
      </c>
      <c r="B838" s="209"/>
      <c r="C838" s="210"/>
      <c r="D838" s="209"/>
      <c r="E838" s="2561">
        <f>SUM(E795:F830)</f>
        <v>194</v>
      </c>
      <c r="F838" s="2562"/>
      <c r="G838" s="2561"/>
      <c r="H838" s="2562"/>
      <c r="I838" s="2561">
        <f>SUM(I831+I812+I801+I797+I794)</f>
        <v>9609760</v>
      </c>
      <c r="J838" s="2562"/>
      <c r="L838" s="45"/>
      <c r="M838" s="45"/>
      <c r="N838" s="45"/>
      <c r="O838" s="45"/>
      <c r="P838" s="45"/>
      <c r="Q838" s="45"/>
      <c r="U838" s="45"/>
      <c r="V838" s="208" t="s">
        <v>558</v>
      </c>
      <c r="W838" s="209"/>
      <c r="X838" s="210"/>
      <c r="Y838" s="209"/>
      <c r="Z838" s="2561">
        <f>SUM(Z809:AA836)</f>
        <v>160</v>
      </c>
      <c r="AA838" s="2562"/>
      <c r="AB838" s="2561"/>
      <c r="AC838" s="2562"/>
      <c r="AD838" s="2561">
        <f>SUM(AD831+AD812+AD801+AD797+AD794)</f>
        <v>9203010.755724445</v>
      </c>
      <c r="AE838" s="2562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</row>
    <row r="839" spans="1:41" ht="15.95" customHeight="1" x14ac:dyDescent="0.2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</row>
    <row r="840" spans="1:41" ht="15.95" customHeight="1" x14ac:dyDescent="0.2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2909"/>
      <c r="T840" s="2909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2909"/>
      <c r="AO840" s="2909"/>
    </row>
    <row r="841" spans="1:41" ht="15.95" customHeight="1" x14ac:dyDescent="0.2">
      <c r="A841" s="2654"/>
      <c r="B841" s="2654"/>
      <c r="C841" s="2654"/>
      <c r="D841" s="2654"/>
      <c r="E841" s="2654"/>
      <c r="F841" s="2654"/>
      <c r="G841" s="2654"/>
      <c r="H841" s="2654"/>
      <c r="I841" s="2654"/>
      <c r="J841" s="2654"/>
      <c r="K841" s="2654"/>
      <c r="L841" s="2654"/>
      <c r="M841" s="2654"/>
      <c r="N841" s="2654"/>
      <c r="O841" s="2654"/>
      <c r="P841" s="2654"/>
      <c r="Q841" s="2654"/>
      <c r="R841" s="2654"/>
      <c r="S841" s="2654"/>
      <c r="T841" s="2654"/>
      <c r="U841" s="2654"/>
      <c r="V841" s="2654"/>
      <c r="W841" s="2654"/>
      <c r="X841" s="2654"/>
      <c r="Y841" s="2654"/>
      <c r="Z841" s="2654"/>
      <c r="AA841" s="2654"/>
      <c r="AB841" s="2654"/>
      <c r="AC841" s="2654"/>
      <c r="AD841" s="2654"/>
      <c r="AE841" s="2654"/>
      <c r="AF841" s="2654"/>
      <c r="AG841" s="2654"/>
      <c r="AH841" s="2654"/>
      <c r="AI841" s="2654"/>
      <c r="AJ841" s="2654"/>
      <c r="AK841" s="2654"/>
      <c r="AL841" s="2654"/>
      <c r="AM841" s="2654"/>
      <c r="AN841" s="2654"/>
      <c r="AO841" s="2654"/>
    </row>
    <row r="842" spans="1:41" ht="15.95" customHeight="1" x14ac:dyDescent="0.2">
      <c r="A842" s="277"/>
      <c r="B842" s="277"/>
      <c r="C842" s="277"/>
      <c r="D842" s="278"/>
      <c r="E842" s="275"/>
      <c r="F842" s="275"/>
      <c r="G842" s="274"/>
      <c r="H842" s="274"/>
      <c r="I842" s="275"/>
      <c r="J842" s="275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7"/>
      <c r="W842" s="277"/>
      <c r="X842" s="277"/>
      <c r="Y842" s="278"/>
      <c r="Z842" s="275"/>
      <c r="AA842" s="275"/>
      <c r="AB842" s="274"/>
      <c r="AC842" s="274"/>
      <c r="AD842" s="275"/>
      <c r="AE842" s="275"/>
      <c r="AF842" s="276"/>
      <c r="AG842" s="276"/>
      <c r="AH842" s="276"/>
      <c r="AI842" s="276"/>
      <c r="AJ842" s="276"/>
      <c r="AK842" s="276"/>
      <c r="AL842" s="276"/>
      <c r="AM842" s="276"/>
      <c r="AN842" s="276"/>
      <c r="AO842" s="276"/>
    </row>
    <row r="843" spans="1:41" ht="15.95" customHeight="1" x14ac:dyDescent="0.2">
      <c r="A843" s="2611" t="s">
        <v>1973</v>
      </c>
      <c r="B843" s="2611"/>
      <c r="C843" s="2611"/>
      <c r="D843" s="2611"/>
      <c r="E843" s="2611"/>
      <c r="F843" s="2611"/>
      <c r="G843" s="2611"/>
      <c r="H843" s="2611"/>
      <c r="I843" s="2611"/>
      <c r="J843" s="2611"/>
      <c r="K843" s="2611"/>
      <c r="L843" s="2611"/>
      <c r="M843" s="2611"/>
      <c r="N843" s="2611"/>
      <c r="O843" s="2611"/>
      <c r="P843" s="2611"/>
      <c r="Q843" s="2611"/>
      <c r="R843" s="2611"/>
      <c r="S843" s="2611"/>
      <c r="T843" s="2611"/>
      <c r="U843" s="47"/>
      <c r="V843" s="2611" t="s">
        <v>1974</v>
      </c>
      <c r="W843" s="2611"/>
      <c r="X843" s="2611"/>
      <c r="Y843" s="2611"/>
      <c r="Z843" s="2611"/>
      <c r="AA843" s="2611"/>
      <c r="AB843" s="2611"/>
      <c r="AC843" s="2611"/>
      <c r="AD843" s="2611"/>
      <c r="AE843" s="2611"/>
      <c r="AF843" s="2611"/>
      <c r="AG843" s="2611"/>
      <c r="AH843" s="2611"/>
      <c r="AI843" s="2611"/>
      <c r="AJ843" s="2611"/>
      <c r="AK843" s="2611"/>
      <c r="AL843" s="2611"/>
      <c r="AM843" s="2611"/>
      <c r="AN843" s="2611"/>
      <c r="AO843" s="2611"/>
    </row>
    <row r="844" spans="1:41" ht="15.95" customHeight="1" thickBot="1" x14ac:dyDescent="0.25">
      <c r="A844" s="2611"/>
      <c r="B844" s="2611"/>
      <c r="C844" s="2611"/>
      <c r="D844" s="2611"/>
      <c r="E844" s="2611"/>
      <c r="F844" s="2611"/>
      <c r="G844" s="2611"/>
      <c r="H844" s="2611"/>
      <c r="I844" s="2611"/>
      <c r="J844" s="2611"/>
      <c r="K844" s="2611"/>
      <c r="L844" s="2611"/>
      <c r="M844" s="2611"/>
      <c r="N844" s="2611"/>
      <c r="O844" s="2611"/>
      <c r="P844" s="2611"/>
      <c r="Q844" s="2611"/>
      <c r="R844" s="2611"/>
      <c r="S844" s="2611"/>
      <c r="T844" s="2611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279"/>
      <c r="AG844" s="45"/>
      <c r="AH844" s="45"/>
      <c r="AI844" s="45"/>
      <c r="AJ844" s="45"/>
      <c r="AK844" s="45"/>
      <c r="AL844" s="45"/>
      <c r="AM844" s="45"/>
      <c r="AN844" s="45"/>
      <c r="AO844" s="45"/>
    </row>
    <row r="845" spans="1:41" ht="15.95" customHeight="1" x14ac:dyDescent="0.3">
      <c r="A845" s="2618" t="s">
        <v>435</v>
      </c>
      <c r="B845" s="2620"/>
      <c r="C845" s="2618" t="s">
        <v>436</v>
      </c>
      <c r="D845" s="2619"/>
      <c r="E845" s="2619"/>
      <c r="F845" s="2620"/>
      <c r="G845" s="2618" t="s">
        <v>437</v>
      </c>
      <c r="H845" s="2620"/>
      <c r="I845" s="2618" t="s">
        <v>438</v>
      </c>
      <c r="J845" s="2620"/>
      <c r="K845" s="45"/>
      <c r="L845" s="2633" t="s">
        <v>435</v>
      </c>
      <c r="M845" s="2618" t="s">
        <v>436</v>
      </c>
      <c r="N845" s="2619"/>
      <c r="O845" s="2619"/>
      <c r="P845" s="2620"/>
      <c r="Q845" s="2618" t="s">
        <v>437</v>
      </c>
      <c r="R845" s="2620"/>
      <c r="S845" s="2618"/>
      <c r="T845" s="2620"/>
      <c r="U845" s="268"/>
      <c r="V845" s="2618" t="s">
        <v>435</v>
      </c>
      <c r="W845" s="2620"/>
      <c r="X845" s="2618" t="s">
        <v>436</v>
      </c>
      <c r="Y845" s="2619"/>
      <c r="Z845" s="2619"/>
      <c r="AA845" s="2620"/>
      <c r="AB845" s="2618" t="s">
        <v>437</v>
      </c>
      <c r="AC845" s="2620"/>
      <c r="AD845" s="2618" t="s">
        <v>438</v>
      </c>
      <c r="AE845" s="2620"/>
      <c r="AF845" s="45"/>
      <c r="AG845" s="2633" t="s">
        <v>435</v>
      </c>
      <c r="AH845" s="2618" t="s">
        <v>436</v>
      </c>
      <c r="AI845" s="2619"/>
      <c r="AJ845" s="2619"/>
      <c r="AK845" s="2620"/>
      <c r="AL845" s="2618" t="s">
        <v>437</v>
      </c>
      <c r="AM845" s="2620"/>
      <c r="AN845" s="2618"/>
      <c r="AO845" s="2900"/>
    </row>
    <row r="846" spans="1:41" ht="15.95" customHeight="1" thickBot="1" x14ac:dyDescent="0.35">
      <c r="A846" s="2631"/>
      <c r="B846" s="2632"/>
      <c r="C846" s="2621"/>
      <c r="D846" s="2622"/>
      <c r="E846" s="2622"/>
      <c r="F846" s="2623"/>
      <c r="G846" s="2631" t="s">
        <v>440</v>
      </c>
      <c r="H846" s="2632"/>
      <c r="I846" s="2631"/>
      <c r="J846" s="2632"/>
      <c r="K846" s="45"/>
      <c r="L846" s="2670"/>
      <c r="M846" s="2621"/>
      <c r="N846" s="2622"/>
      <c r="O846" s="2622"/>
      <c r="P846" s="2623"/>
      <c r="Q846" s="2631" t="s">
        <v>440</v>
      </c>
      <c r="R846" s="2632"/>
      <c r="S846" s="2631" t="s">
        <v>274</v>
      </c>
      <c r="T846" s="2632"/>
      <c r="U846" s="268"/>
      <c r="V846" s="2631"/>
      <c r="W846" s="2632"/>
      <c r="X846" s="2621"/>
      <c r="Y846" s="2622"/>
      <c r="Z846" s="2622"/>
      <c r="AA846" s="2623"/>
      <c r="AB846" s="2631" t="s">
        <v>440</v>
      </c>
      <c r="AC846" s="2632"/>
      <c r="AD846" s="2631"/>
      <c r="AE846" s="2632"/>
      <c r="AF846" s="45"/>
      <c r="AG846" s="2670"/>
      <c r="AH846" s="2621"/>
      <c r="AI846" s="2622"/>
      <c r="AJ846" s="2622"/>
      <c r="AK846" s="2623"/>
      <c r="AL846" s="2631" t="s">
        <v>440</v>
      </c>
      <c r="AM846" s="2632"/>
      <c r="AN846" s="2631" t="s">
        <v>274</v>
      </c>
      <c r="AO846" s="2880"/>
    </row>
    <row r="847" spans="1:41" ht="15.95" customHeight="1" x14ac:dyDescent="0.3">
      <c r="A847" s="2631"/>
      <c r="B847" s="2632"/>
      <c r="C847" s="53" t="s">
        <v>441</v>
      </c>
      <c r="D847" s="2670" t="s">
        <v>442</v>
      </c>
      <c r="E847" s="2631" t="s">
        <v>443</v>
      </c>
      <c r="F847" s="2632"/>
      <c r="G847" s="2631" t="s">
        <v>444</v>
      </c>
      <c r="H847" s="2632"/>
      <c r="I847" s="2631" t="s">
        <v>348</v>
      </c>
      <c r="J847" s="2632"/>
      <c r="K847" s="45"/>
      <c r="L847" s="2670"/>
      <c r="M847" s="51" t="s">
        <v>441</v>
      </c>
      <c r="N847" s="2633" t="s">
        <v>442</v>
      </c>
      <c r="O847" s="2618" t="s">
        <v>443</v>
      </c>
      <c r="P847" s="2620"/>
      <c r="Q847" s="2631" t="s">
        <v>444</v>
      </c>
      <c r="R847" s="2632"/>
      <c r="S847" s="2631" t="s">
        <v>348</v>
      </c>
      <c r="T847" s="2632"/>
      <c r="U847" s="268"/>
      <c r="V847" s="2631"/>
      <c r="W847" s="2632"/>
      <c r="X847" s="53" t="s">
        <v>441</v>
      </c>
      <c r="Y847" s="2670" t="s">
        <v>442</v>
      </c>
      <c r="Z847" s="2631" t="s">
        <v>443</v>
      </c>
      <c r="AA847" s="2632"/>
      <c r="AB847" s="2631" t="s">
        <v>444</v>
      </c>
      <c r="AC847" s="2632"/>
      <c r="AD847" s="2631" t="s">
        <v>348</v>
      </c>
      <c r="AE847" s="2632"/>
      <c r="AF847" s="45"/>
      <c r="AG847" s="2670"/>
      <c r="AH847" s="51" t="s">
        <v>441</v>
      </c>
      <c r="AI847" s="2670" t="s">
        <v>442</v>
      </c>
      <c r="AJ847" s="2631" t="s">
        <v>443</v>
      </c>
      <c r="AK847" s="2632"/>
      <c r="AL847" s="2631" t="s">
        <v>444</v>
      </c>
      <c r="AM847" s="2632"/>
      <c r="AN847" s="2631" t="s">
        <v>348</v>
      </c>
      <c r="AO847" s="2880"/>
    </row>
    <row r="848" spans="1:41" ht="15.95" customHeight="1" thickBot="1" x14ac:dyDescent="0.35">
      <c r="A848" s="2621"/>
      <c r="B848" s="2623"/>
      <c r="C848" s="54" t="s">
        <v>445</v>
      </c>
      <c r="D848" s="2634"/>
      <c r="E848" s="2621"/>
      <c r="F848" s="2623"/>
      <c r="G848" s="2621"/>
      <c r="H848" s="2623"/>
      <c r="I848" s="2621"/>
      <c r="J848" s="2623"/>
      <c r="K848" s="45"/>
      <c r="L848" s="2634"/>
      <c r="M848" s="50" t="s">
        <v>445</v>
      </c>
      <c r="N848" s="2634"/>
      <c r="O848" s="2621"/>
      <c r="P848" s="2623"/>
      <c r="Q848" s="2621"/>
      <c r="R848" s="2623"/>
      <c r="S848" s="2621"/>
      <c r="T848" s="2623"/>
      <c r="U848" s="268"/>
      <c r="V848" s="2621"/>
      <c r="W848" s="2623"/>
      <c r="X848" s="54" t="s">
        <v>445</v>
      </c>
      <c r="Y848" s="2634"/>
      <c r="Z848" s="2621"/>
      <c r="AA848" s="2623"/>
      <c r="AB848" s="2621"/>
      <c r="AC848" s="2623"/>
      <c r="AD848" s="2621"/>
      <c r="AE848" s="2623"/>
      <c r="AF848" s="45"/>
      <c r="AG848" s="2634"/>
      <c r="AH848" s="50" t="s">
        <v>445</v>
      </c>
      <c r="AI848" s="2634"/>
      <c r="AJ848" s="2621"/>
      <c r="AK848" s="2623"/>
      <c r="AL848" s="2621"/>
      <c r="AM848" s="2623"/>
      <c r="AN848" s="2901"/>
      <c r="AO848" s="2902"/>
    </row>
    <row r="849" spans="1:41" ht="15.95" customHeight="1" x14ac:dyDescent="0.3">
      <c r="A849" s="2913" t="s">
        <v>446</v>
      </c>
      <c r="B849" s="2914"/>
      <c r="C849" s="184"/>
      <c r="D849" s="170"/>
      <c r="E849" s="2576"/>
      <c r="F849" s="2880"/>
      <c r="G849" s="2576"/>
      <c r="H849" s="2880"/>
      <c r="I849" s="2559"/>
      <c r="J849" s="2880"/>
      <c r="K849" s="279"/>
      <c r="L849" s="119" t="s">
        <v>447</v>
      </c>
      <c r="M849" s="185"/>
      <c r="N849" s="186"/>
      <c r="O849" s="2605"/>
      <c r="P849" s="2606"/>
      <c r="Q849" s="2605"/>
      <c r="R849" s="2606"/>
      <c r="S849" s="2605"/>
      <c r="T849" s="2606"/>
      <c r="U849" s="26"/>
      <c r="V849" s="2913" t="s">
        <v>446</v>
      </c>
      <c r="W849" s="2914"/>
      <c r="X849" s="184"/>
      <c r="Y849" s="170"/>
      <c r="Z849" s="2576"/>
      <c r="AA849" s="2880"/>
      <c r="AB849" s="2576"/>
      <c r="AC849" s="2880"/>
      <c r="AD849" s="2576"/>
      <c r="AE849" s="2880"/>
      <c r="AF849" s="279"/>
      <c r="AG849" s="119" t="s">
        <v>447</v>
      </c>
      <c r="AH849" s="185"/>
      <c r="AI849" s="186"/>
      <c r="AJ849" s="2605"/>
      <c r="AK849" s="2606"/>
      <c r="AL849" s="2605"/>
      <c r="AM849" s="2606"/>
      <c r="AN849" s="2605"/>
      <c r="AO849" s="2606"/>
    </row>
    <row r="850" spans="1:41" ht="15.95" customHeight="1" x14ac:dyDescent="0.35">
      <c r="A850" s="2911" t="s">
        <v>979</v>
      </c>
      <c r="B850" s="2912"/>
      <c r="C850" s="187"/>
      <c r="D850" s="170"/>
      <c r="E850" s="2576"/>
      <c r="F850" s="2880"/>
      <c r="G850" s="2576"/>
      <c r="H850" s="2880"/>
      <c r="I850" s="2897">
        <f>SUM(I851:I852)</f>
        <v>0</v>
      </c>
      <c r="J850" s="2892"/>
      <c r="K850" s="279"/>
      <c r="L850" s="122"/>
      <c r="M850" s="188"/>
      <c r="N850" s="170"/>
      <c r="O850" s="2559"/>
      <c r="P850" s="2560"/>
      <c r="Q850" s="2559"/>
      <c r="R850" s="2560"/>
      <c r="S850" s="2559"/>
      <c r="T850" s="2560"/>
      <c r="U850" s="26"/>
      <c r="V850" s="2911" t="s">
        <v>979</v>
      </c>
      <c r="W850" s="2912"/>
      <c r="X850" s="197"/>
      <c r="Y850" s="170"/>
      <c r="Z850" s="2576"/>
      <c r="AA850" s="2880"/>
      <c r="AB850" s="2576"/>
      <c r="AC850" s="2880"/>
      <c r="AD850" s="2897">
        <f>SUM(AD851:AD852)</f>
        <v>0</v>
      </c>
      <c r="AE850" s="2892"/>
      <c r="AF850" s="279"/>
      <c r="AG850" s="122"/>
      <c r="AH850" s="188"/>
      <c r="AI850" s="170"/>
      <c r="AJ850" s="2559"/>
      <c r="AK850" s="2560"/>
      <c r="AL850" s="2559"/>
      <c r="AM850" s="2560"/>
      <c r="AN850" s="2559"/>
      <c r="AO850" s="2560"/>
    </row>
    <row r="851" spans="1:41" ht="15.95" customHeight="1" x14ac:dyDescent="0.3">
      <c r="A851" s="2915" t="s">
        <v>980</v>
      </c>
      <c r="B851" s="2916"/>
      <c r="C851" s="170"/>
      <c r="D851" s="170"/>
      <c r="E851" s="2576"/>
      <c r="F851" s="2880"/>
      <c r="G851" s="2576"/>
      <c r="H851" s="2880"/>
      <c r="I851" s="2576"/>
      <c r="J851" s="2880"/>
      <c r="K851" s="279"/>
      <c r="L851" s="122" t="s">
        <v>450</v>
      </c>
      <c r="M851" s="170"/>
      <c r="N851" s="170"/>
      <c r="O851" s="2559"/>
      <c r="P851" s="2560"/>
      <c r="Q851" s="2559"/>
      <c r="R851" s="2560"/>
      <c r="S851" s="2559">
        <f>O851*Q851</f>
        <v>0</v>
      </c>
      <c r="T851" s="2560"/>
      <c r="U851" s="26"/>
      <c r="V851" s="2915" t="s">
        <v>980</v>
      </c>
      <c r="W851" s="2916"/>
      <c r="X851" s="197"/>
      <c r="Y851" s="170"/>
      <c r="Z851" s="2576"/>
      <c r="AA851" s="2880"/>
      <c r="AB851" s="2576"/>
      <c r="AC851" s="2880"/>
      <c r="AD851" s="2576"/>
      <c r="AE851" s="2880"/>
      <c r="AF851" s="279"/>
      <c r="AG851" s="122" t="s">
        <v>450</v>
      </c>
      <c r="AH851" s="170"/>
      <c r="AI851" s="170"/>
      <c r="AJ851" s="2559"/>
      <c r="AK851" s="2560"/>
      <c r="AL851" s="2559"/>
      <c r="AM851" s="2560"/>
      <c r="AN851" s="2559"/>
      <c r="AO851" s="2560"/>
    </row>
    <row r="852" spans="1:41" ht="15.95" customHeight="1" x14ac:dyDescent="0.3">
      <c r="A852" s="2915" t="s">
        <v>981</v>
      </c>
      <c r="B852" s="2916"/>
      <c r="C852" s="170"/>
      <c r="D852" s="170"/>
      <c r="E852" s="2576"/>
      <c r="F852" s="2880"/>
      <c r="G852" s="2576"/>
      <c r="H852" s="2880"/>
      <c r="I852" s="2576"/>
      <c r="J852" s="2880"/>
      <c r="K852" s="279"/>
      <c r="L852" s="122" t="s">
        <v>853</v>
      </c>
      <c r="M852" s="170" t="s">
        <v>1046</v>
      </c>
      <c r="N852" s="170" t="s">
        <v>1029</v>
      </c>
      <c r="O852" s="2559">
        <v>240</v>
      </c>
      <c r="P852" s="2560"/>
      <c r="Q852" s="2559">
        <f>19277</f>
        <v>19277</v>
      </c>
      <c r="R852" s="2560"/>
      <c r="S852" s="2559">
        <f t="shared" ref="S852:S867" si="262">O852*Q852</f>
        <v>4626480</v>
      </c>
      <c r="T852" s="2560"/>
      <c r="U852" s="26"/>
      <c r="V852" s="2915" t="s">
        <v>733</v>
      </c>
      <c r="W852" s="2916"/>
      <c r="X852" s="120"/>
      <c r="Y852" s="170"/>
      <c r="Z852" s="2576"/>
      <c r="AA852" s="2880"/>
      <c r="AB852" s="2559"/>
      <c r="AC852" s="2880"/>
      <c r="AD852" s="2559">
        <f>+AB852*Z852</f>
        <v>0</v>
      </c>
      <c r="AE852" s="2560"/>
      <c r="AF852" s="279"/>
      <c r="AG852" s="122" t="s">
        <v>853</v>
      </c>
      <c r="AH852" s="170"/>
      <c r="AI852" s="170"/>
      <c r="AJ852" s="2559"/>
      <c r="AK852" s="2560"/>
      <c r="AL852" s="2559"/>
      <c r="AM852" s="2560"/>
      <c r="AN852" s="2559">
        <f>AJ852*AL852</f>
        <v>0</v>
      </c>
      <c r="AO852" s="2560"/>
    </row>
    <row r="853" spans="1:41" ht="15.95" customHeight="1" x14ac:dyDescent="0.35">
      <c r="A853" s="2911" t="s">
        <v>990</v>
      </c>
      <c r="B853" s="2912"/>
      <c r="C853" s="187"/>
      <c r="D853" s="170"/>
      <c r="E853" s="2576"/>
      <c r="F853" s="2880"/>
      <c r="G853" s="2576"/>
      <c r="H853" s="2880"/>
      <c r="I853" s="2897">
        <f>SUM(I854:J856)</f>
        <v>0</v>
      </c>
      <c r="J853" s="2892"/>
      <c r="K853" s="279"/>
      <c r="L853" s="122" t="s">
        <v>859</v>
      </c>
      <c r="M853" s="170" t="s">
        <v>1047</v>
      </c>
      <c r="N853" s="170" t="s">
        <v>473</v>
      </c>
      <c r="O853" s="2559">
        <v>8</v>
      </c>
      <c r="P853" s="2560"/>
      <c r="Q853" s="2559">
        <v>38296</v>
      </c>
      <c r="R853" s="2560"/>
      <c r="S853" s="2559">
        <f t="shared" si="262"/>
        <v>306368</v>
      </c>
      <c r="T853" s="2560"/>
      <c r="U853" s="26"/>
      <c r="V853" s="2911" t="s">
        <v>990</v>
      </c>
      <c r="W853" s="2912"/>
      <c r="X853" s="197"/>
      <c r="Y853" s="170"/>
      <c r="Z853" s="2576"/>
      <c r="AA853" s="2880"/>
      <c r="AB853" s="2576"/>
      <c r="AC853" s="2880"/>
      <c r="AD853" s="2897">
        <f>SUM(AD854:AE856)</f>
        <v>0</v>
      </c>
      <c r="AE853" s="2892"/>
      <c r="AF853" s="279"/>
      <c r="AG853" s="122" t="s">
        <v>859</v>
      </c>
      <c r="AH853" s="170" t="s">
        <v>1047</v>
      </c>
      <c r="AI853" s="170" t="s">
        <v>473</v>
      </c>
      <c r="AJ853" s="2559">
        <v>4</v>
      </c>
      <c r="AK853" s="2560"/>
      <c r="AL853" s="2559">
        <f>+Q853</f>
        <v>38296</v>
      </c>
      <c r="AM853" s="2560"/>
      <c r="AN853" s="2559">
        <f>AJ853*AL853</f>
        <v>153184</v>
      </c>
      <c r="AO853" s="2560"/>
    </row>
    <row r="854" spans="1:41" ht="15.95" customHeight="1" x14ac:dyDescent="0.3">
      <c r="A854" s="2915" t="s">
        <v>991</v>
      </c>
      <c r="B854" s="2916"/>
      <c r="C854" s="170"/>
      <c r="D854" s="170"/>
      <c r="E854" s="2576"/>
      <c r="F854" s="2880"/>
      <c r="G854" s="2576"/>
      <c r="H854" s="2880"/>
      <c r="I854" s="2576"/>
      <c r="J854" s="2880"/>
      <c r="K854" s="279"/>
      <c r="L854" s="122" t="s">
        <v>861</v>
      </c>
      <c r="M854" s="170" t="s">
        <v>748</v>
      </c>
      <c r="N854" s="170" t="s">
        <v>473</v>
      </c>
      <c r="O854" s="2559">
        <v>3</v>
      </c>
      <c r="P854" s="2560"/>
      <c r="Q854" s="2559">
        <v>52332</v>
      </c>
      <c r="R854" s="2560"/>
      <c r="S854" s="2559">
        <f t="shared" si="262"/>
        <v>156996</v>
      </c>
      <c r="T854" s="2560"/>
      <c r="U854" s="26"/>
      <c r="V854" s="2915" t="s">
        <v>991</v>
      </c>
      <c r="W854" s="2916"/>
      <c r="X854" s="197"/>
      <c r="Y854" s="170"/>
      <c r="Z854" s="2576"/>
      <c r="AA854" s="2880"/>
      <c r="AB854" s="2576"/>
      <c r="AC854" s="2880"/>
      <c r="AD854" s="2576"/>
      <c r="AE854" s="2880"/>
      <c r="AF854" s="279"/>
      <c r="AG854" s="122" t="s">
        <v>861</v>
      </c>
      <c r="AH854" s="170" t="s">
        <v>1048</v>
      </c>
      <c r="AI854" s="170"/>
      <c r="AJ854" s="2559"/>
      <c r="AK854" s="2560"/>
      <c r="AL854" s="2559"/>
      <c r="AM854" s="2560"/>
      <c r="AN854" s="2559">
        <v>130000</v>
      </c>
      <c r="AO854" s="2560"/>
    </row>
    <row r="855" spans="1:41" ht="15.95" customHeight="1" x14ac:dyDescent="0.3">
      <c r="A855" s="2915" t="s">
        <v>981</v>
      </c>
      <c r="B855" s="2916"/>
      <c r="C855" s="187"/>
      <c r="D855" s="170"/>
      <c r="E855" s="2576"/>
      <c r="F855" s="2880"/>
      <c r="G855" s="2576"/>
      <c r="H855" s="2880"/>
      <c r="I855" s="2576"/>
      <c r="J855" s="2880"/>
      <c r="K855" s="279"/>
      <c r="L855" s="122" t="s">
        <v>863</v>
      </c>
      <c r="M855" s="170" t="s">
        <v>716</v>
      </c>
      <c r="N855" s="170" t="s">
        <v>473</v>
      </c>
      <c r="O855" s="2559">
        <v>1</v>
      </c>
      <c r="P855" s="2560"/>
      <c r="Q855" s="2559">
        <f>71073*1.0928</f>
        <v>77668.574399999998</v>
      </c>
      <c r="R855" s="2560"/>
      <c r="S855" s="2559">
        <f t="shared" si="262"/>
        <v>77668.574399999998</v>
      </c>
      <c r="T855" s="2560"/>
      <c r="U855" s="26"/>
      <c r="V855" s="2915" t="s">
        <v>981</v>
      </c>
      <c r="W855" s="2916"/>
      <c r="X855" s="197"/>
      <c r="Y855" s="170"/>
      <c r="Z855" s="2576"/>
      <c r="AA855" s="2880"/>
      <c r="AB855" s="2576"/>
      <c r="AC855" s="2880"/>
      <c r="AD855" s="2576"/>
      <c r="AE855" s="2880"/>
      <c r="AF855" s="279"/>
      <c r="AG855" s="122" t="s">
        <v>863</v>
      </c>
      <c r="AH855" s="170" t="s">
        <v>1048</v>
      </c>
      <c r="AI855" s="170"/>
      <c r="AJ855" s="2559"/>
      <c r="AK855" s="2560"/>
      <c r="AL855" s="2559"/>
      <c r="AM855" s="2560"/>
      <c r="AN855" s="2559">
        <v>110000</v>
      </c>
      <c r="AO855" s="2560"/>
    </row>
    <row r="856" spans="1:41" ht="15.95" customHeight="1" x14ac:dyDescent="0.3">
      <c r="A856" s="2915" t="s">
        <v>992</v>
      </c>
      <c r="B856" s="2916"/>
      <c r="C856" s="187"/>
      <c r="D856" s="170"/>
      <c r="E856" s="2576"/>
      <c r="F856" s="2880"/>
      <c r="G856" s="2576"/>
      <c r="H856" s="2880"/>
      <c r="I856" s="2576"/>
      <c r="J856" s="2880"/>
      <c r="K856" s="279"/>
      <c r="L856" s="122" t="s">
        <v>534</v>
      </c>
      <c r="M856" s="170" t="s">
        <v>1049</v>
      </c>
      <c r="N856" s="170" t="s">
        <v>460</v>
      </c>
      <c r="O856" s="2559">
        <v>2</v>
      </c>
      <c r="P856" s="2560"/>
      <c r="Q856" s="2559">
        <v>141603</v>
      </c>
      <c r="R856" s="2560"/>
      <c r="S856" s="2559">
        <f t="shared" si="262"/>
        <v>283206</v>
      </c>
      <c r="T856" s="2560"/>
      <c r="U856" s="26"/>
      <c r="V856" s="2915" t="s">
        <v>992</v>
      </c>
      <c r="W856" s="2916"/>
      <c r="X856" s="197"/>
      <c r="Y856" s="170"/>
      <c r="Z856" s="2576"/>
      <c r="AA856" s="2880"/>
      <c r="AB856" s="2576"/>
      <c r="AC856" s="2880"/>
      <c r="AD856" s="2576"/>
      <c r="AE856" s="2880"/>
      <c r="AF856" s="279"/>
      <c r="AG856" s="122" t="s">
        <v>534</v>
      </c>
      <c r="AH856" s="188"/>
      <c r="AI856" s="170"/>
      <c r="AJ856" s="2559"/>
      <c r="AK856" s="2560"/>
      <c r="AL856" s="2559"/>
      <c r="AM856" s="2560"/>
      <c r="AN856" s="2559">
        <f>AJ856*AL856</f>
        <v>0</v>
      </c>
      <c r="AO856" s="2560"/>
    </row>
    <row r="857" spans="1:41" ht="15.95" customHeight="1" x14ac:dyDescent="0.35">
      <c r="A857" s="2998" t="s">
        <v>993</v>
      </c>
      <c r="B857" s="2999"/>
      <c r="C857" s="187"/>
      <c r="D857" s="170"/>
      <c r="E857" s="2576"/>
      <c r="F857" s="2880"/>
      <c r="G857" s="2576"/>
      <c r="H857" s="2880"/>
      <c r="I857" s="2565">
        <f>SUM(I858:J867)</f>
        <v>1739000</v>
      </c>
      <c r="J857" s="2892"/>
      <c r="K857" s="279"/>
      <c r="L857" s="122" t="s">
        <v>535</v>
      </c>
      <c r="M857" s="170" t="s">
        <v>753</v>
      </c>
      <c r="N857" s="170" t="s">
        <v>460</v>
      </c>
      <c r="O857" s="2559">
        <v>6</v>
      </c>
      <c r="P857" s="2560"/>
      <c r="Q857" s="2895">
        <v>188974</v>
      </c>
      <c r="R857" s="2896"/>
      <c r="S857" s="2559">
        <f t="shared" si="262"/>
        <v>1133844</v>
      </c>
      <c r="T857" s="2560"/>
      <c r="U857" s="26"/>
      <c r="V857" s="2998" t="s">
        <v>1035</v>
      </c>
      <c r="W857" s="2999"/>
      <c r="X857" s="197"/>
      <c r="Y857" s="170"/>
      <c r="Z857" s="2576"/>
      <c r="AA857" s="2880"/>
      <c r="AB857" s="2576"/>
      <c r="AC857" s="2880"/>
      <c r="AD857" s="2565">
        <f>SUM(AD858:AE867)</f>
        <v>0</v>
      </c>
      <c r="AE857" s="2892"/>
      <c r="AF857" s="279"/>
      <c r="AG857" s="122" t="s">
        <v>535</v>
      </c>
      <c r="AH857" s="170" t="s">
        <v>1034</v>
      </c>
      <c r="AI857" s="170" t="s">
        <v>460</v>
      </c>
      <c r="AJ857" s="2559">
        <v>10</v>
      </c>
      <c r="AK857" s="2560"/>
      <c r="AL857" s="2895">
        <v>179798</v>
      </c>
      <c r="AM857" s="2896"/>
      <c r="AN857" s="2559">
        <f>AJ857*AL857</f>
        <v>1797980</v>
      </c>
      <c r="AO857" s="2560"/>
    </row>
    <row r="858" spans="1:41" ht="15.95" customHeight="1" x14ac:dyDescent="0.2">
      <c r="A858" s="2839" t="s">
        <v>995</v>
      </c>
      <c r="B858" s="2840"/>
      <c r="C858" s="170" t="s">
        <v>496</v>
      </c>
      <c r="D858" s="170" t="s">
        <v>497</v>
      </c>
      <c r="E858" s="2559">
        <v>5</v>
      </c>
      <c r="F858" s="2560"/>
      <c r="G858" s="2559">
        <v>47000</v>
      </c>
      <c r="H858" s="2560">
        <f t="shared" ref="H858" si="263">(36040*6%)+36040</f>
        <v>38202.400000000001</v>
      </c>
      <c r="I858" s="2559">
        <f t="shared" ref="I858:I867" si="264">E858*G858</f>
        <v>235000</v>
      </c>
      <c r="J858" s="2560"/>
      <c r="K858" s="279"/>
      <c r="L858" s="122" t="s">
        <v>537</v>
      </c>
      <c r="M858" s="170"/>
      <c r="N858" s="170"/>
      <c r="O858" s="2559"/>
      <c r="P858" s="2560"/>
      <c r="Q858" s="2559"/>
      <c r="R858" s="2560"/>
      <c r="S858" s="2559">
        <f t="shared" si="262"/>
        <v>0</v>
      </c>
      <c r="T858" s="2560"/>
      <c r="U858" s="26"/>
      <c r="V858" s="2839" t="s">
        <v>995</v>
      </c>
      <c r="W858" s="2840"/>
      <c r="X858" s="197"/>
      <c r="Y858" s="170"/>
      <c r="Z858" s="2559"/>
      <c r="AA858" s="2560"/>
      <c r="AB858" s="2559"/>
      <c r="AC858" s="2560"/>
      <c r="AD858" s="2559"/>
      <c r="AE858" s="2560"/>
      <c r="AF858" s="279"/>
      <c r="AG858" s="122" t="s">
        <v>537</v>
      </c>
      <c r="AH858" s="170"/>
      <c r="AI858" s="170"/>
      <c r="AJ858" s="2559"/>
      <c r="AK858" s="2560"/>
      <c r="AL858" s="2559"/>
      <c r="AM858" s="2560"/>
      <c r="AN858" s="2559">
        <f>AJ858*AL858</f>
        <v>0</v>
      </c>
      <c r="AO858" s="2560"/>
    </row>
    <row r="859" spans="1:41" ht="15.95" customHeight="1" x14ac:dyDescent="0.3">
      <c r="A859" s="2839" t="s">
        <v>996</v>
      </c>
      <c r="B859" s="2840"/>
      <c r="C859" s="170"/>
      <c r="D859" s="170"/>
      <c r="E859" s="2559"/>
      <c r="F859" s="2560"/>
      <c r="G859" s="2576"/>
      <c r="H859" s="2880"/>
      <c r="I859" s="2559">
        <f t="shared" si="264"/>
        <v>0</v>
      </c>
      <c r="J859" s="2560"/>
      <c r="K859" s="279"/>
      <c r="L859" s="122" t="s">
        <v>866</v>
      </c>
      <c r="M859" s="170" t="s">
        <v>1050</v>
      </c>
      <c r="N859" s="170" t="s">
        <v>556</v>
      </c>
      <c r="O859" s="2559">
        <v>1</v>
      </c>
      <c r="P859" s="2560"/>
      <c r="Q859" s="2559">
        <v>265820</v>
      </c>
      <c r="R859" s="2560"/>
      <c r="S859" s="2559">
        <f t="shared" si="262"/>
        <v>265820</v>
      </c>
      <c r="T859" s="2560"/>
      <c r="U859" s="26"/>
      <c r="V859" s="2839" t="s">
        <v>996</v>
      </c>
      <c r="W859" s="2840"/>
      <c r="X859" s="120"/>
      <c r="Y859" s="170"/>
      <c r="Z859" s="2559"/>
      <c r="AA859" s="2560"/>
      <c r="AB859" s="2559"/>
      <c r="AC859" s="2560"/>
      <c r="AD859" s="2559">
        <f>Z859*AB859</f>
        <v>0</v>
      </c>
      <c r="AE859" s="2560"/>
      <c r="AF859" s="279"/>
      <c r="AG859" s="122" t="s">
        <v>866</v>
      </c>
      <c r="AH859" s="170"/>
      <c r="AI859" s="170"/>
      <c r="AJ859" s="2559"/>
      <c r="AK859" s="2560"/>
      <c r="AL859" s="2559"/>
      <c r="AM859" s="2560"/>
      <c r="AN859" s="2559"/>
      <c r="AO859" s="2560"/>
    </row>
    <row r="860" spans="1:41" ht="15.95" customHeight="1" x14ac:dyDescent="0.2">
      <c r="A860" s="2839" t="s">
        <v>469</v>
      </c>
      <c r="B860" s="2840"/>
      <c r="C860" s="187"/>
      <c r="D860" s="170"/>
      <c r="E860" s="2559"/>
      <c r="F860" s="2560"/>
      <c r="G860" s="2559"/>
      <c r="H860" s="2560"/>
      <c r="I860" s="2559">
        <f t="shared" si="264"/>
        <v>0</v>
      </c>
      <c r="J860" s="2560"/>
      <c r="K860" s="279"/>
      <c r="L860" s="122" t="s">
        <v>456</v>
      </c>
      <c r="M860" s="170" t="s">
        <v>710</v>
      </c>
      <c r="N860" s="170" t="s">
        <v>556</v>
      </c>
      <c r="O860" s="2571">
        <v>1.5</v>
      </c>
      <c r="P860" s="2572"/>
      <c r="Q860" s="2559">
        <f>180902*1.0928</f>
        <v>197689.70559999999</v>
      </c>
      <c r="R860" s="2560"/>
      <c r="S860" s="2559">
        <f t="shared" si="262"/>
        <v>296534.55839999998</v>
      </c>
      <c r="T860" s="2560"/>
      <c r="U860" s="26"/>
      <c r="V860" s="2839" t="s">
        <v>469</v>
      </c>
      <c r="W860" s="2840"/>
      <c r="X860" s="197"/>
      <c r="Y860" s="170"/>
      <c r="Z860" s="2559"/>
      <c r="AA860" s="2560"/>
      <c r="AB860" s="2559"/>
      <c r="AC860" s="2560"/>
      <c r="AD860" s="2559"/>
      <c r="AE860" s="2560"/>
      <c r="AF860" s="279"/>
      <c r="AG860" s="122" t="s">
        <v>456</v>
      </c>
      <c r="AH860" s="170"/>
      <c r="AI860" s="170"/>
      <c r="AJ860" s="2559"/>
      <c r="AK860" s="2560"/>
      <c r="AL860" s="2559"/>
      <c r="AM860" s="2560"/>
      <c r="AN860" s="2559">
        <f t="shared" ref="AN860:AN867" si="265">AJ860*AL860</f>
        <v>0</v>
      </c>
      <c r="AO860" s="2560"/>
    </row>
    <row r="861" spans="1:41" ht="15.95" customHeight="1" x14ac:dyDescent="0.2">
      <c r="A861" s="2839" t="s">
        <v>470</v>
      </c>
      <c r="B861" s="2840"/>
      <c r="C861" s="187"/>
      <c r="D861" s="170"/>
      <c r="E861" s="2559"/>
      <c r="F861" s="2560"/>
      <c r="G861" s="2559"/>
      <c r="H861" s="2560"/>
      <c r="I861" s="2559">
        <f t="shared" si="264"/>
        <v>0</v>
      </c>
      <c r="J861" s="2560"/>
      <c r="K861" s="279"/>
      <c r="L861" s="122" t="s">
        <v>871</v>
      </c>
      <c r="M861" s="188"/>
      <c r="N861" s="170"/>
      <c r="O861" s="2559"/>
      <c r="P861" s="2560"/>
      <c r="Q861" s="2559"/>
      <c r="R861" s="2560"/>
      <c r="S861" s="2559">
        <f t="shared" si="262"/>
        <v>0</v>
      </c>
      <c r="T861" s="2560"/>
      <c r="U861" s="26"/>
      <c r="V861" s="2839" t="s">
        <v>470</v>
      </c>
      <c r="W861" s="2840"/>
      <c r="X861" s="280"/>
      <c r="Y861" s="120"/>
      <c r="Z861" s="2559"/>
      <c r="AA861" s="2560"/>
      <c r="AB861" s="2559"/>
      <c r="AC861" s="2560"/>
      <c r="AD861" s="2559"/>
      <c r="AE861" s="2560"/>
      <c r="AF861" s="279"/>
      <c r="AG861" s="122" t="s">
        <v>871</v>
      </c>
      <c r="AH861" s="188"/>
      <c r="AI861" s="170"/>
      <c r="AJ861" s="2559"/>
      <c r="AK861" s="2560"/>
      <c r="AL861" s="2559"/>
      <c r="AM861" s="2560"/>
      <c r="AN861" s="2559">
        <f t="shared" si="265"/>
        <v>0</v>
      </c>
      <c r="AO861" s="2560"/>
    </row>
    <row r="862" spans="1:41" ht="15.95" customHeight="1" x14ac:dyDescent="0.3">
      <c r="A862" s="2839" t="s">
        <v>902</v>
      </c>
      <c r="B862" s="2840"/>
      <c r="C862" s="170" t="s">
        <v>496</v>
      </c>
      <c r="D862" s="170" t="s">
        <v>497</v>
      </c>
      <c r="E862" s="2559">
        <v>8</v>
      </c>
      <c r="F862" s="2560"/>
      <c r="G862" s="2559">
        <v>47000</v>
      </c>
      <c r="H862" s="2560">
        <f t="shared" ref="H862:H864" si="266">(36040*6%)+36040</f>
        <v>38202.400000000001</v>
      </c>
      <c r="I862" s="2559">
        <f t="shared" si="264"/>
        <v>376000</v>
      </c>
      <c r="J862" s="2560"/>
      <c r="K862" s="279"/>
      <c r="L862" s="122" t="s">
        <v>595</v>
      </c>
      <c r="M862" s="188"/>
      <c r="N862" s="170"/>
      <c r="O862" s="2559"/>
      <c r="P862" s="2560"/>
      <c r="Q862" s="2559"/>
      <c r="R862" s="2560"/>
      <c r="S862" s="2559">
        <f t="shared" si="262"/>
        <v>0</v>
      </c>
      <c r="T862" s="2560"/>
      <c r="U862" s="26"/>
      <c r="V862" s="2839" t="s">
        <v>902</v>
      </c>
      <c r="W862" s="2840"/>
      <c r="X862" s="269"/>
      <c r="Y862" s="120"/>
      <c r="Z862" s="2559"/>
      <c r="AA862" s="2560"/>
      <c r="AB862" s="2559"/>
      <c r="AC862" s="2880"/>
      <c r="AD862" s="2559"/>
      <c r="AE862" s="2560"/>
      <c r="AF862" s="279"/>
      <c r="AG862" s="122" t="s">
        <v>1037</v>
      </c>
      <c r="AH862" s="170"/>
      <c r="AI862" s="170"/>
      <c r="AJ862" s="2559"/>
      <c r="AK862" s="2560"/>
      <c r="AL862" s="2559"/>
      <c r="AM862" s="2560"/>
      <c r="AN862" s="2559">
        <f t="shared" si="265"/>
        <v>0</v>
      </c>
      <c r="AO862" s="2560"/>
    </row>
    <row r="863" spans="1:41" ht="15.95" customHeight="1" x14ac:dyDescent="0.3">
      <c r="A863" s="2839" t="s">
        <v>998</v>
      </c>
      <c r="B863" s="2840"/>
      <c r="C863" s="170" t="s">
        <v>496</v>
      </c>
      <c r="D863" s="170" t="s">
        <v>497</v>
      </c>
      <c r="E863" s="2576">
        <v>15</v>
      </c>
      <c r="F863" s="2880"/>
      <c r="G863" s="2559">
        <v>47000</v>
      </c>
      <c r="H863" s="2560">
        <f t="shared" si="266"/>
        <v>38202.400000000001</v>
      </c>
      <c r="I863" s="2559">
        <f t="shared" si="264"/>
        <v>705000</v>
      </c>
      <c r="J863" s="2560"/>
      <c r="K863" s="279"/>
      <c r="L863" s="122" t="s">
        <v>507</v>
      </c>
      <c r="M863" s="170"/>
      <c r="N863" s="170"/>
      <c r="O863" s="2559"/>
      <c r="P863" s="2560"/>
      <c r="Q863" s="2559"/>
      <c r="R863" s="2560"/>
      <c r="S863" s="2559">
        <f t="shared" si="262"/>
        <v>0</v>
      </c>
      <c r="T863" s="2560"/>
      <c r="U863" s="26"/>
      <c r="V863" s="2839" t="s">
        <v>998</v>
      </c>
      <c r="W863" s="2840"/>
      <c r="X863" s="120"/>
      <c r="Y863" s="170"/>
      <c r="Z863" s="2576"/>
      <c r="AA863" s="2880"/>
      <c r="AB863" s="2559"/>
      <c r="AC863" s="2880"/>
      <c r="AD863" s="2559">
        <f>+AB863*Z863</f>
        <v>0</v>
      </c>
      <c r="AE863" s="2560"/>
      <c r="AF863" s="279"/>
      <c r="AG863" s="122" t="s">
        <v>507</v>
      </c>
      <c r="AH863" s="170" t="s">
        <v>1079</v>
      </c>
      <c r="AI863" s="170" t="s">
        <v>497</v>
      </c>
      <c r="AJ863" s="2559">
        <v>750</v>
      </c>
      <c r="AK863" s="2560"/>
      <c r="AL863" s="2559">
        <f>3220*1.0928</f>
        <v>3518.8159999999998</v>
      </c>
      <c r="AM863" s="2560"/>
      <c r="AN863" s="2559">
        <f t="shared" si="265"/>
        <v>2639112</v>
      </c>
      <c r="AO863" s="2560"/>
    </row>
    <row r="864" spans="1:41" ht="15.95" customHeight="1" x14ac:dyDescent="0.3">
      <c r="A864" s="2839" t="s">
        <v>999</v>
      </c>
      <c r="B864" s="2840"/>
      <c r="C864" s="170" t="s">
        <v>496</v>
      </c>
      <c r="D864" s="170" t="s">
        <v>497</v>
      </c>
      <c r="E864" s="2576">
        <v>3</v>
      </c>
      <c r="F864" s="2880"/>
      <c r="G864" s="2559">
        <v>47000</v>
      </c>
      <c r="H864" s="2560">
        <f t="shared" si="266"/>
        <v>38202.400000000001</v>
      </c>
      <c r="I864" s="2559">
        <f t="shared" si="264"/>
        <v>141000</v>
      </c>
      <c r="J864" s="2560"/>
      <c r="K864" s="279"/>
      <c r="L864" s="122" t="s">
        <v>801</v>
      </c>
      <c r="M864" s="170"/>
      <c r="N864" s="170"/>
      <c r="O864" s="2559"/>
      <c r="P864" s="2560"/>
      <c r="Q864" s="2559"/>
      <c r="R864" s="2560"/>
      <c r="S864" s="2559">
        <f t="shared" si="262"/>
        <v>0</v>
      </c>
      <c r="T864" s="2560"/>
      <c r="U864" s="26"/>
      <c r="V864" s="2839" t="s">
        <v>999</v>
      </c>
      <c r="W864" s="2840"/>
      <c r="X864" s="38"/>
      <c r="Y864" s="281"/>
      <c r="Z864" s="2576"/>
      <c r="AA864" s="2880"/>
      <c r="AB864" s="2576"/>
      <c r="AC864" s="2880"/>
      <c r="AD864" s="2559"/>
      <c r="AE864" s="2560"/>
      <c r="AF864" s="279"/>
      <c r="AG864" s="122" t="s">
        <v>801</v>
      </c>
      <c r="AH864" s="170"/>
      <c r="AI864" s="170"/>
      <c r="AJ864" s="2559"/>
      <c r="AK864" s="2560"/>
      <c r="AL864" s="2559"/>
      <c r="AM864" s="2560"/>
      <c r="AN864" s="2559">
        <f t="shared" si="265"/>
        <v>0</v>
      </c>
      <c r="AO864" s="2560"/>
    </row>
    <row r="865" spans="1:41" ht="15.95" customHeight="1" x14ac:dyDescent="0.3">
      <c r="A865" s="2839" t="s">
        <v>873</v>
      </c>
      <c r="B865" s="2840"/>
      <c r="C865" s="170"/>
      <c r="D865" s="170"/>
      <c r="E865" s="2576"/>
      <c r="F865" s="2880"/>
      <c r="G865" s="2576"/>
      <c r="H865" s="2577"/>
      <c r="I865" s="2559">
        <f t="shared" si="264"/>
        <v>0</v>
      </c>
      <c r="J865" s="2560"/>
      <c r="K865" s="279"/>
      <c r="L865" s="122" t="s">
        <v>575</v>
      </c>
      <c r="M865" s="188"/>
      <c r="N865" s="170"/>
      <c r="O865" s="2559"/>
      <c r="P865" s="2560"/>
      <c r="Q865" s="2559"/>
      <c r="R865" s="2560"/>
      <c r="S865" s="2559">
        <f t="shared" si="262"/>
        <v>0</v>
      </c>
      <c r="T865" s="2560"/>
      <c r="U865" s="26"/>
      <c r="V865" s="2839" t="s">
        <v>873</v>
      </c>
      <c r="W865" s="2840"/>
      <c r="X865" s="120"/>
      <c r="Y865" s="170"/>
      <c r="Z865" s="2576"/>
      <c r="AA865" s="2880"/>
      <c r="AB865" s="2559"/>
      <c r="AC865" s="2880"/>
      <c r="AD865" s="2559">
        <f>+AB865*Z865</f>
        <v>0</v>
      </c>
      <c r="AE865" s="2560"/>
      <c r="AF865" s="279"/>
      <c r="AG865" s="122" t="s">
        <v>575</v>
      </c>
      <c r="AH865" s="188"/>
      <c r="AI865" s="170"/>
      <c r="AJ865" s="2559"/>
      <c r="AK865" s="2560"/>
      <c r="AL865" s="2559"/>
      <c r="AM865" s="2560"/>
      <c r="AN865" s="2559">
        <f t="shared" si="265"/>
        <v>0</v>
      </c>
      <c r="AO865" s="2560"/>
    </row>
    <row r="866" spans="1:41" ht="15.95" customHeight="1" x14ac:dyDescent="0.3">
      <c r="A866" s="2839" t="s">
        <v>1000</v>
      </c>
      <c r="B866" s="2840"/>
      <c r="C866" s="170" t="s">
        <v>496</v>
      </c>
      <c r="D866" s="170" t="s">
        <v>497</v>
      </c>
      <c r="E866" s="2576">
        <v>6</v>
      </c>
      <c r="F866" s="2880"/>
      <c r="G866" s="2559">
        <v>47000</v>
      </c>
      <c r="H866" s="2560">
        <f t="shared" ref="H866" si="267">(36040*6%)+36040</f>
        <v>38202.400000000001</v>
      </c>
      <c r="I866" s="2559">
        <f t="shared" si="264"/>
        <v>282000</v>
      </c>
      <c r="J866" s="2560"/>
      <c r="K866" s="279"/>
      <c r="L866" s="122" t="s">
        <v>874</v>
      </c>
      <c r="M866" s="170"/>
      <c r="N866" s="170"/>
      <c r="O866" s="2559"/>
      <c r="P866" s="2560"/>
      <c r="Q866" s="2559"/>
      <c r="R866" s="2560"/>
      <c r="S866" s="2559">
        <f t="shared" si="262"/>
        <v>0</v>
      </c>
      <c r="T866" s="2560"/>
      <c r="U866" s="26"/>
      <c r="V866" s="2839" t="s">
        <v>1000</v>
      </c>
      <c r="W866" s="2840"/>
      <c r="X866" s="120"/>
      <c r="Y866" s="170"/>
      <c r="Z866" s="2576"/>
      <c r="AA866" s="2880"/>
      <c r="AB866" s="2559"/>
      <c r="AC866" s="2880"/>
      <c r="AD866" s="2559">
        <f>+AB866*Z866</f>
        <v>0</v>
      </c>
      <c r="AE866" s="2560"/>
      <c r="AF866" s="279"/>
      <c r="AG866" s="122" t="s">
        <v>874</v>
      </c>
      <c r="AH866" s="188"/>
      <c r="AI866" s="170"/>
      <c r="AJ866" s="2559"/>
      <c r="AK866" s="2560"/>
      <c r="AL866" s="2559"/>
      <c r="AM866" s="2560"/>
      <c r="AN866" s="2559">
        <f t="shared" si="265"/>
        <v>0</v>
      </c>
      <c r="AO866" s="2560"/>
    </row>
    <row r="867" spans="1:41" ht="15.95" customHeight="1" x14ac:dyDescent="0.3">
      <c r="A867" s="2839" t="s">
        <v>504</v>
      </c>
      <c r="B867" s="2840"/>
      <c r="C867" s="187"/>
      <c r="D867" s="170"/>
      <c r="E867" s="2576"/>
      <c r="F867" s="2880"/>
      <c r="G867" s="2576"/>
      <c r="H867" s="2880"/>
      <c r="I867" s="2559">
        <f t="shared" si="264"/>
        <v>0</v>
      </c>
      <c r="J867" s="2560"/>
      <c r="K867" s="279"/>
      <c r="L867" s="196" t="s">
        <v>515</v>
      </c>
      <c r="M867" s="197"/>
      <c r="N867" s="120"/>
      <c r="O867" s="2643"/>
      <c r="P867" s="2643"/>
      <c r="Q867" s="2643"/>
      <c r="R867" s="2643"/>
      <c r="S867" s="2559">
        <f t="shared" si="262"/>
        <v>0</v>
      </c>
      <c r="T867" s="2560"/>
      <c r="U867" s="26"/>
      <c r="V867" s="2839" t="s">
        <v>504</v>
      </c>
      <c r="W867" s="2840"/>
      <c r="X867" s="197"/>
      <c r="Y867" s="170"/>
      <c r="Z867" s="2576"/>
      <c r="AA867" s="2880"/>
      <c r="AB867" s="2576"/>
      <c r="AC867" s="2880"/>
      <c r="AD867" s="2559"/>
      <c r="AE867" s="2560"/>
      <c r="AF867" s="279"/>
      <c r="AG867" s="196" t="s">
        <v>515</v>
      </c>
      <c r="AH867" s="197"/>
      <c r="AI867" s="120"/>
      <c r="AJ867" s="2643"/>
      <c r="AK867" s="2643"/>
      <c r="AL867" s="2643"/>
      <c r="AM867" s="2643"/>
      <c r="AN867" s="2559">
        <f t="shared" si="265"/>
        <v>0</v>
      </c>
      <c r="AO867" s="2560"/>
    </row>
    <row r="868" spans="1:41" ht="15.95" customHeight="1" x14ac:dyDescent="0.35">
      <c r="A868" s="2911" t="s">
        <v>1001</v>
      </c>
      <c r="B868" s="2912"/>
      <c r="C868" s="187"/>
      <c r="D868" s="170"/>
      <c r="E868" s="2576"/>
      <c r="F868" s="2880"/>
      <c r="G868" s="2576"/>
      <c r="H868" s="2880"/>
      <c r="I868" s="2565">
        <f>SUM(I869:J886)</f>
        <v>2914000</v>
      </c>
      <c r="J868" s="2892"/>
      <c r="K868" s="279"/>
      <c r="L868" s="196" t="s">
        <v>504</v>
      </c>
      <c r="M868" s="120" t="s">
        <v>1515</v>
      </c>
      <c r="N868" s="120" t="s">
        <v>1243</v>
      </c>
      <c r="O868" s="2643"/>
      <c r="P868" s="2643"/>
      <c r="Q868" s="2643"/>
      <c r="R868" s="2643"/>
      <c r="S868" s="2643">
        <f>400000*1.0928</f>
        <v>437120</v>
      </c>
      <c r="T868" s="2643"/>
      <c r="U868" s="123"/>
      <c r="V868" s="2911" t="s">
        <v>1001</v>
      </c>
      <c r="W868" s="2912"/>
      <c r="X868" s="197"/>
      <c r="Y868" s="170"/>
      <c r="Z868" s="2576"/>
      <c r="AA868" s="2880"/>
      <c r="AB868" s="2576"/>
      <c r="AC868" s="2880"/>
      <c r="AD868" s="2565">
        <f>SUM(AD869:AE886)</f>
        <v>1786000</v>
      </c>
      <c r="AE868" s="2892"/>
      <c r="AF868" s="279"/>
      <c r="AG868" s="196"/>
      <c r="AH868" s="197"/>
      <c r="AI868" s="120"/>
      <c r="AJ868" s="2643"/>
      <c r="AK868" s="2643"/>
      <c r="AL868" s="2643"/>
      <c r="AM868" s="2643"/>
      <c r="AN868" s="2643"/>
      <c r="AO868" s="2643"/>
    </row>
    <row r="869" spans="1:41" ht="15.95" customHeight="1" x14ac:dyDescent="0.2">
      <c r="A869" s="2839" t="s">
        <v>852</v>
      </c>
      <c r="B869" s="2840"/>
      <c r="C869" s="170" t="s">
        <v>496</v>
      </c>
      <c r="D869" s="170" t="s">
        <v>497</v>
      </c>
      <c r="E869" s="2559">
        <v>8</v>
      </c>
      <c r="F869" s="2560"/>
      <c r="G869" s="2559">
        <v>47000</v>
      </c>
      <c r="H869" s="2560">
        <f t="shared" ref="H869" si="268">(36040*6%)+36040</f>
        <v>38202.400000000001</v>
      </c>
      <c r="I869" s="2559">
        <f t="shared" ref="I869:I886" si="269">E869*G869</f>
        <v>376000</v>
      </c>
      <c r="J869" s="2560"/>
      <c r="K869" s="279"/>
      <c r="L869" s="199" t="s">
        <v>876</v>
      </c>
      <c r="M869" s="53"/>
      <c r="N869" s="200"/>
      <c r="O869" s="2893"/>
      <c r="P869" s="2893"/>
      <c r="Q869" s="2893"/>
      <c r="R869" s="2893"/>
      <c r="S869" s="2894">
        <f>SUM(S851:T868)</f>
        <v>7584037.1327999998</v>
      </c>
      <c r="T869" s="2894"/>
      <c r="U869" s="125"/>
      <c r="V869" s="2839" t="s">
        <v>852</v>
      </c>
      <c r="W869" s="2840"/>
      <c r="X869" s="197"/>
      <c r="Y869" s="170"/>
      <c r="Z869" s="2559"/>
      <c r="AA869" s="2560"/>
      <c r="AB869" s="2559"/>
      <c r="AC869" s="2560"/>
      <c r="AD869" s="2559"/>
      <c r="AE869" s="2560"/>
      <c r="AF869" s="279"/>
      <c r="AG869" s="199" t="s">
        <v>876</v>
      </c>
      <c r="AH869" s="53"/>
      <c r="AI869" s="200"/>
      <c r="AJ869" s="2893"/>
      <c r="AK869" s="2893"/>
      <c r="AL869" s="2893"/>
      <c r="AM869" s="2893"/>
      <c r="AN869" s="2894">
        <f>SUM(AN851:AO867)</f>
        <v>4830276</v>
      </c>
      <c r="AO869" s="2894"/>
    </row>
    <row r="870" spans="1:41" ht="15.95" customHeight="1" x14ac:dyDescent="0.3">
      <c r="A870" s="2839" t="s">
        <v>495</v>
      </c>
      <c r="B870" s="2840"/>
      <c r="C870" s="170"/>
      <c r="D870" s="170"/>
      <c r="E870" s="2559"/>
      <c r="F870" s="2560"/>
      <c r="G870" s="2576"/>
      <c r="H870" s="2880"/>
      <c r="I870" s="2559">
        <f t="shared" si="269"/>
        <v>0</v>
      </c>
      <c r="J870" s="2560"/>
      <c r="K870" s="279"/>
      <c r="L870" s="148"/>
      <c r="M870" s="197"/>
      <c r="N870" s="120"/>
      <c r="O870" s="2643"/>
      <c r="P870" s="2643"/>
      <c r="Q870" s="2643"/>
      <c r="R870" s="2643"/>
      <c r="S870" s="2643"/>
      <c r="T870" s="2643"/>
      <c r="U870" s="123"/>
      <c r="V870" s="2839" t="s">
        <v>495</v>
      </c>
      <c r="W870" s="2840"/>
      <c r="X870" s="197"/>
      <c r="Y870" s="170"/>
      <c r="Z870" s="2559"/>
      <c r="AA870" s="2560"/>
      <c r="AB870" s="2559"/>
      <c r="AC870" s="2560"/>
      <c r="AD870" s="2559"/>
      <c r="AE870" s="2560"/>
      <c r="AF870" s="279"/>
      <c r="AG870" s="148"/>
      <c r="AH870" s="197"/>
      <c r="AI870" s="120"/>
      <c r="AJ870" s="2643"/>
      <c r="AK870" s="2643"/>
      <c r="AL870" s="2643"/>
      <c r="AM870" s="2643"/>
      <c r="AN870" s="2643"/>
      <c r="AO870" s="2643"/>
    </row>
    <row r="871" spans="1:41" ht="15.95" customHeight="1" x14ac:dyDescent="0.3">
      <c r="A871" s="2839" t="s">
        <v>1003</v>
      </c>
      <c r="B871" s="2840"/>
      <c r="C871" s="187"/>
      <c r="D871" s="170"/>
      <c r="E871" s="2576"/>
      <c r="F871" s="2880"/>
      <c r="G871" s="2576"/>
      <c r="H871" s="2880"/>
      <c r="I871" s="2559">
        <f t="shared" si="269"/>
        <v>0</v>
      </c>
      <c r="J871" s="2560"/>
      <c r="K871" s="279"/>
      <c r="L871" s="282" t="s">
        <v>806</v>
      </c>
      <c r="M871" s="145"/>
      <c r="N871" s="145"/>
      <c r="O871" s="2890"/>
      <c r="P871" s="2890"/>
      <c r="Q871" s="2890"/>
      <c r="R871" s="2890"/>
      <c r="S871" s="2890"/>
      <c r="T871" s="2891"/>
      <c r="U871" s="26"/>
      <c r="V871" s="2839" t="s">
        <v>1003</v>
      </c>
      <c r="W871" s="2840"/>
      <c r="X871" s="120"/>
      <c r="Y871" s="170"/>
      <c r="Z871" s="2576"/>
      <c r="AA871" s="2880"/>
      <c r="AB871" s="2559"/>
      <c r="AC871" s="2880"/>
      <c r="AD871" s="2559">
        <f>+AB871*Z871</f>
        <v>0</v>
      </c>
      <c r="AE871" s="2560"/>
      <c r="AF871" s="279"/>
      <c r="AG871" s="282" t="s">
        <v>806</v>
      </c>
      <c r="AH871" s="145"/>
      <c r="AI871" s="145"/>
      <c r="AJ871" s="2890"/>
      <c r="AK871" s="2890"/>
      <c r="AL871" s="2890"/>
      <c r="AM871" s="2890"/>
      <c r="AN871" s="2890"/>
      <c r="AO871" s="2891"/>
    </row>
    <row r="872" spans="1:41" ht="15.95" customHeight="1" x14ac:dyDescent="0.3">
      <c r="A872" s="2839" t="s">
        <v>1004</v>
      </c>
      <c r="B872" s="2840"/>
      <c r="C872" s="170"/>
      <c r="D872" s="170"/>
      <c r="E872" s="2576"/>
      <c r="F872" s="2880"/>
      <c r="G872" s="2576"/>
      <c r="H872" s="2880"/>
      <c r="I872" s="2559">
        <f t="shared" si="269"/>
        <v>0</v>
      </c>
      <c r="J872" s="2560"/>
      <c r="K872" s="279"/>
      <c r="L872" s="148" t="s">
        <v>1005</v>
      </c>
      <c r="M872" s="270">
        <v>0.05</v>
      </c>
      <c r="N872" s="45"/>
      <c r="O872" s="2575"/>
      <c r="P872" s="2575"/>
      <c r="Q872" s="2575"/>
      <c r="R872" s="2575"/>
      <c r="S872" s="2575">
        <f>+(S869+I894)*0.05</f>
        <v>633707.85664000001</v>
      </c>
      <c r="T872" s="2560"/>
      <c r="U872" s="26"/>
      <c r="V872" s="2839" t="s">
        <v>1004</v>
      </c>
      <c r="W872" s="2840"/>
      <c r="X872" s="197"/>
      <c r="Y872" s="170"/>
      <c r="Z872" s="2576"/>
      <c r="AA872" s="2880"/>
      <c r="AB872" s="2576"/>
      <c r="AC872" s="2880"/>
      <c r="AD872" s="2559"/>
      <c r="AE872" s="2560"/>
      <c r="AF872" s="279"/>
      <c r="AG872" s="148" t="s">
        <v>1005</v>
      </c>
      <c r="AH872" s="283" t="s">
        <v>1043</v>
      </c>
      <c r="AI872" s="45"/>
      <c r="AJ872" s="2575"/>
      <c r="AK872" s="2575"/>
      <c r="AL872" s="2575"/>
      <c r="AM872" s="2575"/>
      <c r="AN872" s="2575">
        <f>+(AN869+AD894)*0.03</f>
        <v>289395.711648</v>
      </c>
      <c r="AO872" s="2560"/>
    </row>
    <row r="873" spans="1:41" ht="15.95" customHeight="1" x14ac:dyDescent="0.3">
      <c r="A873" s="2839" t="s">
        <v>1006</v>
      </c>
      <c r="B873" s="2840"/>
      <c r="C873" s="170"/>
      <c r="D873" s="170"/>
      <c r="E873" s="2576"/>
      <c r="F873" s="2880"/>
      <c r="G873" s="2576"/>
      <c r="H873" s="2880"/>
      <c r="I873" s="2559">
        <f t="shared" si="269"/>
        <v>0</v>
      </c>
      <c r="J873" s="2560"/>
      <c r="K873" s="279"/>
      <c r="L873" s="151" t="s">
        <v>527</v>
      </c>
      <c r="M873" s="45"/>
      <c r="N873" s="45"/>
      <c r="O873" s="2575"/>
      <c r="P873" s="2575"/>
      <c r="Q873" s="2575"/>
      <c r="R873" s="2575"/>
      <c r="S873" s="2575">
        <f>250000*1.0928</f>
        <v>273200</v>
      </c>
      <c r="T873" s="2560"/>
      <c r="U873" s="26"/>
      <c r="V873" s="2839" t="s">
        <v>1006</v>
      </c>
      <c r="W873" s="2840"/>
      <c r="X873" s="197"/>
      <c r="Y873" s="170"/>
      <c r="Z873" s="2576"/>
      <c r="AA873" s="2880"/>
      <c r="AB873" s="2576"/>
      <c r="AC873" s="2880"/>
      <c r="AD873" s="2559"/>
      <c r="AE873" s="2560"/>
      <c r="AF873" s="279"/>
      <c r="AG873" s="151" t="s">
        <v>527</v>
      </c>
      <c r="AH873" s="45"/>
      <c r="AI873" s="45"/>
      <c r="AJ873" s="2575"/>
      <c r="AK873" s="2575"/>
      <c r="AL873" s="2575"/>
      <c r="AM873" s="2575"/>
      <c r="AN873" s="2575">
        <f>200000*1.0928</f>
        <v>218560</v>
      </c>
      <c r="AO873" s="2560"/>
    </row>
    <row r="874" spans="1:41" ht="15.95" customHeight="1" x14ac:dyDescent="0.3">
      <c r="A874" s="2839" t="s">
        <v>1007</v>
      </c>
      <c r="B874" s="2840"/>
      <c r="C874" s="170"/>
      <c r="D874" s="170"/>
      <c r="E874" s="2576"/>
      <c r="F874" s="2880"/>
      <c r="G874" s="2576"/>
      <c r="H874" s="2880"/>
      <c r="I874" s="2559">
        <f t="shared" si="269"/>
        <v>0</v>
      </c>
      <c r="J874" s="2560"/>
      <c r="K874" s="279"/>
      <c r="L874" s="152" t="s">
        <v>529</v>
      </c>
      <c r="M874" s="45"/>
      <c r="N874" s="45"/>
      <c r="O874" s="2575"/>
      <c r="P874" s="2575"/>
      <c r="Q874" s="2575"/>
      <c r="R874" s="2575"/>
      <c r="S874" s="2575">
        <f>550000*1.0928</f>
        <v>601040</v>
      </c>
      <c r="T874" s="2560"/>
      <c r="U874" s="26"/>
      <c r="V874" s="2839" t="s">
        <v>1007</v>
      </c>
      <c r="W874" s="2840"/>
      <c r="X874" s="197"/>
      <c r="Y874" s="170"/>
      <c r="Z874" s="2576"/>
      <c r="AA874" s="2880"/>
      <c r="AB874" s="2576"/>
      <c r="AC874" s="2880"/>
      <c r="AD874" s="2559"/>
      <c r="AE874" s="2560"/>
      <c r="AF874" s="279"/>
      <c r="AG874" s="152" t="s">
        <v>529</v>
      </c>
      <c r="AH874" s="45"/>
      <c r="AI874" s="45"/>
      <c r="AJ874" s="2575"/>
      <c r="AK874" s="2575"/>
      <c r="AL874" s="2575"/>
      <c r="AM874" s="2575"/>
      <c r="AN874" s="2575">
        <v>550000</v>
      </c>
      <c r="AO874" s="2560"/>
    </row>
    <row r="875" spans="1:41" ht="15.95" customHeight="1" x14ac:dyDescent="0.3">
      <c r="A875" s="2839" t="s">
        <v>1008</v>
      </c>
      <c r="B875" s="2840"/>
      <c r="C875" s="187"/>
      <c r="D875" s="170"/>
      <c r="E875" s="2576"/>
      <c r="F875" s="2880"/>
      <c r="G875" s="2576"/>
      <c r="H875" s="2880"/>
      <c r="I875" s="2559">
        <f t="shared" si="269"/>
        <v>0</v>
      </c>
      <c r="J875" s="2560"/>
      <c r="K875" s="279"/>
      <c r="L875" s="152" t="s">
        <v>726</v>
      </c>
      <c r="M875" s="45"/>
      <c r="N875" s="45"/>
      <c r="O875" s="2575"/>
      <c r="P875" s="2575"/>
      <c r="Q875" s="2575"/>
      <c r="R875" s="2575"/>
      <c r="S875" s="2575">
        <f>(I894+S869)*5%</f>
        <v>633707.85664000001</v>
      </c>
      <c r="T875" s="2560"/>
      <c r="U875" s="26"/>
      <c r="V875" s="2839" t="s">
        <v>1008</v>
      </c>
      <c r="W875" s="2840"/>
      <c r="X875" s="197"/>
      <c r="Y875" s="170"/>
      <c r="Z875" s="2576"/>
      <c r="AA875" s="2880"/>
      <c r="AB875" s="2576"/>
      <c r="AC875" s="2880"/>
      <c r="AD875" s="2559"/>
      <c r="AE875" s="2560"/>
      <c r="AF875" s="279"/>
      <c r="AG875" s="152" t="s">
        <v>726</v>
      </c>
      <c r="AH875" s="45"/>
      <c r="AI875" s="45"/>
      <c r="AJ875" s="2575"/>
      <c r="AK875" s="2575"/>
      <c r="AL875" s="2575"/>
      <c r="AM875" s="2575"/>
      <c r="AN875" s="2575">
        <f>(AN869+AD894)*0.05</f>
        <v>482326.18608000001</v>
      </c>
      <c r="AO875" s="2560"/>
    </row>
    <row r="876" spans="1:41" ht="15.95" customHeight="1" x14ac:dyDescent="0.3">
      <c r="A876" s="2839" t="s">
        <v>1009</v>
      </c>
      <c r="B876" s="2840"/>
      <c r="C876" s="170" t="s">
        <v>496</v>
      </c>
      <c r="D876" s="170" t="s">
        <v>497</v>
      </c>
      <c r="E876" s="2576">
        <v>17</v>
      </c>
      <c r="F876" s="2880"/>
      <c r="G876" s="2559">
        <v>47000</v>
      </c>
      <c r="H876" s="2560">
        <f t="shared" ref="H876:H877" si="270">(36040*6%)+36040</f>
        <v>38202.400000000001</v>
      </c>
      <c r="I876" s="2559">
        <f t="shared" si="269"/>
        <v>799000</v>
      </c>
      <c r="J876" s="2560"/>
      <c r="K876" s="279"/>
      <c r="L876" s="166" t="s">
        <v>504</v>
      </c>
      <c r="M876" s="155"/>
      <c r="N876" s="155"/>
      <c r="O876" s="2557"/>
      <c r="P876" s="2557"/>
      <c r="Q876" s="2557"/>
      <c r="R876" s="2557"/>
      <c r="S876" s="2557">
        <f>250000*1.0928</f>
        <v>273200</v>
      </c>
      <c r="T876" s="2558"/>
      <c r="U876" s="26"/>
      <c r="V876" s="2839" t="s">
        <v>1009</v>
      </c>
      <c r="W876" s="2840"/>
      <c r="X876" s="120" t="s">
        <v>496</v>
      </c>
      <c r="Y876" s="170" t="s">
        <v>497</v>
      </c>
      <c r="Z876" s="2576">
        <v>16</v>
      </c>
      <c r="AA876" s="2880"/>
      <c r="AB876" s="2576">
        <v>47000</v>
      </c>
      <c r="AC876" s="2880">
        <f t="shared" ref="AC876:AC877" si="271">(36040*6%)+36040</f>
        <v>38202.400000000001</v>
      </c>
      <c r="AD876" s="2559">
        <f>+AB876*Z876</f>
        <v>752000</v>
      </c>
      <c r="AE876" s="2560"/>
      <c r="AF876" s="279"/>
      <c r="AG876" s="166" t="s">
        <v>504</v>
      </c>
      <c r="AH876" s="155"/>
      <c r="AI876" s="155"/>
      <c r="AJ876" s="2557"/>
      <c r="AK876" s="2557"/>
      <c r="AL876" s="2557"/>
      <c r="AM876" s="2557"/>
      <c r="AN876" s="2888">
        <f>150000*1.0928</f>
        <v>163920</v>
      </c>
      <c r="AO876" s="2889"/>
    </row>
    <row r="877" spans="1:41" ht="15.95" customHeight="1" x14ac:dyDescent="0.3">
      <c r="A877" s="2839" t="s">
        <v>1010</v>
      </c>
      <c r="B877" s="2840"/>
      <c r="C877" s="170" t="s">
        <v>496</v>
      </c>
      <c r="D877" s="170" t="s">
        <v>497</v>
      </c>
      <c r="E877" s="2576">
        <v>6</v>
      </c>
      <c r="F877" s="2880"/>
      <c r="G877" s="2559">
        <v>47000</v>
      </c>
      <c r="H877" s="2560">
        <f t="shared" si="270"/>
        <v>38202.400000000001</v>
      </c>
      <c r="I877" s="2559">
        <f t="shared" si="269"/>
        <v>282000</v>
      </c>
      <c r="J877" s="2560"/>
      <c r="K877" s="279"/>
      <c r="L877" s="156" t="s">
        <v>533</v>
      </c>
      <c r="M877" s="201"/>
      <c r="N877" s="201"/>
      <c r="O877" s="2885"/>
      <c r="P877" s="2885"/>
      <c r="Q877" s="2886"/>
      <c r="R877" s="2886"/>
      <c r="S877" s="2887">
        <f>SUM(S872:T876)</f>
        <v>2414855.7132799998</v>
      </c>
      <c r="T877" s="2887"/>
      <c r="U877" s="271"/>
      <c r="V877" s="2839" t="s">
        <v>1010</v>
      </c>
      <c r="W877" s="2840"/>
      <c r="X877" s="120" t="s">
        <v>496</v>
      </c>
      <c r="Y877" s="170" t="s">
        <v>497</v>
      </c>
      <c r="Z877" s="2576">
        <v>10</v>
      </c>
      <c r="AA877" s="2880"/>
      <c r="AB877" s="2576">
        <v>47000</v>
      </c>
      <c r="AC877" s="2880">
        <f t="shared" si="271"/>
        <v>38202.400000000001</v>
      </c>
      <c r="AD877" s="2559">
        <f>+AB877*Z877</f>
        <v>470000</v>
      </c>
      <c r="AE877" s="2560"/>
      <c r="AF877" s="279"/>
      <c r="AG877" s="156" t="s">
        <v>533</v>
      </c>
      <c r="AH877" s="201"/>
      <c r="AI877" s="201"/>
      <c r="AJ877" s="2885"/>
      <c r="AK877" s="2885"/>
      <c r="AL877" s="2886"/>
      <c r="AM877" s="2886"/>
      <c r="AN877" s="2887">
        <f>SUM(AN872:AO876)</f>
        <v>1704201.8977279998</v>
      </c>
      <c r="AO877" s="2887"/>
    </row>
    <row r="878" spans="1:41" ht="15.95" customHeight="1" x14ac:dyDescent="0.3">
      <c r="A878" s="2839" t="s">
        <v>1011</v>
      </c>
      <c r="B878" s="2840"/>
      <c r="C878" s="170"/>
      <c r="D878" s="170"/>
      <c r="E878" s="2576"/>
      <c r="F878" s="2880"/>
      <c r="G878" s="2576"/>
      <c r="H878" s="2880"/>
      <c r="I878" s="2559">
        <f t="shared" si="269"/>
        <v>0</v>
      </c>
      <c r="J878" s="2560"/>
      <c r="K878" s="279"/>
      <c r="L878" s="159"/>
      <c r="M878" s="45"/>
      <c r="N878" s="45"/>
      <c r="O878" s="2575"/>
      <c r="P878" s="2575"/>
      <c r="Q878" s="2575"/>
      <c r="R878" s="2575"/>
      <c r="S878" s="2575"/>
      <c r="T878" s="2560"/>
      <c r="U878" s="26"/>
      <c r="V878" s="2839" t="s">
        <v>1011</v>
      </c>
      <c r="W878" s="2840"/>
      <c r="X878" s="197"/>
      <c r="Y878" s="170"/>
      <c r="Z878" s="2576"/>
      <c r="AA878" s="2880"/>
      <c r="AB878" s="2576"/>
      <c r="AC878" s="2880"/>
      <c r="AD878" s="2559"/>
      <c r="AE878" s="2560"/>
      <c r="AF878" s="279"/>
      <c r="AG878" s="159"/>
      <c r="AH878" s="45"/>
      <c r="AI878" s="45"/>
      <c r="AJ878" s="2575"/>
      <c r="AK878" s="2575"/>
      <c r="AL878" s="2575"/>
      <c r="AM878" s="2575"/>
      <c r="AN878" s="2575"/>
      <c r="AO878" s="2560"/>
    </row>
    <row r="879" spans="1:41" ht="15.95" customHeight="1" thickBot="1" x14ac:dyDescent="0.35">
      <c r="A879" s="2839" t="s">
        <v>1051</v>
      </c>
      <c r="B879" s="2840"/>
      <c r="C879" s="170" t="s">
        <v>496</v>
      </c>
      <c r="D879" s="170" t="s">
        <v>497</v>
      </c>
      <c r="E879" s="2576">
        <v>9</v>
      </c>
      <c r="F879" s="2880"/>
      <c r="G879" s="2559">
        <v>47000</v>
      </c>
      <c r="H879" s="2560">
        <f t="shared" ref="H879" si="272">(36040*6%)+36040</f>
        <v>38202.400000000001</v>
      </c>
      <c r="I879" s="2559">
        <f t="shared" si="269"/>
        <v>423000</v>
      </c>
      <c r="J879" s="2560"/>
      <c r="K879" s="279"/>
      <c r="L879" s="160" t="s">
        <v>583</v>
      </c>
      <c r="M879" s="205"/>
      <c r="N879" s="205"/>
      <c r="O879" s="205"/>
      <c r="P879" s="205"/>
      <c r="Q879" s="161"/>
      <c r="R879" s="161"/>
      <c r="S879" s="2580">
        <f>SUM(S877+S869+I894)</f>
        <v>15089012.84608</v>
      </c>
      <c r="T879" s="2581"/>
      <c r="U879" s="271"/>
      <c r="V879" s="2839" t="s">
        <v>1012</v>
      </c>
      <c r="W879" s="2840"/>
      <c r="X879" s="197"/>
      <c r="Y879" s="170"/>
      <c r="Z879" s="2576"/>
      <c r="AA879" s="2880"/>
      <c r="AB879" s="2576"/>
      <c r="AC879" s="2880"/>
      <c r="AD879" s="2559"/>
      <c r="AE879" s="2560"/>
      <c r="AF879" s="279"/>
      <c r="AG879" s="160" t="s">
        <v>583</v>
      </c>
      <c r="AH879" s="205"/>
      <c r="AI879" s="205"/>
      <c r="AJ879" s="205"/>
      <c r="AK879" s="205"/>
      <c r="AL879" s="161"/>
      <c r="AM879" s="161"/>
      <c r="AN879" s="2580">
        <f>SUM(AN877+AN869+AD894)</f>
        <v>11350725.619328</v>
      </c>
      <c r="AO879" s="2581"/>
    </row>
    <row r="880" spans="1:41" ht="15.95" customHeight="1" x14ac:dyDescent="0.3">
      <c r="A880" s="2839" t="s">
        <v>1018</v>
      </c>
      <c r="B880" s="2840"/>
      <c r="C880" s="170"/>
      <c r="D880" s="170"/>
      <c r="E880" s="2559"/>
      <c r="F880" s="2560"/>
      <c r="G880" s="2576"/>
      <c r="H880" s="2880"/>
      <c r="I880" s="2559">
        <f t="shared" si="269"/>
        <v>0</v>
      </c>
      <c r="J880" s="2560"/>
      <c r="K880" s="284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2839" t="s">
        <v>1052</v>
      </c>
      <c r="W880" s="2840"/>
      <c r="X880" s="120" t="s">
        <v>496</v>
      </c>
      <c r="Y880" s="170" t="s">
        <v>497</v>
      </c>
      <c r="Z880" s="2559">
        <v>6</v>
      </c>
      <c r="AA880" s="2560"/>
      <c r="AB880" s="2576">
        <v>47000</v>
      </c>
      <c r="AC880" s="2880">
        <f t="shared" ref="AC880" si="273">(36040*6%)+36040</f>
        <v>38202.400000000001</v>
      </c>
      <c r="AD880" s="2559">
        <f>+AB880*Z880</f>
        <v>282000</v>
      </c>
      <c r="AE880" s="2560"/>
      <c r="AF880" s="284"/>
      <c r="AG880" s="45"/>
      <c r="AH880" s="45"/>
      <c r="AI880" s="45"/>
      <c r="AJ880" s="45"/>
      <c r="AK880" s="45"/>
      <c r="AL880" s="45"/>
      <c r="AM880" s="45"/>
      <c r="AN880" s="45"/>
      <c r="AO880" s="45"/>
    </row>
    <row r="881" spans="1:41" ht="15.95" customHeight="1" x14ac:dyDescent="0.3">
      <c r="A881" s="2839" t="s">
        <v>1019</v>
      </c>
      <c r="B881" s="2840"/>
      <c r="C881" s="170" t="s">
        <v>496</v>
      </c>
      <c r="D881" s="170" t="s">
        <v>497</v>
      </c>
      <c r="E881" s="2576">
        <v>8</v>
      </c>
      <c r="F881" s="2880"/>
      <c r="G881" s="2559">
        <v>47000</v>
      </c>
      <c r="H881" s="2560">
        <f t="shared" ref="H881:H882" si="274">(36040*6%)+36040</f>
        <v>38202.400000000001</v>
      </c>
      <c r="I881" s="2559">
        <f t="shared" si="269"/>
        <v>376000</v>
      </c>
      <c r="J881" s="2560"/>
      <c r="K881" s="279"/>
      <c r="L881" s="7" t="s">
        <v>1528</v>
      </c>
      <c r="M881" s="45"/>
      <c r="N881" s="45"/>
      <c r="O881" s="45"/>
      <c r="P881" s="45"/>
      <c r="Q881" s="45"/>
      <c r="R881" s="45"/>
      <c r="S881" s="45"/>
      <c r="T881" s="45"/>
      <c r="U881" s="45"/>
      <c r="V881" s="2839" t="s">
        <v>1019</v>
      </c>
      <c r="W881" s="2840"/>
      <c r="X881" s="197"/>
      <c r="Y881" s="170"/>
      <c r="Z881" s="2576"/>
      <c r="AA881" s="2880"/>
      <c r="AB881" s="2576"/>
      <c r="AC881" s="2880"/>
      <c r="AD881" s="2559">
        <f>Z881*AB881</f>
        <v>0</v>
      </c>
      <c r="AE881" s="2560"/>
      <c r="AF881" s="279"/>
      <c r="AG881" s="7" t="s">
        <v>1528</v>
      </c>
      <c r="AH881" s="45"/>
      <c r="AI881" s="45"/>
      <c r="AJ881" s="45"/>
      <c r="AK881" s="45"/>
      <c r="AL881" s="45"/>
      <c r="AM881" s="45"/>
      <c r="AN881" s="45"/>
      <c r="AO881" s="45"/>
    </row>
    <row r="882" spans="1:41" ht="15.95" customHeight="1" x14ac:dyDescent="0.3">
      <c r="A882" s="2839" t="s">
        <v>1561</v>
      </c>
      <c r="B882" s="2840"/>
      <c r="C882" s="170" t="s">
        <v>496</v>
      </c>
      <c r="D882" s="170" t="s">
        <v>497</v>
      </c>
      <c r="E882" s="2576">
        <v>3</v>
      </c>
      <c r="F882" s="2880"/>
      <c r="G882" s="2559">
        <v>47000</v>
      </c>
      <c r="H882" s="2560">
        <f t="shared" si="274"/>
        <v>38202.400000000001</v>
      </c>
      <c r="I882" s="2559">
        <f t="shared" si="269"/>
        <v>141000</v>
      </c>
      <c r="J882" s="2560"/>
      <c r="K882" s="279"/>
      <c r="L882" s="597" t="s">
        <v>1584</v>
      </c>
      <c r="M882" s="266"/>
      <c r="N882" s="266"/>
      <c r="O882" s="266"/>
      <c r="P882" s="266"/>
      <c r="Q882" s="1783"/>
      <c r="R882" s="266"/>
      <c r="S882" s="266"/>
      <c r="T882" s="45"/>
      <c r="U882" s="45"/>
      <c r="V882" s="2839" t="s">
        <v>1020</v>
      </c>
      <c r="W882" s="2840"/>
      <c r="X882" s="197"/>
      <c r="Y882" s="170"/>
      <c r="Z882" s="2576"/>
      <c r="AA882" s="2880"/>
      <c r="AB882" s="2576"/>
      <c r="AC882" s="2880"/>
      <c r="AD882" s="2559">
        <f>Z882*AB882</f>
        <v>0</v>
      </c>
      <c r="AE882" s="2560"/>
      <c r="AF882" s="279"/>
      <c r="AG882" s="597" t="s">
        <v>1584</v>
      </c>
      <c r="AH882" s="266"/>
      <c r="AI882" s="266"/>
      <c r="AJ882" s="266"/>
      <c r="AK882" s="266"/>
      <c r="AL882" s="1783"/>
      <c r="AM882" s="266"/>
      <c r="AN882" s="266"/>
      <c r="AO882" s="45"/>
    </row>
    <row r="883" spans="1:41" ht="15.95" customHeight="1" x14ac:dyDescent="0.3">
      <c r="A883" s="2839" t="s">
        <v>1021</v>
      </c>
      <c r="B883" s="2840"/>
      <c r="C883" s="187"/>
      <c r="D883" s="170"/>
      <c r="E883" s="2576"/>
      <c r="F883" s="2880"/>
      <c r="G883" s="2576"/>
      <c r="H883" s="2880"/>
      <c r="I883" s="2559">
        <f t="shared" si="269"/>
        <v>0</v>
      </c>
      <c r="J883" s="2560"/>
      <c r="K883" s="279"/>
      <c r="L883" s="45"/>
      <c r="M883" s="206"/>
      <c r="N883" s="206"/>
      <c r="O883" s="206"/>
      <c r="P883" s="206"/>
      <c r="Q883" s="107"/>
      <c r="R883" s="44"/>
      <c r="S883" s="45"/>
      <c r="T883" s="45"/>
      <c r="U883" s="45"/>
      <c r="V883" s="2839" t="s">
        <v>1021</v>
      </c>
      <c r="W883" s="2840"/>
      <c r="X883" s="197"/>
      <c r="Y883" s="170"/>
      <c r="Z883" s="2576"/>
      <c r="AA883" s="2880"/>
      <c r="AB883" s="2576"/>
      <c r="AC883" s="2880"/>
      <c r="AD883" s="2559">
        <f>Z883*AB883</f>
        <v>0</v>
      </c>
      <c r="AE883" s="2560"/>
      <c r="AF883" s="279"/>
      <c r="AG883" s="45"/>
      <c r="AH883" s="2834"/>
      <c r="AI883" s="2834"/>
      <c r="AJ883" s="2834"/>
      <c r="AK883" s="2834"/>
      <c r="AL883" s="272"/>
      <c r="AM883" s="44"/>
      <c r="AN883" s="45"/>
      <c r="AO883" s="45"/>
    </row>
    <row r="884" spans="1:41" ht="15.95" customHeight="1" x14ac:dyDescent="0.3">
      <c r="A884" s="2839" t="s">
        <v>1022</v>
      </c>
      <c r="B884" s="2840"/>
      <c r="C884" s="170" t="s">
        <v>496</v>
      </c>
      <c r="D884" s="170" t="s">
        <v>497</v>
      </c>
      <c r="E884" s="2559">
        <v>6</v>
      </c>
      <c r="F884" s="2560"/>
      <c r="G884" s="2559">
        <v>47000</v>
      </c>
      <c r="H884" s="2560">
        <f t="shared" ref="H884:H885" si="275">(36040*6%)+36040</f>
        <v>38202.400000000001</v>
      </c>
      <c r="I884" s="2559">
        <f t="shared" si="269"/>
        <v>282000</v>
      </c>
      <c r="J884" s="2560"/>
      <c r="K884" s="279"/>
      <c r="L884" s="45"/>
      <c r="M884" s="206"/>
      <c r="N884" s="206"/>
      <c r="O884" s="206"/>
      <c r="P884" s="206"/>
      <c r="Q884" s="107"/>
      <c r="R884" s="44"/>
      <c r="S884" s="45"/>
      <c r="T884" s="45"/>
      <c r="U884" s="45"/>
      <c r="V884" s="2839" t="s">
        <v>1022</v>
      </c>
      <c r="W884" s="2840"/>
      <c r="X884" s="120" t="s">
        <v>496</v>
      </c>
      <c r="Y884" s="170" t="s">
        <v>497</v>
      </c>
      <c r="Z884" s="2559">
        <v>6</v>
      </c>
      <c r="AA884" s="2560"/>
      <c r="AB884" s="2576">
        <v>47000</v>
      </c>
      <c r="AC884" s="2880">
        <f t="shared" ref="AC884" si="276">(36040*6%)+36040</f>
        <v>38202.400000000001</v>
      </c>
      <c r="AD884" s="2559">
        <f>Z884*AB884</f>
        <v>282000</v>
      </c>
      <c r="AE884" s="2560"/>
      <c r="AF884" s="279"/>
      <c r="AG884" s="45"/>
      <c r="AH884" s="206"/>
      <c r="AI884" s="206"/>
      <c r="AJ884" s="206"/>
      <c r="AK884" s="206"/>
      <c r="AL884" s="107"/>
      <c r="AM884" s="44"/>
      <c r="AN884" s="45"/>
      <c r="AO884" s="45"/>
    </row>
    <row r="885" spans="1:41" ht="15.95" customHeight="1" x14ac:dyDescent="0.2">
      <c r="A885" s="2839" t="s">
        <v>881</v>
      </c>
      <c r="B885" s="2840"/>
      <c r="C885" s="170" t="s">
        <v>496</v>
      </c>
      <c r="D885" s="170" t="s">
        <v>497</v>
      </c>
      <c r="E885" s="2559">
        <v>5</v>
      </c>
      <c r="F885" s="2560"/>
      <c r="G885" s="2559">
        <v>47000</v>
      </c>
      <c r="H885" s="2560">
        <f t="shared" si="275"/>
        <v>38202.400000000001</v>
      </c>
      <c r="I885" s="2559">
        <f t="shared" si="269"/>
        <v>235000</v>
      </c>
      <c r="J885" s="2560"/>
      <c r="K885" s="279"/>
      <c r="L885" s="45"/>
      <c r="M885" s="2834"/>
      <c r="N885" s="2834"/>
      <c r="O885" s="2834"/>
      <c r="P885" s="2834"/>
      <c r="Q885" s="107"/>
      <c r="R885" s="45"/>
      <c r="S885" s="44"/>
      <c r="T885" s="45"/>
      <c r="U885" s="45"/>
      <c r="V885" s="2839" t="s">
        <v>881</v>
      </c>
      <c r="W885" s="2840"/>
      <c r="X885" s="120"/>
      <c r="Y885" s="170"/>
      <c r="Z885" s="2559"/>
      <c r="AA885" s="2560"/>
      <c r="AB885" s="2559"/>
      <c r="AC885" s="2560"/>
      <c r="AD885" s="2559">
        <f>+AB885*Z885</f>
        <v>0</v>
      </c>
      <c r="AE885" s="2560"/>
      <c r="AF885" s="279"/>
      <c r="AG885" s="45"/>
      <c r="AH885" s="206"/>
      <c r="AI885" s="206"/>
      <c r="AJ885" s="206"/>
      <c r="AK885" s="206"/>
      <c r="AL885" s="107"/>
      <c r="AM885" s="45"/>
      <c r="AN885" s="44"/>
      <c r="AO885" s="45"/>
    </row>
    <row r="886" spans="1:41" ht="15.95" customHeight="1" x14ac:dyDescent="0.3">
      <c r="A886" s="2839" t="s">
        <v>882</v>
      </c>
      <c r="B886" s="2840"/>
      <c r="C886" s="170"/>
      <c r="D886" s="170"/>
      <c r="E886" s="2576"/>
      <c r="F886" s="2880"/>
      <c r="G886" s="2576"/>
      <c r="H886" s="2880"/>
      <c r="I886" s="2559">
        <f t="shared" si="269"/>
        <v>0</v>
      </c>
      <c r="J886" s="2560"/>
      <c r="K886" s="279"/>
      <c r="L886" s="45"/>
      <c r="M886" s="2834"/>
      <c r="N886" s="2834"/>
      <c r="O886" s="2834"/>
      <c r="P886" s="2834"/>
      <c r="Q886" s="107"/>
      <c r="R886" s="44"/>
      <c r="S886" s="45"/>
      <c r="T886" s="45"/>
      <c r="U886" s="45"/>
      <c r="V886" s="2839" t="s">
        <v>882</v>
      </c>
      <c r="W886" s="2840"/>
      <c r="X886" s="120"/>
      <c r="Y886" s="170"/>
      <c r="Z886" s="2576"/>
      <c r="AA886" s="2880"/>
      <c r="AB886" s="2559"/>
      <c r="AC886" s="2880"/>
      <c r="AD886" s="2559">
        <f>+AB886*Z886</f>
        <v>0</v>
      </c>
      <c r="AE886" s="2560"/>
      <c r="AF886" s="279"/>
      <c r="AG886" s="45"/>
      <c r="AH886" s="2834"/>
      <c r="AI886" s="2834"/>
      <c r="AJ886" s="2834"/>
      <c r="AK886" s="2834"/>
      <c r="AL886" s="107"/>
      <c r="AM886" s="44"/>
      <c r="AN886" s="45"/>
      <c r="AO886" s="45"/>
    </row>
    <row r="887" spans="1:41" ht="15.95" customHeight="1" x14ac:dyDescent="0.3">
      <c r="A887" s="2911" t="s">
        <v>1023</v>
      </c>
      <c r="B887" s="2912"/>
      <c r="C887" s="187"/>
      <c r="D887" s="170"/>
      <c r="E887" s="2576"/>
      <c r="F887" s="2880"/>
      <c r="G887" s="2576"/>
      <c r="H887" s="2880"/>
      <c r="I887" s="2565">
        <f>SUM(I888:J893)</f>
        <v>437120</v>
      </c>
      <c r="J887" s="2566"/>
      <c r="K887" s="279"/>
      <c r="L887" s="45"/>
      <c r="M887" s="2834"/>
      <c r="N887" s="2834"/>
      <c r="O887" s="2834"/>
      <c r="P887" s="2834"/>
      <c r="Q887" s="273"/>
      <c r="R887" s="44"/>
      <c r="S887" s="45"/>
      <c r="T887" s="45"/>
      <c r="U887" s="45"/>
      <c r="V887" s="2911" t="s">
        <v>1023</v>
      </c>
      <c r="W887" s="2912"/>
      <c r="X887" s="197"/>
      <c r="Y887" s="170"/>
      <c r="Z887" s="2576"/>
      <c r="AA887" s="2880"/>
      <c r="AB887" s="2576"/>
      <c r="AC887" s="2880"/>
      <c r="AD887" s="2565">
        <f>SUM(AD888:AE893)</f>
        <v>3030247.7215999998</v>
      </c>
      <c r="AE887" s="2566"/>
      <c r="AF887" s="279"/>
      <c r="AG887" s="45"/>
      <c r="AH887" s="2834"/>
      <c r="AI887" s="2834"/>
      <c r="AJ887" s="2834"/>
      <c r="AK887" s="2834"/>
      <c r="AL887" s="107"/>
      <c r="AM887" s="44"/>
      <c r="AN887" s="45"/>
      <c r="AO887" s="45"/>
    </row>
    <row r="888" spans="1:41" ht="15.95" customHeight="1" x14ac:dyDescent="0.3">
      <c r="A888" s="2839" t="s">
        <v>884</v>
      </c>
      <c r="B888" s="2840"/>
      <c r="C888" s="170"/>
      <c r="D888" s="170"/>
      <c r="E888" s="2576"/>
      <c r="F888" s="2880"/>
      <c r="G888" s="2576"/>
      <c r="H888" s="2880"/>
      <c r="I888" s="2559">
        <f>E888*G888</f>
        <v>0</v>
      </c>
      <c r="J888" s="2560"/>
      <c r="K888" s="279"/>
      <c r="L888" s="45"/>
      <c r="M888" s="45"/>
      <c r="N888" s="45"/>
      <c r="O888" s="45"/>
      <c r="P888" s="45"/>
      <c r="Q888" s="45"/>
      <c r="R888" s="44"/>
      <c r="S888" s="45"/>
      <c r="T888" s="45"/>
      <c r="U888" s="45"/>
      <c r="V888" s="2839" t="s">
        <v>884</v>
      </c>
      <c r="W888" s="2840"/>
      <c r="X888" s="120" t="s">
        <v>496</v>
      </c>
      <c r="Y888" s="170" t="s">
        <v>497</v>
      </c>
      <c r="Z888" s="2576">
        <v>25</v>
      </c>
      <c r="AA888" s="2880"/>
      <c r="AB888" s="2576">
        <v>47000</v>
      </c>
      <c r="AC888" s="2880">
        <f t="shared" ref="AC888:AC891" si="277">(36040*6%)+36040</f>
        <v>38202.400000000001</v>
      </c>
      <c r="AD888" s="2559">
        <f>Z888*AB888</f>
        <v>1175000</v>
      </c>
      <c r="AE888" s="2560"/>
      <c r="AF888" s="279"/>
      <c r="AG888" s="45"/>
      <c r="AH888" s="2834"/>
      <c r="AI888" s="2834"/>
      <c r="AJ888" s="2834"/>
      <c r="AK888" s="2834"/>
      <c r="AL888" s="273"/>
      <c r="AM888" s="44"/>
      <c r="AN888" s="45"/>
      <c r="AO888" s="45"/>
    </row>
    <row r="889" spans="1:41" ht="15.95" customHeight="1" x14ac:dyDescent="0.3">
      <c r="A889" s="2839" t="s">
        <v>1024</v>
      </c>
      <c r="B889" s="2840"/>
      <c r="C889" s="187"/>
      <c r="D889" s="170"/>
      <c r="E889" s="2576"/>
      <c r="F889" s="2880"/>
      <c r="G889" s="2576"/>
      <c r="H889" s="2880"/>
      <c r="I889" s="2559">
        <f>E889*G889</f>
        <v>0</v>
      </c>
      <c r="J889" s="2560"/>
      <c r="K889" s="279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2839" t="s">
        <v>1024</v>
      </c>
      <c r="W889" s="2840"/>
      <c r="X889" s="120" t="s">
        <v>496</v>
      </c>
      <c r="Y889" s="170" t="s">
        <v>497</v>
      </c>
      <c r="Z889" s="2576">
        <v>4</v>
      </c>
      <c r="AA889" s="2880"/>
      <c r="AB889" s="2576">
        <v>47000</v>
      </c>
      <c r="AC889" s="2880">
        <f t="shared" si="277"/>
        <v>38202.400000000001</v>
      </c>
      <c r="AD889" s="2559">
        <f>Z889*AB889</f>
        <v>188000</v>
      </c>
      <c r="AE889" s="2560"/>
      <c r="AF889" s="279"/>
      <c r="AG889" s="45"/>
      <c r="AH889" s="45"/>
      <c r="AI889" s="45"/>
      <c r="AJ889" s="45"/>
      <c r="AK889" s="45"/>
      <c r="AL889" s="45"/>
      <c r="AM889" s="45"/>
      <c r="AN889" s="45"/>
      <c r="AO889" s="45"/>
    </row>
    <row r="890" spans="1:41" ht="15.95" customHeight="1" x14ac:dyDescent="0.3">
      <c r="A890" s="2839" t="s">
        <v>893</v>
      </c>
      <c r="B890" s="2840"/>
      <c r="C890" s="187"/>
      <c r="D890" s="170"/>
      <c r="E890" s="2576"/>
      <c r="F890" s="2880"/>
      <c r="G890" s="2576"/>
      <c r="H890" s="2880"/>
      <c r="I890" s="2559">
        <f>E890*G890</f>
        <v>0</v>
      </c>
      <c r="J890" s="2560"/>
      <c r="K890" s="279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2839" t="s">
        <v>893</v>
      </c>
      <c r="W890" s="2840"/>
      <c r="X890" s="120" t="s">
        <v>496</v>
      </c>
      <c r="Y890" s="170" t="s">
        <v>497</v>
      </c>
      <c r="Z890" s="2576">
        <v>5</v>
      </c>
      <c r="AA890" s="2880"/>
      <c r="AB890" s="2576">
        <v>47000</v>
      </c>
      <c r="AC890" s="2880">
        <f t="shared" si="277"/>
        <v>38202.400000000001</v>
      </c>
      <c r="AD890" s="2559">
        <f>Z890*AB890</f>
        <v>235000</v>
      </c>
      <c r="AE890" s="2560"/>
      <c r="AF890" s="279"/>
      <c r="AG890" s="45"/>
      <c r="AH890" s="45"/>
      <c r="AI890" s="45"/>
      <c r="AJ890" s="45"/>
      <c r="AK890" s="45"/>
      <c r="AL890" s="45"/>
      <c r="AM890" s="45"/>
      <c r="AN890" s="45"/>
      <c r="AO890" s="45"/>
    </row>
    <row r="891" spans="1:41" ht="15.95" customHeight="1" x14ac:dyDescent="0.3">
      <c r="A891" s="2839" t="s">
        <v>728</v>
      </c>
      <c r="B891" s="2840"/>
      <c r="C891" s="187"/>
      <c r="D891" s="170"/>
      <c r="E891" s="2576"/>
      <c r="F891" s="2880"/>
      <c r="G891" s="2576"/>
      <c r="H891" s="2880"/>
      <c r="I891" s="2559">
        <f>E891*G891</f>
        <v>0</v>
      </c>
      <c r="J891" s="2560"/>
      <c r="K891" s="279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196" t="s">
        <v>728</v>
      </c>
      <c r="W891" s="198"/>
      <c r="X891" s="120" t="s">
        <v>496</v>
      </c>
      <c r="Y891" s="170" t="s">
        <v>497</v>
      </c>
      <c r="Z891" s="2576">
        <v>4</v>
      </c>
      <c r="AA891" s="2577"/>
      <c r="AB891" s="2576">
        <v>47000</v>
      </c>
      <c r="AC891" s="2880">
        <f t="shared" si="277"/>
        <v>38202.400000000001</v>
      </c>
      <c r="AD891" s="2559"/>
      <c r="AE891" s="2560"/>
      <c r="AF891" s="279"/>
      <c r="AG891" s="45"/>
      <c r="AH891" s="45"/>
      <c r="AI891" s="45"/>
      <c r="AJ891" s="45"/>
      <c r="AK891" s="45"/>
      <c r="AL891" s="45"/>
      <c r="AM891" s="45"/>
      <c r="AN891" s="45"/>
      <c r="AO891" s="45"/>
    </row>
    <row r="892" spans="1:41" ht="15.95" customHeight="1" x14ac:dyDescent="0.3">
      <c r="A892" s="2839" t="s">
        <v>886</v>
      </c>
      <c r="B892" s="2840"/>
      <c r="C892" s="187"/>
      <c r="D892" s="170"/>
      <c r="E892" s="2576"/>
      <c r="F892" s="2880"/>
      <c r="G892" s="2576"/>
      <c r="H892" s="2880"/>
      <c r="I892" s="2559">
        <f>E892*G892</f>
        <v>0</v>
      </c>
      <c r="J892" s="2560"/>
      <c r="K892" s="279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2839" t="s">
        <v>765</v>
      </c>
      <c r="W892" s="2840"/>
      <c r="X892" s="197"/>
      <c r="Y892" s="170" t="s">
        <v>794</v>
      </c>
      <c r="Z892" s="2576"/>
      <c r="AA892" s="2880"/>
      <c r="AB892" s="2576"/>
      <c r="AC892" s="2880"/>
      <c r="AD892" s="2559">
        <f>150000*1.0928</f>
        <v>163920</v>
      </c>
      <c r="AE892" s="2560"/>
      <c r="AF892" s="279"/>
      <c r="AG892" s="45"/>
      <c r="AH892" s="45"/>
      <c r="AI892" s="45"/>
      <c r="AJ892" s="45"/>
      <c r="AK892" s="45"/>
      <c r="AL892" s="45"/>
      <c r="AM892" s="45"/>
      <c r="AN892" s="45"/>
      <c r="AO892" s="45"/>
    </row>
    <row r="893" spans="1:41" ht="15.95" customHeight="1" x14ac:dyDescent="0.3">
      <c r="A893" s="2839" t="s">
        <v>765</v>
      </c>
      <c r="B893" s="2840"/>
      <c r="C893" s="187"/>
      <c r="D893" s="170" t="s">
        <v>794</v>
      </c>
      <c r="E893" s="2576"/>
      <c r="F893" s="2880"/>
      <c r="G893" s="2576"/>
      <c r="H893" s="2880"/>
      <c r="I893" s="2559">
        <f>400000*1.0928</f>
        <v>437120</v>
      </c>
      <c r="J893" s="2560"/>
      <c r="K893" s="279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2839" t="s">
        <v>615</v>
      </c>
      <c r="W893" s="2840"/>
      <c r="X893" s="120" t="s">
        <v>763</v>
      </c>
      <c r="Y893" s="170" t="s">
        <v>556</v>
      </c>
      <c r="Z893" s="2576">
        <v>10.8</v>
      </c>
      <c r="AA893" s="2880"/>
      <c r="AB893" s="2559">
        <f>107465*1.0928</f>
        <v>117437.75199999999</v>
      </c>
      <c r="AC893" s="2918"/>
      <c r="AD893" s="2559">
        <f>Z893*AB893</f>
        <v>1268327.7216</v>
      </c>
      <c r="AE893" s="2560"/>
      <c r="AF893" s="279"/>
      <c r="AG893" s="45"/>
      <c r="AH893" s="45"/>
      <c r="AI893" s="45"/>
      <c r="AJ893" s="45"/>
      <c r="AK893" s="45"/>
      <c r="AL893" s="45"/>
      <c r="AM893" s="45"/>
      <c r="AN893" s="45"/>
      <c r="AO893" s="45"/>
    </row>
    <row r="894" spans="1:41" ht="15.95" customHeight="1" thickBot="1" x14ac:dyDescent="0.25">
      <c r="A894" s="208" t="s">
        <v>558</v>
      </c>
      <c r="B894" s="209"/>
      <c r="C894" s="210"/>
      <c r="D894" s="211"/>
      <c r="E894" s="2561">
        <f>SUM(E858:E885)</f>
        <v>99</v>
      </c>
      <c r="F894" s="2562"/>
      <c r="G894" s="2563"/>
      <c r="H894" s="2564"/>
      <c r="I894" s="2561">
        <f>SUM(I887+I868+I857+I853+I850)</f>
        <v>5090120</v>
      </c>
      <c r="J894" s="2562"/>
      <c r="K894" s="279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208" t="s">
        <v>558</v>
      </c>
      <c r="W894" s="209"/>
      <c r="X894" s="210"/>
      <c r="Y894" s="211"/>
      <c r="Z894" s="2561">
        <f>SUM(Z852:AA891)</f>
        <v>76</v>
      </c>
      <c r="AA894" s="2562"/>
      <c r="AB894" s="2563"/>
      <c r="AC894" s="2564"/>
      <c r="AD894" s="2561">
        <f>SUM(AD887+AD868+AD857+AD853+AD850)</f>
        <v>4816247.7215999998</v>
      </c>
      <c r="AE894" s="2562"/>
      <c r="AF894" s="279"/>
      <c r="AG894" s="45"/>
      <c r="AH894" s="45"/>
      <c r="AI894" s="45"/>
      <c r="AJ894" s="45"/>
      <c r="AK894" s="45"/>
      <c r="AL894" s="45"/>
      <c r="AM894" s="45"/>
      <c r="AN894" s="45"/>
      <c r="AO894" s="45"/>
    </row>
    <row r="895" spans="1:41" ht="15.95" customHeight="1" x14ac:dyDescent="0.2">
      <c r="A895" s="45"/>
      <c r="B895" s="45"/>
      <c r="C895" s="45"/>
      <c r="D895" s="45"/>
      <c r="E895" s="45"/>
      <c r="F895" s="45"/>
      <c r="G895" s="45"/>
      <c r="H895" s="274"/>
      <c r="I895" s="275"/>
      <c r="J895" s="275"/>
      <c r="K895" s="286"/>
      <c r="L895" s="45"/>
      <c r="M895" s="45"/>
      <c r="N895" s="45"/>
      <c r="O895" s="45"/>
      <c r="P895" s="45"/>
      <c r="Q895" s="45"/>
      <c r="R895" s="45"/>
      <c r="S895" s="276"/>
      <c r="T895" s="276"/>
      <c r="U895" s="276"/>
      <c r="V895" s="45"/>
      <c r="W895" s="45"/>
      <c r="X895" s="45"/>
      <c r="Y895" s="45"/>
      <c r="Z895" s="45"/>
      <c r="AA895" s="45"/>
      <c r="AB895" s="45"/>
      <c r="AC895" s="274"/>
      <c r="AD895" s="275"/>
      <c r="AE895" s="275"/>
      <c r="AF895" s="286"/>
      <c r="AG895" s="45"/>
      <c r="AH895" s="45"/>
      <c r="AI895" s="45"/>
      <c r="AJ895" s="45"/>
      <c r="AK895" s="45"/>
      <c r="AL895" s="45"/>
      <c r="AM895" s="45"/>
      <c r="AN895" s="276"/>
      <c r="AO895" s="276"/>
    </row>
    <row r="896" spans="1:41" ht="15.95" customHeight="1" x14ac:dyDescent="0.2">
      <c r="S896" s="2909"/>
      <c r="T896" s="2909"/>
      <c r="AN896" s="2910"/>
      <c r="AO896" s="2910"/>
    </row>
    <row r="897" spans="1:41" ht="15.95" customHeight="1" x14ac:dyDescent="0.2"/>
    <row r="898" spans="1:41" ht="15.95" customHeight="1" x14ac:dyDescent="0.2"/>
    <row r="899" spans="1:41" ht="15.95" customHeight="1" x14ac:dyDescent="0.2">
      <c r="A899" s="2611" t="s">
        <v>1975</v>
      </c>
      <c r="B899" s="2611"/>
      <c r="C899" s="2611"/>
      <c r="D899" s="2611"/>
      <c r="E899" s="2611"/>
      <c r="F899" s="2611"/>
      <c r="G899" s="2611"/>
      <c r="H899" s="2611"/>
      <c r="I899" s="2611"/>
      <c r="J899" s="2611"/>
      <c r="K899" s="2611"/>
      <c r="L899" s="2611"/>
      <c r="M899" s="2611"/>
      <c r="N899" s="2611"/>
      <c r="O899" s="2611"/>
      <c r="P899" s="2611"/>
      <c r="Q899" s="2611"/>
      <c r="R899" s="2611"/>
      <c r="S899" s="2611"/>
      <c r="T899" s="2611"/>
      <c r="U899" s="47"/>
      <c r="V899" s="2611" t="s">
        <v>1976</v>
      </c>
      <c r="W899" s="2611"/>
      <c r="X899" s="2611"/>
      <c r="Y899" s="2611"/>
      <c r="Z899" s="2611"/>
      <c r="AA899" s="2611"/>
      <c r="AB899" s="2611"/>
      <c r="AC899" s="2611"/>
      <c r="AD899" s="2611"/>
      <c r="AE899" s="2611"/>
      <c r="AF899" s="2611"/>
      <c r="AG899" s="2611"/>
      <c r="AH899" s="2611"/>
      <c r="AI899" s="2611"/>
      <c r="AJ899" s="2611"/>
      <c r="AK899" s="2611"/>
      <c r="AL899" s="2611"/>
      <c r="AM899" s="2611"/>
      <c r="AN899" s="2611"/>
      <c r="AO899" s="2611"/>
    </row>
    <row r="900" spans="1:41" ht="15.95" customHeight="1" thickBot="1" x14ac:dyDescent="0.25">
      <c r="A900" s="2611"/>
      <c r="B900" s="2611"/>
      <c r="C900" s="2611"/>
      <c r="D900" s="2611"/>
      <c r="E900" s="2611"/>
      <c r="F900" s="2611"/>
      <c r="G900" s="2611"/>
      <c r="H900" s="2611"/>
      <c r="I900" s="2611"/>
      <c r="J900" s="2611"/>
      <c r="K900" s="2611"/>
      <c r="L900" s="2611"/>
      <c r="M900" s="2611"/>
      <c r="N900" s="2611"/>
      <c r="O900" s="2611"/>
      <c r="P900" s="2611"/>
      <c r="Q900" s="2611"/>
      <c r="R900" s="2611"/>
      <c r="S900" s="2611"/>
      <c r="T900" s="2611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279"/>
      <c r="AG900" s="45"/>
      <c r="AH900" s="45"/>
      <c r="AI900" s="45"/>
      <c r="AJ900" s="45"/>
      <c r="AK900" s="45"/>
      <c r="AL900" s="45"/>
      <c r="AM900" s="45"/>
      <c r="AN900" s="45"/>
      <c r="AO900" s="45"/>
    </row>
    <row r="901" spans="1:41" ht="15.95" customHeight="1" x14ac:dyDescent="0.3">
      <c r="A901" s="2618" t="s">
        <v>435</v>
      </c>
      <c r="B901" s="2620"/>
      <c r="C901" s="2618" t="s">
        <v>436</v>
      </c>
      <c r="D901" s="2619"/>
      <c r="E901" s="2619"/>
      <c r="F901" s="2620"/>
      <c r="G901" s="2618" t="s">
        <v>437</v>
      </c>
      <c r="H901" s="2620"/>
      <c r="I901" s="2618" t="s">
        <v>438</v>
      </c>
      <c r="J901" s="2620"/>
      <c r="K901" s="45"/>
      <c r="L901" s="2633" t="s">
        <v>435</v>
      </c>
      <c r="M901" s="2618" t="s">
        <v>436</v>
      </c>
      <c r="N901" s="2619"/>
      <c r="O901" s="2619"/>
      <c r="P901" s="2620"/>
      <c r="Q901" s="2618" t="s">
        <v>437</v>
      </c>
      <c r="R901" s="2620"/>
      <c r="S901" s="2618"/>
      <c r="T901" s="2620"/>
      <c r="U901" s="268"/>
      <c r="V901" s="2618" t="s">
        <v>435</v>
      </c>
      <c r="W901" s="2620"/>
      <c r="X901" s="2618" t="s">
        <v>436</v>
      </c>
      <c r="Y901" s="2619"/>
      <c r="Z901" s="2619"/>
      <c r="AA901" s="2620"/>
      <c r="AB901" s="2618" t="s">
        <v>437</v>
      </c>
      <c r="AC901" s="2620"/>
      <c r="AD901" s="2618" t="s">
        <v>438</v>
      </c>
      <c r="AE901" s="2620"/>
      <c r="AF901" s="45"/>
      <c r="AG901" s="2633" t="s">
        <v>435</v>
      </c>
      <c r="AH901" s="2618" t="s">
        <v>436</v>
      </c>
      <c r="AI901" s="2619"/>
      <c r="AJ901" s="2619"/>
      <c r="AK901" s="2620"/>
      <c r="AL901" s="2618" t="s">
        <v>437</v>
      </c>
      <c r="AM901" s="2620"/>
      <c r="AN901" s="2618"/>
      <c r="AO901" s="2900"/>
    </row>
    <row r="902" spans="1:41" ht="15.95" customHeight="1" thickBot="1" x14ac:dyDescent="0.35">
      <c r="A902" s="2631"/>
      <c r="B902" s="2632"/>
      <c r="C902" s="2621"/>
      <c r="D902" s="2622"/>
      <c r="E902" s="2622"/>
      <c r="F902" s="2623"/>
      <c r="G902" s="2631" t="s">
        <v>440</v>
      </c>
      <c r="H902" s="2632"/>
      <c r="I902" s="2631"/>
      <c r="J902" s="2632"/>
      <c r="K902" s="45"/>
      <c r="L902" s="2670"/>
      <c r="M902" s="2621"/>
      <c r="N902" s="2622"/>
      <c r="O902" s="2622"/>
      <c r="P902" s="2623"/>
      <c r="Q902" s="2631" t="s">
        <v>440</v>
      </c>
      <c r="R902" s="2632"/>
      <c r="S902" s="2631" t="s">
        <v>274</v>
      </c>
      <c r="T902" s="2632"/>
      <c r="U902" s="268"/>
      <c r="V902" s="2631"/>
      <c r="W902" s="2632"/>
      <c r="X902" s="2621"/>
      <c r="Y902" s="2622"/>
      <c r="Z902" s="2622"/>
      <c r="AA902" s="2623"/>
      <c r="AB902" s="2631" t="s">
        <v>440</v>
      </c>
      <c r="AC902" s="2632"/>
      <c r="AD902" s="2631"/>
      <c r="AE902" s="2632"/>
      <c r="AF902" s="45"/>
      <c r="AG902" s="2670"/>
      <c r="AH902" s="2621"/>
      <c r="AI902" s="2622"/>
      <c r="AJ902" s="2622"/>
      <c r="AK902" s="2623"/>
      <c r="AL902" s="2631" t="s">
        <v>440</v>
      </c>
      <c r="AM902" s="2632"/>
      <c r="AN902" s="2631" t="s">
        <v>274</v>
      </c>
      <c r="AO902" s="2880"/>
    </row>
    <row r="903" spans="1:41" ht="15.95" customHeight="1" x14ac:dyDescent="0.3">
      <c r="A903" s="2631"/>
      <c r="B903" s="2632"/>
      <c r="C903" s="53" t="s">
        <v>441</v>
      </c>
      <c r="D903" s="2670" t="s">
        <v>442</v>
      </c>
      <c r="E903" s="2631" t="s">
        <v>443</v>
      </c>
      <c r="F903" s="2632"/>
      <c r="G903" s="2631" t="s">
        <v>444</v>
      </c>
      <c r="H903" s="2632"/>
      <c r="I903" s="2631" t="s">
        <v>348</v>
      </c>
      <c r="J903" s="2632"/>
      <c r="K903" s="45"/>
      <c r="L903" s="2670"/>
      <c r="M903" s="51" t="s">
        <v>441</v>
      </c>
      <c r="N903" s="2633" t="s">
        <v>442</v>
      </c>
      <c r="O903" s="2618" t="s">
        <v>443</v>
      </c>
      <c r="P903" s="2620"/>
      <c r="Q903" s="2631" t="s">
        <v>444</v>
      </c>
      <c r="R903" s="2632"/>
      <c r="S903" s="2631" t="s">
        <v>348</v>
      </c>
      <c r="T903" s="2632"/>
      <c r="U903" s="268"/>
      <c r="V903" s="2631"/>
      <c r="W903" s="2632"/>
      <c r="X903" s="53" t="s">
        <v>441</v>
      </c>
      <c r="Y903" s="2670" t="s">
        <v>442</v>
      </c>
      <c r="Z903" s="2631" t="s">
        <v>443</v>
      </c>
      <c r="AA903" s="2632"/>
      <c r="AB903" s="2631" t="s">
        <v>444</v>
      </c>
      <c r="AC903" s="2632"/>
      <c r="AD903" s="2631" t="s">
        <v>348</v>
      </c>
      <c r="AE903" s="2632"/>
      <c r="AF903" s="45"/>
      <c r="AG903" s="2670"/>
      <c r="AH903" s="51" t="s">
        <v>441</v>
      </c>
      <c r="AI903" s="2670" t="s">
        <v>442</v>
      </c>
      <c r="AJ903" s="2631" t="s">
        <v>443</v>
      </c>
      <c r="AK903" s="2632"/>
      <c r="AL903" s="2631" t="s">
        <v>444</v>
      </c>
      <c r="AM903" s="2632"/>
      <c r="AN903" s="2631" t="s">
        <v>348</v>
      </c>
      <c r="AO903" s="2880"/>
    </row>
    <row r="904" spans="1:41" ht="15.95" customHeight="1" thickBot="1" x14ac:dyDescent="0.35">
      <c r="A904" s="2621"/>
      <c r="B904" s="2623"/>
      <c r="C904" s="54" t="s">
        <v>445</v>
      </c>
      <c r="D904" s="2634"/>
      <c r="E904" s="2621"/>
      <c r="F904" s="2623"/>
      <c r="G904" s="2621"/>
      <c r="H904" s="2623"/>
      <c r="I904" s="2621"/>
      <c r="J904" s="2623"/>
      <c r="K904" s="45"/>
      <c r="L904" s="2634"/>
      <c r="M904" s="50" t="s">
        <v>445</v>
      </c>
      <c r="N904" s="2634"/>
      <c r="O904" s="2621"/>
      <c r="P904" s="2623"/>
      <c r="Q904" s="2621"/>
      <c r="R904" s="2623"/>
      <c r="S904" s="2621"/>
      <c r="T904" s="2623"/>
      <c r="U904" s="268"/>
      <c r="V904" s="2621"/>
      <c r="W904" s="2623"/>
      <c r="X904" s="54" t="s">
        <v>445</v>
      </c>
      <c r="Y904" s="2634"/>
      <c r="Z904" s="2621"/>
      <c r="AA904" s="2623"/>
      <c r="AB904" s="2621"/>
      <c r="AC904" s="2623"/>
      <c r="AD904" s="2621"/>
      <c r="AE904" s="2623"/>
      <c r="AF904" s="45"/>
      <c r="AG904" s="2634"/>
      <c r="AH904" s="50" t="s">
        <v>445</v>
      </c>
      <c r="AI904" s="2634"/>
      <c r="AJ904" s="2621"/>
      <c r="AK904" s="2623"/>
      <c r="AL904" s="2621"/>
      <c r="AM904" s="2623"/>
      <c r="AN904" s="2901"/>
      <c r="AO904" s="2902"/>
    </row>
    <row r="905" spans="1:41" ht="15.95" customHeight="1" x14ac:dyDescent="0.3">
      <c r="A905" s="2898" t="s">
        <v>446</v>
      </c>
      <c r="B905" s="2899"/>
      <c r="C905" s="1938"/>
      <c r="D905" s="60"/>
      <c r="E905" s="1948"/>
      <c r="F905" s="1940"/>
      <c r="G905" s="2576"/>
      <c r="H905" s="2880"/>
      <c r="I905" s="2559"/>
      <c r="J905" s="2880"/>
      <c r="K905" s="279"/>
      <c r="L905" s="59" t="s">
        <v>447</v>
      </c>
      <c r="M905" s="1939"/>
      <c r="N905" s="1940"/>
      <c r="O905" s="1941"/>
      <c r="P905" s="1949"/>
      <c r="Q905" s="2605"/>
      <c r="R905" s="2606"/>
      <c r="S905" s="2605"/>
      <c r="T905" s="2606"/>
      <c r="U905" s="26"/>
      <c r="V905" s="2898" t="s">
        <v>446</v>
      </c>
      <c r="W905" s="2899"/>
      <c r="X905" s="1938"/>
      <c r="Y905" s="60"/>
      <c r="Z905" s="1948"/>
      <c r="AA905" s="1940"/>
      <c r="AB905" s="2576"/>
      <c r="AC905" s="2880"/>
      <c r="AD905" s="2576"/>
      <c r="AE905" s="2880"/>
      <c r="AF905" s="279"/>
      <c r="AG905" s="59" t="s">
        <v>447</v>
      </c>
      <c r="AH905" s="1939"/>
      <c r="AI905" s="1940"/>
      <c r="AJ905" s="2605"/>
      <c r="AK905" s="2606"/>
      <c r="AL905" s="2605"/>
      <c r="AM905" s="2606"/>
      <c r="AN905" s="2605"/>
      <c r="AO905" s="2606"/>
    </row>
    <row r="906" spans="1:41" ht="15.95" customHeight="1" x14ac:dyDescent="0.35">
      <c r="A906" s="2667" t="s">
        <v>979</v>
      </c>
      <c r="B906" s="2668"/>
      <c r="C906" s="77"/>
      <c r="D906" s="1942"/>
      <c r="E906" s="1948"/>
      <c r="F906" s="1944"/>
      <c r="G906" s="2576"/>
      <c r="H906" s="2880"/>
      <c r="I906" s="2897">
        <f>SUM(I907:I908)</f>
        <v>0</v>
      </c>
      <c r="J906" s="2892"/>
      <c r="K906" s="279"/>
      <c r="L906" s="62"/>
      <c r="M906" s="1943"/>
      <c r="N906" s="1944"/>
      <c r="O906" s="1937"/>
      <c r="P906" s="89"/>
      <c r="Q906" s="2559"/>
      <c r="R906" s="2560"/>
      <c r="S906" s="2559"/>
      <c r="T906" s="2560"/>
      <c r="U906" s="26"/>
      <c r="V906" s="2667" t="s">
        <v>979</v>
      </c>
      <c r="W906" s="2668"/>
      <c r="X906" s="1945"/>
      <c r="Y906" s="60"/>
      <c r="Z906" s="1948"/>
      <c r="AA906" s="1944"/>
      <c r="AB906" s="2576"/>
      <c r="AC906" s="2880"/>
      <c r="AD906" s="2897">
        <f>SUM(AD907:AD908)</f>
        <v>0</v>
      </c>
      <c r="AE906" s="2892"/>
      <c r="AF906" s="279"/>
      <c r="AG906" s="62"/>
      <c r="AH906" s="1943"/>
      <c r="AI906" s="1944"/>
      <c r="AJ906" s="2559"/>
      <c r="AK906" s="2560"/>
      <c r="AL906" s="2559"/>
      <c r="AM906" s="2560"/>
      <c r="AN906" s="2559"/>
      <c r="AO906" s="2560"/>
    </row>
    <row r="907" spans="1:41" ht="15.95" customHeight="1" x14ac:dyDescent="0.3">
      <c r="A907" s="2663" t="s">
        <v>980</v>
      </c>
      <c r="B907" s="2664"/>
      <c r="C907" s="60"/>
      <c r="D907" s="60"/>
      <c r="E907" s="1948"/>
      <c r="F907" s="1944"/>
      <c r="G907" s="2576"/>
      <c r="H907" s="2880"/>
      <c r="I907" s="2576"/>
      <c r="J907" s="2880"/>
      <c r="K907" s="279"/>
      <c r="L907" s="62" t="s">
        <v>450</v>
      </c>
      <c r="M907" s="1944"/>
      <c r="N907" s="1944"/>
      <c r="O907" s="1937"/>
      <c r="P907" s="89"/>
      <c r="Q907" s="2559"/>
      <c r="R907" s="2560"/>
      <c r="S907" s="2559">
        <f>O907*Q907</f>
        <v>0</v>
      </c>
      <c r="T907" s="2560"/>
      <c r="U907" s="26"/>
      <c r="V907" s="2663" t="s">
        <v>980</v>
      </c>
      <c r="W907" s="2664"/>
      <c r="X907" s="1945"/>
      <c r="Y907" s="60"/>
      <c r="Z907" s="1948"/>
      <c r="AA907" s="1944"/>
      <c r="AB907" s="2576"/>
      <c r="AC907" s="2880"/>
      <c r="AD907" s="2576"/>
      <c r="AE907" s="2880"/>
      <c r="AF907" s="279"/>
      <c r="AG907" s="62" t="s">
        <v>450</v>
      </c>
      <c r="AH907" s="1944"/>
      <c r="AI907" s="1944"/>
      <c r="AJ907" s="2559"/>
      <c r="AK907" s="2560"/>
      <c r="AL907" s="2559"/>
      <c r="AM907" s="2560"/>
      <c r="AN907" s="2559"/>
      <c r="AO907" s="2560"/>
    </row>
    <row r="908" spans="1:41" ht="15.95" customHeight="1" x14ac:dyDescent="0.3">
      <c r="A908" s="2663" t="s">
        <v>981</v>
      </c>
      <c r="B908" s="2664"/>
      <c r="C908" s="60"/>
      <c r="D908" s="60"/>
      <c r="E908" s="1948"/>
      <c r="F908" s="1944"/>
      <c r="G908" s="2576"/>
      <c r="H908" s="2880"/>
      <c r="I908" s="2576"/>
      <c r="J908" s="2880"/>
      <c r="K908" s="279"/>
      <c r="L908" s="62" t="s">
        <v>853</v>
      </c>
      <c r="M908" s="1944" t="s">
        <v>767</v>
      </c>
      <c r="N908" s="1944" t="s">
        <v>597</v>
      </c>
      <c r="O908" s="2569">
        <v>1600</v>
      </c>
      <c r="P908" s="2570"/>
      <c r="Q908" s="2559">
        <f>4425*1.0928</f>
        <v>4835.6400000000003</v>
      </c>
      <c r="R908" s="2560"/>
      <c r="S908" s="2559">
        <f t="shared" ref="S908:S923" si="278">O908*Q908</f>
        <v>7737024.0000000009</v>
      </c>
      <c r="T908" s="2560"/>
      <c r="U908" s="26"/>
      <c r="V908" s="2663" t="s">
        <v>981</v>
      </c>
      <c r="W908" s="2664"/>
      <c r="X908" s="1945"/>
      <c r="Y908" s="60"/>
      <c r="Z908" s="1948"/>
      <c r="AA908" s="1944"/>
      <c r="AB908" s="2559"/>
      <c r="AC908" s="2880"/>
      <c r="AD908" s="2559">
        <f>+AB908*Z908</f>
        <v>0</v>
      </c>
      <c r="AE908" s="2560"/>
      <c r="AF908" s="279"/>
      <c r="AG908" s="62" t="s">
        <v>853</v>
      </c>
      <c r="AH908" s="1944"/>
      <c r="AI908" s="1944"/>
      <c r="AJ908" s="2559"/>
      <c r="AK908" s="2560"/>
      <c r="AL908" s="2559"/>
      <c r="AM908" s="2560"/>
      <c r="AN908" s="2559">
        <f>AJ908*AL908</f>
        <v>0</v>
      </c>
      <c r="AO908" s="2560"/>
    </row>
    <row r="909" spans="1:41" ht="15.95" customHeight="1" x14ac:dyDescent="0.35">
      <c r="A909" s="2667" t="s">
        <v>990</v>
      </c>
      <c r="B909" s="2668"/>
      <c r="C909" s="1946"/>
      <c r="D909" s="60"/>
      <c r="E909" s="1948"/>
      <c r="F909" s="1944"/>
      <c r="G909" s="2576"/>
      <c r="H909" s="2880"/>
      <c r="I909" s="2897">
        <f>SUM(I910:J912)</f>
        <v>0</v>
      </c>
      <c r="J909" s="2892"/>
      <c r="K909" s="279"/>
      <c r="L909" s="62" t="s">
        <v>859</v>
      </c>
      <c r="M909" s="1944" t="s">
        <v>576</v>
      </c>
      <c r="N909" s="1944" t="s">
        <v>473</v>
      </c>
      <c r="O909" s="2569">
        <v>4</v>
      </c>
      <c r="P909" s="2570"/>
      <c r="Q909" s="2559">
        <f>17709*1.0928</f>
        <v>19352.395199999999</v>
      </c>
      <c r="R909" s="2560"/>
      <c r="S909" s="2559">
        <f t="shared" si="278"/>
        <v>77409.580799999996</v>
      </c>
      <c r="T909" s="2560"/>
      <c r="U909" s="26"/>
      <c r="V909" s="2667" t="s">
        <v>990</v>
      </c>
      <c r="W909" s="2668"/>
      <c r="X909" s="1945"/>
      <c r="Y909" s="60"/>
      <c r="Z909" s="1948"/>
      <c r="AA909" s="1944"/>
      <c r="AB909" s="2576"/>
      <c r="AC909" s="2880"/>
      <c r="AD909" s="2897">
        <f>SUM(AD910:AE912)</f>
        <v>0</v>
      </c>
      <c r="AE909" s="2892"/>
      <c r="AF909" s="279"/>
      <c r="AG909" s="62" t="s">
        <v>859</v>
      </c>
      <c r="AH909" s="1944" t="s">
        <v>576</v>
      </c>
      <c r="AI909" s="1944" t="s">
        <v>473</v>
      </c>
      <c r="AJ909" s="2569">
        <v>4</v>
      </c>
      <c r="AK909" s="2570"/>
      <c r="AL909" s="2559">
        <f t="shared" ref="AL909:AL914" si="279">+Q909</f>
        <v>19352.395199999999</v>
      </c>
      <c r="AM909" s="2560"/>
      <c r="AN909" s="2559">
        <f>AJ909*AL909</f>
        <v>77409.580799999996</v>
      </c>
      <c r="AO909" s="2560"/>
    </row>
    <row r="910" spans="1:41" ht="15.95" customHeight="1" x14ac:dyDescent="0.3">
      <c r="A910" s="2663" t="s">
        <v>991</v>
      </c>
      <c r="B910" s="2664"/>
      <c r="C910" s="60"/>
      <c r="D910" s="60"/>
      <c r="E910" s="1948"/>
      <c r="F910" s="1944"/>
      <c r="G910" s="2576"/>
      <c r="H910" s="2880"/>
      <c r="I910" s="2576"/>
      <c r="J910" s="2880"/>
      <c r="K910" s="279"/>
      <c r="L910" s="62" t="s">
        <v>861</v>
      </c>
      <c r="M910" s="1944" t="s">
        <v>1520</v>
      </c>
      <c r="N910" s="1944" t="s">
        <v>473</v>
      </c>
      <c r="O910" s="2569">
        <v>2</v>
      </c>
      <c r="P910" s="2570"/>
      <c r="Q910" s="2559">
        <f>40187*1.0928</f>
        <v>43916.353600000002</v>
      </c>
      <c r="R910" s="2560"/>
      <c r="S910" s="2559">
        <f t="shared" si="278"/>
        <v>87832.707200000004</v>
      </c>
      <c r="T910" s="2560"/>
      <c r="U910" s="26"/>
      <c r="V910" s="2663" t="s">
        <v>991</v>
      </c>
      <c r="W910" s="2664"/>
      <c r="X910" s="1945"/>
      <c r="Y910" s="60"/>
      <c r="Z910" s="1948"/>
      <c r="AA910" s="1944"/>
      <c r="AB910" s="2576"/>
      <c r="AC910" s="2880"/>
      <c r="AD910" s="2576"/>
      <c r="AE910" s="2880"/>
      <c r="AF910" s="279"/>
      <c r="AG910" s="62" t="s">
        <v>861</v>
      </c>
      <c r="AH910" s="1944" t="s">
        <v>1520</v>
      </c>
      <c r="AI910" s="1944" t="s">
        <v>473</v>
      </c>
      <c r="AJ910" s="2569">
        <v>4</v>
      </c>
      <c r="AK910" s="2570"/>
      <c r="AL910" s="2559">
        <f t="shared" si="279"/>
        <v>43916.353600000002</v>
      </c>
      <c r="AM910" s="2560"/>
      <c r="AN910" s="2559">
        <v>95000</v>
      </c>
      <c r="AO910" s="2560"/>
    </row>
    <row r="911" spans="1:41" ht="15.95" customHeight="1" x14ac:dyDescent="0.3">
      <c r="A911" s="2663" t="s">
        <v>981</v>
      </c>
      <c r="B911" s="2664"/>
      <c r="C911" s="60"/>
      <c r="D911" s="60"/>
      <c r="E911" s="1948"/>
      <c r="F911" s="1944"/>
      <c r="G911" s="2576"/>
      <c r="H911" s="2880"/>
      <c r="I911" s="2576"/>
      <c r="J911" s="2880"/>
      <c r="K911" s="279"/>
      <c r="L911" s="62" t="s">
        <v>863</v>
      </c>
      <c r="M911" s="1944" t="s">
        <v>716</v>
      </c>
      <c r="N911" s="1944" t="s">
        <v>473</v>
      </c>
      <c r="O911" s="2569">
        <v>1</v>
      </c>
      <c r="P911" s="2570"/>
      <c r="Q911" s="2559">
        <f>71073*1.0928</f>
        <v>77668.574399999998</v>
      </c>
      <c r="R911" s="2560"/>
      <c r="S911" s="2559">
        <f t="shared" si="278"/>
        <v>77668.574399999998</v>
      </c>
      <c r="T911" s="2560"/>
      <c r="U911" s="26"/>
      <c r="V911" s="2663" t="s">
        <v>981</v>
      </c>
      <c r="W911" s="2664"/>
      <c r="X911" s="1945"/>
      <c r="Y911" s="60"/>
      <c r="Z911" s="1948"/>
      <c r="AA911" s="1944"/>
      <c r="AB911" s="2576"/>
      <c r="AC911" s="2880"/>
      <c r="AD911" s="2576"/>
      <c r="AE911" s="2880"/>
      <c r="AF911" s="279"/>
      <c r="AG911" s="62" t="s">
        <v>863</v>
      </c>
      <c r="AH911" s="1944" t="s">
        <v>716</v>
      </c>
      <c r="AI911" s="1944" t="s">
        <v>473</v>
      </c>
      <c r="AJ911" s="2569">
        <v>2</v>
      </c>
      <c r="AK911" s="2570"/>
      <c r="AL911" s="2559">
        <f t="shared" si="279"/>
        <v>77668.574399999998</v>
      </c>
      <c r="AM911" s="2560"/>
      <c r="AN911" s="2559">
        <v>75000</v>
      </c>
      <c r="AO911" s="2560"/>
    </row>
    <row r="912" spans="1:41" ht="15.95" customHeight="1" x14ac:dyDescent="0.3">
      <c r="A912" s="2663" t="s">
        <v>992</v>
      </c>
      <c r="B912" s="2664"/>
      <c r="C912" s="60"/>
      <c r="D912" s="60"/>
      <c r="E912" s="1948"/>
      <c r="F912" s="1944"/>
      <c r="G912" s="2576"/>
      <c r="H912" s="2880"/>
      <c r="I912" s="2576"/>
      <c r="J912" s="2880"/>
      <c r="K912" s="279"/>
      <c r="L912" s="62" t="s">
        <v>534</v>
      </c>
      <c r="M912" s="1944" t="s">
        <v>459</v>
      </c>
      <c r="N912" s="1944" t="s">
        <v>851</v>
      </c>
      <c r="O912" s="2569">
        <v>6</v>
      </c>
      <c r="P912" s="2570"/>
      <c r="Q912" s="2559">
        <v>149734</v>
      </c>
      <c r="R912" s="2560"/>
      <c r="S912" s="2559">
        <f t="shared" si="278"/>
        <v>898404</v>
      </c>
      <c r="T912" s="2560"/>
      <c r="U912" s="26"/>
      <c r="V912" s="2663" t="s">
        <v>992</v>
      </c>
      <c r="W912" s="2664"/>
      <c r="X912" s="1945"/>
      <c r="Y912" s="60"/>
      <c r="Z912" s="1948"/>
      <c r="AA912" s="1944"/>
      <c r="AB912" s="2576"/>
      <c r="AC912" s="2880"/>
      <c r="AD912" s="2576"/>
      <c r="AE912" s="2880"/>
      <c r="AF912" s="279"/>
      <c r="AG912" s="62" t="s">
        <v>534</v>
      </c>
      <c r="AH912" s="1944" t="s">
        <v>459</v>
      </c>
      <c r="AI912" s="1944" t="s">
        <v>851</v>
      </c>
      <c r="AJ912" s="2569">
        <v>6</v>
      </c>
      <c r="AK912" s="2570"/>
      <c r="AL912" s="2559">
        <f t="shared" si="279"/>
        <v>149734</v>
      </c>
      <c r="AM912" s="2560"/>
      <c r="AN912" s="2559">
        <f>AJ912*AL912</f>
        <v>898404</v>
      </c>
      <c r="AO912" s="2560"/>
    </row>
    <row r="913" spans="1:42" ht="15.95" customHeight="1" x14ac:dyDescent="0.35">
      <c r="A913" s="2667" t="s">
        <v>993</v>
      </c>
      <c r="B913" s="2668"/>
      <c r="C913" s="1945"/>
      <c r="D913" s="60"/>
      <c r="E913" s="1948"/>
      <c r="F913" s="1944"/>
      <c r="G913" s="2576"/>
      <c r="H913" s="2880"/>
      <c r="I913" s="2565">
        <f>SUM(I914:J923)</f>
        <v>1315279.75</v>
      </c>
      <c r="J913" s="2892"/>
      <c r="K913" s="279"/>
      <c r="L913" s="1942" t="s">
        <v>535</v>
      </c>
      <c r="M913" s="1944" t="s">
        <v>753</v>
      </c>
      <c r="N913" s="1944" t="s">
        <v>851</v>
      </c>
      <c r="O913" s="2569">
        <v>6</v>
      </c>
      <c r="P913" s="2570"/>
      <c r="Q913" s="2895">
        <v>188974</v>
      </c>
      <c r="R913" s="2896"/>
      <c r="S913" s="2559">
        <f t="shared" si="278"/>
        <v>1133844</v>
      </c>
      <c r="T913" s="2560"/>
      <c r="U913" s="26"/>
      <c r="V913" s="2667" t="s">
        <v>993</v>
      </c>
      <c r="W913" s="2668"/>
      <c r="X913" s="1942"/>
      <c r="Y913" s="60"/>
      <c r="Z913" s="1948"/>
      <c r="AA913" s="1944"/>
      <c r="AB913" s="2576"/>
      <c r="AC913" s="2880"/>
      <c r="AD913" s="2565">
        <f>SUM(AD914:AE923)</f>
        <v>376000</v>
      </c>
      <c r="AE913" s="2892"/>
      <c r="AF913" s="279"/>
      <c r="AG913" s="1942" t="s">
        <v>535</v>
      </c>
      <c r="AH913" s="1944" t="s">
        <v>753</v>
      </c>
      <c r="AI913" s="1944" t="s">
        <v>851</v>
      </c>
      <c r="AJ913" s="2569">
        <v>8</v>
      </c>
      <c r="AK913" s="2570"/>
      <c r="AL913" s="2559">
        <f t="shared" si="279"/>
        <v>188974</v>
      </c>
      <c r="AM913" s="2560"/>
      <c r="AN913" s="2559">
        <f>AJ913*AL913</f>
        <v>1511792</v>
      </c>
      <c r="AO913" s="2560"/>
    </row>
    <row r="914" spans="1:42" ht="15.95" customHeight="1" x14ac:dyDescent="0.3">
      <c r="A914" s="2663" t="s">
        <v>995</v>
      </c>
      <c r="B914" s="2664"/>
      <c r="C914" s="60"/>
      <c r="D914" s="60"/>
      <c r="E914" s="1937"/>
      <c r="F914" s="89"/>
      <c r="G914" s="2576"/>
      <c r="H914" s="2880"/>
      <c r="I914" s="2559">
        <f t="shared" ref="I914:I923" si="280">E914*G914</f>
        <v>0</v>
      </c>
      <c r="J914" s="2560"/>
      <c r="K914" s="279"/>
      <c r="L914" s="62" t="s">
        <v>537</v>
      </c>
      <c r="M914" s="1944" t="s">
        <v>566</v>
      </c>
      <c r="N914" s="1944" t="s">
        <v>473</v>
      </c>
      <c r="O914" s="2569">
        <v>8</v>
      </c>
      <c r="P914" s="2570"/>
      <c r="Q914" s="2559">
        <v>28583</v>
      </c>
      <c r="R914" s="2560"/>
      <c r="S914" s="2559">
        <f t="shared" si="278"/>
        <v>228664</v>
      </c>
      <c r="T914" s="2560"/>
      <c r="U914" s="26"/>
      <c r="V914" s="2663" t="s">
        <v>995</v>
      </c>
      <c r="W914" s="2664"/>
      <c r="X914" s="1942"/>
      <c r="Y914" s="60"/>
      <c r="Z914" s="1937"/>
      <c r="AA914" s="89"/>
      <c r="AB914" s="2559"/>
      <c r="AC914" s="2560"/>
      <c r="AD914" s="2559"/>
      <c r="AE914" s="2560"/>
      <c r="AF914" s="279"/>
      <c r="AG914" s="62" t="s">
        <v>537</v>
      </c>
      <c r="AH914" s="1944" t="s">
        <v>566</v>
      </c>
      <c r="AI914" s="1944" t="s">
        <v>473</v>
      </c>
      <c r="AJ914" s="2569">
        <v>8</v>
      </c>
      <c r="AK914" s="2570"/>
      <c r="AL914" s="2559">
        <f t="shared" si="279"/>
        <v>28583</v>
      </c>
      <c r="AM914" s="2560"/>
      <c r="AN914" s="2559">
        <f>AJ914*AL914</f>
        <v>228664</v>
      </c>
      <c r="AO914" s="2560"/>
    </row>
    <row r="915" spans="1:42" ht="15.95" customHeight="1" x14ac:dyDescent="0.3">
      <c r="A915" s="2663" t="s">
        <v>996</v>
      </c>
      <c r="B915" s="2664"/>
      <c r="C915" s="60"/>
      <c r="D915" s="60"/>
      <c r="E915" s="1937"/>
      <c r="F915" s="89"/>
      <c r="G915" s="2576"/>
      <c r="H915" s="2880"/>
      <c r="I915" s="2559">
        <f t="shared" si="280"/>
        <v>0</v>
      </c>
      <c r="J915" s="2560"/>
      <c r="K915" s="279"/>
      <c r="L915" s="62" t="s">
        <v>866</v>
      </c>
      <c r="M915" s="1944"/>
      <c r="N915" s="1944"/>
      <c r="O915" s="1937"/>
      <c r="P915" s="89"/>
      <c r="Q915" s="2559"/>
      <c r="R915" s="2560"/>
      <c r="S915" s="2559">
        <f t="shared" si="278"/>
        <v>0</v>
      </c>
      <c r="T915" s="2560"/>
      <c r="U915" s="26"/>
      <c r="V915" s="2663" t="s">
        <v>996</v>
      </c>
      <c r="W915" s="2664"/>
      <c r="X915" s="1945"/>
      <c r="Y915" s="60"/>
      <c r="Z915" s="1937"/>
      <c r="AA915" s="89"/>
      <c r="AB915" s="2559"/>
      <c r="AC915" s="2560"/>
      <c r="AD915" s="2559">
        <f>Z915*AB915</f>
        <v>0</v>
      </c>
      <c r="AE915" s="2560"/>
      <c r="AF915" s="279"/>
      <c r="AG915" s="62" t="s">
        <v>866</v>
      </c>
      <c r="AH915" s="1944"/>
      <c r="AI915" s="1944"/>
      <c r="AJ915" s="1937"/>
      <c r="AK915" s="89"/>
      <c r="AL915" s="2559"/>
      <c r="AM915" s="2560"/>
      <c r="AN915" s="2559"/>
      <c r="AO915" s="2560"/>
      <c r="AP915" s="224"/>
    </row>
    <row r="916" spans="1:42" ht="15.95" customHeight="1" x14ac:dyDescent="0.2">
      <c r="A916" s="2663" t="s">
        <v>469</v>
      </c>
      <c r="B916" s="2664"/>
      <c r="C916" s="60" t="s">
        <v>466</v>
      </c>
      <c r="D916" s="60" t="s">
        <v>1106</v>
      </c>
      <c r="E916" s="2569">
        <v>1</v>
      </c>
      <c r="F916" s="2570"/>
      <c r="G916" s="2559">
        <f>(154866*12.5%)+154866</f>
        <v>174224.25</v>
      </c>
      <c r="H916" s="2560">
        <f t="shared" ref="H916" si="281">(154866*6%)+154866</f>
        <v>164157.96</v>
      </c>
      <c r="I916" s="2559">
        <f t="shared" si="280"/>
        <v>174224.25</v>
      </c>
      <c r="J916" s="2560"/>
      <c r="K916" s="279"/>
      <c r="L916" s="62" t="s">
        <v>456</v>
      </c>
      <c r="M916" s="1944" t="s">
        <v>710</v>
      </c>
      <c r="N916" s="1944" t="s">
        <v>556</v>
      </c>
      <c r="O916" s="2569">
        <v>4</v>
      </c>
      <c r="P916" s="2570"/>
      <c r="Q916" s="2559">
        <f>180902*1.0928</f>
        <v>197689.70559999999</v>
      </c>
      <c r="R916" s="2560"/>
      <c r="S916" s="2559">
        <f t="shared" si="278"/>
        <v>790758.82239999995</v>
      </c>
      <c r="T916" s="2560"/>
      <c r="U916" s="26"/>
      <c r="V916" s="2663" t="s">
        <v>469</v>
      </c>
      <c r="W916" s="2664"/>
      <c r="X916" s="1945"/>
      <c r="Y916" s="60"/>
      <c r="Z916" s="1937"/>
      <c r="AA916" s="89"/>
      <c r="AB916" s="2559"/>
      <c r="AC916" s="2560"/>
      <c r="AD916" s="2559"/>
      <c r="AE916" s="2560"/>
      <c r="AF916" s="279"/>
      <c r="AG916" s="62" t="s">
        <v>456</v>
      </c>
      <c r="AH916" s="1944" t="s">
        <v>710</v>
      </c>
      <c r="AI916" s="1944" t="s">
        <v>556</v>
      </c>
      <c r="AJ916" s="2569">
        <v>4</v>
      </c>
      <c r="AK916" s="2570"/>
      <c r="AL916" s="2559">
        <f>+Q916</f>
        <v>197689.70559999999</v>
      </c>
      <c r="AM916" s="2560"/>
      <c r="AN916" s="2559">
        <f t="shared" ref="AN916:AN923" si="282">AJ916*AL916</f>
        <v>790758.82239999995</v>
      </c>
      <c r="AO916" s="2560"/>
    </row>
    <row r="917" spans="1:42" ht="15.95" customHeight="1" x14ac:dyDescent="0.2">
      <c r="A917" s="2663" t="s">
        <v>470</v>
      </c>
      <c r="B917" s="2664"/>
      <c r="C917" s="60" t="s">
        <v>466</v>
      </c>
      <c r="D917" s="60" t="s">
        <v>1106</v>
      </c>
      <c r="E917" s="2569">
        <v>2</v>
      </c>
      <c r="F917" s="2570"/>
      <c r="G917" s="2559">
        <f>(89358*12.5%)+89358</f>
        <v>100527.75</v>
      </c>
      <c r="H917" s="2560">
        <f t="shared" ref="H917" si="283">(89358*6%)+89358</f>
        <v>94719.48</v>
      </c>
      <c r="I917" s="2559">
        <f t="shared" si="280"/>
        <v>201055.5</v>
      </c>
      <c r="J917" s="2560"/>
      <c r="K917" s="279"/>
      <c r="L917" s="62" t="s">
        <v>871</v>
      </c>
      <c r="M917" s="1944"/>
      <c r="N917" s="1944"/>
      <c r="O917" s="1937"/>
      <c r="P917" s="89"/>
      <c r="Q917" s="2559"/>
      <c r="R917" s="2560"/>
      <c r="S917" s="2559">
        <f t="shared" si="278"/>
        <v>0</v>
      </c>
      <c r="T917" s="2560"/>
      <c r="U917" s="26"/>
      <c r="V917" s="2663" t="s">
        <v>470</v>
      </c>
      <c r="W917" s="2664"/>
      <c r="X917" s="1945"/>
      <c r="Y917" s="60"/>
      <c r="Z917" s="1937"/>
      <c r="AA917" s="89"/>
      <c r="AB917" s="2559"/>
      <c r="AC917" s="2560"/>
      <c r="AD917" s="2559"/>
      <c r="AE917" s="2560"/>
      <c r="AF917" s="279"/>
      <c r="AG917" s="62" t="s">
        <v>871</v>
      </c>
      <c r="AH917" s="1944"/>
      <c r="AI917" s="1944"/>
      <c r="AJ917" s="1937"/>
      <c r="AK917" s="89"/>
      <c r="AL917" s="2559"/>
      <c r="AM917" s="2560"/>
      <c r="AN917" s="2559">
        <f t="shared" si="282"/>
        <v>0</v>
      </c>
      <c r="AO917" s="2560"/>
    </row>
    <row r="918" spans="1:42" ht="15.95" customHeight="1" x14ac:dyDescent="0.3">
      <c r="A918" s="2663" t="s">
        <v>902</v>
      </c>
      <c r="B918" s="2664"/>
      <c r="C918" s="60" t="s">
        <v>496</v>
      </c>
      <c r="D918" s="60" t="s">
        <v>497</v>
      </c>
      <c r="E918" s="2569">
        <v>4</v>
      </c>
      <c r="F918" s="2570"/>
      <c r="G918" s="2559">
        <v>47000</v>
      </c>
      <c r="H918" s="2560">
        <f t="shared" ref="H918:H921" si="284">(36040*6%)+36040</f>
        <v>38202.400000000001</v>
      </c>
      <c r="I918" s="2559">
        <f t="shared" si="280"/>
        <v>188000</v>
      </c>
      <c r="J918" s="2560"/>
      <c r="K918" s="279"/>
      <c r="L918" s="62" t="s">
        <v>1521</v>
      </c>
      <c r="M918" s="1944"/>
      <c r="N918" s="1944"/>
      <c r="O918" s="1937"/>
      <c r="P918" s="89"/>
      <c r="Q918" s="2559"/>
      <c r="R918" s="2560"/>
      <c r="S918" s="2559">
        <f t="shared" si="278"/>
        <v>0</v>
      </c>
      <c r="T918" s="2560"/>
      <c r="U918" s="26"/>
      <c r="V918" s="2663" t="s">
        <v>902</v>
      </c>
      <c r="W918" s="2664"/>
      <c r="X918" s="1942"/>
      <c r="Y918" s="60"/>
      <c r="Z918" s="1937"/>
      <c r="AA918" s="89"/>
      <c r="AB918" s="2559"/>
      <c r="AC918" s="2880"/>
      <c r="AD918" s="2559"/>
      <c r="AE918" s="2560"/>
      <c r="AF918" s="279"/>
      <c r="AG918" s="62" t="s">
        <v>1521</v>
      </c>
      <c r="AH918" s="1944"/>
      <c r="AI918" s="1944"/>
      <c r="AJ918" s="1937"/>
      <c r="AK918" s="89"/>
      <c r="AL918" s="2559"/>
      <c r="AM918" s="2560"/>
      <c r="AN918" s="2559">
        <f t="shared" si="282"/>
        <v>0</v>
      </c>
      <c r="AO918" s="2560"/>
    </row>
    <row r="919" spans="1:42" ht="15.95" customHeight="1" x14ac:dyDescent="0.3">
      <c r="A919" s="2663" t="s">
        <v>998</v>
      </c>
      <c r="B919" s="2664"/>
      <c r="C919" s="60" t="s">
        <v>496</v>
      </c>
      <c r="D919" s="60" t="s">
        <v>497</v>
      </c>
      <c r="E919" s="2680">
        <v>10</v>
      </c>
      <c r="F919" s="2681"/>
      <c r="G919" s="2559">
        <v>47000</v>
      </c>
      <c r="H919" s="2560">
        <f t="shared" si="284"/>
        <v>38202.400000000001</v>
      </c>
      <c r="I919" s="2559">
        <f t="shared" si="280"/>
        <v>470000</v>
      </c>
      <c r="J919" s="2560"/>
      <c r="K919" s="279"/>
      <c r="L919" s="62" t="s">
        <v>507</v>
      </c>
      <c r="M919" s="1947" t="s">
        <v>1069</v>
      </c>
      <c r="N919" s="60" t="s">
        <v>597</v>
      </c>
      <c r="O919" s="2569">
        <v>125</v>
      </c>
      <c r="P919" s="2570"/>
      <c r="Q919" s="2559">
        <f>40959*1.0928</f>
        <v>44759.995199999998</v>
      </c>
      <c r="R919" s="2560"/>
      <c r="S919" s="2559">
        <f t="shared" si="278"/>
        <v>5594999.3999999994</v>
      </c>
      <c r="T919" s="2560"/>
      <c r="U919" s="26"/>
      <c r="V919" s="2663" t="s">
        <v>998</v>
      </c>
      <c r="W919" s="2664"/>
      <c r="X919" s="1945"/>
      <c r="Y919" s="60"/>
      <c r="Z919" s="1948"/>
      <c r="AA919" s="1944"/>
      <c r="AB919" s="2559"/>
      <c r="AC919" s="2880"/>
      <c r="AD919" s="2559">
        <f>+AB919*Z919</f>
        <v>0</v>
      </c>
      <c r="AE919" s="2560"/>
      <c r="AF919" s="279"/>
      <c r="AG919" s="62" t="s">
        <v>507</v>
      </c>
      <c r="AH919" s="1947" t="s">
        <v>1069</v>
      </c>
      <c r="AI919" s="60" t="s">
        <v>597</v>
      </c>
      <c r="AJ919" s="2569">
        <v>800</v>
      </c>
      <c r="AK919" s="2570"/>
      <c r="AL919" s="2559">
        <f>3034*1.3</f>
        <v>3944.2000000000003</v>
      </c>
      <c r="AM919" s="2560"/>
      <c r="AN919" s="2559">
        <f t="shared" si="282"/>
        <v>3155360</v>
      </c>
      <c r="AO919" s="2560"/>
    </row>
    <row r="920" spans="1:42" ht="15.95" customHeight="1" x14ac:dyDescent="0.3">
      <c r="A920" s="2663" t="s">
        <v>999</v>
      </c>
      <c r="B920" s="2664"/>
      <c r="C920" s="1945"/>
      <c r="D920" s="60"/>
      <c r="E920" s="1948"/>
      <c r="F920" s="1944"/>
      <c r="G920" s="2576"/>
      <c r="H920" s="2650"/>
      <c r="I920" s="2559">
        <f t="shared" si="280"/>
        <v>0</v>
      </c>
      <c r="J920" s="2560"/>
      <c r="K920" s="279"/>
      <c r="L920" s="62" t="s">
        <v>801</v>
      </c>
      <c r="M920" s="1944"/>
      <c r="N920" s="1944"/>
      <c r="O920" s="1937"/>
      <c r="P920" s="89"/>
      <c r="Q920" s="2559"/>
      <c r="R920" s="2560"/>
      <c r="S920" s="2559">
        <f t="shared" si="278"/>
        <v>0</v>
      </c>
      <c r="T920" s="2560"/>
      <c r="U920" s="26"/>
      <c r="V920" s="2663" t="s">
        <v>999</v>
      </c>
      <c r="W920" s="2664"/>
      <c r="X920" s="1945"/>
      <c r="Y920" s="60"/>
      <c r="Z920" s="1948"/>
      <c r="AA920" s="1944"/>
      <c r="AB920" s="2576"/>
      <c r="AC920" s="2880"/>
      <c r="AD920" s="2559"/>
      <c r="AE920" s="2560"/>
      <c r="AF920" s="279"/>
      <c r="AG920" s="62" t="s">
        <v>801</v>
      </c>
      <c r="AH920" s="1944"/>
      <c r="AI920" s="1944"/>
      <c r="AJ920" s="2559"/>
      <c r="AK920" s="2560"/>
      <c r="AL920" s="2559"/>
      <c r="AM920" s="2560"/>
      <c r="AN920" s="2559">
        <f t="shared" si="282"/>
        <v>0</v>
      </c>
      <c r="AO920" s="2560"/>
    </row>
    <row r="921" spans="1:42" ht="15.95" customHeight="1" x14ac:dyDescent="0.2">
      <c r="A921" s="2663" t="s">
        <v>873</v>
      </c>
      <c r="B921" s="2664"/>
      <c r="C921" s="60" t="s">
        <v>496</v>
      </c>
      <c r="D921" s="60" t="s">
        <v>497</v>
      </c>
      <c r="E921" s="2680">
        <v>6</v>
      </c>
      <c r="F921" s="2681"/>
      <c r="G921" s="2559">
        <v>47000</v>
      </c>
      <c r="H921" s="2560">
        <f t="shared" si="284"/>
        <v>38202.400000000001</v>
      </c>
      <c r="I921" s="2559">
        <f t="shared" si="280"/>
        <v>282000</v>
      </c>
      <c r="J921" s="2560"/>
      <c r="K921" s="279"/>
      <c r="L921" s="62" t="s">
        <v>575</v>
      </c>
      <c r="M921" s="1944"/>
      <c r="N921" s="1944"/>
      <c r="O921" s="1937"/>
      <c r="P921" s="89"/>
      <c r="Q921" s="2559"/>
      <c r="R921" s="2560"/>
      <c r="S921" s="2559">
        <f t="shared" si="278"/>
        <v>0</v>
      </c>
      <c r="T921" s="2560"/>
      <c r="U921" s="26"/>
      <c r="V921" s="2663" t="s">
        <v>873</v>
      </c>
      <c r="W921" s="2664"/>
      <c r="X921" s="60" t="s">
        <v>496</v>
      </c>
      <c r="Y921" s="60" t="s">
        <v>497</v>
      </c>
      <c r="Z921" s="2680">
        <v>8</v>
      </c>
      <c r="AA921" s="2681"/>
      <c r="AB921" s="2907">
        <v>47000</v>
      </c>
      <c r="AC921" s="2908">
        <f t="shared" ref="AC921" si="285">(36040*6%)+36040</f>
        <v>38202.400000000001</v>
      </c>
      <c r="AD921" s="2559">
        <f>+AB921*Z921</f>
        <v>376000</v>
      </c>
      <c r="AE921" s="2560"/>
      <c r="AF921" s="279"/>
      <c r="AG921" s="62" t="s">
        <v>575</v>
      </c>
      <c r="AH921" s="188"/>
      <c r="AI921" s="170"/>
      <c r="AJ921" s="2559"/>
      <c r="AK921" s="2560"/>
      <c r="AL921" s="2559"/>
      <c r="AM921" s="2560"/>
      <c r="AN921" s="2559">
        <f t="shared" si="282"/>
        <v>0</v>
      </c>
      <c r="AO921" s="2560"/>
    </row>
    <row r="922" spans="1:42" ht="15.95" customHeight="1" x14ac:dyDescent="0.3">
      <c r="A922" s="2663" t="s">
        <v>1000</v>
      </c>
      <c r="B922" s="2664"/>
      <c r="C922" s="1945"/>
      <c r="D922" s="60"/>
      <c r="E922" s="1948"/>
      <c r="F922" s="1944"/>
      <c r="G922" s="2576"/>
      <c r="H922" s="2650"/>
      <c r="I922" s="2559">
        <f t="shared" si="280"/>
        <v>0</v>
      </c>
      <c r="J922" s="2560"/>
      <c r="K922" s="279"/>
      <c r="L922" s="62" t="s">
        <v>874</v>
      </c>
      <c r="M922" s="1944"/>
      <c r="N922" s="1944"/>
      <c r="O922" s="1937"/>
      <c r="P922" s="89"/>
      <c r="Q922" s="2559"/>
      <c r="R922" s="2560"/>
      <c r="S922" s="2559">
        <f t="shared" si="278"/>
        <v>0</v>
      </c>
      <c r="T922" s="2560"/>
      <c r="U922" s="26"/>
      <c r="V922" s="2663" t="s">
        <v>1000</v>
      </c>
      <c r="W922" s="2664"/>
      <c r="X922" s="1945"/>
      <c r="Y922" s="60"/>
      <c r="Z922" s="1948"/>
      <c r="AA922" s="1944"/>
      <c r="AB922" s="2559"/>
      <c r="AC922" s="2880"/>
      <c r="AD922" s="2559">
        <f>+AB922*Z922</f>
        <v>0</v>
      </c>
      <c r="AE922" s="2560"/>
      <c r="AF922" s="279"/>
      <c r="AG922" s="62" t="s">
        <v>874</v>
      </c>
      <c r="AH922" s="188"/>
      <c r="AI922" s="170"/>
      <c r="AJ922" s="2559"/>
      <c r="AK922" s="2560"/>
      <c r="AL922" s="2559"/>
      <c r="AM922" s="2560"/>
      <c r="AN922" s="2559">
        <f t="shared" si="282"/>
        <v>0</v>
      </c>
      <c r="AO922" s="2560"/>
    </row>
    <row r="923" spans="1:42" ht="15.95" customHeight="1" x14ac:dyDescent="0.3">
      <c r="A923" s="2663" t="s">
        <v>504</v>
      </c>
      <c r="B923" s="2664"/>
      <c r="C923" s="1945"/>
      <c r="D923" s="60"/>
      <c r="E923" s="1948"/>
      <c r="F923" s="1944"/>
      <c r="G923" s="2576"/>
      <c r="H923" s="2650"/>
      <c r="I923" s="2559">
        <f t="shared" si="280"/>
        <v>0</v>
      </c>
      <c r="J923" s="2560"/>
      <c r="K923" s="279"/>
      <c r="L923" s="75" t="s">
        <v>515</v>
      </c>
      <c r="M923" s="60"/>
      <c r="N923" s="60"/>
      <c r="O923" s="1937"/>
      <c r="P923" s="89"/>
      <c r="Q923" s="2643"/>
      <c r="R923" s="2643"/>
      <c r="S923" s="2559">
        <f t="shared" si="278"/>
        <v>0</v>
      </c>
      <c r="T923" s="2560"/>
      <c r="U923" s="26"/>
      <c r="V923" s="2663" t="s">
        <v>504</v>
      </c>
      <c r="W923" s="2664"/>
      <c r="X923" s="1945"/>
      <c r="Y923" s="60"/>
      <c r="Z923" s="1948"/>
      <c r="AA923" s="1944"/>
      <c r="AB923" s="2576"/>
      <c r="AC923" s="2880"/>
      <c r="AD923" s="2559"/>
      <c r="AE923" s="2560"/>
      <c r="AF923" s="279"/>
      <c r="AG923" s="75" t="s">
        <v>515</v>
      </c>
      <c r="AH923" s="197"/>
      <c r="AI923" s="120"/>
      <c r="AJ923" s="2643"/>
      <c r="AK923" s="2643"/>
      <c r="AL923" s="2643"/>
      <c r="AM923" s="2643"/>
      <c r="AN923" s="2559">
        <f t="shared" si="282"/>
        <v>0</v>
      </c>
      <c r="AO923" s="2560"/>
    </row>
    <row r="924" spans="1:42" ht="15.95" customHeight="1" x14ac:dyDescent="0.35">
      <c r="A924" s="2667" t="s">
        <v>1001</v>
      </c>
      <c r="B924" s="2668"/>
      <c r="C924" s="1945"/>
      <c r="D924" s="60"/>
      <c r="E924" s="1948"/>
      <c r="F924" s="1944"/>
      <c r="G924" s="2576"/>
      <c r="H924" s="2650"/>
      <c r="I924" s="2565">
        <f>SUM(I925:J942)</f>
        <v>3196000</v>
      </c>
      <c r="J924" s="2892"/>
      <c r="K924" s="279"/>
      <c r="L924" s="75" t="s">
        <v>805</v>
      </c>
      <c r="M924" s="1946"/>
      <c r="N924" s="60" t="s">
        <v>794</v>
      </c>
      <c r="O924" s="1937"/>
      <c r="P924" s="89"/>
      <c r="Q924" s="2643"/>
      <c r="R924" s="2643"/>
      <c r="S924" s="2643">
        <f>400000*1.0928</f>
        <v>437120</v>
      </c>
      <c r="T924" s="2643"/>
      <c r="U924" s="123"/>
      <c r="V924" s="2667" t="s">
        <v>1001</v>
      </c>
      <c r="W924" s="2668"/>
      <c r="X924" s="1945"/>
      <c r="Y924" s="60"/>
      <c r="Z924" s="1948"/>
      <c r="AA924" s="1944"/>
      <c r="AB924" s="2576"/>
      <c r="AC924" s="2880"/>
      <c r="AD924" s="2565">
        <f>SUM(AD925:AE942)</f>
        <v>2773000</v>
      </c>
      <c r="AE924" s="2892"/>
      <c r="AF924" s="279"/>
      <c r="AG924" s="75" t="s">
        <v>805</v>
      </c>
      <c r="AH924" s="197"/>
      <c r="AI924" s="120"/>
      <c r="AJ924" s="2643"/>
      <c r="AK924" s="2643"/>
      <c r="AL924" s="2643"/>
      <c r="AM924" s="2643"/>
      <c r="AN924" s="2643"/>
      <c r="AO924" s="2643"/>
    </row>
    <row r="925" spans="1:42" ht="15.95" customHeight="1" x14ac:dyDescent="0.2">
      <c r="A925" s="2663" t="s">
        <v>852</v>
      </c>
      <c r="B925" s="2664"/>
      <c r="C925" s="60" t="s">
        <v>496</v>
      </c>
      <c r="D925" s="60" t="s">
        <v>497</v>
      </c>
      <c r="E925" s="2569">
        <v>9</v>
      </c>
      <c r="F925" s="2570"/>
      <c r="G925" s="2559">
        <v>47000</v>
      </c>
      <c r="H925" s="2560">
        <f t="shared" ref="H925:H926" si="286">(36040*6%)+36040</f>
        <v>38202.400000000001</v>
      </c>
      <c r="I925" s="2559">
        <f t="shared" ref="I925:I942" si="287">E925*G925</f>
        <v>423000</v>
      </c>
      <c r="J925" s="2560"/>
      <c r="K925" s="279"/>
      <c r="L925" s="199" t="s">
        <v>876</v>
      </c>
      <c r="M925" s="53"/>
      <c r="N925" s="200"/>
      <c r="O925" s="2893"/>
      <c r="P925" s="2893"/>
      <c r="Q925" s="2893"/>
      <c r="R925" s="2893"/>
      <c r="S925" s="2894">
        <f>SUM(S907:T924)</f>
        <v>17063725.084800001</v>
      </c>
      <c r="T925" s="2894"/>
      <c r="U925" s="125"/>
      <c r="V925" s="2663" t="s">
        <v>852</v>
      </c>
      <c r="W925" s="2664"/>
      <c r="X925" s="1945"/>
      <c r="Y925" s="60"/>
      <c r="Z925" s="1937"/>
      <c r="AA925" s="89"/>
      <c r="AB925" s="2559"/>
      <c r="AC925" s="2560"/>
      <c r="AD925" s="2559"/>
      <c r="AE925" s="2560"/>
      <c r="AF925" s="279"/>
      <c r="AG925" s="199" t="s">
        <v>876</v>
      </c>
      <c r="AH925" s="53"/>
      <c r="AI925" s="200"/>
      <c r="AJ925" s="2893"/>
      <c r="AK925" s="2893"/>
      <c r="AL925" s="2893"/>
      <c r="AM925" s="2893"/>
      <c r="AN925" s="2894">
        <f>SUM(AN907:AO923)</f>
        <v>6832388.4032000005</v>
      </c>
      <c r="AO925" s="2894"/>
    </row>
    <row r="926" spans="1:42" ht="15.95" customHeight="1" x14ac:dyDescent="0.2">
      <c r="A926" s="2663" t="s">
        <v>495</v>
      </c>
      <c r="B926" s="2664"/>
      <c r="C926" s="60" t="s">
        <v>496</v>
      </c>
      <c r="D926" s="60" t="s">
        <v>497</v>
      </c>
      <c r="E926" s="2569">
        <v>2</v>
      </c>
      <c r="F926" s="2570"/>
      <c r="G926" s="2559">
        <v>47000</v>
      </c>
      <c r="H926" s="2560">
        <f t="shared" si="286"/>
        <v>38202.400000000001</v>
      </c>
      <c r="I926" s="2559">
        <f t="shared" si="287"/>
        <v>94000</v>
      </c>
      <c r="J926" s="2560"/>
      <c r="K926" s="279"/>
      <c r="L926" s="148"/>
      <c r="M926" s="197"/>
      <c r="N926" s="120"/>
      <c r="O926" s="2643"/>
      <c r="P926" s="2643"/>
      <c r="Q926" s="2643"/>
      <c r="R926" s="2643"/>
      <c r="S926" s="2643"/>
      <c r="T926" s="2643"/>
      <c r="U926" s="123"/>
      <c r="V926" s="2663" t="s">
        <v>495</v>
      </c>
      <c r="W926" s="2664"/>
      <c r="X926" s="1945"/>
      <c r="Y926" s="60"/>
      <c r="Z926" s="1937"/>
      <c r="AA926" s="89"/>
      <c r="AB926" s="2559"/>
      <c r="AC926" s="2560"/>
      <c r="AD926" s="2559"/>
      <c r="AE926" s="2560"/>
      <c r="AF926" s="279"/>
      <c r="AG926" s="148"/>
      <c r="AH926" s="197"/>
      <c r="AI926" s="120"/>
      <c r="AJ926" s="2643"/>
      <c r="AK926" s="2643"/>
      <c r="AL926" s="2643"/>
      <c r="AM926" s="2643"/>
      <c r="AN926" s="2643"/>
      <c r="AO926" s="2643"/>
    </row>
    <row r="927" spans="1:42" ht="15.95" customHeight="1" x14ac:dyDescent="0.3">
      <c r="A927" s="2663" t="s">
        <v>1003</v>
      </c>
      <c r="B927" s="2664"/>
      <c r="C927" s="60"/>
      <c r="D927" s="60"/>
      <c r="E927" s="1948"/>
      <c r="F927" s="1944"/>
      <c r="G927" s="2576"/>
      <c r="H927" s="2650"/>
      <c r="I927" s="2559">
        <f t="shared" si="287"/>
        <v>0</v>
      </c>
      <c r="J927" s="2560"/>
      <c r="K927" s="279"/>
      <c r="L927" s="282" t="s">
        <v>806</v>
      </c>
      <c r="M927" s="145"/>
      <c r="N927" s="145"/>
      <c r="O927" s="2890"/>
      <c r="P927" s="2890"/>
      <c r="Q927" s="2890"/>
      <c r="R927" s="2890"/>
      <c r="S927" s="2890"/>
      <c r="T927" s="2891"/>
      <c r="U927" s="26"/>
      <c r="V927" s="2663" t="s">
        <v>1003</v>
      </c>
      <c r="W927" s="2664"/>
      <c r="X927" s="1945"/>
      <c r="Y927" s="60"/>
      <c r="Z927" s="1948"/>
      <c r="AA927" s="1944"/>
      <c r="AB927" s="2559"/>
      <c r="AC927" s="2880"/>
      <c r="AD927" s="2559">
        <f>+AB927*Z927</f>
        <v>0</v>
      </c>
      <c r="AE927" s="2560"/>
      <c r="AF927" s="279"/>
      <c r="AG927" s="282" t="s">
        <v>806</v>
      </c>
      <c r="AH927" s="145"/>
      <c r="AI927" s="145"/>
      <c r="AJ927" s="2890"/>
      <c r="AK927" s="2890"/>
      <c r="AL927" s="2890"/>
      <c r="AM927" s="2890"/>
      <c r="AN927" s="2890"/>
      <c r="AO927" s="2891"/>
    </row>
    <row r="928" spans="1:42" ht="15.95" customHeight="1" x14ac:dyDescent="0.3">
      <c r="A928" s="2663" t="s">
        <v>1004</v>
      </c>
      <c r="B928" s="2664"/>
      <c r="C928" s="1945"/>
      <c r="D928" s="60"/>
      <c r="E928" s="1948"/>
      <c r="F928" s="1944"/>
      <c r="G928" s="2576"/>
      <c r="H928" s="2650"/>
      <c r="I928" s="2559">
        <f t="shared" si="287"/>
        <v>0</v>
      </c>
      <c r="J928" s="2560"/>
      <c r="K928" s="279"/>
      <c r="L928" s="148" t="s">
        <v>1005</v>
      </c>
      <c r="M928" s="270">
        <v>0.05</v>
      </c>
      <c r="N928" s="45"/>
      <c r="O928" s="2575"/>
      <c r="P928" s="2575"/>
      <c r="Q928" s="2575"/>
      <c r="R928" s="2575"/>
      <c r="S928" s="2575">
        <f>+(S925+I950)*0.05</f>
        <v>1148957.6729400002</v>
      </c>
      <c r="T928" s="2560"/>
      <c r="U928" s="26"/>
      <c r="V928" s="2663" t="s">
        <v>1004</v>
      </c>
      <c r="W928" s="2664"/>
      <c r="X928" s="1945"/>
      <c r="Y928" s="60"/>
      <c r="Z928" s="1948"/>
      <c r="AA928" s="1944"/>
      <c r="AB928" s="2576"/>
      <c r="AC928" s="2880"/>
      <c r="AD928" s="2559"/>
      <c r="AE928" s="2560"/>
      <c r="AF928" s="279"/>
      <c r="AG928" s="148" t="s">
        <v>1005</v>
      </c>
      <c r="AH928" s="283" t="s">
        <v>1043</v>
      </c>
      <c r="AI928" s="45"/>
      <c r="AJ928" s="2575"/>
      <c r="AK928" s="2575"/>
      <c r="AL928" s="2575"/>
      <c r="AM928" s="2575"/>
      <c r="AN928" s="2575">
        <f>+(AN925+AD950)*0.03</f>
        <v>405424.11208072846</v>
      </c>
      <c r="AO928" s="2560"/>
    </row>
    <row r="929" spans="1:41" ht="15.95" customHeight="1" x14ac:dyDescent="0.3">
      <c r="A929" s="2663" t="s">
        <v>1006</v>
      </c>
      <c r="B929" s="2664"/>
      <c r="C929" s="1945"/>
      <c r="D929" s="60"/>
      <c r="E929" s="1948"/>
      <c r="F929" s="1944"/>
      <c r="G929" s="2576"/>
      <c r="H929" s="2650"/>
      <c r="I929" s="2559">
        <f t="shared" si="287"/>
        <v>0</v>
      </c>
      <c r="J929" s="2560"/>
      <c r="K929" s="279"/>
      <c r="L929" s="151" t="s">
        <v>527</v>
      </c>
      <c r="M929" s="45"/>
      <c r="N929" s="45"/>
      <c r="O929" s="2575"/>
      <c r="P929" s="2575"/>
      <c r="Q929" s="2575"/>
      <c r="R929" s="2575"/>
      <c r="S929" s="2575">
        <f>250000*1.0928</f>
        <v>273200</v>
      </c>
      <c r="T929" s="2560"/>
      <c r="U929" s="26"/>
      <c r="V929" s="2663" t="s">
        <v>1006</v>
      </c>
      <c r="W929" s="2664"/>
      <c r="X929" s="1945"/>
      <c r="Y929" s="60"/>
      <c r="Z929" s="1948"/>
      <c r="AA929" s="1944"/>
      <c r="AB929" s="2576"/>
      <c r="AC929" s="2880"/>
      <c r="AD929" s="2559"/>
      <c r="AE929" s="2560"/>
      <c r="AF929" s="279"/>
      <c r="AG929" s="151" t="s">
        <v>527</v>
      </c>
      <c r="AH929" s="45"/>
      <c r="AI929" s="45"/>
      <c r="AJ929" s="2575"/>
      <c r="AK929" s="2575"/>
      <c r="AL929" s="2575"/>
      <c r="AM929" s="2575"/>
      <c r="AN929" s="2575">
        <f>200000*1.0928</f>
        <v>218560</v>
      </c>
      <c r="AO929" s="2560"/>
    </row>
    <row r="930" spans="1:41" ht="15.95" customHeight="1" x14ac:dyDescent="0.3">
      <c r="A930" s="2663" t="s">
        <v>1007</v>
      </c>
      <c r="B930" s="2664"/>
      <c r="C930" s="1945"/>
      <c r="D930" s="60"/>
      <c r="E930" s="1948"/>
      <c r="F930" s="1944"/>
      <c r="G930" s="2576"/>
      <c r="H930" s="2650"/>
      <c r="I930" s="2559">
        <f t="shared" si="287"/>
        <v>0</v>
      </c>
      <c r="J930" s="2560"/>
      <c r="K930" s="279"/>
      <c r="L930" s="152" t="s">
        <v>529</v>
      </c>
      <c r="M930" s="45"/>
      <c r="N930" s="45"/>
      <c r="O930" s="2575"/>
      <c r="P930" s="2575"/>
      <c r="Q930" s="2575"/>
      <c r="R930" s="2575"/>
      <c r="S930" s="2575">
        <f>550000*1.0928</f>
        <v>601040</v>
      </c>
      <c r="T930" s="2560"/>
      <c r="U930" s="26"/>
      <c r="V930" s="2663" t="s">
        <v>1007</v>
      </c>
      <c r="W930" s="2664"/>
      <c r="X930" s="1945"/>
      <c r="Y930" s="60"/>
      <c r="Z930" s="1948"/>
      <c r="AA930" s="1944"/>
      <c r="AB930" s="2576"/>
      <c r="AC930" s="2880"/>
      <c r="AD930" s="2559"/>
      <c r="AE930" s="2560"/>
      <c r="AF930" s="279"/>
      <c r="AG930" s="152" t="s">
        <v>529</v>
      </c>
      <c r="AH930" s="45"/>
      <c r="AI930" s="45"/>
      <c r="AJ930" s="2575"/>
      <c r="AK930" s="2575"/>
      <c r="AL930" s="2575"/>
      <c r="AM930" s="2575"/>
      <c r="AN930" s="2575">
        <f>550000*1.0928</f>
        <v>601040</v>
      </c>
      <c r="AO930" s="2560"/>
    </row>
    <row r="931" spans="1:41" ht="15.95" customHeight="1" x14ac:dyDescent="0.3">
      <c r="A931" s="2663" t="s">
        <v>1008</v>
      </c>
      <c r="B931" s="2664"/>
      <c r="C931" s="60"/>
      <c r="D931" s="60"/>
      <c r="E931" s="1948"/>
      <c r="F931" s="1944"/>
      <c r="G931" s="2576"/>
      <c r="H931" s="2650"/>
      <c r="I931" s="2559">
        <f t="shared" si="287"/>
        <v>0</v>
      </c>
      <c r="J931" s="2560"/>
      <c r="K931" s="279"/>
      <c r="L931" s="152" t="s">
        <v>726</v>
      </c>
      <c r="M931" s="45"/>
      <c r="N931" s="45"/>
      <c r="O931" s="2575"/>
      <c r="P931" s="2575"/>
      <c r="Q931" s="2575"/>
      <c r="R931" s="2575"/>
      <c r="S931" s="2575">
        <f>(I950+S925)*5%</f>
        <v>1148957.6729400002</v>
      </c>
      <c r="T931" s="2560"/>
      <c r="U931" s="26"/>
      <c r="V931" s="2663" t="s">
        <v>1008</v>
      </c>
      <c r="W931" s="2664"/>
      <c r="X931" s="60"/>
      <c r="Y931" s="60"/>
      <c r="Z931" s="1948"/>
      <c r="AA931" s="1944"/>
      <c r="AB931" s="2576"/>
      <c r="AC931" s="2880"/>
      <c r="AD931" s="2559"/>
      <c r="AE931" s="2560"/>
      <c r="AF931" s="279"/>
      <c r="AG931" s="152" t="s">
        <v>726</v>
      </c>
      <c r="AH931" s="45"/>
      <c r="AI931" s="45"/>
      <c r="AJ931" s="2575"/>
      <c r="AK931" s="2575"/>
      <c r="AL931" s="2575"/>
      <c r="AM931" s="2575"/>
      <c r="AN931" s="2575">
        <f>(AN925+AD950)*0.05</f>
        <v>675706.85346788075</v>
      </c>
      <c r="AO931" s="2560"/>
    </row>
    <row r="932" spans="1:41" ht="15.95" customHeight="1" x14ac:dyDescent="0.3">
      <c r="A932" s="2663" t="s">
        <v>1009</v>
      </c>
      <c r="B932" s="2664"/>
      <c r="C932" s="60" t="s">
        <v>496</v>
      </c>
      <c r="D932" s="60" t="s">
        <v>497</v>
      </c>
      <c r="E932" s="2680">
        <v>16</v>
      </c>
      <c r="F932" s="2681"/>
      <c r="G932" s="2559">
        <v>47000</v>
      </c>
      <c r="H932" s="2560">
        <f t="shared" ref="H932:H933" si="288">(36040*6%)+36040</f>
        <v>38202.400000000001</v>
      </c>
      <c r="I932" s="2559">
        <f t="shared" si="287"/>
        <v>752000</v>
      </c>
      <c r="J932" s="2560"/>
      <c r="K932" s="279"/>
      <c r="L932" s="166" t="s">
        <v>504</v>
      </c>
      <c r="M932" s="155"/>
      <c r="N932" s="155"/>
      <c r="O932" s="2557"/>
      <c r="P932" s="2557"/>
      <c r="Q932" s="2557"/>
      <c r="R932" s="2557"/>
      <c r="S932" s="2557">
        <f>250000*1.0928</f>
        <v>273200</v>
      </c>
      <c r="T932" s="2558"/>
      <c r="U932" s="26"/>
      <c r="V932" s="2663" t="s">
        <v>1009</v>
      </c>
      <c r="W932" s="2664"/>
      <c r="X932" s="60" t="s">
        <v>496</v>
      </c>
      <c r="Y932" s="60" t="s">
        <v>497</v>
      </c>
      <c r="Z932" s="2680">
        <v>14</v>
      </c>
      <c r="AA932" s="2681"/>
      <c r="AB932" s="2907">
        <v>47000</v>
      </c>
      <c r="AC932" s="2908">
        <f t="shared" ref="AC932:AC933" si="289">(36040*6%)+36040</f>
        <v>38202.400000000001</v>
      </c>
      <c r="AD932" s="2559">
        <f>+AB932*Z932</f>
        <v>658000</v>
      </c>
      <c r="AE932" s="2560"/>
      <c r="AF932" s="279"/>
      <c r="AG932" s="166" t="s">
        <v>504</v>
      </c>
      <c r="AH932" s="155"/>
      <c r="AI932" s="155"/>
      <c r="AJ932" s="2557"/>
      <c r="AK932" s="2557"/>
      <c r="AL932" s="2557"/>
      <c r="AM932" s="2557"/>
      <c r="AN932" s="2888">
        <f>150000*1.0928</f>
        <v>163920</v>
      </c>
      <c r="AO932" s="2889"/>
    </row>
    <row r="933" spans="1:41" ht="15.95" customHeight="1" x14ac:dyDescent="0.2">
      <c r="A933" s="2663" t="s">
        <v>1522</v>
      </c>
      <c r="B933" s="2664"/>
      <c r="C933" s="60" t="s">
        <v>496</v>
      </c>
      <c r="D933" s="60" t="s">
        <v>497</v>
      </c>
      <c r="E933" s="2680">
        <v>4</v>
      </c>
      <c r="F933" s="2681"/>
      <c r="G933" s="2559">
        <v>47000</v>
      </c>
      <c r="H933" s="2560">
        <f t="shared" si="288"/>
        <v>38202.400000000001</v>
      </c>
      <c r="I933" s="2559">
        <f t="shared" si="287"/>
        <v>188000</v>
      </c>
      <c r="J933" s="2560"/>
      <c r="K933" s="279"/>
      <c r="L933" s="156" t="s">
        <v>533</v>
      </c>
      <c r="M933" s="201"/>
      <c r="N933" s="201"/>
      <c r="O933" s="2885"/>
      <c r="P933" s="2885"/>
      <c r="Q933" s="2886"/>
      <c r="R933" s="2886"/>
      <c r="S933" s="2887">
        <f>SUM(S928:T932)</f>
        <v>3445355.3458800004</v>
      </c>
      <c r="T933" s="2887"/>
      <c r="U933" s="271"/>
      <c r="V933" s="2663" t="s">
        <v>1522</v>
      </c>
      <c r="W933" s="2664"/>
      <c r="X933" s="60" t="s">
        <v>496</v>
      </c>
      <c r="Y933" s="60" t="s">
        <v>497</v>
      </c>
      <c r="Z933" s="2680">
        <v>4</v>
      </c>
      <c r="AA933" s="2681"/>
      <c r="AB933" s="2907">
        <v>47000</v>
      </c>
      <c r="AC933" s="2908">
        <f t="shared" si="289"/>
        <v>38202.400000000001</v>
      </c>
      <c r="AD933" s="2559">
        <f>+AB933*Z933</f>
        <v>188000</v>
      </c>
      <c r="AE933" s="2560"/>
      <c r="AF933" s="279"/>
      <c r="AG933" s="156" t="s">
        <v>533</v>
      </c>
      <c r="AH933" s="201"/>
      <c r="AI933" s="201"/>
      <c r="AJ933" s="2885"/>
      <c r="AK933" s="2885"/>
      <c r="AL933" s="2886"/>
      <c r="AM933" s="2886"/>
      <c r="AN933" s="2887">
        <f>SUM(AN928:AO932)</f>
        <v>2064650.9655486092</v>
      </c>
      <c r="AO933" s="2887"/>
    </row>
    <row r="934" spans="1:41" ht="15.95" customHeight="1" x14ac:dyDescent="0.3">
      <c r="A934" s="2663" t="s">
        <v>1011</v>
      </c>
      <c r="B934" s="2664"/>
      <c r="C934" s="60"/>
      <c r="D934" s="60"/>
      <c r="E934" s="1948"/>
      <c r="F934" s="1944"/>
      <c r="G934" s="2576"/>
      <c r="H934" s="2650"/>
      <c r="I934" s="2559">
        <f t="shared" si="287"/>
        <v>0</v>
      </c>
      <c r="J934" s="2560"/>
      <c r="K934" s="279"/>
      <c r="L934" s="159"/>
      <c r="M934" s="45"/>
      <c r="N934" s="45"/>
      <c r="O934" s="2575"/>
      <c r="P934" s="2575"/>
      <c r="Q934" s="2575"/>
      <c r="R934" s="2575"/>
      <c r="S934" s="2575"/>
      <c r="T934" s="2560"/>
      <c r="U934" s="26"/>
      <c r="V934" s="2663" t="s">
        <v>1011</v>
      </c>
      <c r="W934" s="2664"/>
      <c r="X934" s="60"/>
      <c r="Y934" s="60"/>
      <c r="Z934" s="1948"/>
      <c r="AA934" s="1944"/>
      <c r="AB934" s="2576"/>
      <c r="AC934" s="2880"/>
      <c r="AD934" s="2559"/>
      <c r="AE934" s="2560"/>
      <c r="AF934" s="279"/>
      <c r="AG934" s="159"/>
      <c r="AH934" s="45"/>
      <c r="AI934" s="45"/>
      <c r="AJ934" s="2575"/>
      <c r="AK934" s="2575"/>
      <c r="AL934" s="2575"/>
      <c r="AM934" s="2575"/>
      <c r="AN934" s="2575"/>
      <c r="AO934" s="2560"/>
    </row>
    <row r="935" spans="1:41" ht="15.95" customHeight="1" thickBot="1" x14ac:dyDescent="0.25">
      <c r="A935" s="2663" t="s">
        <v>1523</v>
      </c>
      <c r="B935" s="2664"/>
      <c r="C935" s="60" t="s">
        <v>496</v>
      </c>
      <c r="D935" s="60" t="s">
        <v>497</v>
      </c>
      <c r="E935" s="2680">
        <v>6</v>
      </c>
      <c r="F935" s="2681"/>
      <c r="G935" s="2559">
        <v>47000</v>
      </c>
      <c r="H935" s="2560">
        <f t="shared" ref="H935:H937" si="290">(36040*6%)+36040</f>
        <v>38202.400000000001</v>
      </c>
      <c r="I935" s="2559">
        <f t="shared" si="287"/>
        <v>282000</v>
      </c>
      <c r="J935" s="2560"/>
      <c r="K935" s="279"/>
      <c r="L935" s="160" t="s">
        <v>583</v>
      </c>
      <c r="M935" s="205"/>
      <c r="N935" s="205"/>
      <c r="O935" s="205"/>
      <c r="P935" s="205"/>
      <c r="Q935" s="161"/>
      <c r="R935" s="161"/>
      <c r="S935" s="2580">
        <f>SUM(S933+S925+I950)</f>
        <v>26424508.804680005</v>
      </c>
      <c r="T935" s="2581"/>
      <c r="U935" s="271"/>
      <c r="V935" s="2663" t="s">
        <v>1523</v>
      </c>
      <c r="W935" s="2664"/>
      <c r="X935" s="60" t="s">
        <v>496</v>
      </c>
      <c r="Y935" s="60" t="s">
        <v>497</v>
      </c>
      <c r="Z935" s="2680">
        <v>6</v>
      </c>
      <c r="AA935" s="2681"/>
      <c r="AB935" s="2907">
        <v>47000</v>
      </c>
      <c r="AC935" s="2908">
        <f t="shared" ref="AC935:AC937" si="291">(36040*6%)+36040</f>
        <v>38202.400000000001</v>
      </c>
      <c r="AD935" s="2559"/>
      <c r="AE935" s="2560"/>
      <c r="AF935" s="279"/>
      <c r="AG935" s="160" t="s">
        <v>583</v>
      </c>
      <c r="AH935" s="205"/>
      <c r="AI935" s="205"/>
      <c r="AJ935" s="205"/>
      <c r="AK935" s="205"/>
      <c r="AL935" s="161"/>
      <c r="AM935" s="161"/>
      <c r="AN935" s="2580">
        <f>SUM(AN933+AN925+AD950)</f>
        <v>15578788.034906223</v>
      </c>
      <c r="AO935" s="2581"/>
    </row>
    <row r="936" spans="1:41" ht="15.95" customHeight="1" x14ac:dyDescent="0.2">
      <c r="A936" s="2663" t="s">
        <v>1018</v>
      </c>
      <c r="B936" s="2664"/>
      <c r="C936" s="60" t="s">
        <v>496</v>
      </c>
      <c r="D936" s="60" t="s">
        <v>497</v>
      </c>
      <c r="E936" s="2569">
        <v>12</v>
      </c>
      <c r="F936" s="2570"/>
      <c r="G936" s="2559">
        <v>47000</v>
      </c>
      <c r="H936" s="2560">
        <f t="shared" si="290"/>
        <v>38202.400000000001</v>
      </c>
      <c r="I936" s="2559">
        <f t="shared" si="287"/>
        <v>564000</v>
      </c>
      <c r="J936" s="2560"/>
      <c r="K936" s="284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2663" t="s">
        <v>1018</v>
      </c>
      <c r="W936" s="2664"/>
      <c r="X936" s="60" t="s">
        <v>496</v>
      </c>
      <c r="Y936" s="60" t="s">
        <v>497</v>
      </c>
      <c r="Z936" s="2569">
        <v>22</v>
      </c>
      <c r="AA936" s="2570"/>
      <c r="AB936" s="2907">
        <v>47000</v>
      </c>
      <c r="AC936" s="2908">
        <f t="shared" si="291"/>
        <v>38202.400000000001</v>
      </c>
      <c r="AD936" s="2559">
        <f>+AB936*Z936</f>
        <v>1034000</v>
      </c>
      <c r="AE936" s="2560"/>
      <c r="AF936" s="284"/>
      <c r="AG936" s="45"/>
      <c r="AH936" s="45"/>
      <c r="AI936" s="45"/>
      <c r="AJ936" s="45"/>
      <c r="AK936" s="45"/>
      <c r="AL936" s="45"/>
      <c r="AM936" s="45"/>
      <c r="AN936" s="45"/>
      <c r="AO936" s="45"/>
    </row>
    <row r="937" spans="1:41" ht="15.95" customHeight="1" x14ac:dyDescent="0.2">
      <c r="A937" s="2663" t="s">
        <v>1019</v>
      </c>
      <c r="B937" s="2664"/>
      <c r="C937" s="60" t="s">
        <v>496</v>
      </c>
      <c r="D937" s="60" t="s">
        <v>497</v>
      </c>
      <c r="E937" s="2680">
        <v>3</v>
      </c>
      <c r="F937" s="2681"/>
      <c r="G937" s="2559">
        <v>47000</v>
      </c>
      <c r="H937" s="2560">
        <f t="shared" si="290"/>
        <v>38202.400000000001</v>
      </c>
      <c r="I937" s="2559">
        <f t="shared" si="287"/>
        <v>141000</v>
      </c>
      <c r="J937" s="2560"/>
      <c r="K937" s="279"/>
      <c r="L937" s="7" t="s">
        <v>1528</v>
      </c>
      <c r="M937" s="45"/>
      <c r="N937" s="45"/>
      <c r="O937" s="45"/>
      <c r="P937" s="45"/>
      <c r="Q937" s="45"/>
      <c r="R937" s="45"/>
      <c r="S937" s="45"/>
      <c r="T937" s="45"/>
      <c r="U937" s="45"/>
      <c r="V937" s="2663" t="s">
        <v>1019</v>
      </c>
      <c r="W937" s="2664"/>
      <c r="X937" s="60" t="s">
        <v>496</v>
      </c>
      <c r="Y937" s="60" t="s">
        <v>497</v>
      </c>
      <c r="Z937" s="2680">
        <v>3</v>
      </c>
      <c r="AA937" s="2681"/>
      <c r="AB937" s="2907">
        <v>47000</v>
      </c>
      <c r="AC937" s="2908">
        <f t="shared" si="291"/>
        <v>38202.400000000001</v>
      </c>
      <c r="AD937" s="2559">
        <f>Z937*AB937</f>
        <v>141000</v>
      </c>
      <c r="AE937" s="2560"/>
      <c r="AF937" s="279"/>
      <c r="AG937" s="7" t="s">
        <v>1528</v>
      </c>
      <c r="AH937" s="45"/>
      <c r="AI937" s="45"/>
      <c r="AJ937" s="45"/>
      <c r="AK937" s="45"/>
      <c r="AL937" s="45"/>
      <c r="AM937" s="45"/>
      <c r="AN937" s="45"/>
      <c r="AO937" s="45"/>
    </row>
    <row r="938" spans="1:41" ht="15.95" customHeight="1" x14ac:dyDescent="0.3">
      <c r="A938" s="2663" t="s">
        <v>1020</v>
      </c>
      <c r="B938" s="2664"/>
      <c r="C938" s="1945"/>
      <c r="D938" s="60"/>
      <c r="E938" s="1948"/>
      <c r="F938" s="1944"/>
      <c r="G938" s="2576"/>
      <c r="H938" s="2650"/>
      <c r="I938" s="2559">
        <f t="shared" si="287"/>
        <v>0</v>
      </c>
      <c r="J938" s="2560"/>
      <c r="K938" s="279"/>
      <c r="L938" s="597" t="s">
        <v>1584</v>
      </c>
      <c r="M938" s="266"/>
      <c r="N938" s="266"/>
      <c r="O938" s="266"/>
      <c r="P938" s="266"/>
      <c r="Q938" s="1783"/>
      <c r="R938" s="266"/>
      <c r="S938" s="266"/>
      <c r="T938" s="45"/>
      <c r="U938" s="45"/>
      <c r="V938" s="2663" t="s">
        <v>1020</v>
      </c>
      <c r="W938" s="2664"/>
      <c r="X938" s="1945"/>
      <c r="Y938" s="60"/>
      <c r="Z938" s="1948"/>
      <c r="AA938" s="1944"/>
      <c r="AB938" s="2576"/>
      <c r="AC938" s="2880"/>
      <c r="AD938" s="2559">
        <f>Z938*AB938</f>
        <v>0</v>
      </c>
      <c r="AE938" s="2560"/>
      <c r="AF938" s="279"/>
      <c r="AG938" s="597" t="s">
        <v>1584</v>
      </c>
      <c r="AH938" s="266"/>
      <c r="AI938" s="266"/>
      <c r="AJ938" s="266"/>
      <c r="AK938" s="266"/>
      <c r="AL938" s="1783"/>
      <c r="AM938" s="266"/>
      <c r="AN938" s="266"/>
      <c r="AO938" s="45"/>
    </row>
    <row r="939" spans="1:41" ht="15.95" customHeight="1" x14ac:dyDescent="0.3">
      <c r="A939" s="2663" t="s">
        <v>1021</v>
      </c>
      <c r="B939" s="2664"/>
      <c r="C939" s="1945"/>
      <c r="D939" s="60"/>
      <c r="E939" s="1948"/>
      <c r="F939" s="1944"/>
      <c r="G939" s="2576"/>
      <c r="H939" s="2650"/>
      <c r="I939" s="2559">
        <f t="shared" si="287"/>
        <v>0</v>
      </c>
      <c r="J939" s="2560"/>
      <c r="K939" s="279"/>
      <c r="L939" s="45"/>
      <c r="M939" s="206"/>
      <c r="N939" s="206"/>
      <c r="O939" s="206"/>
      <c r="P939" s="206"/>
      <c r="Q939" s="107"/>
      <c r="R939" s="44"/>
      <c r="S939" s="45"/>
      <c r="T939" s="45"/>
      <c r="U939" s="45"/>
      <c r="V939" s="2663" t="s">
        <v>1021</v>
      </c>
      <c r="W939" s="2664"/>
      <c r="X939" s="1945"/>
      <c r="Y939" s="60"/>
      <c r="Z939" s="1948"/>
      <c r="AA939" s="1944"/>
      <c r="AB939" s="2576"/>
      <c r="AC939" s="2880"/>
      <c r="AD939" s="2559">
        <f>Z939*AB939</f>
        <v>0</v>
      </c>
      <c r="AE939" s="2560"/>
      <c r="AF939" s="279"/>
      <c r="AG939" s="45"/>
      <c r="AH939" s="2834"/>
      <c r="AI939" s="2834"/>
      <c r="AJ939" s="2834"/>
      <c r="AK939" s="2834"/>
      <c r="AL939" s="272"/>
      <c r="AM939" s="44"/>
      <c r="AN939" s="45"/>
      <c r="AO939" s="45"/>
    </row>
    <row r="940" spans="1:41" ht="15.95" customHeight="1" x14ac:dyDescent="0.2">
      <c r="A940" s="2663" t="s">
        <v>1022</v>
      </c>
      <c r="B940" s="2664"/>
      <c r="C940" s="60" t="s">
        <v>496</v>
      </c>
      <c r="D940" s="60" t="s">
        <v>497</v>
      </c>
      <c r="E940" s="2569">
        <v>8</v>
      </c>
      <c r="F940" s="2570"/>
      <c r="G940" s="2559">
        <v>47000</v>
      </c>
      <c r="H940" s="2560">
        <f t="shared" ref="H940:H942" si="292">(36040*6%)+36040</f>
        <v>38202.400000000001</v>
      </c>
      <c r="I940" s="2559">
        <f t="shared" si="287"/>
        <v>376000</v>
      </c>
      <c r="J940" s="2560"/>
      <c r="K940" s="279"/>
      <c r="L940" s="45"/>
      <c r="M940" s="206"/>
      <c r="N940" s="206"/>
      <c r="O940" s="206"/>
      <c r="P940" s="206"/>
      <c r="Q940" s="107"/>
      <c r="R940" s="44"/>
      <c r="S940" s="45"/>
      <c r="T940" s="45"/>
      <c r="U940" s="45"/>
      <c r="V940" s="2663" t="s">
        <v>1022</v>
      </c>
      <c r="W940" s="2664"/>
      <c r="X940" s="60" t="s">
        <v>496</v>
      </c>
      <c r="Y940" s="60" t="s">
        <v>497</v>
      </c>
      <c r="Z940" s="2569">
        <v>8</v>
      </c>
      <c r="AA940" s="2570"/>
      <c r="AB940" s="2907">
        <v>47000</v>
      </c>
      <c r="AC940" s="2908">
        <f t="shared" ref="AC940:AC942" si="293">(36040*6%)+36040</f>
        <v>38202.400000000001</v>
      </c>
      <c r="AD940" s="2559">
        <f>Z940*AB940</f>
        <v>376000</v>
      </c>
      <c r="AE940" s="2560"/>
      <c r="AF940" s="279"/>
      <c r="AG940" s="45"/>
      <c r="AH940" s="206"/>
      <c r="AI940" s="206"/>
      <c r="AJ940" s="206"/>
      <c r="AK940" s="206"/>
      <c r="AL940" s="107"/>
      <c r="AM940" s="44"/>
      <c r="AN940" s="45"/>
      <c r="AO940" s="45"/>
    </row>
    <row r="941" spans="1:41" ht="15.95" customHeight="1" x14ac:dyDescent="0.2">
      <c r="A941" s="2663" t="s">
        <v>881</v>
      </c>
      <c r="B941" s="2664"/>
      <c r="C941" s="60" t="s">
        <v>496</v>
      </c>
      <c r="D941" s="60" t="s">
        <v>497</v>
      </c>
      <c r="E941" s="2569">
        <v>4</v>
      </c>
      <c r="F941" s="2570"/>
      <c r="G941" s="2559">
        <v>47000</v>
      </c>
      <c r="H941" s="2560">
        <f t="shared" si="292"/>
        <v>38202.400000000001</v>
      </c>
      <c r="I941" s="2559">
        <f t="shared" si="287"/>
        <v>188000</v>
      </c>
      <c r="J941" s="2560"/>
      <c r="K941" s="279"/>
      <c r="L941" s="45"/>
      <c r="M941" s="2834"/>
      <c r="N941" s="2834"/>
      <c r="O941" s="2834"/>
      <c r="P941" s="2834"/>
      <c r="Q941" s="107"/>
      <c r="R941" s="45"/>
      <c r="S941" s="44"/>
      <c r="T941" s="45"/>
      <c r="U941" s="45"/>
      <c r="V941" s="2663" t="s">
        <v>881</v>
      </c>
      <c r="W941" s="2664"/>
      <c r="X941" s="60" t="s">
        <v>496</v>
      </c>
      <c r="Y941" s="60" t="s">
        <v>497</v>
      </c>
      <c r="Z941" s="2569">
        <v>4</v>
      </c>
      <c r="AA941" s="2570"/>
      <c r="AB941" s="2907">
        <v>47000</v>
      </c>
      <c r="AC941" s="2908">
        <f t="shared" si="293"/>
        <v>38202.400000000001</v>
      </c>
      <c r="AD941" s="2559">
        <f>+AB941*Z941</f>
        <v>188000</v>
      </c>
      <c r="AE941" s="2560"/>
      <c r="AF941" s="279"/>
      <c r="AG941" s="45"/>
      <c r="AH941" s="206"/>
      <c r="AI941" s="206"/>
      <c r="AJ941" s="206"/>
      <c r="AK941" s="206"/>
      <c r="AL941" s="107"/>
      <c r="AM941" s="45"/>
      <c r="AN941" s="44"/>
      <c r="AO941" s="45"/>
    </row>
    <row r="942" spans="1:41" ht="15.95" customHeight="1" x14ac:dyDescent="0.2">
      <c r="A942" s="2663" t="s">
        <v>882</v>
      </c>
      <c r="B942" s="2664"/>
      <c r="C942" s="60" t="s">
        <v>496</v>
      </c>
      <c r="D942" s="60" t="s">
        <v>497</v>
      </c>
      <c r="E942" s="2680">
        <v>4</v>
      </c>
      <c r="F942" s="2681"/>
      <c r="G942" s="2559">
        <v>47000</v>
      </c>
      <c r="H942" s="2560">
        <f t="shared" si="292"/>
        <v>38202.400000000001</v>
      </c>
      <c r="I942" s="2559">
        <f t="shared" si="287"/>
        <v>188000</v>
      </c>
      <c r="J942" s="2560"/>
      <c r="K942" s="279"/>
      <c r="L942" s="45"/>
      <c r="M942" s="2834"/>
      <c r="N942" s="2834"/>
      <c r="O942" s="2834"/>
      <c r="P942" s="2834"/>
      <c r="Q942" s="107"/>
      <c r="R942" s="44"/>
      <c r="S942" s="45"/>
      <c r="T942" s="45"/>
      <c r="U942" s="45"/>
      <c r="V942" s="2663" t="s">
        <v>882</v>
      </c>
      <c r="W942" s="2664"/>
      <c r="X942" s="60" t="s">
        <v>496</v>
      </c>
      <c r="Y942" s="60" t="s">
        <v>497</v>
      </c>
      <c r="Z942" s="2680">
        <v>4</v>
      </c>
      <c r="AA942" s="2681"/>
      <c r="AB942" s="2907">
        <v>47000</v>
      </c>
      <c r="AC942" s="2908">
        <f t="shared" si="293"/>
        <v>38202.400000000001</v>
      </c>
      <c r="AD942" s="2559">
        <f>+AB942*Z942</f>
        <v>188000</v>
      </c>
      <c r="AE942" s="2560"/>
      <c r="AF942" s="279"/>
      <c r="AG942" s="45"/>
      <c r="AH942" s="2834"/>
      <c r="AI942" s="2834"/>
      <c r="AJ942" s="2834"/>
      <c r="AK942" s="2834"/>
      <c r="AL942" s="107"/>
      <c r="AM942" s="44"/>
      <c r="AN942" s="45"/>
      <c r="AO942" s="45"/>
    </row>
    <row r="943" spans="1:41" ht="15.95" customHeight="1" x14ac:dyDescent="0.3">
      <c r="A943" s="2667" t="s">
        <v>1023</v>
      </c>
      <c r="B943" s="2668"/>
      <c r="C943" s="1945"/>
      <c r="D943" s="60"/>
      <c r="E943" s="1948"/>
      <c r="F943" s="1944"/>
      <c r="G943" s="2576"/>
      <c r="H943" s="2650"/>
      <c r="I943" s="2565">
        <f>SUM(I944:J949)</f>
        <v>1404148.6240000001</v>
      </c>
      <c r="J943" s="2566"/>
      <c r="K943" s="279"/>
      <c r="L943" s="45"/>
      <c r="M943" s="2834"/>
      <c r="N943" s="2834"/>
      <c r="O943" s="2834"/>
      <c r="P943" s="2834"/>
      <c r="Q943" s="273"/>
      <c r="R943" s="44"/>
      <c r="S943" s="45"/>
      <c r="T943" s="45"/>
      <c r="U943" s="45"/>
      <c r="V943" s="2667" t="s">
        <v>1023</v>
      </c>
      <c r="W943" s="2668"/>
      <c r="X943" s="1945"/>
      <c r="Y943" s="60"/>
      <c r="Z943" s="1948"/>
      <c r="AA943" s="1944"/>
      <c r="AB943" s="2576"/>
      <c r="AC943" s="2880"/>
      <c r="AD943" s="2565">
        <f>SUM(AD944:AE949)</f>
        <v>3532748.6661576144</v>
      </c>
      <c r="AE943" s="2566"/>
      <c r="AF943" s="279"/>
      <c r="AG943" s="45"/>
      <c r="AH943" s="2834"/>
      <c r="AI943" s="2834"/>
      <c r="AJ943" s="2834"/>
      <c r="AK943" s="2834"/>
      <c r="AL943" s="107"/>
      <c r="AM943" s="44"/>
      <c r="AN943" s="45"/>
      <c r="AO943" s="45"/>
    </row>
    <row r="944" spans="1:41" ht="15.95" customHeight="1" x14ac:dyDescent="0.2">
      <c r="A944" s="2663" t="s">
        <v>884</v>
      </c>
      <c r="B944" s="2664"/>
      <c r="C944" s="60" t="s">
        <v>496</v>
      </c>
      <c r="D944" s="60" t="s">
        <v>497</v>
      </c>
      <c r="E944" s="2680">
        <v>5</v>
      </c>
      <c r="F944" s="2681"/>
      <c r="G944" s="2559">
        <v>47000</v>
      </c>
      <c r="H944" s="2560">
        <f t="shared" ref="H944" si="294">(36040*6%)+36040</f>
        <v>38202.400000000001</v>
      </c>
      <c r="I944" s="2559">
        <f t="shared" ref="I944:I949" si="295">E944*G944</f>
        <v>235000</v>
      </c>
      <c r="J944" s="2560"/>
      <c r="K944" s="279"/>
      <c r="L944" s="45"/>
      <c r="M944" s="45"/>
      <c r="N944" s="45"/>
      <c r="O944" s="45"/>
      <c r="P944" s="45"/>
      <c r="Q944" s="45"/>
      <c r="R944" s="44"/>
      <c r="S944" s="45"/>
      <c r="T944" s="45"/>
      <c r="U944" s="45"/>
      <c r="V944" s="2663" t="s">
        <v>884</v>
      </c>
      <c r="W944" s="2664"/>
      <c r="X944" s="60" t="s">
        <v>496</v>
      </c>
      <c r="Y944" s="60" t="s">
        <v>497</v>
      </c>
      <c r="Z944" s="2680">
        <v>20</v>
      </c>
      <c r="AA944" s="2681"/>
      <c r="AB944" s="2907">
        <v>47000</v>
      </c>
      <c r="AC944" s="2908">
        <f t="shared" ref="AC944" si="296">(36040*6%)+36040</f>
        <v>38202.400000000001</v>
      </c>
      <c r="AD944" s="2559">
        <f t="shared" ref="AD944:AD949" si="297">Z944*AB944</f>
        <v>940000</v>
      </c>
      <c r="AE944" s="2560"/>
      <c r="AF944" s="279"/>
      <c r="AG944" s="45"/>
      <c r="AH944" s="2834"/>
      <c r="AI944" s="2834"/>
      <c r="AJ944" s="2834"/>
      <c r="AK944" s="2834"/>
      <c r="AL944" s="273"/>
      <c r="AM944" s="44"/>
      <c r="AN944" s="45"/>
      <c r="AO944" s="45"/>
    </row>
    <row r="945" spans="1:41" ht="15.95" customHeight="1" x14ac:dyDescent="0.3">
      <c r="A945" s="2663" t="s">
        <v>1524</v>
      </c>
      <c r="B945" s="2664"/>
      <c r="C945" s="60"/>
      <c r="D945" s="60"/>
      <c r="E945" s="1948"/>
      <c r="F945" s="1944"/>
      <c r="G945" s="2576"/>
      <c r="H945" s="2650"/>
      <c r="I945" s="2559">
        <f t="shared" si="295"/>
        <v>0</v>
      </c>
      <c r="J945" s="2560"/>
      <c r="K945" s="279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2663" t="s">
        <v>1524</v>
      </c>
      <c r="W945" s="2664"/>
      <c r="X945" s="60"/>
      <c r="Y945" s="60"/>
      <c r="Z945" s="1948"/>
      <c r="AA945" s="1944"/>
      <c r="AB945" s="2559"/>
      <c r="AC945" s="2880"/>
      <c r="AD945" s="2559">
        <f t="shared" si="297"/>
        <v>0</v>
      </c>
      <c r="AE945" s="2560"/>
      <c r="AF945" s="279"/>
      <c r="AG945" s="45"/>
      <c r="AH945" s="45"/>
      <c r="AI945" s="45"/>
      <c r="AJ945" s="45"/>
      <c r="AK945" s="45"/>
      <c r="AL945" s="45"/>
      <c r="AM945" s="45"/>
      <c r="AN945" s="45"/>
      <c r="AO945" s="45"/>
    </row>
    <row r="946" spans="1:41" ht="15.95" customHeight="1" x14ac:dyDescent="0.2">
      <c r="A946" s="2663" t="s">
        <v>893</v>
      </c>
      <c r="B946" s="2664"/>
      <c r="C946" s="60" t="s">
        <v>496</v>
      </c>
      <c r="D946" s="60" t="s">
        <v>497</v>
      </c>
      <c r="E946" s="2680">
        <v>2</v>
      </c>
      <c r="F946" s="2681"/>
      <c r="G946" s="2559">
        <v>47000</v>
      </c>
      <c r="H946" s="2560">
        <f t="shared" ref="H946:H947" si="298">(36040*6%)+36040</f>
        <v>38202.400000000001</v>
      </c>
      <c r="I946" s="2559">
        <f t="shared" si="295"/>
        <v>94000</v>
      </c>
      <c r="J946" s="2560"/>
      <c r="K946" s="279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2663" t="s">
        <v>893</v>
      </c>
      <c r="W946" s="2664"/>
      <c r="X946" s="60" t="s">
        <v>496</v>
      </c>
      <c r="Y946" s="60" t="s">
        <v>497</v>
      </c>
      <c r="Z946" s="2680">
        <v>8</v>
      </c>
      <c r="AA946" s="2681"/>
      <c r="AB946" s="2907">
        <v>47000</v>
      </c>
      <c r="AC946" s="2908">
        <f t="shared" ref="AC946:AC947" si="299">(36040*6%)+36040</f>
        <v>38202.400000000001</v>
      </c>
      <c r="AD946" s="2559">
        <f t="shared" si="297"/>
        <v>376000</v>
      </c>
      <c r="AE946" s="2560"/>
      <c r="AF946" s="279"/>
      <c r="AG946" s="45"/>
      <c r="AH946" s="45"/>
      <c r="AI946" s="45"/>
      <c r="AJ946" s="45"/>
      <c r="AK946" s="45"/>
      <c r="AL946" s="45"/>
      <c r="AM946" s="45"/>
      <c r="AN946" s="45"/>
      <c r="AO946" s="45"/>
    </row>
    <row r="947" spans="1:41" ht="15.95" customHeight="1" x14ac:dyDescent="0.2">
      <c r="A947" s="2663" t="s">
        <v>728</v>
      </c>
      <c r="B947" s="2664"/>
      <c r="C947" s="60" t="s">
        <v>496</v>
      </c>
      <c r="D947" s="60" t="s">
        <v>497</v>
      </c>
      <c r="E947" s="2680">
        <v>2</v>
      </c>
      <c r="F947" s="2681"/>
      <c r="G947" s="2559">
        <v>47000</v>
      </c>
      <c r="H947" s="2560">
        <f t="shared" si="298"/>
        <v>38202.400000000001</v>
      </c>
      <c r="I947" s="2559">
        <f t="shared" si="295"/>
        <v>94000</v>
      </c>
      <c r="J947" s="2560"/>
      <c r="K947" s="279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2663" t="s">
        <v>728</v>
      </c>
      <c r="W947" s="2664"/>
      <c r="X947" s="60" t="s">
        <v>496</v>
      </c>
      <c r="Y947" s="60" t="s">
        <v>497</v>
      </c>
      <c r="Z947" s="2680">
        <v>2</v>
      </c>
      <c r="AA947" s="2681"/>
      <c r="AB947" s="2907">
        <v>47000</v>
      </c>
      <c r="AC947" s="2908">
        <f t="shared" si="299"/>
        <v>38202.400000000001</v>
      </c>
      <c r="AD947" s="2559">
        <f t="shared" si="297"/>
        <v>94000</v>
      </c>
      <c r="AE947" s="2560"/>
      <c r="AF947" s="279"/>
      <c r="AG947" s="45"/>
      <c r="AH947" s="45"/>
      <c r="AI947" s="45"/>
      <c r="AJ947" s="45"/>
      <c r="AK947" s="45"/>
      <c r="AL947" s="45"/>
      <c r="AM947" s="45"/>
      <c r="AN947" s="45"/>
      <c r="AO947" s="45"/>
    </row>
    <row r="948" spans="1:41" ht="15.95" customHeight="1" x14ac:dyDescent="0.3">
      <c r="A948" s="2663" t="s">
        <v>765</v>
      </c>
      <c r="B948" s="2664"/>
      <c r="C948" s="1945"/>
      <c r="D948" s="60" t="s">
        <v>794</v>
      </c>
      <c r="E948" s="2680">
        <v>1</v>
      </c>
      <c r="F948" s="2681"/>
      <c r="G948" s="2903">
        <f>469010*1.0928</f>
        <v>512534.12800000003</v>
      </c>
      <c r="H948" s="2904">
        <f t="shared" ref="H948" si="300">(416898*6%)+416898</f>
        <v>441911.88</v>
      </c>
      <c r="I948" s="2559">
        <f t="shared" si="295"/>
        <v>512534.12800000003</v>
      </c>
      <c r="J948" s="2560"/>
      <c r="K948" s="279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2663" t="s">
        <v>765</v>
      </c>
      <c r="W948" s="2664"/>
      <c r="X948" s="1945"/>
      <c r="Y948" s="60" t="s">
        <v>794</v>
      </c>
      <c r="Z948" s="2680">
        <v>1</v>
      </c>
      <c r="AA948" s="2681"/>
      <c r="AB948" s="2576"/>
      <c r="AC948" s="2880"/>
      <c r="AD948" s="2559">
        <f>250000*1.0928</f>
        <v>273200</v>
      </c>
      <c r="AE948" s="2560"/>
      <c r="AF948" s="279"/>
      <c r="AG948" s="45"/>
      <c r="AH948" s="45"/>
      <c r="AI948" s="45"/>
      <c r="AJ948" s="45"/>
      <c r="AK948" s="45"/>
      <c r="AL948" s="45"/>
      <c r="AM948" s="45"/>
      <c r="AN948" s="45"/>
      <c r="AO948" s="45"/>
    </row>
    <row r="949" spans="1:41" ht="15.95" customHeight="1" x14ac:dyDescent="0.3">
      <c r="A949" s="2663" t="s">
        <v>615</v>
      </c>
      <c r="B949" s="2664"/>
      <c r="C949" s="60"/>
      <c r="D949" s="60" t="s">
        <v>556</v>
      </c>
      <c r="E949" s="2680">
        <v>4</v>
      </c>
      <c r="F949" s="2681"/>
      <c r="G949" s="2576">
        <f>107205*1.0928</f>
        <v>117153.624</v>
      </c>
      <c r="H949" s="2650">
        <f t="shared" ref="H949" si="301">(95294*6%)+95294</f>
        <v>101011.64</v>
      </c>
      <c r="I949" s="2559">
        <f t="shared" si="295"/>
        <v>468614.49599999998</v>
      </c>
      <c r="J949" s="2560"/>
      <c r="K949" s="279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2663" t="s">
        <v>615</v>
      </c>
      <c r="W949" s="2664"/>
      <c r="X949" s="60" t="s">
        <v>587</v>
      </c>
      <c r="Y949" s="60" t="s">
        <v>556</v>
      </c>
      <c r="Z949" s="2705">
        <f>'TOTAL PERMANENTES'!K40</f>
        <v>15.7873790242939</v>
      </c>
      <c r="AA949" s="2681"/>
      <c r="AB949" s="2559">
        <f>+G949</f>
        <v>117153.624</v>
      </c>
      <c r="AC949" s="2880"/>
      <c r="AD949" s="2559">
        <f t="shared" si="297"/>
        <v>1849548.6661576144</v>
      </c>
      <c r="AE949" s="2560"/>
      <c r="AF949" s="279"/>
      <c r="AG949" s="45"/>
      <c r="AH949" s="45"/>
      <c r="AI949" s="45"/>
      <c r="AJ949" s="45"/>
      <c r="AK949" s="45"/>
      <c r="AL949" s="45"/>
      <c r="AM949" s="45"/>
      <c r="AN949" s="45"/>
      <c r="AO949" s="45"/>
    </row>
    <row r="950" spans="1:41" ht="15.95" customHeight="1" thickBot="1" x14ac:dyDescent="0.25">
      <c r="A950" s="2881" t="s">
        <v>558</v>
      </c>
      <c r="B950" s="2882"/>
      <c r="C950" s="210"/>
      <c r="D950" s="211"/>
      <c r="E950" s="2561">
        <f>E918+E919+E921+E925+E926+E932+E933+E935+E936+E937+E940+E941+E942+E944+E946+E947</f>
        <v>97</v>
      </c>
      <c r="F950" s="2562"/>
      <c r="G950" s="2563"/>
      <c r="H950" s="2564"/>
      <c r="I950" s="2561">
        <f>SUM(I943+I924+I913+I909+I906)</f>
        <v>5915428.3739999998</v>
      </c>
      <c r="J950" s="2562"/>
      <c r="K950" s="279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2881" t="s">
        <v>558</v>
      </c>
      <c r="W950" s="2882"/>
      <c r="X950" s="210"/>
      <c r="Y950" s="211"/>
      <c r="Z950" s="2561">
        <f>Z921+Z932+Z933+Z935+Z936+Z937+Z940+Z941+Z942+Z944+Z946+Z947</f>
        <v>103</v>
      </c>
      <c r="AA950" s="2562"/>
      <c r="AB950" s="2563"/>
      <c r="AC950" s="2564"/>
      <c r="AD950" s="2561">
        <f>SUM(AD943+AD924+AD913+AD909+AD906)</f>
        <v>6681748.6661576144</v>
      </c>
      <c r="AE950" s="2562"/>
      <c r="AF950" s="279"/>
      <c r="AG950" s="45"/>
      <c r="AH950" s="45"/>
      <c r="AI950" s="45"/>
      <c r="AJ950" s="45"/>
      <c r="AK950" s="45"/>
      <c r="AL950" s="45"/>
      <c r="AM950" s="45"/>
      <c r="AN950" s="45"/>
      <c r="AO950" s="45"/>
    </row>
    <row r="955" spans="1:41" ht="15.95" customHeight="1" x14ac:dyDescent="0.2"/>
    <row r="956" spans="1:41" ht="15.95" customHeight="1" x14ac:dyDescent="0.2">
      <c r="A956" s="2906" t="s">
        <v>1977</v>
      </c>
      <c r="B956" s="2906"/>
      <c r="C956" s="2906"/>
      <c r="D956" s="2906"/>
      <c r="E956" s="2906"/>
      <c r="F956" s="2906"/>
      <c r="G956" s="2906"/>
      <c r="H956" s="2906"/>
      <c r="I956" s="2906"/>
      <c r="J956" s="2906"/>
      <c r="K956" s="2906"/>
      <c r="L956" s="2906"/>
      <c r="M956" s="2906"/>
      <c r="N956" s="2906"/>
      <c r="O956" s="2906"/>
      <c r="P956" s="2906"/>
      <c r="Q956" s="2906"/>
      <c r="R956" s="2906"/>
      <c r="S956" s="2906"/>
      <c r="T956" s="2906"/>
      <c r="U956" s="47"/>
      <c r="V956" s="2611" t="s">
        <v>1978</v>
      </c>
      <c r="W956" s="2611"/>
      <c r="X956" s="2611"/>
      <c r="Y956" s="2611"/>
      <c r="Z956" s="2611"/>
      <c r="AA956" s="2611"/>
      <c r="AB956" s="2611"/>
      <c r="AC956" s="2611"/>
      <c r="AD956" s="2611"/>
      <c r="AE956" s="2611"/>
      <c r="AF956" s="2611"/>
      <c r="AG956" s="2611"/>
      <c r="AH956" s="2611"/>
      <c r="AI956" s="2611"/>
      <c r="AJ956" s="2611"/>
      <c r="AK956" s="2611"/>
      <c r="AL956" s="2611"/>
      <c r="AM956" s="2611"/>
      <c r="AN956" s="2611"/>
      <c r="AO956" s="2611"/>
    </row>
    <row r="957" spans="1:41" ht="15.95" customHeight="1" thickBot="1" x14ac:dyDescent="0.25">
      <c r="A957" s="2611"/>
      <c r="B957" s="2611"/>
      <c r="C957" s="2611"/>
      <c r="D957" s="2611"/>
      <c r="E957" s="2611"/>
      <c r="F957" s="2611"/>
      <c r="G957" s="2611"/>
      <c r="H957" s="2611"/>
      <c r="I957" s="2611"/>
      <c r="J957" s="2611"/>
      <c r="K957" s="2611"/>
      <c r="L957" s="2611"/>
      <c r="M957" s="2611"/>
      <c r="N957" s="2611"/>
      <c r="O957" s="2611"/>
      <c r="P957" s="2611"/>
      <c r="Q957" s="2611"/>
      <c r="R957" s="2611"/>
      <c r="S957" s="2611"/>
      <c r="T957" s="2611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279"/>
      <c r="AG957" s="45"/>
      <c r="AH957" s="45"/>
      <c r="AI957" s="45"/>
      <c r="AJ957" s="45"/>
      <c r="AK957" s="45"/>
      <c r="AL957" s="45"/>
      <c r="AM957" s="45"/>
      <c r="AN957" s="45"/>
      <c r="AO957" s="45"/>
    </row>
    <row r="958" spans="1:41" ht="15.95" customHeight="1" x14ac:dyDescent="0.3">
      <c r="A958" s="2618" t="s">
        <v>435</v>
      </c>
      <c r="B958" s="2620"/>
      <c r="C958" s="2618" t="s">
        <v>436</v>
      </c>
      <c r="D958" s="2619"/>
      <c r="E958" s="2619"/>
      <c r="F958" s="2620"/>
      <c r="G958" s="2618" t="s">
        <v>437</v>
      </c>
      <c r="H958" s="2620"/>
      <c r="I958" s="2618" t="s">
        <v>438</v>
      </c>
      <c r="J958" s="2620"/>
      <c r="K958" s="45"/>
      <c r="L958" s="2633" t="s">
        <v>435</v>
      </c>
      <c r="M958" s="2618" t="s">
        <v>436</v>
      </c>
      <c r="N958" s="2619"/>
      <c r="O958" s="2619"/>
      <c r="P958" s="2620"/>
      <c r="Q958" s="2618" t="s">
        <v>437</v>
      </c>
      <c r="R958" s="2620"/>
      <c r="S958" s="2618"/>
      <c r="T958" s="2620"/>
      <c r="U958" s="268"/>
      <c r="V958" s="2618" t="s">
        <v>435</v>
      </c>
      <c r="W958" s="2620"/>
      <c r="X958" s="2618" t="s">
        <v>436</v>
      </c>
      <c r="Y958" s="2619"/>
      <c r="Z958" s="2619"/>
      <c r="AA958" s="2620"/>
      <c r="AB958" s="2618" t="s">
        <v>437</v>
      </c>
      <c r="AC958" s="2620"/>
      <c r="AD958" s="2618" t="s">
        <v>438</v>
      </c>
      <c r="AE958" s="2620"/>
      <c r="AF958" s="45"/>
      <c r="AG958" s="2633" t="s">
        <v>435</v>
      </c>
      <c r="AH958" s="2618" t="s">
        <v>436</v>
      </c>
      <c r="AI958" s="2619"/>
      <c r="AJ958" s="2619"/>
      <c r="AK958" s="2620"/>
      <c r="AL958" s="2618" t="s">
        <v>437</v>
      </c>
      <c r="AM958" s="2620"/>
      <c r="AN958" s="2618"/>
      <c r="AO958" s="2900"/>
    </row>
    <row r="959" spans="1:41" ht="15.95" customHeight="1" thickBot="1" x14ac:dyDescent="0.35">
      <c r="A959" s="2631"/>
      <c r="B959" s="2632"/>
      <c r="C959" s="2621"/>
      <c r="D959" s="2622"/>
      <c r="E959" s="2622"/>
      <c r="F959" s="2623"/>
      <c r="G959" s="2631" t="s">
        <v>440</v>
      </c>
      <c r="H959" s="2632"/>
      <c r="I959" s="2631"/>
      <c r="J959" s="2632"/>
      <c r="K959" s="45"/>
      <c r="L959" s="2670"/>
      <c r="M959" s="2621"/>
      <c r="N959" s="2622"/>
      <c r="O959" s="2622"/>
      <c r="P959" s="2623"/>
      <c r="Q959" s="2631" t="s">
        <v>440</v>
      </c>
      <c r="R959" s="2632"/>
      <c r="S959" s="2631" t="s">
        <v>274</v>
      </c>
      <c r="T959" s="2632"/>
      <c r="U959" s="268"/>
      <c r="V959" s="2631"/>
      <c r="W959" s="2632"/>
      <c r="X959" s="2621"/>
      <c r="Y959" s="2622"/>
      <c r="Z959" s="2622"/>
      <c r="AA959" s="2623"/>
      <c r="AB959" s="2631" t="s">
        <v>440</v>
      </c>
      <c r="AC959" s="2632"/>
      <c r="AD959" s="2631"/>
      <c r="AE959" s="2632"/>
      <c r="AF959" s="45"/>
      <c r="AG959" s="2670"/>
      <c r="AH959" s="2621"/>
      <c r="AI959" s="2622"/>
      <c r="AJ959" s="2622"/>
      <c r="AK959" s="2623"/>
      <c r="AL959" s="2631" t="s">
        <v>440</v>
      </c>
      <c r="AM959" s="2632"/>
      <c r="AN959" s="2631" t="s">
        <v>274</v>
      </c>
      <c r="AO959" s="2880"/>
    </row>
    <row r="960" spans="1:41" ht="15.95" customHeight="1" x14ac:dyDescent="0.3">
      <c r="A960" s="2631"/>
      <c r="B960" s="2632"/>
      <c r="C960" s="53" t="s">
        <v>441</v>
      </c>
      <c r="D960" s="2670" t="s">
        <v>442</v>
      </c>
      <c r="E960" s="2631" t="s">
        <v>443</v>
      </c>
      <c r="F960" s="2632"/>
      <c r="G960" s="2631" t="s">
        <v>444</v>
      </c>
      <c r="H960" s="2632"/>
      <c r="I960" s="2631" t="s">
        <v>348</v>
      </c>
      <c r="J960" s="2632"/>
      <c r="K960" s="45"/>
      <c r="L960" s="2670"/>
      <c r="M960" s="51" t="s">
        <v>441</v>
      </c>
      <c r="N960" s="2633" t="s">
        <v>442</v>
      </c>
      <c r="O960" s="2618" t="s">
        <v>443</v>
      </c>
      <c r="P960" s="2620"/>
      <c r="Q960" s="2631" t="s">
        <v>444</v>
      </c>
      <c r="R960" s="2632"/>
      <c r="S960" s="2631" t="s">
        <v>348</v>
      </c>
      <c r="T960" s="2632"/>
      <c r="U960" s="268"/>
      <c r="V960" s="2631"/>
      <c r="W960" s="2632"/>
      <c r="X960" s="53" t="s">
        <v>441</v>
      </c>
      <c r="Y960" s="2670" t="s">
        <v>442</v>
      </c>
      <c r="Z960" s="2631" t="s">
        <v>443</v>
      </c>
      <c r="AA960" s="2632"/>
      <c r="AB960" s="2631" t="s">
        <v>444</v>
      </c>
      <c r="AC960" s="2632"/>
      <c r="AD960" s="2631" t="s">
        <v>348</v>
      </c>
      <c r="AE960" s="2632"/>
      <c r="AF960" s="45"/>
      <c r="AG960" s="2670"/>
      <c r="AH960" s="51" t="s">
        <v>441</v>
      </c>
      <c r="AI960" s="2670" t="s">
        <v>442</v>
      </c>
      <c r="AJ960" s="2631" t="s">
        <v>443</v>
      </c>
      <c r="AK960" s="2632"/>
      <c r="AL960" s="2631" t="s">
        <v>444</v>
      </c>
      <c r="AM960" s="2632"/>
      <c r="AN960" s="2631" t="s">
        <v>348</v>
      </c>
      <c r="AO960" s="2880"/>
    </row>
    <row r="961" spans="1:41" ht="15.95" customHeight="1" thickBot="1" x14ac:dyDescent="0.35">
      <c r="A961" s="2621"/>
      <c r="B961" s="2623"/>
      <c r="C961" s="54" t="s">
        <v>445</v>
      </c>
      <c r="D961" s="2634"/>
      <c r="E961" s="2621"/>
      <c r="F961" s="2623"/>
      <c r="G961" s="2621"/>
      <c r="H961" s="2623"/>
      <c r="I961" s="2621"/>
      <c r="J961" s="2623"/>
      <c r="K961" s="45"/>
      <c r="L961" s="2634"/>
      <c r="M961" s="50" t="s">
        <v>445</v>
      </c>
      <c r="N961" s="2634"/>
      <c r="O961" s="2621"/>
      <c r="P961" s="2623"/>
      <c r="Q961" s="2621"/>
      <c r="R961" s="2623"/>
      <c r="S961" s="2621"/>
      <c r="T961" s="2623"/>
      <c r="U961" s="268"/>
      <c r="V961" s="2621"/>
      <c r="W961" s="2623"/>
      <c r="X961" s="54" t="s">
        <v>445</v>
      </c>
      <c r="Y961" s="2634"/>
      <c r="Z961" s="2621"/>
      <c r="AA961" s="2623"/>
      <c r="AB961" s="2621"/>
      <c r="AC961" s="2623"/>
      <c r="AD961" s="2621"/>
      <c r="AE961" s="2623"/>
      <c r="AF961" s="45"/>
      <c r="AG961" s="2634"/>
      <c r="AH961" s="50" t="s">
        <v>445</v>
      </c>
      <c r="AI961" s="2634"/>
      <c r="AJ961" s="2621"/>
      <c r="AK961" s="2623"/>
      <c r="AL961" s="2621"/>
      <c r="AM961" s="2623"/>
      <c r="AN961" s="2901"/>
      <c r="AO961" s="2902"/>
    </row>
    <row r="962" spans="1:41" ht="15.95" customHeight="1" x14ac:dyDescent="0.3">
      <c r="A962" s="2898" t="s">
        <v>446</v>
      </c>
      <c r="B962" s="2899"/>
      <c r="C962" s="1938"/>
      <c r="D962" s="60"/>
      <c r="E962" s="1948"/>
      <c r="F962" s="1940"/>
      <c r="G962" s="2576"/>
      <c r="H962" s="2880"/>
      <c r="I962" s="2559"/>
      <c r="J962" s="2880"/>
      <c r="K962" s="279"/>
      <c r="L962" s="59" t="s">
        <v>447</v>
      </c>
      <c r="M962" s="1939"/>
      <c r="N962" s="1940"/>
      <c r="O962" s="1941"/>
      <c r="P962" s="1949"/>
      <c r="Q962" s="2605"/>
      <c r="R962" s="2606"/>
      <c r="S962" s="2605"/>
      <c r="T962" s="2606"/>
      <c r="U962" s="26"/>
      <c r="V962" s="2898" t="s">
        <v>446</v>
      </c>
      <c r="W962" s="2899"/>
      <c r="X962" s="1938"/>
      <c r="Y962" s="60"/>
      <c r="Z962" s="1948"/>
      <c r="AA962" s="1940"/>
      <c r="AB962" s="2576"/>
      <c r="AC962" s="2880"/>
      <c r="AD962" s="2576"/>
      <c r="AE962" s="2880"/>
      <c r="AF962" s="279"/>
      <c r="AG962" s="59" t="s">
        <v>447</v>
      </c>
      <c r="AH962" s="1939"/>
      <c r="AI962" s="1940"/>
      <c r="AJ962" s="2605"/>
      <c r="AK962" s="2606"/>
      <c r="AL962" s="2605"/>
      <c r="AM962" s="2606"/>
      <c r="AN962" s="2605"/>
      <c r="AO962" s="2606"/>
    </row>
    <row r="963" spans="1:41" ht="15.95" customHeight="1" x14ac:dyDescent="0.35">
      <c r="A963" s="2667" t="s">
        <v>979</v>
      </c>
      <c r="B963" s="2668"/>
      <c r="C963" s="77"/>
      <c r="D963" s="1942"/>
      <c r="E963" s="1948"/>
      <c r="F963" s="1944"/>
      <c r="G963" s="2576"/>
      <c r="H963" s="2880"/>
      <c r="I963" s="2897">
        <f>SUM(I964:I965)</f>
        <v>0</v>
      </c>
      <c r="J963" s="2892"/>
      <c r="K963" s="279"/>
      <c r="L963" s="62"/>
      <c r="M963" s="1943"/>
      <c r="N963" s="1944"/>
      <c r="O963" s="1937"/>
      <c r="P963" s="89"/>
      <c r="Q963" s="2559"/>
      <c r="R963" s="2560"/>
      <c r="S963" s="2559"/>
      <c r="T963" s="2560"/>
      <c r="U963" s="26"/>
      <c r="V963" s="2667" t="s">
        <v>979</v>
      </c>
      <c r="W963" s="2668"/>
      <c r="X963" s="1945"/>
      <c r="Y963" s="60"/>
      <c r="Z963" s="1948"/>
      <c r="AA963" s="1944"/>
      <c r="AB963" s="2576"/>
      <c r="AC963" s="2880"/>
      <c r="AD963" s="2897">
        <f>SUM(AD964:AD965)</f>
        <v>0</v>
      </c>
      <c r="AE963" s="2892"/>
      <c r="AF963" s="279"/>
      <c r="AG963" s="62"/>
      <c r="AH963" s="1943"/>
      <c r="AI963" s="1944"/>
      <c r="AJ963" s="2559"/>
      <c r="AK963" s="2560"/>
      <c r="AL963" s="2559"/>
      <c r="AM963" s="2560"/>
      <c r="AN963" s="2559"/>
      <c r="AO963" s="2560"/>
    </row>
    <row r="964" spans="1:41" ht="15.95" customHeight="1" x14ac:dyDescent="0.3">
      <c r="A964" s="2663" t="s">
        <v>980</v>
      </c>
      <c r="B964" s="2664"/>
      <c r="C964" s="60"/>
      <c r="D964" s="60"/>
      <c r="E964" s="1948"/>
      <c r="F964" s="1944"/>
      <c r="G964" s="2576"/>
      <c r="H964" s="2880"/>
      <c r="I964" s="2576"/>
      <c r="J964" s="2880"/>
      <c r="K964" s="279"/>
      <c r="L964" s="62" t="s">
        <v>450</v>
      </c>
      <c r="M964" s="1944"/>
      <c r="N964" s="1944"/>
      <c r="O964" s="1937"/>
      <c r="P964" s="89"/>
      <c r="Q964" s="2559"/>
      <c r="R964" s="2560"/>
      <c r="S964" s="2559">
        <f>O964*Q964</f>
        <v>0</v>
      </c>
      <c r="T964" s="2560"/>
      <c r="U964" s="26"/>
      <c r="V964" s="2663" t="s">
        <v>980</v>
      </c>
      <c r="W964" s="2664"/>
      <c r="X964" s="1945"/>
      <c r="Y964" s="60"/>
      <c r="Z964" s="1948"/>
      <c r="AA964" s="1944"/>
      <c r="AB964" s="2576"/>
      <c r="AC964" s="2880"/>
      <c r="AD964" s="2576"/>
      <c r="AE964" s="2880"/>
      <c r="AF964" s="279"/>
      <c r="AG964" s="62" t="s">
        <v>450</v>
      </c>
      <c r="AH964" s="1944"/>
      <c r="AI964" s="1944"/>
      <c r="AJ964" s="2559"/>
      <c r="AK964" s="2560"/>
      <c r="AL964" s="2559"/>
      <c r="AM964" s="2560"/>
      <c r="AN964" s="2559"/>
      <c r="AO964" s="2560"/>
    </row>
    <row r="965" spans="1:41" ht="15.95" customHeight="1" x14ac:dyDescent="0.3">
      <c r="A965" s="2663" t="s">
        <v>981</v>
      </c>
      <c r="B965" s="2664"/>
      <c r="C965" s="60"/>
      <c r="D965" s="60"/>
      <c r="E965" s="1948"/>
      <c r="F965" s="1944"/>
      <c r="G965" s="2576"/>
      <c r="H965" s="2880"/>
      <c r="I965" s="2576"/>
      <c r="J965" s="2880"/>
      <c r="K965" s="279"/>
      <c r="L965" s="62" t="s">
        <v>853</v>
      </c>
      <c r="M965" s="1944" t="s">
        <v>1031</v>
      </c>
      <c r="N965" s="1944" t="s">
        <v>497</v>
      </c>
      <c r="O965" s="2569">
        <v>1100</v>
      </c>
      <c r="P965" s="2570"/>
      <c r="Q965" s="2559">
        <f>2871*1.0928</f>
        <v>3137.4288000000001</v>
      </c>
      <c r="R965" s="2560"/>
      <c r="S965" s="2559">
        <f t="shared" ref="S965:S980" si="302">O965*Q965</f>
        <v>3451171.68</v>
      </c>
      <c r="T965" s="2560"/>
      <c r="U965" s="26"/>
      <c r="V965" s="2663" t="s">
        <v>981</v>
      </c>
      <c r="W965" s="2664"/>
      <c r="X965" s="1945"/>
      <c r="Y965" s="60"/>
      <c r="Z965" s="1948"/>
      <c r="AA965" s="1944"/>
      <c r="AB965" s="2559"/>
      <c r="AC965" s="2880"/>
      <c r="AD965" s="2559">
        <f>+AB965*Z965</f>
        <v>0</v>
      </c>
      <c r="AE965" s="2560"/>
      <c r="AF965" s="279"/>
      <c r="AG965" s="62" t="s">
        <v>853</v>
      </c>
      <c r="AH965" s="1944"/>
      <c r="AI965" s="1944"/>
      <c r="AJ965" s="2559"/>
      <c r="AK965" s="2560"/>
      <c r="AL965" s="2559"/>
      <c r="AM965" s="2560"/>
      <c r="AN965" s="2559">
        <f>AJ965*AL965</f>
        <v>0</v>
      </c>
      <c r="AO965" s="2560"/>
    </row>
    <row r="966" spans="1:41" ht="15.95" customHeight="1" x14ac:dyDescent="0.35">
      <c r="A966" s="2667" t="s">
        <v>990</v>
      </c>
      <c r="B966" s="2668"/>
      <c r="C966" s="1946"/>
      <c r="D966" s="60"/>
      <c r="E966" s="1948"/>
      <c r="F966" s="1944"/>
      <c r="G966" s="2576"/>
      <c r="H966" s="2880"/>
      <c r="I966" s="2897">
        <f>SUM(I967:J969)</f>
        <v>0</v>
      </c>
      <c r="J966" s="2892"/>
      <c r="K966" s="279"/>
      <c r="L966" s="62" t="s">
        <v>1563</v>
      </c>
      <c r="M966" s="1944" t="s">
        <v>1564</v>
      </c>
      <c r="N966" s="1944" t="s">
        <v>473</v>
      </c>
      <c r="O966" s="2703">
        <v>3.5</v>
      </c>
      <c r="P966" s="2704"/>
      <c r="Q966" s="2559">
        <f>37036*1.0928</f>
        <v>40472.940799999997</v>
      </c>
      <c r="R966" s="2560"/>
      <c r="S966" s="2559">
        <f t="shared" si="302"/>
        <v>141655.2928</v>
      </c>
      <c r="T966" s="2560"/>
      <c r="U966" s="26"/>
      <c r="V966" s="2667" t="s">
        <v>990</v>
      </c>
      <c r="W966" s="2668"/>
      <c r="X966" s="1945"/>
      <c r="Y966" s="60"/>
      <c r="Z966" s="1948"/>
      <c r="AA966" s="1944"/>
      <c r="AB966" s="2576"/>
      <c r="AC966" s="2880"/>
      <c r="AD966" s="2897">
        <f>SUM(AD967:AE969)</f>
        <v>0</v>
      </c>
      <c r="AE966" s="2892"/>
      <c r="AF966" s="279"/>
      <c r="AG966" s="62" t="s">
        <v>863</v>
      </c>
      <c r="AH966" s="1944" t="s">
        <v>1564</v>
      </c>
      <c r="AI966" s="1944" t="s">
        <v>473</v>
      </c>
      <c r="AJ966" s="2569">
        <v>5</v>
      </c>
      <c r="AK966" s="2570"/>
      <c r="AL966" s="2559">
        <f t="shared" ref="AL966:AL971" si="303">+Q966</f>
        <v>40472.940799999997</v>
      </c>
      <c r="AM966" s="2560"/>
      <c r="AN966" s="2559">
        <f>AJ966*AL966</f>
        <v>202364.70399999997</v>
      </c>
      <c r="AO966" s="2560"/>
    </row>
    <row r="967" spans="1:41" ht="15.95" customHeight="1" x14ac:dyDescent="0.3">
      <c r="A967" s="2663" t="s">
        <v>991</v>
      </c>
      <c r="B967" s="2664"/>
      <c r="C967" s="60"/>
      <c r="D967" s="60"/>
      <c r="E967" s="1948"/>
      <c r="F967" s="1944"/>
      <c r="G967" s="2576"/>
      <c r="H967" s="2880"/>
      <c r="I967" s="2576"/>
      <c r="J967" s="2880"/>
      <c r="K967" s="279"/>
      <c r="L967" s="62" t="s">
        <v>861</v>
      </c>
      <c r="M967" s="1944" t="s">
        <v>1565</v>
      </c>
      <c r="N967" s="1944" t="s">
        <v>473</v>
      </c>
      <c r="O967" s="2703">
        <v>3.5</v>
      </c>
      <c r="P967" s="2704"/>
      <c r="Q967" s="2559">
        <f>44242*1.0928</f>
        <v>48347.657599999999</v>
      </c>
      <c r="R967" s="2560"/>
      <c r="S967" s="2559">
        <f t="shared" si="302"/>
        <v>169216.80160000001</v>
      </c>
      <c r="T967" s="2560"/>
      <c r="U967" s="26"/>
      <c r="V967" s="2663" t="s">
        <v>991</v>
      </c>
      <c r="W967" s="2664"/>
      <c r="X967" s="1945"/>
      <c r="Y967" s="60"/>
      <c r="Z967" s="1948"/>
      <c r="AA967" s="1944"/>
      <c r="AB967" s="2576"/>
      <c r="AC967" s="2880"/>
      <c r="AD967" s="2576"/>
      <c r="AE967" s="2880"/>
      <c r="AF967" s="279"/>
      <c r="AG967" s="62" t="s">
        <v>861</v>
      </c>
      <c r="AH967" s="1944" t="s">
        <v>1565</v>
      </c>
      <c r="AI967" s="1944" t="s">
        <v>473</v>
      </c>
      <c r="AJ967" s="2569">
        <v>4</v>
      </c>
      <c r="AK967" s="2570"/>
      <c r="AL967" s="2559">
        <f t="shared" si="303"/>
        <v>48347.657599999999</v>
      </c>
      <c r="AM967" s="2560"/>
      <c r="AN967" s="2559">
        <f t="shared" ref="AN967:AN980" si="304">AJ967*AL967</f>
        <v>193390.63039999999</v>
      </c>
      <c r="AO967" s="2560"/>
    </row>
    <row r="968" spans="1:41" ht="15.95" customHeight="1" x14ac:dyDescent="0.3">
      <c r="A968" s="2663" t="s">
        <v>981</v>
      </c>
      <c r="B968" s="2664"/>
      <c r="C968" s="60"/>
      <c r="D968" s="60"/>
      <c r="E968" s="1948"/>
      <c r="F968" s="1944"/>
      <c r="G968" s="2576"/>
      <c r="H968" s="2880"/>
      <c r="I968" s="2576"/>
      <c r="J968" s="2880"/>
      <c r="K968" s="279"/>
      <c r="L968" s="62" t="s">
        <v>861</v>
      </c>
      <c r="M968" s="1944" t="s">
        <v>896</v>
      </c>
      <c r="N968" s="1944" t="s">
        <v>1101</v>
      </c>
      <c r="O968" s="2569">
        <v>5</v>
      </c>
      <c r="P968" s="2570"/>
      <c r="Q968" s="2559">
        <f>44242*1.0928</f>
        <v>48347.657599999999</v>
      </c>
      <c r="R968" s="2560"/>
      <c r="S968" s="2559">
        <f t="shared" si="302"/>
        <v>241738.288</v>
      </c>
      <c r="T968" s="2560"/>
      <c r="U968" s="26"/>
      <c r="V968" s="2663" t="s">
        <v>981</v>
      </c>
      <c r="W968" s="2664"/>
      <c r="X968" s="1945"/>
      <c r="Y968" s="60"/>
      <c r="Z968" s="1948"/>
      <c r="AA968" s="1944"/>
      <c r="AB968" s="2576"/>
      <c r="AC968" s="2880"/>
      <c r="AD968" s="2576"/>
      <c r="AE968" s="2880"/>
      <c r="AF968" s="279"/>
      <c r="AG968" s="62" t="s">
        <v>861</v>
      </c>
      <c r="AH968" s="1944" t="s">
        <v>896</v>
      </c>
      <c r="AI968" s="1944" t="s">
        <v>1101</v>
      </c>
      <c r="AJ968" s="2569">
        <v>4</v>
      </c>
      <c r="AK968" s="2570"/>
      <c r="AL968" s="2559">
        <f t="shared" si="303"/>
        <v>48347.657599999999</v>
      </c>
      <c r="AM968" s="2560"/>
      <c r="AN968" s="2559">
        <f t="shared" si="304"/>
        <v>193390.63039999999</v>
      </c>
      <c r="AO968" s="2560"/>
    </row>
    <row r="969" spans="1:41" ht="15.95" customHeight="1" x14ac:dyDescent="0.3">
      <c r="A969" s="2663" t="s">
        <v>992</v>
      </c>
      <c r="B969" s="2664"/>
      <c r="C969" s="60"/>
      <c r="D969" s="60"/>
      <c r="E969" s="1948"/>
      <c r="F969" s="1944"/>
      <c r="G969" s="2576"/>
      <c r="H969" s="2880"/>
      <c r="I969" s="2576"/>
      <c r="J969" s="2880"/>
      <c r="K969" s="279"/>
      <c r="L969" s="62" t="s">
        <v>534</v>
      </c>
      <c r="M969" s="1944" t="s">
        <v>459</v>
      </c>
      <c r="N969" s="1944" t="s">
        <v>460</v>
      </c>
      <c r="O969" s="2569">
        <v>2</v>
      </c>
      <c r="P969" s="2570"/>
      <c r="Q969" s="2559">
        <v>149734</v>
      </c>
      <c r="R969" s="2560"/>
      <c r="S969" s="2559">
        <f t="shared" si="302"/>
        <v>299468</v>
      </c>
      <c r="T969" s="2560"/>
      <c r="U969" s="26"/>
      <c r="V969" s="2663" t="s">
        <v>992</v>
      </c>
      <c r="W969" s="2664"/>
      <c r="X969" s="1945"/>
      <c r="Y969" s="60"/>
      <c r="Z969" s="1948"/>
      <c r="AA969" s="1944"/>
      <c r="AB969" s="2576"/>
      <c r="AC969" s="2880"/>
      <c r="AD969" s="2576"/>
      <c r="AE969" s="2880"/>
      <c r="AF969" s="279"/>
      <c r="AG969" s="62" t="s">
        <v>534</v>
      </c>
      <c r="AH969" s="1944" t="s">
        <v>459</v>
      </c>
      <c r="AI969" s="1944" t="s">
        <v>460</v>
      </c>
      <c r="AJ969" s="2569">
        <v>2</v>
      </c>
      <c r="AK969" s="2570"/>
      <c r="AL969" s="2559">
        <f t="shared" si="303"/>
        <v>149734</v>
      </c>
      <c r="AM969" s="2560"/>
      <c r="AN969" s="2559">
        <f t="shared" si="304"/>
        <v>299468</v>
      </c>
      <c r="AO969" s="2560"/>
    </row>
    <row r="970" spans="1:41" ht="15.95" customHeight="1" x14ac:dyDescent="0.35">
      <c r="A970" s="2667" t="s">
        <v>993</v>
      </c>
      <c r="B970" s="2668"/>
      <c r="C970" s="1945"/>
      <c r="D970" s="60"/>
      <c r="E970" s="1948"/>
      <c r="F970" s="1944"/>
      <c r="G970" s="2576"/>
      <c r="H970" s="2880"/>
      <c r="I970" s="2565">
        <f>SUM(I971:J980)</f>
        <v>846000</v>
      </c>
      <c r="J970" s="2892"/>
      <c r="K970" s="279"/>
      <c r="L970" s="1942" t="s">
        <v>535</v>
      </c>
      <c r="M970" s="1944" t="s">
        <v>468</v>
      </c>
      <c r="N970" s="1944" t="s">
        <v>460</v>
      </c>
      <c r="O970" s="2569">
        <v>4</v>
      </c>
      <c r="P970" s="2570"/>
      <c r="Q970" s="2559">
        <v>164123</v>
      </c>
      <c r="R970" s="2560"/>
      <c r="S970" s="2559">
        <f t="shared" si="302"/>
        <v>656492</v>
      </c>
      <c r="T970" s="2560"/>
      <c r="U970" s="26"/>
      <c r="V970" s="2667" t="s">
        <v>993</v>
      </c>
      <c r="W970" s="2668"/>
      <c r="X970" s="1942"/>
      <c r="Y970" s="60"/>
      <c r="Z970" s="1948"/>
      <c r="AA970" s="1944"/>
      <c r="AB970" s="2576"/>
      <c r="AC970" s="2880"/>
      <c r="AD970" s="2565">
        <f>SUM(AD971:AE980)</f>
        <v>0</v>
      </c>
      <c r="AE970" s="2892"/>
      <c r="AF970" s="279"/>
      <c r="AG970" s="1942" t="s">
        <v>535</v>
      </c>
      <c r="AH970" s="1944" t="s">
        <v>468</v>
      </c>
      <c r="AI970" s="1944" t="s">
        <v>460</v>
      </c>
      <c r="AJ970" s="2569">
        <v>4</v>
      </c>
      <c r="AK970" s="2570"/>
      <c r="AL970" s="2559">
        <f t="shared" si="303"/>
        <v>164123</v>
      </c>
      <c r="AM970" s="2560"/>
      <c r="AN970" s="2559">
        <f t="shared" si="304"/>
        <v>656492</v>
      </c>
      <c r="AO970" s="2560"/>
    </row>
    <row r="971" spans="1:41" ht="15.95" customHeight="1" x14ac:dyDescent="0.2">
      <c r="A971" s="2663" t="s">
        <v>995</v>
      </c>
      <c r="B971" s="2664"/>
      <c r="C971" s="60" t="s">
        <v>496</v>
      </c>
      <c r="D971" s="60" t="s">
        <v>497</v>
      </c>
      <c r="E971" s="2569">
        <v>6</v>
      </c>
      <c r="F971" s="2570"/>
      <c r="G971" s="2559">
        <v>47000</v>
      </c>
      <c r="H971" s="2560">
        <f t="shared" ref="H971" si="305">(36040*6%)+36040</f>
        <v>38202.400000000001</v>
      </c>
      <c r="I971" s="2559">
        <f t="shared" ref="I971:I980" si="306">E971*G971</f>
        <v>282000</v>
      </c>
      <c r="J971" s="2560"/>
      <c r="K971" s="279"/>
      <c r="L971" s="62" t="s">
        <v>535</v>
      </c>
      <c r="M971" s="1944" t="s">
        <v>753</v>
      </c>
      <c r="N971" s="1944" t="s">
        <v>460</v>
      </c>
      <c r="O971" s="2569">
        <v>6</v>
      </c>
      <c r="P971" s="2570"/>
      <c r="Q971" s="2895">
        <v>188974</v>
      </c>
      <c r="R971" s="2896"/>
      <c r="S971" s="2559">
        <f t="shared" si="302"/>
        <v>1133844</v>
      </c>
      <c r="T971" s="2560"/>
      <c r="U971" s="26"/>
      <c r="V971" s="2663" t="s">
        <v>995</v>
      </c>
      <c r="W971" s="2664"/>
      <c r="X971" s="1942"/>
      <c r="Y971" s="60"/>
      <c r="Z971" s="1937"/>
      <c r="AA971" s="89"/>
      <c r="AB971" s="2559"/>
      <c r="AC971" s="2560"/>
      <c r="AD971" s="2559"/>
      <c r="AE971" s="2560"/>
      <c r="AF971" s="279"/>
      <c r="AG971" s="62" t="s">
        <v>535</v>
      </c>
      <c r="AH971" s="1944" t="s">
        <v>753</v>
      </c>
      <c r="AI971" s="1944" t="s">
        <v>460</v>
      </c>
      <c r="AJ971" s="2569">
        <v>6</v>
      </c>
      <c r="AK971" s="2570"/>
      <c r="AL971" s="2559">
        <f t="shared" si="303"/>
        <v>188974</v>
      </c>
      <c r="AM971" s="2560"/>
      <c r="AN971" s="2559">
        <f t="shared" si="304"/>
        <v>1133844</v>
      </c>
      <c r="AO971" s="2560"/>
    </row>
    <row r="972" spans="1:41" ht="15.95" customHeight="1" x14ac:dyDescent="0.3">
      <c r="A972" s="2663" t="s">
        <v>996</v>
      </c>
      <c r="B972" s="2664"/>
      <c r="C972" s="60"/>
      <c r="D972" s="60"/>
      <c r="E972" s="1937"/>
      <c r="F972" s="89"/>
      <c r="G972" s="2576"/>
      <c r="H972" s="2880"/>
      <c r="I972" s="2559">
        <f t="shared" si="306"/>
        <v>0</v>
      </c>
      <c r="J972" s="2560"/>
      <c r="K972" s="279"/>
      <c r="L972" s="62" t="s">
        <v>866</v>
      </c>
      <c r="M972" s="1944"/>
      <c r="N972" s="1944"/>
      <c r="O972" s="1937"/>
      <c r="P972" s="89"/>
      <c r="Q972" s="2559"/>
      <c r="R972" s="2560"/>
      <c r="S972" s="2559">
        <f t="shared" si="302"/>
        <v>0</v>
      </c>
      <c r="T972" s="2560"/>
      <c r="U972" s="26"/>
      <c r="V972" s="2663" t="s">
        <v>996</v>
      </c>
      <c r="W972" s="2664"/>
      <c r="X972" s="1945"/>
      <c r="Y972" s="60"/>
      <c r="Z972" s="1937"/>
      <c r="AA972" s="89"/>
      <c r="AB972" s="2559"/>
      <c r="AC972" s="2560"/>
      <c r="AD972" s="2559">
        <f>Z972*AB972</f>
        <v>0</v>
      </c>
      <c r="AE972" s="2560"/>
      <c r="AF972" s="279"/>
      <c r="AG972" s="62" t="s">
        <v>866</v>
      </c>
      <c r="AH972" s="1944"/>
      <c r="AI972" s="1944"/>
      <c r="AJ972" s="1937"/>
      <c r="AK972" s="89"/>
      <c r="AL972" s="2559"/>
      <c r="AM972" s="2560"/>
      <c r="AN972" s="2559">
        <f t="shared" si="304"/>
        <v>0</v>
      </c>
      <c r="AO972" s="2560"/>
    </row>
    <row r="973" spans="1:41" ht="15.95" customHeight="1" x14ac:dyDescent="0.2">
      <c r="A973" s="2663" t="s">
        <v>469</v>
      </c>
      <c r="B973" s="2664"/>
      <c r="C973" s="60"/>
      <c r="D973" s="60"/>
      <c r="E973" s="2569"/>
      <c r="F973" s="2570"/>
      <c r="G973" s="2559"/>
      <c r="H973" s="2560"/>
      <c r="I973" s="2559">
        <f t="shared" si="306"/>
        <v>0</v>
      </c>
      <c r="J973" s="2560"/>
      <c r="K973" s="279"/>
      <c r="L973" s="62" t="s">
        <v>456</v>
      </c>
      <c r="M973" s="1944" t="s">
        <v>710</v>
      </c>
      <c r="N973" s="1944" t="s">
        <v>556</v>
      </c>
      <c r="O973" s="2569">
        <v>1</v>
      </c>
      <c r="P973" s="2570"/>
      <c r="Q973" s="2559">
        <f>180902*1.0928</f>
        <v>197689.70559999999</v>
      </c>
      <c r="R973" s="2560"/>
      <c r="S973" s="2559">
        <f t="shared" si="302"/>
        <v>197689.70559999999</v>
      </c>
      <c r="T973" s="2560"/>
      <c r="U973" s="26"/>
      <c r="V973" s="2663" t="s">
        <v>469</v>
      </c>
      <c r="W973" s="2664"/>
      <c r="X973" s="1945"/>
      <c r="Y973" s="60"/>
      <c r="Z973" s="1937"/>
      <c r="AA973" s="89"/>
      <c r="AB973" s="2559"/>
      <c r="AC973" s="2560"/>
      <c r="AD973" s="2559"/>
      <c r="AE973" s="2560"/>
      <c r="AF973" s="279"/>
      <c r="AG973" s="62" t="s">
        <v>456</v>
      </c>
      <c r="AH973" s="1944"/>
      <c r="AI973" s="1944"/>
      <c r="AJ973" s="2569"/>
      <c r="AK973" s="2570"/>
      <c r="AL973" s="2559"/>
      <c r="AM973" s="2560"/>
      <c r="AN973" s="2559">
        <f t="shared" si="304"/>
        <v>0</v>
      </c>
      <c r="AO973" s="2560"/>
    </row>
    <row r="974" spans="1:41" ht="15.95" customHeight="1" x14ac:dyDescent="0.2">
      <c r="A974" s="2663" t="s">
        <v>470</v>
      </c>
      <c r="B974" s="2664"/>
      <c r="C974" s="60"/>
      <c r="D974" s="60"/>
      <c r="E974" s="2569"/>
      <c r="F974" s="2570"/>
      <c r="G974" s="2559"/>
      <c r="H974" s="2560"/>
      <c r="I974" s="2559">
        <f t="shared" si="306"/>
        <v>0</v>
      </c>
      <c r="J974" s="2560"/>
      <c r="K974" s="279"/>
      <c r="L974" s="62" t="s">
        <v>871</v>
      </c>
      <c r="M974" s="1944"/>
      <c r="N974" s="1944"/>
      <c r="O974" s="1937"/>
      <c r="P974" s="89"/>
      <c r="Q974" s="2559"/>
      <c r="R974" s="2560"/>
      <c r="S974" s="2559">
        <f t="shared" si="302"/>
        <v>0</v>
      </c>
      <c r="T974" s="2560"/>
      <c r="U974" s="26"/>
      <c r="V974" s="2663" t="s">
        <v>470</v>
      </c>
      <c r="W974" s="2664"/>
      <c r="X974" s="1945"/>
      <c r="Y974" s="60"/>
      <c r="Z974" s="1937"/>
      <c r="AA974" s="89"/>
      <c r="AB974" s="2559"/>
      <c r="AC974" s="2560"/>
      <c r="AD974" s="2559"/>
      <c r="AE974" s="2560"/>
      <c r="AF974" s="279"/>
      <c r="AG974" s="62" t="s">
        <v>871</v>
      </c>
      <c r="AH974" s="1944"/>
      <c r="AI974" s="1944"/>
      <c r="AJ974" s="1937"/>
      <c r="AK974" s="89"/>
      <c r="AL974" s="2559"/>
      <c r="AM974" s="2560"/>
      <c r="AN974" s="2559">
        <f t="shared" si="304"/>
        <v>0</v>
      </c>
      <c r="AO974" s="2560"/>
    </row>
    <row r="975" spans="1:41" ht="15.95" customHeight="1" x14ac:dyDescent="0.3">
      <c r="A975" s="2663" t="s">
        <v>902</v>
      </c>
      <c r="B975" s="2664"/>
      <c r="C975" s="60" t="s">
        <v>496</v>
      </c>
      <c r="D975" s="60" t="s">
        <v>497</v>
      </c>
      <c r="E975" s="2569">
        <v>4</v>
      </c>
      <c r="F975" s="2570"/>
      <c r="G975" s="2559">
        <v>47000</v>
      </c>
      <c r="H975" s="2560">
        <f t="shared" ref="H975:H976" si="307">(36040*6%)+36040</f>
        <v>38202.400000000001</v>
      </c>
      <c r="I975" s="2559">
        <f t="shared" si="306"/>
        <v>188000</v>
      </c>
      <c r="J975" s="2560"/>
      <c r="K975" s="279"/>
      <c r="L975" s="62" t="s">
        <v>1521</v>
      </c>
      <c r="M975" s="1944"/>
      <c r="N975" s="1944"/>
      <c r="O975" s="1937"/>
      <c r="P975" s="89"/>
      <c r="Q975" s="2559"/>
      <c r="R975" s="2560"/>
      <c r="S975" s="2559">
        <f t="shared" si="302"/>
        <v>0</v>
      </c>
      <c r="T975" s="2560"/>
      <c r="U975" s="26"/>
      <c r="V975" s="2663" t="s">
        <v>902</v>
      </c>
      <c r="W975" s="2664"/>
      <c r="X975" s="1942"/>
      <c r="Y975" s="60"/>
      <c r="Z975" s="1937"/>
      <c r="AA975" s="89"/>
      <c r="AB975" s="2559"/>
      <c r="AC975" s="2880"/>
      <c r="AD975" s="2559"/>
      <c r="AE975" s="2560"/>
      <c r="AF975" s="279"/>
      <c r="AG975" s="62" t="s">
        <v>1521</v>
      </c>
      <c r="AH975" s="1944"/>
      <c r="AI975" s="1944"/>
      <c r="AJ975" s="1937"/>
      <c r="AK975" s="89"/>
      <c r="AL975" s="2559"/>
      <c r="AM975" s="2560"/>
      <c r="AN975" s="2559">
        <f t="shared" si="304"/>
        <v>0</v>
      </c>
      <c r="AO975" s="2560"/>
    </row>
    <row r="976" spans="1:41" ht="15.95" customHeight="1" x14ac:dyDescent="0.3">
      <c r="A976" s="2663" t="s">
        <v>998</v>
      </c>
      <c r="B976" s="2664"/>
      <c r="C976" s="60" t="s">
        <v>496</v>
      </c>
      <c r="D976" s="60" t="s">
        <v>497</v>
      </c>
      <c r="E976" s="2680">
        <v>8</v>
      </c>
      <c r="F976" s="2681"/>
      <c r="G976" s="2559">
        <v>47000</v>
      </c>
      <c r="H976" s="2560">
        <f t="shared" si="307"/>
        <v>38202.400000000001</v>
      </c>
      <c r="I976" s="2559">
        <f t="shared" si="306"/>
        <v>376000</v>
      </c>
      <c r="J976" s="2560"/>
      <c r="K976" s="279"/>
      <c r="L976" s="62" t="s">
        <v>507</v>
      </c>
      <c r="M976" s="1947"/>
      <c r="N976" s="60"/>
      <c r="O976" s="2569"/>
      <c r="P976" s="2570"/>
      <c r="Q976" s="2559"/>
      <c r="R976" s="2560"/>
      <c r="S976" s="2559">
        <f t="shared" si="302"/>
        <v>0</v>
      </c>
      <c r="T976" s="2560"/>
      <c r="U976" s="26"/>
      <c r="V976" s="2663" t="s">
        <v>998</v>
      </c>
      <c r="W976" s="2664"/>
      <c r="X976" s="1945"/>
      <c r="Y976" s="60"/>
      <c r="Z976" s="1948"/>
      <c r="AA976" s="1944"/>
      <c r="AB976" s="2559"/>
      <c r="AC976" s="2880"/>
      <c r="AD976" s="2559">
        <f>+AB976*Z976</f>
        <v>0</v>
      </c>
      <c r="AE976" s="2560"/>
      <c r="AF976" s="279"/>
      <c r="AG976" s="62" t="s">
        <v>507</v>
      </c>
      <c r="AH976" s="1947" t="s">
        <v>1079</v>
      </c>
      <c r="AI976" s="60" t="s">
        <v>497</v>
      </c>
      <c r="AJ976" s="2569">
        <v>500</v>
      </c>
      <c r="AK976" s="2570"/>
      <c r="AL976" s="2559">
        <f>3220*1.0928</f>
        <v>3518.8159999999998</v>
      </c>
      <c r="AM976" s="2560"/>
      <c r="AN976" s="2559">
        <f t="shared" si="304"/>
        <v>1759408</v>
      </c>
      <c r="AO976" s="2560"/>
    </row>
    <row r="977" spans="1:41" ht="15.95" customHeight="1" x14ac:dyDescent="0.3">
      <c r="A977" s="2663" t="s">
        <v>999</v>
      </c>
      <c r="B977" s="2664"/>
      <c r="C977" s="1945"/>
      <c r="D977" s="60"/>
      <c r="E977" s="1948"/>
      <c r="F977" s="1944"/>
      <c r="G977" s="2576"/>
      <c r="H977" s="2880"/>
      <c r="I977" s="2559">
        <f t="shared" si="306"/>
        <v>0</v>
      </c>
      <c r="J977" s="2560"/>
      <c r="K977" s="279"/>
      <c r="L977" s="62" t="s">
        <v>801</v>
      </c>
      <c r="M977" s="1944"/>
      <c r="N977" s="1944"/>
      <c r="O977" s="1937"/>
      <c r="P977" s="89"/>
      <c r="Q977" s="2559"/>
      <c r="R977" s="2560"/>
      <c r="S977" s="2559">
        <f t="shared" si="302"/>
        <v>0</v>
      </c>
      <c r="T977" s="2560"/>
      <c r="U977" s="26"/>
      <c r="V977" s="2663" t="s">
        <v>999</v>
      </c>
      <c r="W977" s="2664"/>
      <c r="X977" s="1945"/>
      <c r="Y977" s="60"/>
      <c r="Z977" s="1948"/>
      <c r="AA977" s="1944"/>
      <c r="AB977" s="2576"/>
      <c r="AC977" s="2880"/>
      <c r="AD977" s="2559"/>
      <c r="AE977" s="2560"/>
      <c r="AF977" s="279"/>
      <c r="AG977" s="62" t="s">
        <v>801</v>
      </c>
      <c r="AH977" s="1944"/>
      <c r="AI977" s="1944"/>
      <c r="AJ977" s="2559"/>
      <c r="AK977" s="2560"/>
      <c r="AL977" s="2559"/>
      <c r="AM977" s="2560"/>
      <c r="AN977" s="2559">
        <f t="shared" si="304"/>
        <v>0</v>
      </c>
      <c r="AO977" s="2560"/>
    </row>
    <row r="978" spans="1:41" ht="15.95" customHeight="1" x14ac:dyDescent="0.3">
      <c r="A978" s="2663" t="s">
        <v>873</v>
      </c>
      <c r="B978" s="2664"/>
      <c r="C978" s="60"/>
      <c r="D978" s="60"/>
      <c r="E978" s="2680"/>
      <c r="F978" s="2681"/>
      <c r="G978" s="2576"/>
      <c r="H978" s="2880"/>
      <c r="I978" s="2559">
        <f t="shared" si="306"/>
        <v>0</v>
      </c>
      <c r="J978" s="2560"/>
      <c r="K978" s="279"/>
      <c r="L978" s="62" t="s">
        <v>575</v>
      </c>
      <c r="M978" s="1944"/>
      <c r="N978" s="1944"/>
      <c r="O978" s="1937"/>
      <c r="P978" s="89"/>
      <c r="Q978" s="2559"/>
      <c r="R978" s="2560"/>
      <c r="S978" s="2559">
        <f t="shared" si="302"/>
        <v>0</v>
      </c>
      <c r="T978" s="2560"/>
      <c r="U978" s="26"/>
      <c r="V978" s="2663" t="s">
        <v>873</v>
      </c>
      <c r="W978" s="2664"/>
      <c r="X978" s="60"/>
      <c r="Y978" s="60"/>
      <c r="Z978" s="2680"/>
      <c r="AA978" s="2681"/>
      <c r="AB978" s="2559"/>
      <c r="AC978" s="2880"/>
      <c r="AD978" s="2559">
        <f>+AB978*Z978</f>
        <v>0</v>
      </c>
      <c r="AE978" s="2560"/>
      <c r="AF978" s="279"/>
      <c r="AG978" s="62" t="s">
        <v>575</v>
      </c>
      <c r="AH978" s="188"/>
      <c r="AI978" s="170"/>
      <c r="AJ978" s="2559"/>
      <c r="AK978" s="2560"/>
      <c r="AL978" s="2559"/>
      <c r="AM978" s="2560"/>
      <c r="AN978" s="2559">
        <f t="shared" si="304"/>
        <v>0</v>
      </c>
      <c r="AO978" s="2560"/>
    </row>
    <row r="979" spans="1:41" ht="15.95" customHeight="1" x14ac:dyDescent="0.3">
      <c r="A979" s="2663" t="s">
        <v>1000</v>
      </c>
      <c r="B979" s="2664"/>
      <c r="C979" s="1945"/>
      <c r="D979" s="60"/>
      <c r="E979" s="1948"/>
      <c r="F979" s="1944"/>
      <c r="G979" s="2576"/>
      <c r="H979" s="2880"/>
      <c r="I979" s="2559">
        <f t="shared" si="306"/>
        <v>0</v>
      </c>
      <c r="J979" s="2560"/>
      <c r="K979" s="279"/>
      <c r="L979" s="62" t="s">
        <v>874</v>
      </c>
      <c r="M979" s="1944"/>
      <c r="N979" s="1944"/>
      <c r="O979" s="1937"/>
      <c r="P979" s="89"/>
      <c r="Q979" s="2559"/>
      <c r="R979" s="2560"/>
      <c r="S979" s="2559">
        <f t="shared" si="302"/>
        <v>0</v>
      </c>
      <c r="T979" s="2560"/>
      <c r="U979" s="26"/>
      <c r="V979" s="2663" t="s">
        <v>1000</v>
      </c>
      <c r="W979" s="2664"/>
      <c r="X979" s="1945"/>
      <c r="Y979" s="60"/>
      <c r="Z979" s="1948"/>
      <c r="AA979" s="1944"/>
      <c r="AB979" s="2559"/>
      <c r="AC979" s="2880"/>
      <c r="AD979" s="2559">
        <f>+AB979*Z979</f>
        <v>0</v>
      </c>
      <c r="AE979" s="2560"/>
      <c r="AF979" s="279"/>
      <c r="AG979" s="62" t="s">
        <v>874</v>
      </c>
      <c r="AH979" s="188"/>
      <c r="AI979" s="170"/>
      <c r="AJ979" s="2559"/>
      <c r="AK979" s="2560"/>
      <c r="AL979" s="2559"/>
      <c r="AM979" s="2560"/>
      <c r="AN979" s="2559">
        <f t="shared" si="304"/>
        <v>0</v>
      </c>
      <c r="AO979" s="2560"/>
    </row>
    <row r="980" spans="1:41" ht="15.95" customHeight="1" x14ac:dyDescent="0.3">
      <c r="A980" s="2663" t="s">
        <v>504</v>
      </c>
      <c r="B980" s="2664"/>
      <c r="C980" s="1945"/>
      <c r="D980" s="60"/>
      <c r="E980" s="1948"/>
      <c r="F980" s="1944"/>
      <c r="G980" s="2576"/>
      <c r="H980" s="2880"/>
      <c r="I980" s="2559">
        <f t="shared" si="306"/>
        <v>0</v>
      </c>
      <c r="J980" s="2560"/>
      <c r="K980" s="279"/>
      <c r="L980" s="75" t="s">
        <v>515</v>
      </c>
      <c r="M980" s="60"/>
      <c r="N980" s="60"/>
      <c r="O980" s="1937"/>
      <c r="P980" s="89"/>
      <c r="Q980" s="2643"/>
      <c r="R980" s="2643"/>
      <c r="S980" s="2559">
        <f t="shared" si="302"/>
        <v>0</v>
      </c>
      <c r="T980" s="2560"/>
      <c r="U980" s="26"/>
      <c r="V980" s="2663" t="s">
        <v>504</v>
      </c>
      <c r="W980" s="2664"/>
      <c r="X980" s="1945"/>
      <c r="Y980" s="60"/>
      <c r="Z980" s="1948"/>
      <c r="AA980" s="1944"/>
      <c r="AB980" s="2576"/>
      <c r="AC980" s="2880"/>
      <c r="AD980" s="2559"/>
      <c r="AE980" s="2560"/>
      <c r="AF980" s="279"/>
      <c r="AG980" s="75" t="s">
        <v>515</v>
      </c>
      <c r="AH980" s="197"/>
      <c r="AI980" s="120"/>
      <c r="AJ980" s="2643"/>
      <c r="AK980" s="2643"/>
      <c r="AL980" s="2643"/>
      <c r="AM980" s="2643"/>
      <c r="AN980" s="2559">
        <f t="shared" si="304"/>
        <v>0</v>
      </c>
      <c r="AO980" s="2560"/>
    </row>
    <row r="981" spans="1:41" ht="15.95" customHeight="1" x14ac:dyDescent="0.35">
      <c r="A981" s="2667" t="s">
        <v>1001</v>
      </c>
      <c r="B981" s="2668"/>
      <c r="C981" s="1945"/>
      <c r="D981" s="60"/>
      <c r="E981" s="1948"/>
      <c r="F981" s="1944"/>
      <c r="G981" s="2576"/>
      <c r="H981" s="2880"/>
      <c r="I981" s="2565">
        <f>SUM(I982:J999)</f>
        <v>2162000</v>
      </c>
      <c r="J981" s="2892"/>
      <c r="K981" s="279"/>
      <c r="L981" s="75" t="s">
        <v>805</v>
      </c>
      <c r="M981" s="1946"/>
      <c r="N981" s="60"/>
      <c r="O981" s="1937"/>
      <c r="P981" s="89"/>
      <c r="Q981" s="2643"/>
      <c r="R981" s="2643"/>
      <c r="S981" s="2643">
        <f>280000*1.0928</f>
        <v>305984</v>
      </c>
      <c r="T981" s="2643"/>
      <c r="U981" s="123"/>
      <c r="V981" s="2667" t="s">
        <v>1001</v>
      </c>
      <c r="W981" s="2668"/>
      <c r="X981" s="1945"/>
      <c r="Y981" s="60"/>
      <c r="Z981" s="1948"/>
      <c r="AA981" s="1944"/>
      <c r="AB981" s="2576"/>
      <c r="AC981" s="2880"/>
      <c r="AD981" s="2565">
        <f>SUM(AD982:AE999)</f>
        <v>1269000</v>
      </c>
      <c r="AE981" s="2892"/>
      <c r="AF981" s="279"/>
      <c r="AG981" s="75" t="s">
        <v>805</v>
      </c>
      <c r="AH981" s="197"/>
      <c r="AI981" s="120"/>
      <c r="AJ981" s="2643"/>
      <c r="AK981" s="2643"/>
      <c r="AL981" s="2643"/>
      <c r="AM981" s="2643"/>
      <c r="AN981" s="2643"/>
      <c r="AO981" s="2643"/>
    </row>
    <row r="982" spans="1:41" ht="15.95" customHeight="1" x14ac:dyDescent="0.2">
      <c r="A982" s="2663" t="s">
        <v>852</v>
      </c>
      <c r="B982" s="2664"/>
      <c r="C982" s="60" t="s">
        <v>496</v>
      </c>
      <c r="D982" s="60" t="s">
        <v>497</v>
      </c>
      <c r="E982" s="2569">
        <v>16</v>
      </c>
      <c r="F982" s="2570"/>
      <c r="G982" s="2559">
        <v>47000</v>
      </c>
      <c r="H982" s="2560">
        <f t="shared" ref="H982:H983" si="308">(36040*6%)+36040</f>
        <v>38202.400000000001</v>
      </c>
      <c r="I982" s="2559">
        <f t="shared" ref="I982:I999" si="309">E982*G982</f>
        <v>752000</v>
      </c>
      <c r="J982" s="2560"/>
      <c r="K982" s="279"/>
      <c r="L982" s="199" t="s">
        <v>876</v>
      </c>
      <c r="M982" s="53"/>
      <c r="N982" s="200"/>
      <c r="O982" s="2893"/>
      <c r="P982" s="2893"/>
      <c r="Q982" s="2893"/>
      <c r="R982" s="2893"/>
      <c r="S982" s="2894">
        <f>SUM(S964:T981)</f>
        <v>6597259.7680000002</v>
      </c>
      <c r="T982" s="2894"/>
      <c r="U982" s="125"/>
      <c r="V982" s="2663" t="s">
        <v>852</v>
      </c>
      <c r="W982" s="2664"/>
      <c r="X982" s="1945"/>
      <c r="Y982" s="60"/>
      <c r="Z982" s="1937"/>
      <c r="AA982" s="89"/>
      <c r="AB982" s="2559"/>
      <c r="AC982" s="2560"/>
      <c r="AD982" s="2559"/>
      <c r="AE982" s="2560"/>
      <c r="AF982" s="279"/>
      <c r="AG982" s="199" t="s">
        <v>876</v>
      </c>
      <c r="AH982" s="53"/>
      <c r="AI982" s="200"/>
      <c r="AJ982" s="2893"/>
      <c r="AK982" s="2893"/>
      <c r="AL982" s="2893"/>
      <c r="AM982" s="2893"/>
      <c r="AN982" s="2894">
        <f>SUM(AN964:AO980)</f>
        <v>4438357.9648000002</v>
      </c>
      <c r="AO982" s="2894"/>
    </row>
    <row r="983" spans="1:41" ht="15.95" customHeight="1" x14ac:dyDescent="0.2">
      <c r="A983" s="2663" t="s">
        <v>495</v>
      </c>
      <c r="B983" s="2664"/>
      <c r="C983" s="60" t="s">
        <v>496</v>
      </c>
      <c r="D983" s="60" t="s">
        <v>497</v>
      </c>
      <c r="E983" s="2569">
        <v>3</v>
      </c>
      <c r="F983" s="2570"/>
      <c r="G983" s="2559">
        <v>47000</v>
      </c>
      <c r="H983" s="2560">
        <f t="shared" si="308"/>
        <v>38202.400000000001</v>
      </c>
      <c r="I983" s="2559">
        <f t="shared" si="309"/>
        <v>141000</v>
      </c>
      <c r="J983" s="2560"/>
      <c r="K983" s="279"/>
      <c r="L983" s="148"/>
      <c r="M983" s="197"/>
      <c r="N983" s="120"/>
      <c r="O983" s="2643"/>
      <c r="P983" s="2643"/>
      <c r="Q983" s="2643"/>
      <c r="R983" s="2643"/>
      <c r="S983" s="2643"/>
      <c r="T983" s="2643"/>
      <c r="U983" s="123"/>
      <c r="V983" s="2663" t="s">
        <v>495</v>
      </c>
      <c r="W983" s="2664"/>
      <c r="X983" s="1945"/>
      <c r="Y983" s="60"/>
      <c r="Z983" s="1937"/>
      <c r="AA983" s="89"/>
      <c r="AB983" s="2559"/>
      <c r="AC983" s="2560"/>
      <c r="AD983" s="2559"/>
      <c r="AE983" s="2560"/>
      <c r="AF983" s="279"/>
      <c r="AG983" s="148"/>
      <c r="AH983" s="197"/>
      <c r="AI983" s="120"/>
      <c r="AJ983" s="2643"/>
      <c r="AK983" s="2643"/>
      <c r="AL983" s="2643"/>
      <c r="AM983" s="2643"/>
      <c r="AN983" s="2643"/>
      <c r="AO983" s="2643"/>
    </row>
    <row r="984" spans="1:41" ht="15.95" customHeight="1" x14ac:dyDescent="0.3">
      <c r="A984" s="2663" t="s">
        <v>1003</v>
      </c>
      <c r="B984" s="2664"/>
      <c r="C984" s="60"/>
      <c r="D984" s="60"/>
      <c r="E984" s="1948"/>
      <c r="F984" s="1944"/>
      <c r="G984" s="2576"/>
      <c r="H984" s="2880"/>
      <c r="I984" s="2559">
        <f t="shared" si="309"/>
        <v>0</v>
      </c>
      <c r="J984" s="2560"/>
      <c r="K984" s="279"/>
      <c r="L984" s="282" t="s">
        <v>806</v>
      </c>
      <c r="M984" s="145"/>
      <c r="N984" s="145"/>
      <c r="O984" s="2890"/>
      <c r="P984" s="2890"/>
      <c r="Q984" s="2890"/>
      <c r="R984" s="2890"/>
      <c r="S984" s="2890"/>
      <c r="T984" s="2891"/>
      <c r="U984" s="26"/>
      <c r="V984" s="2663" t="s">
        <v>1003</v>
      </c>
      <c r="W984" s="2664"/>
      <c r="X984" s="1945"/>
      <c r="Y984" s="60"/>
      <c r="Z984" s="1948"/>
      <c r="AA984" s="1944"/>
      <c r="AB984" s="2559"/>
      <c r="AC984" s="2880"/>
      <c r="AD984" s="2559">
        <f>+AB984*Z984</f>
        <v>0</v>
      </c>
      <c r="AE984" s="2560"/>
      <c r="AF984" s="279"/>
      <c r="AG984" s="282" t="s">
        <v>806</v>
      </c>
      <c r="AH984" s="145"/>
      <c r="AI984" s="145"/>
      <c r="AJ984" s="2890"/>
      <c r="AK984" s="2890"/>
      <c r="AL984" s="2890"/>
      <c r="AM984" s="2890"/>
      <c r="AN984" s="2890"/>
      <c r="AO984" s="2891"/>
    </row>
    <row r="985" spans="1:41" ht="15.95" customHeight="1" x14ac:dyDescent="0.3">
      <c r="A985" s="2663" t="s">
        <v>1004</v>
      </c>
      <c r="B985" s="2664"/>
      <c r="C985" s="1945"/>
      <c r="D985" s="60"/>
      <c r="E985" s="1948"/>
      <c r="F985" s="1944"/>
      <c r="G985" s="2576"/>
      <c r="H985" s="2880"/>
      <c r="I985" s="2559">
        <f t="shared" si="309"/>
        <v>0</v>
      </c>
      <c r="J985" s="2560"/>
      <c r="K985" s="279"/>
      <c r="L985" s="148" t="s">
        <v>1005</v>
      </c>
      <c r="M985" s="270">
        <v>0.05</v>
      </c>
      <c r="N985" s="45"/>
      <c r="O985" s="2575"/>
      <c r="P985" s="2575"/>
      <c r="Q985" s="2575"/>
      <c r="R985" s="2575"/>
      <c r="S985" s="2575">
        <f>+(S982+I1007)*0.05</f>
        <v>496654.98839999997</v>
      </c>
      <c r="T985" s="2560"/>
      <c r="U985" s="26"/>
      <c r="V985" s="2663" t="s">
        <v>1004</v>
      </c>
      <c r="W985" s="2664"/>
      <c r="X985" s="1945"/>
      <c r="Y985" s="60"/>
      <c r="Z985" s="1948"/>
      <c r="AA985" s="1944"/>
      <c r="AB985" s="2576"/>
      <c r="AC985" s="2880"/>
      <c r="AD985" s="2559"/>
      <c r="AE985" s="2560"/>
      <c r="AF985" s="279"/>
      <c r="AG985" s="148" t="s">
        <v>1005</v>
      </c>
      <c r="AH985" s="283" t="s">
        <v>1042</v>
      </c>
      <c r="AI985" s="45"/>
      <c r="AJ985" s="2575"/>
      <c r="AK985" s="2575"/>
      <c r="AL985" s="2575"/>
      <c r="AM985" s="2575"/>
      <c r="AN985" s="2575">
        <f>+(AN982+AD1007)*0.05</f>
        <v>399323.11902189109</v>
      </c>
      <c r="AO985" s="2560"/>
    </row>
    <row r="986" spans="1:41" ht="15.95" customHeight="1" x14ac:dyDescent="0.3">
      <c r="A986" s="2663" t="s">
        <v>1006</v>
      </c>
      <c r="B986" s="2664"/>
      <c r="C986" s="1945"/>
      <c r="D986" s="60"/>
      <c r="E986" s="1948"/>
      <c r="F986" s="1944"/>
      <c r="G986" s="2576"/>
      <c r="H986" s="2880"/>
      <c r="I986" s="2559">
        <f t="shared" si="309"/>
        <v>0</v>
      </c>
      <c r="J986" s="2560"/>
      <c r="K986" s="279"/>
      <c r="L986" s="151" t="s">
        <v>527</v>
      </c>
      <c r="M986" s="45"/>
      <c r="N986" s="45"/>
      <c r="O986" s="2575"/>
      <c r="P986" s="2575"/>
      <c r="Q986" s="2575"/>
      <c r="R986" s="2575"/>
      <c r="S986" s="2575">
        <f>20000*1.0928</f>
        <v>21856</v>
      </c>
      <c r="T986" s="2560"/>
      <c r="U986" s="26"/>
      <c r="V986" s="2663" t="s">
        <v>1006</v>
      </c>
      <c r="W986" s="2664"/>
      <c r="X986" s="1945"/>
      <c r="Y986" s="60"/>
      <c r="Z986" s="1948"/>
      <c r="AA986" s="1944"/>
      <c r="AB986" s="2576"/>
      <c r="AC986" s="2880"/>
      <c r="AD986" s="2559"/>
      <c r="AE986" s="2560"/>
      <c r="AF986" s="279"/>
      <c r="AG986" s="151" t="s">
        <v>527</v>
      </c>
      <c r="AH986" s="45"/>
      <c r="AI986" s="45"/>
      <c r="AJ986" s="2575"/>
      <c r="AK986" s="2575"/>
      <c r="AL986" s="2575"/>
      <c r="AM986" s="2575"/>
      <c r="AN986" s="2575">
        <f>150000*1.0928</f>
        <v>163920</v>
      </c>
      <c r="AO986" s="2560"/>
    </row>
    <row r="987" spans="1:41" ht="15.95" customHeight="1" x14ac:dyDescent="0.3">
      <c r="A987" s="2663" t="s">
        <v>1007</v>
      </c>
      <c r="B987" s="2664"/>
      <c r="C987" s="1945"/>
      <c r="D987" s="60"/>
      <c r="E987" s="1948"/>
      <c r="F987" s="1944"/>
      <c r="G987" s="2576"/>
      <c r="H987" s="2880"/>
      <c r="I987" s="2559">
        <f t="shared" si="309"/>
        <v>0</v>
      </c>
      <c r="J987" s="2560"/>
      <c r="K987" s="279"/>
      <c r="L987" s="152" t="s">
        <v>529</v>
      </c>
      <c r="M987" s="45"/>
      <c r="N987" s="45"/>
      <c r="O987" s="2575"/>
      <c r="P987" s="2575"/>
      <c r="Q987" s="2575"/>
      <c r="R987" s="2575"/>
      <c r="S987" s="2575">
        <f>400000*1.0928</f>
        <v>437120</v>
      </c>
      <c r="T987" s="2560"/>
      <c r="U987" s="26"/>
      <c r="V987" s="2663" t="s">
        <v>1007</v>
      </c>
      <c r="W987" s="2664"/>
      <c r="X987" s="1945"/>
      <c r="Y987" s="60"/>
      <c r="Z987" s="1948"/>
      <c r="AA987" s="1944"/>
      <c r="AB987" s="2576"/>
      <c r="AC987" s="2880"/>
      <c r="AD987" s="2559"/>
      <c r="AE987" s="2560"/>
      <c r="AF987" s="279"/>
      <c r="AG987" s="152" t="s">
        <v>529</v>
      </c>
      <c r="AH987" s="45"/>
      <c r="AI987" s="45"/>
      <c r="AJ987" s="2575"/>
      <c r="AK987" s="2575"/>
      <c r="AL987" s="2575"/>
      <c r="AM987" s="2575"/>
      <c r="AN987" s="2575">
        <f>400000*1.0928</f>
        <v>437120</v>
      </c>
      <c r="AO987" s="2560"/>
    </row>
    <row r="988" spans="1:41" ht="15.95" customHeight="1" x14ac:dyDescent="0.3">
      <c r="A988" s="2663" t="s">
        <v>1008</v>
      </c>
      <c r="B988" s="2664"/>
      <c r="C988" s="60"/>
      <c r="D988" s="60"/>
      <c r="E988" s="1948"/>
      <c r="F988" s="1944"/>
      <c r="G988" s="2576"/>
      <c r="H988" s="2880"/>
      <c r="I988" s="2559">
        <f t="shared" si="309"/>
        <v>0</v>
      </c>
      <c r="J988" s="2560"/>
      <c r="K988" s="279"/>
      <c r="L988" s="152" t="s">
        <v>726</v>
      </c>
      <c r="M988" s="45"/>
      <c r="N988" s="45"/>
      <c r="O988" s="2575"/>
      <c r="P988" s="2575"/>
      <c r="Q988" s="2575"/>
      <c r="R988" s="2575"/>
      <c r="S988" s="2575">
        <f>(I1007+S982)*5%</f>
        <v>496654.98839999997</v>
      </c>
      <c r="T988" s="2560"/>
      <c r="U988" s="26"/>
      <c r="V988" s="2663" t="s">
        <v>1008</v>
      </c>
      <c r="W988" s="2664"/>
      <c r="X988" s="60"/>
      <c r="Y988" s="60"/>
      <c r="Z988" s="1948"/>
      <c r="AA988" s="1944"/>
      <c r="AB988" s="2576"/>
      <c r="AC988" s="2880"/>
      <c r="AD988" s="2559"/>
      <c r="AE988" s="2560"/>
      <c r="AF988" s="279"/>
      <c r="AG988" s="152" t="s">
        <v>726</v>
      </c>
      <c r="AH988" s="45"/>
      <c r="AI988" s="45"/>
      <c r="AJ988" s="2575"/>
      <c r="AK988" s="2575"/>
      <c r="AL988" s="2575"/>
      <c r="AM988" s="2575"/>
      <c r="AN988" s="2575">
        <f>(AN982+AD1007)*0.05</f>
        <v>399323.11902189109</v>
      </c>
      <c r="AO988" s="2560"/>
    </row>
    <row r="989" spans="1:41" ht="15.95" customHeight="1" x14ac:dyDescent="0.3">
      <c r="A989" s="2663" t="s">
        <v>1009</v>
      </c>
      <c r="B989" s="2664"/>
      <c r="C989" s="60"/>
      <c r="D989" s="60"/>
      <c r="E989" s="2680"/>
      <c r="F989" s="2681"/>
      <c r="G989" s="2576"/>
      <c r="H989" s="2880"/>
      <c r="I989" s="2559">
        <f t="shared" si="309"/>
        <v>0</v>
      </c>
      <c r="J989" s="2560"/>
      <c r="K989" s="279"/>
      <c r="L989" s="166" t="s">
        <v>504</v>
      </c>
      <c r="M989" s="155"/>
      <c r="N989" s="155"/>
      <c r="O989" s="2557"/>
      <c r="P989" s="2557"/>
      <c r="Q989" s="2557"/>
      <c r="R989" s="2557"/>
      <c r="S989" s="2557">
        <f>150000*1.0928</f>
        <v>163920</v>
      </c>
      <c r="T989" s="2558"/>
      <c r="U989" s="26"/>
      <c r="V989" s="2663" t="s">
        <v>1009</v>
      </c>
      <c r="W989" s="2664"/>
      <c r="X989" s="60" t="s">
        <v>496</v>
      </c>
      <c r="Y989" s="60" t="s">
        <v>497</v>
      </c>
      <c r="Z989" s="2680">
        <v>4</v>
      </c>
      <c r="AA989" s="2681"/>
      <c r="AB989" s="2559">
        <v>47000</v>
      </c>
      <c r="AC989" s="2560">
        <f t="shared" ref="AC989:AC990" si="310">(36040*6%)+36040</f>
        <v>38202.400000000001</v>
      </c>
      <c r="AD989" s="2559">
        <f>+AB989*Z989</f>
        <v>188000</v>
      </c>
      <c r="AE989" s="2560"/>
      <c r="AF989" s="279"/>
      <c r="AG989" s="166" t="s">
        <v>504</v>
      </c>
      <c r="AH989" s="155"/>
      <c r="AI989" s="155"/>
      <c r="AJ989" s="2557"/>
      <c r="AK989" s="2557"/>
      <c r="AL989" s="2557"/>
      <c r="AM989" s="2557"/>
      <c r="AN989" s="2888">
        <f>150000*1.0928</f>
        <v>163920</v>
      </c>
      <c r="AO989" s="2889"/>
    </row>
    <row r="990" spans="1:41" ht="15.95" customHeight="1" x14ac:dyDescent="0.3">
      <c r="A990" s="2663" t="s">
        <v>1522</v>
      </c>
      <c r="B990" s="2664"/>
      <c r="C990" s="60"/>
      <c r="D990" s="60"/>
      <c r="E990" s="2680"/>
      <c r="F990" s="2681"/>
      <c r="G990" s="2576"/>
      <c r="H990" s="2880"/>
      <c r="I990" s="2559">
        <f t="shared" si="309"/>
        <v>0</v>
      </c>
      <c r="J990" s="2560"/>
      <c r="K990" s="279"/>
      <c r="L990" s="156" t="s">
        <v>533</v>
      </c>
      <c r="M990" s="201"/>
      <c r="N990" s="201"/>
      <c r="O990" s="2885"/>
      <c r="P990" s="2885"/>
      <c r="Q990" s="2886"/>
      <c r="R990" s="2886"/>
      <c r="S990" s="2887">
        <f>SUM(S985:T989)</f>
        <v>1616205.9767999998</v>
      </c>
      <c r="T990" s="2887"/>
      <c r="U990" s="271"/>
      <c r="V990" s="2663" t="s">
        <v>1566</v>
      </c>
      <c r="W990" s="2664"/>
      <c r="X990" s="60" t="s">
        <v>496</v>
      </c>
      <c r="Y990" s="60" t="s">
        <v>497</v>
      </c>
      <c r="Z990" s="2680">
        <v>5</v>
      </c>
      <c r="AA990" s="2681"/>
      <c r="AB990" s="2559">
        <v>47000</v>
      </c>
      <c r="AC990" s="2560">
        <f t="shared" si="310"/>
        <v>38202.400000000001</v>
      </c>
      <c r="AD990" s="2559">
        <f>+AB990*Z990</f>
        <v>235000</v>
      </c>
      <c r="AE990" s="2560"/>
      <c r="AF990" s="279"/>
      <c r="AG990" s="156" t="s">
        <v>533</v>
      </c>
      <c r="AH990" s="201"/>
      <c r="AI990" s="201"/>
      <c r="AJ990" s="2885"/>
      <c r="AK990" s="2885"/>
      <c r="AL990" s="2886"/>
      <c r="AM990" s="2886"/>
      <c r="AN990" s="2887">
        <f>SUM(AN985:AO989)</f>
        <v>1563606.2380437823</v>
      </c>
      <c r="AO990" s="2887"/>
    </row>
    <row r="991" spans="1:41" ht="15.95" customHeight="1" x14ac:dyDescent="0.3">
      <c r="A991" s="2663" t="s">
        <v>1560</v>
      </c>
      <c r="B991" s="2664"/>
      <c r="C991" s="60" t="s">
        <v>496</v>
      </c>
      <c r="D991" s="60" t="s">
        <v>497</v>
      </c>
      <c r="E991" s="2680">
        <v>6</v>
      </c>
      <c r="F991" s="2681"/>
      <c r="G991" s="2559">
        <v>47000</v>
      </c>
      <c r="H991" s="2560">
        <f t="shared" ref="H991" si="311">(36040*6%)+36040</f>
        <v>38202.400000000001</v>
      </c>
      <c r="I991" s="2559">
        <f t="shared" si="309"/>
        <v>282000</v>
      </c>
      <c r="J991" s="2560"/>
      <c r="K991" s="279"/>
      <c r="L991" s="159"/>
      <c r="M991" s="45"/>
      <c r="N991" s="45"/>
      <c r="O991" s="2575"/>
      <c r="P991" s="2575"/>
      <c r="Q991" s="2575"/>
      <c r="R991" s="2575"/>
      <c r="S991" s="2575"/>
      <c r="T991" s="2560"/>
      <c r="U991" s="26"/>
      <c r="V991" s="2663" t="s">
        <v>1011</v>
      </c>
      <c r="W991" s="2664"/>
      <c r="X991" s="60"/>
      <c r="Y991" s="60"/>
      <c r="Z991" s="1948"/>
      <c r="AA991" s="1944"/>
      <c r="AB991" s="2576"/>
      <c r="AC991" s="2880"/>
      <c r="AD991" s="2559"/>
      <c r="AE991" s="2560"/>
      <c r="AF991" s="279"/>
      <c r="AG991" s="159"/>
      <c r="AH991" s="45"/>
      <c r="AI991" s="45"/>
      <c r="AJ991" s="2575"/>
      <c r="AK991" s="2575"/>
      <c r="AL991" s="2575"/>
      <c r="AM991" s="2575"/>
      <c r="AN991" s="2575"/>
      <c r="AO991" s="2560"/>
    </row>
    <row r="992" spans="1:41" ht="15.95" customHeight="1" thickBot="1" x14ac:dyDescent="0.35">
      <c r="A992" s="2663" t="s">
        <v>1523</v>
      </c>
      <c r="B992" s="2664"/>
      <c r="C992" s="60"/>
      <c r="D992" s="60"/>
      <c r="E992" s="2680"/>
      <c r="F992" s="2681"/>
      <c r="G992" s="2576"/>
      <c r="H992" s="2880"/>
      <c r="I992" s="2559">
        <f t="shared" si="309"/>
        <v>0</v>
      </c>
      <c r="J992" s="2560"/>
      <c r="K992" s="279"/>
      <c r="L992" s="160" t="s">
        <v>583</v>
      </c>
      <c r="M992" s="205"/>
      <c r="N992" s="205"/>
      <c r="O992" s="205"/>
      <c r="P992" s="205"/>
      <c r="Q992" s="161"/>
      <c r="R992" s="161"/>
      <c r="S992" s="2580">
        <f>SUM(S990+S982+I1007)</f>
        <v>11549305.7448</v>
      </c>
      <c r="T992" s="2581"/>
      <c r="U992" s="271"/>
      <c r="V992" s="2663" t="s">
        <v>1523</v>
      </c>
      <c r="W992" s="2664"/>
      <c r="X992" s="60"/>
      <c r="Y992" s="60"/>
      <c r="Z992" s="2680"/>
      <c r="AA992" s="2681"/>
      <c r="AB992" s="2559"/>
      <c r="AC992" s="2880"/>
      <c r="AD992" s="2559"/>
      <c r="AE992" s="2560"/>
      <c r="AF992" s="279"/>
      <c r="AG992" s="160" t="s">
        <v>583</v>
      </c>
      <c r="AH992" s="205"/>
      <c r="AI992" s="205"/>
      <c r="AJ992" s="205"/>
      <c r="AK992" s="205"/>
      <c r="AL992" s="161"/>
      <c r="AM992" s="161"/>
      <c r="AN992" s="2580">
        <f>SUM(AN990+AN982+AD1007)</f>
        <v>9550068.6184816025</v>
      </c>
      <c r="AO992" s="2581"/>
    </row>
    <row r="993" spans="1:41" ht="15.95" customHeight="1" x14ac:dyDescent="0.2">
      <c r="A993" s="2663" t="s">
        <v>1018</v>
      </c>
      <c r="B993" s="2664"/>
      <c r="C993" s="60" t="s">
        <v>496</v>
      </c>
      <c r="D993" s="60" t="s">
        <v>497</v>
      </c>
      <c r="E993" s="2569">
        <v>10</v>
      </c>
      <c r="F993" s="2570"/>
      <c r="G993" s="2559">
        <v>47000</v>
      </c>
      <c r="H993" s="2560">
        <f t="shared" ref="H993:H999" si="312">(36040*6%)+36040</f>
        <v>38202.400000000001</v>
      </c>
      <c r="I993" s="2559">
        <f t="shared" si="309"/>
        <v>470000</v>
      </c>
      <c r="J993" s="2560"/>
      <c r="K993" s="284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2663" t="s">
        <v>1018</v>
      </c>
      <c r="W993" s="2664"/>
      <c r="X993" s="60" t="s">
        <v>496</v>
      </c>
      <c r="Y993" s="60" t="s">
        <v>497</v>
      </c>
      <c r="Z993" s="2569">
        <v>4</v>
      </c>
      <c r="AA993" s="2570"/>
      <c r="AB993" s="2559">
        <v>47000</v>
      </c>
      <c r="AC993" s="2560">
        <f t="shared" ref="AC993" si="313">(36040*6%)+36040</f>
        <v>38202.400000000001</v>
      </c>
      <c r="AD993" s="2559">
        <f>+AB993*Z993</f>
        <v>188000</v>
      </c>
      <c r="AE993" s="2560"/>
      <c r="AF993" s="284"/>
      <c r="AG993" s="45"/>
      <c r="AH993" s="45"/>
      <c r="AI993" s="45"/>
      <c r="AJ993" s="45"/>
      <c r="AK993" s="45"/>
      <c r="AL993" s="45"/>
      <c r="AM993" s="45"/>
      <c r="AN993" s="45"/>
      <c r="AO993" s="45"/>
    </row>
    <row r="994" spans="1:41" ht="15.95" customHeight="1" x14ac:dyDescent="0.3">
      <c r="A994" s="2663" t="s">
        <v>1561</v>
      </c>
      <c r="B994" s="2664"/>
      <c r="C994" s="60" t="s">
        <v>496</v>
      </c>
      <c r="D994" s="60" t="s">
        <v>497</v>
      </c>
      <c r="E994" s="2680">
        <v>2</v>
      </c>
      <c r="F994" s="2681"/>
      <c r="G994" s="2559">
        <v>47000</v>
      </c>
      <c r="H994" s="2560">
        <f t="shared" si="312"/>
        <v>38202.400000000001</v>
      </c>
      <c r="I994" s="2559">
        <f t="shared" si="309"/>
        <v>94000</v>
      </c>
      <c r="J994" s="2560"/>
      <c r="K994" s="279"/>
      <c r="L994" s="7" t="s">
        <v>1528</v>
      </c>
      <c r="M994" s="45"/>
      <c r="N994" s="45"/>
      <c r="O994" s="45"/>
      <c r="P994" s="45"/>
      <c r="Q994" s="45"/>
      <c r="R994" s="45"/>
      <c r="S994" s="45"/>
      <c r="T994" s="45"/>
      <c r="U994" s="45"/>
      <c r="V994" s="2663" t="s">
        <v>1019</v>
      </c>
      <c r="W994" s="2664"/>
      <c r="X994" s="60"/>
      <c r="Y994" s="60"/>
      <c r="Z994" s="2680"/>
      <c r="AA994" s="2681"/>
      <c r="AB994" s="2559"/>
      <c r="AC994" s="2880"/>
      <c r="AD994" s="2559">
        <f>Z994*AB994</f>
        <v>0</v>
      </c>
      <c r="AE994" s="2560"/>
      <c r="AF994" s="279"/>
      <c r="AG994" s="7" t="s">
        <v>1528</v>
      </c>
      <c r="AH994" s="45"/>
      <c r="AI994" s="45"/>
      <c r="AJ994" s="45"/>
      <c r="AK994" s="45"/>
      <c r="AL994" s="45"/>
      <c r="AM994" s="45"/>
      <c r="AN994" s="45"/>
      <c r="AO994" s="45"/>
    </row>
    <row r="995" spans="1:41" ht="15.95" customHeight="1" x14ac:dyDescent="0.2">
      <c r="A995" s="2663" t="s">
        <v>1562</v>
      </c>
      <c r="B995" s="2664"/>
      <c r="C995" s="60" t="s">
        <v>496</v>
      </c>
      <c r="D995" s="60" t="s">
        <v>497</v>
      </c>
      <c r="E995" s="2680">
        <v>3</v>
      </c>
      <c r="F995" s="2681"/>
      <c r="G995" s="2559">
        <v>47000</v>
      </c>
      <c r="H995" s="2560">
        <f t="shared" si="312"/>
        <v>38202.400000000001</v>
      </c>
      <c r="I995" s="2559">
        <f t="shared" si="309"/>
        <v>141000</v>
      </c>
      <c r="J995" s="2560"/>
      <c r="K995" s="279"/>
      <c r="L995" s="597" t="s">
        <v>1584</v>
      </c>
      <c r="M995" s="266"/>
      <c r="N995" s="266"/>
      <c r="O995" s="266"/>
      <c r="P995" s="266"/>
      <c r="Q995" s="1783"/>
      <c r="R995" s="266"/>
      <c r="S995" s="266"/>
      <c r="T995" s="45"/>
      <c r="U995" s="45"/>
      <c r="V995" s="2663" t="s">
        <v>1567</v>
      </c>
      <c r="W995" s="2664"/>
      <c r="X995" s="60" t="s">
        <v>496</v>
      </c>
      <c r="Y995" s="60" t="s">
        <v>497</v>
      </c>
      <c r="Z995" s="2680">
        <v>2</v>
      </c>
      <c r="AA995" s="2681"/>
      <c r="AB995" s="2559">
        <v>47000</v>
      </c>
      <c r="AC995" s="2560">
        <f t="shared" ref="AC995:AC999" si="314">(36040*6%)+36040</f>
        <v>38202.400000000001</v>
      </c>
      <c r="AD995" s="2559">
        <f>Z995*AB995</f>
        <v>94000</v>
      </c>
      <c r="AE995" s="2560"/>
      <c r="AF995" s="279"/>
      <c r="AG995" s="597" t="s">
        <v>1584</v>
      </c>
      <c r="AH995" s="266"/>
      <c r="AI995" s="266"/>
      <c r="AJ995" s="266"/>
      <c r="AK995" s="266"/>
      <c r="AL995" s="1783"/>
      <c r="AM995" s="266"/>
      <c r="AN995" s="266"/>
      <c r="AO995" s="45"/>
    </row>
    <row r="996" spans="1:41" ht="15.95" customHeight="1" x14ac:dyDescent="0.3">
      <c r="A996" s="2663" t="s">
        <v>1021</v>
      </c>
      <c r="B996" s="2664"/>
      <c r="C996" s="1945"/>
      <c r="D996" s="60"/>
      <c r="E996" s="1948"/>
      <c r="F996" s="1944"/>
      <c r="G996" s="2576"/>
      <c r="H996" s="2880"/>
      <c r="I996" s="2559">
        <f t="shared" si="309"/>
        <v>0</v>
      </c>
      <c r="J996" s="2560"/>
      <c r="K996" s="279"/>
      <c r="L996" s="45"/>
      <c r="M996" s="206"/>
      <c r="N996" s="206"/>
      <c r="O996" s="206"/>
      <c r="P996" s="206"/>
      <c r="Q996" s="107"/>
      <c r="R996" s="44"/>
      <c r="S996" s="45"/>
      <c r="T996" s="45"/>
      <c r="U996" s="45"/>
      <c r="V996" s="2663" t="s">
        <v>1568</v>
      </c>
      <c r="W996" s="2664"/>
      <c r="X996" s="60" t="s">
        <v>496</v>
      </c>
      <c r="Y996" s="60" t="s">
        <v>497</v>
      </c>
      <c r="Z996" s="2680">
        <v>3</v>
      </c>
      <c r="AA996" s="2681"/>
      <c r="AB996" s="2559">
        <v>47000</v>
      </c>
      <c r="AC996" s="2560">
        <f t="shared" si="314"/>
        <v>38202.400000000001</v>
      </c>
      <c r="AD996" s="2559">
        <f>Z996*AB996</f>
        <v>141000</v>
      </c>
      <c r="AE996" s="2560"/>
      <c r="AF996" s="279"/>
      <c r="AG996" s="45"/>
      <c r="AH996" s="2834"/>
      <c r="AI996" s="2834"/>
      <c r="AJ996" s="2834"/>
      <c r="AK996" s="2834"/>
      <c r="AL996" s="272"/>
      <c r="AM996" s="44"/>
      <c r="AN996" s="45"/>
      <c r="AO996" s="45"/>
    </row>
    <row r="997" spans="1:41" ht="15.95" customHeight="1" x14ac:dyDescent="0.2">
      <c r="A997" s="2663" t="s">
        <v>1022</v>
      </c>
      <c r="B997" s="2664"/>
      <c r="C997" s="60" t="s">
        <v>496</v>
      </c>
      <c r="D997" s="60" t="s">
        <v>497</v>
      </c>
      <c r="E997" s="2569">
        <v>2</v>
      </c>
      <c r="F997" s="2570"/>
      <c r="G997" s="2559">
        <v>47000</v>
      </c>
      <c r="H997" s="2560">
        <f t="shared" si="312"/>
        <v>38202.400000000001</v>
      </c>
      <c r="I997" s="2559">
        <f t="shared" si="309"/>
        <v>94000</v>
      </c>
      <c r="J997" s="2560"/>
      <c r="K997" s="279"/>
      <c r="L997" s="45"/>
      <c r="M997" s="206"/>
      <c r="N997" s="206"/>
      <c r="O997" s="206"/>
      <c r="P997" s="206"/>
      <c r="Q997" s="107"/>
      <c r="R997" s="44"/>
      <c r="S997" s="45"/>
      <c r="T997" s="45"/>
      <c r="U997" s="45"/>
      <c r="V997" s="2663" t="s">
        <v>1022</v>
      </c>
      <c r="W997" s="2664"/>
      <c r="X997" s="60" t="s">
        <v>496</v>
      </c>
      <c r="Y997" s="60" t="s">
        <v>497</v>
      </c>
      <c r="Z997" s="2569">
        <v>2</v>
      </c>
      <c r="AA997" s="2570"/>
      <c r="AB997" s="2559">
        <v>47000</v>
      </c>
      <c r="AC997" s="2560">
        <f t="shared" si="314"/>
        <v>38202.400000000001</v>
      </c>
      <c r="AD997" s="2559">
        <f>Z997*AB997</f>
        <v>94000</v>
      </c>
      <c r="AE997" s="2560"/>
      <c r="AF997" s="279"/>
      <c r="AG997" s="45"/>
      <c r="AH997" s="206"/>
      <c r="AI997" s="206"/>
      <c r="AJ997" s="206"/>
      <c r="AK997" s="206"/>
      <c r="AL997" s="107"/>
      <c r="AM997" s="44"/>
      <c r="AN997" s="45"/>
      <c r="AO997" s="45"/>
    </row>
    <row r="998" spans="1:41" ht="15.95" customHeight="1" x14ac:dyDescent="0.2">
      <c r="A998" s="2663" t="s">
        <v>881</v>
      </c>
      <c r="B998" s="2664"/>
      <c r="C998" s="60" t="s">
        <v>496</v>
      </c>
      <c r="D998" s="60" t="s">
        <v>497</v>
      </c>
      <c r="E998" s="2569">
        <v>2</v>
      </c>
      <c r="F998" s="2570"/>
      <c r="G998" s="2559">
        <v>47000</v>
      </c>
      <c r="H998" s="2560">
        <f t="shared" si="312"/>
        <v>38202.400000000001</v>
      </c>
      <c r="I998" s="2559">
        <f t="shared" si="309"/>
        <v>94000</v>
      </c>
      <c r="J998" s="2560"/>
      <c r="K998" s="279"/>
      <c r="L998" s="45"/>
      <c r="M998" s="2834"/>
      <c r="N998" s="2834"/>
      <c r="O998" s="2834"/>
      <c r="P998" s="2834"/>
      <c r="Q998" s="107"/>
      <c r="R998" s="45"/>
      <c r="S998" s="44"/>
      <c r="T998" s="45"/>
      <c r="U998" s="45"/>
      <c r="V998" s="2663" t="s">
        <v>881</v>
      </c>
      <c r="W998" s="2664"/>
      <c r="X998" s="60" t="s">
        <v>496</v>
      </c>
      <c r="Y998" s="60" t="s">
        <v>497</v>
      </c>
      <c r="Z998" s="2569">
        <v>4</v>
      </c>
      <c r="AA998" s="2570"/>
      <c r="AB998" s="2559">
        <v>47000</v>
      </c>
      <c r="AC998" s="2560">
        <f t="shared" si="314"/>
        <v>38202.400000000001</v>
      </c>
      <c r="AD998" s="2559">
        <f>+AB998*Z998</f>
        <v>188000</v>
      </c>
      <c r="AE998" s="2560"/>
      <c r="AF998" s="279"/>
      <c r="AG998" s="45"/>
      <c r="AH998" s="206"/>
      <c r="AI998" s="206"/>
      <c r="AJ998" s="206"/>
      <c r="AK998" s="206"/>
      <c r="AL998" s="107"/>
      <c r="AM998" s="45"/>
      <c r="AN998" s="44"/>
      <c r="AO998" s="45"/>
    </row>
    <row r="999" spans="1:41" ht="15.95" customHeight="1" x14ac:dyDescent="0.2">
      <c r="A999" s="2663" t="s">
        <v>882</v>
      </c>
      <c r="B999" s="2664"/>
      <c r="C999" s="60" t="s">
        <v>496</v>
      </c>
      <c r="D999" s="60" t="s">
        <v>497</v>
      </c>
      <c r="E999" s="2680">
        <v>2</v>
      </c>
      <c r="F999" s="2681"/>
      <c r="G999" s="2559">
        <v>47000</v>
      </c>
      <c r="H999" s="2560">
        <f t="shared" si="312"/>
        <v>38202.400000000001</v>
      </c>
      <c r="I999" s="2559">
        <f t="shared" si="309"/>
        <v>94000</v>
      </c>
      <c r="J999" s="2560"/>
      <c r="K999" s="279"/>
      <c r="L999" s="45"/>
      <c r="M999" s="2834"/>
      <c r="N999" s="2834"/>
      <c r="O999" s="2834"/>
      <c r="P999" s="2834"/>
      <c r="Q999" s="107"/>
      <c r="R999" s="44"/>
      <c r="S999" s="45"/>
      <c r="T999" s="45"/>
      <c r="U999" s="45"/>
      <c r="V999" s="2663" t="s">
        <v>882</v>
      </c>
      <c r="W999" s="2664"/>
      <c r="X999" s="60" t="s">
        <v>496</v>
      </c>
      <c r="Y999" s="60" t="s">
        <v>497</v>
      </c>
      <c r="Z999" s="2680">
        <v>3</v>
      </c>
      <c r="AA999" s="2681"/>
      <c r="AB999" s="2559">
        <v>47000</v>
      </c>
      <c r="AC999" s="2560">
        <f t="shared" si="314"/>
        <v>38202.400000000001</v>
      </c>
      <c r="AD999" s="2559">
        <f>+AB999*Z999</f>
        <v>141000</v>
      </c>
      <c r="AE999" s="2560"/>
      <c r="AF999" s="279"/>
      <c r="AG999" s="45"/>
      <c r="AH999" s="2834"/>
      <c r="AI999" s="2834"/>
      <c r="AJ999" s="2834"/>
      <c r="AK999" s="2834"/>
      <c r="AL999" s="107"/>
      <c r="AM999" s="44"/>
      <c r="AN999" s="45"/>
      <c r="AO999" s="45"/>
    </row>
    <row r="1000" spans="1:41" ht="15.95" customHeight="1" x14ac:dyDescent="0.3">
      <c r="A1000" s="2667" t="s">
        <v>1023</v>
      </c>
      <c r="B1000" s="2668"/>
      <c r="C1000" s="1945"/>
      <c r="D1000" s="60"/>
      <c r="E1000" s="1948"/>
      <c r="F1000" s="1944"/>
      <c r="G1000" s="2576"/>
      <c r="H1000" s="2880"/>
      <c r="I1000" s="2565">
        <f>SUM(I1001:J1006)</f>
        <v>327840</v>
      </c>
      <c r="J1000" s="2566"/>
      <c r="K1000" s="279"/>
      <c r="L1000" s="45"/>
      <c r="M1000" s="2834"/>
      <c r="N1000" s="2834"/>
      <c r="O1000" s="2834"/>
      <c r="P1000" s="2834"/>
      <c r="Q1000" s="273"/>
      <c r="R1000" s="44"/>
      <c r="S1000" s="45"/>
      <c r="T1000" s="45"/>
      <c r="U1000" s="45"/>
      <c r="V1000" s="2667" t="s">
        <v>1023</v>
      </c>
      <c r="W1000" s="2668"/>
      <c r="X1000" s="1945"/>
      <c r="Y1000" s="60"/>
      <c r="Z1000" s="1948"/>
      <c r="AA1000" s="1944"/>
      <c r="AB1000" s="2576"/>
      <c r="AC1000" s="2880"/>
      <c r="AD1000" s="2565">
        <f>SUM(AD1001:AE1006)</f>
        <v>2279104.415637821</v>
      </c>
      <c r="AE1000" s="2566"/>
      <c r="AF1000" s="279"/>
      <c r="AG1000" s="45"/>
      <c r="AH1000" s="2834"/>
      <c r="AI1000" s="2834"/>
      <c r="AJ1000" s="2834"/>
      <c r="AK1000" s="2834"/>
      <c r="AL1000" s="107"/>
      <c r="AM1000" s="44"/>
      <c r="AN1000" s="45"/>
      <c r="AO1000" s="45"/>
    </row>
    <row r="1001" spans="1:41" ht="15.95" customHeight="1" x14ac:dyDescent="0.3">
      <c r="A1001" s="2663" t="s">
        <v>884</v>
      </c>
      <c r="B1001" s="2664"/>
      <c r="C1001" s="60"/>
      <c r="D1001" s="60"/>
      <c r="E1001" s="2680"/>
      <c r="F1001" s="2681"/>
      <c r="G1001" s="2576"/>
      <c r="H1001" s="2880"/>
      <c r="I1001" s="2559">
        <f>E1001*G1001</f>
        <v>0</v>
      </c>
      <c r="J1001" s="2560"/>
      <c r="K1001" s="279"/>
      <c r="L1001" s="45"/>
      <c r="M1001" s="45"/>
      <c r="N1001" s="45"/>
      <c r="O1001" s="45"/>
      <c r="P1001" s="45"/>
      <c r="Q1001" s="45"/>
      <c r="R1001" s="44"/>
      <c r="S1001" s="45"/>
      <c r="T1001" s="45"/>
      <c r="U1001" s="45"/>
      <c r="V1001" s="2663" t="s">
        <v>884</v>
      </c>
      <c r="W1001" s="2664"/>
      <c r="X1001" s="60" t="s">
        <v>496</v>
      </c>
      <c r="Y1001" s="60" t="s">
        <v>497</v>
      </c>
      <c r="Z1001" s="2680">
        <v>15</v>
      </c>
      <c r="AA1001" s="2681"/>
      <c r="AB1001" s="2559">
        <v>47000</v>
      </c>
      <c r="AC1001" s="2560">
        <f t="shared" ref="AC1001" si="315">(36040*6%)+36040</f>
        <v>38202.400000000001</v>
      </c>
      <c r="AD1001" s="2559">
        <f t="shared" ref="AD1001:AD1006" si="316">Z1001*AB1001</f>
        <v>705000</v>
      </c>
      <c r="AE1001" s="2560"/>
      <c r="AF1001" s="279"/>
      <c r="AG1001" s="45"/>
      <c r="AH1001" s="2834"/>
      <c r="AI1001" s="2834"/>
      <c r="AJ1001" s="2834"/>
      <c r="AK1001" s="2834"/>
      <c r="AL1001" s="273"/>
      <c r="AM1001" s="44"/>
      <c r="AN1001" s="45"/>
      <c r="AO1001" s="45"/>
    </row>
    <row r="1002" spans="1:41" ht="15.95" customHeight="1" x14ac:dyDescent="0.3">
      <c r="A1002" s="2663" t="s">
        <v>1524</v>
      </c>
      <c r="B1002" s="2664"/>
      <c r="C1002" s="60"/>
      <c r="D1002" s="60"/>
      <c r="E1002" s="1948"/>
      <c r="F1002" s="1944"/>
      <c r="G1002" s="2576"/>
      <c r="H1002" s="2880"/>
      <c r="I1002" s="2559">
        <f>E1002*G1002</f>
        <v>0</v>
      </c>
      <c r="J1002" s="2560"/>
      <c r="K1002" s="279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2663" t="s">
        <v>1524</v>
      </c>
      <c r="W1002" s="2664"/>
      <c r="X1002" s="60"/>
      <c r="Y1002" s="60"/>
      <c r="Z1002" s="1948"/>
      <c r="AA1002" s="1944"/>
      <c r="AB1002" s="2559"/>
      <c r="AC1002" s="2880"/>
      <c r="AD1002" s="2559">
        <f t="shared" si="316"/>
        <v>0</v>
      </c>
      <c r="AE1002" s="2560"/>
      <c r="AF1002" s="279"/>
      <c r="AG1002" s="45"/>
      <c r="AH1002" s="45"/>
      <c r="AI1002" s="45"/>
      <c r="AJ1002" s="45"/>
      <c r="AK1002" s="45"/>
      <c r="AL1002" s="45"/>
      <c r="AM1002" s="45"/>
      <c r="AN1002" s="45"/>
      <c r="AO1002" s="45"/>
    </row>
    <row r="1003" spans="1:41" ht="15.95" customHeight="1" x14ac:dyDescent="0.3">
      <c r="A1003" s="2663" t="s">
        <v>893</v>
      </c>
      <c r="B1003" s="2664"/>
      <c r="C1003" s="60"/>
      <c r="D1003" s="60"/>
      <c r="E1003" s="2680"/>
      <c r="F1003" s="2681"/>
      <c r="G1003" s="2576"/>
      <c r="H1003" s="2880"/>
      <c r="I1003" s="2559">
        <f>E1003*G1003</f>
        <v>0</v>
      </c>
      <c r="J1003" s="2560"/>
      <c r="K1003" s="279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2663" t="s">
        <v>893</v>
      </c>
      <c r="W1003" s="2664"/>
      <c r="X1003" s="60" t="s">
        <v>496</v>
      </c>
      <c r="Y1003" s="60" t="s">
        <v>497</v>
      </c>
      <c r="Z1003" s="2680">
        <v>5</v>
      </c>
      <c r="AA1003" s="2681"/>
      <c r="AB1003" s="2559">
        <v>47000</v>
      </c>
      <c r="AC1003" s="2560">
        <f t="shared" ref="AC1003:AC1004" si="317">(36040*6%)+36040</f>
        <v>38202.400000000001</v>
      </c>
      <c r="AD1003" s="2559">
        <f t="shared" si="316"/>
        <v>235000</v>
      </c>
      <c r="AE1003" s="2560"/>
      <c r="AF1003" s="279"/>
      <c r="AG1003" s="45"/>
      <c r="AH1003" s="45"/>
      <c r="AI1003" s="45"/>
      <c r="AJ1003" s="45"/>
      <c r="AK1003" s="45"/>
      <c r="AL1003" s="45"/>
      <c r="AM1003" s="45"/>
      <c r="AN1003" s="45"/>
      <c r="AO1003" s="45"/>
    </row>
    <row r="1004" spans="1:41" ht="15.95" customHeight="1" x14ac:dyDescent="0.3">
      <c r="A1004" s="2663" t="s">
        <v>728</v>
      </c>
      <c r="B1004" s="2664"/>
      <c r="C1004" s="60"/>
      <c r="D1004" s="60"/>
      <c r="E1004" s="2680"/>
      <c r="F1004" s="2681"/>
      <c r="G1004" s="2576"/>
      <c r="H1004" s="2880"/>
      <c r="I1004" s="2559">
        <f>E1004*G1004</f>
        <v>0</v>
      </c>
      <c r="J1004" s="2560"/>
      <c r="K1004" s="279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2663" t="s">
        <v>728</v>
      </c>
      <c r="W1004" s="2664"/>
      <c r="X1004" s="60" t="s">
        <v>496</v>
      </c>
      <c r="Y1004" s="60" t="s">
        <v>497</v>
      </c>
      <c r="Z1004" s="2680">
        <v>4</v>
      </c>
      <c r="AA1004" s="2681"/>
      <c r="AB1004" s="2559">
        <v>47000</v>
      </c>
      <c r="AC1004" s="2560">
        <f t="shared" si="317"/>
        <v>38202.400000000001</v>
      </c>
      <c r="AD1004" s="2559">
        <f t="shared" si="316"/>
        <v>188000</v>
      </c>
      <c r="AE1004" s="2560"/>
      <c r="AF1004" s="279"/>
      <c r="AG1004" s="45"/>
      <c r="AH1004" s="45"/>
      <c r="AI1004" s="45"/>
      <c r="AJ1004" s="45"/>
      <c r="AK1004" s="45"/>
      <c r="AL1004" s="45"/>
      <c r="AM1004" s="45"/>
      <c r="AN1004" s="45"/>
      <c r="AO1004" s="45"/>
    </row>
    <row r="1005" spans="1:41" ht="15.95" customHeight="1" x14ac:dyDescent="0.3">
      <c r="A1005" s="2663" t="s">
        <v>765</v>
      </c>
      <c r="B1005" s="2664"/>
      <c r="C1005" s="1945"/>
      <c r="D1005" s="60" t="s">
        <v>794</v>
      </c>
      <c r="E1005" s="2680">
        <v>1</v>
      </c>
      <c r="F1005" s="2681"/>
      <c r="G1005" s="2576"/>
      <c r="H1005" s="2880"/>
      <c r="I1005" s="2559">
        <f>300000*1.0928</f>
        <v>327840</v>
      </c>
      <c r="J1005" s="2560"/>
      <c r="K1005" s="279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2663" t="s">
        <v>765</v>
      </c>
      <c r="W1005" s="2664"/>
      <c r="X1005" s="1945"/>
      <c r="Y1005" s="60" t="s">
        <v>794</v>
      </c>
      <c r="Z1005" s="2680"/>
      <c r="AA1005" s="2681"/>
      <c r="AB1005" s="2576"/>
      <c r="AC1005" s="2880"/>
      <c r="AD1005" s="2559">
        <f>200000*1.0928</f>
        <v>218560</v>
      </c>
      <c r="AE1005" s="2560"/>
      <c r="AF1005" s="279"/>
      <c r="AG1005" s="45"/>
      <c r="AH1005" s="45"/>
      <c r="AI1005" s="45"/>
      <c r="AJ1005" s="45"/>
      <c r="AK1005" s="45"/>
      <c r="AL1005" s="45"/>
      <c r="AM1005" s="45"/>
      <c r="AN1005" s="45"/>
      <c r="AO1005" s="45"/>
    </row>
    <row r="1006" spans="1:41" ht="15.95" customHeight="1" x14ac:dyDescent="0.3">
      <c r="A1006" s="2663" t="s">
        <v>615</v>
      </c>
      <c r="B1006" s="2664"/>
      <c r="C1006" s="60"/>
      <c r="D1006" s="60"/>
      <c r="E1006" s="2680"/>
      <c r="F1006" s="2681"/>
      <c r="G1006" s="2576"/>
      <c r="H1006" s="2880"/>
      <c r="I1006" s="2559">
        <f>E1006*G1006</f>
        <v>0</v>
      </c>
      <c r="J1006" s="2560"/>
      <c r="K1006" s="279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2663" t="s">
        <v>615</v>
      </c>
      <c r="W1006" s="2664"/>
      <c r="X1006" s="60"/>
      <c r="Y1006" s="60" t="s">
        <v>556</v>
      </c>
      <c r="Z1006" s="2705">
        <f>'TOTAL PERMANENTES'!K26</f>
        <v>7.9599391395380952</v>
      </c>
      <c r="AA1006" s="2681"/>
      <c r="AB1006" s="2559">
        <f>107206*1.0928</f>
        <v>117154.71679999999</v>
      </c>
      <c r="AC1006" s="2880"/>
      <c r="AD1006" s="2559">
        <f t="shared" si="316"/>
        <v>932544.41563782119</v>
      </c>
      <c r="AE1006" s="2560"/>
      <c r="AF1006" s="279"/>
      <c r="AG1006" s="45"/>
      <c r="AH1006" s="45"/>
      <c r="AI1006" s="45"/>
      <c r="AJ1006" s="45"/>
      <c r="AK1006" s="45"/>
      <c r="AL1006" s="45"/>
      <c r="AM1006" s="45"/>
      <c r="AN1006" s="45"/>
      <c r="AO1006" s="45"/>
    </row>
    <row r="1007" spans="1:41" ht="15.95" customHeight="1" thickBot="1" x14ac:dyDescent="0.25">
      <c r="A1007" s="2881" t="s">
        <v>558</v>
      </c>
      <c r="B1007" s="2882"/>
      <c r="C1007" s="210"/>
      <c r="D1007" s="211"/>
      <c r="E1007" s="2561">
        <f>E971+E975+E976+E982+E983+E991+E993+E994+E995+E997+E998+E999</f>
        <v>64</v>
      </c>
      <c r="F1007" s="2562"/>
      <c r="G1007" s="2563"/>
      <c r="H1007" s="2564"/>
      <c r="I1007" s="2561">
        <f>SUM(I1000+I981+I970+I966+I963)</f>
        <v>3335840</v>
      </c>
      <c r="J1007" s="2562"/>
      <c r="K1007" s="279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2881" t="s">
        <v>558</v>
      </c>
      <c r="W1007" s="2882"/>
      <c r="X1007" s="210"/>
      <c r="Y1007" s="211"/>
      <c r="Z1007" s="2561">
        <f>Z989+Z990+Z993+Z995+Z996+Z997+Z998+Z999+Z1001+Z1003+Z1004</f>
        <v>51</v>
      </c>
      <c r="AA1007" s="2562"/>
      <c r="AB1007" s="2563"/>
      <c r="AC1007" s="2564"/>
      <c r="AD1007" s="2561">
        <f>SUM(AD1000+AD981+AD970+AD966+AD963)</f>
        <v>3548104.415637821</v>
      </c>
      <c r="AE1007" s="2562"/>
      <c r="AF1007" s="279"/>
      <c r="AG1007" s="45"/>
      <c r="AH1007" s="45"/>
      <c r="AI1007" s="45"/>
      <c r="AJ1007" s="45"/>
      <c r="AK1007" s="45"/>
      <c r="AL1007" s="45"/>
      <c r="AM1007" s="45"/>
      <c r="AN1007" s="45"/>
      <c r="AO1007" s="45"/>
    </row>
    <row r="1008" spans="1:41" ht="15.95" customHeight="1" x14ac:dyDescent="0.2"/>
    <row r="1009" spans="1:41" ht="15.95" customHeight="1" x14ac:dyDescent="0.2"/>
    <row r="1010" spans="1:41" ht="15.95" customHeight="1" x14ac:dyDescent="0.2"/>
    <row r="1011" spans="1:41" ht="15.95" customHeight="1" x14ac:dyDescent="0.2"/>
    <row r="1012" spans="1:41" ht="15.95" customHeight="1" x14ac:dyDescent="0.2">
      <c r="A1012" s="2611" t="s">
        <v>1979</v>
      </c>
      <c r="B1012" s="2611"/>
      <c r="C1012" s="2611"/>
      <c r="D1012" s="2611"/>
      <c r="E1012" s="2611"/>
      <c r="F1012" s="2611"/>
      <c r="G1012" s="2611"/>
      <c r="H1012" s="2611"/>
      <c r="I1012" s="2611"/>
      <c r="J1012" s="2611"/>
      <c r="K1012" s="2611"/>
      <c r="L1012" s="2611"/>
      <c r="M1012" s="2611"/>
      <c r="N1012" s="2611"/>
      <c r="O1012" s="2611"/>
      <c r="P1012" s="2611"/>
      <c r="Q1012" s="2611"/>
      <c r="R1012" s="2611"/>
      <c r="S1012" s="2611"/>
      <c r="T1012" s="2611"/>
      <c r="U1012" s="47"/>
      <c r="V1012" s="2611" t="s">
        <v>1980</v>
      </c>
      <c r="W1012" s="2611"/>
      <c r="X1012" s="2611"/>
      <c r="Y1012" s="2611"/>
      <c r="Z1012" s="2611"/>
      <c r="AA1012" s="2611"/>
      <c r="AB1012" s="2611"/>
      <c r="AC1012" s="2611"/>
      <c r="AD1012" s="2611"/>
      <c r="AE1012" s="2611"/>
      <c r="AF1012" s="2611"/>
      <c r="AG1012" s="2611"/>
      <c r="AH1012" s="2611"/>
      <c r="AI1012" s="2611"/>
      <c r="AJ1012" s="2611"/>
      <c r="AK1012" s="2611"/>
      <c r="AL1012" s="2611"/>
      <c r="AM1012" s="2611"/>
      <c r="AN1012" s="2611"/>
      <c r="AO1012" s="2611"/>
    </row>
    <row r="1013" spans="1:41" ht="15.95" customHeight="1" thickBot="1" x14ac:dyDescent="0.25">
      <c r="A1013" s="2611"/>
      <c r="B1013" s="2611"/>
      <c r="C1013" s="2611"/>
      <c r="D1013" s="2611"/>
      <c r="E1013" s="2611"/>
      <c r="F1013" s="2611"/>
      <c r="G1013" s="2611"/>
      <c r="H1013" s="2611"/>
      <c r="I1013" s="2611"/>
      <c r="J1013" s="2611"/>
      <c r="K1013" s="2611"/>
      <c r="L1013" s="2611"/>
      <c r="M1013" s="2611"/>
      <c r="N1013" s="2611"/>
      <c r="O1013" s="2611"/>
      <c r="P1013" s="2611"/>
      <c r="Q1013" s="2611"/>
      <c r="R1013" s="2611"/>
      <c r="S1013" s="2611"/>
      <c r="T1013" s="2611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279"/>
      <c r="AG1013" s="45"/>
      <c r="AH1013" s="45"/>
      <c r="AI1013" s="45"/>
      <c r="AJ1013" s="45"/>
      <c r="AK1013" s="45"/>
      <c r="AL1013" s="45"/>
      <c r="AM1013" s="45"/>
      <c r="AN1013" s="45"/>
      <c r="AO1013" s="45"/>
    </row>
    <row r="1014" spans="1:41" ht="15.95" customHeight="1" x14ac:dyDescent="0.3">
      <c r="A1014" s="2618" t="s">
        <v>435</v>
      </c>
      <c r="B1014" s="2620"/>
      <c r="C1014" s="2618" t="s">
        <v>436</v>
      </c>
      <c r="D1014" s="2619"/>
      <c r="E1014" s="2619"/>
      <c r="F1014" s="2620"/>
      <c r="G1014" s="2618" t="s">
        <v>437</v>
      </c>
      <c r="H1014" s="2620"/>
      <c r="I1014" s="2618" t="s">
        <v>438</v>
      </c>
      <c r="J1014" s="2620"/>
      <c r="K1014" s="45"/>
      <c r="L1014" s="2633" t="s">
        <v>435</v>
      </c>
      <c r="M1014" s="2618" t="s">
        <v>436</v>
      </c>
      <c r="N1014" s="2619"/>
      <c r="O1014" s="2619"/>
      <c r="P1014" s="2620"/>
      <c r="Q1014" s="2618" t="s">
        <v>437</v>
      </c>
      <c r="R1014" s="2620"/>
      <c r="S1014" s="2618"/>
      <c r="T1014" s="2620"/>
      <c r="U1014" s="268"/>
      <c r="V1014" s="2618" t="s">
        <v>435</v>
      </c>
      <c r="W1014" s="2620"/>
      <c r="X1014" s="2618" t="s">
        <v>436</v>
      </c>
      <c r="Y1014" s="2619"/>
      <c r="Z1014" s="2619"/>
      <c r="AA1014" s="2620"/>
      <c r="AB1014" s="2618" t="s">
        <v>437</v>
      </c>
      <c r="AC1014" s="2620"/>
      <c r="AD1014" s="2618" t="s">
        <v>438</v>
      </c>
      <c r="AE1014" s="2620"/>
      <c r="AF1014" s="45"/>
      <c r="AG1014" s="2633" t="s">
        <v>435</v>
      </c>
      <c r="AH1014" s="2618" t="s">
        <v>436</v>
      </c>
      <c r="AI1014" s="2619"/>
      <c r="AJ1014" s="2619"/>
      <c r="AK1014" s="2620"/>
      <c r="AL1014" s="2618" t="s">
        <v>437</v>
      </c>
      <c r="AM1014" s="2620"/>
      <c r="AN1014" s="2618"/>
      <c r="AO1014" s="2900"/>
    </row>
    <row r="1015" spans="1:41" ht="15.95" customHeight="1" thickBot="1" x14ac:dyDescent="0.35">
      <c r="A1015" s="2631"/>
      <c r="B1015" s="2632"/>
      <c r="C1015" s="2621"/>
      <c r="D1015" s="2622"/>
      <c r="E1015" s="2622"/>
      <c r="F1015" s="2623"/>
      <c r="G1015" s="2631" t="s">
        <v>440</v>
      </c>
      <c r="H1015" s="2632"/>
      <c r="I1015" s="2631"/>
      <c r="J1015" s="2632"/>
      <c r="K1015" s="45"/>
      <c r="L1015" s="2670"/>
      <c r="M1015" s="2621"/>
      <c r="N1015" s="2622"/>
      <c r="O1015" s="2622"/>
      <c r="P1015" s="2623"/>
      <c r="Q1015" s="2631" t="s">
        <v>440</v>
      </c>
      <c r="R1015" s="2632"/>
      <c r="S1015" s="2631" t="s">
        <v>274</v>
      </c>
      <c r="T1015" s="2632"/>
      <c r="U1015" s="268"/>
      <c r="V1015" s="2631"/>
      <c r="W1015" s="2632"/>
      <c r="X1015" s="2621"/>
      <c r="Y1015" s="2622"/>
      <c r="Z1015" s="2622"/>
      <c r="AA1015" s="2623"/>
      <c r="AB1015" s="2631" t="s">
        <v>440</v>
      </c>
      <c r="AC1015" s="2632"/>
      <c r="AD1015" s="2631"/>
      <c r="AE1015" s="2632"/>
      <c r="AF1015" s="45"/>
      <c r="AG1015" s="2670"/>
      <c r="AH1015" s="2621"/>
      <c r="AI1015" s="2622"/>
      <c r="AJ1015" s="2622"/>
      <c r="AK1015" s="2623"/>
      <c r="AL1015" s="2631" t="s">
        <v>440</v>
      </c>
      <c r="AM1015" s="2632"/>
      <c r="AN1015" s="2631" t="s">
        <v>274</v>
      </c>
      <c r="AO1015" s="2880"/>
    </row>
    <row r="1016" spans="1:41" ht="15.95" customHeight="1" x14ac:dyDescent="0.3">
      <c r="A1016" s="2631"/>
      <c r="B1016" s="2632"/>
      <c r="C1016" s="53" t="s">
        <v>441</v>
      </c>
      <c r="D1016" s="2670" t="s">
        <v>442</v>
      </c>
      <c r="E1016" s="2631" t="s">
        <v>443</v>
      </c>
      <c r="F1016" s="2632"/>
      <c r="G1016" s="2631" t="s">
        <v>444</v>
      </c>
      <c r="H1016" s="2632"/>
      <c r="I1016" s="2631" t="s">
        <v>348</v>
      </c>
      <c r="J1016" s="2632"/>
      <c r="K1016" s="45"/>
      <c r="L1016" s="2670"/>
      <c r="M1016" s="51" t="s">
        <v>441</v>
      </c>
      <c r="N1016" s="2633" t="s">
        <v>442</v>
      </c>
      <c r="O1016" s="2618" t="s">
        <v>443</v>
      </c>
      <c r="P1016" s="2620"/>
      <c r="Q1016" s="2631" t="s">
        <v>444</v>
      </c>
      <c r="R1016" s="2632"/>
      <c r="S1016" s="2631" t="s">
        <v>348</v>
      </c>
      <c r="T1016" s="2632"/>
      <c r="U1016" s="268"/>
      <c r="V1016" s="2631"/>
      <c r="W1016" s="2632"/>
      <c r="X1016" s="53" t="s">
        <v>441</v>
      </c>
      <c r="Y1016" s="2670" t="s">
        <v>442</v>
      </c>
      <c r="Z1016" s="2631" t="s">
        <v>443</v>
      </c>
      <c r="AA1016" s="2632"/>
      <c r="AB1016" s="2631" t="s">
        <v>444</v>
      </c>
      <c r="AC1016" s="2632"/>
      <c r="AD1016" s="2631" t="s">
        <v>348</v>
      </c>
      <c r="AE1016" s="2632"/>
      <c r="AF1016" s="45"/>
      <c r="AG1016" s="2670"/>
      <c r="AH1016" s="51" t="s">
        <v>441</v>
      </c>
      <c r="AI1016" s="2670" t="s">
        <v>442</v>
      </c>
      <c r="AJ1016" s="2631" t="s">
        <v>443</v>
      </c>
      <c r="AK1016" s="2632"/>
      <c r="AL1016" s="2631" t="s">
        <v>444</v>
      </c>
      <c r="AM1016" s="2632"/>
      <c r="AN1016" s="2631" t="s">
        <v>348</v>
      </c>
      <c r="AO1016" s="2880"/>
    </row>
    <row r="1017" spans="1:41" ht="15.95" customHeight="1" thickBot="1" x14ac:dyDescent="0.35">
      <c r="A1017" s="2621"/>
      <c r="B1017" s="2623"/>
      <c r="C1017" s="54" t="s">
        <v>445</v>
      </c>
      <c r="D1017" s="2634"/>
      <c r="E1017" s="2621"/>
      <c r="F1017" s="2623"/>
      <c r="G1017" s="2621"/>
      <c r="H1017" s="2623"/>
      <c r="I1017" s="2621"/>
      <c r="J1017" s="2623"/>
      <c r="K1017" s="45"/>
      <c r="L1017" s="2634"/>
      <c r="M1017" s="50" t="s">
        <v>445</v>
      </c>
      <c r="N1017" s="2634"/>
      <c r="O1017" s="2621"/>
      <c r="P1017" s="2623"/>
      <c r="Q1017" s="2621"/>
      <c r="R1017" s="2623"/>
      <c r="S1017" s="2621"/>
      <c r="T1017" s="2623"/>
      <c r="U1017" s="268"/>
      <c r="V1017" s="2621"/>
      <c r="W1017" s="2623"/>
      <c r="X1017" s="54" t="s">
        <v>445</v>
      </c>
      <c r="Y1017" s="2634"/>
      <c r="Z1017" s="2621"/>
      <c r="AA1017" s="2623"/>
      <c r="AB1017" s="2621"/>
      <c r="AC1017" s="2623"/>
      <c r="AD1017" s="2621"/>
      <c r="AE1017" s="2623"/>
      <c r="AF1017" s="45"/>
      <c r="AG1017" s="2634"/>
      <c r="AH1017" s="50" t="s">
        <v>445</v>
      </c>
      <c r="AI1017" s="2634"/>
      <c r="AJ1017" s="2621"/>
      <c r="AK1017" s="2623"/>
      <c r="AL1017" s="2621"/>
      <c r="AM1017" s="2623"/>
      <c r="AN1017" s="2901"/>
      <c r="AO1017" s="2902"/>
    </row>
    <row r="1018" spans="1:41" ht="15.95" customHeight="1" x14ac:dyDescent="0.3">
      <c r="A1018" s="2898" t="s">
        <v>446</v>
      </c>
      <c r="B1018" s="2899"/>
      <c r="C1018" s="1938"/>
      <c r="D1018" s="60"/>
      <c r="E1018" s="1948"/>
      <c r="F1018" s="1940"/>
      <c r="G1018" s="2576"/>
      <c r="H1018" s="2880"/>
      <c r="I1018" s="2559"/>
      <c r="J1018" s="2880"/>
      <c r="K1018" s="279"/>
      <c r="L1018" s="59" t="s">
        <v>447</v>
      </c>
      <c r="M1018" s="1939"/>
      <c r="N1018" s="1940"/>
      <c r="O1018" s="1941"/>
      <c r="P1018" s="1949"/>
      <c r="Q1018" s="2605"/>
      <c r="R1018" s="2606"/>
      <c r="S1018" s="2605"/>
      <c r="T1018" s="2606"/>
      <c r="U1018" s="26"/>
      <c r="V1018" s="2898" t="s">
        <v>446</v>
      </c>
      <c r="W1018" s="2899"/>
      <c r="X1018" s="1938"/>
      <c r="Y1018" s="60"/>
      <c r="Z1018" s="1948"/>
      <c r="AA1018" s="1940"/>
      <c r="AB1018" s="2576"/>
      <c r="AC1018" s="2880"/>
      <c r="AD1018" s="2576"/>
      <c r="AE1018" s="2880"/>
      <c r="AF1018" s="279"/>
      <c r="AG1018" s="59" t="s">
        <v>447</v>
      </c>
      <c r="AH1018" s="1939"/>
      <c r="AI1018" s="1940"/>
      <c r="AJ1018" s="2605"/>
      <c r="AK1018" s="2606"/>
      <c r="AL1018" s="2605"/>
      <c r="AM1018" s="2606"/>
      <c r="AN1018" s="2605"/>
      <c r="AO1018" s="2606"/>
    </row>
    <row r="1019" spans="1:41" ht="15.95" customHeight="1" x14ac:dyDescent="0.35">
      <c r="A1019" s="2667" t="s">
        <v>979</v>
      </c>
      <c r="B1019" s="2668"/>
      <c r="C1019" s="77"/>
      <c r="D1019" s="1942"/>
      <c r="E1019" s="1948"/>
      <c r="F1019" s="1944"/>
      <c r="G1019" s="2576"/>
      <c r="H1019" s="2880"/>
      <c r="I1019" s="2897">
        <f>SUM(I1020:I1021)</f>
        <v>94000</v>
      </c>
      <c r="J1019" s="2892"/>
      <c r="K1019" s="279"/>
      <c r="L1019" s="62"/>
      <c r="M1019" s="1943"/>
      <c r="N1019" s="1944"/>
      <c r="O1019" s="1937"/>
      <c r="P1019" s="89"/>
      <c r="Q1019" s="2559"/>
      <c r="R1019" s="2560"/>
      <c r="S1019" s="2559"/>
      <c r="T1019" s="2560"/>
      <c r="U1019" s="26"/>
      <c r="V1019" s="2667" t="s">
        <v>979</v>
      </c>
      <c r="W1019" s="2668"/>
      <c r="X1019" s="1945"/>
      <c r="Y1019" s="60"/>
      <c r="Z1019" s="1948"/>
      <c r="AA1019" s="1944"/>
      <c r="AB1019" s="2576"/>
      <c r="AC1019" s="2880"/>
      <c r="AD1019" s="2897">
        <f>SUM(AD1020:AD1021)</f>
        <v>0</v>
      </c>
      <c r="AE1019" s="2892"/>
      <c r="AF1019" s="279"/>
      <c r="AG1019" s="62"/>
      <c r="AH1019" s="1943"/>
      <c r="AI1019" s="1944"/>
      <c r="AJ1019" s="2559"/>
      <c r="AK1019" s="2560"/>
      <c r="AL1019" s="2559"/>
      <c r="AM1019" s="2560"/>
      <c r="AN1019" s="2559"/>
      <c r="AO1019" s="2560"/>
    </row>
    <row r="1020" spans="1:41" ht="15.95" customHeight="1" x14ac:dyDescent="0.3">
      <c r="A1020" s="2663" t="s">
        <v>980</v>
      </c>
      <c r="B1020" s="2664"/>
      <c r="C1020" s="60" t="s">
        <v>496</v>
      </c>
      <c r="D1020" s="60" t="s">
        <v>497</v>
      </c>
      <c r="E1020" s="2680">
        <v>1</v>
      </c>
      <c r="F1020" s="2681"/>
      <c r="G1020" s="2717">
        <v>47000</v>
      </c>
      <c r="H1020" s="2905">
        <f t="shared" ref="H1020:H1023" si="318">(36040*6%)+36040</f>
        <v>38202.400000000001</v>
      </c>
      <c r="I1020" s="2559">
        <f>E1020*G1020</f>
        <v>47000</v>
      </c>
      <c r="J1020" s="2560"/>
      <c r="K1020" s="279"/>
      <c r="L1020" s="62" t="s">
        <v>450</v>
      </c>
      <c r="M1020" s="1944" t="s">
        <v>1232</v>
      </c>
      <c r="N1020" s="1944" t="s">
        <v>452</v>
      </c>
      <c r="O1020" s="2703">
        <v>0.5</v>
      </c>
      <c r="P1020" s="2704"/>
      <c r="Q1020" s="2559">
        <f>81026*1.0928</f>
        <v>88545.212799999994</v>
      </c>
      <c r="R1020" s="2560"/>
      <c r="S1020" s="2559">
        <f>O1020*Q1020</f>
        <v>44272.606399999997</v>
      </c>
      <c r="T1020" s="2560"/>
      <c r="U1020" s="26"/>
      <c r="V1020" s="2663" t="s">
        <v>980</v>
      </c>
      <c r="W1020" s="2664"/>
      <c r="X1020" s="1945"/>
      <c r="Y1020" s="60"/>
      <c r="Z1020" s="1948"/>
      <c r="AA1020" s="1944"/>
      <c r="AB1020" s="2576"/>
      <c r="AC1020" s="2880"/>
      <c r="AD1020" s="2576"/>
      <c r="AE1020" s="2880"/>
      <c r="AF1020" s="279"/>
      <c r="AG1020" s="62" t="s">
        <v>450</v>
      </c>
      <c r="AH1020" s="1944"/>
      <c r="AI1020" s="1944"/>
      <c r="AJ1020" s="2559"/>
      <c r="AK1020" s="2560"/>
      <c r="AL1020" s="2559"/>
      <c r="AM1020" s="2560"/>
      <c r="AN1020" s="2559"/>
      <c r="AO1020" s="2560"/>
    </row>
    <row r="1021" spans="1:41" ht="15.95" customHeight="1" x14ac:dyDescent="0.3">
      <c r="A1021" s="2663" t="s">
        <v>981</v>
      </c>
      <c r="B1021" s="2664"/>
      <c r="C1021" s="60" t="s">
        <v>496</v>
      </c>
      <c r="D1021" s="60" t="s">
        <v>497</v>
      </c>
      <c r="E1021" s="2680">
        <v>1</v>
      </c>
      <c r="F1021" s="2681"/>
      <c r="G1021" s="2717">
        <v>47000</v>
      </c>
      <c r="H1021" s="2905">
        <f t="shared" si="318"/>
        <v>38202.400000000001</v>
      </c>
      <c r="I1021" s="2559">
        <f>E1021*G1021</f>
        <v>47000</v>
      </c>
      <c r="J1021" s="2560"/>
      <c r="K1021" s="279"/>
      <c r="L1021" s="62" t="s">
        <v>853</v>
      </c>
      <c r="M1021" s="1944"/>
      <c r="N1021" s="1944"/>
      <c r="O1021" s="2569"/>
      <c r="P1021" s="2570"/>
      <c r="Q1021" s="2559"/>
      <c r="R1021" s="2560"/>
      <c r="S1021" s="2559">
        <f t="shared" ref="S1021:S1036" si="319">O1021*Q1021</f>
        <v>0</v>
      </c>
      <c r="T1021" s="2560"/>
      <c r="U1021" s="26"/>
      <c r="V1021" s="2663" t="s">
        <v>981</v>
      </c>
      <c r="W1021" s="2664"/>
      <c r="X1021" s="1945"/>
      <c r="Y1021" s="60"/>
      <c r="Z1021" s="1948"/>
      <c r="AA1021" s="1944"/>
      <c r="AB1021" s="2559"/>
      <c r="AC1021" s="2880"/>
      <c r="AD1021" s="2559">
        <f>+AB1021*Z1021</f>
        <v>0</v>
      </c>
      <c r="AE1021" s="2560"/>
      <c r="AF1021" s="279"/>
      <c r="AG1021" s="62" t="s">
        <v>853</v>
      </c>
      <c r="AH1021" s="1944"/>
      <c r="AI1021" s="1944"/>
      <c r="AJ1021" s="2559"/>
      <c r="AK1021" s="2560"/>
      <c r="AL1021" s="2559"/>
      <c r="AM1021" s="2560"/>
      <c r="AN1021" s="2559">
        <f>AJ1021*AL1021</f>
        <v>0</v>
      </c>
      <c r="AO1021" s="2560"/>
    </row>
    <row r="1022" spans="1:41" ht="15.95" customHeight="1" x14ac:dyDescent="0.35">
      <c r="A1022" s="2667" t="s">
        <v>990</v>
      </c>
      <c r="B1022" s="2668"/>
      <c r="C1022" s="1946"/>
      <c r="D1022" s="60"/>
      <c r="E1022" s="2680"/>
      <c r="F1022" s="2681"/>
      <c r="G1022" s="2576"/>
      <c r="H1022" s="2880"/>
      <c r="I1022" s="2897">
        <f>SUM(I1023:J1025)</f>
        <v>141000</v>
      </c>
      <c r="J1022" s="2892"/>
      <c r="K1022" s="279"/>
      <c r="L1022" s="62" t="s">
        <v>1563</v>
      </c>
      <c r="M1022" s="1944" t="s">
        <v>762</v>
      </c>
      <c r="N1022" s="1944" t="s">
        <v>452</v>
      </c>
      <c r="O1022" s="2569">
        <v>4</v>
      </c>
      <c r="P1022" s="2570"/>
      <c r="Q1022" s="2559">
        <f>61672*1.0928</f>
        <v>67395.161600000007</v>
      </c>
      <c r="R1022" s="2560"/>
      <c r="S1022" s="2559">
        <f t="shared" si="319"/>
        <v>269580.64640000003</v>
      </c>
      <c r="T1022" s="2560"/>
      <c r="U1022" s="26"/>
      <c r="V1022" s="2667" t="s">
        <v>990</v>
      </c>
      <c r="W1022" s="2668"/>
      <c r="X1022" s="1945"/>
      <c r="Y1022" s="60"/>
      <c r="Z1022" s="1948"/>
      <c r="AA1022" s="1944"/>
      <c r="AB1022" s="2576"/>
      <c r="AC1022" s="2880"/>
      <c r="AD1022" s="2897">
        <f>SUM(AD1023:AE1025)</f>
        <v>0</v>
      </c>
      <c r="AE1022" s="2892"/>
      <c r="AF1022" s="279"/>
      <c r="AG1022" s="62" t="s">
        <v>863</v>
      </c>
      <c r="AH1022" s="1944" t="s">
        <v>762</v>
      </c>
      <c r="AI1022" s="1944" t="s">
        <v>452</v>
      </c>
      <c r="AJ1022" s="2569">
        <v>4</v>
      </c>
      <c r="AK1022" s="2570"/>
      <c r="AL1022" s="2559">
        <f>+Q1022</f>
        <v>67395.161600000007</v>
      </c>
      <c r="AM1022" s="2560"/>
      <c r="AN1022" s="2559">
        <f>AJ1022*AL1022</f>
        <v>269580.64640000003</v>
      </c>
      <c r="AO1022" s="2560"/>
    </row>
    <row r="1023" spans="1:41" ht="15.95" customHeight="1" x14ac:dyDescent="0.3">
      <c r="A1023" s="2663" t="s">
        <v>991</v>
      </c>
      <c r="B1023" s="2664"/>
      <c r="C1023" s="60" t="s">
        <v>496</v>
      </c>
      <c r="D1023" s="60" t="s">
        <v>497</v>
      </c>
      <c r="E1023" s="2680">
        <v>3</v>
      </c>
      <c r="F1023" s="2681"/>
      <c r="G1023" s="2717">
        <v>47000</v>
      </c>
      <c r="H1023" s="2905">
        <f t="shared" si="318"/>
        <v>38202.400000000001</v>
      </c>
      <c r="I1023" s="2559">
        <f>E1023*G1023</f>
        <v>141000</v>
      </c>
      <c r="J1023" s="2560"/>
      <c r="K1023" s="279"/>
      <c r="L1023" s="62" t="s">
        <v>1054</v>
      </c>
      <c r="M1023" s="1944" t="s">
        <v>610</v>
      </c>
      <c r="N1023" s="1944" t="s">
        <v>473</v>
      </c>
      <c r="O1023" s="2569">
        <v>4</v>
      </c>
      <c r="P1023" s="2570"/>
      <c r="Q1023" s="2559">
        <v>32985</v>
      </c>
      <c r="R1023" s="2560"/>
      <c r="S1023" s="2559">
        <f t="shared" si="319"/>
        <v>131940</v>
      </c>
      <c r="T1023" s="2560"/>
      <c r="U1023" s="26"/>
      <c r="V1023" s="2663" t="s">
        <v>991</v>
      </c>
      <c r="W1023" s="2664"/>
      <c r="X1023" s="1945"/>
      <c r="Y1023" s="60"/>
      <c r="Z1023" s="1948"/>
      <c r="AA1023" s="1944"/>
      <c r="AB1023" s="2576"/>
      <c r="AC1023" s="2880"/>
      <c r="AD1023" s="2576"/>
      <c r="AE1023" s="2880"/>
      <c r="AF1023" s="279"/>
      <c r="AG1023" s="62" t="s">
        <v>1054</v>
      </c>
      <c r="AH1023" s="1944" t="s">
        <v>576</v>
      </c>
      <c r="AI1023" s="1944" t="s">
        <v>473</v>
      </c>
      <c r="AJ1023" s="2569">
        <v>4</v>
      </c>
      <c r="AK1023" s="2570"/>
      <c r="AL1023" s="2559">
        <f>17709*1.0928</f>
        <v>19352.395199999999</v>
      </c>
      <c r="AM1023" s="2560"/>
      <c r="AN1023" s="2559">
        <f t="shared" ref="AN1023:AN1036" si="320">AJ1023*AL1023</f>
        <v>77409.580799999996</v>
      </c>
      <c r="AO1023" s="2560"/>
    </row>
    <row r="1024" spans="1:41" ht="15.95" customHeight="1" x14ac:dyDescent="0.3">
      <c r="A1024" s="2663" t="s">
        <v>981</v>
      </c>
      <c r="B1024" s="2664"/>
      <c r="C1024" s="60"/>
      <c r="D1024" s="60"/>
      <c r="E1024" s="2680"/>
      <c r="F1024" s="2681"/>
      <c r="G1024" s="2576"/>
      <c r="H1024" s="2880"/>
      <c r="I1024" s="2576"/>
      <c r="J1024" s="2880"/>
      <c r="K1024" s="279"/>
      <c r="L1024" s="62" t="s">
        <v>861</v>
      </c>
      <c r="M1024" s="1944" t="s">
        <v>1091</v>
      </c>
      <c r="N1024" s="1944" t="s">
        <v>473</v>
      </c>
      <c r="O1024" s="2569">
        <v>5</v>
      </c>
      <c r="P1024" s="2570"/>
      <c r="Q1024" s="2559">
        <f>40187*1.0928</f>
        <v>43916.353600000002</v>
      </c>
      <c r="R1024" s="2560"/>
      <c r="S1024" s="2559">
        <f t="shared" si="319"/>
        <v>219581.76800000001</v>
      </c>
      <c r="T1024" s="2560"/>
      <c r="U1024" s="26"/>
      <c r="V1024" s="2663" t="s">
        <v>981</v>
      </c>
      <c r="W1024" s="2664"/>
      <c r="X1024" s="1945"/>
      <c r="Y1024" s="60"/>
      <c r="Z1024" s="1948"/>
      <c r="AA1024" s="1944"/>
      <c r="AB1024" s="2576"/>
      <c r="AC1024" s="2880"/>
      <c r="AD1024" s="2576"/>
      <c r="AE1024" s="2880"/>
      <c r="AF1024" s="279"/>
      <c r="AG1024" s="62" t="s">
        <v>861</v>
      </c>
      <c r="AH1024" s="1944" t="s">
        <v>1091</v>
      </c>
      <c r="AI1024" s="1944" t="s">
        <v>473</v>
      </c>
      <c r="AJ1024" s="2569">
        <v>5</v>
      </c>
      <c r="AK1024" s="2570"/>
      <c r="AL1024" s="2559">
        <f>+Q1024</f>
        <v>43916.353600000002</v>
      </c>
      <c r="AM1024" s="2560"/>
      <c r="AN1024" s="2559">
        <f t="shared" si="320"/>
        <v>219581.76800000001</v>
      </c>
      <c r="AO1024" s="2560"/>
    </row>
    <row r="1025" spans="1:41" ht="15.95" customHeight="1" x14ac:dyDescent="0.3">
      <c r="A1025" s="2663" t="s">
        <v>992</v>
      </c>
      <c r="B1025" s="2664"/>
      <c r="C1025" s="60"/>
      <c r="D1025" s="60"/>
      <c r="E1025" s="2680"/>
      <c r="F1025" s="2681"/>
      <c r="G1025" s="2576"/>
      <c r="H1025" s="2880"/>
      <c r="I1025" s="2576"/>
      <c r="J1025" s="2880"/>
      <c r="K1025" s="279"/>
      <c r="L1025" s="62" t="s">
        <v>534</v>
      </c>
      <c r="M1025" s="1944" t="s">
        <v>459</v>
      </c>
      <c r="N1025" s="1944" t="s">
        <v>809</v>
      </c>
      <c r="O1025" s="2569">
        <v>4</v>
      </c>
      <c r="P1025" s="2570"/>
      <c r="Q1025" s="2559">
        <v>149734</v>
      </c>
      <c r="R1025" s="2560"/>
      <c r="S1025" s="2559">
        <f t="shared" si="319"/>
        <v>598936</v>
      </c>
      <c r="T1025" s="2560"/>
      <c r="U1025" s="26"/>
      <c r="V1025" s="2663" t="s">
        <v>992</v>
      </c>
      <c r="W1025" s="2664"/>
      <c r="X1025" s="1945"/>
      <c r="Y1025" s="60"/>
      <c r="Z1025" s="1948"/>
      <c r="AA1025" s="1944"/>
      <c r="AB1025" s="2576"/>
      <c r="AC1025" s="2880"/>
      <c r="AD1025" s="2576"/>
      <c r="AE1025" s="2880"/>
      <c r="AF1025" s="279"/>
      <c r="AG1025" s="62" t="s">
        <v>534</v>
      </c>
      <c r="AH1025" s="1944" t="s">
        <v>459</v>
      </c>
      <c r="AI1025" s="1944" t="s">
        <v>809</v>
      </c>
      <c r="AJ1025" s="2569">
        <v>4</v>
      </c>
      <c r="AK1025" s="2570"/>
      <c r="AL1025" s="2559">
        <f>+Q1025</f>
        <v>149734</v>
      </c>
      <c r="AM1025" s="2560"/>
      <c r="AN1025" s="2559">
        <f t="shared" si="320"/>
        <v>598936</v>
      </c>
      <c r="AO1025" s="2560"/>
    </row>
    <row r="1026" spans="1:41" ht="15.95" customHeight="1" x14ac:dyDescent="0.35">
      <c r="A1026" s="2667" t="s">
        <v>993</v>
      </c>
      <c r="B1026" s="2668"/>
      <c r="C1026" s="1945"/>
      <c r="D1026" s="60"/>
      <c r="E1026" s="2680"/>
      <c r="F1026" s="2681"/>
      <c r="G1026" s="2576"/>
      <c r="H1026" s="2880"/>
      <c r="I1026" s="2565">
        <f>SUM(I1027:J1036)</f>
        <v>846000</v>
      </c>
      <c r="J1026" s="2892"/>
      <c r="K1026" s="279"/>
      <c r="L1026" s="1942" t="s">
        <v>535</v>
      </c>
      <c r="M1026" s="1944" t="s">
        <v>753</v>
      </c>
      <c r="N1026" s="1944" t="s">
        <v>809</v>
      </c>
      <c r="O1026" s="2569">
        <v>6</v>
      </c>
      <c r="P1026" s="2570"/>
      <c r="Q1026" s="2895">
        <v>188974</v>
      </c>
      <c r="R1026" s="2896"/>
      <c r="S1026" s="2559">
        <f t="shared" si="319"/>
        <v>1133844</v>
      </c>
      <c r="T1026" s="2560"/>
      <c r="U1026" s="26"/>
      <c r="V1026" s="2667" t="s">
        <v>993</v>
      </c>
      <c r="W1026" s="2668"/>
      <c r="X1026" s="1942"/>
      <c r="Y1026" s="60"/>
      <c r="Z1026" s="1948"/>
      <c r="AA1026" s="1944"/>
      <c r="AB1026" s="2576"/>
      <c r="AC1026" s="2650"/>
      <c r="AD1026" s="2565">
        <f>SUM(AD1027:AE1036)</f>
        <v>0</v>
      </c>
      <c r="AE1026" s="2892"/>
      <c r="AF1026" s="279"/>
      <c r="AG1026" s="1942" t="s">
        <v>535</v>
      </c>
      <c r="AH1026" s="1944" t="s">
        <v>753</v>
      </c>
      <c r="AI1026" s="1944" t="s">
        <v>809</v>
      </c>
      <c r="AJ1026" s="2569">
        <v>6</v>
      </c>
      <c r="AK1026" s="2570"/>
      <c r="AL1026" s="2559">
        <f>+Q1026</f>
        <v>188974</v>
      </c>
      <c r="AM1026" s="2560"/>
      <c r="AN1026" s="2559">
        <f t="shared" si="320"/>
        <v>1133844</v>
      </c>
      <c r="AO1026" s="2560"/>
    </row>
    <row r="1027" spans="1:41" ht="15.95" customHeight="1" x14ac:dyDescent="0.2">
      <c r="A1027" s="2663" t="s">
        <v>995</v>
      </c>
      <c r="B1027" s="2664"/>
      <c r="C1027" s="60"/>
      <c r="D1027" s="60"/>
      <c r="E1027" s="2569"/>
      <c r="F1027" s="2570"/>
      <c r="G1027" s="2883"/>
      <c r="H1027" s="2884"/>
      <c r="I1027" s="2559">
        <f t="shared" ref="I1027:I1036" si="321">E1027*G1027</f>
        <v>0</v>
      </c>
      <c r="J1027" s="2560"/>
      <c r="K1027" s="279"/>
      <c r="L1027" s="62" t="s">
        <v>537</v>
      </c>
      <c r="M1027" s="1944" t="s">
        <v>1670</v>
      </c>
      <c r="N1027" s="1944" t="s">
        <v>473</v>
      </c>
      <c r="O1027" s="2569">
        <v>4</v>
      </c>
      <c r="P1027" s="2570"/>
      <c r="Q1027" s="2559">
        <v>28583</v>
      </c>
      <c r="R1027" s="2560"/>
      <c r="S1027" s="2559">
        <f t="shared" si="319"/>
        <v>114332</v>
      </c>
      <c r="T1027" s="2560"/>
      <c r="U1027" s="26"/>
      <c r="V1027" s="2663" t="s">
        <v>995</v>
      </c>
      <c r="W1027" s="2664"/>
      <c r="X1027" s="1942"/>
      <c r="Y1027" s="60"/>
      <c r="Z1027" s="1937"/>
      <c r="AA1027" s="89"/>
      <c r="AB1027" s="2559"/>
      <c r="AC1027" s="2560"/>
      <c r="AD1027" s="2559"/>
      <c r="AE1027" s="2560"/>
      <c r="AF1027" s="279"/>
      <c r="AG1027" s="62" t="s">
        <v>537</v>
      </c>
      <c r="AH1027" s="1944" t="s">
        <v>566</v>
      </c>
      <c r="AI1027" s="1944" t="s">
        <v>473</v>
      </c>
      <c r="AJ1027" s="2569">
        <v>4</v>
      </c>
      <c r="AK1027" s="2570"/>
      <c r="AL1027" s="2559">
        <f>+Q1027</f>
        <v>28583</v>
      </c>
      <c r="AM1027" s="2560"/>
      <c r="AN1027" s="2559">
        <f t="shared" si="320"/>
        <v>114332</v>
      </c>
      <c r="AO1027" s="2560"/>
    </row>
    <row r="1028" spans="1:41" ht="15.95" customHeight="1" x14ac:dyDescent="0.3">
      <c r="A1028" s="2663" t="s">
        <v>996</v>
      </c>
      <c r="B1028" s="2664"/>
      <c r="C1028" s="60" t="s">
        <v>496</v>
      </c>
      <c r="D1028" s="60" t="s">
        <v>497</v>
      </c>
      <c r="E1028" s="2569">
        <v>6</v>
      </c>
      <c r="F1028" s="2570"/>
      <c r="G1028" s="2717">
        <v>47000</v>
      </c>
      <c r="H1028" s="2905">
        <f t="shared" ref="H1028" si="322">(36040*6%)+36040</f>
        <v>38202.400000000001</v>
      </c>
      <c r="I1028" s="2559">
        <f t="shared" si="321"/>
        <v>282000</v>
      </c>
      <c r="J1028" s="2560"/>
      <c r="K1028" s="279"/>
      <c r="L1028" s="62" t="s">
        <v>866</v>
      </c>
      <c r="M1028" s="1944" t="s">
        <v>1060</v>
      </c>
      <c r="N1028" s="1944" t="s">
        <v>452</v>
      </c>
      <c r="O1028" s="2569">
        <v>500</v>
      </c>
      <c r="P1028" s="2570"/>
      <c r="Q1028" s="2559">
        <f>191*1.0928</f>
        <v>208.72479999999999</v>
      </c>
      <c r="R1028" s="2560"/>
      <c r="S1028" s="2559">
        <f t="shared" si="319"/>
        <v>104362.4</v>
      </c>
      <c r="T1028" s="2560"/>
      <c r="U1028" s="26"/>
      <c r="V1028" s="2663" t="s">
        <v>996</v>
      </c>
      <c r="W1028" s="2664"/>
      <c r="X1028" s="1945"/>
      <c r="Y1028" s="60"/>
      <c r="Z1028" s="1937"/>
      <c r="AA1028" s="89"/>
      <c r="AB1028" s="2559"/>
      <c r="AC1028" s="2560"/>
      <c r="AD1028" s="2559">
        <f>Z1028*AB1028</f>
        <v>0</v>
      </c>
      <c r="AE1028" s="2560"/>
      <c r="AF1028" s="279"/>
      <c r="AG1028" s="62" t="s">
        <v>866</v>
      </c>
      <c r="AH1028" s="1944"/>
      <c r="AI1028" s="1944"/>
      <c r="AJ1028" s="1937"/>
      <c r="AK1028" s="89"/>
      <c r="AL1028" s="2559"/>
      <c r="AM1028" s="2560"/>
      <c r="AN1028" s="2559">
        <f t="shared" si="320"/>
        <v>0</v>
      </c>
      <c r="AO1028" s="2560"/>
    </row>
    <row r="1029" spans="1:41" ht="15.95" customHeight="1" x14ac:dyDescent="0.2">
      <c r="A1029" s="2663" t="s">
        <v>469</v>
      </c>
      <c r="B1029" s="2664"/>
      <c r="C1029" s="60"/>
      <c r="D1029" s="60"/>
      <c r="E1029" s="2569"/>
      <c r="F1029" s="2570"/>
      <c r="G1029" s="2559"/>
      <c r="H1029" s="2560"/>
      <c r="I1029" s="2559">
        <f t="shared" si="321"/>
        <v>0</v>
      </c>
      <c r="J1029" s="2560"/>
      <c r="K1029" s="279"/>
      <c r="L1029" s="62" t="s">
        <v>456</v>
      </c>
      <c r="M1029" s="1944" t="s">
        <v>1092</v>
      </c>
      <c r="N1029" s="1944" t="s">
        <v>809</v>
      </c>
      <c r="O1029" s="2569">
        <v>6</v>
      </c>
      <c r="P1029" s="2570"/>
      <c r="Q1029" s="2559">
        <f>42930*1.0928</f>
        <v>46913.904000000002</v>
      </c>
      <c r="R1029" s="2560"/>
      <c r="S1029" s="2559">
        <f t="shared" si="319"/>
        <v>281483.424</v>
      </c>
      <c r="T1029" s="2560"/>
      <c r="U1029" s="26"/>
      <c r="V1029" s="2663" t="s">
        <v>469</v>
      </c>
      <c r="W1029" s="2664"/>
      <c r="X1029" s="1945"/>
      <c r="Y1029" s="60"/>
      <c r="Z1029" s="1937"/>
      <c r="AA1029" s="89"/>
      <c r="AB1029" s="2559"/>
      <c r="AC1029" s="2560"/>
      <c r="AD1029" s="2559"/>
      <c r="AE1029" s="2560"/>
      <c r="AF1029" s="279"/>
      <c r="AG1029" s="62" t="s">
        <v>456</v>
      </c>
      <c r="AH1029" s="1944" t="s">
        <v>1092</v>
      </c>
      <c r="AI1029" s="1944" t="s">
        <v>809</v>
      </c>
      <c r="AJ1029" s="2569">
        <v>6</v>
      </c>
      <c r="AK1029" s="2570"/>
      <c r="AL1029" s="2559">
        <f>+Q1029</f>
        <v>46913.904000000002</v>
      </c>
      <c r="AM1029" s="2560"/>
      <c r="AN1029" s="2559">
        <f t="shared" si="320"/>
        <v>281483.424</v>
      </c>
      <c r="AO1029" s="2560"/>
    </row>
    <row r="1030" spans="1:41" ht="15.95" customHeight="1" x14ac:dyDescent="0.2">
      <c r="A1030" s="2663" t="s">
        <v>470</v>
      </c>
      <c r="B1030" s="2664"/>
      <c r="C1030" s="60"/>
      <c r="D1030" s="60"/>
      <c r="E1030" s="2569"/>
      <c r="F1030" s="2570"/>
      <c r="G1030" s="2559"/>
      <c r="H1030" s="2560"/>
      <c r="I1030" s="2559">
        <f t="shared" si="321"/>
        <v>0</v>
      </c>
      <c r="J1030" s="2560"/>
      <c r="K1030" s="279"/>
      <c r="L1030" s="62" t="s">
        <v>871</v>
      </c>
      <c r="M1030" s="1944"/>
      <c r="N1030" s="1944"/>
      <c r="O1030" s="1937"/>
      <c r="P1030" s="89"/>
      <c r="Q1030" s="2559"/>
      <c r="R1030" s="2560"/>
      <c r="S1030" s="2559">
        <f t="shared" si="319"/>
        <v>0</v>
      </c>
      <c r="T1030" s="2560"/>
      <c r="U1030" s="26"/>
      <c r="V1030" s="2663" t="s">
        <v>470</v>
      </c>
      <c r="W1030" s="2664"/>
      <c r="X1030" s="1945"/>
      <c r="Y1030" s="60"/>
      <c r="Z1030" s="1937"/>
      <c r="AA1030" s="89"/>
      <c r="AB1030" s="2559"/>
      <c r="AC1030" s="2560"/>
      <c r="AD1030" s="2559"/>
      <c r="AE1030" s="2560"/>
      <c r="AF1030" s="279"/>
      <c r="AG1030" s="62" t="s">
        <v>871</v>
      </c>
      <c r="AH1030" s="1944"/>
      <c r="AI1030" s="1944"/>
      <c r="AJ1030" s="1937"/>
      <c r="AK1030" s="89"/>
      <c r="AL1030" s="2559"/>
      <c r="AM1030" s="2560"/>
      <c r="AN1030" s="2559">
        <f t="shared" si="320"/>
        <v>0</v>
      </c>
      <c r="AO1030" s="2560"/>
    </row>
    <row r="1031" spans="1:41" ht="15.95" customHeight="1" x14ac:dyDescent="0.3">
      <c r="A1031" s="2663" t="s">
        <v>902</v>
      </c>
      <c r="B1031" s="2664"/>
      <c r="C1031" s="60" t="s">
        <v>496</v>
      </c>
      <c r="D1031" s="60" t="s">
        <v>497</v>
      </c>
      <c r="E1031" s="2569">
        <v>4</v>
      </c>
      <c r="F1031" s="2570"/>
      <c r="G1031" s="2717">
        <v>47000</v>
      </c>
      <c r="H1031" s="2905">
        <f t="shared" ref="H1031:H1032" si="323">(36040*6%)+36040</f>
        <v>38202.400000000001</v>
      </c>
      <c r="I1031" s="2559">
        <f t="shared" si="321"/>
        <v>188000</v>
      </c>
      <c r="J1031" s="2560"/>
      <c r="K1031" s="279"/>
      <c r="L1031" s="62" t="s">
        <v>1521</v>
      </c>
      <c r="M1031" s="1944"/>
      <c r="N1031" s="1944"/>
      <c r="O1031" s="1937"/>
      <c r="P1031" s="89"/>
      <c r="Q1031" s="2559"/>
      <c r="R1031" s="2560"/>
      <c r="S1031" s="2559">
        <f t="shared" si="319"/>
        <v>0</v>
      </c>
      <c r="T1031" s="2560"/>
      <c r="U1031" s="26"/>
      <c r="V1031" s="2663" t="s">
        <v>902</v>
      </c>
      <c r="W1031" s="2664"/>
      <c r="X1031" s="1942"/>
      <c r="Y1031" s="60"/>
      <c r="Z1031" s="1937"/>
      <c r="AA1031" s="89"/>
      <c r="AB1031" s="2559"/>
      <c r="AC1031" s="2819"/>
      <c r="AD1031" s="2559"/>
      <c r="AE1031" s="2560"/>
      <c r="AF1031" s="279"/>
      <c r="AG1031" s="62" t="s">
        <v>1521</v>
      </c>
      <c r="AH1031" s="1944"/>
      <c r="AI1031" s="1944"/>
      <c r="AJ1031" s="1937"/>
      <c r="AK1031" s="89"/>
      <c r="AL1031" s="2559"/>
      <c r="AM1031" s="2560"/>
      <c r="AN1031" s="2559">
        <f t="shared" si="320"/>
        <v>0</v>
      </c>
      <c r="AO1031" s="2560"/>
    </row>
    <row r="1032" spans="1:41" ht="15.95" customHeight="1" x14ac:dyDescent="0.3">
      <c r="A1032" s="2663" t="s">
        <v>998</v>
      </c>
      <c r="B1032" s="2664"/>
      <c r="C1032" s="60" t="s">
        <v>496</v>
      </c>
      <c r="D1032" s="60" t="s">
        <v>497</v>
      </c>
      <c r="E1032" s="2680">
        <v>8</v>
      </c>
      <c r="F1032" s="2681"/>
      <c r="G1032" s="2717">
        <v>47000</v>
      </c>
      <c r="H1032" s="2905">
        <f t="shared" si="323"/>
        <v>38202.400000000001</v>
      </c>
      <c r="I1032" s="2559">
        <f t="shared" si="321"/>
        <v>376000</v>
      </c>
      <c r="J1032" s="2560"/>
      <c r="K1032" s="279"/>
      <c r="L1032" s="62" t="s">
        <v>507</v>
      </c>
      <c r="M1032" s="1947"/>
      <c r="N1032" s="60"/>
      <c r="O1032" s="2569"/>
      <c r="P1032" s="2570"/>
      <c r="Q1032" s="2559"/>
      <c r="R1032" s="2560"/>
      <c r="S1032" s="2559">
        <f t="shared" si="319"/>
        <v>0</v>
      </c>
      <c r="T1032" s="2560"/>
      <c r="U1032" s="26"/>
      <c r="V1032" s="2663" t="s">
        <v>998</v>
      </c>
      <c r="W1032" s="2664"/>
      <c r="X1032" s="1945"/>
      <c r="Y1032" s="60"/>
      <c r="Z1032" s="1948"/>
      <c r="AA1032" s="1944"/>
      <c r="AB1032" s="2559"/>
      <c r="AC1032" s="2819"/>
      <c r="AD1032" s="2559">
        <f>+AB1032*Z1032</f>
        <v>0</v>
      </c>
      <c r="AE1032" s="2560"/>
      <c r="AF1032" s="279"/>
      <c r="AG1032" s="62" t="s">
        <v>507</v>
      </c>
      <c r="AH1032" s="1947" t="s">
        <v>1079</v>
      </c>
      <c r="AI1032" s="60" t="s">
        <v>497</v>
      </c>
      <c r="AJ1032" s="2569">
        <v>450</v>
      </c>
      <c r="AK1032" s="2570"/>
      <c r="AL1032" s="2559">
        <f>3413*1.0928</f>
        <v>3729.7264</v>
      </c>
      <c r="AM1032" s="2560"/>
      <c r="AN1032" s="2559">
        <f t="shared" si="320"/>
        <v>1678376.8800000001</v>
      </c>
      <c r="AO1032" s="2560"/>
    </row>
    <row r="1033" spans="1:41" ht="15.95" customHeight="1" x14ac:dyDescent="0.3">
      <c r="A1033" s="2663" t="s">
        <v>999</v>
      </c>
      <c r="B1033" s="2664"/>
      <c r="C1033" s="1945"/>
      <c r="D1033" s="60"/>
      <c r="E1033" s="1948"/>
      <c r="F1033" s="1944"/>
      <c r="G1033" s="2576"/>
      <c r="H1033" s="2650"/>
      <c r="I1033" s="2559">
        <f t="shared" si="321"/>
        <v>0</v>
      </c>
      <c r="J1033" s="2560"/>
      <c r="K1033" s="279"/>
      <c r="L1033" s="62" t="s">
        <v>739</v>
      </c>
      <c r="M1033" s="1944" t="s">
        <v>599</v>
      </c>
      <c r="N1033" s="1944" t="s">
        <v>497</v>
      </c>
      <c r="O1033" s="2569">
        <v>4</v>
      </c>
      <c r="P1033" s="2570"/>
      <c r="Q1033" s="2559">
        <f>12760*1.0928</f>
        <v>13944.128000000001</v>
      </c>
      <c r="R1033" s="2560"/>
      <c r="S1033" s="2559">
        <f t="shared" si="319"/>
        <v>55776.512000000002</v>
      </c>
      <c r="T1033" s="2560"/>
      <c r="U1033" s="26"/>
      <c r="V1033" s="2663" t="s">
        <v>999</v>
      </c>
      <c r="W1033" s="2664"/>
      <c r="X1033" s="1945"/>
      <c r="Y1033" s="60"/>
      <c r="Z1033" s="1948"/>
      <c r="AA1033" s="1944"/>
      <c r="AB1033" s="2559"/>
      <c r="AC1033" s="2819"/>
      <c r="AD1033" s="2559"/>
      <c r="AE1033" s="2560"/>
      <c r="AF1033" s="279"/>
      <c r="AG1033" s="62" t="s">
        <v>801</v>
      </c>
      <c r="AH1033" s="1944"/>
      <c r="AI1033" s="1944"/>
      <c r="AJ1033" s="2559"/>
      <c r="AK1033" s="2560"/>
      <c r="AL1033" s="2559"/>
      <c r="AM1033" s="2560"/>
      <c r="AN1033" s="2559">
        <f t="shared" si="320"/>
        <v>0</v>
      </c>
      <c r="AO1033" s="2560"/>
    </row>
    <row r="1034" spans="1:41" ht="15.95" customHeight="1" x14ac:dyDescent="0.3">
      <c r="A1034" s="2663" t="s">
        <v>873</v>
      </c>
      <c r="B1034" s="2664"/>
      <c r="C1034" s="60"/>
      <c r="D1034" s="60"/>
      <c r="E1034" s="2680"/>
      <c r="F1034" s="2681"/>
      <c r="G1034" s="2576"/>
      <c r="H1034" s="2650"/>
      <c r="I1034" s="2559">
        <f t="shared" si="321"/>
        <v>0</v>
      </c>
      <c r="J1034" s="2560"/>
      <c r="K1034" s="279"/>
      <c r="L1034" s="62" t="s">
        <v>575</v>
      </c>
      <c r="M1034" s="1944"/>
      <c r="N1034" s="1944" t="s">
        <v>452</v>
      </c>
      <c r="O1034" s="2569">
        <v>250</v>
      </c>
      <c r="P1034" s="2570"/>
      <c r="Q1034" s="2559">
        <f>5005*1.0928</f>
        <v>5469.4639999999999</v>
      </c>
      <c r="R1034" s="2560"/>
      <c r="S1034" s="2559">
        <f t="shared" si="319"/>
        <v>1367366</v>
      </c>
      <c r="T1034" s="2560"/>
      <c r="U1034" s="26"/>
      <c r="V1034" s="2663" t="s">
        <v>1671</v>
      </c>
      <c r="W1034" s="2664"/>
      <c r="X1034" s="60"/>
      <c r="Y1034" s="60"/>
      <c r="Z1034" s="2680"/>
      <c r="AA1034" s="2681"/>
      <c r="AB1034" s="2559"/>
      <c r="AC1034" s="2819"/>
      <c r="AD1034" s="2559">
        <f>+AB1034*Z1034</f>
        <v>0</v>
      </c>
      <c r="AE1034" s="2560"/>
      <c r="AF1034" s="279"/>
      <c r="AG1034" s="62" t="s">
        <v>575</v>
      </c>
      <c r="AH1034" s="188"/>
      <c r="AI1034" s="170"/>
      <c r="AJ1034" s="2559"/>
      <c r="AK1034" s="2560"/>
      <c r="AL1034" s="2559"/>
      <c r="AM1034" s="2560"/>
      <c r="AN1034" s="2559">
        <f t="shared" si="320"/>
        <v>0</v>
      </c>
      <c r="AO1034" s="2560"/>
    </row>
    <row r="1035" spans="1:41" ht="15.95" customHeight="1" x14ac:dyDescent="0.3">
      <c r="A1035" s="2663" t="s">
        <v>1000</v>
      </c>
      <c r="B1035" s="2664"/>
      <c r="C1035" s="1945"/>
      <c r="D1035" s="60"/>
      <c r="E1035" s="1948"/>
      <c r="F1035" s="1944"/>
      <c r="G1035" s="2576"/>
      <c r="H1035" s="2650"/>
      <c r="I1035" s="2559">
        <f t="shared" si="321"/>
        <v>0</v>
      </c>
      <c r="J1035" s="2560"/>
      <c r="K1035" s="279"/>
      <c r="L1035" s="62" t="s">
        <v>719</v>
      </c>
      <c r="M1035" s="1944" t="s">
        <v>1088</v>
      </c>
      <c r="N1035" s="1944" t="s">
        <v>497</v>
      </c>
      <c r="O1035" s="2569">
        <v>400</v>
      </c>
      <c r="P1035" s="2570"/>
      <c r="Q1035" s="2559">
        <f>3552*1.0928</f>
        <v>3881.6255999999998</v>
      </c>
      <c r="R1035" s="2560"/>
      <c r="S1035" s="2559">
        <f t="shared" si="319"/>
        <v>1552650.24</v>
      </c>
      <c r="T1035" s="2560"/>
      <c r="U1035" s="26"/>
      <c r="V1035" s="2663" t="s">
        <v>1000</v>
      </c>
      <c r="W1035" s="2664"/>
      <c r="X1035" s="1945"/>
      <c r="Y1035" s="60"/>
      <c r="Z1035" s="1948"/>
      <c r="AA1035" s="1944"/>
      <c r="AB1035" s="2559"/>
      <c r="AC1035" s="2819"/>
      <c r="AD1035" s="2559">
        <f>+AB1035*Z1035</f>
        <v>0</v>
      </c>
      <c r="AE1035" s="2560"/>
      <c r="AF1035" s="279"/>
      <c r="AG1035" s="62" t="s">
        <v>874</v>
      </c>
      <c r="AH1035" s="188"/>
      <c r="AI1035" s="170"/>
      <c r="AJ1035" s="2559"/>
      <c r="AK1035" s="2560"/>
      <c r="AL1035" s="2559"/>
      <c r="AM1035" s="2560"/>
      <c r="AN1035" s="2559">
        <f t="shared" si="320"/>
        <v>0</v>
      </c>
      <c r="AO1035" s="2560"/>
    </row>
    <row r="1036" spans="1:41" ht="15.95" customHeight="1" x14ac:dyDescent="0.3">
      <c r="A1036" s="2663" t="s">
        <v>504</v>
      </c>
      <c r="B1036" s="2664"/>
      <c r="C1036" s="1945"/>
      <c r="D1036" s="60"/>
      <c r="E1036" s="1948"/>
      <c r="F1036" s="1944"/>
      <c r="G1036" s="2576"/>
      <c r="H1036" s="2650"/>
      <c r="I1036" s="2559">
        <f t="shared" si="321"/>
        <v>0</v>
      </c>
      <c r="J1036" s="2560"/>
      <c r="K1036" s="279"/>
      <c r="L1036" s="75" t="s">
        <v>515</v>
      </c>
      <c r="M1036" s="60" t="s">
        <v>600</v>
      </c>
      <c r="N1036" s="60" t="s">
        <v>497</v>
      </c>
      <c r="O1036" s="2569">
        <v>200</v>
      </c>
      <c r="P1036" s="2570"/>
      <c r="Q1036" s="2643">
        <f>5056*1.0928</f>
        <v>5525.1967999999997</v>
      </c>
      <c r="R1036" s="2643"/>
      <c r="S1036" s="2559">
        <f t="shared" si="319"/>
        <v>1105039.3599999999</v>
      </c>
      <c r="T1036" s="2560"/>
      <c r="U1036" s="26"/>
      <c r="V1036" s="2663" t="s">
        <v>504</v>
      </c>
      <c r="W1036" s="2664"/>
      <c r="X1036" s="1945"/>
      <c r="Y1036" s="60"/>
      <c r="Z1036" s="1948"/>
      <c r="AA1036" s="1944"/>
      <c r="AB1036" s="2559"/>
      <c r="AC1036" s="2819"/>
      <c r="AD1036" s="2559"/>
      <c r="AE1036" s="2560"/>
      <c r="AF1036" s="279"/>
      <c r="AG1036" s="75" t="s">
        <v>515</v>
      </c>
      <c r="AH1036" s="197"/>
      <c r="AI1036" s="120"/>
      <c r="AJ1036" s="2643"/>
      <c r="AK1036" s="2643"/>
      <c r="AL1036" s="2643"/>
      <c r="AM1036" s="2643"/>
      <c r="AN1036" s="2559">
        <f t="shared" si="320"/>
        <v>0</v>
      </c>
      <c r="AO1036" s="2560"/>
    </row>
    <row r="1037" spans="1:41" ht="15.95" customHeight="1" x14ac:dyDescent="0.35">
      <c r="A1037" s="2667" t="s">
        <v>1001</v>
      </c>
      <c r="B1037" s="2668"/>
      <c r="C1037" s="1945"/>
      <c r="D1037" s="60"/>
      <c r="E1037" s="1948"/>
      <c r="F1037" s="1944"/>
      <c r="G1037" s="2576"/>
      <c r="H1037" s="2650"/>
      <c r="I1037" s="2565">
        <f>SUM(I1038:J1055)</f>
        <v>1410000</v>
      </c>
      <c r="J1037" s="2892"/>
      <c r="K1037" s="279"/>
      <c r="L1037" s="75" t="s">
        <v>805</v>
      </c>
      <c r="M1037" s="1946"/>
      <c r="N1037" s="60"/>
      <c r="O1037" s="1937"/>
      <c r="P1037" s="89"/>
      <c r="Q1037" s="2643"/>
      <c r="R1037" s="2643"/>
      <c r="S1037" s="2643">
        <f>300000*1.0928</f>
        <v>327840</v>
      </c>
      <c r="T1037" s="2643"/>
      <c r="U1037" s="123"/>
      <c r="V1037" s="2667" t="s">
        <v>1001</v>
      </c>
      <c r="W1037" s="2668"/>
      <c r="X1037" s="1945"/>
      <c r="Y1037" s="60"/>
      <c r="Z1037" s="1948"/>
      <c r="AA1037" s="1944"/>
      <c r="AB1037" s="2559"/>
      <c r="AC1037" s="2819"/>
      <c r="AD1037" s="2565">
        <f>SUM(AD1038:AE1055)</f>
        <v>1175000</v>
      </c>
      <c r="AE1037" s="2892"/>
      <c r="AF1037" s="279"/>
      <c r="AG1037" s="75" t="s">
        <v>805</v>
      </c>
      <c r="AH1037" s="197"/>
      <c r="AI1037" s="120"/>
      <c r="AJ1037" s="2643"/>
      <c r="AK1037" s="2643"/>
      <c r="AL1037" s="2643"/>
      <c r="AM1037" s="2643"/>
      <c r="AN1037" s="2643"/>
      <c r="AO1037" s="2643"/>
    </row>
    <row r="1038" spans="1:41" ht="15.95" customHeight="1" x14ac:dyDescent="0.3">
      <c r="A1038" s="2663" t="s">
        <v>852</v>
      </c>
      <c r="B1038" s="2664"/>
      <c r="C1038" s="60" t="s">
        <v>496</v>
      </c>
      <c r="D1038" s="60" t="s">
        <v>497</v>
      </c>
      <c r="E1038" s="2569">
        <v>5</v>
      </c>
      <c r="F1038" s="2570"/>
      <c r="G1038" s="2717">
        <v>47000</v>
      </c>
      <c r="H1038" s="2905">
        <f t="shared" ref="H1038" si="324">(36040*6%)+36040</f>
        <v>38202.400000000001</v>
      </c>
      <c r="I1038" s="2559">
        <f t="shared" ref="I1038:I1055" si="325">E1038*G1038</f>
        <v>235000</v>
      </c>
      <c r="J1038" s="2560"/>
      <c r="K1038" s="279"/>
      <c r="L1038" s="199" t="s">
        <v>876</v>
      </c>
      <c r="M1038" s="53"/>
      <c r="N1038" s="200"/>
      <c r="O1038" s="2893"/>
      <c r="P1038" s="2893"/>
      <c r="Q1038" s="2893"/>
      <c r="R1038" s="2893"/>
      <c r="S1038" s="2894">
        <f>SUM(S1020:T1037)</f>
        <v>7307004.9568000007</v>
      </c>
      <c r="T1038" s="2894"/>
      <c r="U1038" s="125"/>
      <c r="V1038" s="2663" t="s">
        <v>852</v>
      </c>
      <c r="W1038" s="2664"/>
      <c r="X1038" s="1945"/>
      <c r="Y1038" s="60"/>
      <c r="Z1038" s="1937"/>
      <c r="AA1038" s="89"/>
      <c r="AB1038" s="2559"/>
      <c r="AC1038" s="2560"/>
      <c r="AD1038" s="2559"/>
      <c r="AE1038" s="2560"/>
      <c r="AF1038" s="279"/>
      <c r="AG1038" s="199" t="s">
        <v>876</v>
      </c>
      <c r="AH1038" s="53"/>
      <c r="AI1038" s="200"/>
      <c r="AJ1038" s="2893"/>
      <c r="AK1038" s="2893"/>
      <c r="AL1038" s="2893"/>
      <c r="AM1038" s="2893"/>
      <c r="AN1038" s="2894">
        <f>SUM(AN1020:AO1036)</f>
        <v>4373544.2992000002</v>
      </c>
      <c r="AO1038" s="2894"/>
    </row>
    <row r="1039" spans="1:41" ht="15.95" customHeight="1" x14ac:dyDescent="0.2">
      <c r="A1039" s="2663" t="s">
        <v>495</v>
      </c>
      <c r="B1039" s="2664"/>
      <c r="C1039" s="60"/>
      <c r="D1039" s="60"/>
      <c r="E1039" s="2569"/>
      <c r="F1039" s="2570"/>
      <c r="G1039" s="2883"/>
      <c r="H1039" s="2884"/>
      <c r="I1039" s="2559">
        <f t="shared" si="325"/>
        <v>0</v>
      </c>
      <c r="J1039" s="2560"/>
      <c r="K1039" s="279"/>
      <c r="L1039" s="148"/>
      <c r="M1039" s="197"/>
      <c r="N1039" s="120"/>
      <c r="O1039" s="2643"/>
      <c r="P1039" s="2643"/>
      <c r="Q1039" s="2643"/>
      <c r="R1039" s="2643"/>
      <c r="S1039" s="2643"/>
      <c r="T1039" s="2643"/>
      <c r="U1039" s="123"/>
      <c r="V1039" s="2663" t="s">
        <v>495</v>
      </c>
      <c r="W1039" s="2664"/>
      <c r="X1039" s="1945"/>
      <c r="Y1039" s="60"/>
      <c r="Z1039" s="1937"/>
      <c r="AA1039" s="89"/>
      <c r="AB1039" s="2559"/>
      <c r="AC1039" s="2560"/>
      <c r="AD1039" s="2559"/>
      <c r="AE1039" s="2560"/>
      <c r="AF1039" s="279"/>
      <c r="AG1039" s="148"/>
      <c r="AH1039" s="197"/>
      <c r="AI1039" s="120"/>
      <c r="AJ1039" s="2643"/>
      <c r="AK1039" s="2643"/>
      <c r="AL1039" s="2643"/>
      <c r="AM1039" s="2643"/>
      <c r="AN1039" s="2643"/>
      <c r="AO1039" s="2643"/>
    </row>
    <row r="1040" spans="1:41" ht="15.95" customHeight="1" x14ac:dyDescent="0.3">
      <c r="A1040" s="2663" t="s">
        <v>1003</v>
      </c>
      <c r="B1040" s="2664"/>
      <c r="C1040" s="60"/>
      <c r="D1040" s="60"/>
      <c r="E1040" s="1948"/>
      <c r="F1040" s="1944"/>
      <c r="G1040" s="2576"/>
      <c r="H1040" s="2880"/>
      <c r="I1040" s="2559">
        <f t="shared" si="325"/>
        <v>0</v>
      </c>
      <c r="J1040" s="2560"/>
      <c r="K1040" s="279"/>
      <c r="L1040" s="282" t="s">
        <v>806</v>
      </c>
      <c r="M1040" s="145"/>
      <c r="N1040" s="145"/>
      <c r="O1040" s="2890"/>
      <c r="P1040" s="2890"/>
      <c r="Q1040" s="2890"/>
      <c r="R1040" s="2890"/>
      <c r="S1040" s="2890"/>
      <c r="T1040" s="2891"/>
      <c r="U1040" s="26"/>
      <c r="V1040" s="2663" t="s">
        <v>1003</v>
      </c>
      <c r="W1040" s="2664"/>
      <c r="X1040" s="1945"/>
      <c r="Y1040" s="60"/>
      <c r="Z1040" s="1948"/>
      <c r="AA1040" s="1944"/>
      <c r="AB1040" s="2559"/>
      <c r="AC1040" s="2819"/>
      <c r="AD1040" s="2559">
        <f>+AB1040*Z1040</f>
        <v>0</v>
      </c>
      <c r="AE1040" s="2560"/>
      <c r="AF1040" s="279"/>
      <c r="AG1040" s="282" t="s">
        <v>806</v>
      </c>
      <c r="AH1040" s="145"/>
      <c r="AI1040" s="145"/>
      <c r="AJ1040" s="2890"/>
      <c r="AK1040" s="2890"/>
      <c r="AL1040" s="2890"/>
      <c r="AM1040" s="2890"/>
      <c r="AN1040" s="2890"/>
      <c r="AO1040" s="2891"/>
    </row>
    <row r="1041" spans="1:41" ht="15.95" customHeight="1" x14ac:dyDescent="0.3">
      <c r="A1041" s="2663" t="s">
        <v>1004</v>
      </c>
      <c r="B1041" s="2664"/>
      <c r="C1041" s="1945"/>
      <c r="D1041" s="60"/>
      <c r="E1041" s="1948"/>
      <c r="F1041" s="1944"/>
      <c r="G1041" s="2576"/>
      <c r="H1041" s="2880"/>
      <c r="I1041" s="2559">
        <f t="shared" si="325"/>
        <v>0</v>
      </c>
      <c r="J1041" s="2560"/>
      <c r="K1041" s="279"/>
      <c r="L1041" s="148" t="s">
        <v>1005</v>
      </c>
      <c r="M1041" s="270">
        <v>0.05</v>
      </c>
      <c r="N1041" s="45"/>
      <c r="O1041" s="2575"/>
      <c r="P1041" s="2575"/>
      <c r="Q1041" s="2575"/>
      <c r="R1041" s="2575"/>
      <c r="S1041" s="2575">
        <f>+(S1038+I1063)*0.05</f>
        <v>539354.45084000006</v>
      </c>
      <c r="T1041" s="2560"/>
      <c r="U1041" s="26"/>
      <c r="V1041" s="2663" t="s">
        <v>1004</v>
      </c>
      <c r="W1041" s="2664"/>
      <c r="X1041" s="1945"/>
      <c r="Y1041" s="60"/>
      <c r="Z1041" s="1948"/>
      <c r="AA1041" s="1944"/>
      <c r="AB1041" s="2559"/>
      <c r="AC1041" s="2819"/>
      <c r="AD1041" s="2559"/>
      <c r="AE1041" s="2560"/>
      <c r="AF1041" s="279"/>
      <c r="AG1041" s="148" t="s">
        <v>1005</v>
      </c>
      <c r="AH1041" s="283" t="s">
        <v>1042</v>
      </c>
      <c r="AI1041" s="45"/>
      <c r="AJ1041" s="2575"/>
      <c r="AK1041" s="2575"/>
      <c r="AL1041" s="2575"/>
      <c r="AM1041" s="2575"/>
      <c r="AN1041" s="2575">
        <f>+(AN1038+AD1063)*0.05</f>
        <v>382600.42977176473</v>
      </c>
      <c r="AO1041" s="2560"/>
    </row>
    <row r="1042" spans="1:41" ht="15.95" customHeight="1" x14ac:dyDescent="0.3">
      <c r="A1042" s="2663" t="s">
        <v>1006</v>
      </c>
      <c r="B1042" s="2664"/>
      <c r="C1042" s="1945"/>
      <c r="D1042" s="60"/>
      <c r="E1042" s="1948"/>
      <c r="F1042" s="1944"/>
      <c r="G1042" s="2576"/>
      <c r="H1042" s="2880"/>
      <c r="I1042" s="2559">
        <f t="shared" si="325"/>
        <v>0</v>
      </c>
      <c r="J1042" s="2560"/>
      <c r="K1042" s="279"/>
      <c r="L1042" s="151" t="s">
        <v>527</v>
      </c>
      <c r="M1042" s="45"/>
      <c r="N1042" s="45"/>
      <c r="O1042" s="2575"/>
      <c r="P1042" s="2575"/>
      <c r="Q1042" s="2575"/>
      <c r="R1042" s="2575"/>
      <c r="S1042" s="2575">
        <f>150000*1.0928</f>
        <v>163920</v>
      </c>
      <c r="T1042" s="2560"/>
      <c r="U1042" s="26"/>
      <c r="V1042" s="2663" t="s">
        <v>1006</v>
      </c>
      <c r="W1042" s="2664"/>
      <c r="X1042" s="1945"/>
      <c r="Y1042" s="60"/>
      <c r="Z1042" s="1948"/>
      <c r="AA1042" s="1944"/>
      <c r="AB1042" s="2559"/>
      <c r="AC1042" s="2819"/>
      <c r="AD1042" s="2559"/>
      <c r="AE1042" s="2560"/>
      <c r="AF1042" s="279"/>
      <c r="AG1042" s="151" t="s">
        <v>527</v>
      </c>
      <c r="AH1042" s="45"/>
      <c r="AI1042" s="45"/>
      <c r="AJ1042" s="2575"/>
      <c r="AK1042" s="2575"/>
      <c r="AL1042" s="2575"/>
      <c r="AM1042" s="2575"/>
      <c r="AN1042" s="2575">
        <f>100000*1.0928</f>
        <v>109280</v>
      </c>
      <c r="AO1042" s="2560"/>
    </row>
    <row r="1043" spans="1:41" ht="15.95" customHeight="1" x14ac:dyDescent="0.3">
      <c r="A1043" s="2663" t="s">
        <v>1007</v>
      </c>
      <c r="B1043" s="2664"/>
      <c r="C1043" s="1945"/>
      <c r="D1043" s="60"/>
      <c r="E1043" s="1948"/>
      <c r="F1043" s="1944"/>
      <c r="G1043" s="2576"/>
      <c r="H1043" s="2880"/>
      <c r="I1043" s="2559">
        <f t="shared" si="325"/>
        <v>0</v>
      </c>
      <c r="J1043" s="2560"/>
      <c r="K1043" s="279"/>
      <c r="L1043" s="152" t="s">
        <v>529</v>
      </c>
      <c r="M1043" s="45"/>
      <c r="N1043" s="45"/>
      <c r="O1043" s="2575"/>
      <c r="P1043" s="2575"/>
      <c r="Q1043" s="2575"/>
      <c r="R1043" s="2575"/>
      <c r="S1043" s="2575">
        <f>450000*1.0928</f>
        <v>491760</v>
      </c>
      <c r="T1043" s="2560"/>
      <c r="U1043" s="26"/>
      <c r="V1043" s="2663" t="s">
        <v>1007</v>
      </c>
      <c r="W1043" s="2664"/>
      <c r="X1043" s="1945"/>
      <c r="Y1043" s="60"/>
      <c r="Z1043" s="1948"/>
      <c r="AA1043" s="1944"/>
      <c r="AB1043" s="2559"/>
      <c r="AC1043" s="2819"/>
      <c r="AD1043" s="2559"/>
      <c r="AE1043" s="2560"/>
      <c r="AF1043" s="279"/>
      <c r="AG1043" s="152" t="s">
        <v>529</v>
      </c>
      <c r="AH1043" s="45"/>
      <c r="AI1043" s="45"/>
      <c r="AJ1043" s="2575"/>
      <c r="AK1043" s="2575"/>
      <c r="AL1043" s="2575"/>
      <c r="AM1043" s="2575"/>
      <c r="AN1043" s="2575">
        <f>400000*1.0928</f>
        <v>437120</v>
      </c>
      <c r="AO1043" s="2560"/>
    </row>
    <row r="1044" spans="1:41" ht="15.95" customHeight="1" x14ac:dyDescent="0.3">
      <c r="A1044" s="2663" t="s">
        <v>1008</v>
      </c>
      <c r="B1044" s="2664"/>
      <c r="C1044" s="60"/>
      <c r="D1044" s="60"/>
      <c r="E1044" s="1948"/>
      <c r="F1044" s="1944"/>
      <c r="G1044" s="2576"/>
      <c r="H1044" s="2880"/>
      <c r="I1044" s="2559">
        <f t="shared" si="325"/>
        <v>0</v>
      </c>
      <c r="J1044" s="2560"/>
      <c r="K1044" s="279"/>
      <c r="L1044" s="152" t="s">
        <v>726</v>
      </c>
      <c r="M1044" s="45"/>
      <c r="N1044" s="45"/>
      <c r="O1044" s="2575"/>
      <c r="P1044" s="2575"/>
      <c r="Q1044" s="2575"/>
      <c r="R1044" s="2575"/>
      <c r="S1044" s="2575">
        <f>(I1063+S1038)*5%</f>
        <v>539354.45084000006</v>
      </c>
      <c r="T1044" s="2560"/>
      <c r="U1044" s="26"/>
      <c r="V1044" s="2663" t="s">
        <v>1672</v>
      </c>
      <c r="W1044" s="2664"/>
      <c r="X1044" s="60"/>
      <c r="Y1044" s="60"/>
      <c r="Z1044" s="2680"/>
      <c r="AA1044" s="2681"/>
      <c r="AB1044" s="2559"/>
      <c r="AC1044" s="2819"/>
      <c r="AD1044" s="2559"/>
      <c r="AE1044" s="2560"/>
      <c r="AF1044" s="279"/>
      <c r="AG1044" s="152" t="s">
        <v>726</v>
      </c>
      <c r="AH1044" s="45"/>
      <c r="AI1044" s="45"/>
      <c r="AJ1044" s="2575"/>
      <c r="AK1044" s="2575"/>
      <c r="AL1044" s="2575"/>
      <c r="AM1044" s="2575"/>
      <c r="AN1044" s="2575">
        <f>(AN1038+AD1063)*0.05</f>
        <v>382600.42977176473</v>
      </c>
      <c r="AO1044" s="2560"/>
    </row>
    <row r="1045" spans="1:41" ht="15.95" customHeight="1" x14ac:dyDescent="0.3">
      <c r="A1045" s="2663" t="s">
        <v>1009</v>
      </c>
      <c r="B1045" s="2664"/>
      <c r="C1045" s="60" t="s">
        <v>496</v>
      </c>
      <c r="D1045" s="60" t="s">
        <v>497</v>
      </c>
      <c r="E1045" s="2569">
        <v>5</v>
      </c>
      <c r="F1045" s="2570"/>
      <c r="G1045" s="2717">
        <v>47000</v>
      </c>
      <c r="H1045" s="2905">
        <f t="shared" ref="H1045" si="326">(36040*6%)+36040</f>
        <v>38202.400000000001</v>
      </c>
      <c r="I1045" s="2559">
        <f t="shared" si="325"/>
        <v>235000</v>
      </c>
      <c r="J1045" s="2560"/>
      <c r="K1045" s="279"/>
      <c r="L1045" s="166" t="s">
        <v>504</v>
      </c>
      <c r="M1045" s="155"/>
      <c r="N1045" s="155"/>
      <c r="O1045" s="2557"/>
      <c r="P1045" s="2557"/>
      <c r="Q1045" s="2557"/>
      <c r="R1045" s="2557"/>
      <c r="S1045" s="2557">
        <f>100000*1.0928</f>
        <v>109280</v>
      </c>
      <c r="T1045" s="2558"/>
      <c r="U1045" s="26"/>
      <c r="V1045" s="2663" t="s">
        <v>1009</v>
      </c>
      <c r="W1045" s="2664"/>
      <c r="X1045" s="60" t="s">
        <v>496</v>
      </c>
      <c r="Y1045" s="60" t="s">
        <v>497</v>
      </c>
      <c r="Z1045" s="2680">
        <v>5</v>
      </c>
      <c r="AA1045" s="2681"/>
      <c r="AB1045" s="2559">
        <v>47000</v>
      </c>
      <c r="AC1045" s="2560">
        <f t="shared" ref="AC1045" si="327">(36040*6%)+36040</f>
        <v>38202.400000000001</v>
      </c>
      <c r="AD1045" s="2559">
        <f>+AB1045*Z1045</f>
        <v>235000</v>
      </c>
      <c r="AE1045" s="2560"/>
      <c r="AF1045" s="279"/>
      <c r="AG1045" s="166" t="s">
        <v>504</v>
      </c>
      <c r="AH1045" s="155"/>
      <c r="AI1045" s="155"/>
      <c r="AJ1045" s="2557"/>
      <c r="AK1045" s="2557"/>
      <c r="AL1045" s="2557"/>
      <c r="AM1045" s="2557"/>
      <c r="AN1045" s="2888">
        <f>10000*1.0928</f>
        <v>10928</v>
      </c>
      <c r="AO1045" s="2889"/>
    </row>
    <row r="1046" spans="1:41" ht="15.95" customHeight="1" x14ac:dyDescent="0.3">
      <c r="A1046" s="2663" t="s">
        <v>1522</v>
      </c>
      <c r="B1046" s="2664"/>
      <c r="C1046" s="60"/>
      <c r="D1046" s="60"/>
      <c r="E1046" s="2680"/>
      <c r="F1046" s="2681"/>
      <c r="G1046" s="2576"/>
      <c r="H1046" s="2650"/>
      <c r="I1046" s="2559">
        <f t="shared" si="325"/>
        <v>0</v>
      </c>
      <c r="J1046" s="2560"/>
      <c r="K1046" s="279"/>
      <c r="L1046" s="156" t="s">
        <v>533</v>
      </c>
      <c r="M1046" s="201"/>
      <c r="N1046" s="201"/>
      <c r="O1046" s="2885"/>
      <c r="P1046" s="2885"/>
      <c r="Q1046" s="2886"/>
      <c r="R1046" s="2886"/>
      <c r="S1046" s="2887">
        <f>SUM(S1041:T1045)</f>
        <v>1843668.9016800001</v>
      </c>
      <c r="T1046" s="2887"/>
      <c r="U1046" s="271"/>
      <c r="V1046" s="2663" t="s">
        <v>1566</v>
      </c>
      <c r="W1046" s="2664"/>
      <c r="X1046" s="60"/>
      <c r="Y1046" s="60"/>
      <c r="Z1046" s="2680"/>
      <c r="AA1046" s="2681"/>
      <c r="AB1046" s="2559"/>
      <c r="AC1046" s="2560"/>
      <c r="AD1046" s="2559">
        <f>+AB1046*Z1046</f>
        <v>0</v>
      </c>
      <c r="AE1046" s="2560"/>
      <c r="AF1046" s="279"/>
      <c r="AG1046" s="156" t="s">
        <v>533</v>
      </c>
      <c r="AH1046" s="201"/>
      <c r="AI1046" s="201"/>
      <c r="AJ1046" s="2885"/>
      <c r="AK1046" s="2885"/>
      <c r="AL1046" s="2886"/>
      <c r="AM1046" s="2886"/>
      <c r="AN1046" s="2887">
        <f>SUM(AN1041:AO1045)</f>
        <v>1322528.8595435293</v>
      </c>
      <c r="AO1046" s="2887"/>
    </row>
    <row r="1047" spans="1:41" ht="15.95" customHeight="1" x14ac:dyDescent="0.3">
      <c r="A1047" s="2663" t="s">
        <v>1560</v>
      </c>
      <c r="B1047" s="2664"/>
      <c r="C1047" s="60"/>
      <c r="D1047" s="60"/>
      <c r="E1047" s="2680"/>
      <c r="F1047" s="2681"/>
      <c r="G1047" s="2895"/>
      <c r="H1047" s="2896"/>
      <c r="I1047" s="2559">
        <f t="shared" si="325"/>
        <v>0</v>
      </c>
      <c r="J1047" s="2560"/>
      <c r="K1047" s="279"/>
      <c r="L1047" s="159"/>
      <c r="M1047" s="45"/>
      <c r="N1047" s="45"/>
      <c r="O1047" s="2575"/>
      <c r="P1047" s="2575"/>
      <c r="Q1047" s="2575"/>
      <c r="R1047" s="2575"/>
      <c r="S1047" s="2575"/>
      <c r="T1047" s="2560"/>
      <c r="U1047" s="26"/>
      <c r="V1047" s="2663" t="s">
        <v>1011</v>
      </c>
      <c r="W1047" s="2664"/>
      <c r="X1047" s="60"/>
      <c r="Y1047" s="60"/>
      <c r="Z1047" s="1948"/>
      <c r="AA1047" s="1944"/>
      <c r="AB1047" s="2559"/>
      <c r="AC1047" s="2819"/>
      <c r="AD1047" s="2559"/>
      <c r="AE1047" s="2560"/>
      <c r="AF1047" s="279"/>
      <c r="AG1047" s="159"/>
      <c r="AH1047" s="45"/>
      <c r="AI1047" s="45"/>
      <c r="AJ1047" s="2575"/>
      <c r="AK1047" s="2575"/>
      <c r="AL1047" s="2575"/>
      <c r="AM1047" s="2575"/>
      <c r="AN1047" s="2575"/>
      <c r="AO1047" s="2560"/>
    </row>
    <row r="1048" spans="1:41" ht="15.95" customHeight="1" thickBot="1" x14ac:dyDescent="0.35">
      <c r="A1048" s="2663" t="s">
        <v>1523</v>
      </c>
      <c r="B1048" s="2664"/>
      <c r="C1048" s="60"/>
      <c r="D1048" s="60"/>
      <c r="E1048" s="2680"/>
      <c r="F1048" s="2681"/>
      <c r="G1048" s="2576"/>
      <c r="H1048" s="2650"/>
      <c r="I1048" s="2559">
        <f t="shared" si="325"/>
        <v>0</v>
      </c>
      <c r="J1048" s="2560"/>
      <c r="K1048" s="279"/>
      <c r="L1048" s="160" t="s">
        <v>583</v>
      </c>
      <c r="M1048" s="205"/>
      <c r="N1048" s="205"/>
      <c r="O1048" s="205"/>
      <c r="P1048" s="205"/>
      <c r="Q1048" s="161"/>
      <c r="R1048" s="161"/>
      <c r="S1048" s="2580">
        <f>SUM(S1046+S1038+I1063)</f>
        <v>12630757.918480001</v>
      </c>
      <c r="T1048" s="2581"/>
      <c r="U1048" s="271"/>
      <c r="V1048" s="2663" t="s">
        <v>1523</v>
      </c>
      <c r="W1048" s="2664"/>
      <c r="X1048" s="60"/>
      <c r="Y1048" s="60"/>
      <c r="Z1048" s="2680"/>
      <c r="AA1048" s="2681"/>
      <c r="AB1048" s="2559"/>
      <c r="AC1048" s="2819"/>
      <c r="AD1048" s="2559"/>
      <c r="AE1048" s="2560"/>
      <c r="AF1048" s="279"/>
      <c r="AG1048" s="160" t="s">
        <v>583</v>
      </c>
      <c r="AH1048" s="205"/>
      <c r="AI1048" s="205"/>
      <c r="AJ1048" s="205"/>
      <c r="AK1048" s="205"/>
      <c r="AL1048" s="161"/>
      <c r="AM1048" s="161"/>
      <c r="AN1048" s="2580">
        <f>SUM(AN1046+AN1038+AD1063)</f>
        <v>8974537.4549788237</v>
      </c>
      <c r="AO1048" s="2581"/>
    </row>
    <row r="1049" spans="1:41" ht="15.95" customHeight="1" x14ac:dyDescent="0.3">
      <c r="A1049" s="2663" t="s">
        <v>1018</v>
      </c>
      <c r="B1049" s="2664"/>
      <c r="C1049" s="60" t="s">
        <v>496</v>
      </c>
      <c r="D1049" s="60" t="s">
        <v>497</v>
      </c>
      <c r="E1049" s="2569">
        <v>10</v>
      </c>
      <c r="F1049" s="2570"/>
      <c r="G1049" s="2717">
        <v>47000</v>
      </c>
      <c r="H1049" s="2905">
        <f t="shared" ref="H1049:H1050" si="328">(36040*6%)+36040</f>
        <v>38202.400000000001</v>
      </c>
      <c r="I1049" s="2559">
        <f t="shared" si="325"/>
        <v>470000</v>
      </c>
      <c r="J1049" s="2560"/>
      <c r="K1049" s="284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2663" t="s">
        <v>1018</v>
      </c>
      <c r="W1049" s="2664"/>
      <c r="X1049" s="60" t="s">
        <v>496</v>
      </c>
      <c r="Y1049" s="60" t="s">
        <v>497</v>
      </c>
      <c r="Z1049" s="2569">
        <v>10</v>
      </c>
      <c r="AA1049" s="2570"/>
      <c r="AB1049" s="2559">
        <v>47000</v>
      </c>
      <c r="AC1049" s="2560">
        <f t="shared" ref="AC1049:AC1050" si="329">(36040*6%)+36040</f>
        <v>38202.400000000001</v>
      </c>
      <c r="AD1049" s="2559">
        <f>+AB1049*Z1049</f>
        <v>470000</v>
      </c>
      <c r="AE1049" s="2560"/>
      <c r="AF1049" s="284"/>
      <c r="AG1049" s="45"/>
      <c r="AH1049" s="45"/>
      <c r="AI1049" s="45"/>
      <c r="AJ1049" s="45"/>
      <c r="AK1049" s="45"/>
      <c r="AL1049" s="45"/>
      <c r="AM1049" s="45"/>
      <c r="AN1049" s="45"/>
      <c r="AO1049" s="45"/>
    </row>
    <row r="1050" spans="1:41" ht="15.95" customHeight="1" x14ac:dyDescent="0.3">
      <c r="A1050" s="2663" t="s">
        <v>1561</v>
      </c>
      <c r="B1050" s="2664"/>
      <c r="C1050" s="60" t="s">
        <v>496</v>
      </c>
      <c r="D1050" s="60" t="s">
        <v>497</v>
      </c>
      <c r="E1050" s="2680">
        <v>1</v>
      </c>
      <c r="F1050" s="2681"/>
      <c r="G1050" s="2717">
        <v>47000</v>
      </c>
      <c r="H1050" s="2905">
        <f t="shared" si="328"/>
        <v>38202.400000000001</v>
      </c>
      <c r="I1050" s="2559">
        <f t="shared" si="325"/>
        <v>47000</v>
      </c>
      <c r="J1050" s="2560"/>
      <c r="K1050" s="279"/>
      <c r="L1050" s="7" t="s">
        <v>1528</v>
      </c>
      <c r="M1050" s="45"/>
      <c r="N1050" s="45"/>
      <c r="O1050" s="45"/>
      <c r="P1050" s="45"/>
      <c r="Q1050" s="45"/>
      <c r="R1050" s="45"/>
      <c r="S1050" s="45"/>
      <c r="T1050" s="45"/>
      <c r="U1050" s="45"/>
      <c r="V1050" s="2663" t="s">
        <v>1019</v>
      </c>
      <c r="W1050" s="2664"/>
      <c r="X1050" s="60" t="s">
        <v>496</v>
      </c>
      <c r="Y1050" s="60" t="s">
        <v>497</v>
      </c>
      <c r="Z1050" s="2680">
        <v>1</v>
      </c>
      <c r="AA1050" s="2681"/>
      <c r="AB1050" s="2559">
        <v>47000</v>
      </c>
      <c r="AC1050" s="2560">
        <f t="shared" si="329"/>
        <v>38202.400000000001</v>
      </c>
      <c r="AD1050" s="2559">
        <f>Z1050*AB1050</f>
        <v>47000</v>
      </c>
      <c r="AE1050" s="2560"/>
      <c r="AF1050" s="279"/>
      <c r="AG1050" s="7" t="s">
        <v>1528</v>
      </c>
      <c r="AH1050" s="45"/>
      <c r="AI1050" s="45"/>
      <c r="AJ1050" s="45"/>
      <c r="AK1050" s="45"/>
      <c r="AL1050" s="45"/>
      <c r="AM1050" s="45"/>
      <c r="AN1050" s="45"/>
      <c r="AO1050" s="45"/>
    </row>
    <row r="1051" spans="1:41" ht="15.95" customHeight="1" x14ac:dyDescent="0.2">
      <c r="A1051" s="2663" t="s">
        <v>1562</v>
      </c>
      <c r="B1051" s="2664"/>
      <c r="C1051" s="60"/>
      <c r="D1051" s="60"/>
      <c r="E1051" s="2680"/>
      <c r="F1051" s="2681"/>
      <c r="G1051" s="2895"/>
      <c r="H1051" s="2896"/>
      <c r="I1051" s="2559">
        <f t="shared" si="325"/>
        <v>0</v>
      </c>
      <c r="J1051" s="2560"/>
      <c r="K1051" s="279"/>
      <c r="L1051" s="597" t="s">
        <v>1584</v>
      </c>
      <c r="M1051" s="266"/>
      <c r="N1051" s="266"/>
      <c r="O1051" s="266"/>
      <c r="P1051" s="266"/>
      <c r="Q1051" s="1783"/>
      <c r="R1051" s="266"/>
      <c r="S1051" s="266"/>
      <c r="T1051" s="45"/>
      <c r="U1051" s="45"/>
      <c r="V1051" s="2663" t="s">
        <v>1567</v>
      </c>
      <c r="W1051" s="2664"/>
      <c r="X1051" s="60"/>
      <c r="Y1051" s="60"/>
      <c r="Z1051" s="2680"/>
      <c r="AA1051" s="2681"/>
      <c r="AB1051" s="2559"/>
      <c r="AC1051" s="2560"/>
      <c r="AD1051" s="2559">
        <f>Z1051*AB1051</f>
        <v>0</v>
      </c>
      <c r="AE1051" s="2560"/>
      <c r="AF1051" s="279"/>
      <c r="AG1051" s="597" t="s">
        <v>1584</v>
      </c>
      <c r="AH1051" s="266"/>
      <c r="AI1051" s="266"/>
      <c r="AJ1051" s="266"/>
      <c r="AK1051" s="266"/>
      <c r="AL1051" s="1783"/>
      <c r="AM1051" s="266"/>
      <c r="AN1051" s="266"/>
      <c r="AO1051" s="45"/>
    </row>
    <row r="1052" spans="1:41" ht="15.95" customHeight="1" x14ac:dyDescent="0.3">
      <c r="A1052" s="2663" t="s">
        <v>1021</v>
      </c>
      <c r="B1052" s="2664"/>
      <c r="C1052" s="1945"/>
      <c r="D1052" s="60"/>
      <c r="E1052" s="1948"/>
      <c r="F1052" s="1944"/>
      <c r="G1052" s="2576"/>
      <c r="H1052" s="2650"/>
      <c r="I1052" s="2559">
        <f t="shared" si="325"/>
        <v>0</v>
      </c>
      <c r="J1052" s="2560"/>
      <c r="K1052" s="279"/>
      <c r="L1052" s="45"/>
      <c r="M1052" s="206"/>
      <c r="N1052" s="206"/>
      <c r="O1052" s="206"/>
      <c r="P1052" s="206"/>
      <c r="Q1052" s="107"/>
      <c r="R1052" s="44"/>
      <c r="S1052" s="45"/>
      <c r="T1052" s="45"/>
      <c r="U1052" s="45"/>
      <c r="V1052" s="2663" t="s">
        <v>1568</v>
      </c>
      <c r="W1052" s="2664"/>
      <c r="X1052" s="60"/>
      <c r="Y1052" s="60"/>
      <c r="Z1052" s="2680"/>
      <c r="AA1052" s="2681"/>
      <c r="AB1052" s="2559"/>
      <c r="AC1052" s="2560"/>
      <c r="AD1052" s="2559">
        <f>Z1052*AB1052</f>
        <v>0</v>
      </c>
      <c r="AE1052" s="2560"/>
      <c r="AF1052" s="279"/>
      <c r="AG1052" s="45"/>
      <c r="AH1052" s="2834"/>
      <c r="AI1052" s="2834"/>
      <c r="AJ1052" s="2834"/>
      <c r="AK1052" s="2834"/>
      <c r="AL1052" s="272"/>
      <c r="AM1052" s="44"/>
      <c r="AN1052" s="45"/>
      <c r="AO1052" s="45"/>
    </row>
    <row r="1053" spans="1:41" ht="15.95" customHeight="1" x14ac:dyDescent="0.3">
      <c r="A1053" s="2663" t="s">
        <v>1022</v>
      </c>
      <c r="B1053" s="2664"/>
      <c r="C1053" s="60" t="s">
        <v>496</v>
      </c>
      <c r="D1053" s="60" t="s">
        <v>497</v>
      </c>
      <c r="E1053" s="2569">
        <v>5</v>
      </c>
      <c r="F1053" s="2570"/>
      <c r="G1053" s="2717">
        <v>47000</v>
      </c>
      <c r="H1053" s="2905">
        <f t="shared" ref="H1053:H1055" si="330">(36040*6%)+36040</f>
        <v>38202.400000000001</v>
      </c>
      <c r="I1053" s="2559">
        <f t="shared" si="325"/>
        <v>235000</v>
      </c>
      <c r="J1053" s="2560"/>
      <c r="K1053" s="279"/>
      <c r="L1053" s="45"/>
      <c r="M1053" s="206"/>
      <c r="N1053" s="206"/>
      <c r="O1053" s="206"/>
      <c r="P1053" s="206"/>
      <c r="Q1053" s="107"/>
      <c r="R1053" s="44"/>
      <c r="S1053" s="45"/>
      <c r="T1053" s="45"/>
      <c r="U1053" s="45"/>
      <c r="V1053" s="2663" t="s">
        <v>1022</v>
      </c>
      <c r="W1053" s="2664"/>
      <c r="X1053" s="60" t="s">
        <v>496</v>
      </c>
      <c r="Y1053" s="60" t="s">
        <v>497</v>
      </c>
      <c r="Z1053" s="2569">
        <v>5</v>
      </c>
      <c r="AA1053" s="2570"/>
      <c r="AB1053" s="2559">
        <v>47000</v>
      </c>
      <c r="AC1053" s="2560">
        <f t="shared" ref="AC1053:AC1055" si="331">(36040*6%)+36040</f>
        <v>38202.400000000001</v>
      </c>
      <c r="AD1053" s="2559">
        <f>Z1053*AB1053</f>
        <v>235000</v>
      </c>
      <c r="AE1053" s="2560"/>
      <c r="AF1053" s="279"/>
      <c r="AG1053" s="45"/>
      <c r="AH1053" s="206"/>
      <c r="AI1053" s="206"/>
      <c r="AJ1053" s="206"/>
      <c r="AK1053" s="206"/>
      <c r="AL1053" s="107"/>
      <c r="AM1053" s="44"/>
      <c r="AN1053" s="45"/>
      <c r="AO1053" s="45"/>
    </row>
    <row r="1054" spans="1:41" ht="15.95" customHeight="1" x14ac:dyDescent="0.3">
      <c r="A1054" s="2663" t="s">
        <v>881</v>
      </c>
      <c r="B1054" s="2664"/>
      <c r="C1054" s="60" t="s">
        <v>496</v>
      </c>
      <c r="D1054" s="60" t="s">
        <v>497</v>
      </c>
      <c r="E1054" s="2569">
        <v>2</v>
      </c>
      <c r="F1054" s="2570"/>
      <c r="G1054" s="2717">
        <v>47000</v>
      </c>
      <c r="H1054" s="2905">
        <f t="shared" si="330"/>
        <v>38202.400000000001</v>
      </c>
      <c r="I1054" s="2559">
        <f t="shared" si="325"/>
        <v>94000</v>
      </c>
      <c r="J1054" s="2560"/>
      <c r="K1054" s="279"/>
      <c r="L1054" s="45"/>
      <c r="M1054" s="2834"/>
      <c r="N1054" s="2834"/>
      <c r="O1054" s="2834"/>
      <c r="P1054" s="2834"/>
      <c r="Q1054" s="107"/>
      <c r="R1054" s="45"/>
      <c r="S1054" s="44"/>
      <c r="T1054" s="45"/>
      <c r="U1054" s="45"/>
      <c r="V1054" s="2663" t="s">
        <v>881</v>
      </c>
      <c r="W1054" s="2664"/>
      <c r="X1054" s="60" t="s">
        <v>496</v>
      </c>
      <c r="Y1054" s="60" t="s">
        <v>497</v>
      </c>
      <c r="Z1054" s="2569">
        <v>2</v>
      </c>
      <c r="AA1054" s="2570"/>
      <c r="AB1054" s="2559">
        <v>47000</v>
      </c>
      <c r="AC1054" s="2560">
        <f t="shared" si="331"/>
        <v>38202.400000000001</v>
      </c>
      <c r="AD1054" s="2559">
        <f>+AB1054*Z1054</f>
        <v>94000</v>
      </c>
      <c r="AE1054" s="2560"/>
      <c r="AF1054" s="279"/>
      <c r="AG1054" s="45"/>
      <c r="AH1054" s="206"/>
      <c r="AI1054" s="206"/>
      <c r="AJ1054" s="206"/>
      <c r="AK1054" s="206"/>
      <c r="AL1054" s="107"/>
      <c r="AM1054" s="45"/>
      <c r="AN1054" s="44"/>
      <c r="AO1054" s="45"/>
    </row>
    <row r="1055" spans="1:41" ht="15.95" customHeight="1" x14ac:dyDescent="0.3">
      <c r="A1055" s="2663" t="s">
        <v>882</v>
      </c>
      <c r="B1055" s="2664"/>
      <c r="C1055" s="60" t="s">
        <v>496</v>
      </c>
      <c r="D1055" s="60" t="s">
        <v>497</v>
      </c>
      <c r="E1055" s="2680">
        <v>2</v>
      </c>
      <c r="F1055" s="2681"/>
      <c r="G1055" s="2717">
        <v>47000</v>
      </c>
      <c r="H1055" s="2905">
        <f t="shared" si="330"/>
        <v>38202.400000000001</v>
      </c>
      <c r="I1055" s="2559">
        <f t="shared" si="325"/>
        <v>94000</v>
      </c>
      <c r="J1055" s="2560"/>
      <c r="K1055" s="279"/>
      <c r="L1055" s="45"/>
      <c r="M1055" s="2834"/>
      <c r="N1055" s="2834"/>
      <c r="O1055" s="2834"/>
      <c r="P1055" s="2834"/>
      <c r="Q1055" s="107"/>
      <c r="R1055" s="44"/>
      <c r="S1055" s="45"/>
      <c r="T1055" s="45"/>
      <c r="U1055" s="45"/>
      <c r="V1055" s="2663" t="s">
        <v>882</v>
      </c>
      <c r="W1055" s="2664"/>
      <c r="X1055" s="60" t="s">
        <v>496</v>
      </c>
      <c r="Y1055" s="60" t="s">
        <v>497</v>
      </c>
      <c r="Z1055" s="2680">
        <v>2</v>
      </c>
      <c r="AA1055" s="2681"/>
      <c r="AB1055" s="2559">
        <v>47000</v>
      </c>
      <c r="AC1055" s="2560">
        <f t="shared" si="331"/>
        <v>38202.400000000001</v>
      </c>
      <c r="AD1055" s="2559">
        <f>+AB1055*Z1055</f>
        <v>94000</v>
      </c>
      <c r="AE1055" s="2560"/>
      <c r="AF1055" s="279"/>
      <c r="AG1055" s="45"/>
      <c r="AH1055" s="2834"/>
      <c r="AI1055" s="2834"/>
      <c r="AJ1055" s="2834"/>
      <c r="AK1055" s="2834"/>
      <c r="AL1055" s="107"/>
      <c r="AM1055" s="44"/>
      <c r="AN1055" s="45"/>
      <c r="AO1055" s="45"/>
    </row>
    <row r="1056" spans="1:41" ht="15.95" customHeight="1" x14ac:dyDescent="0.3">
      <c r="A1056" s="2667" t="s">
        <v>1023</v>
      </c>
      <c r="B1056" s="2668"/>
      <c r="C1056" s="1945"/>
      <c r="D1056" s="60"/>
      <c r="E1056" s="1948"/>
      <c r="F1056" s="1944"/>
      <c r="G1056" s="2576"/>
      <c r="H1056" s="2650"/>
      <c r="I1056" s="2565">
        <f>SUM(I1057:J1062)</f>
        <v>989084.06</v>
      </c>
      <c r="J1056" s="2566"/>
      <c r="K1056" s="279"/>
      <c r="L1056" s="45"/>
      <c r="M1056" s="2834"/>
      <c r="N1056" s="2834"/>
      <c r="O1056" s="2834"/>
      <c r="P1056" s="2834"/>
      <c r="Q1056" s="273"/>
      <c r="R1056" s="44"/>
      <c r="S1056" s="45"/>
      <c r="T1056" s="45"/>
      <c r="U1056" s="45"/>
      <c r="V1056" s="2667" t="s">
        <v>1023</v>
      </c>
      <c r="W1056" s="2668"/>
      <c r="X1056" s="1945"/>
      <c r="Y1056" s="60"/>
      <c r="Z1056" s="1948"/>
      <c r="AA1056" s="1944"/>
      <c r="AB1056" s="2559"/>
      <c r="AC1056" s="2819"/>
      <c r="AD1056" s="2565">
        <f>SUM(AD1057:AE1062)</f>
        <v>2103464.2962352941</v>
      </c>
      <c r="AE1056" s="2566"/>
      <c r="AF1056" s="279"/>
      <c r="AG1056" s="45"/>
      <c r="AH1056" s="2834"/>
      <c r="AI1056" s="2834"/>
      <c r="AJ1056" s="2834"/>
      <c r="AK1056" s="2834"/>
      <c r="AL1056" s="107"/>
      <c r="AM1056" s="44"/>
      <c r="AN1056" s="45"/>
      <c r="AO1056" s="45"/>
    </row>
    <row r="1057" spans="1:41" ht="15.95" customHeight="1" x14ac:dyDescent="0.3">
      <c r="A1057" s="2663" t="s">
        <v>884</v>
      </c>
      <c r="B1057" s="2664"/>
      <c r="C1057" s="60" t="s">
        <v>496</v>
      </c>
      <c r="D1057" s="60" t="s">
        <v>497</v>
      </c>
      <c r="E1057" s="2680">
        <v>7</v>
      </c>
      <c r="F1057" s="2681"/>
      <c r="G1057" s="2717">
        <v>47000</v>
      </c>
      <c r="H1057" s="2905">
        <f t="shared" ref="H1057:H1058" si="332">(36040*6%)+36040</f>
        <v>38202.400000000001</v>
      </c>
      <c r="I1057" s="2559">
        <f>E1057*G1057</f>
        <v>329000</v>
      </c>
      <c r="J1057" s="2560"/>
      <c r="K1057" s="279"/>
      <c r="L1057" s="45"/>
      <c r="M1057" s="45"/>
      <c r="N1057" s="45"/>
      <c r="O1057" s="45"/>
      <c r="P1057" s="45"/>
      <c r="Q1057" s="45"/>
      <c r="R1057" s="44"/>
      <c r="S1057" s="45"/>
      <c r="T1057" s="45"/>
      <c r="U1057" s="45"/>
      <c r="V1057" s="2663" t="s">
        <v>884</v>
      </c>
      <c r="W1057" s="2664"/>
      <c r="X1057" s="60" t="s">
        <v>496</v>
      </c>
      <c r="Y1057" s="60" t="s">
        <v>497</v>
      </c>
      <c r="Z1057" s="2680">
        <v>20</v>
      </c>
      <c r="AA1057" s="2681"/>
      <c r="AB1057" s="2559">
        <v>47000</v>
      </c>
      <c r="AC1057" s="2560">
        <f t="shared" ref="AC1057:AC1058" si="333">(36040*6%)+36040</f>
        <v>38202.400000000001</v>
      </c>
      <c r="AD1057" s="2559">
        <f t="shared" ref="AD1057:AD1060" si="334">Z1057*AB1057</f>
        <v>940000</v>
      </c>
      <c r="AE1057" s="2560"/>
      <c r="AF1057" s="279"/>
      <c r="AG1057" s="45"/>
      <c r="AH1057" s="2834"/>
      <c r="AI1057" s="2834"/>
      <c r="AJ1057" s="2834"/>
      <c r="AK1057" s="2834"/>
      <c r="AL1057" s="273"/>
      <c r="AM1057" s="44"/>
      <c r="AN1057" s="45"/>
      <c r="AO1057" s="45"/>
    </row>
    <row r="1058" spans="1:41" ht="15.95" customHeight="1" x14ac:dyDescent="0.3">
      <c r="A1058" s="2663" t="s">
        <v>1669</v>
      </c>
      <c r="B1058" s="2664"/>
      <c r="C1058" s="60" t="s">
        <v>496</v>
      </c>
      <c r="D1058" s="60" t="s">
        <v>497</v>
      </c>
      <c r="E1058" s="2680">
        <v>2</v>
      </c>
      <c r="F1058" s="2681"/>
      <c r="G1058" s="2717">
        <v>47000</v>
      </c>
      <c r="H1058" s="2905">
        <f t="shared" si="332"/>
        <v>38202.400000000001</v>
      </c>
      <c r="I1058" s="2559">
        <f>E1058*G1058</f>
        <v>94000</v>
      </c>
      <c r="J1058" s="2560"/>
      <c r="K1058" s="279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2663" t="s">
        <v>1673</v>
      </c>
      <c r="W1058" s="2664"/>
      <c r="X1058" s="60" t="s">
        <v>496</v>
      </c>
      <c r="Y1058" s="60" t="s">
        <v>497</v>
      </c>
      <c r="Z1058" s="2680">
        <v>4</v>
      </c>
      <c r="AA1058" s="2681"/>
      <c r="AB1058" s="2559">
        <v>47000</v>
      </c>
      <c r="AC1058" s="2560">
        <f t="shared" si="333"/>
        <v>38202.400000000001</v>
      </c>
      <c r="AD1058" s="2559">
        <f t="shared" si="334"/>
        <v>188000</v>
      </c>
      <c r="AE1058" s="2560"/>
      <c r="AF1058" s="279"/>
      <c r="AG1058" s="45"/>
      <c r="AH1058" s="45"/>
      <c r="AI1058" s="45"/>
      <c r="AJ1058" s="45"/>
      <c r="AK1058" s="45"/>
      <c r="AL1058" s="45"/>
      <c r="AM1058" s="45"/>
      <c r="AN1058" s="45"/>
      <c r="AO1058" s="45"/>
    </row>
    <row r="1059" spans="1:41" ht="15.95" customHeight="1" x14ac:dyDescent="0.3">
      <c r="A1059" s="2663" t="s">
        <v>893</v>
      </c>
      <c r="B1059" s="2664"/>
      <c r="C1059" s="60"/>
      <c r="D1059" s="60"/>
      <c r="E1059" s="2680"/>
      <c r="F1059" s="2681"/>
      <c r="G1059" s="2576"/>
      <c r="H1059" s="2650"/>
      <c r="I1059" s="2559">
        <f>E1059*G1059</f>
        <v>0</v>
      </c>
      <c r="J1059" s="2560"/>
      <c r="K1059" s="279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2663" t="s">
        <v>893</v>
      </c>
      <c r="W1059" s="2664"/>
      <c r="X1059" s="60"/>
      <c r="Y1059" s="60"/>
      <c r="Z1059" s="2680"/>
      <c r="AA1059" s="2681"/>
      <c r="AB1059" s="2559"/>
      <c r="AC1059" s="2560"/>
      <c r="AD1059" s="2559">
        <f t="shared" si="334"/>
        <v>0</v>
      </c>
      <c r="AE1059" s="2560"/>
      <c r="AF1059" s="279"/>
      <c r="AG1059" s="45"/>
      <c r="AH1059" s="45"/>
      <c r="AI1059" s="45"/>
      <c r="AJ1059" s="45"/>
      <c r="AK1059" s="45"/>
      <c r="AL1059" s="45"/>
      <c r="AM1059" s="45"/>
      <c r="AN1059" s="45"/>
      <c r="AO1059" s="45"/>
    </row>
    <row r="1060" spans="1:41" ht="15.95" customHeight="1" x14ac:dyDescent="0.3">
      <c r="A1060" s="2663" t="s">
        <v>728</v>
      </c>
      <c r="B1060" s="2664"/>
      <c r="C1060" s="60"/>
      <c r="D1060" s="60"/>
      <c r="E1060" s="2680"/>
      <c r="F1060" s="2681"/>
      <c r="G1060" s="2576"/>
      <c r="H1060" s="2650"/>
      <c r="I1060" s="2559">
        <f>E1060*G1060</f>
        <v>0</v>
      </c>
      <c r="J1060" s="2560"/>
      <c r="K1060" s="279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2663" t="s">
        <v>728</v>
      </c>
      <c r="W1060" s="2664"/>
      <c r="X1060" s="60"/>
      <c r="Y1060" s="60"/>
      <c r="Z1060" s="2680"/>
      <c r="AA1060" s="2681"/>
      <c r="AB1060" s="2559"/>
      <c r="AC1060" s="2560"/>
      <c r="AD1060" s="2559">
        <f t="shared" si="334"/>
        <v>0</v>
      </c>
      <c r="AE1060" s="2560"/>
      <c r="AF1060" s="279"/>
      <c r="AG1060" s="45"/>
      <c r="AH1060" s="45"/>
      <c r="AI1060" s="45"/>
      <c r="AJ1060" s="45"/>
      <c r="AK1060" s="45"/>
      <c r="AL1060" s="45"/>
      <c r="AM1060" s="45"/>
      <c r="AN1060" s="45"/>
      <c r="AO1060" s="45"/>
    </row>
    <row r="1061" spans="1:41" ht="15.95" customHeight="1" x14ac:dyDescent="0.3">
      <c r="A1061" s="2663" t="s">
        <v>765</v>
      </c>
      <c r="B1061" s="2664"/>
      <c r="C1061" s="1945"/>
      <c r="D1061" s="60" t="s">
        <v>794</v>
      </c>
      <c r="E1061" s="2680"/>
      <c r="F1061" s="2681"/>
      <c r="G1061" s="2576"/>
      <c r="H1061" s="2650"/>
      <c r="I1061" s="2559">
        <f>250000*1.0928</f>
        <v>273200</v>
      </c>
      <c r="J1061" s="2560"/>
      <c r="K1061" s="279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2663" t="s">
        <v>765</v>
      </c>
      <c r="W1061" s="2664"/>
      <c r="X1061" s="1945"/>
      <c r="Y1061" s="60" t="s">
        <v>794</v>
      </c>
      <c r="Z1061" s="2680"/>
      <c r="AA1061" s="2681"/>
      <c r="AB1061" s="2559"/>
      <c r="AC1061" s="2819"/>
      <c r="AD1061" s="2559">
        <f>200000*1.0928</f>
        <v>218560</v>
      </c>
      <c r="AE1061" s="2560"/>
      <c r="AF1061" s="279"/>
      <c r="AG1061" s="45"/>
      <c r="AH1061" s="45"/>
      <c r="AI1061" s="45"/>
      <c r="AJ1061" s="45"/>
      <c r="AK1061" s="45"/>
      <c r="AL1061" s="45"/>
      <c r="AM1061" s="45"/>
      <c r="AN1061" s="45"/>
      <c r="AO1061" s="45"/>
    </row>
    <row r="1062" spans="1:41" ht="15.95" customHeight="1" x14ac:dyDescent="0.3">
      <c r="A1062" s="2663" t="s">
        <v>615</v>
      </c>
      <c r="B1062" s="2664"/>
      <c r="C1062" s="60"/>
      <c r="D1062" s="60" t="s">
        <v>556</v>
      </c>
      <c r="E1062" s="2680">
        <v>2.5</v>
      </c>
      <c r="F1062" s="2681"/>
      <c r="G1062" s="2903">
        <f>107205*1.0928</f>
        <v>117153.624</v>
      </c>
      <c r="H1062" s="2904">
        <f t="shared" ref="H1062" si="335">(95294*6%)+95294</f>
        <v>101011.64</v>
      </c>
      <c r="I1062" s="2559">
        <f>E1062*G1062</f>
        <v>292884.06</v>
      </c>
      <c r="J1062" s="2560"/>
      <c r="K1062" s="279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2663" t="s">
        <v>615</v>
      </c>
      <c r="W1062" s="2664"/>
      <c r="X1062" s="60" t="s">
        <v>587</v>
      </c>
      <c r="Y1062" s="60" t="s">
        <v>556</v>
      </c>
      <c r="Z1062" s="2705">
        <f>'TOTAL PERMANENTES'!K27</f>
        <v>6.4607843137254903</v>
      </c>
      <c r="AA1062" s="2681"/>
      <c r="AB1062" s="2559">
        <f>+G1062</f>
        <v>117153.624</v>
      </c>
      <c r="AC1062" s="2650"/>
      <c r="AD1062" s="2559">
        <f t="shared" ref="AD1062" si="336">Z1062*AB1062</f>
        <v>756904.29623529408</v>
      </c>
      <c r="AE1062" s="2560"/>
      <c r="AF1062" s="279"/>
      <c r="AG1062" s="45"/>
      <c r="AH1062" s="45"/>
      <c r="AI1062" s="45"/>
      <c r="AJ1062" s="45"/>
      <c r="AK1062" s="45"/>
      <c r="AL1062" s="45"/>
      <c r="AM1062" s="45"/>
      <c r="AN1062" s="45"/>
      <c r="AO1062" s="45"/>
    </row>
    <row r="1063" spans="1:41" ht="15.95" customHeight="1" thickBot="1" x14ac:dyDescent="0.25">
      <c r="A1063" s="2881" t="s">
        <v>558</v>
      </c>
      <c r="B1063" s="2882"/>
      <c r="C1063" s="210"/>
      <c r="D1063" s="211"/>
      <c r="E1063" s="2561">
        <f>E1027+E1031+E1032+E1038+E1039+E1047+E1049+E1050+E1051+E1053+E1054+E1055</f>
        <v>37</v>
      </c>
      <c r="F1063" s="2562"/>
      <c r="G1063" s="2563"/>
      <c r="H1063" s="2564"/>
      <c r="I1063" s="2561">
        <f>SUM(I1056+I1037+I1026+I1022+I1019)</f>
        <v>3480084.06</v>
      </c>
      <c r="J1063" s="2562"/>
      <c r="K1063" s="279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2881" t="s">
        <v>558</v>
      </c>
      <c r="W1063" s="2882"/>
      <c r="X1063" s="210"/>
      <c r="Y1063" s="211"/>
      <c r="Z1063" s="2561">
        <f>Z1045+Z1046+Z1049+Z1051+Z1052+Z1053+Z1054+Z1055+Z1057+Z1059+Z1060</f>
        <v>44</v>
      </c>
      <c r="AA1063" s="2562"/>
      <c r="AB1063" s="2563"/>
      <c r="AC1063" s="2564"/>
      <c r="AD1063" s="2561">
        <f>SUM(AD1056+AD1037+AD1026+AD1022+AD1019)</f>
        <v>3278464.2962352941</v>
      </c>
      <c r="AE1063" s="2562"/>
      <c r="AF1063" s="279"/>
      <c r="AG1063" s="45"/>
      <c r="AH1063" s="45"/>
      <c r="AI1063" s="45"/>
      <c r="AJ1063" s="45"/>
      <c r="AK1063" s="45"/>
      <c r="AL1063" s="45"/>
      <c r="AM1063" s="45"/>
      <c r="AN1063" s="45"/>
      <c r="AO1063" s="45"/>
    </row>
    <row r="1064" spans="1:41" ht="15.95" customHeight="1" x14ac:dyDescent="0.2"/>
    <row r="1065" spans="1:41" ht="15.95" customHeight="1" x14ac:dyDescent="0.2"/>
    <row r="1066" spans="1:41" ht="15.95" customHeight="1" x14ac:dyDescent="0.2"/>
    <row r="1067" spans="1:41" ht="15.95" customHeight="1" x14ac:dyDescent="0.2"/>
    <row r="1068" spans="1:41" ht="15.95" customHeight="1" x14ac:dyDescent="0.2">
      <c r="A1068" s="2611" t="s">
        <v>1981</v>
      </c>
      <c r="B1068" s="2611"/>
      <c r="C1068" s="2611"/>
      <c r="D1068" s="2611"/>
      <c r="E1068" s="2611"/>
      <c r="F1068" s="2611"/>
      <c r="G1068" s="2611"/>
      <c r="H1068" s="2611"/>
      <c r="I1068" s="2611"/>
      <c r="J1068" s="2611"/>
      <c r="K1068" s="2611"/>
      <c r="L1068" s="2611"/>
      <c r="M1068" s="2611"/>
      <c r="N1068" s="2611"/>
      <c r="O1068" s="2611"/>
      <c r="P1068" s="2611"/>
      <c r="Q1068" s="2611"/>
      <c r="R1068" s="2611"/>
      <c r="S1068" s="2611"/>
      <c r="T1068" s="2611"/>
      <c r="U1068" s="47"/>
      <c r="V1068" s="2611" t="s">
        <v>1982</v>
      </c>
      <c r="W1068" s="2611"/>
      <c r="X1068" s="2611"/>
      <c r="Y1068" s="2611"/>
      <c r="Z1068" s="2611"/>
      <c r="AA1068" s="2611"/>
      <c r="AB1068" s="2611"/>
      <c r="AC1068" s="2611"/>
      <c r="AD1068" s="2611"/>
      <c r="AE1068" s="2611"/>
      <c r="AF1068" s="2611"/>
      <c r="AG1068" s="2611"/>
      <c r="AH1068" s="2611"/>
      <c r="AI1068" s="2611"/>
      <c r="AJ1068" s="2611"/>
      <c r="AK1068" s="2611"/>
      <c r="AL1068" s="2611"/>
      <c r="AM1068" s="2611"/>
      <c r="AN1068" s="2611"/>
      <c r="AO1068" s="2611"/>
    </row>
    <row r="1069" spans="1:41" ht="15.95" customHeight="1" thickBot="1" x14ac:dyDescent="0.25">
      <c r="A1069" s="2611"/>
      <c r="B1069" s="2611"/>
      <c r="C1069" s="2611"/>
      <c r="D1069" s="2611"/>
      <c r="E1069" s="2611"/>
      <c r="F1069" s="2611"/>
      <c r="G1069" s="2611"/>
      <c r="H1069" s="2611"/>
      <c r="I1069" s="2611"/>
      <c r="J1069" s="2611"/>
      <c r="K1069" s="2611"/>
      <c r="L1069" s="2611"/>
      <c r="M1069" s="2611"/>
      <c r="N1069" s="2611"/>
      <c r="O1069" s="2611"/>
      <c r="P1069" s="2611"/>
      <c r="Q1069" s="2611"/>
      <c r="R1069" s="2611"/>
      <c r="S1069" s="2611"/>
      <c r="T1069" s="2611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279"/>
      <c r="AG1069" s="45"/>
      <c r="AH1069" s="45"/>
      <c r="AI1069" s="45"/>
      <c r="AJ1069" s="45"/>
      <c r="AK1069" s="45"/>
      <c r="AL1069" s="45"/>
      <c r="AM1069" s="45"/>
      <c r="AN1069" s="45"/>
      <c r="AO1069" s="45"/>
    </row>
    <row r="1070" spans="1:41" ht="15.95" customHeight="1" x14ac:dyDescent="0.3">
      <c r="A1070" s="2618" t="s">
        <v>435</v>
      </c>
      <c r="B1070" s="2620"/>
      <c r="C1070" s="2618" t="s">
        <v>436</v>
      </c>
      <c r="D1070" s="2619"/>
      <c r="E1070" s="2619"/>
      <c r="F1070" s="2620"/>
      <c r="G1070" s="2618" t="s">
        <v>437</v>
      </c>
      <c r="H1070" s="2620"/>
      <c r="I1070" s="2618" t="s">
        <v>438</v>
      </c>
      <c r="J1070" s="2620"/>
      <c r="K1070" s="45"/>
      <c r="L1070" s="2633" t="s">
        <v>435</v>
      </c>
      <c r="M1070" s="2618" t="s">
        <v>436</v>
      </c>
      <c r="N1070" s="2619"/>
      <c r="O1070" s="2619"/>
      <c r="P1070" s="2620"/>
      <c r="Q1070" s="2618" t="s">
        <v>437</v>
      </c>
      <c r="R1070" s="2620"/>
      <c r="S1070" s="2618"/>
      <c r="T1070" s="2620"/>
      <c r="U1070" s="268"/>
      <c r="V1070" s="2618" t="s">
        <v>435</v>
      </c>
      <c r="W1070" s="2620"/>
      <c r="X1070" s="2618" t="s">
        <v>436</v>
      </c>
      <c r="Y1070" s="2619"/>
      <c r="Z1070" s="2619"/>
      <c r="AA1070" s="2620"/>
      <c r="AB1070" s="2618" t="s">
        <v>437</v>
      </c>
      <c r="AC1070" s="2620"/>
      <c r="AD1070" s="2618" t="s">
        <v>438</v>
      </c>
      <c r="AE1070" s="2620"/>
      <c r="AF1070" s="45"/>
      <c r="AG1070" s="2633" t="s">
        <v>435</v>
      </c>
      <c r="AH1070" s="2618" t="s">
        <v>436</v>
      </c>
      <c r="AI1070" s="2619"/>
      <c r="AJ1070" s="2619"/>
      <c r="AK1070" s="2620"/>
      <c r="AL1070" s="2618" t="s">
        <v>437</v>
      </c>
      <c r="AM1070" s="2620"/>
      <c r="AN1070" s="2618"/>
      <c r="AO1070" s="2900"/>
    </row>
    <row r="1071" spans="1:41" ht="15.95" customHeight="1" thickBot="1" x14ac:dyDescent="0.35">
      <c r="A1071" s="2631"/>
      <c r="B1071" s="2632"/>
      <c r="C1071" s="2621"/>
      <c r="D1071" s="2622"/>
      <c r="E1071" s="2622"/>
      <c r="F1071" s="2623"/>
      <c r="G1071" s="2631" t="s">
        <v>440</v>
      </c>
      <c r="H1071" s="2632"/>
      <c r="I1071" s="2631"/>
      <c r="J1071" s="2632"/>
      <c r="K1071" s="45"/>
      <c r="L1071" s="2670"/>
      <c r="M1071" s="2621"/>
      <c r="N1071" s="2622"/>
      <c r="O1071" s="2622"/>
      <c r="P1071" s="2623"/>
      <c r="Q1071" s="2631" t="s">
        <v>440</v>
      </c>
      <c r="R1071" s="2632"/>
      <c r="S1071" s="2631" t="s">
        <v>274</v>
      </c>
      <c r="T1071" s="2632"/>
      <c r="U1071" s="268"/>
      <c r="V1071" s="2631"/>
      <c r="W1071" s="2632"/>
      <c r="X1071" s="2621"/>
      <c r="Y1071" s="2622"/>
      <c r="Z1071" s="2622"/>
      <c r="AA1071" s="2623"/>
      <c r="AB1071" s="2631" t="s">
        <v>440</v>
      </c>
      <c r="AC1071" s="2632"/>
      <c r="AD1071" s="2631"/>
      <c r="AE1071" s="2632"/>
      <c r="AF1071" s="45"/>
      <c r="AG1071" s="2670"/>
      <c r="AH1071" s="2621"/>
      <c r="AI1071" s="2622"/>
      <c r="AJ1071" s="2622"/>
      <c r="AK1071" s="2623"/>
      <c r="AL1071" s="2631" t="s">
        <v>440</v>
      </c>
      <c r="AM1071" s="2632"/>
      <c r="AN1071" s="2631" t="s">
        <v>274</v>
      </c>
      <c r="AO1071" s="2880"/>
    </row>
    <row r="1072" spans="1:41" ht="15.95" customHeight="1" x14ac:dyDescent="0.3">
      <c r="A1072" s="2631"/>
      <c r="B1072" s="2632"/>
      <c r="C1072" s="53" t="s">
        <v>441</v>
      </c>
      <c r="D1072" s="2670" t="s">
        <v>442</v>
      </c>
      <c r="E1072" s="2631" t="s">
        <v>443</v>
      </c>
      <c r="F1072" s="2632"/>
      <c r="G1072" s="2631" t="s">
        <v>444</v>
      </c>
      <c r="H1072" s="2632"/>
      <c r="I1072" s="2631" t="s">
        <v>348</v>
      </c>
      <c r="J1072" s="2632"/>
      <c r="K1072" s="45"/>
      <c r="L1072" s="2670"/>
      <c r="M1072" s="51" t="s">
        <v>441</v>
      </c>
      <c r="N1072" s="2633" t="s">
        <v>442</v>
      </c>
      <c r="O1072" s="2618" t="s">
        <v>443</v>
      </c>
      <c r="P1072" s="2620"/>
      <c r="Q1072" s="2631" t="s">
        <v>444</v>
      </c>
      <c r="R1072" s="2632"/>
      <c r="S1072" s="2631" t="s">
        <v>348</v>
      </c>
      <c r="T1072" s="2632"/>
      <c r="U1072" s="268"/>
      <c r="V1072" s="2631"/>
      <c r="W1072" s="2632"/>
      <c r="X1072" s="53" t="s">
        <v>441</v>
      </c>
      <c r="Y1072" s="2670" t="s">
        <v>442</v>
      </c>
      <c r="Z1072" s="2631" t="s">
        <v>443</v>
      </c>
      <c r="AA1072" s="2632"/>
      <c r="AB1072" s="2631" t="s">
        <v>444</v>
      </c>
      <c r="AC1072" s="2632"/>
      <c r="AD1072" s="2631" t="s">
        <v>348</v>
      </c>
      <c r="AE1072" s="2632"/>
      <c r="AF1072" s="45"/>
      <c r="AG1072" s="2670"/>
      <c r="AH1072" s="51" t="s">
        <v>441</v>
      </c>
      <c r="AI1072" s="2670" t="s">
        <v>442</v>
      </c>
      <c r="AJ1072" s="2631" t="s">
        <v>443</v>
      </c>
      <c r="AK1072" s="2632"/>
      <c r="AL1072" s="2631" t="s">
        <v>444</v>
      </c>
      <c r="AM1072" s="2632"/>
      <c r="AN1072" s="2631" t="s">
        <v>348</v>
      </c>
      <c r="AO1072" s="2880"/>
    </row>
    <row r="1073" spans="1:41" ht="15.95" customHeight="1" thickBot="1" x14ac:dyDescent="0.35">
      <c r="A1073" s="2621"/>
      <c r="B1073" s="2623"/>
      <c r="C1073" s="54" t="s">
        <v>445</v>
      </c>
      <c r="D1073" s="2634"/>
      <c r="E1073" s="2621"/>
      <c r="F1073" s="2623"/>
      <c r="G1073" s="2621"/>
      <c r="H1073" s="2623"/>
      <c r="I1073" s="2621"/>
      <c r="J1073" s="2623"/>
      <c r="K1073" s="45"/>
      <c r="L1073" s="2634"/>
      <c r="M1073" s="50" t="s">
        <v>445</v>
      </c>
      <c r="N1073" s="2634"/>
      <c r="O1073" s="2621"/>
      <c r="P1073" s="2623"/>
      <c r="Q1073" s="2621"/>
      <c r="R1073" s="2623"/>
      <c r="S1073" s="2621"/>
      <c r="T1073" s="2623"/>
      <c r="U1073" s="268"/>
      <c r="V1073" s="2621"/>
      <c r="W1073" s="2623"/>
      <c r="X1073" s="54" t="s">
        <v>445</v>
      </c>
      <c r="Y1073" s="2634"/>
      <c r="Z1073" s="2621"/>
      <c r="AA1073" s="2623"/>
      <c r="AB1073" s="2621"/>
      <c r="AC1073" s="2623"/>
      <c r="AD1073" s="2621"/>
      <c r="AE1073" s="2623"/>
      <c r="AF1073" s="45"/>
      <c r="AG1073" s="2634"/>
      <c r="AH1073" s="50" t="s">
        <v>445</v>
      </c>
      <c r="AI1073" s="2634"/>
      <c r="AJ1073" s="2621"/>
      <c r="AK1073" s="2623"/>
      <c r="AL1073" s="2621"/>
      <c r="AM1073" s="2623"/>
      <c r="AN1073" s="2901"/>
      <c r="AO1073" s="2902"/>
    </row>
    <row r="1074" spans="1:41" ht="15.95" customHeight="1" x14ac:dyDescent="0.3">
      <c r="A1074" s="2898" t="s">
        <v>446</v>
      </c>
      <c r="B1074" s="2899"/>
      <c r="C1074" s="1938"/>
      <c r="D1074" s="60"/>
      <c r="E1074" s="1948"/>
      <c r="F1074" s="1940"/>
      <c r="G1074" s="2576"/>
      <c r="H1074" s="2880"/>
      <c r="I1074" s="2559"/>
      <c r="J1074" s="2880"/>
      <c r="K1074" s="279"/>
      <c r="L1074" s="59" t="s">
        <v>447</v>
      </c>
      <c r="M1074" s="1939"/>
      <c r="N1074" s="1940"/>
      <c r="O1074" s="1941"/>
      <c r="P1074" s="1949"/>
      <c r="Q1074" s="2605"/>
      <c r="R1074" s="2606"/>
      <c r="S1074" s="2605"/>
      <c r="T1074" s="2606"/>
      <c r="U1074" s="26"/>
      <c r="V1074" s="2898" t="s">
        <v>446</v>
      </c>
      <c r="W1074" s="2899"/>
      <c r="X1074" s="1938"/>
      <c r="Y1074" s="60"/>
      <c r="Z1074" s="1948"/>
      <c r="AA1074" s="1940"/>
      <c r="AB1074" s="2576"/>
      <c r="AC1074" s="2880"/>
      <c r="AD1074" s="2576"/>
      <c r="AE1074" s="2880"/>
      <c r="AF1074" s="279"/>
      <c r="AG1074" s="59" t="s">
        <v>447</v>
      </c>
      <c r="AH1074" s="1939"/>
      <c r="AI1074" s="1940"/>
      <c r="AJ1074" s="2605"/>
      <c r="AK1074" s="2606"/>
      <c r="AL1074" s="2605"/>
      <c r="AM1074" s="2606"/>
      <c r="AN1074" s="2605"/>
      <c r="AO1074" s="2606"/>
    </row>
    <row r="1075" spans="1:41" ht="15.95" customHeight="1" x14ac:dyDescent="0.35">
      <c r="A1075" s="2667" t="s">
        <v>979</v>
      </c>
      <c r="B1075" s="2668"/>
      <c r="C1075" s="77"/>
      <c r="D1075" s="1942"/>
      <c r="E1075" s="1948"/>
      <c r="F1075" s="1944"/>
      <c r="G1075" s="2576"/>
      <c r="H1075" s="2880"/>
      <c r="I1075" s="2897">
        <f>SUM(I1076:I1077)</f>
        <v>0</v>
      </c>
      <c r="J1075" s="2892"/>
      <c r="K1075" s="279"/>
      <c r="L1075" s="62"/>
      <c r="M1075" s="1943"/>
      <c r="N1075" s="1944"/>
      <c r="O1075" s="1937"/>
      <c r="P1075" s="89"/>
      <c r="Q1075" s="2559"/>
      <c r="R1075" s="2560"/>
      <c r="S1075" s="2559"/>
      <c r="T1075" s="2560"/>
      <c r="U1075" s="26"/>
      <c r="V1075" s="2667" t="s">
        <v>979</v>
      </c>
      <c r="W1075" s="2668"/>
      <c r="X1075" s="1945"/>
      <c r="Y1075" s="60"/>
      <c r="Z1075" s="1948"/>
      <c r="AA1075" s="1944"/>
      <c r="AB1075" s="2576"/>
      <c r="AC1075" s="2880"/>
      <c r="AD1075" s="2897">
        <f>SUM(AD1076:AD1077)</f>
        <v>0</v>
      </c>
      <c r="AE1075" s="2892"/>
      <c r="AF1075" s="279"/>
      <c r="AG1075" s="62"/>
      <c r="AH1075" s="1943"/>
      <c r="AI1075" s="1944"/>
      <c r="AJ1075" s="2559"/>
      <c r="AK1075" s="2560"/>
      <c r="AL1075" s="2559"/>
      <c r="AM1075" s="2560"/>
      <c r="AN1075" s="2559"/>
      <c r="AO1075" s="2560"/>
    </row>
    <row r="1076" spans="1:41" ht="15.95" customHeight="1" x14ac:dyDescent="0.3">
      <c r="A1076" s="2663" t="s">
        <v>980</v>
      </c>
      <c r="B1076" s="2664"/>
      <c r="C1076" s="60"/>
      <c r="D1076" s="60"/>
      <c r="E1076" s="1948"/>
      <c r="F1076" s="1944"/>
      <c r="G1076" s="2576"/>
      <c r="H1076" s="2880"/>
      <c r="I1076" s="2576"/>
      <c r="J1076" s="2880"/>
      <c r="K1076" s="279"/>
      <c r="L1076" s="62" t="s">
        <v>450</v>
      </c>
      <c r="M1076" s="1944"/>
      <c r="N1076" s="1944"/>
      <c r="O1076" s="2569"/>
      <c r="P1076" s="2570"/>
      <c r="Q1076" s="2559"/>
      <c r="R1076" s="2560"/>
      <c r="S1076" s="2559">
        <f>O1076*Q1076</f>
        <v>0</v>
      </c>
      <c r="T1076" s="2560"/>
      <c r="U1076" s="26"/>
      <c r="V1076" s="2663" t="s">
        <v>980</v>
      </c>
      <c r="W1076" s="2664"/>
      <c r="X1076" s="1945"/>
      <c r="Y1076" s="60"/>
      <c r="Z1076" s="1948"/>
      <c r="AA1076" s="1944"/>
      <c r="AB1076" s="2576"/>
      <c r="AC1076" s="2880"/>
      <c r="AD1076" s="2576"/>
      <c r="AE1076" s="2880"/>
      <c r="AF1076" s="279"/>
      <c r="AG1076" s="62" t="s">
        <v>450</v>
      </c>
      <c r="AH1076" s="1944"/>
      <c r="AI1076" s="1944"/>
      <c r="AJ1076" s="2559"/>
      <c r="AK1076" s="2560"/>
      <c r="AL1076" s="2559"/>
      <c r="AM1076" s="2560"/>
      <c r="AN1076" s="2559"/>
      <c r="AO1076" s="2560"/>
    </row>
    <row r="1077" spans="1:41" ht="15.95" customHeight="1" x14ac:dyDescent="0.3">
      <c r="A1077" s="2663" t="s">
        <v>981</v>
      </c>
      <c r="B1077" s="2664"/>
      <c r="C1077" s="60"/>
      <c r="D1077" s="60"/>
      <c r="E1077" s="1948"/>
      <c r="F1077" s="1944"/>
      <c r="G1077" s="2576"/>
      <c r="H1077" s="2880"/>
      <c r="I1077" s="2576"/>
      <c r="J1077" s="2880"/>
      <c r="K1077" s="279"/>
      <c r="L1077" s="62" t="s">
        <v>853</v>
      </c>
      <c r="M1077" s="1944" t="s">
        <v>1095</v>
      </c>
      <c r="N1077" s="1944" t="s">
        <v>1029</v>
      </c>
      <c r="O1077" s="2569">
        <v>214</v>
      </c>
      <c r="P1077" s="2570"/>
      <c r="Q1077" s="2559">
        <f>19277*1.0928</f>
        <v>21065.905599999998</v>
      </c>
      <c r="R1077" s="2560"/>
      <c r="S1077" s="2559">
        <f t="shared" ref="S1077:S1092" si="337">O1077*Q1077</f>
        <v>4508103.7983999997</v>
      </c>
      <c r="T1077" s="2560"/>
      <c r="U1077" s="26"/>
      <c r="V1077" s="2663" t="s">
        <v>981</v>
      </c>
      <c r="W1077" s="2664"/>
      <c r="X1077" s="1945"/>
      <c r="Y1077" s="60"/>
      <c r="Z1077" s="1948"/>
      <c r="AA1077" s="1944"/>
      <c r="AB1077" s="2559"/>
      <c r="AC1077" s="2880"/>
      <c r="AD1077" s="2559">
        <f>+AB1077*Z1077</f>
        <v>0</v>
      </c>
      <c r="AE1077" s="2560"/>
      <c r="AF1077" s="279"/>
      <c r="AG1077" s="62" t="s">
        <v>853</v>
      </c>
      <c r="AH1077" s="1944"/>
      <c r="AI1077" s="1944"/>
      <c r="AJ1077" s="2559"/>
      <c r="AK1077" s="2560"/>
      <c r="AL1077" s="2559"/>
      <c r="AM1077" s="2560"/>
      <c r="AN1077" s="2559">
        <f>AJ1077*AL1077</f>
        <v>0</v>
      </c>
      <c r="AO1077" s="2560"/>
    </row>
    <row r="1078" spans="1:41" ht="15.95" customHeight="1" x14ac:dyDescent="0.35">
      <c r="A1078" s="2667" t="s">
        <v>990</v>
      </c>
      <c r="B1078" s="2668"/>
      <c r="C1078" s="1946"/>
      <c r="D1078" s="60"/>
      <c r="E1078" s="1948"/>
      <c r="F1078" s="1944"/>
      <c r="G1078" s="2576"/>
      <c r="H1078" s="2880"/>
      <c r="I1078" s="2897">
        <f>SUM(I1079:J1081)</f>
        <v>0</v>
      </c>
      <c r="J1078" s="2892"/>
      <c r="K1078" s="279"/>
      <c r="L1078" s="62" t="s">
        <v>1054</v>
      </c>
      <c r="M1078" s="1944" t="s">
        <v>576</v>
      </c>
      <c r="N1078" s="1944" t="s">
        <v>473</v>
      </c>
      <c r="O1078" s="2703">
        <v>4</v>
      </c>
      <c r="P1078" s="2704"/>
      <c r="Q1078" s="2559">
        <f>18835*1.0928</f>
        <v>20582.887999999999</v>
      </c>
      <c r="R1078" s="2560"/>
      <c r="S1078" s="2559">
        <f t="shared" si="337"/>
        <v>82331.551999999996</v>
      </c>
      <c r="T1078" s="2560"/>
      <c r="U1078" s="26"/>
      <c r="V1078" s="2667" t="s">
        <v>990</v>
      </c>
      <c r="W1078" s="2668"/>
      <c r="X1078" s="1945"/>
      <c r="Y1078" s="60"/>
      <c r="Z1078" s="1948"/>
      <c r="AA1078" s="1944"/>
      <c r="AB1078" s="2576"/>
      <c r="AC1078" s="2880"/>
      <c r="AD1078" s="2897">
        <f>SUM(AD1079:AE1081)</f>
        <v>0</v>
      </c>
      <c r="AE1078" s="2892"/>
      <c r="AF1078" s="279"/>
      <c r="AG1078" s="62" t="s">
        <v>1054</v>
      </c>
      <c r="AH1078" s="1944" t="s">
        <v>576</v>
      </c>
      <c r="AI1078" s="1944" t="s">
        <v>473</v>
      </c>
      <c r="AJ1078" s="2569">
        <v>4</v>
      </c>
      <c r="AK1078" s="2570"/>
      <c r="AL1078" s="2559">
        <f t="shared" ref="AL1078:AL1085" si="338">+Q1078</f>
        <v>20582.887999999999</v>
      </c>
      <c r="AM1078" s="2560"/>
      <c r="AN1078" s="2559">
        <f>AJ1078*AL1078</f>
        <v>82331.551999999996</v>
      </c>
      <c r="AO1078" s="2560"/>
    </row>
    <row r="1079" spans="1:41" ht="15.95" customHeight="1" x14ac:dyDescent="0.3">
      <c r="A1079" s="2663" t="s">
        <v>991</v>
      </c>
      <c r="B1079" s="2664"/>
      <c r="C1079" s="60"/>
      <c r="D1079" s="60"/>
      <c r="E1079" s="1948"/>
      <c r="F1079" s="1944"/>
      <c r="G1079" s="2576"/>
      <c r="H1079" s="2880"/>
      <c r="I1079" s="2576"/>
      <c r="J1079" s="2880"/>
      <c r="K1079" s="279"/>
      <c r="L1079" s="62" t="s">
        <v>861</v>
      </c>
      <c r="M1079" s="1944" t="s">
        <v>592</v>
      </c>
      <c r="N1079" s="1944" t="s">
        <v>473</v>
      </c>
      <c r="O1079" s="2703">
        <v>3</v>
      </c>
      <c r="P1079" s="2704"/>
      <c r="Q1079" s="2559">
        <f>57657*1.0928</f>
        <v>63007.569600000003</v>
      </c>
      <c r="R1079" s="2560"/>
      <c r="S1079" s="2559">
        <f t="shared" si="337"/>
        <v>189022.70880000002</v>
      </c>
      <c r="T1079" s="2560"/>
      <c r="U1079" s="26"/>
      <c r="V1079" s="2663" t="s">
        <v>991</v>
      </c>
      <c r="W1079" s="2664"/>
      <c r="X1079" s="1945"/>
      <c r="Y1079" s="60"/>
      <c r="Z1079" s="1948"/>
      <c r="AA1079" s="1944"/>
      <c r="AB1079" s="2576"/>
      <c r="AC1079" s="2880"/>
      <c r="AD1079" s="2576"/>
      <c r="AE1079" s="2880"/>
      <c r="AF1079" s="279"/>
      <c r="AG1079" s="62" t="s">
        <v>861</v>
      </c>
      <c r="AH1079" s="1944" t="s">
        <v>592</v>
      </c>
      <c r="AI1079" s="1944" t="s">
        <v>473</v>
      </c>
      <c r="AJ1079" s="2569">
        <v>3</v>
      </c>
      <c r="AK1079" s="2570"/>
      <c r="AL1079" s="2559">
        <f t="shared" si="338"/>
        <v>63007.569600000003</v>
      </c>
      <c r="AM1079" s="2560"/>
      <c r="AN1079" s="2559">
        <f t="shared" ref="AN1079:AN1092" si="339">AJ1079*AL1079</f>
        <v>189022.70880000002</v>
      </c>
      <c r="AO1079" s="2560"/>
    </row>
    <row r="1080" spans="1:41" ht="15.95" customHeight="1" x14ac:dyDescent="0.3">
      <c r="A1080" s="2663" t="s">
        <v>981</v>
      </c>
      <c r="B1080" s="2664"/>
      <c r="C1080" s="60"/>
      <c r="D1080" s="60"/>
      <c r="E1080" s="1948"/>
      <c r="F1080" s="1944"/>
      <c r="G1080" s="2576"/>
      <c r="H1080" s="2880"/>
      <c r="I1080" s="2576"/>
      <c r="J1080" s="2880"/>
      <c r="K1080" s="279"/>
      <c r="L1080" s="62" t="s">
        <v>861</v>
      </c>
      <c r="M1080" s="1944" t="s">
        <v>487</v>
      </c>
      <c r="N1080" s="1944" t="s">
        <v>452</v>
      </c>
      <c r="O1080" s="2703">
        <v>0.6</v>
      </c>
      <c r="P1080" s="2704"/>
      <c r="Q1080" s="2559">
        <f>404494*1.0928</f>
        <v>442031.04320000001</v>
      </c>
      <c r="R1080" s="2560"/>
      <c r="S1080" s="2559">
        <f t="shared" si="337"/>
        <v>265218.62592000002</v>
      </c>
      <c r="T1080" s="2560"/>
      <c r="U1080" s="26"/>
      <c r="V1080" s="2663" t="s">
        <v>981</v>
      </c>
      <c r="W1080" s="2664"/>
      <c r="X1080" s="1945"/>
      <c r="Y1080" s="60"/>
      <c r="Z1080" s="1948"/>
      <c r="AA1080" s="1944"/>
      <c r="AB1080" s="2576"/>
      <c r="AC1080" s="2880"/>
      <c r="AD1080" s="2576"/>
      <c r="AE1080" s="2880"/>
      <c r="AF1080" s="279"/>
      <c r="AG1080" s="62" t="s">
        <v>861</v>
      </c>
      <c r="AH1080" s="1944" t="s">
        <v>487</v>
      </c>
      <c r="AI1080" s="1944" t="s">
        <v>452</v>
      </c>
      <c r="AJ1080" s="2569">
        <v>1.2</v>
      </c>
      <c r="AK1080" s="2570"/>
      <c r="AL1080" s="2559">
        <f t="shared" si="338"/>
        <v>442031.04320000001</v>
      </c>
      <c r="AM1080" s="2560"/>
      <c r="AN1080" s="2559">
        <f t="shared" si="339"/>
        <v>530437.25184000004</v>
      </c>
      <c r="AO1080" s="2560"/>
    </row>
    <row r="1081" spans="1:41" ht="15.95" customHeight="1" x14ac:dyDescent="0.3">
      <c r="A1081" s="2663" t="s">
        <v>992</v>
      </c>
      <c r="B1081" s="2664"/>
      <c r="C1081" s="60"/>
      <c r="D1081" s="60"/>
      <c r="E1081" s="1948"/>
      <c r="F1081" s="1944"/>
      <c r="G1081" s="2576"/>
      <c r="H1081" s="2880"/>
      <c r="I1081" s="2576"/>
      <c r="J1081" s="2880"/>
      <c r="K1081" s="279"/>
      <c r="L1081" s="62" t="s">
        <v>573</v>
      </c>
      <c r="M1081" s="1944" t="s">
        <v>791</v>
      </c>
      <c r="N1081" s="1944" t="s">
        <v>452</v>
      </c>
      <c r="O1081" s="2569">
        <v>6</v>
      </c>
      <c r="P1081" s="2570"/>
      <c r="Q1081" s="2559">
        <v>25849</v>
      </c>
      <c r="R1081" s="2560"/>
      <c r="S1081" s="2559">
        <f t="shared" si="337"/>
        <v>155094</v>
      </c>
      <c r="T1081" s="2560"/>
      <c r="U1081" s="26"/>
      <c r="V1081" s="2663" t="s">
        <v>992</v>
      </c>
      <c r="W1081" s="2664"/>
      <c r="X1081" s="1945"/>
      <c r="Y1081" s="60"/>
      <c r="Z1081" s="1948"/>
      <c r="AA1081" s="1944"/>
      <c r="AB1081" s="2576"/>
      <c r="AC1081" s="2880"/>
      <c r="AD1081" s="2576"/>
      <c r="AE1081" s="2880"/>
      <c r="AF1081" s="279"/>
      <c r="AG1081" s="62" t="s">
        <v>573</v>
      </c>
      <c r="AH1081" s="1944" t="s">
        <v>791</v>
      </c>
      <c r="AI1081" s="1944" t="s">
        <v>452</v>
      </c>
      <c r="AJ1081" s="2569">
        <v>8</v>
      </c>
      <c r="AK1081" s="2570"/>
      <c r="AL1081" s="2559">
        <f t="shared" si="338"/>
        <v>25849</v>
      </c>
      <c r="AM1081" s="2560"/>
      <c r="AN1081" s="2559">
        <f t="shared" si="339"/>
        <v>206792</v>
      </c>
      <c r="AO1081" s="2560"/>
    </row>
    <row r="1082" spans="1:41" ht="15.95" customHeight="1" x14ac:dyDescent="0.35">
      <c r="A1082" s="2667" t="s">
        <v>993</v>
      </c>
      <c r="B1082" s="2668"/>
      <c r="C1082" s="1945"/>
      <c r="D1082" s="60"/>
      <c r="E1082" s="1948"/>
      <c r="F1082" s="1944"/>
      <c r="G1082" s="2576"/>
      <c r="H1082" s="2880"/>
      <c r="I1082" s="2565">
        <f>SUM(I1083:J1092)</f>
        <v>1504000</v>
      </c>
      <c r="J1082" s="2892"/>
      <c r="K1082" s="279"/>
      <c r="L1082" s="62" t="s">
        <v>573</v>
      </c>
      <c r="M1082" s="1944" t="s">
        <v>612</v>
      </c>
      <c r="N1082" s="1944" t="s">
        <v>452</v>
      </c>
      <c r="O1082" s="2569">
        <v>3</v>
      </c>
      <c r="P1082" s="2570"/>
      <c r="Q1082" s="2559">
        <f>104963*1.0928</f>
        <v>114703.5664</v>
      </c>
      <c r="R1082" s="2560"/>
      <c r="S1082" s="2559">
        <f t="shared" si="337"/>
        <v>344110.69919999997</v>
      </c>
      <c r="T1082" s="2560"/>
      <c r="U1082" s="26"/>
      <c r="V1082" s="2667" t="s">
        <v>993</v>
      </c>
      <c r="W1082" s="2668"/>
      <c r="X1082" s="1942"/>
      <c r="Y1082" s="60"/>
      <c r="Z1082" s="1948"/>
      <c r="AA1082" s="1944"/>
      <c r="AB1082" s="2576"/>
      <c r="AC1082" s="2880"/>
      <c r="AD1082" s="2565">
        <f>SUM(AD1083:AE1092)</f>
        <v>282000</v>
      </c>
      <c r="AE1082" s="2892"/>
      <c r="AF1082" s="279"/>
      <c r="AG1082" s="62" t="s">
        <v>573</v>
      </c>
      <c r="AH1082" s="1944" t="s">
        <v>612</v>
      </c>
      <c r="AI1082" s="1944" t="s">
        <v>452</v>
      </c>
      <c r="AJ1082" s="2569">
        <v>8</v>
      </c>
      <c r="AK1082" s="2570"/>
      <c r="AL1082" s="2559">
        <f t="shared" si="338"/>
        <v>114703.5664</v>
      </c>
      <c r="AM1082" s="2560"/>
      <c r="AN1082" s="2559">
        <f t="shared" si="339"/>
        <v>917628.53119999997</v>
      </c>
      <c r="AO1082" s="2560"/>
    </row>
    <row r="1083" spans="1:41" ht="15.95" customHeight="1" x14ac:dyDescent="0.2">
      <c r="A1083" s="2663" t="s">
        <v>995</v>
      </c>
      <c r="B1083" s="2664"/>
      <c r="C1083" s="60"/>
      <c r="D1083" s="60"/>
      <c r="E1083" s="2569"/>
      <c r="F1083" s="2570"/>
      <c r="G1083" s="2883"/>
      <c r="H1083" s="2884"/>
      <c r="I1083" s="2559">
        <f t="shared" ref="I1083:I1092" si="340">E1083*G1083</f>
        <v>0</v>
      </c>
      <c r="J1083" s="2560"/>
      <c r="K1083" s="279"/>
      <c r="L1083" s="62" t="s">
        <v>535</v>
      </c>
      <c r="M1083" s="1944" t="s">
        <v>753</v>
      </c>
      <c r="N1083" s="1944" t="s">
        <v>809</v>
      </c>
      <c r="O1083" s="2569">
        <v>8</v>
      </c>
      <c r="P1083" s="2570"/>
      <c r="Q1083" s="2895">
        <v>188974</v>
      </c>
      <c r="R1083" s="2896"/>
      <c r="S1083" s="2559">
        <f t="shared" si="337"/>
        <v>1511792</v>
      </c>
      <c r="T1083" s="2560"/>
      <c r="U1083" s="26"/>
      <c r="V1083" s="2663" t="s">
        <v>995</v>
      </c>
      <c r="W1083" s="2664"/>
      <c r="X1083" s="1942"/>
      <c r="Y1083" s="60"/>
      <c r="Z1083" s="1937"/>
      <c r="AA1083" s="89"/>
      <c r="AB1083" s="2559"/>
      <c r="AC1083" s="2560"/>
      <c r="AD1083" s="2559"/>
      <c r="AE1083" s="2560"/>
      <c r="AF1083" s="279"/>
      <c r="AG1083" s="62" t="s">
        <v>535</v>
      </c>
      <c r="AH1083" s="1944" t="s">
        <v>753</v>
      </c>
      <c r="AI1083" s="1944" t="s">
        <v>809</v>
      </c>
      <c r="AJ1083" s="2569">
        <v>10</v>
      </c>
      <c r="AK1083" s="2570"/>
      <c r="AL1083" s="2559">
        <f t="shared" si="338"/>
        <v>188974</v>
      </c>
      <c r="AM1083" s="2560"/>
      <c r="AN1083" s="2559">
        <f t="shared" si="339"/>
        <v>1889740</v>
      </c>
      <c r="AO1083" s="2560"/>
    </row>
    <row r="1084" spans="1:41" ht="15.95" customHeight="1" x14ac:dyDescent="0.3">
      <c r="A1084" s="2663" t="s">
        <v>996</v>
      </c>
      <c r="B1084" s="2664"/>
      <c r="C1084" s="60"/>
      <c r="D1084" s="60"/>
      <c r="E1084" s="1937"/>
      <c r="F1084" s="89"/>
      <c r="G1084" s="2576"/>
      <c r="H1084" s="2880"/>
      <c r="I1084" s="2559">
        <f t="shared" si="340"/>
        <v>0</v>
      </c>
      <c r="J1084" s="2560"/>
      <c r="K1084" s="279"/>
      <c r="L1084" s="62" t="s">
        <v>1676</v>
      </c>
      <c r="M1084" s="1944" t="s">
        <v>459</v>
      </c>
      <c r="N1084" s="1944" t="s">
        <v>809</v>
      </c>
      <c r="O1084" s="2569">
        <v>4</v>
      </c>
      <c r="P1084" s="2570"/>
      <c r="Q1084" s="2559">
        <v>149734</v>
      </c>
      <c r="R1084" s="2560"/>
      <c r="S1084" s="2559">
        <f t="shared" si="337"/>
        <v>598936</v>
      </c>
      <c r="T1084" s="2560"/>
      <c r="U1084" s="26"/>
      <c r="V1084" s="2663" t="s">
        <v>996</v>
      </c>
      <c r="W1084" s="2664"/>
      <c r="X1084" s="1945"/>
      <c r="Y1084" s="60"/>
      <c r="Z1084" s="1937"/>
      <c r="AA1084" s="89"/>
      <c r="AB1084" s="2559"/>
      <c r="AC1084" s="2560"/>
      <c r="AD1084" s="2559">
        <f>Z1084*AB1084</f>
        <v>0</v>
      </c>
      <c r="AE1084" s="2560"/>
      <c r="AF1084" s="279"/>
      <c r="AG1084" s="62" t="s">
        <v>1676</v>
      </c>
      <c r="AH1084" s="1944" t="s">
        <v>459</v>
      </c>
      <c r="AI1084" s="1944" t="s">
        <v>809</v>
      </c>
      <c r="AJ1084" s="2569">
        <v>6</v>
      </c>
      <c r="AK1084" s="2570"/>
      <c r="AL1084" s="2559">
        <f t="shared" si="338"/>
        <v>149734</v>
      </c>
      <c r="AM1084" s="2560"/>
      <c r="AN1084" s="2559">
        <f t="shared" si="339"/>
        <v>898404</v>
      </c>
      <c r="AO1084" s="2560"/>
    </row>
    <row r="1085" spans="1:41" ht="15.95" customHeight="1" x14ac:dyDescent="0.2">
      <c r="A1085" s="2663" t="s">
        <v>469</v>
      </c>
      <c r="B1085" s="2664"/>
      <c r="C1085" s="60"/>
      <c r="D1085" s="60"/>
      <c r="E1085" s="2569"/>
      <c r="F1085" s="2570"/>
      <c r="G1085" s="2559"/>
      <c r="H1085" s="2560"/>
      <c r="I1085" s="2559">
        <f t="shared" si="340"/>
        <v>0</v>
      </c>
      <c r="J1085" s="2560"/>
      <c r="K1085" s="279"/>
      <c r="L1085" s="62" t="s">
        <v>1677</v>
      </c>
      <c r="M1085" s="1944" t="s">
        <v>1049</v>
      </c>
      <c r="N1085" s="1944" t="s">
        <v>809</v>
      </c>
      <c r="O1085" s="2569">
        <v>2</v>
      </c>
      <c r="P1085" s="2570"/>
      <c r="Q1085" s="2559">
        <v>141603</v>
      </c>
      <c r="R1085" s="2560"/>
      <c r="S1085" s="2559">
        <f t="shared" si="337"/>
        <v>283206</v>
      </c>
      <c r="T1085" s="2560"/>
      <c r="U1085" s="26"/>
      <c r="V1085" s="2663" t="s">
        <v>469</v>
      </c>
      <c r="W1085" s="2664"/>
      <c r="X1085" s="1945"/>
      <c r="Y1085" s="60"/>
      <c r="Z1085" s="1937"/>
      <c r="AA1085" s="89"/>
      <c r="AB1085" s="2559"/>
      <c r="AC1085" s="2560"/>
      <c r="AD1085" s="2559"/>
      <c r="AE1085" s="2560"/>
      <c r="AF1085" s="279"/>
      <c r="AG1085" s="62" t="s">
        <v>1677</v>
      </c>
      <c r="AH1085" s="1944" t="s">
        <v>1049</v>
      </c>
      <c r="AI1085" s="1944" t="s">
        <v>809</v>
      </c>
      <c r="AJ1085" s="2569">
        <v>2</v>
      </c>
      <c r="AK1085" s="2570"/>
      <c r="AL1085" s="2559">
        <f t="shared" si="338"/>
        <v>141603</v>
      </c>
      <c r="AM1085" s="2560"/>
      <c r="AN1085" s="2559">
        <f t="shared" si="339"/>
        <v>283206</v>
      </c>
      <c r="AO1085" s="2560"/>
    </row>
    <row r="1086" spans="1:41" ht="15.95" customHeight="1" x14ac:dyDescent="0.2">
      <c r="A1086" s="2663" t="s">
        <v>470</v>
      </c>
      <c r="B1086" s="2664"/>
      <c r="C1086" s="60"/>
      <c r="D1086" s="60"/>
      <c r="E1086" s="2569"/>
      <c r="F1086" s="2570"/>
      <c r="G1086" s="2559"/>
      <c r="H1086" s="2560"/>
      <c r="I1086" s="2559">
        <f t="shared" si="340"/>
        <v>0</v>
      </c>
      <c r="J1086" s="2560"/>
      <c r="K1086" s="279"/>
      <c r="L1086" s="62" t="s">
        <v>1678</v>
      </c>
      <c r="M1086" s="1944" t="s">
        <v>1679</v>
      </c>
      <c r="N1086" s="1944" t="s">
        <v>556</v>
      </c>
      <c r="O1086" s="2569">
        <v>2</v>
      </c>
      <c r="P1086" s="2570"/>
      <c r="Q1086" s="2559">
        <f>189619*1.0928</f>
        <v>207215.64319999999</v>
      </c>
      <c r="R1086" s="2560"/>
      <c r="S1086" s="2559">
        <f t="shared" si="337"/>
        <v>414431.28639999998</v>
      </c>
      <c r="T1086" s="2560"/>
      <c r="U1086" s="26"/>
      <c r="V1086" s="2663" t="s">
        <v>470</v>
      </c>
      <c r="W1086" s="2664"/>
      <c r="X1086" s="1945"/>
      <c r="Y1086" s="60"/>
      <c r="Z1086" s="1937"/>
      <c r="AA1086" s="89"/>
      <c r="AB1086" s="2559"/>
      <c r="AC1086" s="2560"/>
      <c r="AD1086" s="2559"/>
      <c r="AE1086" s="2560"/>
      <c r="AF1086" s="279"/>
      <c r="AG1086" s="62" t="s">
        <v>1678</v>
      </c>
      <c r="AH1086" s="1944" t="s">
        <v>1679</v>
      </c>
      <c r="AI1086" s="1944" t="s">
        <v>556</v>
      </c>
      <c r="AJ1086" s="2569">
        <v>2</v>
      </c>
      <c r="AK1086" s="2570"/>
      <c r="AL1086" s="2559">
        <f>102816*1.0928</f>
        <v>112357.3248</v>
      </c>
      <c r="AM1086" s="2560"/>
      <c r="AN1086" s="2559">
        <f t="shared" si="339"/>
        <v>224714.6496</v>
      </c>
      <c r="AO1086" s="2560"/>
    </row>
    <row r="1087" spans="1:41" ht="15.95" customHeight="1" x14ac:dyDescent="0.3">
      <c r="A1087" s="2663" t="s">
        <v>902</v>
      </c>
      <c r="B1087" s="2664"/>
      <c r="C1087" s="60" t="s">
        <v>496</v>
      </c>
      <c r="D1087" s="60" t="s">
        <v>497</v>
      </c>
      <c r="E1087" s="2569">
        <v>2</v>
      </c>
      <c r="F1087" s="2570"/>
      <c r="G1087" s="2559">
        <v>47000</v>
      </c>
      <c r="H1087" s="2560">
        <f t="shared" ref="H1087:H1091" si="341">(36040*6%)+36040</f>
        <v>38202.400000000001</v>
      </c>
      <c r="I1087" s="2559">
        <f t="shared" si="340"/>
        <v>94000</v>
      </c>
      <c r="J1087" s="2560"/>
      <c r="K1087" s="279"/>
      <c r="L1087" s="62" t="s">
        <v>1680</v>
      </c>
      <c r="M1087" s="1944" t="s">
        <v>1103</v>
      </c>
      <c r="N1087" s="1944" t="s">
        <v>473</v>
      </c>
      <c r="O1087" s="2569">
        <v>8</v>
      </c>
      <c r="P1087" s="2570"/>
      <c r="Q1087" s="2559">
        <f>37913*1.0928</f>
        <v>41431.326399999998</v>
      </c>
      <c r="R1087" s="2560"/>
      <c r="S1087" s="2559">
        <f t="shared" si="337"/>
        <v>331450.61119999998</v>
      </c>
      <c r="T1087" s="2560"/>
      <c r="U1087" s="26"/>
      <c r="V1087" s="2663" t="s">
        <v>902</v>
      </c>
      <c r="W1087" s="2664"/>
      <c r="X1087" s="1942"/>
      <c r="Y1087" s="60"/>
      <c r="Z1087" s="1937"/>
      <c r="AA1087" s="89"/>
      <c r="AB1087" s="2559"/>
      <c r="AC1087" s="2880"/>
      <c r="AD1087" s="2559"/>
      <c r="AE1087" s="2560"/>
      <c r="AF1087" s="279"/>
      <c r="AG1087" s="62" t="s">
        <v>1680</v>
      </c>
      <c r="AH1087" s="1944" t="s">
        <v>1103</v>
      </c>
      <c r="AI1087" s="1944" t="s">
        <v>473</v>
      </c>
      <c r="AJ1087" s="2569">
        <v>8</v>
      </c>
      <c r="AK1087" s="2570"/>
      <c r="AL1087" s="2559">
        <f>+Q1087</f>
        <v>41431.326399999998</v>
      </c>
      <c r="AM1087" s="2560"/>
      <c r="AN1087" s="2559">
        <f t="shared" si="339"/>
        <v>331450.61119999998</v>
      </c>
      <c r="AO1087" s="2560"/>
    </row>
    <row r="1088" spans="1:41" ht="15.95" customHeight="1" x14ac:dyDescent="0.3">
      <c r="A1088" s="2663" t="s">
        <v>998</v>
      </c>
      <c r="B1088" s="2664"/>
      <c r="C1088" s="60" t="s">
        <v>496</v>
      </c>
      <c r="D1088" s="60" t="s">
        <v>497</v>
      </c>
      <c r="E1088" s="2680">
        <v>6</v>
      </c>
      <c r="F1088" s="2681"/>
      <c r="G1088" s="2559">
        <v>47000</v>
      </c>
      <c r="H1088" s="2560">
        <f t="shared" si="341"/>
        <v>38202.400000000001</v>
      </c>
      <c r="I1088" s="2559">
        <f t="shared" si="340"/>
        <v>282000</v>
      </c>
      <c r="J1088" s="2560"/>
      <c r="K1088" s="279"/>
      <c r="L1088" s="62" t="s">
        <v>866</v>
      </c>
      <c r="M1088" s="1947" t="s">
        <v>1681</v>
      </c>
      <c r="N1088" s="60" t="s">
        <v>556</v>
      </c>
      <c r="O1088" s="2569">
        <v>1</v>
      </c>
      <c r="P1088" s="2570"/>
      <c r="Q1088" s="2559">
        <f>184500*1.0928</f>
        <v>201621.6</v>
      </c>
      <c r="R1088" s="2560"/>
      <c r="S1088" s="2559">
        <f t="shared" si="337"/>
        <v>201621.6</v>
      </c>
      <c r="T1088" s="2560"/>
      <c r="U1088" s="26"/>
      <c r="V1088" s="2663" t="s">
        <v>998</v>
      </c>
      <c r="W1088" s="2664"/>
      <c r="X1088" s="1945"/>
      <c r="Y1088" s="60"/>
      <c r="Z1088" s="1948"/>
      <c r="AA1088" s="1944"/>
      <c r="AB1088" s="2559"/>
      <c r="AC1088" s="2880"/>
      <c r="AD1088" s="2559">
        <f>+AB1088*Z1088</f>
        <v>0</v>
      </c>
      <c r="AE1088" s="2560"/>
      <c r="AF1088" s="279"/>
      <c r="AG1088" s="62" t="s">
        <v>866</v>
      </c>
      <c r="AH1088" s="1947" t="s">
        <v>1681</v>
      </c>
      <c r="AI1088" s="60" t="s">
        <v>556</v>
      </c>
      <c r="AJ1088" s="2703">
        <v>0.5</v>
      </c>
      <c r="AK1088" s="2704"/>
      <c r="AL1088" s="2559">
        <f>+Q1088</f>
        <v>201621.6</v>
      </c>
      <c r="AM1088" s="2560"/>
      <c r="AN1088" s="2559">
        <f t="shared" si="339"/>
        <v>100810.8</v>
      </c>
      <c r="AO1088" s="2560"/>
    </row>
    <row r="1089" spans="1:41" ht="15.95" customHeight="1" x14ac:dyDescent="0.3">
      <c r="A1089" s="2663" t="s">
        <v>999</v>
      </c>
      <c r="B1089" s="2664"/>
      <c r="C1089" s="60" t="s">
        <v>496</v>
      </c>
      <c r="D1089" s="60" t="s">
        <v>497</v>
      </c>
      <c r="E1089" s="2680">
        <v>2</v>
      </c>
      <c r="F1089" s="2681"/>
      <c r="G1089" s="2559">
        <v>47000</v>
      </c>
      <c r="H1089" s="2560">
        <f t="shared" si="341"/>
        <v>38202.400000000001</v>
      </c>
      <c r="I1089" s="2559">
        <f t="shared" si="340"/>
        <v>94000</v>
      </c>
      <c r="J1089" s="2560"/>
      <c r="K1089" s="279"/>
      <c r="L1089" s="62" t="s">
        <v>801</v>
      </c>
      <c r="M1089" s="1944"/>
      <c r="N1089" s="1944"/>
      <c r="O1089" s="1937"/>
      <c r="P1089" s="89"/>
      <c r="Q1089" s="2559"/>
      <c r="R1089" s="2560"/>
      <c r="S1089" s="2559">
        <f t="shared" si="337"/>
        <v>0</v>
      </c>
      <c r="T1089" s="2560"/>
      <c r="U1089" s="26"/>
      <c r="V1089" s="2663" t="s">
        <v>999</v>
      </c>
      <c r="W1089" s="2664"/>
      <c r="X1089" s="1945"/>
      <c r="Y1089" s="60"/>
      <c r="Z1089" s="1948"/>
      <c r="AA1089" s="1944"/>
      <c r="AB1089" s="2576"/>
      <c r="AC1089" s="2880"/>
      <c r="AD1089" s="2559"/>
      <c r="AE1089" s="2560"/>
      <c r="AF1089" s="279"/>
      <c r="AG1089" s="62" t="s">
        <v>1684</v>
      </c>
      <c r="AH1089" s="1944"/>
      <c r="AI1089" s="1944" t="s">
        <v>497</v>
      </c>
      <c r="AJ1089" s="2559">
        <v>2500</v>
      </c>
      <c r="AK1089" s="2560"/>
      <c r="AL1089" s="2559">
        <f>239*1.0928</f>
        <v>261.17919999999998</v>
      </c>
      <c r="AM1089" s="2560"/>
      <c r="AN1089" s="2559">
        <f t="shared" si="339"/>
        <v>652948</v>
      </c>
      <c r="AO1089" s="2560"/>
    </row>
    <row r="1090" spans="1:41" ht="15.95" customHeight="1" x14ac:dyDescent="0.2">
      <c r="A1090" s="2663" t="s">
        <v>873</v>
      </c>
      <c r="B1090" s="2664"/>
      <c r="C1090" s="60" t="s">
        <v>496</v>
      </c>
      <c r="D1090" s="60" t="s">
        <v>497</v>
      </c>
      <c r="E1090" s="2680">
        <v>14</v>
      </c>
      <c r="F1090" s="2681"/>
      <c r="G1090" s="2559">
        <v>47000</v>
      </c>
      <c r="H1090" s="2560">
        <f t="shared" si="341"/>
        <v>38202.400000000001</v>
      </c>
      <c r="I1090" s="2559">
        <f t="shared" si="340"/>
        <v>658000</v>
      </c>
      <c r="J1090" s="2560"/>
      <c r="K1090" s="279"/>
      <c r="L1090" s="62" t="s">
        <v>575</v>
      </c>
      <c r="M1090" s="1944"/>
      <c r="N1090" s="1944"/>
      <c r="O1090" s="1937"/>
      <c r="P1090" s="89"/>
      <c r="Q1090" s="2559"/>
      <c r="R1090" s="2560"/>
      <c r="S1090" s="2559">
        <f t="shared" si="337"/>
        <v>0</v>
      </c>
      <c r="T1090" s="2560"/>
      <c r="U1090" s="26"/>
      <c r="V1090" s="2663" t="s">
        <v>873</v>
      </c>
      <c r="W1090" s="2664"/>
      <c r="X1090" s="60" t="s">
        <v>496</v>
      </c>
      <c r="Y1090" s="60" t="s">
        <v>497</v>
      </c>
      <c r="Z1090" s="2680">
        <v>6</v>
      </c>
      <c r="AA1090" s="2681"/>
      <c r="AB1090" s="2559">
        <v>47000</v>
      </c>
      <c r="AC1090" s="2560">
        <f t="shared" ref="AC1090" si="342">(36040*6%)+36040</f>
        <v>38202.400000000001</v>
      </c>
      <c r="AD1090" s="2559">
        <f>+AB1090*Z1090</f>
        <v>282000</v>
      </c>
      <c r="AE1090" s="2560"/>
      <c r="AF1090" s="279"/>
      <c r="AG1090" s="62" t="s">
        <v>575</v>
      </c>
      <c r="AH1090" s="188"/>
      <c r="AI1090" s="170"/>
      <c r="AJ1090" s="2559"/>
      <c r="AK1090" s="2560"/>
      <c r="AL1090" s="2559"/>
      <c r="AM1090" s="2560"/>
      <c r="AN1090" s="2559">
        <f t="shared" si="339"/>
        <v>0</v>
      </c>
      <c r="AO1090" s="2560"/>
    </row>
    <row r="1091" spans="1:41" ht="15.95" customHeight="1" x14ac:dyDescent="0.3">
      <c r="A1091" s="2663" t="s">
        <v>1000</v>
      </c>
      <c r="B1091" s="2664"/>
      <c r="C1091" s="60" t="s">
        <v>496</v>
      </c>
      <c r="D1091" s="60" t="s">
        <v>497</v>
      </c>
      <c r="E1091" s="2680">
        <v>8</v>
      </c>
      <c r="F1091" s="2681"/>
      <c r="G1091" s="2559">
        <v>47000</v>
      </c>
      <c r="H1091" s="2560">
        <f t="shared" si="341"/>
        <v>38202.400000000001</v>
      </c>
      <c r="I1091" s="2559">
        <f t="shared" si="340"/>
        <v>376000</v>
      </c>
      <c r="J1091" s="2560"/>
      <c r="K1091" s="279"/>
      <c r="L1091" s="62" t="s">
        <v>874</v>
      </c>
      <c r="M1091" s="1944"/>
      <c r="N1091" s="1944"/>
      <c r="O1091" s="1937"/>
      <c r="P1091" s="89"/>
      <c r="Q1091" s="2559"/>
      <c r="R1091" s="2560"/>
      <c r="S1091" s="2559">
        <f t="shared" si="337"/>
        <v>0</v>
      </c>
      <c r="T1091" s="2560"/>
      <c r="U1091" s="26"/>
      <c r="V1091" s="2663" t="s">
        <v>1000</v>
      </c>
      <c r="W1091" s="2664"/>
      <c r="X1091" s="1945"/>
      <c r="Y1091" s="60"/>
      <c r="Z1091" s="1948"/>
      <c r="AA1091" s="1944"/>
      <c r="AB1091" s="2559"/>
      <c r="AC1091" s="2880"/>
      <c r="AD1091" s="2559">
        <f>+AB1091*Z1091</f>
        <v>0</v>
      </c>
      <c r="AE1091" s="2560"/>
      <c r="AF1091" s="279"/>
      <c r="AG1091" s="62" t="s">
        <v>874</v>
      </c>
      <c r="AH1091" s="188"/>
      <c r="AI1091" s="170"/>
      <c r="AJ1091" s="2559"/>
      <c r="AK1091" s="2560"/>
      <c r="AL1091" s="2559"/>
      <c r="AM1091" s="2560"/>
      <c r="AN1091" s="2559">
        <f t="shared" si="339"/>
        <v>0</v>
      </c>
      <c r="AO1091" s="2560"/>
    </row>
    <row r="1092" spans="1:41" ht="15.95" customHeight="1" x14ac:dyDescent="0.3">
      <c r="A1092" s="2663" t="s">
        <v>504</v>
      </c>
      <c r="B1092" s="2664"/>
      <c r="C1092" s="1945"/>
      <c r="D1092" s="60"/>
      <c r="E1092" s="1948"/>
      <c r="F1092" s="1944"/>
      <c r="G1092" s="2576"/>
      <c r="H1092" s="2880"/>
      <c r="I1092" s="2559">
        <f t="shared" si="340"/>
        <v>0</v>
      </c>
      <c r="J1092" s="2560"/>
      <c r="K1092" s="279"/>
      <c r="L1092" s="75" t="s">
        <v>515</v>
      </c>
      <c r="M1092" s="60"/>
      <c r="N1092" s="60"/>
      <c r="O1092" s="1937"/>
      <c r="P1092" s="89"/>
      <c r="Q1092" s="2643"/>
      <c r="R1092" s="2643"/>
      <c r="S1092" s="2559">
        <f t="shared" si="337"/>
        <v>0</v>
      </c>
      <c r="T1092" s="2560"/>
      <c r="U1092" s="26"/>
      <c r="V1092" s="2663" t="s">
        <v>504</v>
      </c>
      <c r="W1092" s="2664"/>
      <c r="X1092" s="1945"/>
      <c r="Y1092" s="60"/>
      <c r="Z1092" s="1948"/>
      <c r="AA1092" s="1944"/>
      <c r="AB1092" s="2576"/>
      <c r="AC1092" s="2880"/>
      <c r="AD1092" s="2559"/>
      <c r="AE1092" s="2560"/>
      <c r="AF1092" s="279"/>
      <c r="AG1092" s="75" t="s">
        <v>515</v>
      </c>
      <c r="AH1092" s="197"/>
      <c r="AI1092" s="120"/>
      <c r="AJ1092" s="2643"/>
      <c r="AK1092" s="2643"/>
      <c r="AL1092" s="2643"/>
      <c r="AM1092" s="2643"/>
      <c r="AN1092" s="2559">
        <f t="shared" si="339"/>
        <v>0</v>
      </c>
      <c r="AO1092" s="2560"/>
    </row>
    <row r="1093" spans="1:41" ht="15.95" customHeight="1" x14ac:dyDescent="0.35">
      <c r="A1093" s="2667" t="s">
        <v>1001</v>
      </c>
      <c r="B1093" s="2668"/>
      <c r="C1093" s="1945"/>
      <c r="D1093" s="60"/>
      <c r="E1093" s="1948"/>
      <c r="F1093" s="1944"/>
      <c r="G1093" s="2576"/>
      <c r="H1093" s="2880"/>
      <c r="I1093" s="2565">
        <f>SUM(I1094:J1111)</f>
        <v>2679000</v>
      </c>
      <c r="J1093" s="2892"/>
      <c r="K1093" s="279"/>
      <c r="L1093" s="75" t="s">
        <v>805</v>
      </c>
      <c r="M1093" s="1946"/>
      <c r="N1093" s="60" t="s">
        <v>794</v>
      </c>
      <c r="O1093" s="1937"/>
      <c r="P1093" s="89"/>
      <c r="Q1093" s="2643"/>
      <c r="R1093" s="2643"/>
      <c r="S1093" s="2643">
        <f>350000*1.0928</f>
        <v>382480</v>
      </c>
      <c r="T1093" s="2643"/>
      <c r="U1093" s="123"/>
      <c r="V1093" s="2667" t="s">
        <v>1001</v>
      </c>
      <c r="W1093" s="2668"/>
      <c r="X1093" s="1945"/>
      <c r="Y1093" s="60"/>
      <c r="Z1093" s="1948"/>
      <c r="AA1093" s="1944"/>
      <c r="AB1093" s="2576"/>
      <c r="AC1093" s="2880"/>
      <c r="AD1093" s="2565">
        <f>SUM(AD1094:AE1111)</f>
        <v>5593000</v>
      </c>
      <c r="AE1093" s="2892"/>
      <c r="AF1093" s="279"/>
      <c r="AG1093" s="75" t="s">
        <v>805</v>
      </c>
      <c r="AH1093" s="197"/>
      <c r="AI1093" s="120"/>
      <c r="AJ1093" s="2643"/>
      <c r="AK1093" s="2643"/>
      <c r="AL1093" s="2643"/>
      <c r="AM1093" s="2643"/>
      <c r="AN1093" s="2643"/>
      <c r="AO1093" s="2643"/>
    </row>
    <row r="1094" spans="1:41" ht="15.95" customHeight="1" x14ac:dyDescent="0.2">
      <c r="A1094" s="2663" t="s">
        <v>852</v>
      </c>
      <c r="B1094" s="2664"/>
      <c r="C1094" s="60" t="s">
        <v>496</v>
      </c>
      <c r="D1094" s="60" t="s">
        <v>497</v>
      </c>
      <c r="E1094" s="2569">
        <v>5</v>
      </c>
      <c r="F1094" s="2570"/>
      <c r="G1094" s="2559">
        <v>47000</v>
      </c>
      <c r="H1094" s="2560">
        <f t="shared" ref="H1094:H1095" si="343">(36040*6%)+36040</f>
        <v>38202.400000000001</v>
      </c>
      <c r="I1094" s="2559">
        <f t="shared" ref="I1094:I1111" si="344">E1094*G1094</f>
        <v>235000</v>
      </c>
      <c r="J1094" s="2560"/>
      <c r="K1094" s="279"/>
      <c r="L1094" s="199" t="s">
        <v>876</v>
      </c>
      <c r="M1094" s="53"/>
      <c r="N1094" s="200"/>
      <c r="O1094" s="2893"/>
      <c r="P1094" s="2893"/>
      <c r="Q1094" s="2893"/>
      <c r="R1094" s="2893"/>
      <c r="S1094" s="2894">
        <f>SUM(S1076:T1093)</f>
        <v>9267798.8819199987</v>
      </c>
      <c r="T1094" s="2894"/>
      <c r="U1094" s="125"/>
      <c r="V1094" s="2663" t="s">
        <v>852</v>
      </c>
      <c r="W1094" s="2664"/>
      <c r="X1094" s="1945"/>
      <c r="Y1094" s="60"/>
      <c r="Z1094" s="1937"/>
      <c r="AA1094" s="89"/>
      <c r="AB1094" s="2559"/>
      <c r="AC1094" s="2560"/>
      <c r="AD1094" s="2559"/>
      <c r="AE1094" s="2560"/>
      <c r="AF1094" s="279"/>
      <c r="AG1094" s="199" t="s">
        <v>876</v>
      </c>
      <c r="AH1094" s="53"/>
      <c r="AI1094" s="200"/>
      <c r="AJ1094" s="2893"/>
      <c r="AK1094" s="2893"/>
      <c r="AL1094" s="2893"/>
      <c r="AM1094" s="2893"/>
      <c r="AN1094" s="2894">
        <f>SUM(AN1076:AO1092)</f>
        <v>6307486.1046400005</v>
      </c>
      <c r="AO1094" s="2894"/>
    </row>
    <row r="1095" spans="1:41" ht="15.95" customHeight="1" x14ac:dyDescent="0.2">
      <c r="A1095" s="2663" t="s">
        <v>495</v>
      </c>
      <c r="B1095" s="2664"/>
      <c r="C1095" s="60" t="s">
        <v>496</v>
      </c>
      <c r="D1095" s="60" t="s">
        <v>497</v>
      </c>
      <c r="E1095" s="2569">
        <v>1</v>
      </c>
      <c r="F1095" s="2570"/>
      <c r="G1095" s="2559">
        <v>47000</v>
      </c>
      <c r="H1095" s="2560">
        <f t="shared" si="343"/>
        <v>38202.400000000001</v>
      </c>
      <c r="I1095" s="2559">
        <f t="shared" si="344"/>
        <v>47000</v>
      </c>
      <c r="J1095" s="2560"/>
      <c r="K1095" s="279"/>
      <c r="L1095" s="148"/>
      <c r="M1095" s="197"/>
      <c r="N1095" s="120"/>
      <c r="O1095" s="2643"/>
      <c r="P1095" s="2643"/>
      <c r="Q1095" s="2643"/>
      <c r="R1095" s="2643"/>
      <c r="S1095" s="2643"/>
      <c r="T1095" s="2643"/>
      <c r="U1095" s="123"/>
      <c r="V1095" s="2663" t="s">
        <v>495</v>
      </c>
      <c r="W1095" s="2664"/>
      <c r="X1095" s="1945"/>
      <c r="Y1095" s="60"/>
      <c r="Z1095" s="1937"/>
      <c r="AA1095" s="89"/>
      <c r="AB1095" s="2559"/>
      <c r="AC1095" s="2560"/>
      <c r="AD1095" s="2559"/>
      <c r="AE1095" s="2560"/>
      <c r="AF1095" s="279"/>
      <c r="AG1095" s="148"/>
      <c r="AH1095" s="197"/>
      <c r="AI1095" s="120"/>
      <c r="AJ1095" s="2643"/>
      <c r="AK1095" s="2643"/>
      <c r="AL1095" s="2643"/>
      <c r="AM1095" s="2643"/>
      <c r="AN1095" s="2643"/>
      <c r="AO1095" s="2643"/>
    </row>
    <row r="1096" spans="1:41" ht="15.95" customHeight="1" x14ac:dyDescent="0.3">
      <c r="A1096" s="2663" t="s">
        <v>1003</v>
      </c>
      <c r="B1096" s="2664"/>
      <c r="C1096" s="60"/>
      <c r="D1096" s="60"/>
      <c r="E1096" s="1948"/>
      <c r="F1096" s="1944"/>
      <c r="G1096" s="2576"/>
      <c r="H1096" s="2880"/>
      <c r="I1096" s="2559">
        <f t="shared" si="344"/>
        <v>0</v>
      </c>
      <c r="J1096" s="2560"/>
      <c r="K1096" s="279"/>
      <c r="L1096" s="282" t="s">
        <v>806</v>
      </c>
      <c r="M1096" s="145"/>
      <c r="N1096" s="145"/>
      <c r="O1096" s="2890"/>
      <c r="P1096" s="2890"/>
      <c r="Q1096" s="2890"/>
      <c r="R1096" s="2890"/>
      <c r="S1096" s="2890"/>
      <c r="T1096" s="2891"/>
      <c r="U1096" s="26"/>
      <c r="V1096" s="2663" t="s">
        <v>1003</v>
      </c>
      <c r="W1096" s="2664"/>
      <c r="X1096" s="1945"/>
      <c r="Y1096" s="60"/>
      <c r="Z1096" s="1948"/>
      <c r="AA1096" s="1944"/>
      <c r="AB1096" s="2559"/>
      <c r="AC1096" s="2880"/>
      <c r="AD1096" s="2559">
        <f>+AB1096*Z1096</f>
        <v>0</v>
      </c>
      <c r="AE1096" s="2560"/>
      <c r="AF1096" s="279"/>
      <c r="AG1096" s="282" t="s">
        <v>806</v>
      </c>
      <c r="AH1096" s="145"/>
      <c r="AI1096" s="145"/>
      <c r="AJ1096" s="2890"/>
      <c r="AK1096" s="2890"/>
      <c r="AL1096" s="2890"/>
      <c r="AM1096" s="2890"/>
      <c r="AN1096" s="2890"/>
      <c r="AO1096" s="2891"/>
    </row>
    <row r="1097" spans="1:41" ht="15.95" customHeight="1" x14ac:dyDescent="0.3">
      <c r="A1097" s="2663" t="s">
        <v>1004</v>
      </c>
      <c r="B1097" s="2664"/>
      <c r="C1097" s="1945"/>
      <c r="D1097" s="60"/>
      <c r="E1097" s="1948"/>
      <c r="F1097" s="1944"/>
      <c r="G1097" s="2576"/>
      <c r="H1097" s="2880"/>
      <c r="I1097" s="2559">
        <f t="shared" si="344"/>
        <v>0</v>
      </c>
      <c r="J1097" s="2560"/>
      <c r="K1097" s="279"/>
      <c r="L1097" s="148" t="s">
        <v>1005</v>
      </c>
      <c r="M1097" s="270">
        <v>0.05</v>
      </c>
      <c r="N1097" s="45"/>
      <c r="O1097" s="2575"/>
      <c r="P1097" s="2575"/>
      <c r="Q1097" s="2575"/>
      <c r="R1097" s="2575"/>
      <c r="S1097" s="2575">
        <f>+(S1094+I1119)*0.05</f>
        <v>691663.94409599993</v>
      </c>
      <c r="T1097" s="2560"/>
      <c r="U1097" s="26"/>
      <c r="V1097" s="2663" t="s">
        <v>1004</v>
      </c>
      <c r="W1097" s="2664"/>
      <c r="X1097" s="1945"/>
      <c r="Y1097" s="60"/>
      <c r="Z1097" s="1948"/>
      <c r="AA1097" s="1944"/>
      <c r="AB1097" s="2576"/>
      <c r="AC1097" s="2880"/>
      <c r="AD1097" s="2559"/>
      <c r="AE1097" s="2560"/>
      <c r="AF1097" s="279"/>
      <c r="AG1097" s="148" t="s">
        <v>1005</v>
      </c>
      <c r="AH1097" s="283" t="s">
        <v>1042</v>
      </c>
      <c r="AI1097" s="45"/>
      <c r="AJ1097" s="2575"/>
      <c r="AK1097" s="2575"/>
      <c r="AL1097" s="2575"/>
      <c r="AM1097" s="2575"/>
      <c r="AN1097" s="2575">
        <f>+(AN1094+AD1119)*0.05</f>
        <v>745370.05227896897</v>
      </c>
      <c r="AO1097" s="2560"/>
    </row>
    <row r="1098" spans="1:41" ht="15.95" customHeight="1" x14ac:dyDescent="0.3">
      <c r="A1098" s="2663" t="s">
        <v>1006</v>
      </c>
      <c r="B1098" s="2664"/>
      <c r="C1098" s="1945"/>
      <c r="D1098" s="60"/>
      <c r="E1098" s="1948"/>
      <c r="F1098" s="1944"/>
      <c r="G1098" s="2576"/>
      <c r="H1098" s="2880"/>
      <c r="I1098" s="2559">
        <f t="shared" si="344"/>
        <v>0</v>
      </c>
      <c r="J1098" s="2560"/>
      <c r="K1098" s="279"/>
      <c r="L1098" s="151" t="s">
        <v>527</v>
      </c>
      <c r="M1098" s="45"/>
      <c r="N1098" s="45"/>
      <c r="O1098" s="2575"/>
      <c r="P1098" s="2575"/>
      <c r="Q1098" s="2575"/>
      <c r="R1098" s="2575"/>
      <c r="S1098" s="2575">
        <f>150000*1.0928</f>
        <v>163920</v>
      </c>
      <c r="T1098" s="2560"/>
      <c r="U1098" s="26"/>
      <c r="V1098" s="2663" t="s">
        <v>1006</v>
      </c>
      <c r="W1098" s="2664"/>
      <c r="X1098" s="1945"/>
      <c r="Y1098" s="60"/>
      <c r="Z1098" s="1948"/>
      <c r="AA1098" s="1944"/>
      <c r="AB1098" s="2576"/>
      <c r="AC1098" s="2880"/>
      <c r="AD1098" s="2559"/>
      <c r="AE1098" s="2560"/>
      <c r="AF1098" s="279"/>
      <c r="AG1098" s="151" t="s">
        <v>527</v>
      </c>
      <c r="AH1098" s="45"/>
      <c r="AI1098" s="45"/>
      <c r="AJ1098" s="2575"/>
      <c r="AK1098" s="2575"/>
      <c r="AL1098" s="2575"/>
      <c r="AM1098" s="2575"/>
      <c r="AN1098" s="2575">
        <f>150000*1.0928</f>
        <v>163920</v>
      </c>
      <c r="AO1098" s="2560"/>
    </row>
    <row r="1099" spans="1:41" ht="15.95" customHeight="1" x14ac:dyDescent="0.3">
      <c r="A1099" s="2663" t="s">
        <v>1007</v>
      </c>
      <c r="B1099" s="2664"/>
      <c r="C1099" s="1945"/>
      <c r="D1099" s="60"/>
      <c r="E1099" s="1948"/>
      <c r="F1099" s="1944"/>
      <c r="G1099" s="2576"/>
      <c r="H1099" s="2880"/>
      <c r="I1099" s="2559">
        <f t="shared" si="344"/>
        <v>0</v>
      </c>
      <c r="J1099" s="2560"/>
      <c r="K1099" s="279"/>
      <c r="L1099" s="152" t="s">
        <v>529</v>
      </c>
      <c r="M1099" s="45"/>
      <c r="N1099" s="45"/>
      <c r="O1099" s="2575"/>
      <c r="P1099" s="2575"/>
      <c r="Q1099" s="2575"/>
      <c r="R1099" s="2575"/>
      <c r="S1099" s="2575">
        <f>450000*1.0928</f>
        <v>491760</v>
      </c>
      <c r="T1099" s="2560"/>
      <c r="U1099" s="26"/>
      <c r="V1099" s="2663" t="s">
        <v>1007</v>
      </c>
      <c r="W1099" s="2664"/>
      <c r="X1099" s="1945"/>
      <c r="Y1099" s="60"/>
      <c r="Z1099" s="1948"/>
      <c r="AA1099" s="1944"/>
      <c r="AB1099" s="2576"/>
      <c r="AC1099" s="2880"/>
      <c r="AD1099" s="2559"/>
      <c r="AE1099" s="2560"/>
      <c r="AF1099" s="279"/>
      <c r="AG1099" s="152" t="s">
        <v>529</v>
      </c>
      <c r="AH1099" s="45"/>
      <c r="AI1099" s="45"/>
      <c r="AJ1099" s="2575"/>
      <c r="AK1099" s="2575"/>
      <c r="AL1099" s="2575"/>
      <c r="AM1099" s="2575"/>
      <c r="AN1099" s="2575">
        <f>450000*1.0928</f>
        <v>491760</v>
      </c>
      <c r="AO1099" s="2560"/>
    </row>
    <row r="1100" spans="1:41" ht="15.95" customHeight="1" x14ac:dyDescent="0.3">
      <c r="A1100" s="2663" t="s">
        <v>1008</v>
      </c>
      <c r="B1100" s="2664"/>
      <c r="C1100" s="60"/>
      <c r="D1100" s="60"/>
      <c r="E1100" s="1948"/>
      <c r="F1100" s="1944"/>
      <c r="G1100" s="2576"/>
      <c r="H1100" s="2880"/>
      <c r="I1100" s="2559">
        <f t="shared" si="344"/>
        <v>0</v>
      </c>
      <c r="J1100" s="2560"/>
      <c r="K1100" s="279"/>
      <c r="L1100" s="152" t="s">
        <v>726</v>
      </c>
      <c r="M1100" s="45"/>
      <c r="N1100" s="45"/>
      <c r="O1100" s="2575"/>
      <c r="P1100" s="2575"/>
      <c r="Q1100" s="2575"/>
      <c r="R1100" s="2575"/>
      <c r="S1100" s="2575">
        <f>(I1119+S1094)*5%</f>
        <v>691663.94409599993</v>
      </c>
      <c r="T1100" s="2560"/>
      <c r="U1100" s="26"/>
      <c r="V1100" s="2663" t="s">
        <v>1008</v>
      </c>
      <c r="W1100" s="2664"/>
      <c r="X1100" s="60"/>
      <c r="Y1100" s="60"/>
      <c r="Z1100" s="1948"/>
      <c r="AA1100" s="1944"/>
      <c r="AB1100" s="2576"/>
      <c r="AC1100" s="2880"/>
      <c r="AD1100" s="2559"/>
      <c r="AE1100" s="2560"/>
      <c r="AF1100" s="279"/>
      <c r="AG1100" s="152" t="s">
        <v>726</v>
      </c>
      <c r="AH1100" s="45"/>
      <c r="AI1100" s="45"/>
      <c r="AJ1100" s="2575"/>
      <c r="AK1100" s="2575"/>
      <c r="AL1100" s="2575"/>
      <c r="AM1100" s="2575"/>
      <c r="AN1100" s="2575">
        <f>(AN1094+AD1119)*0.05</f>
        <v>745370.05227896897</v>
      </c>
      <c r="AO1100" s="2560"/>
    </row>
    <row r="1101" spans="1:41" ht="15.95" customHeight="1" x14ac:dyDescent="0.3">
      <c r="A1101" s="2663" t="s">
        <v>1009</v>
      </c>
      <c r="B1101" s="2664"/>
      <c r="C1101" s="60" t="s">
        <v>496</v>
      </c>
      <c r="D1101" s="60" t="s">
        <v>497</v>
      </c>
      <c r="E1101" s="2680">
        <v>8</v>
      </c>
      <c r="F1101" s="2681"/>
      <c r="G1101" s="2559">
        <v>47000</v>
      </c>
      <c r="H1101" s="2560">
        <f t="shared" ref="H1101:H1103" si="345">(36040*6%)+36040</f>
        <v>38202.400000000001</v>
      </c>
      <c r="I1101" s="2559">
        <f t="shared" si="344"/>
        <v>376000</v>
      </c>
      <c r="J1101" s="2560"/>
      <c r="K1101" s="279"/>
      <c r="L1101" s="166" t="s">
        <v>504</v>
      </c>
      <c r="M1101" s="155"/>
      <c r="N1101" s="155"/>
      <c r="O1101" s="2557"/>
      <c r="P1101" s="2557"/>
      <c r="Q1101" s="2557"/>
      <c r="R1101" s="2557"/>
      <c r="S1101" s="2557">
        <f>250000*1.0928</f>
        <v>273200</v>
      </c>
      <c r="T1101" s="2558"/>
      <c r="U1101" s="26"/>
      <c r="V1101" s="2663" t="s">
        <v>1009</v>
      </c>
      <c r="W1101" s="2664"/>
      <c r="X1101" s="60" t="s">
        <v>496</v>
      </c>
      <c r="Y1101" s="60" t="s">
        <v>497</v>
      </c>
      <c r="Z1101" s="2680">
        <v>12</v>
      </c>
      <c r="AA1101" s="2681"/>
      <c r="AB1101" s="2559">
        <v>47000</v>
      </c>
      <c r="AC1101" s="2560">
        <f t="shared" ref="AC1101:AC1106" si="346">(36040*6%)+36040</f>
        <v>38202.400000000001</v>
      </c>
      <c r="AD1101" s="2559">
        <f>+AB1101*Z1101</f>
        <v>564000</v>
      </c>
      <c r="AE1101" s="2560"/>
      <c r="AF1101" s="279"/>
      <c r="AG1101" s="166" t="s">
        <v>504</v>
      </c>
      <c r="AH1101" s="155"/>
      <c r="AI1101" s="155"/>
      <c r="AJ1101" s="2557"/>
      <c r="AK1101" s="2557"/>
      <c r="AL1101" s="2557"/>
      <c r="AM1101" s="2557"/>
      <c r="AN1101" s="2888">
        <f>20000*1.0928</f>
        <v>21856</v>
      </c>
      <c r="AO1101" s="2889"/>
    </row>
    <row r="1102" spans="1:41" ht="15.95" customHeight="1" x14ac:dyDescent="0.2">
      <c r="A1102" s="2663" t="s">
        <v>1674</v>
      </c>
      <c r="B1102" s="2664"/>
      <c r="C1102" s="60" t="s">
        <v>496</v>
      </c>
      <c r="D1102" s="60" t="s">
        <v>497</v>
      </c>
      <c r="E1102" s="2680">
        <v>9</v>
      </c>
      <c r="F1102" s="2681"/>
      <c r="G1102" s="2559">
        <v>47000</v>
      </c>
      <c r="H1102" s="2560">
        <f t="shared" si="345"/>
        <v>38202.400000000001</v>
      </c>
      <c r="I1102" s="2559">
        <f t="shared" si="344"/>
        <v>423000</v>
      </c>
      <c r="J1102" s="2560"/>
      <c r="K1102" s="279"/>
      <c r="L1102" s="156" t="s">
        <v>533</v>
      </c>
      <c r="M1102" s="201"/>
      <c r="N1102" s="201"/>
      <c r="O1102" s="2885"/>
      <c r="P1102" s="2885"/>
      <c r="Q1102" s="2886"/>
      <c r="R1102" s="2886"/>
      <c r="S1102" s="2887">
        <f>SUM(S1097:T1101)</f>
        <v>2312207.8881919999</v>
      </c>
      <c r="T1102" s="2887"/>
      <c r="U1102" s="271"/>
      <c r="V1102" s="2663" t="s">
        <v>1682</v>
      </c>
      <c r="W1102" s="2664"/>
      <c r="X1102" s="60" t="s">
        <v>496</v>
      </c>
      <c r="Y1102" s="60" t="s">
        <v>497</v>
      </c>
      <c r="Z1102" s="2680">
        <v>10</v>
      </c>
      <c r="AA1102" s="2681"/>
      <c r="AB1102" s="2559">
        <v>47000</v>
      </c>
      <c r="AC1102" s="2560">
        <f t="shared" si="346"/>
        <v>38202.400000000001</v>
      </c>
      <c r="AD1102" s="2559">
        <f>+AB1102*Z1102</f>
        <v>470000</v>
      </c>
      <c r="AE1102" s="2560"/>
      <c r="AF1102" s="279"/>
      <c r="AG1102" s="156" t="s">
        <v>533</v>
      </c>
      <c r="AH1102" s="201"/>
      <c r="AI1102" s="201"/>
      <c r="AJ1102" s="2885"/>
      <c r="AK1102" s="2885"/>
      <c r="AL1102" s="2886"/>
      <c r="AM1102" s="2886"/>
      <c r="AN1102" s="2887">
        <f>SUM(AN1097:AO1101)</f>
        <v>2168276.1045579379</v>
      </c>
      <c r="AO1102" s="2887"/>
    </row>
    <row r="1103" spans="1:41" ht="15.95" customHeight="1" x14ac:dyDescent="0.2">
      <c r="A1103" s="2663" t="s">
        <v>1560</v>
      </c>
      <c r="B1103" s="2664"/>
      <c r="C1103" s="60"/>
      <c r="D1103" s="60"/>
      <c r="E1103" s="2680"/>
      <c r="F1103" s="2681"/>
      <c r="G1103" s="2559">
        <v>47000</v>
      </c>
      <c r="H1103" s="2560">
        <f t="shared" si="345"/>
        <v>38202.400000000001</v>
      </c>
      <c r="I1103" s="2559">
        <f t="shared" si="344"/>
        <v>0</v>
      </c>
      <c r="J1103" s="2560"/>
      <c r="K1103" s="279"/>
      <c r="L1103" s="159"/>
      <c r="M1103" s="45"/>
      <c r="N1103" s="45"/>
      <c r="O1103" s="2575"/>
      <c r="P1103" s="2575"/>
      <c r="Q1103" s="2575"/>
      <c r="R1103" s="2575"/>
      <c r="S1103" s="2575"/>
      <c r="T1103" s="2560"/>
      <c r="U1103" s="26"/>
      <c r="V1103" s="2663" t="s">
        <v>1683</v>
      </c>
      <c r="W1103" s="2664"/>
      <c r="X1103" s="60" t="s">
        <v>496</v>
      </c>
      <c r="Y1103" s="60" t="s">
        <v>497</v>
      </c>
      <c r="Z1103" s="2680">
        <v>32</v>
      </c>
      <c r="AA1103" s="2681"/>
      <c r="AB1103" s="2559">
        <v>47000</v>
      </c>
      <c r="AC1103" s="2560">
        <f t="shared" si="346"/>
        <v>38202.400000000001</v>
      </c>
      <c r="AD1103" s="2559">
        <f>+AB1103*Z1103</f>
        <v>1504000</v>
      </c>
      <c r="AE1103" s="2560"/>
      <c r="AF1103" s="279"/>
      <c r="AG1103" s="159"/>
      <c r="AH1103" s="45"/>
      <c r="AI1103" s="45"/>
      <c r="AJ1103" s="2575"/>
      <c r="AK1103" s="2575"/>
      <c r="AL1103" s="2575"/>
      <c r="AM1103" s="2575"/>
      <c r="AN1103" s="2575"/>
      <c r="AO1103" s="2560"/>
    </row>
    <row r="1104" spans="1:41" ht="15.95" customHeight="1" thickBot="1" x14ac:dyDescent="0.35">
      <c r="A1104" s="2663" t="s">
        <v>1523</v>
      </c>
      <c r="B1104" s="2664"/>
      <c r="C1104" s="60"/>
      <c r="D1104" s="60"/>
      <c r="E1104" s="2680"/>
      <c r="F1104" s="2681"/>
      <c r="G1104" s="2576"/>
      <c r="H1104" s="2880"/>
      <c r="I1104" s="2559">
        <f t="shared" si="344"/>
        <v>0</v>
      </c>
      <c r="J1104" s="2560"/>
      <c r="K1104" s="279"/>
      <c r="L1104" s="160" t="s">
        <v>583</v>
      </c>
      <c r="M1104" s="205"/>
      <c r="N1104" s="205"/>
      <c r="O1104" s="205"/>
      <c r="P1104" s="205"/>
      <c r="Q1104" s="161"/>
      <c r="R1104" s="161"/>
      <c r="S1104" s="2580">
        <f>SUM(S1102+S1094+I1119)</f>
        <v>16145486.770111999</v>
      </c>
      <c r="T1104" s="2581"/>
      <c r="U1104" s="271"/>
      <c r="V1104" s="2663" t="s">
        <v>1523</v>
      </c>
      <c r="W1104" s="2664"/>
      <c r="X1104" s="60" t="s">
        <v>496</v>
      </c>
      <c r="Y1104" s="60" t="s">
        <v>497</v>
      </c>
      <c r="Z1104" s="2680">
        <v>24</v>
      </c>
      <c r="AA1104" s="2681"/>
      <c r="AB1104" s="2559">
        <v>47000</v>
      </c>
      <c r="AC1104" s="2560">
        <f t="shared" si="346"/>
        <v>38202.400000000001</v>
      </c>
      <c r="AD1104" s="2559">
        <f>+AB1104*Z1104</f>
        <v>1128000</v>
      </c>
      <c r="AE1104" s="2560"/>
      <c r="AF1104" s="279"/>
      <c r="AG1104" s="160" t="s">
        <v>583</v>
      </c>
      <c r="AH1104" s="205"/>
      <c r="AI1104" s="205"/>
      <c r="AJ1104" s="205"/>
      <c r="AK1104" s="205"/>
      <c r="AL1104" s="161"/>
      <c r="AM1104" s="161"/>
      <c r="AN1104" s="2580">
        <f>SUM(AN1102+AN1094+AD1119)</f>
        <v>17075677.150137313</v>
      </c>
      <c r="AO1104" s="2581"/>
    </row>
    <row r="1105" spans="1:41" ht="15.95" customHeight="1" x14ac:dyDescent="0.2">
      <c r="A1105" s="2663" t="s">
        <v>1018</v>
      </c>
      <c r="B1105" s="2664"/>
      <c r="C1105" s="60" t="s">
        <v>496</v>
      </c>
      <c r="D1105" s="60" t="s">
        <v>497</v>
      </c>
      <c r="E1105" s="2569">
        <v>12</v>
      </c>
      <c r="F1105" s="2570"/>
      <c r="G1105" s="2559">
        <v>47000</v>
      </c>
      <c r="H1105" s="2560">
        <f t="shared" ref="H1105" si="347">(36040*6%)+36040</f>
        <v>38202.400000000001</v>
      </c>
      <c r="I1105" s="2559">
        <f t="shared" si="344"/>
        <v>564000</v>
      </c>
      <c r="J1105" s="2560"/>
      <c r="K1105" s="284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2663" t="s">
        <v>1018</v>
      </c>
      <c r="W1105" s="2664"/>
      <c r="X1105" s="60" t="s">
        <v>496</v>
      </c>
      <c r="Y1105" s="60" t="s">
        <v>497</v>
      </c>
      <c r="Z1105" s="2569">
        <v>20</v>
      </c>
      <c r="AA1105" s="2570"/>
      <c r="AB1105" s="2559">
        <v>47000</v>
      </c>
      <c r="AC1105" s="2560">
        <f t="shared" si="346"/>
        <v>38202.400000000001</v>
      </c>
      <c r="AD1105" s="2559">
        <f>+AB1105*Z1105</f>
        <v>940000</v>
      </c>
      <c r="AE1105" s="2560"/>
      <c r="AF1105" s="284"/>
      <c r="AG1105" s="45"/>
      <c r="AH1105" s="45"/>
      <c r="AI1105" s="45"/>
      <c r="AJ1105" s="45"/>
      <c r="AK1105" s="45"/>
      <c r="AL1105" s="45"/>
      <c r="AM1105" s="45"/>
      <c r="AN1105" s="45"/>
      <c r="AO1105" s="45"/>
    </row>
    <row r="1106" spans="1:41" ht="15.95" customHeight="1" x14ac:dyDescent="0.2">
      <c r="A1106" s="2663" t="s">
        <v>1561</v>
      </c>
      <c r="B1106" s="2664"/>
      <c r="C1106" s="60"/>
      <c r="D1106" s="60"/>
      <c r="E1106" s="2680"/>
      <c r="F1106" s="2681"/>
      <c r="G1106" s="2883"/>
      <c r="H1106" s="2884"/>
      <c r="I1106" s="2559">
        <f t="shared" si="344"/>
        <v>0</v>
      </c>
      <c r="J1106" s="2560"/>
      <c r="K1106" s="279"/>
      <c r="L1106" s="7" t="s">
        <v>1528</v>
      </c>
      <c r="M1106" s="45"/>
      <c r="N1106" s="45"/>
      <c r="O1106" s="45"/>
      <c r="P1106" s="45"/>
      <c r="Q1106" s="45"/>
      <c r="R1106" s="45"/>
      <c r="S1106" s="45"/>
      <c r="T1106" s="45"/>
      <c r="U1106" s="45"/>
      <c r="V1106" s="2663" t="s">
        <v>1019</v>
      </c>
      <c r="W1106" s="2664"/>
      <c r="X1106" s="60" t="s">
        <v>496</v>
      </c>
      <c r="Y1106" s="60" t="s">
        <v>497</v>
      </c>
      <c r="Z1106" s="2680">
        <v>4</v>
      </c>
      <c r="AA1106" s="2681"/>
      <c r="AB1106" s="2559">
        <v>47000</v>
      </c>
      <c r="AC1106" s="2560">
        <f t="shared" si="346"/>
        <v>38202.400000000001</v>
      </c>
      <c r="AD1106" s="2559">
        <f>Z1106*AB1106</f>
        <v>188000</v>
      </c>
      <c r="AE1106" s="2560"/>
      <c r="AF1106" s="279"/>
      <c r="AG1106" s="7" t="s">
        <v>1528</v>
      </c>
      <c r="AH1106" s="45"/>
      <c r="AI1106" s="45"/>
      <c r="AJ1106" s="45"/>
      <c r="AK1106" s="45"/>
      <c r="AL1106" s="45"/>
      <c r="AM1106" s="45"/>
      <c r="AN1106" s="45"/>
      <c r="AO1106" s="45"/>
    </row>
    <row r="1107" spans="1:41" ht="15.95" customHeight="1" x14ac:dyDescent="0.2">
      <c r="A1107" s="2663" t="s">
        <v>1562</v>
      </c>
      <c r="B1107" s="2664"/>
      <c r="C1107" s="60"/>
      <c r="D1107" s="60"/>
      <c r="E1107" s="2680"/>
      <c r="F1107" s="2681"/>
      <c r="G1107" s="2883"/>
      <c r="H1107" s="2884"/>
      <c r="I1107" s="2559">
        <f t="shared" si="344"/>
        <v>0</v>
      </c>
      <c r="J1107" s="2560"/>
      <c r="K1107" s="279"/>
      <c r="L1107" s="597" t="s">
        <v>1584</v>
      </c>
      <c r="M1107" s="266"/>
      <c r="N1107" s="266"/>
      <c r="O1107" s="266"/>
      <c r="P1107" s="266"/>
      <c r="Q1107" s="1783"/>
      <c r="R1107" s="266"/>
      <c r="S1107" s="266"/>
      <c r="T1107" s="45"/>
      <c r="U1107" s="45"/>
      <c r="V1107" s="2663" t="s">
        <v>1567</v>
      </c>
      <c r="W1107" s="2664"/>
      <c r="X1107" s="60"/>
      <c r="Y1107" s="60"/>
      <c r="Z1107" s="2680"/>
      <c r="AA1107" s="2681"/>
      <c r="AB1107" s="2883"/>
      <c r="AC1107" s="2884"/>
      <c r="AD1107" s="2559">
        <f>Z1107*AB1107</f>
        <v>0</v>
      </c>
      <c r="AE1107" s="2560"/>
      <c r="AF1107" s="279"/>
      <c r="AG1107" s="597" t="s">
        <v>1584</v>
      </c>
      <c r="AH1107" s="266"/>
      <c r="AI1107" s="266"/>
      <c r="AJ1107" s="266"/>
      <c r="AK1107" s="266"/>
      <c r="AL1107" s="1783"/>
      <c r="AM1107" s="266"/>
      <c r="AN1107" s="266"/>
      <c r="AO1107" s="45"/>
    </row>
    <row r="1108" spans="1:41" ht="15.95" customHeight="1" x14ac:dyDescent="0.2">
      <c r="A1108" s="2663" t="s">
        <v>1675</v>
      </c>
      <c r="B1108" s="2664"/>
      <c r="C1108" s="60" t="s">
        <v>496</v>
      </c>
      <c r="D1108" s="60" t="s">
        <v>497</v>
      </c>
      <c r="E1108" s="2680">
        <v>6</v>
      </c>
      <c r="F1108" s="2681"/>
      <c r="G1108" s="2559">
        <v>47000</v>
      </c>
      <c r="H1108" s="2560">
        <f t="shared" ref="H1108:H1111" si="348">(36040*6%)+36040</f>
        <v>38202.400000000001</v>
      </c>
      <c r="I1108" s="2559">
        <f t="shared" si="344"/>
        <v>282000</v>
      </c>
      <c r="J1108" s="2560"/>
      <c r="K1108" s="279"/>
      <c r="L1108" s="45"/>
      <c r="M1108" s="206"/>
      <c r="N1108" s="206"/>
      <c r="O1108" s="206"/>
      <c r="P1108" s="206"/>
      <c r="Q1108" s="107"/>
      <c r="R1108" s="44"/>
      <c r="S1108" s="45"/>
      <c r="T1108" s="45"/>
      <c r="U1108" s="45"/>
      <c r="V1108" s="2663" t="s">
        <v>1568</v>
      </c>
      <c r="W1108" s="2664"/>
      <c r="X1108" s="60"/>
      <c r="Y1108" s="60"/>
      <c r="Z1108" s="2680"/>
      <c r="AA1108" s="2681"/>
      <c r="AB1108" s="2883"/>
      <c r="AC1108" s="2884"/>
      <c r="AD1108" s="2559">
        <f>Z1108*AB1108</f>
        <v>0</v>
      </c>
      <c r="AE1108" s="2560"/>
      <c r="AF1108" s="279"/>
      <c r="AG1108" s="45"/>
      <c r="AH1108" s="2834"/>
      <c r="AI1108" s="2834"/>
      <c r="AJ1108" s="2834"/>
      <c r="AK1108" s="2834"/>
      <c r="AL1108" s="272"/>
      <c r="AM1108" s="44"/>
      <c r="AN1108" s="45"/>
      <c r="AO1108" s="45"/>
    </row>
    <row r="1109" spans="1:41" ht="15.95" customHeight="1" x14ac:dyDescent="0.2">
      <c r="A1109" s="2663" t="s">
        <v>1022</v>
      </c>
      <c r="B1109" s="2664"/>
      <c r="C1109" s="60" t="s">
        <v>496</v>
      </c>
      <c r="D1109" s="60" t="s">
        <v>497</v>
      </c>
      <c r="E1109" s="2569">
        <v>6</v>
      </c>
      <c r="F1109" s="2570"/>
      <c r="G1109" s="2559">
        <v>47000</v>
      </c>
      <c r="H1109" s="2560">
        <f t="shared" si="348"/>
        <v>38202.400000000001</v>
      </c>
      <c r="I1109" s="2559">
        <f t="shared" si="344"/>
        <v>282000</v>
      </c>
      <c r="J1109" s="2560"/>
      <c r="K1109" s="279"/>
      <c r="L1109" s="45"/>
      <c r="M1109" s="206"/>
      <c r="N1109" s="206"/>
      <c r="O1109" s="206"/>
      <c r="P1109" s="206"/>
      <c r="Q1109" s="107"/>
      <c r="R1109" s="44"/>
      <c r="S1109" s="45"/>
      <c r="T1109" s="45"/>
      <c r="U1109" s="45"/>
      <c r="V1109" s="2663" t="s">
        <v>1022</v>
      </c>
      <c r="W1109" s="2664"/>
      <c r="X1109" s="60" t="s">
        <v>496</v>
      </c>
      <c r="Y1109" s="60" t="s">
        <v>497</v>
      </c>
      <c r="Z1109" s="2569">
        <v>6</v>
      </c>
      <c r="AA1109" s="2570"/>
      <c r="AB1109" s="2559">
        <v>47000</v>
      </c>
      <c r="AC1109" s="2560">
        <f t="shared" ref="AC1109:AC1111" si="349">(36040*6%)+36040</f>
        <v>38202.400000000001</v>
      </c>
      <c r="AD1109" s="2559">
        <f>Z1109*AB1109</f>
        <v>282000</v>
      </c>
      <c r="AE1109" s="2560"/>
      <c r="AF1109" s="279"/>
      <c r="AG1109" s="45"/>
      <c r="AH1109" s="206"/>
      <c r="AI1109" s="206"/>
      <c r="AJ1109" s="206"/>
      <c r="AK1109" s="206"/>
      <c r="AL1109" s="107"/>
      <c r="AM1109" s="44"/>
      <c r="AN1109" s="45"/>
      <c r="AO1109" s="45"/>
    </row>
    <row r="1110" spans="1:41" ht="15.95" customHeight="1" x14ac:dyDescent="0.2">
      <c r="A1110" s="2663" t="s">
        <v>881</v>
      </c>
      <c r="B1110" s="2664"/>
      <c r="C1110" s="60" t="s">
        <v>496</v>
      </c>
      <c r="D1110" s="60" t="s">
        <v>497</v>
      </c>
      <c r="E1110" s="2569">
        <v>5</v>
      </c>
      <c r="F1110" s="2570"/>
      <c r="G1110" s="2559">
        <v>47000</v>
      </c>
      <c r="H1110" s="2560">
        <f t="shared" si="348"/>
        <v>38202.400000000001</v>
      </c>
      <c r="I1110" s="2559">
        <f t="shared" si="344"/>
        <v>235000</v>
      </c>
      <c r="J1110" s="2560"/>
      <c r="K1110" s="279"/>
      <c r="L1110" s="45"/>
      <c r="M1110" s="2834"/>
      <c r="N1110" s="2834"/>
      <c r="O1110" s="2834"/>
      <c r="P1110" s="2834"/>
      <c r="Q1110" s="107"/>
      <c r="R1110" s="45"/>
      <c r="S1110" s="44"/>
      <c r="T1110" s="45"/>
      <c r="U1110" s="45"/>
      <c r="V1110" s="2663" t="s">
        <v>881</v>
      </c>
      <c r="W1110" s="2664"/>
      <c r="X1110" s="60" t="s">
        <v>496</v>
      </c>
      <c r="Y1110" s="60" t="s">
        <v>497</v>
      </c>
      <c r="Z1110" s="2569">
        <v>5</v>
      </c>
      <c r="AA1110" s="2570"/>
      <c r="AB1110" s="2559">
        <v>47000</v>
      </c>
      <c r="AC1110" s="2560">
        <f t="shared" si="349"/>
        <v>38202.400000000001</v>
      </c>
      <c r="AD1110" s="2559">
        <f>+AB1110*Z1110</f>
        <v>235000</v>
      </c>
      <c r="AE1110" s="2560"/>
      <c r="AF1110" s="279"/>
      <c r="AG1110" s="45"/>
      <c r="AH1110" s="206"/>
      <c r="AI1110" s="206"/>
      <c r="AJ1110" s="206"/>
      <c r="AK1110" s="206"/>
      <c r="AL1110" s="107"/>
      <c r="AM1110" s="45"/>
      <c r="AN1110" s="44"/>
      <c r="AO1110" s="45"/>
    </row>
    <row r="1111" spans="1:41" ht="15.95" customHeight="1" x14ac:dyDescent="0.2">
      <c r="A1111" s="2663" t="s">
        <v>882</v>
      </c>
      <c r="B1111" s="2664"/>
      <c r="C1111" s="60" t="s">
        <v>496</v>
      </c>
      <c r="D1111" s="60" t="s">
        <v>497</v>
      </c>
      <c r="E1111" s="2680">
        <v>5</v>
      </c>
      <c r="F1111" s="2681"/>
      <c r="G1111" s="2559">
        <v>47000</v>
      </c>
      <c r="H1111" s="2560">
        <f t="shared" si="348"/>
        <v>38202.400000000001</v>
      </c>
      <c r="I1111" s="2559">
        <f t="shared" si="344"/>
        <v>235000</v>
      </c>
      <c r="J1111" s="2560"/>
      <c r="K1111" s="279"/>
      <c r="L1111" s="45"/>
      <c r="M1111" s="2834"/>
      <c r="N1111" s="2834"/>
      <c r="O1111" s="2834"/>
      <c r="P1111" s="2834"/>
      <c r="Q1111" s="107"/>
      <c r="R1111" s="44"/>
      <c r="S1111" s="45"/>
      <c r="T1111" s="45"/>
      <c r="U1111" s="45"/>
      <c r="V1111" s="2663" t="s">
        <v>882</v>
      </c>
      <c r="W1111" s="2664"/>
      <c r="X1111" s="60" t="s">
        <v>496</v>
      </c>
      <c r="Y1111" s="60" t="s">
        <v>497</v>
      </c>
      <c r="Z1111" s="2680">
        <v>6</v>
      </c>
      <c r="AA1111" s="2681"/>
      <c r="AB1111" s="2559">
        <v>47000</v>
      </c>
      <c r="AC1111" s="2560">
        <f t="shared" si="349"/>
        <v>38202.400000000001</v>
      </c>
      <c r="AD1111" s="2559">
        <f>+AB1111*Z1111</f>
        <v>282000</v>
      </c>
      <c r="AE1111" s="2560"/>
      <c r="AF1111" s="279"/>
      <c r="AG1111" s="45"/>
      <c r="AH1111" s="2834"/>
      <c r="AI1111" s="2834"/>
      <c r="AJ1111" s="2834"/>
      <c r="AK1111" s="2834"/>
      <c r="AL1111" s="107"/>
      <c r="AM1111" s="44"/>
      <c r="AN1111" s="45"/>
      <c r="AO1111" s="45"/>
    </row>
    <row r="1112" spans="1:41" ht="15.95" customHeight="1" x14ac:dyDescent="0.3">
      <c r="A1112" s="2667" t="s">
        <v>1023</v>
      </c>
      <c r="B1112" s="2668"/>
      <c r="C1112" s="1945"/>
      <c r="D1112" s="60"/>
      <c r="E1112" s="1948"/>
      <c r="F1112" s="1944"/>
      <c r="G1112" s="2576"/>
      <c r="H1112" s="2880"/>
      <c r="I1112" s="2565">
        <f>SUM(I1113:J1118)</f>
        <v>382480</v>
      </c>
      <c r="J1112" s="2566"/>
      <c r="K1112" s="279"/>
      <c r="L1112" s="45"/>
      <c r="M1112" s="2834"/>
      <c r="N1112" s="2834"/>
      <c r="O1112" s="2834"/>
      <c r="P1112" s="2834"/>
      <c r="Q1112" s="273"/>
      <c r="R1112" s="44"/>
      <c r="S1112" s="45"/>
      <c r="T1112" s="45"/>
      <c r="U1112" s="45"/>
      <c r="V1112" s="2667" t="s">
        <v>1023</v>
      </c>
      <c r="W1112" s="2668"/>
      <c r="X1112" s="1945"/>
      <c r="Y1112" s="60"/>
      <c r="Z1112" s="1948"/>
      <c r="AA1112" s="1944"/>
      <c r="AB1112" s="2576"/>
      <c r="AC1112" s="2880"/>
      <c r="AD1112" s="2565">
        <f>SUM(AD1113:AE1118)</f>
        <v>2724914.9409393757</v>
      </c>
      <c r="AE1112" s="2566"/>
      <c r="AF1112" s="279"/>
      <c r="AG1112" s="45"/>
      <c r="AH1112" s="2834"/>
      <c r="AI1112" s="2834"/>
      <c r="AJ1112" s="2834"/>
      <c r="AK1112" s="2834"/>
      <c r="AL1112" s="107"/>
      <c r="AM1112" s="44"/>
      <c r="AN1112" s="45"/>
      <c r="AO1112" s="45"/>
    </row>
    <row r="1113" spans="1:41" ht="15.95" customHeight="1" x14ac:dyDescent="0.3">
      <c r="A1113" s="2663" t="s">
        <v>884</v>
      </c>
      <c r="B1113" s="2664"/>
      <c r="C1113" s="60"/>
      <c r="D1113" s="60"/>
      <c r="E1113" s="2680"/>
      <c r="F1113" s="2681"/>
      <c r="G1113" s="2576"/>
      <c r="H1113" s="2880"/>
      <c r="I1113" s="2559">
        <f>E1113*G1113</f>
        <v>0</v>
      </c>
      <c r="J1113" s="2560"/>
      <c r="K1113" s="279"/>
      <c r="L1113" s="45"/>
      <c r="M1113" s="45"/>
      <c r="N1113" s="45"/>
      <c r="O1113" s="45"/>
      <c r="P1113" s="45"/>
      <c r="Q1113" s="45"/>
      <c r="R1113" s="44"/>
      <c r="S1113" s="45"/>
      <c r="T1113" s="45"/>
      <c r="U1113" s="45"/>
      <c r="V1113" s="2663" t="s">
        <v>884</v>
      </c>
      <c r="W1113" s="2664"/>
      <c r="X1113" s="60" t="s">
        <v>496</v>
      </c>
      <c r="Y1113" s="60" t="s">
        <v>497</v>
      </c>
      <c r="Z1113" s="2680">
        <v>20</v>
      </c>
      <c r="AA1113" s="2681"/>
      <c r="AB1113" s="2559">
        <v>47000</v>
      </c>
      <c r="AC1113" s="2560">
        <f t="shared" ref="AC1113" si="350">(36040*6%)+36040</f>
        <v>38202.400000000001</v>
      </c>
      <c r="AD1113" s="2559">
        <f t="shared" ref="AD1113:AD1116" si="351">Z1113*AB1113</f>
        <v>940000</v>
      </c>
      <c r="AE1113" s="2560"/>
      <c r="AF1113" s="279"/>
      <c r="AG1113" s="45"/>
      <c r="AH1113" s="2834"/>
      <c r="AI1113" s="2834"/>
      <c r="AJ1113" s="2834"/>
      <c r="AK1113" s="2834"/>
      <c r="AL1113" s="273"/>
      <c r="AM1113" s="44"/>
      <c r="AN1113" s="45"/>
      <c r="AO1113" s="45"/>
    </row>
    <row r="1114" spans="1:41" ht="15.95" customHeight="1" x14ac:dyDescent="0.3">
      <c r="A1114" s="2663" t="s">
        <v>1524</v>
      </c>
      <c r="B1114" s="2664"/>
      <c r="C1114" s="60"/>
      <c r="D1114" s="60"/>
      <c r="E1114" s="1948"/>
      <c r="F1114" s="1944"/>
      <c r="G1114" s="2576"/>
      <c r="H1114" s="2880"/>
      <c r="I1114" s="2559">
        <f>E1114*G1114</f>
        <v>0</v>
      </c>
      <c r="J1114" s="2560"/>
      <c r="K1114" s="279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2663" t="s">
        <v>1524</v>
      </c>
      <c r="W1114" s="2664"/>
      <c r="X1114" s="60"/>
      <c r="Y1114" s="60"/>
      <c r="Z1114" s="1948"/>
      <c r="AA1114" s="1944"/>
      <c r="AB1114" s="2559"/>
      <c r="AC1114" s="2880"/>
      <c r="AD1114" s="2559">
        <f t="shared" si="351"/>
        <v>0</v>
      </c>
      <c r="AE1114" s="2560"/>
      <c r="AF1114" s="279"/>
      <c r="AG1114" s="45"/>
      <c r="AH1114" s="45"/>
      <c r="AI1114" s="45"/>
      <c r="AJ1114" s="45"/>
      <c r="AK1114" s="45"/>
      <c r="AL1114" s="45"/>
      <c r="AM1114" s="45"/>
      <c r="AN1114" s="45"/>
      <c r="AO1114" s="45"/>
    </row>
    <row r="1115" spans="1:41" ht="15.95" customHeight="1" x14ac:dyDescent="0.3">
      <c r="A1115" s="2663" t="s">
        <v>893</v>
      </c>
      <c r="B1115" s="2664"/>
      <c r="C1115" s="60"/>
      <c r="D1115" s="60"/>
      <c r="E1115" s="2680"/>
      <c r="F1115" s="2681"/>
      <c r="G1115" s="2576"/>
      <c r="H1115" s="2880"/>
      <c r="I1115" s="2559">
        <f>E1115*G1115</f>
        <v>0</v>
      </c>
      <c r="J1115" s="2560"/>
      <c r="K1115" s="279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2663" t="s">
        <v>893</v>
      </c>
      <c r="W1115" s="2664"/>
      <c r="X1115" s="60" t="s">
        <v>496</v>
      </c>
      <c r="Y1115" s="60" t="s">
        <v>497</v>
      </c>
      <c r="Z1115" s="2680">
        <v>4</v>
      </c>
      <c r="AA1115" s="2681"/>
      <c r="AB1115" s="2559">
        <v>47000</v>
      </c>
      <c r="AC1115" s="2560">
        <f t="shared" ref="AC1115:AC1116" si="352">(36040*6%)+36040</f>
        <v>38202.400000000001</v>
      </c>
      <c r="AD1115" s="2559">
        <f t="shared" si="351"/>
        <v>188000</v>
      </c>
      <c r="AE1115" s="2560"/>
      <c r="AF1115" s="279"/>
      <c r="AG1115" s="45"/>
      <c r="AH1115" s="45"/>
      <c r="AI1115" s="45"/>
      <c r="AJ1115" s="45"/>
      <c r="AK1115" s="45"/>
      <c r="AL1115" s="45"/>
      <c r="AM1115" s="45"/>
      <c r="AN1115" s="45"/>
      <c r="AO1115" s="45"/>
    </row>
    <row r="1116" spans="1:41" ht="15.95" customHeight="1" x14ac:dyDescent="0.3">
      <c r="A1116" s="2663" t="s">
        <v>728</v>
      </c>
      <c r="B1116" s="2664"/>
      <c r="C1116" s="60"/>
      <c r="D1116" s="60"/>
      <c r="E1116" s="2680"/>
      <c r="F1116" s="2681"/>
      <c r="G1116" s="2576"/>
      <c r="H1116" s="2880"/>
      <c r="I1116" s="2559">
        <f>E1116*G1116</f>
        <v>0</v>
      </c>
      <c r="J1116" s="2560"/>
      <c r="K1116" s="279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2663" t="s">
        <v>728</v>
      </c>
      <c r="W1116" s="2664"/>
      <c r="X1116" s="60" t="s">
        <v>496</v>
      </c>
      <c r="Y1116" s="60" t="s">
        <v>497</v>
      </c>
      <c r="Z1116" s="2680">
        <v>4</v>
      </c>
      <c r="AA1116" s="2681"/>
      <c r="AB1116" s="2559">
        <v>47000</v>
      </c>
      <c r="AC1116" s="2560">
        <f t="shared" si="352"/>
        <v>38202.400000000001</v>
      </c>
      <c r="AD1116" s="2559">
        <f t="shared" si="351"/>
        <v>188000</v>
      </c>
      <c r="AE1116" s="2560"/>
      <c r="AF1116" s="279"/>
      <c r="AG1116" s="45"/>
      <c r="AH1116" s="45"/>
      <c r="AI1116" s="45"/>
      <c r="AJ1116" s="45"/>
      <c r="AK1116" s="45"/>
      <c r="AL1116" s="45"/>
      <c r="AM1116" s="45"/>
      <c r="AN1116" s="45"/>
      <c r="AO1116" s="45"/>
    </row>
    <row r="1117" spans="1:41" ht="15.95" customHeight="1" x14ac:dyDescent="0.3">
      <c r="A1117" s="2663" t="s">
        <v>765</v>
      </c>
      <c r="B1117" s="2664"/>
      <c r="C1117" s="1945"/>
      <c r="D1117" s="60" t="s">
        <v>794</v>
      </c>
      <c r="E1117" s="2680"/>
      <c r="F1117" s="2681"/>
      <c r="G1117" s="2576"/>
      <c r="H1117" s="2880"/>
      <c r="I1117" s="2559">
        <f>350000*1.0928</f>
        <v>382480</v>
      </c>
      <c r="J1117" s="2560"/>
      <c r="K1117" s="279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2663" t="s">
        <v>765</v>
      </c>
      <c r="W1117" s="2664"/>
      <c r="X1117" s="1945"/>
      <c r="Y1117" s="60" t="s">
        <v>794</v>
      </c>
      <c r="Z1117" s="2680"/>
      <c r="AA1117" s="2681"/>
      <c r="AB1117" s="2576"/>
      <c r="AC1117" s="2880"/>
      <c r="AD1117" s="2559">
        <f>250000*1.0928</f>
        <v>273200</v>
      </c>
      <c r="AE1117" s="2560"/>
      <c r="AF1117" s="279"/>
      <c r="AG1117" s="45"/>
      <c r="AH1117" s="45"/>
      <c r="AI1117" s="45"/>
      <c r="AJ1117" s="45"/>
      <c r="AK1117" s="45"/>
      <c r="AL1117" s="45"/>
      <c r="AM1117" s="45"/>
      <c r="AN1117" s="45"/>
      <c r="AO1117" s="45"/>
    </row>
    <row r="1118" spans="1:41" ht="15.95" customHeight="1" x14ac:dyDescent="0.3">
      <c r="A1118" s="2663" t="s">
        <v>615</v>
      </c>
      <c r="B1118" s="2664"/>
      <c r="C1118" s="60"/>
      <c r="D1118" s="60"/>
      <c r="E1118" s="2680"/>
      <c r="F1118" s="2681"/>
      <c r="G1118" s="2576"/>
      <c r="H1118" s="2880"/>
      <c r="I1118" s="2559">
        <f>E1118*G1118</f>
        <v>0</v>
      </c>
      <c r="J1118" s="2560"/>
      <c r="K1118" s="279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2663" t="s">
        <v>615</v>
      </c>
      <c r="W1118" s="2664"/>
      <c r="X1118" s="60"/>
      <c r="Y1118" s="60"/>
      <c r="Z1118" s="2705">
        <f>'TOTAL PERMANENTES'!K34</f>
        <v>10.275768027592843</v>
      </c>
      <c r="AA1118" s="2681"/>
      <c r="AB1118" s="2559">
        <f>101138*1.0928</f>
        <v>110523.6064</v>
      </c>
      <c r="AC1118" s="2880"/>
      <c r="AD1118" s="2559">
        <f t="shared" ref="AD1118" si="353">Z1118*AB1118</f>
        <v>1135714.9409393757</v>
      </c>
      <c r="AE1118" s="2560"/>
      <c r="AF1118" s="279"/>
      <c r="AG1118" s="45"/>
      <c r="AH1118" s="45"/>
      <c r="AI1118" s="45"/>
      <c r="AJ1118" s="45"/>
      <c r="AK1118" s="45"/>
      <c r="AL1118" s="45"/>
      <c r="AM1118" s="45"/>
      <c r="AN1118" s="45"/>
      <c r="AO1118" s="45"/>
    </row>
    <row r="1119" spans="1:41" ht="15.95" customHeight="1" thickBot="1" x14ac:dyDescent="0.25">
      <c r="A1119" s="2881" t="s">
        <v>558</v>
      </c>
      <c r="B1119" s="2882"/>
      <c r="C1119" s="210"/>
      <c r="D1119" s="211"/>
      <c r="E1119" s="2561">
        <f>E1083+E1087+E1088+E1094+E1095+E1103+E1105+E1106+E1107+E1109+E1110+E1111</f>
        <v>42</v>
      </c>
      <c r="F1119" s="2562"/>
      <c r="G1119" s="2563"/>
      <c r="H1119" s="2564"/>
      <c r="I1119" s="2561">
        <f>SUM(I1112+I1093+I1082+I1078+I1075)</f>
        <v>4565480</v>
      </c>
      <c r="J1119" s="2562"/>
      <c r="K1119" s="279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2881" t="s">
        <v>558</v>
      </c>
      <c r="W1119" s="2882"/>
      <c r="X1119" s="210"/>
      <c r="Y1119" s="211"/>
      <c r="Z1119" s="2561">
        <f>Z1101+Z1102+Z1105+Z1107+Z1108+Z1109+Z1110+Z1111+Z1113+Z1115+Z1116</f>
        <v>87</v>
      </c>
      <c r="AA1119" s="2562"/>
      <c r="AB1119" s="2563"/>
      <c r="AC1119" s="2564"/>
      <c r="AD1119" s="2561">
        <f>SUM(AD1112+AD1093+AD1082+AD1078+AD1075)</f>
        <v>8599914.9409393761</v>
      </c>
      <c r="AE1119" s="2562"/>
      <c r="AF1119" s="279"/>
      <c r="AG1119" s="45"/>
      <c r="AH1119" s="45"/>
      <c r="AI1119" s="45"/>
      <c r="AJ1119" s="45"/>
      <c r="AK1119" s="45"/>
      <c r="AL1119" s="45"/>
      <c r="AM1119" s="45"/>
      <c r="AN1119" s="45"/>
      <c r="AO1119" s="45"/>
    </row>
    <row r="1120" spans="1:41" ht="15.95" customHeight="1" x14ac:dyDescent="0.2"/>
    <row r="1121" ht="15.95" customHeight="1" x14ac:dyDescent="0.2"/>
    <row r="1122" ht="15.95" customHeight="1" x14ac:dyDescent="0.2"/>
    <row r="1123" ht="15.95" customHeight="1" x14ac:dyDescent="0.2"/>
    <row r="1124" ht="15.95" customHeight="1" x14ac:dyDescent="0.2"/>
    <row r="1125" ht="15.95" customHeight="1" x14ac:dyDescent="0.2"/>
    <row r="1126" ht="15.95" customHeight="1" x14ac:dyDescent="0.2"/>
    <row r="1127" ht="15.95" customHeight="1" x14ac:dyDescent="0.2"/>
    <row r="1128" ht="15.95" customHeight="1" x14ac:dyDescent="0.2"/>
    <row r="1129" ht="15.95" customHeight="1" x14ac:dyDescent="0.2"/>
    <row r="1130" ht="15.95" customHeight="1" x14ac:dyDescent="0.2"/>
    <row r="1131" ht="15.95" customHeight="1" x14ac:dyDescent="0.2"/>
    <row r="1132" ht="15.95" customHeight="1" x14ac:dyDescent="0.2"/>
    <row r="1133" ht="15.95" customHeight="1" x14ac:dyDescent="0.2"/>
    <row r="1134" ht="15.95" customHeight="1" x14ac:dyDescent="0.2"/>
    <row r="1135" ht="15.95" customHeight="1" x14ac:dyDescent="0.2"/>
    <row r="1136" ht="15.95" customHeight="1" x14ac:dyDescent="0.2"/>
    <row r="1137" ht="15.95" customHeight="1" x14ac:dyDescent="0.2"/>
    <row r="1138" ht="15.95" customHeight="1" x14ac:dyDescent="0.2"/>
    <row r="1139" ht="15.95" customHeight="1" x14ac:dyDescent="0.2"/>
    <row r="1140" ht="15.95" customHeight="1" x14ac:dyDescent="0.2"/>
    <row r="1141" ht="15.95" customHeight="1" x14ac:dyDescent="0.2"/>
    <row r="1142" ht="15.95" customHeight="1" x14ac:dyDescent="0.2"/>
    <row r="1143" ht="15.95" customHeight="1" x14ac:dyDescent="0.2"/>
    <row r="1144" ht="15.95" customHeight="1" x14ac:dyDescent="0.2"/>
    <row r="1145" ht="15.95" customHeight="1" x14ac:dyDescent="0.2"/>
    <row r="1146" ht="15.95" customHeight="1" x14ac:dyDescent="0.2"/>
    <row r="1147" ht="15.95" customHeight="1" x14ac:dyDescent="0.2"/>
    <row r="1148" ht="15.95" customHeight="1" x14ac:dyDescent="0.2"/>
    <row r="1149" ht="15.95" customHeight="1" x14ac:dyDescent="0.2"/>
    <row r="1150" ht="15.95" customHeight="1" x14ac:dyDescent="0.2"/>
    <row r="1151" ht="15.95" customHeight="1" x14ac:dyDescent="0.2"/>
    <row r="1152" ht="15.95" customHeight="1" x14ac:dyDescent="0.2"/>
    <row r="1153" ht="15.95" customHeight="1" x14ac:dyDescent="0.2"/>
    <row r="1154" ht="15.95" customHeight="1" x14ac:dyDescent="0.2"/>
    <row r="1155" ht="15.95" customHeight="1" x14ac:dyDescent="0.2"/>
    <row r="1156" ht="15.95" customHeight="1" x14ac:dyDescent="0.2"/>
    <row r="1157" ht="15.95" customHeight="1" x14ac:dyDescent="0.2"/>
    <row r="1158" ht="15.95" customHeight="1" x14ac:dyDescent="0.2"/>
    <row r="1159" ht="15.95" customHeight="1" x14ac:dyDescent="0.2"/>
    <row r="1160" ht="15.95" customHeight="1" x14ac:dyDescent="0.2"/>
    <row r="1161" ht="15.95" customHeight="1" x14ac:dyDescent="0.2"/>
    <row r="1162" ht="15.95" customHeight="1" x14ac:dyDescent="0.2"/>
    <row r="1163" ht="15.95" customHeight="1" x14ac:dyDescent="0.2"/>
    <row r="1164" ht="15.95" customHeight="1" x14ac:dyDescent="0.2"/>
    <row r="1165" ht="15.95" customHeight="1" x14ac:dyDescent="0.2"/>
    <row r="1166" ht="15.95" customHeight="1" x14ac:dyDescent="0.2"/>
    <row r="1167" ht="15.95" customHeight="1" x14ac:dyDescent="0.2"/>
    <row r="1168" ht="15.95" customHeight="1" x14ac:dyDescent="0.2"/>
    <row r="1169" ht="15.95" customHeight="1" x14ac:dyDescent="0.2"/>
    <row r="1170" ht="15.95" customHeight="1" x14ac:dyDescent="0.2"/>
  </sheetData>
  <mergeCells count="11513">
    <mergeCell ref="AN1045:AO1045"/>
    <mergeCell ref="O607:P607"/>
    <mergeCell ref="O608:P608"/>
    <mergeCell ref="O609:P609"/>
    <mergeCell ref="O606:P606"/>
    <mergeCell ref="AN879:AO879"/>
    <mergeCell ref="AN823:AO823"/>
    <mergeCell ref="S823:T823"/>
    <mergeCell ref="S767:T767"/>
    <mergeCell ref="AN767:AO767"/>
    <mergeCell ref="AN711:AO711"/>
    <mergeCell ref="S711:T711"/>
    <mergeCell ref="S655:T655"/>
    <mergeCell ref="AN655:AO655"/>
    <mergeCell ref="S599:T599"/>
    <mergeCell ref="S543:T543"/>
    <mergeCell ref="AN543:AO543"/>
    <mergeCell ref="AN487:AO487"/>
    <mergeCell ref="S487:T487"/>
    <mergeCell ref="S431:T431"/>
    <mergeCell ref="AN431:AO431"/>
    <mergeCell ref="AN375:AO375"/>
    <mergeCell ref="S375:T375"/>
    <mergeCell ref="AN319:AO319"/>
    <mergeCell ref="S319:T319"/>
    <mergeCell ref="AN263:AO263"/>
    <mergeCell ref="S263:T263"/>
    <mergeCell ref="AN207:AO207"/>
    <mergeCell ref="S207:T207"/>
    <mergeCell ref="AN151:AO151"/>
    <mergeCell ref="S151:T151"/>
    <mergeCell ref="AN39:AO39"/>
    <mergeCell ref="S39:T39"/>
    <mergeCell ref="AN566:AO566"/>
    <mergeCell ref="AD669:AE669"/>
    <mergeCell ref="Z670:AA670"/>
    <mergeCell ref="AN878:AO878"/>
    <mergeCell ref="AJ878:AK878"/>
    <mergeCell ref="AL876:AM876"/>
    <mergeCell ref="Z877:AA877"/>
    <mergeCell ref="Z876:AA876"/>
    <mergeCell ref="AB876:AC876"/>
    <mergeCell ref="AN93:AO93"/>
    <mergeCell ref="Z669:AA669"/>
    <mergeCell ref="AB669:AC669"/>
    <mergeCell ref="AD764:AE764"/>
    <mergeCell ref="Z764:AA764"/>
    <mergeCell ref="AJ760:AK760"/>
    <mergeCell ref="AL760:AM760"/>
    <mergeCell ref="AN760:AO760"/>
    <mergeCell ref="AL741:AM741"/>
    <mergeCell ref="AN741:AO741"/>
    <mergeCell ref="A732:T732"/>
    <mergeCell ref="G734:H734"/>
    <mergeCell ref="Q734:R734"/>
    <mergeCell ref="S734:T734"/>
    <mergeCell ref="AB734:AC734"/>
    <mergeCell ref="E726:F726"/>
    <mergeCell ref="G726:H726"/>
    <mergeCell ref="I726:J726"/>
    <mergeCell ref="Z726:AA726"/>
    <mergeCell ref="A738:B738"/>
    <mergeCell ref="E738:F738"/>
    <mergeCell ref="G738:H738"/>
    <mergeCell ref="E670:F670"/>
    <mergeCell ref="G670:H670"/>
    <mergeCell ref="AB670:AC670"/>
    <mergeCell ref="AD668:AE668"/>
    <mergeCell ref="AD670:AE670"/>
    <mergeCell ref="I670:J670"/>
    <mergeCell ref="V669:W669"/>
    <mergeCell ref="Z833:AA833"/>
    <mergeCell ref="AB833:AC833"/>
    <mergeCell ref="AD833:AE833"/>
    <mergeCell ref="AN762:AO762"/>
    <mergeCell ref="G763:H763"/>
    <mergeCell ref="I763:J763"/>
    <mergeCell ref="O763:P763"/>
    <mergeCell ref="V763:W763"/>
    <mergeCell ref="Z763:AA763"/>
    <mergeCell ref="AB762:AC762"/>
    <mergeCell ref="AD762:AE762"/>
    <mergeCell ref="AN763:AO763"/>
    <mergeCell ref="Z995:AA995"/>
    <mergeCell ref="AD892:AE892"/>
    <mergeCell ref="AH888:AK888"/>
    <mergeCell ref="AB852:AC852"/>
    <mergeCell ref="AD852:AE852"/>
    <mergeCell ref="AJ852:AK852"/>
    <mergeCell ref="AL852:AM852"/>
    <mergeCell ref="AN852:AO852"/>
    <mergeCell ref="Z851:AA851"/>
    <mergeCell ref="AB851:AC851"/>
    <mergeCell ref="AD851:AE851"/>
    <mergeCell ref="AJ851:AK851"/>
    <mergeCell ref="AL851:AM851"/>
    <mergeCell ref="AN851:AO851"/>
    <mergeCell ref="AH831:AK831"/>
    <mergeCell ref="S796:T796"/>
    <mergeCell ref="V796:W796"/>
    <mergeCell ref="Z796:AA796"/>
    <mergeCell ref="AB796:AC796"/>
    <mergeCell ref="AD796:AE796"/>
    <mergeCell ref="AJ796:AK796"/>
    <mergeCell ref="AL796:AM796"/>
    <mergeCell ref="AN796:AO796"/>
    <mergeCell ref="AD777:AE777"/>
    <mergeCell ref="V770:W770"/>
    <mergeCell ref="Z770:AA770"/>
    <mergeCell ref="AD768:AE768"/>
    <mergeCell ref="AN764:AO764"/>
    <mergeCell ref="AB763:AC763"/>
    <mergeCell ref="AL763:AM763"/>
    <mergeCell ref="V764:W764"/>
    <mergeCell ref="V740:W740"/>
    <mergeCell ref="E889:F889"/>
    <mergeCell ref="G889:H889"/>
    <mergeCell ref="I889:J889"/>
    <mergeCell ref="V889:W889"/>
    <mergeCell ref="Z889:AA889"/>
    <mergeCell ref="G891:H891"/>
    <mergeCell ref="I891:J891"/>
    <mergeCell ref="Z891:AA891"/>
    <mergeCell ref="AB891:AC891"/>
    <mergeCell ref="E887:F887"/>
    <mergeCell ref="AD888:AE888"/>
    <mergeCell ref="AB890:AC890"/>
    <mergeCell ref="Z890:AA890"/>
    <mergeCell ref="A870:B870"/>
    <mergeCell ref="E870:F870"/>
    <mergeCell ref="G870:H870"/>
    <mergeCell ref="I870:J870"/>
    <mergeCell ref="O870:P870"/>
    <mergeCell ref="Q870:R870"/>
    <mergeCell ref="S870:T870"/>
    <mergeCell ref="V870:W870"/>
    <mergeCell ref="Z870:AA870"/>
    <mergeCell ref="AB870:AC870"/>
    <mergeCell ref="AD890:AE890"/>
    <mergeCell ref="A893:B893"/>
    <mergeCell ref="E893:F893"/>
    <mergeCell ref="G893:H893"/>
    <mergeCell ref="AB892:AC892"/>
    <mergeCell ref="Z892:AA892"/>
    <mergeCell ref="A891:B891"/>
    <mergeCell ref="E891:F891"/>
    <mergeCell ref="E894:F894"/>
    <mergeCell ref="G894:H894"/>
    <mergeCell ref="I894:J894"/>
    <mergeCell ref="I893:J893"/>
    <mergeCell ref="AD894:AE894"/>
    <mergeCell ref="V893:W893"/>
    <mergeCell ref="Z893:AA893"/>
    <mergeCell ref="AB893:AC893"/>
    <mergeCell ref="AD893:AE893"/>
    <mergeCell ref="A221:B221"/>
    <mergeCell ref="Z894:AA894"/>
    <mergeCell ref="AB894:AC894"/>
    <mergeCell ref="A892:B892"/>
    <mergeCell ref="E892:F892"/>
    <mergeCell ref="G892:H892"/>
    <mergeCell ref="I892:J892"/>
    <mergeCell ref="A445:B445"/>
    <mergeCell ref="A228:T228"/>
    <mergeCell ref="E222:F222"/>
    <mergeCell ref="G222:H222"/>
    <mergeCell ref="I222:J222"/>
    <mergeCell ref="E445:F445"/>
    <mergeCell ref="G445:H445"/>
    <mergeCell ref="I445:J445"/>
    <mergeCell ref="A443:B443"/>
    <mergeCell ref="E443:F443"/>
    <mergeCell ref="A439:B439"/>
    <mergeCell ref="E439:F439"/>
    <mergeCell ref="G439:H439"/>
    <mergeCell ref="A669:B669"/>
    <mergeCell ref="A452:T452"/>
    <mergeCell ref="E446:F446"/>
    <mergeCell ref="A885:B885"/>
    <mergeCell ref="E885:F885"/>
    <mergeCell ref="G885:H885"/>
    <mergeCell ref="I885:J885"/>
    <mergeCell ref="V885:W885"/>
    <mergeCell ref="Z885:AA885"/>
    <mergeCell ref="AB884:AC884"/>
    <mergeCell ref="AD884:AE884"/>
    <mergeCell ref="V883:W883"/>
    <mergeCell ref="AB885:AC885"/>
    <mergeCell ref="AD885:AE885"/>
    <mergeCell ref="M886:P886"/>
    <mergeCell ref="AB889:AC889"/>
    <mergeCell ref="AD889:AE889"/>
    <mergeCell ref="AD891:AE891"/>
    <mergeCell ref="A890:B890"/>
    <mergeCell ref="Z879:AA879"/>
    <mergeCell ref="AD881:AE881"/>
    <mergeCell ref="A881:B881"/>
    <mergeCell ref="E881:F881"/>
    <mergeCell ref="G881:H881"/>
    <mergeCell ref="I881:J881"/>
    <mergeCell ref="A880:B880"/>
    <mergeCell ref="E880:F880"/>
    <mergeCell ref="G880:H880"/>
    <mergeCell ref="I880:J880"/>
    <mergeCell ref="V881:W881"/>
    <mergeCell ref="G882:H882"/>
    <mergeCell ref="I882:J882"/>
    <mergeCell ref="V882:W882"/>
    <mergeCell ref="Z882:AA882"/>
    <mergeCell ref="AB881:AC881"/>
    <mergeCell ref="Z881:AA881"/>
    <mergeCell ref="AB882:AC882"/>
    <mergeCell ref="AD882:AE882"/>
    <mergeCell ref="Z883:AA883"/>
    <mergeCell ref="AB883:AC883"/>
    <mergeCell ref="A883:B883"/>
    <mergeCell ref="E883:F883"/>
    <mergeCell ref="G883:H883"/>
    <mergeCell ref="I883:J883"/>
    <mergeCell ref="AD883:AE883"/>
    <mergeCell ref="A882:B882"/>
    <mergeCell ref="E882:F882"/>
    <mergeCell ref="A884:B884"/>
    <mergeCell ref="E884:F884"/>
    <mergeCell ref="G884:H884"/>
    <mergeCell ref="I884:J884"/>
    <mergeCell ref="V884:W884"/>
    <mergeCell ref="Z884:AA884"/>
    <mergeCell ref="S879:T879"/>
    <mergeCell ref="E890:F890"/>
    <mergeCell ref="G890:H890"/>
    <mergeCell ref="I890:J890"/>
    <mergeCell ref="V890:W890"/>
    <mergeCell ref="Z887:AA887"/>
    <mergeCell ref="AB887:AC887"/>
    <mergeCell ref="A888:B888"/>
    <mergeCell ref="E888:F888"/>
    <mergeCell ref="G888:H888"/>
    <mergeCell ref="I888:J888"/>
    <mergeCell ref="A887:B887"/>
    <mergeCell ref="AJ873:AK873"/>
    <mergeCell ref="AL873:AM873"/>
    <mergeCell ref="AN873:AO873"/>
    <mergeCell ref="A874:B874"/>
    <mergeCell ref="E874:F874"/>
    <mergeCell ref="G874:H874"/>
    <mergeCell ref="I874:J874"/>
    <mergeCell ref="O874:P874"/>
    <mergeCell ref="Q874:R874"/>
    <mergeCell ref="S874:T874"/>
    <mergeCell ref="V874:W874"/>
    <mergeCell ref="Z875:AA875"/>
    <mergeCell ref="AB874:AC874"/>
    <mergeCell ref="AD874:AE874"/>
    <mergeCell ref="AJ874:AK874"/>
    <mergeCell ref="Z874:AA874"/>
    <mergeCell ref="AJ876:AK876"/>
    <mergeCell ref="AN874:AO874"/>
    <mergeCell ref="A875:B875"/>
    <mergeCell ref="E875:F875"/>
    <mergeCell ref="G875:H875"/>
    <mergeCell ref="I875:J875"/>
    <mergeCell ref="O875:P875"/>
    <mergeCell ref="Q875:R875"/>
    <mergeCell ref="S875:T875"/>
    <mergeCell ref="V875:W875"/>
    <mergeCell ref="AL875:AM875"/>
    <mergeCell ref="S876:T876"/>
    <mergeCell ref="V876:W876"/>
    <mergeCell ref="AD876:AE876"/>
    <mergeCell ref="A876:B876"/>
    <mergeCell ref="E876:F876"/>
    <mergeCell ref="G876:H876"/>
    <mergeCell ref="I876:J876"/>
    <mergeCell ref="AN875:AO875"/>
    <mergeCell ref="AN876:AO876"/>
    <mergeCell ref="A873:B873"/>
    <mergeCell ref="E873:F873"/>
    <mergeCell ref="G873:H873"/>
    <mergeCell ref="I873:J873"/>
    <mergeCell ref="O873:P873"/>
    <mergeCell ref="Q873:R873"/>
    <mergeCell ref="S873:T873"/>
    <mergeCell ref="V873:W873"/>
    <mergeCell ref="Z873:AA873"/>
    <mergeCell ref="AB873:AC873"/>
    <mergeCell ref="AD873:AE873"/>
    <mergeCell ref="AD870:AE870"/>
    <mergeCell ref="AJ870:AK870"/>
    <mergeCell ref="AL870:AM870"/>
    <mergeCell ref="AN870:AO870"/>
    <mergeCell ref="A871:B871"/>
    <mergeCell ref="E871:F871"/>
    <mergeCell ref="G871:H871"/>
    <mergeCell ref="I871:J871"/>
    <mergeCell ref="O871:P871"/>
    <mergeCell ref="Q871:R871"/>
    <mergeCell ref="S871:T871"/>
    <mergeCell ref="V871:W871"/>
    <mergeCell ref="Z871:AA871"/>
    <mergeCell ref="AB871:AC871"/>
    <mergeCell ref="AD871:AE871"/>
    <mergeCell ref="AJ871:AK871"/>
    <mergeCell ref="AL871:AM871"/>
    <mergeCell ref="AN871:AO871"/>
    <mergeCell ref="A872:B872"/>
    <mergeCell ref="E872:F872"/>
    <mergeCell ref="G872:H872"/>
    <mergeCell ref="I872:J872"/>
    <mergeCell ref="O872:P872"/>
    <mergeCell ref="Q872:R872"/>
    <mergeCell ref="S872:T872"/>
    <mergeCell ref="V872:W872"/>
    <mergeCell ref="Z872:AA872"/>
    <mergeCell ref="AB872:AC872"/>
    <mergeCell ref="AD872:AE872"/>
    <mergeCell ref="AJ872:AK872"/>
    <mergeCell ref="AL872:AM872"/>
    <mergeCell ref="AN872:AO872"/>
    <mergeCell ref="A867:B867"/>
    <mergeCell ref="E867:F867"/>
    <mergeCell ref="G867:H867"/>
    <mergeCell ref="I867:J867"/>
    <mergeCell ref="O867:P867"/>
    <mergeCell ref="Q867:R867"/>
    <mergeCell ref="S867:T867"/>
    <mergeCell ref="V867:W867"/>
    <mergeCell ref="Z867:AA867"/>
    <mergeCell ref="AB867:AC867"/>
    <mergeCell ref="AD867:AE867"/>
    <mergeCell ref="AJ867:AK867"/>
    <mergeCell ref="AL867:AM867"/>
    <mergeCell ref="AN867:AO867"/>
    <mergeCell ref="A868:B868"/>
    <mergeCell ref="E868:F868"/>
    <mergeCell ref="G868:H868"/>
    <mergeCell ref="I868:J868"/>
    <mergeCell ref="O868:P868"/>
    <mergeCell ref="Q868:R868"/>
    <mergeCell ref="S868:T868"/>
    <mergeCell ref="V868:W868"/>
    <mergeCell ref="Z868:AA868"/>
    <mergeCell ref="AB868:AC868"/>
    <mergeCell ref="AD868:AE868"/>
    <mergeCell ref="AJ868:AK868"/>
    <mergeCell ref="AL868:AM868"/>
    <mergeCell ref="AN868:AO868"/>
    <mergeCell ref="A869:B869"/>
    <mergeCell ref="E869:F869"/>
    <mergeCell ref="G869:H869"/>
    <mergeCell ref="I869:J869"/>
    <mergeCell ref="O869:P869"/>
    <mergeCell ref="Q869:R869"/>
    <mergeCell ref="S869:T869"/>
    <mergeCell ref="V869:W869"/>
    <mergeCell ref="Z869:AA869"/>
    <mergeCell ref="AB869:AC869"/>
    <mergeCell ref="AD869:AE869"/>
    <mergeCell ref="AJ869:AK869"/>
    <mergeCell ref="AL869:AM869"/>
    <mergeCell ref="AN869:AO869"/>
    <mergeCell ref="A864:B864"/>
    <mergeCell ref="E864:F864"/>
    <mergeCell ref="G864:H864"/>
    <mergeCell ref="I864:J864"/>
    <mergeCell ref="O864:P864"/>
    <mergeCell ref="Q864:R864"/>
    <mergeCell ref="S864:T864"/>
    <mergeCell ref="V864:W864"/>
    <mergeCell ref="Z864:AA864"/>
    <mergeCell ref="AB864:AC864"/>
    <mergeCell ref="AD864:AE864"/>
    <mergeCell ref="AJ864:AK864"/>
    <mergeCell ref="AL864:AM864"/>
    <mergeCell ref="AN864:AO864"/>
    <mergeCell ref="A865:B865"/>
    <mergeCell ref="E865:F865"/>
    <mergeCell ref="G865:H865"/>
    <mergeCell ref="I865:J865"/>
    <mergeCell ref="O865:P865"/>
    <mergeCell ref="Q865:R865"/>
    <mergeCell ref="S865:T865"/>
    <mergeCell ref="V865:W865"/>
    <mergeCell ref="Z865:AA865"/>
    <mergeCell ref="AB865:AC865"/>
    <mergeCell ref="AD865:AE865"/>
    <mergeCell ref="AJ865:AK865"/>
    <mergeCell ref="AL865:AM865"/>
    <mergeCell ref="AN865:AO865"/>
    <mergeCell ref="A866:B866"/>
    <mergeCell ref="E866:F866"/>
    <mergeCell ref="G866:H866"/>
    <mergeCell ref="I866:J866"/>
    <mergeCell ref="O866:P866"/>
    <mergeCell ref="Q866:R866"/>
    <mergeCell ref="S866:T866"/>
    <mergeCell ref="V866:W866"/>
    <mergeCell ref="Z866:AA866"/>
    <mergeCell ref="AB866:AC866"/>
    <mergeCell ref="AD866:AE866"/>
    <mergeCell ref="AJ866:AK866"/>
    <mergeCell ref="AL866:AM866"/>
    <mergeCell ref="AN866:AO866"/>
    <mergeCell ref="A861:B861"/>
    <mergeCell ref="E861:F861"/>
    <mergeCell ref="G861:H861"/>
    <mergeCell ref="I861:J861"/>
    <mergeCell ref="O861:P861"/>
    <mergeCell ref="Q861:R861"/>
    <mergeCell ref="S861:T861"/>
    <mergeCell ref="V861:W861"/>
    <mergeCell ref="Z861:AA861"/>
    <mergeCell ref="AB861:AC861"/>
    <mergeCell ref="AD861:AE861"/>
    <mergeCell ref="AJ861:AK861"/>
    <mergeCell ref="AL861:AM861"/>
    <mergeCell ref="AN861:AO861"/>
    <mergeCell ref="A862:B862"/>
    <mergeCell ref="E862:F862"/>
    <mergeCell ref="G862:H862"/>
    <mergeCell ref="I862:J862"/>
    <mergeCell ref="O862:P862"/>
    <mergeCell ref="Q862:R862"/>
    <mergeCell ref="S862:T862"/>
    <mergeCell ref="V862:W862"/>
    <mergeCell ref="Z862:AA862"/>
    <mergeCell ref="AB862:AC862"/>
    <mergeCell ref="AD862:AE862"/>
    <mergeCell ref="AJ862:AK862"/>
    <mergeCell ref="AL862:AM862"/>
    <mergeCell ref="AN862:AO862"/>
    <mergeCell ref="A863:B863"/>
    <mergeCell ref="E863:F863"/>
    <mergeCell ref="G863:H863"/>
    <mergeCell ref="I863:J863"/>
    <mergeCell ref="O863:P863"/>
    <mergeCell ref="Q863:R863"/>
    <mergeCell ref="S863:T863"/>
    <mergeCell ref="V863:W863"/>
    <mergeCell ref="Z863:AA863"/>
    <mergeCell ref="AB863:AC863"/>
    <mergeCell ref="AD863:AE863"/>
    <mergeCell ref="AJ863:AK863"/>
    <mergeCell ref="AL863:AM863"/>
    <mergeCell ref="AN863:AO863"/>
    <mergeCell ref="A858:B858"/>
    <mergeCell ref="E858:F858"/>
    <mergeCell ref="G858:H858"/>
    <mergeCell ref="I858:J858"/>
    <mergeCell ref="O858:P858"/>
    <mergeCell ref="Q858:R858"/>
    <mergeCell ref="S858:T858"/>
    <mergeCell ref="V858:W858"/>
    <mergeCell ref="Z858:AA858"/>
    <mergeCell ref="AB858:AC858"/>
    <mergeCell ref="AD858:AE858"/>
    <mergeCell ref="AJ858:AK858"/>
    <mergeCell ref="AL858:AM858"/>
    <mergeCell ref="AN858:AO858"/>
    <mergeCell ref="A859:B859"/>
    <mergeCell ref="E859:F859"/>
    <mergeCell ref="G859:H859"/>
    <mergeCell ref="I859:J859"/>
    <mergeCell ref="O859:P859"/>
    <mergeCell ref="Q859:R859"/>
    <mergeCell ref="S859:T859"/>
    <mergeCell ref="V859:W859"/>
    <mergeCell ref="Z859:AA859"/>
    <mergeCell ref="AB859:AC859"/>
    <mergeCell ref="AD859:AE859"/>
    <mergeCell ref="AJ859:AK859"/>
    <mergeCell ref="AL859:AM859"/>
    <mergeCell ref="AN859:AO859"/>
    <mergeCell ref="A860:B860"/>
    <mergeCell ref="E860:F860"/>
    <mergeCell ref="G860:H860"/>
    <mergeCell ref="I860:J860"/>
    <mergeCell ref="O860:P860"/>
    <mergeCell ref="Q860:R860"/>
    <mergeCell ref="S860:T860"/>
    <mergeCell ref="V860:W860"/>
    <mergeCell ref="Z860:AA860"/>
    <mergeCell ref="AB860:AC860"/>
    <mergeCell ref="AD860:AE860"/>
    <mergeCell ref="AJ860:AK860"/>
    <mergeCell ref="AL860:AM860"/>
    <mergeCell ref="AN860:AO860"/>
    <mergeCell ref="A855:B855"/>
    <mergeCell ref="E855:F855"/>
    <mergeCell ref="G855:H855"/>
    <mergeCell ref="I855:J855"/>
    <mergeCell ref="O855:P855"/>
    <mergeCell ref="Q855:R855"/>
    <mergeCell ref="S855:T855"/>
    <mergeCell ref="V855:W855"/>
    <mergeCell ref="Z855:AA855"/>
    <mergeCell ref="AB855:AC855"/>
    <mergeCell ref="AD855:AE855"/>
    <mergeCell ref="AJ855:AK855"/>
    <mergeCell ref="AL855:AM855"/>
    <mergeCell ref="AN855:AO855"/>
    <mergeCell ref="A856:B856"/>
    <mergeCell ref="E856:F856"/>
    <mergeCell ref="G856:H856"/>
    <mergeCell ref="I856:J856"/>
    <mergeCell ref="O856:P856"/>
    <mergeCell ref="Q856:R856"/>
    <mergeCell ref="S856:T856"/>
    <mergeCell ref="V856:W856"/>
    <mergeCell ref="Z856:AA856"/>
    <mergeCell ref="AB856:AC856"/>
    <mergeCell ref="AD856:AE856"/>
    <mergeCell ref="AJ856:AK856"/>
    <mergeCell ref="AL856:AM856"/>
    <mergeCell ref="AN856:AO856"/>
    <mergeCell ref="A857:B857"/>
    <mergeCell ref="E857:F857"/>
    <mergeCell ref="G857:H857"/>
    <mergeCell ref="I857:J857"/>
    <mergeCell ref="O857:P857"/>
    <mergeCell ref="Q857:R857"/>
    <mergeCell ref="S857:T857"/>
    <mergeCell ref="V857:W857"/>
    <mergeCell ref="Z857:AA857"/>
    <mergeCell ref="AB857:AC857"/>
    <mergeCell ref="AD857:AE857"/>
    <mergeCell ref="AJ857:AK857"/>
    <mergeCell ref="AL857:AM857"/>
    <mergeCell ref="AN857:AO857"/>
    <mergeCell ref="A853:B853"/>
    <mergeCell ref="E853:F853"/>
    <mergeCell ref="G853:H853"/>
    <mergeCell ref="I853:J853"/>
    <mergeCell ref="O853:P853"/>
    <mergeCell ref="Q853:R853"/>
    <mergeCell ref="S853:T853"/>
    <mergeCell ref="V853:W853"/>
    <mergeCell ref="Z853:AA853"/>
    <mergeCell ref="AB853:AC853"/>
    <mergeCell ref="AD853:AE853"/>
    <mergeCell ref="AJ853:AK853"/>
    <mergeCell ref="AL853:AM853"/>
    <mergeCell ref="AN853:AO853"/>
    <mergeCell ref="A854:B854"/>
    <mergeCell ref="E854:F854"/>
    <mergeCell ref="G854:H854"/>
    <mergeCell ref="I854:J854"/>
    <mergeCell ref="O854:P854"/>
    <mergeCell ref="Q854:R854"/>
    <mergeCell ref="S854:T854"/>
    <mergeCell ref="V854:W854"/>
    <mergeCell ref="Z854:AA854"/>
    <mergeCell ref="AB854:AC854"/>
    <mergeCell ref="AD854:AE854"/>
    <mergeCell ref="AJ854:AK854"/>
    <mergeCell ref="AL854:AM854"/>
    <mergeCell ref="AN854:AO854"/>
    <mergeCell ref="AD837:AE837"/>
    <mergeCell ref="A837:B837"/>
    <mergeCell ref="E837:F837"/>
    <mergeCell ref="G837:H837"/>
    <mergeCell ref="I837:J837"/>
    <mergeCell ref="V837:W837"/>
    <mergeCell ref="Z837:AA837"/>
    <mergeCell ref="AB837:AC837"/>
    <mergeCell ref="AB838:AC838"/>
    <mergeCell ref="AD838:AE838"/>
    <mergeCell ref="E838:F838"/>
    <mergeCell ref="G838:H838"/>
    <mergeCell ref="I838:J838"/>
    <mergeCell ref="Z838:AA838"/>
    <mergeCell ref="A850:B850"/>
    <mergeCell ref="E850:F850"/>
    <mergeCell ref="G850:H850"/>
    <mergeCell ref="I850:J850"/>
    <mergeCell ref="O850:P850"/>
    <mergeCell ref="Q850:R850"/>
    <mergeCell ref="S850:T850"/>
    <mergeCell ref="V850:W850"/>
    <mergeCell ref="Z850:AA850"/>
    <mergeCell ref="AB850:AC850"/>
    <mergeCell ref="AD850:AE850"/>
    <mergeCell ref="AJ850:AK850"/>
    <mergeCell ref="AL850:AM850"/>
    <mergeCell ref="AN850:AO850"/>
    <mergeCell ref="A851:B851"/>
    <mergeCell ref="E851:F851"/>
    <mergeCell ref="G851:H851"/>
    <mergeCell ref="I851:J851"/>
    <mergeCell ref="O851:P851"/>
    <mergeCell ref="Q851:R851"/>
    <mergeCell ref="S851:T851"/>
    <mergeCell ref="V851:W851"/>
    <mergeCell ref="A832:B832"/>
    <mergeCell ref="E832:F832"/>
    <mergeCell ref="G832:H832"/>
    <mergeCell ref="I832:J832"/>
    <mergeCell ref="V832:W832"/>
    <mergeCell ref="Z832:AA832"/>
    <mergeCell ref="AB832:AC832"/>
    <mergeCell ref="AD832:AE832"/>
    <mergeCell ref="AH832:AK832"/>
    <mergeCell ref="A833:B833"/>
    <mergeCell ref="E833:F833"/>
    <mergeCell ref="G833:H833"/>
    <mergeCell ref="I833:J833"/>
    <mergeCell ref="A834:B834"/>
    <mergeCell ref="E834:F834"/>
    <mergeCell ref="G834:H834"/>
    <mergeCell ref="I834:J834"/>
    <mergeCell ref="V834:W834"/>
    <mergeCell ref="Z834:AA834"/>
    <mergeCell ref="AB834:AC834"/>
    <mergeCell ref="AD834:AE834"/>
    <mergeCell ref="A835:B835"/>
    <mergeCell ref="E835:F835"/>
    <mergeCell ref="G835:H835"/>
    <mergeCell ref="I835:J835"/>
    <mergeCell ref="V835:W835"/>
    <mergeCell ref="Z835:AA835"/>
    <mergeCell ref="AB835:AC835"/>
    <mergeCell ref="AD835:AE835"/>
    <mergeCell ref="A836:B836"/>
    <mergeCell ref="E836:F836"/>
    <mergeCell ref="G836:H836"/>
    <mergeCell ref="I836:J836"/>
    <mergeCell ref="V836:W836"/>
    <mergeCell ref="Z836:AA836"/>
    <mergeCell ref="AB836:AC836"/>
    <mergeCell ref="AD836:AE836"/>
    <mergeCell ref="A828:B828"/>
    <mergeCell ref="E828:F828"/>
    <mergeCell ref="G828:H828"/>
    <mergeCell ref="I828:J828"/>
    <mergeCell ref="V828:W828"/>
    <mergeCell ref="Z828:AA828"/>
    <mergeCell ref="AB828:AC828"/>
    <mergeCell ref="AD828:AE828"/>
    <mergeCell ref="A829:B829"/>
    <mergeCell ref="E829:F829"/>
    <mergeCell ref="G829:H829"/>
    <mergeCell ref="I829:J829"/>
    <mergeCell ref="M829:P829"/>
    <mergeCell ref="V829:W829"/>
    <mergeCell ref="Z829:AA829"/>
    <mergeCell ref="AB829:AC829"/>
    <mergeCell ref="AD829:AE829"/>
    <mergeCell ref="A830:B830"/>
    <mergeCell ref="E830:F830"/>
    <mergeCell ref="G830:H830"/>
    <mergeCell ref="I830:J830"/>
    <mergeCell ref="M830:P830"/>
    <mergeCell ref="V830:W830"/>
    <mergeCell ref="Z830:AA830"/>
    <mergeCell ref="AB830:AC830"/>
    <mergeCell ref="AD830:AE830"/>
    <mergeCell ref="A831:B831"/>
    <mergeCell ref="E831:F831"/>
    <mergeCell ref="G831:H831"/>
    <mergeCell ref="I831:J831"/>
    <mergeCell ref="V831:W831"/>
    <mergeCell ref="Z831:AA831"/>
    <mergeCell ref="AB831:AC831"/>
    <mergeCell ref="AD831:AE831"/>
    <mergeCell ref="A823:B823"/>
    <mergeCell ref="E823:F823"/>
    <mergeCell ref="G823:H823"/>
    <mergeCell ref="I823:J823"/>
    <mergeCell ref="V823:W823"/>
    <mergeCell ref="Z823:AA823"/>
    <mergeCell ref="AB823:AC823"/>
    <mergeCell ref="AD823:AE823"/>
    <mergeCell ref="A824:B824"/>
    <mergeCell ref="E824:F824"/>
    <mergeCell ref="G824:H824"/>
    <mergeCell ref="I824:J824"/>
    <mergeCell ref="V824:W824"/>
    <mergeCell ref="Z824:AA824"/>
    <mergeCell ref="AB824:AC824"/>
    <mergeCell ref="AD824:AE824"/>
    <mergeCell ref="A825:B825"/>
    <mergeCell ref="E825:F825"/>
    <mergeCell ref="G825:H825"/>
    <mergeCell ref="I825:J825"/>
    <mergeCell ref="AB825:AC825"/>
    <mergeCell ref="AD825:AE825"/>
    <mergeCell ref="A826:B826"/>
    <mergeCell ref="E826:F826"/>
    <mergeCell ref="G826:H826"/>
    <mergeCell ref="I826:J826"/>
    <mergeCell ref="AD826:AE826"/>
    <mergeCell ref="A827:B827"/>
    <mergeCell ref="E827:F827"/>
    <mergeCell ref="G827:H827"/>
    <mergeCell ref="I827:J827"/>
    <mergeCell ref="V827:W827"/>
    <mergeCell ref="Z827:AA827"/>
    <mergeCell ref="AB827:AC827"/>
    <mergeCell ref="AD827:AE827"/>
    <mergeCell ref="AB826:AC826"/>
    <mergeCell ref="A820:B820"/>
    <mergeCell ref="E820:F820"/>
    <mergeCell ref="G820:H820"/>
    <mergeCell ref="I820:J820"/>
    <mergeCell ref="O820:P820"/>
    <mergeCell ref="Q820:R820"/>
    <mergeCell ref="S820:T820"/>
    <mergeCell ref="V820:W820"/>
    <mergeCell ref="Z820:AA820"/>
    <mergeCell ref="AB820:AC820"/>
    <mergeCell ref="AD820:AE820"/>
    <mergeCell ref="AJ820:AK820"/>
    <mergeCell ref="AL820:AM820"/>
    <mergeCell ref="AN820:AO820"/>
    <mergeCell ref="A821:B821"/>
    <mergeCell ref="E821:F821"/>
    <mergeCell ref="G821:H821"/>
    <mergeCell ref="I821:J821"/>
    <mergeCell ref="O821:P821"/>
    <mergeCell ref="Q821:R821"/>
    <mergeCell ref="S821:T821"/>
    <mergeCell ref="V821:W821"/>
    <mergeCell ref="Z821:AA821"/>
    <mergeCell ref="AB821:AC821"/>
    <mergeCell ref="AD821:AE821"/>
    <mergeCell ref="AJ821:AK821"/>
    <mergeCell ref="AL821:AM821"/>
    <mergeCell ref="AN821:AO821"/>
    <mergeCell ref="A822:B822"/>
    <mergeCell ref="E822:F822"/>
    <mergeCell ref="G822:H822"/>
    <mergeCell ref="I822:J822"/>
    <mergeCell ref="O822:P822"/>
    <mergeCell ref="Q822:R822"/>
    <mergeCell ref="S822:T822"/>
    <mergeCell ref="V822:W822"/>
    <mergeCell ref="Z822:AA822"/>
    <mergeCell ref="AB822:AC822"/>
    <mergeCell ref="AD822:AE822"/>
    <mergeCell ref="AJ822:AK822"/>
    <mergeCell ref="AL822:AM822"/>
    <mergeCell ref="AN822:AO822"/>
    <mergeCell ref="A817:B817"/>
    <mergeCell ref="E817:F817"/>
    <mergeCell ref="G817:H817"/>
    <mergeCell ref="I817:J817"/>
    <mergeCell ref="O817:P817"/>
    <mergeCell ref="Q817:R817"/>
    <mergeCell ref="S817:T817"/>
    <mergeCell ref="V817:W817"/>
    <mergeCell ref="Z817:AA817"/>
    <mergeCell ref="AB817:AC817"/>
    <mergeCell ref="AD817:AE817"/>
    <mergeCell ref="AJ817:AK817"/>
    <mergeCell ref="AL817:AM817"/>
    <mergeCell ref="AN817:AO817"/>
    <mergeCell ref="A818:B818"/>
    <mergeCell ref="E818:F818"/>
    <mergeCell ref="G818:H818"/>
    <mergeCell ref="I818:J818"/>
    <mergeCell ref="O818:P818"/>
    <mergeCell ref="Q818:R818"/>
    <mergeCell ref="S818:T818"/>
    <mergeCell ref="V818:W818"/>
    <mergeCell ref="Z818:AA818"/>
    <mergeCell ref="AB818:AC818"/>
    <mergeCell ref="AD818:AE818"/>
    <mergeCell ref="AJ818:AK818"/>
    <mergeCell ref="AL818:AM818"/>
    <mergeCell ref="AN818:AO818"/>
    <mergeCell ref="A819:B819"/>
    <mergeCell ref="E819:F819"/>
    <mergeCell ref="G819:H819"/>
    <mergeCell ref="I819:J819"/>
    <mergeCell ref="O819:P819"/>
    <mergeCell ref="Q819:R819"/>
    <mergeCell ref="S819:T819"/>
    <mergeCell ref="V819:W819"/>
    <mergeCell ref="Z819:AA819"/>
    <mergeCell ref="AB819:AC819"/>
    <mergeCell ref="AD819:AE819"/>
    <mergeCell ref="AJ819:AK819"/>
    <mergeCell ref="AL819:AM819"/>
    <mergeCell ref="AN819:AO819"/>
    <mergeCell ref="A814:B814"/>
    <mergeCell ref="E814:F814"/>
    <mergeCell ref="G814:H814"/>
    <mergeCell ref="I814:J814"/>
    <mergeCell ref="O814:P814"/>
    <mergeCell ref="Q814:R814"/>
    <mergeCell ref="S814:T814"/>
    <mergeCell ref="V814:W814"/>
    <mergeCell ref="Z814:AA814"/>
    <mergeCell ref="AB814:AC814"/>
    <mergeCell ref="AD814:AE814"/>
    <mergeCell ref="AJ814:AK814"/>
    <mergeCell ref="AL814:AM814"/>
    <mergeCell ref="AN814:AO814"/>
    <mergeCell ref="A815:B815"/>
    <mergeCell ref="E815:F815"/>
    <mergeCell ref="G815:H815"/>
    <mergeCell ref="I815:J815"/>
    <mergeCell ref="O815:P815"/>
    <mergeCell ref="Q815:R815"/>
    <mergeCell ref="S815:T815"/>
    <mergeCell ref="V815:W815"/>
    <mergeCell ref="Z815:AA815"/>
    <mergeCell ref="AB815:AC815"/>
    <mergeCell ref="AD815:AE815"/>
    <mergeCell ref="AJ815:AK815"/>
    <mergeCell ref="AL815:AM815"/>
    <mergeCell ref="AN815:AO815"/>
    <mergeCell ref="A816:B816"/>
    <mergeCell ref="E816:F816"/>
    <mergeCell ref="G816:H816"/>
    <mergeCell ref="I816:J816"/>
    <mergeCell ref="O816:P816"/>
    <mergeCell ref="Q816:R816"/>
    <mergeCell ref="S816:T816"/>
    <mergeCell ref="V816:W816"/>
    <mergeCell ref="Z816:AA816"/>
    <mergeCell ref="AB816:AC816"/>
    <mergeCell ref="AD816:AE816"/>
    <mergeCell ref="AJ816:AK816"/>
    <mergeCell ref="AL816:AM816"/>
    <mergeCell ref="AN816:AO816"/>
    <mergeCell ref="A811:B811"/>
    <mergeCell ref="E811:F811"/>
    <mergeCell ref="G811:H811"/>
    <mergeCell ref="I811:J811"/>
    <mergeCell ref="O811:P811"/>
    <mergeCell ref="Q811:R811"/>
    <mergeCell ref="S811:T811"/>
    <mergeCell ref="V811:W811"/>
    <mergeCell ref="Z811:AA811"/>
    <mergeCell ref="AB811:AC811"/>
    <mergeCell ref="AD811:AE811"/>
    <mergeCell ref="AJ811:AK811"/>
    <mergeCell ref="AL811:AM811"/>
    <mergeCell ref="AN811:AO811"/>
    <mergeCell ref="A812:B812"/>
    <mergeCell ref="E812:F812"/>
    <mergeCell ref="G812:H812"/>
    <mergeCell ref="I812:J812"/>
    <mergeCell ref="O812:P812"/>
    <mergeCell ref="Q812:R812"/>
    <mergeCell ref="S812:T812"/>
    <mergeCell ref="V812:W812"/>
    <mergeCell ref="Z812:AA812"/>
    <mergeCell ref="AB812:AC812"/>
    <mergeCell ref="AD812:AE812"/>
    <mergeCell ref="AJ812:AK812"/>
    <mergeCell ref="AL812:AM812"/>
    <mergeCell ref="AN812:AO812"/>
    <mergeCell ref="A813:B813"/>
    <mergeCell ref="E813:F813"/>
    <mergeCell ref="G813:H813"/>
    <mergeCell ref="I813:J813"/>
    <mergeCell ref="O813:P813"/>
    <mergeCell ref="Q813:R813"/>
    <mergeCell ref="S813:T813"/>
    <mergeCell ref="V813:W813"/>
    <mergeCell ref="Z813:AA813"/>
    <mergeCell ref="AB813:AC813"/>
    <mergeCell ref="AD813:AE813"/>
    <mergeCell ref="AJ813:AK813"/>
    <mergeCell ref="AL813:AM813"/>
    <mergeCell ref="AN813:AO813"/>
    <mergeCell ref="A808:B808"/>
    <mergeCell ref="E808:F808"/>
    <mergeCell ref="G808:H808"/>
    <mergeCell ref="I808:J808"/>
    <mergeCell ref="O808:P808"/>
    <mergeCell ref="Q808:R808"/>
    <mergeCell ref="S808:T808"/>
    <mergeCell ref="V808:W808"/>
    <mergeCell ref="Z808:AA808"/>
    <mergeCell ref="AB808:AC808"/>
    <mergeCell ref="AD808:AE808"/>
    <mergeCell ref="AJ808:AK808"/>
    <mergeCell ref="AL808:AM808"/>
    <mergeCell ref="AN808:AO808"/>
    <mergeCell ref="A809:B809"/>
    <mergeCell ref="E809:F809"/>
    <mergeCell ref="G809:H809"/>
    <mergeCell ref="I809:J809"/>
    <mergeCell ref="O809:P809"/>
    <mergeCell ref="Q809:R809"/>
    <mergeCell ref="S809:T809"/>
    <mergeCell ref="V809:W809"/>
    <mergeCell ref="Z809:AA809"/>
    <mergeCell ref="AB809:AC809"/>
    <mergeCell ref="AD809:AE809"/>
    <mergeCell ref="AJ809:AK809"/>
    <mergeCell ref="AL809:AM809"/>
    <mergeCell ref="AN809:AO809"/>
    <mergeCell ref="A810:B810"/>
    <mergeCell ref="E810:F810"/>
    <mergeCell ref="G810:H810"/>
    <mergeCell ref="I810:J810"/>
    <mergeCell ref="O810:P810"/>
    <mergeCell ref="Q810:R810"/>
    <mergeCell ref="S810:T810"/>
    <mergeCell ref="V810:W810"/>
    <mergeCell ref="Z810:AA810"/>
    <mergeCell ref="AB810:AC810"/>
    <mergeCell ref="AD810:AE810"/>
    <mergeCell ref="AJ810:AK810"/>
    <mergeCell ref="AL810:AM810"/>
    <mergeCell ref="AN810:AO810"/>
    <mergeCell ref="A805:B805"/>
    <mergeCell ref="E805:F805"/>
    <mergeCell ref="G805:H805"/>
    <mergeCell ref="I805:J805"/>
    <mergeCell ref="O805:P805"/>
    <mergeCell ref="Q805:R805"/>
    <mergeCell ref="S805:T805"/>
    <mergeCell ref="V805:W805"/>
    <mergeCell ref="Z805:AA805"/>
    <mergeCell ref="AB805:AC805"/>
    <mergeCell ref="AD805:AE805"/>
    <mergeCell ref="AJ805:AK805"/>
    <mergeCell ref="AL805:AM805"/>
    <mergeCell ref="AN805:AO805"/>
    <mergeCell ref="A806:B806"/>
    <mergeCell ref="E806:F806"/>
    <mergeCell ref="G806:H806"/>
    <mergeCell ref="I806:J806"/>
    <mergeCell ref="O806:P806"/>
    <mergeCell ref="Q806:R806"/>
    <mergeCell ref="S806:T806"/>
    <mergeCell ref="V806:W806"/>
    <mergeCell ref="Z806:AA806"/>
    <mergeCell ref="AB806:AC806"/>
    <mergeCell ref="AD806:AE806"/>
    <mergeCell ref="AJ806:AK806"/>
    <mergeCell ref="AL806:AM806"/>
    <mergeCell ref="AN806:AO806"/>
    <mergeCell ref="A807:B807"/>
    <mergeCell ref="E807:F807"/>
    <mergeCell ref="G807:H807"/>
    <mergeCell ref="I807:J807"/>
    <mergeCell ref="O807:P807"/>
    <mergeCell ref="Q807:R807"/>
    <mergeCell ref="S807:T807"/>
    <mergeCell ref="V807:W807"/>
    <mergeCell ref="Z807:AA807"/>
    <mergeCell ref="AB807:AC807"/>
    <mergeCell ref="AD807:AE807"/>
    <mergeCell ref="AJ807:AK807"/>
    <mergeCell ref="AL807:AM807"/>
    <mergeCell ref="AN807:AO807"/>
    <mergeCell ref="A802:B802"/>
    <mergeCell ref="E802:F802"/>
    <mergeCell ref="G802:H802"/>
    <mergeCell ref="I802:J802"/>
    <mergeCell ref="O802:P802"/>
    <mergeCell ref="Q802:R802"/>
    <mergeCell ref="S802:T802"/>
    <mergeCell ref="V802:W802"/>
    <mergeCell ref="Z802:AA802"/>
    <mergeCell ref="AB802:AC802"/>
    <mergeCell ref="AD802:AE802"/>
    <mergeCell ref="AJ802:AK802"/>
    <mergeCell ref="AL802:AM802"/>
    <mergeCell ref="AN802:AO802"/>
    <mergeCell ref="A803:B803"/>
    <mergeCell ref="E803:F803"/>
    <mergeCell ref="G803:H803"/>
    <mergeCell ref="I803:J803"/>
    <mergeCell ref="O803:P803"/>
    <mergeCell ref="Q803:R803"/>
    <mergeCell ref="S803:T803"/>
    <mergeCell ref="V803:W803"/>
    <mergeCell ref="Z803:AA803"/>
    <mergeCell ref="AB803:AC803"/>
    <mergeCell ref="AD803:AE803"/>
    <mergeCell ref="AJ803:AK803"/>
    <mergeCell ref="AL803:AM803"/>
    <mergeCell ref="AN803:AO803"/>
    <mergeCell ref="A804:B804"/>
    <mergeCell ref="E804:F804"/>
    <mergeCell ref="G804:H804"/>
    <mergeCell ref="I804:J804"/>
    <mergeCell ref="O804:P804"/>
    <mergeCell ref="Q804:R804"/>
    <mergeCell ref="S804:T804"/>
    <mergeCell ref="V804:W804"/>
    <mergeCell ref="Z804:AA804"/>
    <mergeCell ref="AB804:AC804"/>
    <mergeCell ref="AD804:AE804"/>
    <mergeCell ref="AJ804:AK804"/>
    <mergeCell ref="AL804:AM804"/>
    <mergeCell ref="AN804:AO804"/>
    <mergeCell ref="A799:B799"/>
    <mergeCell ref="E799:F799"/>
    <mergeCell ref="G799:H799"/>
    <mergeCell ref="I799:J799"/>
    <mergeCell ref="O799:P799"/>
    <mergeCell ref="Q799:R799"/>
    <mergeCell ref="S799:T799"/>
    <mergeCell ref="V799:W799"/>
    <mergeCell ref="Z799:AA799"/>
    <mergeCell ref="AB799:AC799"/>
    <mergeCell ref="AD799:AE799"/>
    <mergeCell ref="AJ799:AK799"/>
    <mergeCell ref="AL799:AM799"/>
    <mergeCell ref="AN799:AO799"/>
    <mergeCell ref="A800:B800"/>
    <mergeCell ref="E800:F800"/>
    <mergeCell ref="G800:H800"/>
    <mergeCell ref="I800:J800"/>
    <mergeCell ref="O800:P800"/>
    <mergeCell ref="Q800:R800"/>
    <mergeCell ref="S800:T800"/>
    <mergeCell ref="V800:W800"/>
    <mergeCell ref="Z800:AA800"/>
    <mergeCell ref="AB800:AC800"/>
    <mergeCell ref="AD800:AE800"/>
    <mergeCell ref="AJ800:AK800"/>
    <mergeCell ref="AL800:AM800"/>
    <mergeCell ref="AN800:AO800"/>
    <mergeCell ref="A801:B801"/>
    <mergeCell ref="E801:F801"/>
    <mergeCell ref="G801:H801"/>
    <mergeCell ref="I801:J801"/>
    <mergeCell ref="O801:P801"/>
    <mergeCell ref="Q801:R801"/>
    <mergeCell ref="S801:T801"/>
    <mergeCell ref="V801:W801"/>
    <mergeCell ref="Z801:AA801"/>
    <mergeCell ref="AB801:AC801"/>
    <mergeCell ref="AD801:AE801"/>
    <mergeCell ref="AJ801:AK801"/>
    <mergeCell ref="AL801:AM801"/>
    <mergeCell ref="AN801:AO801"/>
    <mergeCell ref="A797:B797"/>
    <mergeCell ref="E797:F797"/>
    <mergeCell ref="G797:H797"/>
    <mergeCell ref="I797:J797"/>
    <mergeCell ref="O797:P797"/>
    <mergeCell ref="Q797:R797"/>
    <mergeCell ref="S797:T797"/>
    <mergeCell ref="V797:W797"/>
    <mergeCell ref="Z797:AA797"/>
    <mergeCell ref="AB797:AC797"/>
    <mergeCell ref="AD797:AE797"/>
    <mergeCell ref="AJ797:AK797"/>
    <mergeCell ref="AL797:AM797"/>
    <mergeCell ref="AN797:AO797"/>
    <mergeCell ref="A798:B798"/>
    <mergeCell ref="E798:F798"/>
    <mergeCell ref="G798:H798"/>
    <mergeCell ref="I798:J798"/>
    <mergeCell ref="O798:P798"/>
    <mergeCell ref="Q798:R798"/>
    <mergeCell ref="S798:T798"/>
    <mergeCell ref="V798:W798"/>
    <mergeCell ref="Z798:AA798"/>
    <mergeCell ref="AB798:AC798"/>
    <mergeCell ref="AD798:AE798"/>
    <mergeCell ref="AJ798:AK798"/>
    <mergeCell ref="AL798:AM798"/>
    <mergeCell ref="AN798:AO798"/>
    <mergeCell ref="AB782:AC782"/>
    <mergeCell ref="AD782:AE782"/>
    <mergeCell ref="A788:T788"/>
    <mergeCell ref="G790:H790"/>
    <mergeCell ref="Q790:R790"/>
    <mergeCell ref="S790:T790"/>
    <mergeCell ref="AB790:AC790"/>
    <mergeCell ref="E782:F782"/>
    <mergeCell ref="G782:H782"/>
    <mergeCell ref="I782:J782"/>
    <mergeCell ref="Z782:AA782"/>
    <mergeCell ref="L789:L792"/>
    <mergeCell ref="M789:P790"/>
    <mergeCell ref="Q789:R789"/>
    <mergeCell ref="S789:T789"/>
    <mergeCell ref="N791:N792"/>
    <mergeCell ref="G789:H789"/>
    <mergeCell ref="I789:J790"/>
    <mergeCell ref="D791:D792"/>
    <mergeCell ref="E791:F792"/>
    <mergeCell ref="G791:H792"/>
    <mergeCell ref="I791:J791"/>
    <mergeCell ref="I792:J792"/>
    <mergeCell ref="A785:U785"/>
    <mergeCell ref="V785:AO785"/>
    <mergeCell ref="A794:B794"/>
    <mergeCell ref="E794:F794"/>
    <mergeCell ref="G794:H794"/>
    <mergeCell ref="I794:J794"/>
    <mergeCell ref="O794:P794"/>
    <mergeCell ref="Q794:R794"/>
    <mergeCell ref="S794:T794"/>
    <mergeCell ref="V794:W794"/>
    <mergeCell ref="Z794:AA794"/>
    <mergeCell ref="AL794:AM794"/>
    <mergeCell ref="AN794:AO794"/>
    <mergeCell ref="A777:B777"/>
    <mergeCell ref="E777:F777"/>
    <mergeCell ref="G777:H777"/>
    <mergeCell ref="I777:J777"/>
    <mergeCell ref="V777:W777"/>
    <mergeCell ref="A778:B778"/>
    <mergeCell ref="E778:F778"/>
    <mergeCell ref="G778:H778"/>
    <mergeCell ref="I778:J778"/>
    <mergeCell ref="V778:W778"/>
    <mergeCell ref="Z778:AA778"/>
    <mergeCell ref="AB778:AC778"/>
    <mergeCell ref="AD778:AE778"/>
    <mergeCell ref="A779:B779"/>
    <mergeCell ref="E779:F779"/>
    <mergeCell ref="G779:H779"/>
    <mergeCell ref="I779:J779"/>
    <mergeCell ref="V779:W779"/>
    <mergeCell ref="Z779:AA779"/>
    <mergeCell ref="AB779:AC779"/>
    <mergeCell ref="AD779:AE779"/>
    <mergeCell ref="A780:B780"/>
    <mergeCell ref="E780:F780"/>
    <mergeCell ref="G780:H780"/>
    <mergeCell ref="I780:J780"/>
    <mergeCell ref="V780:W780"/>
    <mergeCell ref="Z780:AA780"/>
    <mergeCell ref="AB780:AC780"/>
    <mergeCell ref="AD780:AE780"/>
    <mergeCell ref="A781:B781"/>
    <mergeCell ref="E781:F781"/>
    <mergeCell ref="G781:H781"/>
    <mergeCell ref="I781:J781"/>
    <mergeCell ref="V781:W781"/>
    <mergeCell ref="Z781:AA781"/>
    <mergeCell ref="AB781:AC781"/>
    <mergeCell ref="A769:B769"/>
    <mergeCell ref="E769:F769"/>
    <mergeCell ref="G769:H769"/>
    <mergeCell ref="I769:J769"/>
    <mergeCell ref="V769:W769"/>
    <mergeCell ref="Z769:AA769"/>
    <mergeCell ref="AB769:AC769"/>
    <mergeCell ref="AB770:AC770"/>
    <mergeCell ref="AD770:AE770"/>
    <mergeCell ref="A771:B771"/>
    <mergeCell ref="E771:F771"/>
    <mergeCell ref="G771:H771"/>
    <mergeCell ref="I771:J771"/>
    <mergeCell ref="A770:B770"/>
    <mergeCell ref="E770:F770"/>
    <mergeCell ref="G770:H770"/>
    <mergeCell ref="I770:J770"/>
    <mergeCell ref="A772:B772"/>
    <mergeCell ref="E772:F772"/>
    <mergeCell ref="G772:H772"/>
    <mergeCell ref="I772:J772"/>
    <mergeCell ref="AB772:AC772"/>
    <mergeCell ref="AD772:AE772"/>
    <mergeCell ref="A773:B773"/>
    <mergeCell ref="E773:F773"/>
    <mergeCell ref="G773:H773"/>
    <mergeCell ref="I773:J773"/>
    <mergeCell ref="M773:P773"/>
    <mergeCell ref="V773:W773"/>
    <mergeCell ref="Z773:AA773"/>
    <mergeCell ref="AB773:AC773"/>
    <mergeCell ref="AD773:AE773"/>
    <mergeCell ref="A766:B766"/>
    <mergeCell ref="E766:F766"/>
    <mergeCell ref="G766:H766"/>
    <mergeCell ref="I766:J766"/>
    <mergeCell ref="O766:P766"/>
    <mergeCell ref="A765:B765"/>
    <mergeCell ref="E765:F765"/>
    <mergeCell ref="G765:H765"/>
    <mergeCell ref="I765:J765"/>
    <mergeCell ref="AD766:AE766"/>
    <mergeCell ref="AB765:AC765"/>
    <mergeCell ref="AD765:AE765"/>
    <mergeCell ref="AJ765:AK765"/>
    <mergeCell ref="AL765:AM765"/>
    <mergeCell ref="AN765:AO765"/>
    <mergeCell ref="Z767:AA767"/>
    <mergeCell ref="Q766:R766"/>
    <mergeCell ref="S766:T766"/>
    <mergeCell ref="V766:W766"/>
    <mergeCell ref="Z766:AA766"/>
    <mergeCell ref="AB766:AC766"/>
    <mergeCell ref="AJ766:AK766"/>
    <mergeCell ref="AL766:AM766"/>
    <mergeCell ref="AN766:AO766"/>
    <mergeCell ref="A767:B767"/>
    <mergeCell ref="E767:F767"/>
    <mergeCell ref="G767:H767"/>
    <mergeCell ref="I767:J767"/>
    <mergeCell ref="V767:W767"/>
    <mergeCell ref="AB767:AC767"/>
    <mergeCell ref="A768:B768"/>
    <mergeCell ref="E768:F768"/>
    <mergeCell ref="G768:H768"/>
    <mergeCell ref="I768:J768"/>
    <mergeCell ref="V768:W768"/>
    <mergeCell ref="Z768:AA768"/>
    <mergeCell ref="A761:B761"/>
    <mergeCell ref="E761:F761"/>
    <mergeCell ref="G761:H761"/>
    <mergeCell ref="I761:J761"/>
    <mergeCell ref="O761:P761"/>
    <mergeCell ref="Q761:R761"/>
    <mergeCell ref="S761:T761"/>
    <mergeCell ref="V761:W761"/>
    <mergeCell ref="Z761:AA761"/>
    <mergeCell ref="AB761:AC761"/>
    <mergeCell ref="AD761:AE761"/>
    <mergeCell ref="AJ761:AK761"/>
    <mergeCell ref="AL761:AM761"/>
    <mergeCell ref="AN761:AO761"/>
    <mergeCell ref="A764:B764"/>
    <mergeCell ref="E764:F764"/>
    <mergeCell ref="G764:H764"/>
    <mergeCell ref="I764:J764"/>
    <mergeCell ref="O764:P764"/>
    <mergeCell ref="AD763:AE763"/>
    <mergeCell ref="AJ764:AK764"/>
    <mergeCell ref="AL764:AM764"/>
    <mergeCell ref="AJ763:AK763"/>
    <mergeCell ref="AJ762:AK762"/>
    <mergeCell ref="AL762:AM762"/>
    <mergeCell ref="Q764:R764"/>
    <mergeCell ref="S764:T764"/>
    <mergeCell ref="Q763:R763"/>
    <mergeCell ref="S763:T763"/>
    <mergeCell ref="AB764:AC764"/>
    <mergeCell ref="A757:B757"/>
    <mergeCell ref="E757:F757"/>
    <mergeCell ref="G757:H757"/>
    <mergeCell ref="I757:J757"/>
    <mergeCell ref="O757:P757"/>
    <mergeCell ref="Q757:R757"/>
    <mergeCell ref="S757:T757"/>
    <mergeCell ref="V757:W757"/>
    <mergeCell ref="Z757:AA757"/>
    <mergeCell ref="AB757:AC757"/>
    <mergeCell ref="AD757:AE757"/>
    <mergeCell ref="AJ757:AK757"/>
    <mergeCell ref="AL757:AM757"/>
    <mergeCell ref="AN757:AO757"/>
    <mergeCell ref="A762:B762"/>
    <mergeCell ref="E762:F762"/>
    <mergeCell ref="G762:H762"/>
    <mergeCell ref="I762:J762"/>
    <mergeCell ref="O762:P762"/>
    <mergeCell ref="Q762:R762"/>
    <mergeCell ref="S762:T762"/>
    <mergeCell ref="V762:W762"/>
    <mergeCell ref="Z762:AA762"/>
    <mergeCell ref="A763:B763"/>
    <mergeCell ref="E763:F763"/>
    <mergeCell ref="A758:B758"/>
    <mergeCell ref="E758:F758"/>
    <mergeCell ref="G758:H758"/>
    <mergeCell ref="I758:J758"/>
    <mergeCell ref="O758:P758"/>
    <mergeCell ref="Q758:R758"/>
    <mergeCell ref="S758:T758"/>
    <mergeCell ref="V758:W758"/>
    <mergeCell ref="Z758:AA758"/>
    <mergeCell ref="AB758:AC758"/>
    <mergeCell ref="AD758:AE758"/>
    <mergeCell ref="AJ758:AK758"/>
    <mergeCell ref="AL758:AM758"/>
    <mergeCell ref="AN758:AO758"/>
    <mergeCell ref="A759:B759"/>
    <mergeCell ref="E759:F759"/>
    <mergeCell ref="G759:H759"/>
    <mergeCell ref="I759:J759"/>
    <mergeCell ref="O759:P759"/>
    <mergeCell ref="Q759:R759"/>
    <mergeCell ref="S759:T759"/>
    <mergeCell ref="V759:W759"/>
    <mergeCell ref="Z759:AA759"/>
    <mergeCell ref="AB759:AC759"/>
    <mergeCell ref="AD759:AE759"/>
    <mergeCell ref="AJ759:AK759"/>
    <mergeCell ref="AL759:AM759"/>
    <mergeCell ref="AN759:AO759"/>
    <mergeCell ref="A760:B760"/>
    <mergeCell ref="E760:F760"/>
    <mergeCell ref="G760:H760"/>
    <mergeCell ref="I760:J760"/>
    <mergeCell ref="O760:P760"/>
    <mergeCell ref="Q760:R760"/>
    <mergeCell ref="S760:T760"/>
    <mergeCell ref="V760:W760"/>
    <mergeCell ref="Z760:AA760"/>
    <mergeCell ref="AB760:AC760"/>
    <mergeCell ref="AD760:AE760"/>
    <mergeCell ref="A754:B754"/>
    <mergeCell ref="E754:F754"/>
    <mergeCell ref="G754:H754"/>
    <mergeCell ref="I754:J754"/>
    <mergeCell ref="O754:P754"/>
    <mergeCell ref="Q754:R754"/>
    <mergeCell ref="S754:T754"/>
    <mergeCell ref="V754:W754"/>
    <mergeCell ref="Z754:AA754"/>
    <mergeCell ref="AB754:AC754"/>
    <mergeCell ref="AD754:AE754"/>
    <mergeCell ref="AJ754:AK754"/>
    <mergeCell ref="AL754:AM754"/>
    <mergeCell ref="AN754:AO754"/>
    <mergeCell ref="A755:B755"/>
    <mergeCell ref="E755:F755"/>
    <mergeCell ref="G755:H755"/>
    <mergeCell ref="I755:J755"/>
    <mergeCell ref="O755:P755"/>
    <mergeCell ref="Q755:R755"/>
    <mergeCell ref="S755:T755"/>
    <mergeCell ref="V755:W755"/>
    <mergeCell ref="Z755:AA755"/>
    <mergeCell ref="AB755:AC755"/>
    <mergeCell ref="AD755:AE755"/>
    <mergeCell ref="AJ755:AK755"/>
    <mergeCell ref="AL755:AM755"/>
    <mergeCell ref="AN755:AO755"/>
    <mergeCell ref="A756:B756"/>
    <mergeCell ref="E756:F756"/>
    <mergeCell ref="G756:H756"/>
    <mergeCell ref="I756:J756"/>
    <mergeCell ref="O756:P756"/>
    <mergeCell ref="Q756:R756"/>
    <mergeCell ref="S756:T756"/>
    <mergeCell ref="V756:W756"/>
    <mergeCell ref="Z756:AA756"/>
    <mergeCell ref="AB756:AC756"/>
    <mergeCell ref="AD756:AE756"/>
    <mergeCell ref="AJ756:AK756"/>
    <mergeCell ref="AL756:AM756"/>
    <mergeCell ref="AN756:AO756"/>
    <mergeCell ref="A751:B751"/>
    <mergeCell ref="E751:F751"/>
    <mergeCell ref="G751:H751"/>
    <mergeCell ref="I751:J751"/>
    <mergeCell ref="O751:P751"/>
    <mergeCell ref="Q751:R751"/>
    <mergeCell ref="S751:T751"/>
    <mergeCell ref="V751:W751"/>
    <mergeCell ref="Z751:AA751"/>
    <mergeCell ref="AB751:AC751"/>
    <mergeCell ref="AD751:AE751"/>
    <mergeCell ref="AJ751:AK751"/>
    <mergeCell ref="AL751:AM751"/>
    <mergeCell ref="AN751:AO751"/>
    <mergeCell ref="A752:B752"/>
    <mergeCell ref="E752:F752"/>
    <mergeCell ref="G752:H752"/>
    <mergeCell ref="I752:J752"/>
    <mergeCell ref="O752:P752"/>
    <mergeCell ref="Q752:R752"/>
    <mergeCell ref="S752:T752"/>
    <mergeCell ref="V752:W752"/>
    <mergeCell ref="Z752:AA752"/>
    <mergeCell ref="AB752:AC752"/>
    <mergeCell ref="AD752:AE752"/>
    <mergeCell ref="AJ752:AK752"/>
    <mergeCell ref="AL752:AM752"/>
    <mergeCell ref="AN752:AO752"/>
    <mergeCell ref="A753:B753"/>
    <mergeCell ref="E753:F753"/>
    <mergeCell ref="G753:H753"/>
    <mergeCell ref="I753:J753"/>
    <mergeCell ref="O753:P753"/>
    <mergeCell ref="Q753:R753"/>
    <mergeCell ref="S753:T753"/>
    <mergeCell ref="V753:W753"/>
    <mergeCell ref="Z753:AA753"/>
    <mergeCell ref="AB753:AC753"/>
    <mergeCell ref="AD753:AE753"/>
    <mergeCell ref="AJ753:AK753"/>
    <mergeCell ref="AL753:AM753"/>
    <mergeCell ref="AN753:AO753"/>
    <mergeCell ref="A748:B748"/>
    <mergeCell ref="E748:F748"/>
    <mergeCell ref="G748:H748"/>
    <mergeCell ref="I748:J748"/>
    <mergeCell ref="O748:P748"/>
    <mergeCell ref="Q748:R748"/>
    <mergeCell ref="S748:T748"/>
    <mergeCell ref="V748:W748"/>
    <mergeCell ref="Z748:AA748"/>
    <mergeCell ref="AB748:AC748"/>
    <mergeCell ref="AD748:AE748"/>
    <mergeCell ref="AJ748:AK748"/>
    <mergeCell ref="AL748:AM748"/>
    <mergeCell ref="AN748:AO748"/>
    <mergeCell ref="A749:B749"/>
    <mergeCell ref="E749:F749"/>
    <mergeCell ref="G749:H749"/>
    <mergeCell ref="I749:J749"/>
    <mergeCell ref="O749:P749"/>
    <mergeCell ref="Q749:R749"/>
    <mergeCell ref="S749:T749"/>
    <mergeCell ref="V749:W749"/>
    <mergeCell ref="Z749:AA749"/>
    <mergeCell ref="AB749:AC749"/>
    <mergeCell ref="AD749:AE749"/>
    <mergeCell ref="AJ749:AK749"/>
    <mergeCell ref="AL749:AM749"/>
    <mergeCell ref="AN749:AO749"/>
    <mergeCell ref="A750:B750"/>
    <mergeCell ref="E750:F750"/>
    <mergeCell ref="G750:H750"/>
    <mergeCell ref="I750:J750"/>
    <mergeCell ref="O750:P750"/>
    <mergeCell ref="Q750:R750"/>
    <mergeCell ref="S750:T750"/>
    <mergeCell ref="V750:W750"/>
    <mergeCell ref="Z750:AA750"/>
    <mergeCell ref="AB750:AC750"/>
    <mergeCell ref="AD750:AE750"/>
    <mergeCell ref="AJ750:AK750"/>
    <mergeCell ref="AL750:AM750"/>
    <mergeCell ref="AN750:AO750"/>
    <mergeCell ref="A745:B745"/>
    <mergeCell ref="E745:F745"/>
    <mergeCell ref="G745:H745"/>
    <mergeCell ref="I745:J745"/>
    <mergeCell ref="O745:P745"/>
    <mergeCell ref="Q745:R745"/>
    <mergeCell ref="S745:T745"/>
    <mergeCell ref="V745:W745"/>
    <mergeCell ref="Z745:AA745"/>
    <mergeCell ref="AB745:AC745"/>
    <mergeCell ref="AD745:AE745"/>
    <mergeCell ref="AJ745:AK745"/>
    <mergeCell ref="AL745:AM745"/>
    <mergeCell ref="AN745:AO745"/>
    <mergeCell ref="A746:B746"/>
    <mergeCell ref="E746:F746"/>
    <mergeCell ref="G746:H746"/>
    <mergeCell ref="I746:J746"/>
    <mergeCell ref="O746:P746"/>
    <mergeCell ref="Q746:R746"/>
    <mergeCell ref="S746:T746"/>
    <mergeCell ref="V746:W746"/>
    <mergeCell ref="Z746:AA746"/>
    <mergeCell ref="AB746:AC746"/>
    <mergeCell ref="AD746:AE746"/>
    <mergeCell ref="AJ746:AK746"/>
    <mergeCell ref="AL746:AM746"/>
    <mergeCell ref="AN746:AO746"/>
    <mergeCell ref="A747:B747"/>
    <mergeCell ref="E747:F747"/>
    <mergeCell ref="G747:H747"/>
    <mergeCell ref="I747:J747"/>
    <mergeCell ref="O747:P747"/>
    <mergeCell ref="Q747:R747"/>
    <mergeCell ref="S747:T747"/>
    <mergeCell ref="V747:W747"/>
    <mergeCell ref="Z747:AA747"/>
    <mergeCell ref="AB747:AC747"/>
    <mergeCell ref="AD747:AE747"/>
    <mergeCell ref="AJ747:AK747"/>
    <mergeCell ref="AL747:AM747"/>
    <mergeCell ref="AN747:AO747"/>
    <mergeCell ref="A742:B742"/>
    <mergeCell ref="E742:F742"/>
    <mergeCell ref="G742:H742"/>
    <mergeCell ref="I742:J742"/>
    <mergeCell ref="O742:P742"/>
    <mergeCell ref="Q742:R742"/>
    <mergeCell ref="S742:T742"/>
    <mergeCell ref="V742:W742"/>
    <mergeCell ref="Z742:AA742"/>
    <mergeCell ref="AB742:AC742"/>
    <mergeCell ref="AD742:AE742"/>
    <mergeCell ref="AJ742:AK742"/>
    <mergeCell ref="AL742:AM742"/>
    <mergeCell ref="AN742:AO742"/>
    <mergeCell ref="A743:B743"/>
    <mergeCell ref="E743:F743"/>
    <mergeCell ref="G743:H743"/>
    <mergeCell ref="I743:J743"/>
    <mergeCell ref="O743:P743"/>
    <mergeCell ref="Q743:R743"/>
    <mergeCell ref="S743:T743"/>
    <mergeCell ref="V743:W743"/>
    <mergeCell ref="Z743:AA743"/>
    <mergeCell ref="AB743:AC743"/>
    <mergeCell ref="AD743:AE743"/>
    <mergeCell ref="AJ743:AK743"/>
    <mergeCell ref="AL743:AM743"/>
    <mergeCell ref="AN743:AO743"/>
    <mergeCell ref="A744:B744"/>
    <mergeCell ref="E744:F744"/>
    <mergeCell ref="G744:H744"/>
    <mergeCell ref="I744:J744"/>
    <mergeCell ref="O744:P744"/>
    <mergeCell ref="Q744:R744"/>
    <mergeCell ref="S744:T744"/>
    <mergeCell ref="V744:W744"/>
    <mergeCell ref="Z744:AA744"/>
    <mergeCell ref="AB744:AC744"/>
    <mergeCell ref="AD744:AE744"/>
    <mergeCell ref="AJ744:AK744"/>
    <mergeCell ref="AL744:AM744"/>
    <mergeCell ref="AN744:AO744"/>
    <mergeCell ref="Z738:AA738"/>
    <mergeCell ref="AB738:AC738"/>
    <mergeCell ref="AD738:AE738"/>
    <mergeCell ref="AJ738:AK738"/>
    <mergeCell ref="AL738:AM738"/>
    <mergeCell ref="AN738:AO738"/>
    <mergeCell ref="A739:B739"/>
    <mergeCell ref="E739:F739"/>
    <mergeCell ref="G739:H739"/>
    <mergeCell ref="I739:J739"/>
    <mergeCell ref="O739:P739"/>
    <mergeCell ref="Q739:R739"/>
    <mergeCell ref="S739:T739"/>
    <mergeCell ref="V739:W739"/>
    <mergeCell ref="Z739:AA739"/>
    <mergeCell ref="AB739:AC739"/>
    <mergeCell ref="AD739:AE739"/>
    <mergeCell ref="AJ739:AK739"/>
    <mergeCell ref="AL739:AM739"/>
    <mergeCell ref="AN739:AO739"/>
    <mergeCell ref="A722:B722"/>
    <mergeCell ref="E722:F722"/>
    <mergeCell ref="G722:H722"/>
    <mergeCell ref="I722:J722"/>
    <mergeCell ref="V722:W722"/>
    <mergeCell ref="Z722:AA722"/>
    <mergeCell ref="AB722:AC722"/>
    <mergeCell ref="AD722:AE722"/>
    <mergeCell ref="A723:B723"/>
    <mergeCell ref="E723:F723"/>
    <mergeCell ref="G723:H723"/>
    <mergeCell ref="I723:J723"/>
    <mergeCell ref="V723:W723"/>
    <mergeCell ref="Z723:AA723"/>
    <mergeCell ref="AB723:AC723"/>
    <mergeCell ref="AD723:AE723"/>
    <mergeCell ref="A724:B724"/>
    <mergeCell ref="E724:F724"/>
    <mergeCell ref="G724:H724"/>
    <mergeCell ref="I724:J724"/>
    <mergeCell ref="V724:W724"/>
    <mergeCell ref="Z724:AA724"/>
    <mergeCell ref="AB724:AC724"/>
    <mergeCell ref="AD724:AE724"/>
    <mergeCell ref="AD725:AE725"/>
    <mergeCell ref="A725:B725"/>
    <mergeCell ref="E725:F725"/>
    <mergeCell ref="G725:H725"/>
    <mergeCell ref="I725:J725"/>
    <mergeCell ref="V725:W725"/>
    <mergeCell ref="Z725:AA725"/>
    <mergeCell ref="AB725:AC725"/>
    <mergeCell ref="AB726:AC726"/>
    <mergeCell ref="AD726:AE726"/>
    <mergeCell ref="V738:W738"/>
    <mergeCell ref="O738:P738"/>
    <mergeCell ref="Q738:R738"/>
    <mergeCell ref="S738:T738"/>
    <mergeCell ref="I738:J738"/>
    <mergeCell ref="A718:B718"/>
    <mergeCell ref="E718:F718"/>
    <mergeCell ref="G718:H718"/>
    <mergeCell ref="I718:J718"/>
    <mergeCell ref="M718:P718"/>
    <mergeCell ref="V718:W718"/>
    <mergeCell ref="Z718:AA718"/>
    <mergeCell ref="AB718:AC718"/>
    <mergeCell ref="AD718:AE718"/>
    <mergeCell ref="A719:B719"/>
    <mergeCell ref="E719:F719"/>
    <mergeCell ref="G719:H719"/>
    <mergeCell ref="I719:J719"/>
    <mergeCell ref="V719:W719"/>
    <mergeCell ref="Z719:AA719"/>
    <mergeCell ref="AB719:AC719"/>
    <mergeCell ref="AD719:AE719"/>
    <mergeCell ref="AH719:AK719"/>
    <mergeCell ref="A720:B720"/>
    <mergeCell ref="E720:F720"/>
    <mergeCell ref="G720:H720"/>
    <mergeCell ref="I720:J720"/>
    <mergeCell ref="V720:W720"/>
    <mergeCell ref="Z720:AA720"/>
    <mergeCell ref="AB720:AC720"/>
    <mergeCell ref="AD720:AE720"/>
    <mergeCell ref="AH720:AK720"/>
    <mergeCell ref="Z721:AA721"/>
    <mergeCell ref="AB721:AC721"/>
    <mergeCell ref="AD721:AE721"/>
    <mergeCell ref="A721:B721"/>
    <mergeCell ref="E721:F721"/>
    <mergeCell ref="G721:H721"/>
    <mergeCell ref="I721:J721"/>
    <mergeCell ref="V721:W721"/>
    <mergeCell ref="A712:B712"/>
    <mergeCell ref="E712:F712"/>
    <mergeCell ref="G712:H712"/>
    <mergeCell ref="I712:J712"/>
    <mergeCell ref="V712:W712"/>
    <mergeCell ref="Z712:AA712"/>
    <mergeCell ref="AB712:AC712"/>
    <mergeCell ref="AD712:AE712"/>
    <mergeCell ref="A713:B713"/>
    <mergeCell ref="E713:F713"/>
    <mergeCell ref="G713:H713"/>
    <mergeCell ref="I713:J713"/>
    <mergeCell ref="V713:W713"/>
    <mergeCell ref="Z713:AA713"/>
    <mergeCell ref="AB713:AC713"/>
    <mergeCell ref="AD713:AE713"/>
    <mergeCell ref="A714:B714"/>
    <mergeCell ref="E714:F714"/>
    <mergeCell ref="G714:H714"/>
    <mergeCell ref="I714:J714"/>
    <mergeCell ref="V714:W714"/>
    <mergeCell ref="Z714:AA714"/>
    <mergeCell ref="AB714:AC714"/>
    <mergeCell ref="AD714:AE714"/>
    <mergeCell ref="A715:B715"/>
    <mergeCell ref="E715:F715"/>
    <mergeCell ref="G715:H715"/>
    <mergeCell ref="I715:J715"/>
    <mergeCell ref="G717:H717"/>
    <mergeCell ref="I717:J717"/>
    <mergeCell ref="M717:P717"/>
    <mergeCell ref="V717:W717"/>
    <mergeCell ref="Z717:AA717"/>
    <mergeCell ref="AB717:AC717"/>
    <mergeCell ref="AD717:AE717"/>
    <mergeCell ref="A709:B709"/>
    <mergeCell ref="E709:F709"/>
    <mergeCell ref="G709:H709"/>
    <mergeCell ref="I709:J709"/>
    <mergeCell ref="O709:P709"/>
    <mergeCell ref="Q709:R709"/>
    <mergeCell ref="S709:T709"/>
    <mergeCell ref="V709:W709"/>
    <mergeCell ref="Z709:AA709"/>
    <mergeCell ref="AB709:AC709"/>
    <mergeCell ref="AD709:AE709"/>
    <mergeCell ref="AJ709:AK709"/>
    <mergeCell ref="AL709:AM709"/>
    <mergeCell ref="AN709:AO709"/>
    <mergeCell ref="A710:B710"/>
    <mergeCell ref="E710:F710"/>
    <mergeCell ref="G710:H710"/>
    <mergeCell ref="I710:J710"/>
    <mergeCell ref="O710:P710"/>
    <mergeCell ref="Q710:R710"/>
    <mergeCell ref="S710:T710"/>
    <mergeCell ref="V710:W710"/>
    <mergeCell ref="Z710:AA710"/>
    <mergeCell ref="AB710:AC710"/>
    <mergeCell ref="AD710:AE710"/>
    <mergeCell ref="AJ710:AK710"/>
    <mergeCell ref="AL710:AM710"/>
    <mergeCell ref="AN710:AO710"/>
    <mergeCell ref="A711:B711"/>
    <mergeCell ref="E711:F711"/>
    <mergeCell ref="G711:H711"/>
    <mergeCell ref="I711:J711"/>
    <mergeCell ref="V711:W711"/>
    <mergeCell ref="Z711:AA711"/>
    <mergeCell ref="AB711:AC711"/>
    <mergeCell ref="AD711:AE711"/>
    <mergeCell ref="A706:B706"/>
    <mergeCell ref="E706:F706"/>
    <mergeCell ref="G706:H706"/>
    <mergeCell ref="I706:J706"/>
    <mergeCell ref="O706:P706"/>
    <mergeCell ref="Q706:R706"/>
    <mergeCell ref="S706:T706"/>
    <mergeCell ref="V706:W706"/>
    <mergeCell ref="Z706:AA706"/>
    <mergeCell ref="AB706:AC706"/>
    <mergeCell ref="AD706:AE706"/>
    <mergeCell ref="AJ706:AK706"/>
    <mergeCell ref="AL706:AM706"/>
    <mergeCell ref="AN706:AO706"/>
    <mergeCell ref="A707:B707"/>
    <mergeCell ref="E707:F707"/>
    <mergeCell ref="G707:H707"/>
    <mergeCell ref="I707:J707"/>
    <mergeCell ref="O707:P707"/>
    <mergeCell ref="Q707:R707"/>
    <mergeCell ref="S707:T707"/>
    <mergeCell ref="V707:W707"/>
    <mergeCell ref="Z707:AA707"/>
    <mergeCell ref="AB707:AC707"/>
    <mergeCell ref="AD707:AE707"/>
    <mergeCell ref="AJ707:AK707"/>
    <mergeCell ref="AL707:AM707"/>
    <mergeCell ref="AN707:AO707"/>
    <mergeCell ref="A708:B708"/>
    <mergeCell ref="E708:F708"/>
    <mergeCell ref="G708:H708"/>
    <mergeCell ref="I708:J708"/>
    <mergeCell ref="O708:P708"/>
    <mergeCell ref="Q708:R708"/>
    <mergeCell ref="S708:T708"/>
    <mergeCell ref="V708:W708"/>
    <mergeCell ref="Z708:AA708"/>
    <mergeCell ref="AB708:AC708"/>
    <mergeCell ref="AD708:AE708"/>
    <mergeCell ref="AJ708:AK708"/>
    <mergeCell ref="AL708:AM708"/>
    <mergeCell ref="AN708:AO708"/>
    <mergeCell ref="A703:B703"/>
    <mergeCell ref="E703:F703"/>
    <mergeCell ref="G703:H703"/>
    <mergeCell ref="I703:J703"/>
    <mergeCell ref="O703:P703"/>
    <mergeCell ref="Q703:R703"/>
    <mergeCell ref="S703:T703"/>
    <mergeCell ref="V703:W703"/>
    <mergeCell ref="Z703:AA703"/>
    <mergeCell ref="AB703:AC703"/>
    <mergeCell ref="AD703:AE703"/>
    <mergeCell ref="AJ703:AK703"/>
    <mergeCell ref="AL703:AM703"/>
    <mergeCell ref="AN703:AO703"/>
    <mergeCell ref="A704:B704"/>
    <mergeCell ref="E704:F704"/>
    <mergeCell ref="G704:H704"/>
    <mergeCell ref="I704:J704"/>
    <mergeCell ref="O704:P704"/>
    <mergeCell ref="Q704:R704"/>
    <mergeCell ref="S704:T704"/>
    <mergeCell ref="V704:W704"/>
    <mergeCell ref="Z704:AA704"/>
    <mergeCell ref="AB704:AC704"/>
    <mergeCell ref="AD704:AE704"/>
    <mergeCell ref="AJ704:AK704"/>
    <mergeCell ref="AL704:AM704"/>
    <mergeCell ref="AN704:AO704"/>
    <mergeCell ref="A705:B705"/>
    <mergeCell ref="E705:F705"/>
    <mergeCell ref="G705:H705"/>
    <mergeCell ref="I705:J705"/>
    <mergeCell ref="O705:P705"/>
    <mergeCell ref="Q705:R705"/>
    <mergeCell ref="S705:T705"/>
    <mergeCell ref="V705:W705"/>
    <mergeCell ref="Z705:AA705"/>
    <mergeCell ref="AB705:AC705"/>
    <mergeCell ref="AD705:AE705"/>
    <mergeCell ref="AJ705:AK705"/>
    <mergeCell ref="AL705:AM705"/>
    <mergeCell ref="AN705:AO705"/>
    <mergeCell ref="A700:B700"/>
    <mergeCell ref="E700:F700"/>
    <mergeCell ref="G700:H700"/>
    <mergeCell ref="I700:J700"/>
    <mergeCell ref="O700:P700"/>
    <mergeCell ref="Q700:R700"/>
    <mergeCell ref="S700:T700"/>
    <mergeCell ref="V700:W700"/>
    <mergeCell ref="Z700:AA700"/>
    <mergeCell ref="AB700:AC700"/>
    <mergeCell ref="AD700:AE700"/>
    <mergeCell ref="AJ700:AK700"/>
    <mergeCell ref="AL700:AM700"/>
    <mergeCell ref="AN700:AO700"/>
    <mergeCell ref="A701:B701"/>
    <mergeCell ref="E701:F701"/>
    <mergeCell ref="G701:H701"/>
    <mergeCell ref="I701:J701"/>
    <mergeCell ref="O701:P701"/>
    <mergeCell ref="Q701:R701"/>
    <mergeCell ref="S701:T701"/>
    <mergeCell ref="V701:W701"/>
    <mergeCell ref="Z701:AA701"/>
    <mergeCell ref="AB701:AC701"/>
    <mergeCell ref="AD701:AE701"/>
    <mergeCell ref="AJ701:AK701"/>
    <mergeCell ref="AL701:AM701"/>
    <mergeCell ref="AN701:AO701"/>
    <mergeCell ref="A702:B702"/>
    <mergeCell ref="E702:F702"/>
    <mergeCell ref="G702:H702"/>
    <mergeCell ref="I702:J702"/>
    <mergeCell ref="O702:P702"/>
    <mergeCell ref="Q702:R702"/>
    <mergeCell ref="S702:T702"/>
    <mergeCell ref="V702:W702"/>
    <mergeCell ref="Z702:AA702"/>
    <mergeCell ref="AB702:AC702"/>
    <mergeCell ref="AD702:AE702"/>
    <mergeCell ref="AJ702:AK702"/>
    <mergeCell ref="AL702:AM702"/>
    <mergeCell ref="AN702:AO702"/>
    <mergeCell ref="A697:B697"/>
    <mergeCell ref="E697:F697"/>
    <mergeCell ref="G697:H697"/>
    <mergeCell ref="I697:J697"/>
    <mergeCell ref="O697:P697"/>
    <mergeCell ref="Q697:R697"/>
    <mergeCell ref="S697:T697"/>
    <mergeCell ref="V697:W697"/>
    <mergeCell ref="Z697:AA697"/>
    <mergeCell ref="AB697:AC697"/>
    <mergeCell ref="AD697:AE697"/>
    <mergeCell ref="AJ697:AK697"/>
    <mergeCell ref="AL697:AM697"/>
    <mergeCell ref="AN697:AO697"/>
    <mergeCell ref="A698:B698"/>
    <mergeCell ref="E698:F698"/>
    <mergeCell ref="G698:H698"/>
    <mergeCell ref="I698:J698"/>
    <mergeCell ref="O698:P698"/>
    <mergeCell ref="Q698:R698"/>
    <mergeCell ref="S698:T698"/>
    <mergeCell ref="V698:W698"/>
    <mergeCell ref="Z698:AA698"/>
    <mergeCell ref="AB698:AC698"/>
    <mergeCell ref="AD698:AE698"/>
    <mergeCell ref="AJ698:AK698"/>
    <mergeCell ref="AL698:AM698"/>
    <mergeCell ref="AN698:AO698"/>
    <mergeCell ref="A699:B699"/>
    <mergeCell ref="E699:F699"/>
    <mergeCell ref="G699:H699"/>
    <mergeCell ref="I699:J699"/>
    <mergeCell ref="O699:P699"/>
    <mergeCell ref="Q699:R699"/>
    <mergeCell ref="S699:T699"/>
    <mergeCell ref="V699:W699"/>
    <mergeCell ref="Z699:AA699"/>
    <mergeCell ref="AB699:AC699"/>
    <mergeCell ref="AD699:AE699"/>
    <mergeCell ref="AJ699:AK699"/>
    <mergeCell ref="AL699:AM699"/>
    <mergeCell ref="AN699:AO699"/>
    <mergeCell ref="A694:B694"/>
    <mergeCell ref="E694:F694"/>
    <mergeCell ref="G694:H694"/>
    <mergeCell ref="I694:J694"/>
    <mergeCell ref="O694:P694"/>
    <mergeCell ref="Q694:R694"/>
    <mergeCell ref="S694:T694"/>
    <mergeCell ref="V694:W694"/>
    <mergeCell ref="Z694:AA694"/>
    <mergeCell ref="AB694:AC694"/>
    <mergeCell ref="AD694:AE694"/>
    <mergeCell ref="AJ694:AK694"/>
    <mergeCell ref="AL694:AM694"/>
    <mergeCell ref="AN694:AO694"/>
    <mergeCell ref="A695:B695"/>
    <mergeCell ref="E695:F695"/>
    <mergeCell ref="G695:H695"/>
    <mergeCell ref="I695:J695"/>
    <mergeCell ref="O695:P695"/>
    <mergeCell ref="Q695:R695"/>
    <mergeCell ref="S695:T695"/>
    <mergeCell ref="V695:W695"/>
    <mergeCell ref="Z695:AA695"/>
    <mergeCell ref="AB695:AC695"/>
    <mergeCell ref="AD695:AE695"/>
    <mergeCell ref="AJ695:AK695"/>
    <mergeCell ref="AL695:AM695"/>
    <mergeCell ref="AN695:AO695"/>
    <mergeCell ref="A696:B696"/>
    <mergeCell ref="E696:F696"/>
    <mergeCell ref="G696:H696"/>
    <mergeCell ref="I696:J696"/>
    <mergeCell ref="O696:P696"/>
    <mergeCell ref="Q696:R696"/>
    <mergeCell ref="S696:T696"/>
    <mergeCell ref="V696:W696"/>
    <mergeCell ref="Z696:AA696"/>
    <mergeCell ref="AB696:AC696"/>
    <mergeCell ref="AD696:AE696"/>
    <mergeCell ref="AJ696:AK696"/>
    <mergeCell ref="AL696:AM696"/>
    <mergeCell ref="AN696:AO696"/>
    <mergeCell ref="A691:B691"/>
    <mergeCell ref="E691:F691"/>
    <mergeCell ref="G691:H691"/>
    <mergeCell ref="I691:J691"/>
    <mergeCell ref="O691:P691"/>
    <mergeCell ref="Q691:R691"/>
    <mergeCell ref="S691:T691"/>
    <mergeCell ref="V691:W691"/>
    <mergeCell ref="Z691:AA691"/>
    <mergeCell ref="AB691:AC691"/>
    <mergeCell ref="AD691:AE691"/>
    <mergeCell ref="AJ691:AK691"/>
    <mergeCell ref="AL691:AM691"/>
    <mergeCell ref="AN691:AO691"/>
    <mergeCell ref="A692:B692"/>
    <mergeCell ref="E692:F692"/>
    <mergeCell ref="G692:H692"/>
    <mergeCell ref="I692:J692"/>
    <mergeCell ref="O692:P692"/>
    <mergeCell ref="Q692:R692"/>
    <mergeCell ref="S692:T692"/>
    <mergeCell ref="V692:W692"/>
    <mergeCell ref="Z692:AA692"/>
    <mergeCell ref="AB692:AC692"/>
    <mergeCell ref="AD692:AE692"/>
    <mergeCell ref="AJ692:AK692"/>
    <mergeCell ref="AL692:AM692"/>
    <mergeCell ref="AN692:AO692"/>
    <mergeCell ref="A693:B693"/>
    <mergeCell ref="E693:F693"/>
    <mergeCell ref="G693:H693"/>
    <mergeCell ref="I693:J693"/>
    <mergeCell ref="O693:P693"/>
    <mergeCell ref="Q693:R693"/>
    <mergeCell ref="S693:T693"/>
    <mergeCell ref="V693:W693"/>
    <mergeCell ref="Z693:AA693"/>
    <mergeCell ref="AB693:AC693"/>
    <mergeCell ref="AD693:AE693"/>
    <mergeCell ref="AJ693:AK693"/>
    <mergeCell ref="AL693:AM693"/>
    <mergeCell ref="AN693:AO693"/>
    <mergeCell ref="AD687:AE687"/>
    <mergeCell ref="AJ687:AK687"/>
    <mergeCell ref="AL687:AM687"/>
    <mergeCell ref="AN687:AO687"/>
    <mergeCell ref="A688:B688"/>
    <mergeCell ref="E688:F688"/>
    <mergeCell ref="G688:H688"/>
    <mergeCell ref="I688:J688"/>
    <mergeCell ref="O688:P688"/>
    <mergeCell ref="Q688:R688"/>
    <mergeCell ref="S688:T688"/>
    <mergeCell ref="V688:W688"/>
    <mergeCell ref="Z688:AA688"/>
    <mergeCell ref="AB688:AC688"/>
    <mergeCell ref="AD688:AE688"/>
    <mergeCell ref="AJ688:AK688"/>
    <mergeCell ref="AL688:AM688"/>
    <mergeCell ref="AN688:AO688"/>
    <mergeCell ref="A689:B689"/>
    <mergeCell ref="E689:F689"/>
    <mergeCell ref="G689:H689"/>
    <mergeCell ref="I689:J689"/>
    <mergeCell ref="O689:P689"/>
    <mergeCell ref="Q689:R689"/>
    <mergeCell ref="S689:T689"/>
    <mergeCell ref="V689:W689"/>
    <mergeCell ref="Z689:AA689"/>
    <mergeCell ref="AB689:AC689"/>
    <mergeCell ref="AD689:AE689"/>
    <mergeCell ref="AJ689:AK689"/>
    <mergeCell ref="AL689:AM689"/>
    <mergeCell ref="AN689:AO689"/>
    <mergeCell ref="A690:B690"/>
    <mergeCell ref="E690:F690"/>
    <mergeCell ref="G690:H690"/>
    <mergeCell ref="I690:J690"/>
    <mergeCell ref="O690:P690"/>
    <mergeCell ref="Q690:R690"/>
    <mergeCell ref="S690:T690"/>
    <mergeCell ref="V690:W690"/>
    <mergeCell ref="Z690:AA690"/>
    <mergeCell ref="AB690:AC690"/>
    <mergeCell ref="AD690:AE690"/>
    <mergeCell ref="AJ690:AK690"/>
    <mergeCell ref="AL690:AM690"/>
    <mergeCell ref="AN690:AO690"/>
    <mergeCell ref="A668:B668"/>
    <mergeCell ref="E668:F668"/>
    <mergeCell ref="G668:H668"/>
    <mergeCell ref="I668:J668"/>
    <mergeCell ref="AN672:AO672"/>
    <mergeCell ref="A673:U673"/>
    <mergeCell ref="V673:AO673"/>
    <mergeCell ref="G678:H678"/>
    <mergeCell ref="Q678:R678"/>
    <mergeCell ref="S678:T678"/>
    <mergeCell ref="AB678:AC678"/>
    <mergeCell ref="AL678:AM678"/>
    <mergeCell ref="AN678:AO678"/>
    <mergeCell ref="A676:T676"/>
    <mergeCell ref="A682:B682"/>
    <mergeCell ref="E682:F682"/>
    <mergeCell ref="G682:H682"/>
    <mergeCell ref="I682:J682"/>
    <mergeCell ref="O682:P682"/>
    <mergeCell ref="Q682:R682"/>
    <mergeCell ref="S682:T682"/>
    <mergeCell ref="V682:W682"/>
    <mergeCell ref="Z682:AA682"/>
    <mergeCell ref="AB682:AC682"/>
    <mergeCell ref="AD682:AE682"/>
    <mergeCell ref="AJ682:AK682"/>
    <mergeCell ref="AL682:AM682"/>
    <mergeCell ref="AN682:AO682"/>
    <mergeCell ref="E669:F669"/>
    <mergeCell ref="G669:H669"/>
    <mergeCell ref="I669:J669"/>
    <mergeCell ref="X677:AA678"/>
    <mergeCell ref="A683:B683"/>
    <mergeCell ref="E683:F683"/>
    <mergeCell ref="G683:H683"/>
    <mergeCell ref="I683:J683"/>
    <mergeCell ref="O683:P683"/>
    <mergeCell ref="Q683:R683"/>
    <mergeCell ref="S683:T683"/>
    <mergeCell ref="V683:W683"/>
    <mergeCell ref="Z683:AA683"/>
    <mergeCell ref="AB683:AC683"/>
    <mergeCell ref="AD683:AE683"/>
    <mergeCell ref="AJ683:AK683"/>
    <mergeCell ref="AL683:AM683"/>
    <mergeCell ref="AN683:AO683"/>
    <mergeCell ref="N679:N680"/>
    <mergeCell ref="O679:P680"/>
    <mergeCell ref="Q679:R680"/>
    <mergeCell ref="S679:T680"/>
    <mergeCell ref="D679:D680"/>
    <mergeCell ref="E679:F680"/>
    <mergeCell ref="G679:H680"/>
    <mergeCell ref="I679:J679"/>
    <mergeCell ref="I680:J680"/>
    <mergeCell ref="AG677:AG680"/>
    <mergeCell ref="AH677:AK678"/>
    <mergeCell ref="AL677:AM677"/>
    <mergeCell ref="AN677:AO677"/>
    <mergeCell ref="AI679:AI680"/>
    <mergeCell ref="AJ679:AK680"/>
    <mergeCell ref="AL679:AM680"/>
    <mergeCell ref="AN679:AO680"/>
    <mergeCell ref="V677:W680"/>
    <mergeCell ref="A663:B663"/>
    <mergeCell ref="E663:F663"/>
    <mergeCell ref="G663:H663"/>
    <mergeCell ref="I663:J663"/>
    <mergeCell ref="V663:W663"/>
    <mergeCell ref="Z663:AA663"/>
    <mergeCell ref="AB663:AC663"/>
    <mergeCell ref="AD663:AE663"/>
    <mergeCell ref="AH663:AK663"/>
    <mergeCell ref="A664:B664"/>
    <mergeCell ref="E664:F664"/>
    <mergeCell ref="G664:H664"/>
    <mergeCell ref="I664:J664"/>
    <mergeCell ref="V664:W664"/>
    <mergeCell ref="Z664:AA664"/>
    <mergeCell ref="AB664:AC664"/>
    <mergeCell ref="AD664:AE664"/>
    <mergeCell ref="AH664:AK664"/>
    <mergeCell ref="A665:B665"/>
    <mergeCell ref="E665:F665"/>
    <mergeCell ref="G665:H665"/>
    <mergeCell ref="I665:J665"/>
    <mergeCell ref="V665:W665"/>
    <mergeCell ref="I666:J666"/>
    <mergeCell ref="Z665:AA665"/>
    <mergeCell ref="AB665:AC665"/>
    <mergeCell ref="V666:W666"/>
    <mergeCell ref="Z666:AA666"/>
    <mergeCell ref="AB666:AC666"/>
    <mergeCell ref="AD666:AE666"/>
    <mergeCell ref="AD667:AE667"/>
    <mergeCell ref="A667:B667"/>
    <mergeCell ref="E667:F667"/>
    <mergeCell ref="G667:H667"/>
    <mergeCell ref="I667:J667"/>
    <mergeCell ref="V667:W667"/>
    <mergeCell ref="Z667:AA667"/>
    <mergeCell ref="AB667:AC667"/>
    <mergeCell ref="G666:H666"/>
    <mergeCell ref="A666:B666"/>
    <mergeCell ref="E666:F666"/>
    <mergeCell ref="A658:B658"/>
    <mergeCell ref="E658:F658"/>
    <mergeCell ref="G658:H658"/>
    <mergeCell ref="I658:J658"/>
    <mergeCell ref="V658:W658"/>
    <mergeCell ref="Z658:AA658"/>
    <mergeCell ref="AB658:AC658"/>
    <mergeCell ref="AD658:AE658"/>
    <mergeCell ref="A659:B659"/>
    <mergeCell ref="E659:F659"/>
    <mergeCell ref="G659:H659"/>
    <mergeCell ref="I659:J659"/>
    <mergeCell ref="A660:B660"/>
    <mergeCell ref="E660:F660"/>
    <mergeCell ref="G660:H660"/>
    <mergeCell ref="I660:J660"/>
    <mergeCell ref="AB660:AC660"/>
    <mergeCell ref="AD660:AE660"/>
    <mergeCell ref="A661:B661"/>
    <mergeCell ref="E661:F661"/>
    <mergeCell ref="G661:H661"/>
    <mergeCell ref="I661:J661"/>
    <mergeCell ref="M661:P661"/>
    <mergeCell ref="V661:W661"/>
    <mergeCell ref="Z661:AA661"/>
    <mergeCell ref="AB661:AC661"/>
    <mergeCell ref="AD661:AE661"/>
    <mergeCell ref="A662:B662"/>
    <mergeCell ref="E662:F662"/>
    <mergeCell ref="G662:H662"/>
    <mergeCell ref="I662:J662"/>
    <mergeCell ref="M662:P662"/>
    <mergeCell ref="V662:W662"/>
    <mergeCell ref="Z662:AA662"/>
    <mergeCell ref="AB662:AC662"/>
    <mergeCell ref="AD662:AE662"/>
    <mergeCell ref="A654:B654"/>
    <mergeCell ref="E654:F654"/>
    <mergeCell ref="G654:H654"/>
    <mergeCell ref="I654:J654"/>
    <mergeCell ref="O654:P654"/>
    <mergeCell ref="Q654:R654"/>
    <mergeCell ref="S654:T654"/>
    <mergeCell ref="V654:W654"/>
    <mergeCell ref="Z654:AA654"/>
    <mergeCell ref="AB654:AC654"/>
    <mergeCell ref="AD654:AE654"/>
    <mergeCell ref="AJ654:AK654"/>
    <mergeCell ref="AL654:AM654"/>
    <mergeCell ref="AN654:AO654"/>
    <mergeCell ref="A655:B655"/>
    <mergeCell ref="E655:F655"/>
    <mergeCell ref="G655:H655"/>
    <mergeCell ref="I655:J655"/>
    <mergeCell ref="V655:W655"/>
    <mergeCell ref="Z655:AA655"/>
    <mergeCell ref="AB655:AC655"/>
    <mergeCell ref="AD655:AE655"/>
    <mergeCell ref="A656:B656"/>
    <mergeCell ref="E656:F656"/>
    <mergeCell ref="G656:H656"/>
    <mergeCell ref="I656:J656"/>
    <mergeCell ref="V656:W656"/>
    <mergeCell ref="Z656:AA656"/>
    <mergeCell ref="AB656:AC656"/>
    <mergeCell ref="AD656:AE656"/>
    <mergeCell ref="A657:B657"/>
    <mergeCell ref="E657:F657"/>
    <mergeCell ref="G657:H657"/>
    <mergeCell ref="I657:J657"/>
    <mergeCell ref="V657:W657"/>
    <mergeCell ref="Z657:AA657"/>
    <mergeCell ref="AB657:AC657"/>
    <mergeCell ref="AD657:AE657"/>
    <mergeCell ref="A651:B651"/>
    <mergeCell ref="E651:F651"/>
    <mergeCell ref="G651:H651"/>
    <mergeCell ref="I651:J651"/>
    <mergeCell ref="O651:P651"/>
    <mergeCell ref="Q651:R651"/>
    <mergeCell ref="S651:T651"/>
    <mergeCell ref="V651:W651"/>
    <mergeCell ref="Z651:AA651"/>
    <mergeCell ref="AB651:AC651"/>
    <mergeCell ref="AD651:AE651"/>
    <mergeCell ref="AJ651:AK651"/>
    <mergeCell ref="AL651:AM651"/>
    <mergeCell ref="AN651:AO651"/>
    <mergeCell ref="A652:B652"/>
    <mergeCell ref="E652:F652"/>
    <mergeCell ref="G652:H652"/>
    <mergeCell ref="I652:J652"/>
    <mergeCell ref="O652:P652"/>
    <mergeCell ref="Q652:R652"/>
    <mergeCell ref="S652:T652"/>
    <mergeCell ref="V652:W652"/>
    <mergeCell ref="Z652:AA652"/>
    <mergeCell ref="AB652:AC652"/>
    <mergeCell ref="AD652:AE652"/>
    <mergeCell ref="AJ652:AK652"/>
    <mergeCell ref="AL652:AM652"/>
    <mergeCell ref="AN652:AO652"/>
    <mergeCell ref="A653:B653"/>
    <mergeCell ref="E653:F653"/>
    <mergeCell ref="G653:H653"/>
    <mergeCell ref="I653:J653"/>
    <mergeCell ref="O653:P653"/>
    <mergeCell ref="Q653:R653"/>
    <mergeCell ref="S653:T653"/>
    <mergeCell ref="V653:W653"/>
    <mergeCell ref="Z653:AA653"/>
    <mergeCell ref="AB653:AC653"/>
    <mergeCell ref="AD653:AE653"/>
    <mergeCell ref="AJ653:AK653"/>
    <mergeCell ref="AL653:AM653"/>
    <mergeCell ref="AN653:AO653"/>
    <mergeCell ref="A648:B648"/>
    <mergeCell ref="E648:F648"/>
    <mergeCell ref="G648:H648"/>
    <mergeCell ref="I648:J648"/>
    <mergeCell ref="O648:P648"/>
    <mergeCell ref="Q648:R648"/>
    <mergeCell ref="S648:T648"/>
    <mergeCell ref="V648:W648"/>
    <mergeCell ref="Z648:AA648"/>
    <mergeCell ref="AB648:AC648"/>
    <mergeCell ref="AD648:AE648"/>
    <mergeCell ref="AJ648:AK648"/>
    <mergeCell ref="AL648:AM648"/>
    <mergeCell ref="AN648:AO648"/>
    <mergeCell ref="A649:B649"/>
    <mergeCell ref="E649:F649"/>
    <mergeCell ref="G649:H649"/>
    <mergeCell ref="I649:J649"/>
    <mergeCell ref="O649:P649"/>
    <mergeCell ref="Q649:R649"/>
    <mergeCell ref="S649:T649"/>
    <mergeCell ref="V649:W649"/>
    <mergeCell ref="Z649:AA649"/>
    <mergeCell ref="AB649:AC649"/>
    <mergeCell ref="AD649:AE649"/>
    <mergeCell ref="AJ649:AK649"/>
    <mergeCell ref="AL649:AM649"/>
    <mergeCell ref="AN649:AO649"/>
    <mergeCell ref="A650:B650"/>
    <mergeCell ref="E650:F650"/>
    <mergeCell ref="G650:H650"/>
    <mergeCell ref="I650:J650"/>
    <mergeCell ref="O650:P650"/>
    <mergeCell ref="Q650:R650"/>
    <mergeCell ref="S650:T650"/>
    <mergeCell ref="V650:W650"/>
    <mergeCell ref="Z650:AA650"/>
    <mergeCell ref="AB650:AC650"/>
    <mergeCell ref="AD650:AE650"/>
    <mergeCell ref="AJ650:AK650"/>
    <mergeCell ref="AL650:AM650"/>
    <mergeCell ref="AN650:AO650"/>
    <mergeCell ref="A645:B645"/>
    <mergeCell ref="E645:F645"/>
    <mergeCell ref="G645:H645"/>
    <mergeCell ref="I645:J645"/>
    <mergeCell ref="O645:P645"/>
    <mergeCell ref="Q645:R645"/>
    <mergeCell ref="S645:T645"/>
    <mergeCell ref="V645:W645"/>
    <mergeCell ref="Z645:AA645"/>
    <mergeCell ref="AB645:AC645"/>
    <mergeCell ref="AD645:AE645"/>
    <mergeCell ref="AJ645:AK645"/>
    <mergeCell ref="AL645:AM645"/>
    <mergeCell ref="AN645:AO645"/>
    <mergeCell ref="A646:B646"/>
    <mergeCell ref="E646:F646"/>
    <mergeCell ref="G646:H646"/>
    <mergeCell ref="I646:J646"/>
    <mergeCell ref="O646:P646"/>
    <mergeCell ref="Q646:R646"/>
    <mergeCell ref="S646:T646"/>
    <mergeCell ref="V646:W646"/>
    <mergeCell ref="Z646:AA646"/>
    <mergeCell ref="AB646:AC646"/>
    <mergeCell ref="AD646:AE646"/>
    <mergeCell ref="AJ646:AK646"/>
    <mergeCell ref="AL646:AM646"/>
    <mergeCell ref="AN646:AO646"/>
    <mergeCell ref="A647:B647"/>
    <mergeCell ref="E647:F647"/>
    <mergeCell ref="G647:H647"/>
    <mergeCell ref="I647:J647"/>
    <mergeCell ref="O647:P647"/>
    <mergeCell ref="Q647:R647"/>
    <mergeCell ref="S647:T647"/>
    <mergeCell ref="V647:W647"/>
    <mergeCell ref="Z647:AA647"/>
    <mergeCell ref="AB647:AC647"/>
    <mergeCell ref="AD647:AE647"/>
    <mergeCell ref="AJ647:AK647"/>
    <mergeCell ref="AL647:AM647"/>
    <mergeCell ref="AN647:AO647"/>
    <mergeCell ref="A642:B642"/>
    <mergeCell ref="E642:F642"/>
    <mergeCell ref="G642:H642"/>
    <mergeCell ref="I642:J642"/>
    <mergeCell ref="O642:P642"/>
    <mergeCell ref="Q642:R642"/>
    <mergeCell ref="S642:T642"/>
    <mergeCell ref="V642:W642"/>
    <mergeCell ref="Z642:AA642"/>
    <mergeCell ref="AB642:AC642"/>
    <mergeCell ref="AD642:AE642"/>
    <mergeCell ref="AJ642:AK642"/>
    <mergeCell ref="AL642:AM642"/>
    <mergeCell ref="AN642:AO642"/>
    <mergeCell ref="A643:B643"/>
    <mergeCell ref="E643:F643"/>
    <mergeCell ref="G643:H643"/>
    <mergeCell ref="I643:J643"/>
    <mergeCell ref="O643:P643"/>
    <mergeCell ref="Q643:R643"/>
    <mergeCell ref="S643:T643"/>
    <mergeCell ref="V643:W643"/>
    <mergeCell ref="Z643:AA643"/>
    <mergeCell ref="AB643:AC643"/>
    <mergeCell ref="AD643:AE643"/>
    <mergeCell ref="AJ643:AK643"/>
    <mergeCell ref="AL643:AM643"/>
    <mergeCell ref="AN643:AO643"/>
    <mergeCell ref="A644:B644"/>
    <mergeCell ref="E644:F644"/>
    <mergeCell ref="G644:H644"/>
    <mergeCell ref="I644:J644"/>
    <mergeCell ref="O644:P644"/>
    <mergeCell ref="Q644:R644"/>
    <mergeCell ref="S644:T644"/>
    <mergeCell ref="V644:W644"/>
    <mergeCell ref="Z644:AA644"/>
    <mergeCell ref="AB644:AC644"/>
    <mergeCell ref="AD644:AE644"/>
    <mergeCell ref="AJ644:AK644"/>
    <mergeCell ref="AL644:AM644"/>
    <mergeCell ref="AN644:AO644"/>
    <mergeCell ref="A639:B639"/>
    <mergeCell ref="E639:F639"/>
    <mergeCell ref="G639:H639"/>
    <mergeCell ref="I639:J639"/>
    <mergeCell ref="O639:P639"/>
    <mergeCell ref="Q639:R639"/>
    <mergeCell ref="S639:T639"/>
    <mergeCell ref="V639:W639"/>
    <mergeCell ref="Z639:AA639"/>
    <mergeCell ref="AB639:AC639"/>
    <mergeCell ref="AD639:AE639"/>
    <mergeCell ref="AJ639:AK639"/>
    <mergeCell ref="AL639:AM639"/>
    <mergeCell ref="AN639:AO639"/>
    <mergeCell ref="A640:B640"/>
    <mergeCell ref="E640:F640"/>
    <mergeCell ref="G640:H640"/>
    <mergeCell ref="I640:J640"/>
    <mergeCell ref="O640:P640"/>
    <mergeCell ref="Q640:R640"/>
    <mergeCell ref="S640:T640"/>
    <mergeCell ref="V640:W640"/>
    <mergeCell ref="Z640:AA640"/>
    <mergeCell ref="AB640:AC640"/>
    <mergeCell ref="AD640:AE640"/>
    <mergeCell ref="AJ640:AK640"/>
    <mergeCell ref="AL640:AM640"/>
    <mergeCell ref="AN640:AO640"/>
    <mergeCell ref="A641:B641"/>
    <mergeCell ref="E641:F641"/>
    <mergeCell ref="G641:H641"/>
    <mergeCell ref="I641:J641"/>
    <mergeCell ref="O641:P641"/>
    <mergeCell ref="Q641:R641"/>
    <mergeCell ref="S641:T641"/>
    <mergeCell ref="V641:W641"/>
    <mergeCell ref="Z641:AA641"/>
    <mergeCell ref="AB641:AC641"/>
    <mergeCell ref="AD641:AE641"/>
    <mergeCell ref="AJ641:AK641"/>
    <mergeCell ref="AL641:AM641"/>
    <mergeCell ref="AN641:AO641"/>
    <mergeCell ref="A636:B636"/>
    <mergeCell ref="E636:F636"/>
    <mergeCell ref="G636:H636"/>
    <mergeCell ref="I636:J636"/>
    <mergeCell ref="O636:P636"/>
    <mergeCell ref="Q636:R636"/>
    <mergeCell ref="S636:T636"/>
    <mergeCell ref="V636:W636"/>
    <mergeCell ref="Z636:AA636"/>
    <mergeCell ref="AB636:AC636"/>
    <mergeCell ref="AD636:AE636"/>
    <mergeCell ref="AJ636:AK636"/>
    <mergeCell ref="AL636:AM636"/>
    <mergeCell ref="AN636:AO636"/>
    <mergeCell ref="A637:B637"/>
    <mergeCell ref="E637:F637"/>
    <mergeCell ref="G637:H637"/>
    <mergeCell ref="I637:J637"/>
    <mergeCell ref="O637:P637"/>
    <mergeCell ref="Q637:R637"/>
    <mergeCell ref="S637:T637"/>
    <mergeCell ref="V637:W637"/>
    <mergeCell ref="Z637:AA637"/>
    <mergeCell ref="AB637:AC637"/>
    <mergeCell ref="AD637:AE637"/>
    <mergeCell ref="AJ637:AK637"/>
    <mergeCell ref="AL637:AM637"/>
    <mergeCell ref="AN637:AO637"/>
    <mergeCell ref="A638:B638"/>
    <mergeCell ref="E638:F638"/>
    <mergeCell ref="G638:H638"/>
    <mergeCell ref="I638:J638"/>
    <mergeCell ref="O638:P638"/>
    <mergeCell ref="Q638:R638"/>
    <mergeCell ref="S638:T638"/>
    <mergeCell ref="V638:W638"/>
    <mergeCell ref="Z638:AA638"/>
    <mergeCell ref="AB638:AC638"/>
    <mergeCell ref="AD638:AE638"/>
    <mergeCell ref="AJ638:AK638"/>
    <mergeCell ref="AL638:AM638"/>
    <mergeCell ref="AN638:AO638"/>
    <mergeCell ref="A633:B633"/>
    <mergeCell ref="E633:F633"/>
    <mergeCell ref="G633:H633"/>
    <mergeCell ref="I633:J633"/>
    <mergeCell ref="O633:P633"/>
    <mergeCell ref="Q633:R633"/>
    <mergeCell ref="S633:T633"/>
    <mergeCell ref="V633:W633"/>
    <mergeCell ref="Z633:AA633"/>
    <mergeCell ref="AB633:AC633"/>
    <mergeCell ref="AD633:AE633"/>
    <mergeCell ref="AJ633:AK633"/>
    <mergeCell ref="AL633:AM633"/>
    <mergeCell ref="AN633:AO633"/>
    <mergeCell ref="A634:B634"/>
    <mergeCell ref="E634:F634"/>
    <mergeCell ref="G634:H634"/>
    <mergeCell ref="I634:J634"/>
    <mergeCell ref="O634:P634"/>
    <mergeCell ref="Q634:R634"/>
    <mergeCell ref="S634:T634"/>
    <mergeCell ref="V634:W634"/>
    <mergeCell ref="Z634:AA634"/>
    <mergeCell ref="AB634:AC634"/>
    <mergeCell ref="AD634:AE634"/>
    <mergeCell ref="AJ634:AK634"/>
    <mergeCell ref="AL634:AM634"/>
    <mergeCell ref="AN634:AO634"/>
    <mergeCell ref="A635:B635"/>
    <mergeCell ref="E635:F635"/>
    <mergeCell ref="G635:H635"/>
    <mergeCell ref="I635:J635"/>
    <mergeCell ref="O635:P635"/>
    <mergeCell ref="Q635:R635"/>
    <mergeCell ref="S635:T635"/>
    <mergeCell ref="V635:W635"/>
    <mergeCell ref="Z635:AA635"/>
    <mergeCell ref="AB635:AC635"/>
    <mergeCell ref="AD635:AE635"/>
    <mergeCell ref="AJ635:AK635"/>
    <mergeCell ref="AL635:AM635"/>
    <mergeCell ref="AN635:AO635"/>
    <mergeCell ref="A630:B630"/>
    <mergeCell ref="E630:F630"/>
    <mergeCell ref="G630:H630"/>
    <mergeCell ref="I630:J630"/>
    <mergeCell ref="O630:P630"/>
    <mergeCell ref="Q630:R630"/>
    <mergeCell ref="S630:T630"/>
    <mergeCell ref="V630:W630"/>
    <mergeCell ref="Z630:AA630"/>
    <mergeCell ref="AB630:AC630"/>
    <mergeCell ref="AD630:AE630"/>
    <mergeCell ref="AJ630:AK630"/>
    <mergeCell ref="AL630:AM630"/>
    <mergeCell ref="AN630:AO630"/>
    <mergeCell ref="A631:B631"/>
    <mergeCell ref="E631:F631"/>
    <mergeCell ref="G631:H631"/>
    <mergeCell ref="I631:J631"/>
    <mergeCell ref="O631:P631"/>
    <mergeCell ref="Q631:R631"/>
    <mergeCell ref="S631:T631"/>
    <mergeCell ref="V631:W631"/>
    <mergeCell ref="Z631:AA631"/>
    <mergeCell ref="AB631:AC631"/>
    <mergeCell ref="AD631:AE631"/>
    <mergeCell ref="AJ631:AK631"/>
    <mergeCell ref="AL631:AM631"/>
    <mergeCell ref="AN631:AO631"/>
    <mergeCell ref="A632:B632"/>
    <mergeCell ref="E632:F632"/>
    <mergeCell ref="G632:H632"/>
    <mergeCell ref="I632:J632"/>
    <mergeCell ref="O632:P632"/>
    <mergeCell ref="Q632:R632"/>
    <mergeCell ref="S632:T632"/>
    <mergeCell ref="V632:W632"/>
    <mergeCell ref="Z632:AA632"/>
    <mergeCell ref="AB632:AC632"/>
    <mergeCell ref="AD632:AE632"/>
    <mergeCell ref="AJ632:AK632"/>
    <mergeCell ref="AL632:AM632"/>
    <mergeCell ref="AN632:AO632"/>
    <mergeCell ref="A627:B627"/>
    <mergeCell ref="E627:F627"/>
    <mergeCell ref="G627:H627"/>
    <mergeCell ref="I627:J627"/>
    <mergeCell ref="O627:P627"/>
    <mergeCell ref="Q627:R627"/>
    <mergeCell ref="S627:T627"/>
    <mergeCell ref="V627:W627"/>
    <mergeCell ref="Z627:AA627"/>
    <mergeCell ref="AB627:AC627"/>
    <mergeCell ref="AD627:AE627"/>
    <mergeCell ref="AJ627:AK627"/>
    <mergeCell ref="AL627:AM627"/>
    <mergeCell ref="AN627:AO627"/>
    <mergeCell ref="A628:B628"/>
    <mergeCell ref="E628:F628"/>
    <mergeCell ref="G628:H628"/>
    <mergeCell ref="I628:J628"/>
    <mergeCell ref="O628:P628"/>
    <mergeCell ref="Q628:R628"/>
    <mergeCell ref="S628:T628"/>
    <mergeCell ref="V628:W628"/>
    <mergeCell ref="Z628:AA628"/>
    <mergeCell ref="AB628:AC628"/>
    <mergeCell ref="AD628:AE628"/>
    <mergeCell ref="AJ628:AK628"/>
    <mergeCell ref="AL628:AM628"/>
    <mergeCell ref="AN628:AO628"/>
    <mergeCell ref="A629:B629"/>
    <mergeCell ref="E629:F629"/>
    <mergeCell ref="G629:H629"/>
    <mergeCell ref="I629:J629"/>
    <mergeCell ref="O629:P629"/>
    <mergeCell ref="Q629:R629"/>
    <mergeCell ref="S629:T629"/>
    <mergeCell ref="V629:W629"/>
    <mergeCell ref="Z629:AA629"/>
    <mergeCell ref="AB629:AC629"/>
    <mergeCell ref="AD629:AE629"/>
    <mergeCell ref="AJ629:AK629"/>
    <mergeCell ref="AL629:AM629"/>
    <mergeCell ref="AN629:AO629"/>
    <mergeCell ref="A620:T620"/>
    <mergeCell ref="A619:T619"/>
    <mergeCell ref="S616:T616"/>
    <mergeCell ref="V619:AO619"/>
    <mergeCell ref="AN616:AO616"/>
    <mergeCell ref="A617:U617"/>
    <mergeCell ref="V617:AO617"/>
    <mergeCell ref="G622:H622"/>
    <mergeCell ref="I624:J624"/>
    <mergeCell ref="I625:J625"/>
    <mergeCell ref="Q622:R622"/>
    <mergeCell ref="S622:T622"/>
    <mergeCell ref="AB622:AC622"/>
    <mergeCell ref="AB623:AC624"/>
    <mergeCell ref="AB625:AC625"/>
    <mergeCell ref="S623:T624"/>
    <mergeCell ref="A626:B626"/>
    <mergeCell ref="E626:F626"/>
    <mergeCell ref="G626:H626"/>
    <mergeCell ref="I626:J626"/>
    <mergeCell ref="O626:P626"/>
    <mergeCell ref="Q626:R626"/>
    <mergeCell ref="S626:T626"/>
    <mergeCell ref="V626:W626"/>
    <mergeCell ref="Z626:AA626"/>
    <mergeCell ref="AB626:AC626"/>
    <mergeCell ref="AD626:AE626"/>
    <mergeCell ref="AJ626:AK626"/>
    <mergeCell ref="AL626:AM626"/>
    <mergeCell ref="AN626:AO626"/>
    <mergeCell ref="Q623:R624"/>
    <mergeCell ref="A621:B624"/>
    <mergeCell ref="C621:F622"/>
    <mergeCell ref="G621:H621"/>
    <mergeCell ref="I621:J622"/>
    <mergeCell ref="I623:J623"/>
    <mergeCell ref="Y623:Y624"/>
    <mergeCell ref="Z623:AA624"/>
    <mergeCell ref="A606:B606"/>
    <mergeCell ref="E606:F606"/>
    <mergeCell ref="G606:H606"/>
    <mergeCell ref="I606:J606"/>
    <mergeCell ref="A608:B608"/>
    <mergeCell ref="E608:F608"/>
    <mergeCell ref="G608:H608"/>
    <mergeCell ref="I608:J608"/>
    <mergeCell ref="A607:B607"/>
    <mergeCell ref="E607:F607"/>
    <mergeCell ref="G607:H607"/>
    <mergeCell ref="I607:J607"/>
    <mergeCell ref="A609:B609"/>
    <mergeCell ref="E609:F609"/>
    <mergeCell ref="G609:H609"/>
    <mergeCell ref="I609:J609"/>
    <mergeCell ref="A610:B610"/>
    <mergeCell ref="E610:F610"/>
    <mergeCell ref="G610:H610"/>
    <mergeCell ref="I610:J610"/>
    <mergeCell ref="A611:B611"/>
    <mergeCell ref="E611:F611"/>
    <mergeCell ref="G611:H611"/>
    <mergeCell ref="I611:J611"/>
    <mergeCell ref="A612:B612"/>
    <mergeCell ref="E612:F612"/>
    <mergeCell ref="G612:H612"/>
    <mergeCell ref="I612:J612"/>
    <mergeCell ref="A613:B613"/>
    <mergeCell ref="E613:F613"/>
    <mergeCell ref="G613:H613"/>
    <mergeCell ref="I613:J613"/>
    <mergeCell ref="E614:F614"/>
    <mergeCell ref="G614:H614"/>
    <mergeCell ref="I614:J614"/>
    <mergeCell ref="A598:B598"/>
    <mergeCell ref="E598:F598"/>
    <mergeCell ref="G598:H598"/>
    <mergeCell ref="I598:J598"/>
    <mergeCell ref="O598:P598"/>
    <mergeCell ref="Q598:R598"/>
    <mergeCell ref="S598:T598"/>
    <mergeCell ref="A597:B597"/>
    <mergeCell ref="E597:F597"/>
    <mergeCell ref="A600:B600"/>
    <mergeCell ref="E600:F600"/>
    <mergeCell ref="G600:H600"/>
    <mergeCell ref="I600:J600"/>
    <mergeCell ref="A599:B599"/>
    <mergeCell ref="E599:F599"/>
    <mergeCell ref="G599:H599"/>
    <mergeCell ref="I599:J599"/>
    <mergeCell ref="A601:B601"/>
    <mergeCell ref="E601:F601"/>
    <mergeCell ref="G601:H601"/>
    <mergeCell ref="I601:J601"/>
    <mergeCell ref="A602:B602"/>
    <mergeCell ref="E602:F602"/>
    <mergeCell ref="G602:H602"/>
    <mergeCell ref="I602:J602"/>
    <mergeCell ref="A603:B603"/>
    <mergeCell ref="E603:F603"/>
    <mergeCell ref="G603:H603"/>
    <mergeCell ref="I603:J603"/>
    <mergeCell ref="E605:F605"/>
    <mergeCell ref="G605:H605"/>
    <mergeCell ref="I605:J605"/>
    <mergeCell ref="A604:B604"/>
    <mergeCell ref="E604:F604"/>
    <mergeCell ref="G604:H604"/>
    <mergeCell ref="A593:B593"/>
    <mergeCell ref="E593:F593"/>
    <mergeCell ref="G593:H593"/>
    <mergeCell ref="I593:J593"/>
    <mergeCell ref="O593:P593"/>
    <mergeCell ref="Q593:R593"/>
    <mergeCell ref="S593:T593"/>
    <mergeCell ref="A594:B594"/>
    <mergeCell ref="E594:F594"/>
    <mergeCell ref="G594:H594"/>
    <mergeCell ref="I594:J594"/>
    <mergeCell ref="S596:T596"/>
    <mergeCell ref="O595:P595"/>
    <mergeCell ref="Q595:R595"/>
    <mergeCell ref="O594:P594"/>
    <mergeCell ref="Q594:R594"/>
    <mergeCell ref="S594:T594"/>
    <mergeCell ref="S595:T595"/>
    <mergeCell ref="A595:B595"/>
    <mergeCell ref="E595:F595"/>
    <mergeCell ref="A596:B596"/>
    <mergeCell ref="E596:F596"/>
    <mergeCell ref="G595:H595"/>
    <mergeCell ref="I595:J595"/>
    <mergeCell ref="O597:P597"/>
    <mergeCell ref="Q597:R597"/>
    <mergeCell ref="G597:H597"/>
    <mergeCell ref="I597:J597"/>
    <mergeCell ref="G596:H596"/>
    <mergeCell ref="I596:J596"/>
    <mergeCell ref="O596:P596"/>
    <mergeCell ref="Q596:R596"/>
    <mergeCell ref="S597:T597"/>
    <mergeCell ref="A588:B588"/>
    <mergeCell ref="E588:F588"/>
    <mergeCell ref="G588:H588"/>
    <mergeCell ref="I588:J588"/>
    <mergeCell ref="O588:P588"/>
    <mergeCell ref="Q588:R588"/>
    <mergeCell ref="S588:T588"/>
    <mergeCell ref="A587:B587"/>
    <mergeCell ref="E587:F587"/>
    <mergeCell ref="Q590:R590"/>
    <mergeCell ref="S590:T590"/>
    <mergeCell ref="A589:B589"/>
    <mergeCell ref="E589:F589"/>
    <mergeCell ref="G589:H589"/>
    <mergeCell ref="I589:J589"/>
    <mergeCell ref="O589:P589"/>
    <mergeCell ref="Q589:R589"/>
    <mergeCell ref="G591:H591"/>
    <mergeCell ref="I591:J591"/>
    <mergeCell ref="O591:P591"/>
    <mergeCell ref="Q591:R591"/>
    <mergeCell ref="S589:T589"/>
    <mergeCell ref="A590:B590"/>
    <mergeCell ref="E590:F590"/>
    <mergeCell ref="G590:H590"/>
    <mergeCell ref="I590:J590"/>
    <mergeCell ref="O590:P590"/>
    <mergeCell ref="S591:T591"/>
    <mergeCell ref="A592:B592"/>
    <mergeCell ref="E592:F592"/>
    <mergeCell ref="G592:H592"/>
    <mergeCell ref="I592:J592"/>
    <mergeCell ref="O592:P592"/>
    <mergeCell ref="Q592:R592"/>
    <mergeCell ref="S592:T592"/>
    <mergeCell ref="A591:B591"/>
    <mergeCell ref="E591:F591"/>
    <mergeCell ref="G583:H583"/>
    <mergeCell ref="I583:J583"/>
    <mergeCell ref="O583:P583"/>
    <mergeCell ref="Q583:R583"/>
    <mergeCell ref="S581:T581"/>
    <mergeCell ref="A582:B582"/>
    <mergeCell ref="E582:F582"/>
    <mergeCell ref="G582:H582"/>
    <mergeCell ref="I582:J582"/>
    <mergeCell ref="O582:P582"/>
    <mergeCell ref="S583:T583"/>
    <mergeCell ref="A584:B584"/>
    <mergeCell ref="E584:F584"/>
    <mergeCell ref="G584:H584"/>
    <mergeCell ref="I584:J584"/>
    <mergeCell ref="O584:P584"/>
    <mergeCell ref="Q584:R584"/>
    <mergeCell ref="S584:T584"/>
    <mergeCell ref="A583:B583"/>
    <mergeCell ref="E583:F583"/>
    <mergeCell ref="Q586:R586"/>
    <mergeCell ref="S586:T586"/>
    <mergeCell ref="A585:B585"/>
    <mergeCell ref="E585:F585"/>
    <mergeCell ref="G585:H585"/>
    <mergeCell ref="I585:J585"/>
    <mergeCell ref="O585:P585"/>
    <mergeCell ref="Q585:R585"/>
    <mergeCell ref="G587:H587"/>
    <mergeCell ref="I587:J587"/>
    <mergeCell ref="O587:P587"/>
    <mergeCell ref="Q587:R587"/>
    <mergeCell ref="S585:T585"/>
    <mergeCell ref="A586:B586"/>
    <mergeCell ref="E586:F586"/>
    <mergeCell ref="G586:H586"/>
    <mergeCell ref="I586:J586"/>
    <mergeCell ref="O586:P586"/>
    <mergeCell ref="S587:T587"/>
    <mergeCell ref="Q578:R578"/>
    <mergeCell ref="S578:T578"/>
    <mergeCell ref="A577:B577"/>
    <mergeCell ref="E577:F577"/>
    <mergeCell ref="G577:H577"/>
    <mergeCell ref="I577:J577"/>
    <mergeCell ref="O577:P577"/>
    <mergeCell ref="Q577:R577"/>
    <mergeCell ref="G579:H579"/>
    <mergeCell ref="I579:J579"/>
    <mergeCell ref="O579:P579"/>
    <mergeCell ref="Q579:R579"/>
    <mergeCell ref="S577:T577"/>
    <mergeCell ref="A578:B578"/>
    <mergeCell ref="E578:F578"/>
    <mergeCell ref="G578:H578"/>
    <mergeCell ref="I578:J578"/>
    <mergeCell ref="O578:P578"/>
    <mergeCell ref="S579:T579"/>
    <mergeCell ref="A580:B580"/>
    <mergeCell ref="E580:F580"/>
    <mergeCell ref="G580:H580"/>
    <mergeCell ref="I580:J580"/>
    <mergeCell ref="O580:P580"/>
    <mergeCell ref="Q580:R580"/>
    <mergeCell ref="S580:T580"/>
    <mergeCell ref="A579:B579"/>
    <mergeCell ref="E579:F579"/>
    <mergeCell ref="Q582:R582"/>
    <mergeCell ref="S582:T582"/>
    <mergeCell ref="A581:B581"/>
    <mergeCell ref="E581:F581"/>
    <mergeCell ref="G581:H581"/>
    <mergeCell ref="I581:J581"/>
    <mergeCell ref="O581:P581"/>
    <mergeCell ref="Q581:R581"/>
    <mergeCell ref="G572:H572"/>
    <mergeCell ref="I572:J572"/>
    <mergeCell ref="A571:B571"/>
    <mergeCell ref="E571:F571"/>
    <mergeCell ref="G571:H571"/>
    <mergeCell ref="I571:J571"/>
    <mergeCell ref="S572:T572"/>
    <mergeCell ref="A570:B570"/>
    <mergeCell ref="I569:J569"/>
    <mergeCell ref="S567:T568"/>
    <mergeCell ref="I574:J574"/>
    <mergeCell ref="O574:P574"/>
    <mergeCell ref="Q574:R574"/>
    <mergeCell ref="S574:T574"/>
    <mergeCell ref="A573:B573"/>
    <mergeCell ref="E573:F573"/>
    <mergeCell ref="G573:H573"/>
    <mergeCell ref="I573:J573"/>
    <mergeCell ref="O573:P573"/>
    <mergeCell ref="Q573:R573"/>
    <mergeCell ref="G575:H575"/>
    <mergeCell ref="I575:J575"/>
    <mergeCell ref="O575:P575"/>
    <mergeCell ref="Q575:R575"/>
    <mergeCell ref="S573:T573"/>
    <mergeCell ref="A572:B572"/>
    <mergeCell ref="E572:F572"/>
    <mergeCell ref="A574:B574"/>
    <mergeCell ref="E574:F574"/>
    <mergeCell ref="G574:H574"/>
    <mergeCell ref="S575:T575"/>
    <mergeCell ref="A576:B576"/>
    <mergeCell ref="E576:F576"/>
    <mergeCell ref="G576:H576"/>
    <mergeCell ref="I576:J576"/>
    <mergeCell ref="O576:P576"/>
    <mergeCell ref="Q576:R576"/>
    <mergeCell ref="S576:T576"/>
    <mergeCell ref="A575:B575"/>
    <mergeCell ref="E575:F575"/>
    <mergeCell ref="E557:F557"/>
    <mergeCell ref="G557:H557"/>
    <mergeCell ref="I557:J557"/>
    <mergeCell ref="V557:W557"/>
    <mergeCell ref="Z557:AA557"/>
    <mergeCell ref="AB557:AC557"/>
    <mergeCell ref="AD557:AE557"/>
    <mergeCell ref="AD558:AE558"/>
    <mergeCell ref="A564:T564"/>
    <mergeCell ref="G566:H566"/>
    <mergeCell ref="Q566:R566"/>
    <mergeCell ref="S566:T566"/>
    <mergeCell ref="E558:F558"/>
    <mergeCell ref="G558:H558"/>
    <mergeCell ref="I558:J558"/>
    <mergeCell ref="Z558:AA558"/>
    <mergeCell ref="A565:B568"/>
    <mergeCell ref="AB566:AC566"/>
    <mergeCell ref="AB558:AC558"/>
    <mergeCell ref="I565:J566"/>
    <mergeCell ref="I568:J568"/>
    <mergeCell ref="I567:J567"/>
    <mergeCell ref="L565:L568"/>
    <mergeCell ref="M565:P566"/>
    <mergeCell ref="Y567:Y568"/>
    <mergeCell ref="Z567:AA568"/>
    <mergeCell ref="AB567:AC568"/>
    <mergeCell ref="S565:T565"/>
    <mergeCell ref="V565:W568"/>
    <mergeCell ref="X565:AA566"/>
    <mergeCell ref="AD567:AE567"/>
    <mergeCell ref="I570:J570"/>
    <mergeCell ref="O570:P570"/>
    <mergeCell ref="Q570:R570"/>
    <mergeCell ref="Q565:R565"/>
    <mergeCell ref="C565:F566"/>
    <mergeCell ref="G565:H565"/>
    <mergeCell ref="E567:F568"/>
    <mergeCell ref="G567:H568"/>
    <mergeCell ref="S570:T570"/>
    <mergeCell ref="D567:D568"/>
    <mergeCell ref="A546:B546"/>
    <mergeCell ref="E546:F546"/>
    <mergeCell ref="G546:H546"/>
    <mergeCell ref="I546:J546"/>
    <mergeCell ref="V546:W546"/>
    <mergeCell ref="Z546:AA546"/>
    <mergeCell ref="AB546:AC546"/>
    <mergeCell ref="AD546:AE546"/>
    <mergeCell ref="A547:B547"/>
    <mergeCell ref="E547:F547"/>
    <mergeCell ref="G547:H547"/>
    <mergeCell ref="I547:J547"/>
    <mergeCell ref="A548:B548"/>
    <mergeCell ref="E548:F548"/>
    <mergeCell ref="G548:H548"/>
    <mergeCell ref="I548:J548"/>
    <mergeCell ref="AB548:AC548"/>
    <mergeCell ref="AD548:AE548"/>
    <mergeCell ref="I552:J552"/>
    <mergeCell ref="V552:W552"/>
    <mergeCell ref="Z552:AA552"/>
    <mergeCell ref="AB552:AC552"/>
    <mergeCell ref="AD552:AE552"/>
    <mergeCell ref="AH552:AK552"/>
    <mergeCell ref="Z553:AA553"/>
    <mergeCell ref="AB553:AC553"/>
    <mergeCell ref="AD553:AE553"/>
    <mergeCell ref="A553:B553"/>
    <mergeCell ref="E553:F553"/>
    <mergeCell ref="G553:H553"/>
    <mergeCell ref="I553:J553"/>
    <mergeCell ref="V553:W553"/>
    <mergeCell ref="A554:B554"/>
    <mergeCell ref="E554:F554"/>
    <mergeCell ref="G554:H554"/>
    <mergeCell ref="I554:J554"/>
    <mergeCell ref="V554:W554"/>
    <mergeCell ref="Z554:AA554"/>
    <mergeCell ref="AB554:AC554"/>
    <mergeCell ref="AD554:AE554"/>
    <mergeCell ref="AD549:AE549"/>
    <mergeCell ref="A550:B550"/>
    <mergeCell ref="E550:F550"/>
    <mergeCell ref="G550:H550"/>
    <mergeCell ref="I550:J550"/>
    <mergeCell ref="M550:P550"/>
    <mergeCell ref="V550:W550"/>
    <mergeCell ref="Z550:AA550"/>
    <mergeCell ref="AB550:AC550"/>
    <mergeCell ref="AD550:AE550"/>
    <mergeCell ref="A551:B551"/>
    <mergeCell ref="E551:F551"/>
    <mergeCell ref="G551:H551"/>
    <mergeCell ref="I551:J551"/>
    <mergeCell ref="V551:W551"/>
    <mergeCell ref="Z551:AA551"/>
    <mergeCell ref="AB551:AC551"/>
    <mergeCell ref="AD551:AE551"/>
    <mergeCell ref="A552:B552"/>
    <mergeCell ref="E552:F552"/>
    <mergeCell ref="G552:H552"/>
    <mergeCell ref="AH551:AK551"/>
    <mergeCell ref="A542:B542"/>
    <mergeCell ref="E542:F542"/>
    <mergeCell ref="G542:H542"/>
    <mergeCell ref="I542:J542"/>
    <mergeCell ref="O542:P542"/>
    <mergeCell ref="Q542:R542"/>
    <mergeCell ref="S542:T542"/>
    <mergeCell ref="V542:W542"/>
    <mergeCell ref="Z542:AA542"/>
    <mergeCell ref="AB542:AC542"/>
    <mergeCell ref="AD542:AE542"/>
    <mergeCell ref="AJ542:AK542"/>
    <mergeCell ref="AL542:AM542"/>
    <mergeCell ref="AN542:AO542"/>
    <mergeCell ref="A543:B543"/>
    <mergeCell ref="E543:F543"/>
    <mergeCell ref="G543:H543"/>
    <mergeCell ref="I543:J543"/>
    <mergeCell ref="V543:W543"/>
    <mergeCell ref="Z543:AA543"/>
    <mergeCell ref="AB543:AC543"/>
    <mergeCell ref="AD543:AE543"/>
    <mergeCell ref="A544:B544"/>
    <mergeCell ref="E544:F544"/>
    <mergeCell ref="G544:H544"/>
    <mergeCell ref="I544:J544"/>
    <mergeCell ref="V544:W544"/>
    <mergeCell ref="Z544:AA544"/>
    <mergeCell ref="AB544:AC544"/>
    <mergeCell ref="AD544:AE544"/>
    <mergeCell ref="A545:B545"/>
    <mergeCell ref="E545:F545"/>
    <mergeCell ref="G545:H545"/>
    <mergeCell ref="I545:J545"/>
    <mergeCell ref="V545:W545"/>
    <mergeCell ref="Z545:AA545"/>
    <mergeCell ref="AB545:AC545"/>
    <mergeCell ref="AD545:AE545"/>
    <mergeCell ref="A539:B539"/>
    <mergeCell ref="E539:F539"/>
    <mergeCell ref="G539:H539"/>
    <mergeCell ref="I539:J539"/>
    <mergeCell ref="O539:P539"/>
    <mergeCell ref="Q539:R539"/>
    <mergeCell ref="S539:T539"/>
    <mergeCell ref="V539:W539"/>
    <mergeCell ref="Z539:AA539"/>
    <mergeCell ref="AB539:AC539"/>
    <mergeCell ref="AD539:AE539"/>
    <mergeCell ref="AJ539:AK539"/>
    <mergeCell ref="AL539:AM539"/>
    <mergeCell ref="AN539:AO539"/>
    <mergeCell ref="A540:B540"/>
    <mergeCell ref="E540:F540"/>
    <mergeCell ref="G540:H540"/>
    <mergeCell ref="I540:J540"/>
    <mergeCell ref="O540:P540"/>
    <mergeCell ref="Q540:R540"/>
    <mergeCell ref="S540:T540"/>
    <mergeCell ref="V540:W540"/>
    <mergeCell ref="Z540:AA540"/>
    <mergeCell ref="AB540:AC540"/>
    <mergeCell ref="AD540:AE540"/>
    <mergeCell ref="AJ540:AK540"/>
    <mergeCell ref="AL540:AM540"/>
    <mergeCell ref="AN540:AO540"/>
    <mergeCell ref="A541:B541"/>
    <mergeCell ref="E541:F541"/>
    <mergeCell ref="G541:H541"/>
    <mergeCell ref="I541:J541"/>
    <mergeCell ref="O541:P541"/>
    <mergeCell ref="Q541:R541"/>
    <mergeCell ref="S541:T541"/>
    <mergeCell ref="V541:W541"/>
    <mergeCell ref="Z541:AA541"/>
    <mergeCell ref="AB541:AC541"/>
    <mergeCell ref="AD541:AE541"/>
    <mergeCell ref="AJ541:AK541"/>
    <mergeCell ref="AL541:AM541"/>
    <mergeCell ref="AN541:AO541"/>
    <mergeCell ref="A536:B536"/>
    <mergeCell ref="E536:F536"/>
    <mergeCell ref="G536:H536"/>
    <mergeCell ref="I536:J536"/>
    <mergeCell ref="O536:P536"/>
    <mergeCell ref="Q536:R536"/>
    <mergeCell ref="S536:T536"/>
    <mergeCell ref="V536:W536"/>
    <mergeCell ref="Z536:AA536"/>
    <mergeCell ref="AB536:AC536"/>
    <mergeCell ref="AD536:AE536"/>
    <mergeCell ref="AJ536:AK536"/>
    <mergeCell ref="AL536:AM536"/>
    <mergeCell ref="AN536:AO536"/>
    <mergeCell ref="A537:B537"/>
    <mergeCell ref="E537:F537"/>
    <mergeCell ref="G537:H537"/>
    <mergeCell ref="I537:J537"/>
    <mergeCell ref="O537:P537"/>
    <mergeCell ref="Q537:R537"/>
    <mergeCell ref="S537:T537"/>
    <mergeCell ref="V537:W537"/>
    <mergeCell ref="Z537:AA537"/>
    <mergeCell ref="AB537:AC537"/>
    <mergeCell ref="AD537:AE537"/>
    <mergeCell ref="AJ537:AK537"/>
    <mergeCell ref="AL537:AM537"/>
    <mergeCell ref="AN537:AO537"/>
    <mergeCell ref="A538:B538"/>
    <mergeCell ref="E538:F538"/>
    <mergeCell ref="G538:H538"/>
    <mergeCell ref="I538:J538"/>
    <mergeCell ref="O538:P538"/>
    <mergeCell ref="Q538:R538"/>
    <mergeCell ref="S538:T538"/>
    <mergeCell ref="V538:W538"/>
    <mergeCell ref="Z538:AA538"/>
    <mergeCell ref="AB538:AC538"/>
    <mergeCell ref="AD538:AE538"/>
    <mergeCell ref="AJ538:AK538"/>
    <mergeCell ref="AL538:AM538"/>
    <mergeCell ref="AN538:AO538"/>
    <mergeCell ref="A533:B533"/>
    <mergeCell ref="E533:F533"/>
    <mergeCell ref="G533:H533"/>
    <mergeCell ref="I533:J533"/>
    <mergeCell ref="O533:P533"/>
    <mergeCell ref="Q533:R533"/>
    <mergeCell ref="S533:T533"/>
    <mergeCell ref="V533:W533"/>
    <mergeCell ref="Z533:AA533"/>
    <mergeCell ref="AB533:AC533"/>
    <mergeCell ref="AD533:AE533"/>
    <mergeCell ref="AJ533:AK533"/>
    <mergeCell ref="AL533:AM533"/>
    <mergeCell ref="AN533:AO533"/>
    <mergeCell ref="A534:B534"/>
    <mergeCell ref="E534:F534"/>
    <mergeCell ref="G534:H534"/>
    <mergeCell ref="I534:J534"/>
    <mergeCell ref="O534:P534"/>
    <mergeCell ref="Q534:R534"/>
    <mergeCell ref="S534:T534"/>
    <mergeCell ref="V534:W534"/>
    <mergeCell ref="Z534:AA534"/>
    <mergeCell ref="AB534:AC534"/>
    <mergeCell ref="AD534:AE534"/>
    <mergeCell ref="AJ534:AK534"/>
    <mergeCell ref="AL534:AM534"/>
    <mergeCell ref="AN534:AO534"/>
    <mergeCell ref="A535:B535"/>
    <mergeCell ref="E535:F535"/>
    <mergeCell ref="G535:H535"/>
    <mergeCell ref="I535:J535"/>
    <mergeCell ref="O535:P535"/>
    <mergeCell ref="Q535:R535"/>
    <mergeCell ref="S535:T535"/>
    <mergeCell ref="V535:W535"/>
    <mergeCell ref="Z535:AA535"/>
    <mergeCell ref="AB535:AC535"/>
    <mergeCell ref="AD535:AE535"/>
    <mergeCell ref="AJ535:AK535"/>
    <mergeCell ref="AL535:AM535"/>
    <mergeCell ref="AN535:AO535"/>
    <mergeCell ref="A530:B530"/>
    <mergeCell ref="E530:F530"/>
    <mergeCell ref="G530:H530"/>
    <mergeCell ref="I530:J530"/>
    <mergeCell ref="O530:P530"/>
    <mergeCell ref="Q530:R530"/>
    <mergeCell ref="S530:T530"/>
    <mergeCell ref="V530:W530"/>
    <mergeCell ref="Z530:AA530"/>
    <mergeCell ref="AB530:AC530"/>
    <mergeCell ref="AD530:AE530"/>
    <mergeCell ref="AJ530:AK530"/>
    <mergeCell ref="AL530:AM530"/>
    <mergeCell ref="AN530:AO530"/>
    <mergeCell ref="A531:B531"/>
    <mergeCell ref="E531:F531"/>
    <mergeCell ref="G531:H531"/>
    <mergeCell ref="I531:J531"/>
    <mergeCell ref="O531:P531"/>
    <mergeCell ref="Q531:R531"/>
    <mergeCell ref="S531:T531"/>
    <mergeCell ref="V531:W531"/>
    <mergeCell ref="Z531:AA531"/>
    <mergeCell ref="AB531:AC531"/>
    <mergeCell ref="AD531:AE531"/>
    <mergeCell ref="AJ531:AK531"/>
    <mergeCell ref="AL531:AM531"/>
    <mergeCell ref="AN531:AO531"/>
    <mergeCell ref="A532:B532"/>
    <mergeCell ref="E532:F532"/>
    <mergeCell ref="G532:H532"/>
    <mergeCell ref="I532:J532"/>
    <mergeCell ref="O532:P532"/>
    <mergeCell ref="Q532:R532"/>
    <mergeCell ref="S532:T532"/>
    <mergeCell ref="V532:W532"/>
    <mergeCell ref="Z532:AA532"/>
    <mergeCell ref="AB532:AC532"/>
    <mergeCell ref="AD532:AE532"/>
    <mergeCell ref="AJ532:AK532"/>
    <mergeCell ref="AL532:AM532"/>
    <mergeCell ref="AN532:AO532"/>
    <mergeCell ref="A527:B527"/>
    <mergeCell ref="E527:F527"/>
    <mergeCell ref="G527:H527"/>
    <mergeCell ref="I527:J527"/>
    <mergeCell ref="O527:P527"/>
    <mergeCell ref="Q527:R527"/>
    <mergeCell ref="S527:T527"/>
    <mergeCell ref="V527:W527"/>
    <mergeCell ref="Z527:AA527"/>
    <mergeCell ref="AB527:AC527"/>
    <mergeCell ref="AD527:AE527"/>
    <mergeCell ref="AJ527:AK527"/>
    <mergeCell ref="AL527:AM527"/>
    <mergeCell ref="AN527:AO527"/>
    <mergeCell ref="A528:B528"/>
    <mergeCell ref="E528:F528"/>
    <mergeCell ref="G528:H528"/>
    <mergeCell ref="I528:J528"/>
    <mergeCell ref="O528:P528"/>
    <mergeCell ref="Q528:R528"/>
    <mergeCell ref="S528:T528"/>
    <mergeCell ref="V528:W528"/>
    <mergeCell ref="Z528:AA528"/>
    <mergeCell ref="AB528:AC528"/>
    <mergeCell ref="AD528:AE528"/>
    <mergeCell ref="AJ528:AK528"/>
    <mergeCell ref="AL528:AM528"/>
    <mergeCell ref="AN528:AO528"/>
    <mergeCell ref="A529:B529"/>
    <mergeCell ref="E529:F529"/>
    <mergeCell ref="G529:H529"/>
    <mergeCell ref="I529:J529"/>
    <mergeCell ref="O529:P529"/>
    <mergeCell ref="Q529:R529"/>
    <mergeCell ref="S529:T529"/>
    <mergeCell ref="V529:W529"/>
    <mergeCell ref="Z529:AA529"/>
    <mergeCell ref="AB529:AC529"/>
    <mergeCell ref="AD529:AE529"/>
    <mergeCell ref="AJ529:AK529"/>
    <mergeCell ref="AL529:AM529"/>
    <mergeCell ref="AN529:AO529"/>
    <mergeCell ref="A524:B524"/>
    <mergeCell ref="E524:F524"/>
    <mergeCell ref="G524:H524"/>
    <mergeCell ref="I524:J524"/>
    <mergeCell ref="O524:P524"/>
    <mergeCell ref="Q524:R524"/>
    <mergeCell ref="S524:T524"/>
    <mergeCell ref="V524:W524"/>
    <mergeCell ref="Z524:AA524"/>
    <mergeCell ref="AB524:AC524"/>
    <mergeCell ref="AD524:AE524"/>
    <mergeCell ref="AJ524:AK524"/>
    <mergeCell ref="AL524:AM524"/>
    <mergeCell ref="AN524:AO524"/>
    <mergeCell ref="A525:B525"/>
    <mergeCell ref="E525:F525"/>
    <mergeCell ref="G525:H525"/>
    <mergeCell ref="I525:J525"/>
    <mergeCell ref="O525:P525"/>
    <mergeCell ref="Q525:R525"/>
    <mergeCell ref="S525:T525"/>
    <mergeCell ref="V525:W525"/>
    <mergeCell ref="Z525:AA525"/>
    <mergeCell ref="AB525:AC525"/>
    <mergeCell ref="AD525:AE525"/>
    <mergeCell ref="AJ525:AK525"/>
    <mergeCell ref="AL525:AM525"/>
    <mergeCell ref="AN525:AO525"/>
    <mergeCell ref="A526:B526"/>
    <mergeCell ref="E526:F526"/>
    <mergeCell ref="G526:H526"/>
    <mergeCell ref="I526:J526"/>
    <mergeCell ref="O526:P526"/>
    <mergeCell ref="Q526:R526"/>
    <mergeCell ref="S526:T526"/>
    <mergeCell ref="V526:W526"/>
    <mergeCell ref="Z526:AA526"/>
    <mergeCell ref="AB526:AC526"/>
    <mergeCell ref="AD526:AE526"/>
    <mergeCell ref="AJ526:AK526"/>
    <mergeCell ref="AL526:AM526"/>
    <mergeCell ref="AN526:AO526"/>
    <mergeCell ref="A521:B521"/>
    <mergeCell ref="E521:F521"/>
    <mergeCell ref="G521:H521"/>
    <mergeCell ref="I521:J521"/>
    <mergeCell ref="O521:P521"/>
    <mergeCell ref="Q521:R521"/>
    <mergeCell ref="S521:T521"/>
    <mergeCell ref="V521:W521"/>
    <mergeCell ref="Z521:AA521"/>
    <mergeCell ref="AB521:AC521"/>
    <mergeCell ref="AD521:AE521"/>
    <mergeCell ref="AJ521:AK521"/>
    <mergeCell ref="AL521:AM521"/>
    <mergeCell ref="AN521:AO521"/>
    <mergeCell ref="A522:B522"/>
    <mergeCell ref="E522:F522"/>
    <mergeCell ref="G522:H522"/>
    <mergeCell ref="I522:J522"/>
    <mergeCell ref="O522:P522"/>
    <mergeCell ref="Q522:R522"/>
    <mergeCell ref="S522:T522"/>
    <mergeCell ref="V522:W522"/>
    <mergeCell ref="Z522:AA522"/>
    <mergeCell ref="AB522:AC522"/>
    <mergeCell ref="AD522:AE522"/>
    <mergeCell ref="AJ522:AK522"/>
    <mergeCell ref="AL522:AM522"/>
    <mergeCell ref="AN522:AO522"/>
    <mergeCell ref="A523:B523"/>
    <mergeCell ref="E523:F523"/>
    <mergeCell ref="G523:H523"/>
    <mergeCell ref="I523:J523"/>
    <mergeCell ref="O523:P523"/>
    <mergeCell ref="Q523:R523"/>
    <mergeCell ref="S523:T523"/>
    <mergeCell ref="V523:W523"/>
    <mergeCell ref="Z523:AA523"/>
    <mergeCell ref="AB523:AC523"/>
    <mergeCell ref="AD523:AE523"/>
    <mergeCell ref="AJ523:AK523"/>
    <mergeCell ref="AL523:AM523"/>
    <mergeCell ref="AN523:AO523"/>
    <mergeCell ref="A518:B518"/>
    <mergeCell ref="E518:F518"/>
    <mergeCell ref="G518:H518"/>
    <mergeCell ref="I518:J518"/>
    <mergeCell ref="O518:P518"/>
    <mergeCell ref="Q518:R518"/>
    <mergeCell ref="S518:T518"/>
    <mergeCell ref="V518:W518"/>
    <mergeCell ref="Z518:AA518"/>
    <mergeCell ref="AB518:AC518"/>
    <mergeCell ref="AD518:AE518"/>
    <mergeCell ref="AJ518:AK518"/>
    <mergeCell ref="AL518:AM518"/>
    <mergeCell ref="AN518:AO518"/>
    <mergeCell ref="A519:B519"/>
    <mergeCell ref="E519:F519"/>
    <mergeCell ref="G519:H519"/>
    <mergeCell ref="I519:J519"/>
    <mergeCell ref="O519:P519"/>
    <mergeCell ref="Q519:R519"/>
    <mergeCell ref="S519:T519"/>
    <mergeCell ref="V519:W519"/>
    <mergeCell ref="Z519:AA519"/>
    <mergeCell ref="AB519:AC519"/>
    <mergeCell ref="AD519:AE519"/>
    <mergeCell ref="AJ519:AK519"/>
    <mergeCell ref="AL519:AM519"/>
    <mergeCell ref="AN519:AO519"/>
    <mergeCell ref="A520:B520"/>
    <mergeCell ref="E520:F520"/>
    <mergeCell ref="G520:H520"/>
    <mergeCell ref="I520:J520"/>
    <mergeCell ref="O520:P520"/>
    <mergeCell ref="Q520:R520"/>
    <mergeCell ref="S520:T520"/>
    <mergeCell ref="V520:W520"/>
    <mergeCell ref="Z520:AA520"/>
    <mergeCell ref="AB520:AC520"/>
    <mergeCell ref="AD520:AE520"/>
    <mergeCell ref="AJ520:AK520"/>
    <mergeCell ref="AL520:AM520"/>
    <mergeCell ref="AN520:AO520"/>
    <mergeCell ref="S515:T515"/>
    <mergeCell ref="V515:W515"/>
    <mergeCell ref="AB515:AC515"/>
    <mergeCell ref="AD515:AE515"/>
    <mergeCell ref="AJ515:AK515"/>
    <mergeCell ref="AL515:AM515"/>
    <mergeCell ref="AN515:AO515"/>
    <mergeCell ref="AN504:AO504"/>
    <mergeCell ref="A505:U505"/>
    <mergeCell ref="V505:AO505"/>
    <mergeCell ref="A507:T507"/>
    <mergeCell ref="V507:AO507"/>
    <mergeCell ref="O511:P512"/>
    <mergeCell ref="Q511:R512"/>
    <mergeCell ref="S511:T512"/>
    <mergeCell ref="A509:B512"/>
    <mergeCell ref="C509:F510"/>
    <mergeCell ref="AB513:AC513"/>
    <mergeCell ref="AJ513:AK513"/>
    <mergeCell ref="AB514:AC514"/>
    <mergeCell ref="AD514:AE514"/>
    <mergeCell ref="AJ514:AK514"/>
    <mergeCell ref="Z515:AA515"/>
    <mergeCell ref="AL513:AM513"/>
    <mergeCell ref="G517:H517"/>
    <mergeCell ref="I517:J517"/>
    <mergeCell ref="O517:P517"/>
    <mergeCell ref="Q517:R517"/>
    <mergeCell ref="S517:T517"/>
    <mergeCell ref="V517:W517"/>
    <mergeCell ref="Z517:AA517"/>
    <mergeCell ref="AB517:AC517"/>
    <mergeCell ref="AD517:AE517"/>
    <mergeCell ref="AJ517:AK517"/>
    <mergeCell ref="AL517:AM517"/>
    <mergeCell ref="AN517:AO517"/>
    <mergeCell ref="A516:B516"/>
    <mergeCell ref="E516:F516"/>
    <mergeCell ref="G516:H516"/>
    <mergeCell ref="I516:J516"/>
    <mergeCell ref="O516:P516"/>
    <mergeCell ref="Q516:R516"/>
    <mergeCell ref="S516:T516"/>
    <mergeCell ref="V516:W516"/>
    <mergeCell ref="Z516:AA516"/>
    <mergeCell ref="AB516:AC516"/>
    <mergeCell ref="AD516:AE516"/>
    <mergeCell ref="AJ516:AK516"/>
    <mergeCell ref="AL516:AM516"/>
    <mergeCell ref="AN516:AO516"/>
    <mergeCell ref="A517:B517"/>
    <mergeCell ref="E517:F517"/>
    <mergeCell ref="AN513:AO513"/>
    <mergeCell ref="AG509:AG512"/>
    <mergeCell ref="AH509:AK510"/>
    <mergeCell ref="AL509:AM509"/>
    <mergeCell ref="AN509:AO509"/>
    <mergeCell ref="AI511:AI512"/>
    <mergeCell ref="AJ511:AK512"/>
    <mergeCell ref="AL511:AM512"/>
    <mergeCell ref="AN511:AO512"/>
    <mergeCell ref="AL510:AM510"/>
    <mergeCell ref="AN510:AO510"/>
    <mergeCell ref="AL514:AM514"/>
    <mergeCell ref="A501:B501"/>
    <mergeCell ref="E501:F501"/>
    <mergeCell ref="G501:H501"/>
    <mergeCell ref="I501:J501"/>
    <mergeCell ref="V501:W501"/>
    <mergeCell ref="Z501:AA501"/>
    <mergeCell ref="AB501:AC501"/>
    <mergeCell ref="AB502:AC502"/>
    <mergeCell ref="AD502:AE502"/>
    <mergeCell ref="A508:T508"/>
    <mergeCell ref="G510:H510"/>
    <mergeCell ref="Q510:R510"/>
    <mergeCell ref="S510:T510"/>
    <mergeCell ref="AB510:AC510"/>
    <mergeCell ref="E502:F502"/>
    <mergeCell ref="G502:H502"/>
    <mergeCell ref="I502:J502"/>
    <mergeCell ref="Z502:AA502"/>
    <mergeCell ref="Q509:R509"/>
    <mergeCell ref="S509:T509"/>
    <mergeCell ref="A514:B514"/>
    <mergeCell ref="E514:F514"/>
    <mergeCell ref="G514:H514"/>
    <mergeCell ref="I514:J514"/>
    <mergeCell ref="O514:P514"/>
    <mergeCell ref="Q514:R514"/>
    <mergeCell ref="S514:T514"/>
    <mergeCell ref="V514:W514"/>
    <mergeCell ref="Z514:AA514"/>
    <mergeCell ref="AD513:AE513"/>
    <mergeCell ref="Q513:R513"/>
    <mergeCell ref="S513:T513"/>
    <mergeCell ref="V513:W513"/>
    <mergeCell ref="Z513:AA513"/>
    <mergeCell ref="A513:B513"/>
    <mergeCell ref="E513:F513"/>
    <mergeCell ref="G513:H513"/>
    <mergeCell ref="O513:P513"/>
    <mergeCell ref="I513:J513"/>
    <mergeCell ref="V509:W512"/>
    <mergeCell ref="X509:AA510"/>
    <mergeCell ref="AB509:AC509"/>
    <mergeCell ref="AD509:AE510"/>
    <mergeCell ref="Y511:Y512"/>
    <mergeCell ref="Z511:AA512"/>
    <mergeCell ref="AB511:AC512"/>
    <mergeCell ref="AD511:AE511"/>
    <mergeCell ref="AD512:AE512"/>
    <mergeCell ref="L509:L512"/>
    <mergeCell ref="M509:P510"/>
    <mergeCell ref="N511:N512"/>
    <mergeCell ref="G509:H509"/>
    <mergeCell ref="I509:J510"/>
    <mergeCell ref="D511:D512"/>
    <mergeCell ref="E511:F512"/>
    <mergeCell ref="G511:H512"/>
    <mergeCell ref="I511:J511"/>
    <mergeCell ref="I512:J512"/>
    <mergeCell ref="AH496:AK496"/>
    <mergeCell ref="Z497:AA497"/>
    <mergeCell ref="AB497:AC497"/>
    <mergeCell ref="AD497:AE497"/>
    <mergeCell ref="A497:B497"/>
    <mergeCell ref="E497:F497"/>
    <mergeCell ref="G497:H497"/>
    <mergeCell ref="I497:J497"/>
    <mergeCell ref="V497:W497"/>
    <mergeCell ref="A498:B498"/>
    <mergeCell ref="E498:F498"/>
    <mergeCell ref="G498:H498"/>
    <mergeCell ref="I498:J498"/>
    <mergeCell ref="V498:W498"/>
    <mergeCell ref="Z498:AA498"/>
    <mergeCell ref="AB498:AC498"/>
    <mergeCell ref="AD498:AE498"/>
    <mergeCell ref="A499:B499"/>
    <mergeCell ref="E499:F499"/>
    <mergeCell ref="G499:H499"/>
    <mergeCell ref="I499:J499"/>
    <mergeCell ref="V499:W499"/>
    <mergeCell ref="Z499:AA499"/>
    <mergeCell ref="AB499:AC499"/>
    <mergeCell ref="AD499:AE499"/>
    <mergeCell ref="A500:B500"/>
    <mergeCell ref="E500:F500"/>
    <mergeCell ref="G500:H500"/>
    <mergeCell ref="I500:J500"/>
    <mergeCell ref="V500:W500"/>
    <mergeCell ref="Z500:AA500"/>
    <mergeCell ref="AB500:AC500"/>
    <mergeCell ref="AD500:AE500"/>
    <mergeCell ref="A493:B493"/>
    <mergeCell ref="E493:F493"/>
    <mergeCell ref="G493:H493"/>
    <mergeCell ref="I493:J493"/>
    <mergeCell ref="M493:P493"/>
    <mergeCell ref="V493:W493"/>
    <mergeCell ref="Z493:AA493"/>
    <mergeCell ref="AB493:AC493"/>
    <mergeCell ref="AD493:AE493"/>
    <mergeCell ref="A494:B494"/>
    <mergeCell ref="E494:F494"/>
    <mergeCell ref="G494:H494"/>
    <mergeCell ref="I494:J494"/>
    <mergeCell ref="M494:P494"/>
    <mergeCell ref="V494:W494"/>
    <mergeCell ref="Z494:AA494"/>
    <mergeCell ref="AB494:AC494"/>
    <mergeCell ref="AD494:AE494"/>
    <mergeCell ref="A495:B495"/>
    <mergeCell ref="E495:F495"/>
    <mergeCell ref="G495:H495"/>
    <mergeCell ref="I495:J495"/>
    <mergeCell ref="V495:W495"/>
    <mergeCell ref="Z495:AA495"/>
    <mergeCell ref="AB495:AC495"/>
    <mergeCell ref="AD495:AE495"/>
    <mergeCell ref="A496:B496"/>
    <mergeCell ref="E496:F496"/>
    <mergeCell ref="G496:H496"/>
    <mergeCell ref="I496:J496"/>
    <mergeCell ref="V496:W496"/>
    <mergeCell ref="Z496:AA496"/>
    <mergeCell ref="AB496:AC496"/>
    <mergeCell ref="AD496:AE496"/>
    <mergeCell ref="A488:B488"/>
    <mergeCell ref="E488:F488"/>
    <mergeCell ref="G488:H488"/>
    <mergeCell ref="I488:J488"/>
    <mergeCell ref="V488:W488"/>
    <mergeCell ref="Z488:AA488"/>
    <mergeCell ref="AB488:AC488"/>
    <mergeCell ref="AD488:AE488"/>
    <mergeCell ref="A489:B489"/>
    <mergeCell ref="E489:F489"/>
    <mergeCell ref="G489:H489"/>
    <mergeCell ref="I489:J489"/>
    <mergeCell ref="V489:W489"/>
    <mergeCell ref="Z489:AA489"/>
    <mergeCell ref="AB489:AC489"/>
    <mergeCell ref="AD489:AE489"/>
    <mergeCell ref="A490:B490"/>
    <mergeCell ref="E490:F490"/>
    <mergeCell ref="G490:H490"/>
    <mergeCell ref="I490:J490"/>
    <mergeCell ref="V490:W490"/>
    <mergeCell ref="Z490:AA490"/>
    <mergeCell ref="AB490:AC490"/>
    <mergeCell ref="AD490:AE490"/>
    <mergeCell ref="A491:B491"/>
    <mergeCell ref="E491:F491"/>
    <mergeCell ref="G491:H491"/>
    <mergeCell ref="I491:J491"/>
    <mergeCell ref="A492:B492"/>
    <mergeCell ref="E492:F492"/>
    <mergeCell ref="G492:H492"/>
    <mergeCell ref="I492:J492"/>
    <mergeCell ref="AB492:AC492"/>
    <mergeCell ref="AD492:AE492"/>
    <mergeCell ref="A485:B485"/>
    <mergeCell ref="E485:F485"/>
    <mergeCell ref="G485:H485"/>
    <mergeCell ref="I485:J485"/>
    <mergeCell ref="O485:P485"/>
    <mergeCell ref="Q485:R485"/>
    <mergeCell ref="S485:T485"/>
    <mergeCell ref="V485:W485"/>
    <mergeCell ref="Z485:AA485"/>
    <mergeCell ref="AB485:AC485"/>
    <mergeCell ref="AD485:AE485"/>
    <mergeCell ref="AJ485:AK485"/>
    <mergeCell ref="AL485:AM485"/>
    <mergeCell ref="AN485:AO485"/>
    <mergeCell ref="A486:B486"/>
    <mergeCell ref="E486:F486"/>
    <mergeCell ref="G486:H486"/>
    <mergeCell ref="I486:J486"/>
    <mergeCell ref="O486:P486"/>
    <mergeCell ref="Q486:R486"/>
    <mergeCell ref="S486:T486"/>
    <mergeCell ref="V486:W486"/>
    <mergeCell ref="Z486:AA486"/>
    <mergeCell ref="AB486:AC486"/>
    <mergeCell ref="AD486:AE486"/>
    <mergeCell ref="AJ486:AK486"/>
    <mergeCell ref="AL486:AM486"/>
    <mergeCell ref="AN486:AO486"/>
    <mergeCell ref="A487:B487"/>
    <mergeCell ref="E487:F487"/>
    <mergeCell ref="G487:H487"/>
    <mergeCell ref="I487:J487"/>
    <mergeCell ref="V487:W487"/>
    <mergeCell ref="Z487:AA487"/>
    <mergeCell ref="AB487:AC487"/>
    <mergeCell ref="AD487:AE487"/>
    <mergeCell ref="A482:B482"/>
    <mergeCell ref="E482:F482"/>
    <mergeCell ref="G482:H482"/>
    <mergeCell ref="I482:J482"/>
    <mergeCell ref="O482:P482"/>
    <mergeCell ref="Q482:R482"/>
    <mergeCell ref="S482:T482"/>
    <mergeCell ref="V482:W482"/>
    <mergeCell ref="Z482:AA482"/>
    <mergeCell ref="AB482:AC482"/>
    <mergeCell ref="AD482:AE482"/>
    <mergeCell ref="AJ482:AK482"/>
    <mergeCell ref="AL482:AM482"/>
    <mergeCell ref="AN482:AO482"/>
    <mergeCell ref="A483:B483"/>
    <mergeCell ref="E483:F483"/>
    <mergeCell ref="G483:H483"/>
    <mergeCell ref="I483:J483"/>
    <mergeCell ref="O483:P483"/>
    <mergeCell ref="Q483:R483"/>
    <mergeCell ref="S483:T483"/>
    <mergeCell ref="V483:W483"/>
    <mergeCell ref="Z483:AA483"/>
    <mergeCell ref="AB483:AC483"/>
    <mergeCell ref="AD483:AE483"/>
    <mergeCell ref="AJ483:AK483"/>
    <mergeCell ref="AL483:AM483"/>
    <mergeCell ref="AN483:AO483"/>
    <mergeCell ref="A484:B484"/>
    <mergeCell ref="E484:F484"/>
    <mergeCell ref="G484:H484"/>
    <mergeCell ref="I484:J484"/>
    <mergeCell ref="O484:P484"/>
    <mergeCell ref="Q484:R484"/>
    <mergeCell ref="S484:T484"/>
    <mergeCell ref="V484:W484"/>
    <mergeCell ref="Z484:AA484"/>
    <mergeCell ref="AB484:AC484"/>
    <mergeCell ref="AD484:AE484"/>
    <mergeCell ref="AJ484:AK484"/>
    <mergeCell ref="AL484:AM484"/>
    <mergeCell ref="AN484:AO484"/>
    <mergeCell ref="A479:B479"/>
    <mergeCell ref="E479:F479"/>
    <mergeCell ref="G479:H479"/>
    <mergeCell ref="I479:J479"/>
    <mergeCell ref="O479:P479"/>
    <mergeCell ref="Q479:R479"/>
    <mergeCell ref="S479:T479"/>
    <mergeCell ref="V479:W479"/>
    <mergeCell ref="Z479:AA479"/>
    <mergeCell ref="AB479:AC479"/>
    <mergeCell ref="AD479:AE479"/>
    <mergeCell ref="AJ479:AK479"/>
    <mergeCell ref="AL479:AM479"/>
    <mergeCell ref="AN479:AO479"/>
    <mergeCell ref="A480:B480"/>
    <mergeCell ref="E480:F480"/>
    <mergeCell ref="G480:H480"/>
    <mergeCell ref="I480:J480"/>
    <mergeCell ref="O480:P480"/>
    <mergeCell ref="Q480:R480"/>
    <mergeCell ref="S480:T480"/>
    <mergeCell ref="V480:W480"/>
    <mergeCell ref="Z480:AA480"/>
    <mergeCell ref="AB480:AC480"/>
    <mergeCell ref="AD480:AE480"/>
    <mergeCell ref="AJ480:AK480"/>
    <mergeCell ref="AL480:AM480"/>
    <mergeCell ref="AN480:AO480"/>
    <mergeCell ref="A481:B481"/>
    <mergeCell ref="E481:F481"/>
    <mergeCell ref="G481:H481"/>
    <mergeCell ref="I481:J481"/>
    <mergeCell ref="O481:P481"/>
    <mergeCell ref="Q481:R481"/>
    <mergeCell ref="S481:T481"/>
    <mergeCell ref="V481:W481"/>
    <mergeCell ref="Z481:AA481"/>
    <mergeCell ref="AB481:AC481"/>
    <mergeCell ref="AD481:AE481"/>
    <mergeCell ref="AJ481:AK481"/>
    <mergeCell ref="AL481:AM481"/>
    <mergeCell ref="AN481:AO481"/>
    <mergeCell ref="A476:B476"/>
    <mergeCell ref="E476:F476"/>
    <mergeCell ref="G476:H476"/>
    <mergeCell ref="I476:J476"/>
    <mergeCell ref="O476:P476"/>
    <mergeCell ref="Q476:R476"/>
    <mergeCell ref="S476:T476"/>
    <mergeCell ref="V476:W476"/>
    <mergeCell ref="Z476:AA476"/>
    <mergeCell ref="AB476:AC476"/>
    <mergeCell ref="AD476:AE476"/>
    <mergeCell ref="AJ476:AK476"/>
    <mergeCell ref="AL476:AM476"/>
    <mergeCell ref="AN476:AO476"/>
    <mergeCell ref="A477:B477"/>
    <mergeCell ref="E477:F477"/>
    <mergeCell ref="G477:H477"/>
    <mergeCell ref="I477:J477"/>
    <mergeCell ref="O477:P477"/>
    <mergeCell ref="Q477:R477"/>
    <mergeCell ref="S477:T477"/>
    <mergeCell ref="V477:W477"/>
    <mergeCell ref="Z477:AA477"/>
    <mergeCell ref="AB477:AC477"/>
    <mergeCell ref="AD477:AE477"/>
    <mergeCell ref="AJ477:AK477"/>
    <mergeCell ref="AL477:AM477"/>
    <mergeCell ref="AN477:AO477"/>
    <mergeCell ref="A478:B478"/>
    <mergeCell ref="E478:F478"/>
    <mergeCell ref="G478:H478"/>
    <mergeCell ref="I478:J478"/>
    <mergeCell ref="O478:P478"/>
    <mergeCell ref="Q478:R478"/>
    <mergeCell ref="S478:T478"/>
    <mergeCell ref="V478:W478"/>
    <mergeCell ref="Z478:AA478"/>
    <mergeCell ref="AB478:AC478"/>
    <mergeCell ref="AD478:AE478"/>
    <mergeCell ref="AJ478:AK478"/>
    <mergeCell ref="AL478:AM478"/>
    <mergeCell ref="AN478:AO478"/>
    <mergeCell ref="A473:B473"/>
    <mergeCell ref="E473:F473"/>
    <mergeCell ref="G473:H473"/>
    <mergeCell ref="I473:J473"/>
    <mergeCell ref="O473:P473"/>
    <mergeCell ref="Q473:R473"/>
    <mergeCell ref="S473:T473"/>
    <mergeCell ref="V473:W473"/>
    <mergeCell ref="Z473:AA473"/>
    <mergeCell ref="AB473:AC473"/>
    <mergeCell ref="AD473:AE473"/>
    <mergeCell ref="AJ473:AK473"/>
    <mergeCell ref="AL473:AM473"/>
    <mergeCell ref="AN473:AO473"/>
    <mergeCell ref="A474:B474"/>
    <mergeCell ref="E474:F474"/>
    <mergeCell ref="G474:H474"/>
    <mergeCell ref="I474:J474"/>
    <mergeCell ref="O474:P474"/>
    <mergeCell ref="Q474:R474"/>
    <mergeCell ref="S474:T474"/>
    <mergeCell ref="V474:W474"/>
    <mergeCell ref="Z474:AA474"/>
    <mergeCell ref="AB474:AC474"/>
    <mergeCell ref="AD474:AE474"/>
    <mergeCell ref="AJ474:AK474"/>
    <mergeCell ref="AL474:AM474"/>
    <mergeCell ref="AN474:AO474"/>
    <mergeCell ref="A475:B475"/>
    <mergeCell ref="E475:F475"/>
    <mergeCell ref="G475:H475"/>
    <mergeCell ref="I475:J475"/>
    <mergeCell ref="O475:P475"/>
    <mergeCell ref="Q475:R475"/>
    <mergeCell ref="S475:T475"/>
    <mergeCell ref="V475:W475"/>
    <mergeCell ref="Z475:AA475"/>
    <mergeCell ref="AB475:AC475"/>
    <mergeCell ref="AD475:AE475"/>
    <mergeCell ref="AJ475:AK475"/>
    <mergeCell ref="AL475:AM475"/>
    <mergeCell ref="AN475:AO475"/>
    <mergeCell ref="A470:B470"/>
    <mergeCell ref="E470:F470"/>
    <mergeCell ref="G470:H470"/>
    <mergeCell ref="I470:J470"/>
    <mergeCell ref="O470:P470"/>
    <mergeCell ref="Q470:R470"/>
    <mergeCell ref="S470:T470"/>
    <mergeCell ref="V470:W470"/>
    <mergeCell ref="Z470:AA470"/>
    <mergeCell ref="AB470:AC470"/>
    <mergeCell ref="AD470:AE470"/>
    <mergeCell ref="AJ470:AK470"/>
    <mergeCell ref="AL470:AM470"/>
    <mergeCell ref="AN470:AO470"/>
    <mergeCell ref="A471:B471"/>
    <mergeCell ref="E471:F471"/>
    <mergeCell ref="G471:H471"/>
    <mergeCell ref="I471:J471"/>
    <mergeCell ref="O471:P471"/>
    <mergeCell ref="Q471:R471"/>
    <mergeCell ref="S471:T471"/>
    <mergeCell ref="V471:W471"/>
    <mergeCell ref="Z471:AA471"/>
    <mergeCell ref="AB471:AC471"/>
    <mergeCell ref="AD471:AE471"/>
    <mergeCell ref="AJ471:AK471"/>
    <mergeCell ref="AL471:AM471"/>
    <mergeCell ref="AN471:AO471"/>
    <mergeCell ref="A472:B472"/>
    <mergeCell ref="E472:F472"/>
    <mergeCell ref="G472:H472"/>
    <mergeCell ref="I472:J472"/>
    <mergeCell ref="O472:P472"/>
    <mergeCell ref="Q472:R472"/>
    <mergeCell ref="S472:T472"/>
    <mergeCell ref="V472:W472"/>
    <mergeCell ref="Z472:AA472"/>
    <mergeCell ref="AB472:AC472"/>
    <mergeCell ref="AD472:AE472"/>
    <mergeCell ref="AJ472:AK472"/>
    <mergeCell ref="AL472:AM472"/>
    <mergeCell ref="AN472:AO472"/>
    <mergeCell ref="A467:B467"/>
    <mergeCell ref="E467:F467"/>
    <mergeCell ref="G467:H467"/>
    <mergeCell ref="I467:J467"/>
    <mergeCell ref="O467:P467"/>
    <mergeCell ref="Q467:R467"/>
    <mergeCell ref="S467:T467"/>
    <mergeCell ref="V467:W467"/>
    <mergeCell ref="Z467:AA467"/>
    <mergeCell ref="AB467:AC467"/>
    <mergeCell ref="AD467:AE467"/>
    <mergeCell ref="AJ467:AK467"/>
    <mergeCell ref="AL467:AM467"/>
    <mergeCell ref="AN467:AO467"/>
    <mergeCell ref="A468:B468"/>
    <mergeCell ref="E468:F468"/>
    <mergeCell ref="G468:H468"/>
    <mergeCell ref="I468:J468"/>
    <mergeCell ref="O468:P468"/>
    <mergeCell ref="Q468:R468"/>
    <mergeCell ref="S468:T468"/>
    <mergeCell ref="V468:W468"/>
    <mergeCell ref="Z468:AA468"/>
    <mergeCell ref="AB468:AC468"/>
    <mergeCell ref="AD468:AE468"/>
    <mergeCell ref="AJ468:AK468"/>
    <mergeCell ref="AL468:AM468"/>
    <mergeCell ref="AN468:AO468"/>
    <mergeCell ref="A469:B469"/>
    <mergeCell ref="E469:F469"/>
    <mergeCell ref="G469:H469"/>
    <mergeCell ref="I469:J469"/>
    <mergeCell ref="O469:P469"/>
    <mergeCell ref="Q469:R469"/>
    <mergeCell ref="S469:T469"/>
    <mergeCell ref="V469:W469"/>
    <mergeCell ref="Z469:AA469"/>
    <mergeCell ref="AB469:AC469"/>
    <mergeCell ref="AD469:AE469"/>
    <mergeCell ref="AJ469:AK469"/>
    <mergeCell ref="AL469:AM469"/>
    <mergeCell ref="AN469:AO469"/>
    <mergeCell ref="A464:B464"/>
    <mergeCell ref="E464:F464"/>
    <mergeCell ref="G464:H464"/>
    <mergeCell ref="I464:J464"/>
    <mergeCell ref="O464:P464"/>
    <mergeCell ref="Q464:R464"/>
    <mergeCell ref="S464:T464"/>
    <mergeCell ref="V464:W464"/>
    <mergeCell ref="Z464:AA464"/>
    <mergeCell ref="AB464:AC464"/>
    <mergeCell ref="AD464:AE464"/>
    <mergeCell ref="AJ464:AK464"/>
    <mergeCell ref="AL464:AM464"/>
    <mergeCell ref="AN464:AO464"/>
    <mergeCell ref="A465:B465"/>
    <mergeCell ref="E465:F465"/>
    <mergeCell ref="G465:H465"/>
    <mergeCell ref="I465:J465"/>
    <mergeCell ref="O465:P465"/>
    <mergeCell ref="Q465:R465"/>
    <mergeCell ref="S465:T465"/>
    <mergeCell ref="V465:W465"/>
    <mergeCell ref="Z465:AA465"/>
    <mergeCell ref="AB465:AC465"/>
    <mergeCell ref="AD465:AE465"/>
    <mergeCell ref="AJ465:AK465"/>
    <mergeCell ref="AL465:AM465"/>
    <mergeCell ref="AN465:AO465"/>
    <mergeCell ref="A466:B466"/>
    <mergeCell ref="E466:F466"/>
    <mergeCell ref="G466:H466"/>
    <mergeCell ref="I466:J466"/>
    <mergeCell ref="O466:P466"/>
    <mergeCell ref="Q466:R466"/>
    <mergeCell ref="S466:T466"/>
    <mergeCell ref="V466:W466"/>
    <mergeCell ref="Z466:AA466"/>
    <mergeCell ref="AB466:AC466"/>
    <mergeCell ref="AD466:AE466"/>
    <mergeCell ref="AJ466:AK466"/>
    <mergeCell ref="AL466:AM466"/>
    <mergeCell ref="AN466:AO466"/>
    <mergeCell ref="G461:H461"/>
    <mergeCell ref="I461:J461"/>
    <mergeCell ref="O461:P461"/>
    <mergeCell ref="Q461:R461"/>
    <mergeCell ref="S461:T461"/>
    <mergeCell ref="V461:W461"/>
    <mergeCell ref="Z461:AA461"/>
    <mergeCell ref="AB461:AC461"/>
    <mergeCell ref="AD461:AE461"/>
    <mergeCell ref="AJ461:AK461"/>
    <mergeCell ref="AL461:AM461"/>
    <mergeCell ref="AN461:AO461"/>
    <mergeCell ref="A462:B462"/>
    <mergeCell ref="E462:F462"/>
    <mergeCell ref="G462:H462"/>
    <mergeCell ref="I462:J462"/>
    <mergeCell ref="O462:P462"/>
    <mergeCell ref="Q462:R462"/>
    <mergeCell ref="S462:T462"/>
    <mergeCell ref="V462:W462"/>
    <mergeCell ref="Z462:AA462"/>
    <mergeCell ref="AB462:AC462"/>
    <mergeCell ref="AD462:AE462"/>
    <mergeCell ref="AJ462:AK462"/>
    <mergeCell ref="AL462:AM462"/>
    <mergeCell ref="AN462:AO462"/>
    <mergeCell ref="A463:B463"/>
    <mergeCell ref="E463:F463"/>
    <mergeCell ref="G463:H463"/>
    <mergeCell ref="I463:J463"/>
    <mergeCell ref="O463:P463"/>
    <mergeCell ref="Q463:R463"/>
    <mergeCell ref="S463:T463"/>
    <mergeCell ref="V463:W463"/>
    <mergeCell ref="Z463:AA463"/>
    <mergeCell ref="AB463:AC463"/>
    <mergeCell ref="AD463:AE463"/>
    <mergeCell ref="AJ463:AK463"/>
    <mergeCell ref="AL463:AM463"/>
    <mergeCell ref="AN463:AO463"/>
    <mergeCell ref="A444:B444"/>
    <mergeCell ref="E444:F444"/>
    <mergeCell ref="G444:H444"/>
    <mergeCell ref="I444:J444"/>
    <mergeCell ref="V444:W444"/>
    <mergeCell ref="V442:W442"/>
    <mergeCell ref="AB444:AC444"/>
    <mergeCell ref="G443:H443"/>
    <mergeCell ref="I443:J443"/>
    <mergeCell ref="V445:W445"/>
    <mergeCell ref="Z444:AA444"/>
    <mergeCell ref="Z445:AA445"/>
    <mergeCell ref="V443:W443"/>
    <mergeCell ref="Z443:AA443"/>
    <mergeCell ref="AB445:AC445"/>
    <mergeCell ref="AB443:AC443"/>
    <mergeCell ref="AD445:AE445"/>
    <mergeCell ref="AN448:AO448"/>
    <mergeCell ref="G454:H454"/>
    <mergeCell ref="AL454:AM454"/>
    <mergeCell ref="A449:U449"/>
    <mergeCell ref="V449:AO449"/>
    <mergeCell ref="A451:T451"/>
    <mergeCell ref="I457:J457"/>
    <mergeCell ref="Q454:R454"/>
    <mergeCell ref="S454:T454"/>
    <mergeCell ref="AB454:AC454"/>
    <mergeCell ref="AD456:AE456"/>
    <mergeCell ref="AD457:AE457"/>
    <mergeCell ref="Q455:R456"/>
    <mergeCell ref="S455:T456"/>
    <mergeCell ref="Y455:Y456"/>
    <mergeCell ref="Z455:AA456"/>
    <mergeCell ref="G446:H446"/>
    <mergeCell ref="I446:J446"/>
    <mergeCell ref="I455:J455"/>
    <mergeCell ref="I456:J456"/>
    <mergeCell ref="V451:AO451"/>
    <mergeCell ref="S453:T453"/>
    <mergeCell ref="N455:N456"/>
    <mergeCell ref="O455:P456"/>
    <mergeCell ref="A453:B456"/>
    <mergeCell ref="C453:F454"/>
    <mergeCell ref="G453:H453"/>
    <mergeCell ref="I453:J454"/>
    <mergeCell ref="D455:D456"/>
    <mergeCell ref="E455:F456"/>
    <mergeCell ref="G455:H456"/>
    <mergeCell ref="S448:T448"/>
    <mergeCell ref="AD443:AE443"/>
    <mergeCell ref="AD444:AE444"/>
    <mergeCell ref="Z446:AA446"/>
    <mergeCell ref="AB446:AC446"/>
    <mergeCell ref="AD446:AE446"/>
    <mergeCell ref="A457:B457"/>
    <mergeCell ref="E457:F457"/>
    <mergeCell ref="G457:H457"/>
    <mergeCell ref="O457:P457"/>
    <mergeCell ref="AG453:AG456"/>
    <mergeCell ref="AH453:AK454"/>
    <mergeCell ref="V453:W456"/>
    <mergeCell ref="X453:AA454"/>
    <mergeCell ref="AB453:AC453"/>
    <mergeCell ref="AD453:AE454"/>
    <mergeCell ref="A437:B437"/>
    <mergeCell ref="E437:F437"/>
    <mergeCell ref="G437:H437"/>
    <mergeCell ref="I437:J437"/>
    <mergeCell ref="M437:P437"/>
    <mergeCell ref="I439:J439"/>
    <mergeCell ref="V439:W439"/>
    <mergeCell ref="Z439:AA439"/>
    <mergeCell ref="AD437:AE437"/>
    <mergeCell ref="A438:B438"/>
    <mergeCell ref="E438:F438"/>
    <mergeCell ref="G438:H438"/>
    <mergeCell ref="I438:J438"/>
    <mergeCell ref="M438:P438"/>
    <mergeCell ref="V438:W438"/>
    <mergeCell ref="AB439:AC439"/>
    <mergeCell ref="AD439:AE439"/>
    <mergeCell ref="A440:B440"/>
    <mergeCell ref="E440:F440"/>
    <mergeCell ref="G440:H440"/>
    <mergeCell ref="I440:J440"/>
    <mergeCell ref="V440:W440"/>
    <mergeCell ref="Z440:AA440"/>
    <mergeCell ref="AB440:AC440"/>
    <mergeCell ref="AD440:AE440"/>
    <mergeCell ref="AH440:AK440"/>
    <mergeCell ref="AD441:AE441"/>
    <mergeCell ref="A441:B441"/>
    <mergeCell ref="E441:F441"/>
    <mergeCell ref="G441:H441"/>
    <mergeCell ref="I441:J441"/>
    <mergeCell ref="V441:W441"/>
    <mergeCell ref="Z442:AA442"/>
    <mergeCell ref="Z441:AA441"/>
    <mergeCell ref="AB441:AC441"/>
    <mergeCell ref="A442:B442"/>
    <mergeCell ref="E442:F442"/>
    <mergeCell ref="G442:H442"/>
    <mergeCell ref="I442:J442"/>
    <mergeCell ref="AB442:AC442"/>
    <mergeCell ref="AD442:AE442"/>
    <mergeCell ref="AH438:AK438"/>
    <mergeCell ref="Z438:AA438"/>
    <mergeCell ref="AB438:AC438"/>
    <mergeCell ref="AD438:AE438"/>
    <mergeCell ref="AH439:AK439"/>
    <mergeCell ref="V437:W437"/>
    <mergeCell ref="Z437:AA437"/>
    <mergeCell ref="AB437:AC437"/>
    <mergeCell ref="A431:B431"/>
    <mergeCell ref="E431:F431"/>
    <mergeCell ref="G431:H431"/>
    <mergeCell ref="I431:J431"/>
    <mergeCell ref="V431:W431"/>
    <mergeCell ref="Z431:AA431"/>
    <mergeCell ref="AB431:AC431"/>
    <mergeCell ref="AD431:AE431"/>
    <mergeCell ref="A432:B432"/>
    <mergeCell ref="E432:F432"/>
    <mergeCell ref="G432:H432"/>
    <mergeCell ref="I432:J432"/>
    <mergeCell ref="V432:W432"/>
    <mergeCell ref="Z432:AA432"/>
    <mergeCell ref="AB432:AC432"/>
    <mergeCell ref="AD432:AE432"/>
    <mergeCell ref="A433:B433"/>
    <mergeCell ref="E433:F433"/>
    <mergeCell ref="G433:H433"/>
    <mergeCell ref="I433:J433"/>
    <mergeCell ref="V433:W433"/>
    <mergeCell ref="Z433:AA433"/>
    <mergeCell ref="AB433:AC433"/>
    <mergeCell ref="I436:J436"/>
    <mergeCell ref="AD433:AE433"/>
    <mergeCell ref="A434:B434"/>
    <mergeCell ref="E434:F434"/>
    <mergeCell ref="G434:H434"/>
    <mergeCell ref="I434:J434"/>
    <mergeCell ref="V434:W434"/>
    <mergeCell ref="Z434:AA434"/>
    <mergeCell ref="AB434:AC434"/>
    <mergeCell ref="AD434:AE434"/>
    <mergeCell ref="A435:B435"/>
    <mergeCell ref="E435:F435"/>
    <mergeCell ref="G435:H435"/>
    <mergeCell ref="I435:J435"/>
    <mergeCell ref="A436:B436"/>
    <mergeCell ref="E436:F436"/>
    <mergeCell ref="G436:H436"/>
    <mergeCell ref="V435:W435"/>
    <mergeCell ref="Z435:AA435"/>
    <mergeCell ref="AB435:AC435"/>
    <mergeCell ref="AD435:AE435"/>
    <mergeCell ref="V436:W436"/>
    <mergeCell ref="Z436:AA436"/>
    <mergeCell ref="AB436:AC436"/>
    <mergeCell ref="AD436:AE436"/>
    <mergeCell ref="A428:B428"/>
    <mergeCell ref="E428:F428"/>
    <mergeCell ref="G428:H428"/>
    <mergeCell ref="I428:J428"/>
    <mergeCell ref="O428:P428"/>
    <mergeCell ref="Q428:R428"/>
    <mergeCell ref="S428:T428"/>
    <mergeCell ref="V428:W428"/>
    <mergeCell ref="Z428:AA428"/>
    <mergeCell ref="AB428:AC428"/>
    <mergeCell ref="AD428:AE428"/>
    <mergeCell ref="AJ428:AK428"/>
    <mergeCell ref="AL428:AM428"/>
    <mergeCell ref="AN428:AO428"/>
    <mergeCell ref="A429:B429"/>
    <mergeCell ref="E429:F429"/>
    <mergeCell ref="G429:H429"/>
    <mergeCell ref="I429:J429"/>
    <mergeCell ref="O429:P429"/>
    <mergeCell ref="Q429:R429"/>
    <mergeCell ref="S429:T429"/>
    <mergeCell ref="V429:W429"/>
    <mergeCell ref="Z429:AA429"/>
    <mergeCell ref="AB429:AC429"/>
    <mergeCell ref="AD429:AE429"/>
    <mergeCell ref="AJ429:AK429"/>
    <mergeCell ref="AL429:AM429"/>
    <mergeCell ref="AN429:AO429"/>
    <mergeCell ref="A430:B430"/>
    <mergeCell ref="E430:F430"/>
    <mergeCell ref="G430:H430"/>
    <mergeCell ref="I430:J430"/>
    <mergeCell ref="O430:P430"/>
    <mergeCell ref="Q430:R430"/>
    <mergeCell ref="S430:T430"/>
    <mergeCell ref="V430:W430"/>
    <mergeCell ref="Z430:AA430"/>
    <mergeCell ref="AB430:AC430"/>
    <mergeCell ref="AD430:AE430"/>
    <mergeCell ref="AJ430:AK430"/>
    <mergeCell ref="AL430:AM430"/>
    <mergeCell ref="AN430:AO430"/>
    <mergeCell ref="A425:B425"/>
    <mergeCell ref="E425:F425"/>
    <mergeCell ref="G425:H425"/>
    <mergeCell ref="I425:J425"/>
    <mergeCell ref="O425:P425"/>
    <mergeCell ref="Q425:R425"/>
    <mergeCell ref="S425:T425"/>
    <mergeCell ref="V425:W425"/>
    <mergeCell ref="Z425:AA425"/>
    <mergeCell ref="AB425:AC425"/>
    <mergeCell ref="AD425:AE425"/>
    <mergeCell ref="AJ425:AK425"/>
    <mergeCell ref="AL425:AM425"/>
    <mergeCell ref="AN425:AO425"/>
    <mergeCell ref="A426:B426"/>
    <mergeCell ref="E426:F426"/>
    <mergeCell ref="G426:H426"/>
    <mergeCell ref="I426:J426"/>
    <mergeCell ref="O426:P426"/>
    <mergeCell ref="Q426:R426"/>
    <mergeCell ref="S426:T426"/>
    <mergeCell ref="V426:W426"/>
    <mergeCell ref="Z426:AA426"/>
    <mergeCell ref="AB426:AC426"/>
    <mergeCell ref="AD426:AE426"/>
    <mergeCell ref="AJ426:AK426"/>
    <mergeCell ref="AL426:AM426"/>
    <mergeCell ref="AN426:AO426"/>
    <mergeCell ref="A427:B427"/>
    <mergeCell ref="E427:F427"/>
    <mergeCell ref="G427:H427"/>
    <mergeCell ref="I427:J427"/>
    <mergeCell ref="O427:P427"/>
    <mergeCell ref="Q427:R427"/>
    <mergeCell ref="S427:T427"/>
    <mergeCell ref="V427:W427"/>
    <mergeCell ref="Z427:AA427"/>
    <mergeCell ref="AB427:AC427"/>
    <mergeCell ref="AD427:AE427"/>
    <mergeCell ref="AJ427:AK427"/>
    <mergeCell ref="AL427:AM427"/>
    <mergeCell ref="AN427:AO427"/>
    <mergeCell ref="A422:B422"/>
    <mergeCell ref="E422:F422"/>
    <mergeCell ref="G422:H422"/>
    <mergeCell ref="I422:J422"/>
    <mergeCell ref="O422:P422"/>
    <mergeCell ref="Q422:R422"/>
    <mergeCell ref="S422:T422"/>
    <mergeCell ref="V422:W422"/>
    <mergeCell ref="Z422:AA422"/>
    <mergeCell ref="AB422:AC422"/>
    <mergeCell ref="AD422:AE422"/>
    <mergeCell ref="AJ422:AK422"/>
    <mergeCell ref="AL422:AM422"/>
    <mergeCell ref="AN422:AO422"/>
    <mergeCell ref="A423:B423"/>
    <mergeCell ref="E423:F423"/>
    <mergeCell ref="G423:H423"/>
    <mergeCell ref="I423:J423"/>
    <mergeCell ref="O423:P423"/>
    <mergeCell ref="Q423:R423"/>
    <mergeCell ref="S423:T423"/>
    <mergeCell ref="V423:W423"/>
    <mergeCell ref="Z423:AA423"/>
    <mergeCell ref="AB423:AC423"/>
    <mergeCell ref="AD423:AE423"/>
    <mergeCell ref="AJ423:AK423"/>
    <mergeCell ref="AL423:AM423"/>
    <mergeCell ref="AN423:AO423"/>
    <mergeCell ref="A424:B424"/>
    <mergeCell ref="E424:F424"/>
    <mergeCell ref="G424:H424"/>
    <mergeCell ref="I424:J424"/>
    <mergeCell ref="O424:P424"/>
    <mergeCell ref="Q424:R424"/>
    <mergeCell ref="S424:T424"/>
    <mergeCell ref="V424:W424"/>
    <mergeCell ref="Z424:AA424"/>
    <mergeCell ref="AB424:AC424"/>
    <mergeCell ref="AD424:AE424"/>
    <mergeCell ref="AJ424:AK424"/>
    <mergeCell ref="AL424:AM424"/>
    <mergeCell ref="AN424:AO424"/>
    <mergeCell ref="A419:B419"/>
    <mergeCell ref="E419:F419"/>
    <mergeCell ref="G419:H419"/>
    <mergeCell ref="I419:J419"/>
    <mergeCell ref="O419:P419"/>
    <mergeCell ref="Q419:R419"/>
    <mergeCell ref="S419:T419"/>
    <mergeCell ref="V419:W419"/>
    <mergeCell ref="Z419:AA419"/>
    <mergeCell ref="AB419:AC419"/>
    <mergeCell ref="AD419:AE419"/>
    <mergeCell ref="AJ419:AK419"/>
    <mergeCell ref="AL419:AM419"/>
    <mergeCell ref="AN419:AO419"/>
    <mergeCell ref="A420:B420"/>
    <mergeCell ref="E420:F420"/>
    <mergeCell ref="G420:H420"/>
    <mergeCell ref="I420:J420"/>
    <mergeCell ref="O420:P420"/>
    <mergeCell ref="Q420:R420"/>
    <mergeCell ref="S420:T420"/>
    <mergeCell ref="V420:W420"/>
    <mergeCell ref="Z420:AA420"/>
    <mergeCell ref="AB420:AC420"/>
    <mergeCell ref="AD420:AE420"/>
    <mergeCell ref="AJ420:AK420"/>
    <mergeCell ref="AL420:AM420"/>
    <mergeCell ref="AN420:AO420"/>
    <mergeCell ref="A421:B421"/>
    <mergeCell ref="E421:F421"/>
    <mergeCell ref="G421:H421"/>
    <mergeCell ref="I421:J421"/>
    <mergeCell ref="O421:P421"/>
    <mergeCell ref="Q421:R421"/>
    <mergeCell ref="S421:T421"/>
    <mergeCell ref="V421:W421"/>
    <mergeCell ref="Z421:AA421"/>
    <mergeCell ref="AB421:AC421"/>
    <mergeCell ref="AD421:AE421"/>
    <mergeCell ref="AJ421:AK421"/>
    <mergeCell ref="AL421:AM421"/>
    <mergeCell ref="AN421:AO421"/>
    <mergeCell ref="A416:B416"/>
    <mergeCell ref="E416:F416"/>
    <mergeCell ref="G416:H416"/>
    <mergeCell ref="I416:J416"/>
    <mergeCell ref="O416:P416"/>
    <mergeCell ref="Q416:R416"/>
    <mergeCell ref="S416:T416"/>
    <mergeCell ref="V416:W416"/>
    <mergeCell ref="Z416:AA416"/>
    <mergeCell ref="AB416:AC416"/>
    <mergeCell ref="AD416:AE416"/>
    <mergeCell ref="AJ416:AK416"/>
    <mergeCell ref="AL416:AM416"/>
    <mergeCell ref="AN416:AO416"/>
    <mergeCell ref="A417:B417"/>
    <mergeCell ref="E417:F417"/>
    <mergeCell ref="G417:H417"/>
    <mergeCell ref="I417:J417"/>
    <mergeCell ref="O417:P417"/>
    <mergeCell ref="Q417:R417"/>
    <mergeCell ref="S417:T417"/>
    <mergeCell ref="V417:W417"/>
    <mergeCell ref="Z417:AA417"/>
    <mergeCell ref="AB417:AC417"/>
    <mergeCell ref="AD417:AE417"/>
    <mergeCell ref="AJ417:AK417"/>
    <mergeCell ref="AL417:AM417"/>
    <mergeCell ref="AN417:AO417"/>
    <mergeCell ref="A418:B418"/>
    <mergeCell ref="E418:F418"/>
    <mergeCell ref="G418:H418"/>
    <mergeCell ref="I418:J418"/>
    <mergeCell ref="O418:P418"/>
    <mergeCell ref="Q418:R418"/>
    <mergeCell ref="S418:T418"/>
    <mergeCell ref="V418:W418"/>
    <mergeCell ref="Z418:AA418"/>
    <mergeCell ref="AB418:AC418"/>
    <mergeCell ref="AD418:AE418"/>
    <mergeCell ref="AJ418:AK418"/>
    <mergeCell ref="AL418:AM418"/>
    <mergeCell ref="AN418:AO418"/>
    <mergeCell ref="A414:B414"/>
    <mergeCell ref="E414:F414"/>
    <mergeCell ref="G414:H414"/>
    <mergeCell ref="I414:J414"/>
    <mergeCell ref="O414:P414"/>
    <mergeCell ref="Q414:R414"/>
    <mergeCell ref="S414:T414"/>
    <mergeCell ref="V414:W414"/>
    <mergeCell ref="Z414:AA414"/>
    <mergeCell ref="AB414:AC414"/>
    <mergeCell ref="AD414:AE414"/>
    <mergeCell ref="AJ414:AK414"/>
    <mergeCell ref="AL414:AM414"/>
    <mergeCell ref="AN414:AO414"/>
    <mergeCell ref="A415:B415"/>
    <mergeCell ref="E415:F415"/>
    <mergeCell ref="G415:H415"/>
    <mergeCell ref="I415:J415"/>
    <mergeCell ref="O415:P415"/>
    <mergeCell ref="Q415:R415"/>
    <mergeCell ref="S415:T415"/>
    <mergeCell ref="V415:W415"/>
    <mergeCell ref="Z415:AA415"/>
    <mergeCell ref="AB415:AC415"/>
    <mergeCell ref="AD415:AE415"/>
    <mergeCell ref="AJ415:AK415"/>
    <mergeCell ref="AL415:AM415"/>
    <mergeCell ref="AN415:AO415"/>
    <mergeCell ref="A413:B413"/>
    <mergeCell ref="E413:F413"/>
    <mergeCell ref="G413:H413"/>
    <mergeCell ref="I413:J413"/>
    <mergeCell ref="O413:P413"/>
    <mergeCell ref="Q413:R413"/>
    <mergeCell ref="S413:T413"/>
    <mergeCell ref="A412:B412"/>
    <mergeCell ref="E412:F412"/>
    <mergeCell ref="G412:H412"/>
    <mergeCell ref="I412:J412"/>
    <mergeCell ref="O412:P412"/>
    <mergeCell ref="Q412:R412"/>
    <mergeCell ref="S412:T412"/>
    <mergeCell ref="V412:W412"/>
    <mergeCell ref="Z412:AA412"/>
    <mergeCell ref="AB412:AC412"/>
    <mergeCell ref="AD412:AE412"/>
    <mergeCell ref="AJ412:AK412"/>
    <mergeCell ref="AL412:AM412"/>
    <mergeCell ref="AN412:AO412"/>
    <mergeCell ref="A409:B409"/>
    <mergeCell ref="E409:F409"/>
    <mergeCell ref="G409:H409"/>
    <mergeCell ref="I409:J409"/>
    <mergeCell ref="O409:P409"/>
    <mergeCell ref="Q409:R409"/>
    <mergeCell ref="S409:T409"/>
    <mergeCell ref="V409:W409"/>
    <mergeCell ref="Z409:AA409"/>
    <mergeCell ref="AB409:AC409"/>
    <mergeCell ref="AD409:AE409"/>
    <mergeCell ref="AJ409:AK409"/>
    <mergeCell ref="V413:W413"/>
    <mergeCell ref="Z413:AA413"/>
    <mergeCell ref="AB413:AC413"/>
    <mergeCell ref="AD413:AE413"/>
    <mergeCell ref="AJ413:AK413"/>
    <mergeCell ref="AL413:AM413"/>
    <mergeCell ref="AN413:AO413"/>
    <mergeCell ref="S405:T405"/>
    <mergeCell ref="V405:W405"/>
    <mergeCell ref="Z405:AA405"/>
    <mergeCell ref="AB405:AC405"/>
    <mergeCell ref="AD405:AE405"/>
    <mergeCell ref="AJ405:AK405"/>
    <mergeCell ref="AL409:AM409"/>
    <mergeCell ref="AN409:AO409"/>
    <mergeCell ref="A410:B410"/>
    <mergeCell ref="E410:F410"/>
    <mergeCell ref="G410:H410"/>
    <mergeCell ref="I410:J410"/>
    <mergeCell ref="O410:P410"/>
    <mergeCell ref="Q410:R410"/>
    <mergeCell ref="S410:T410"/>
    <mergeCell ref="V410:W410"/>
    <mergeCell ref="Z410:AA410"/>
    <mergeCell ref="AB410:AC410"/>
    <mergeCell ref="AD410:AE410"/>
    <mergeCell ref="AJ410:AK410"/>
    <mergeCell ref="AL410:AM410"/>
    <mergeCell ref="AN410:AO410"/>
    <mergeCell ref="A411:B411"/>
    <mergeCell ref="E411:F411"/>
    <mergeCell ref="G411:H411"/>
    <mergeCell ref="I411:J411"/>
    <mergeCell ref="O411:P411"/>
    <mergeCell ref="Q411:R411"/>
    <mergeCell ref="S411:T411"/>
    <mergeCell ref="V411:W411"/>
    <mergeCell ref="Z411:AA411"/>
    <mergeCell ref="AB411:AC411"/>
    <mergeCell ref="AD411:AE411"/>
    <mergeCell ref="AJ411:AK411"/>
    <mergeCell ref="AL411:AM411"/>
    <mergeCell ref="AN411:AO411"/>
    <mergeCell ref="E408:F408"/>
    <mergeCell ref="G408:H408"/>
    <mergeCell ref="I408:J408"/>
    <mergeCell ref="O408:P408"/>
    <mergeCell ref="Q408:R408"/>
    <mergeCell ref="S408:T408"/>
    <mergeCell ref="V408:W408"/>
    <mergeCell ref="Z408:AA408"/>
    <mergeCell ref="AB408:AC408"/>
    <mergeCell ref="AD408:AE408"/>
    <mergeCell ref="AJ408:AK408"/>
    <mergeCell ref="AL408:AM408"/>
    <mergeCell ref="AN408:AO408"/>
    <mergeCell ref="A405:B405"/>
    <mergeCell ref="E405:F405"/>
    <mergeCell ref="G405:H405"/>
    <mergeCell ref="I405:J405"/>
    <mergeCell ref="O405:P405"/>
    <mergeCell ref="Q405:R405"/>
    <mergeCell ref="A403:B403"/>
    <mergeCell ref="E403:F403"/>
    <mergeCell ref="G403:H403"/>
    <mergeCell ref="I403:J403"/>
    <mergeCell ref="O403:P403"/>
    <mergeCell ref="Q403:R403"/>
    <mergeCell ref="S403:T403"/>
    <mergeCell ref="V403:W403"/>
    <mergeCell ref="AL403:AM403"/>
    <mergeCell ref="AN403:AO403"/>
    <mergeCell ref="A404:B404"/>
    <mergeCell ref="E404:F404"/>
    <mergeCell ref="G404:H404"/>
    <mergeCell ref="I404:J404"/>
    <mergeCell ref="O404:P404"/>
    <mergeCell ref="Q404:R404"/>
    <mergeCell ref="S404:T404"/>
    <mergeCell ref="V404:W404"/>
    <mergeCell ref="Z404:AA404"/>
    <mergeCell ref="AB404:AC404"/>
    <mergeCell ref="AD404:AE404"/>
    <mergeCell ref="AJ404:AK404"/>
    <mergeCell ref="AL404:AM404"/>
    <mergeCell ref="AN404:AO404"/>
    <mergeCell ref="AB401:AC401"/>
    <mergeCell ref="AJ401:AK401"/>
    <mergeCell ref="AB402:AC402"/>
    <mergeCell ref="AD402:AE402"/>
    <mergeCell ref="AJ402:AK402"/>
    <mergeCell ref="Z403:AA403"/>
    <mergeCell ref="AB403:AC403"/>
    <mergeCell ref="AD403:AE403"/>
    <mergeCell ref="AJ403:AK403"/>
    <mergeCell ref="A401:B401"/>
    <mergeCell ref="E401:F401"/>
    <mergeCell ref="G401:H401"/>
    <mergeCell ref="O401:P401"/>
    <mergeCell ref="I401:J401"/>
    <mergeCell ref="AL401:AM401"/>
    <mergeCell ref="AN401:AO401"/>
    <mergeCell ref="AD401:AE401"/>
    <mergeCell ref="Q401:R401"/>
    <mergeCell ref="S401:T401"/>
    <mergeCell ref="V401:W401"/>
    <mergeCell ref="AL402:AM402"/>
    <mergeCell ref="AN402:AO402"/>
    <mergeCell ref="A388:B388"/>
    <mergeCell ref="E388:F388"/>
    <mergeCell ref="G388:H388"/>
    <mergeCell ref="I388:J388"/>
    <mergeCell ref="V388:W388"/>
    <mergeCell ref="Z388:AA388"/>
    <mergeCell ref="AB388:AC388"/>
    <mergeCell ref="AD388:AE388"/>
    <mergeCell ref="AD389:AE389"/>
    <mergeCell ref="A389:B389"/>
    <mergeCell ref="E389:F389"/>
    <mergeCell ref="G389:H389"/>
    <mergeCell ref="I389:J389"/>
    <mergeCell ref="V389:W389"/>
    <mergeCell ref="Z389:AA389"/>
    <mergeCell ref="AB389:AC389"/>
    <mergeCell ref="AB390:AC390"/>
    <mergeCell ref="AD390:AE390"/>
    <mergeCell ref="A396:T396"/>
    <mergeCell ref="G398:H398"/>
    <mergeCell ref="Q398:R398"/>
    <mergeCell ref="S398:T398"/>
    <mergeCell ref="AB398:AC398"/>
    <mergeCell ref="E390:F390"/>
    <mergeCell ref="G390:H390"/>
    <mergeCell ref="I390:J390"/>
    <mergeCell ref="Z390:AA390"/>
    <mergeCell ref="A402:B402"/>
    <mergeCell ref="E402:F402"/>
    <mergeCell ref="G402:H402"/>
    <mergeCell ref="I402:J402"/>
    <mergeCell ref="O402:P402"/>
    <mergeCell ref="Q402:R402"/>
    <mergeCell ref="S402:T402"/>
    <mergeCell ref="V402:W402"/>
    <mergeCell ref="Z402:AA402"/>
    <mergeCell ref="Z401:AA401"/>
    <mergeCell ref="S392:T392"/>
    <mergeCell ref="S399:T400"/>
    <mergeCell ref="A397:B400"/>
    <mergeCell ref="C397:F398"/>
    <mergeCell ref="A384:B384"/>
    <mergeCell ref="E384:F384"/>
    <mergeCell ref="G384:H384"/>
    <mergeCell ref="I384:J384"/>
    <mergeCell ref="V384:W384"/>
    <mergeCell ref="Z384:AA384"/>
    <mergeCell ref="AB384:AC384"/>
    <mergeCell ref="AD384:AE384"/>
    <mergeCell ref="AH384:AK384"/>
    <mergeCell ref="Z385:AA385"/>
    <mergeCell ref="AB385:AC385"/>
    <mergeCell ref="AD385:AE385"/>
    <mergeCell ref="A385:B385"/>
    <mergeCell ref="E385:F385"/>
    <mergeCell ref="G385:H385"/>
    <mergeCell ref="I385:J385"/>
    <mergeCell ref="V385:W385"/>
    <mergeCell ref="A386:B386"/>
    <mergeCell ref="E386:F386"/>
    <mergeCell ref="G386:H386"/>
    <mergeCell ref="I386:J386"/>
    <mergeCell ref="V386:W386"/>
    <mergeCell ref="Z386:AA386"/>
    <mergeCell ref="AB386:AC386"/>
    <mergeCell ref="AD386:AE386"/>
    <mergeCell ref="A387:B387"/>
    <mergeCell ref="E387:F387"/>
    <mergeCell ref="G387:H387"/>
    <mergeCell ref="I387:J387"/>
    <mergeCell ref="V387:W387"/>
    <mergeCell ref="Z387:AA387"/>
    <mergeCell ref="AB387:AC387"/>
    <mergeCell ref="AD387:AE387"/>
    <mergeCell ref="A379:B379"/>
    <mergeCell ref="E379:F379"/>
    <mergeCell ref="G379:H379"/>
    <mergeCell ref="I379:J379"/>
    <mergeCell ref="A378:B378"/>
    <mergeCell ref="E378:F378"/>
    <mergeCell ref="G378:H378"/>
    <mergeCell ref="I378:J378"/>
    <mergeCell ref="G381:H381"/>
    <mergeCell ref="I381:J381"/>
    <mergeCell ref="M381:P381"/>
    <mergeCell ref="V381:W381"/>
    <mergeCell ref="Z381:AA381"/>
    <mergeCell ref="AB381:AC381"/>
    <mergeCell ref="AD381:AE381"/>
    <mergeCell ref="A382:B382"/>
    <mergeCell ref="E382:F382"/>
    <mergeCell ref="G382:H382"/>
    <mergeCell ref="I382:J382"/>
    <mergeCell ref="M382:P382"/>
    <mergeCell ref="V382:W382"/>
    <mergeCell ref="Z382:AA382"/>
    <mergeCell ref="AB382:AC382"/>
    <mergeCell ref="AD382:AE382"/>
    <mergeCell ref="A383:B383"/>
    <mergeCell ref="E383:F383"/>
    <mergeCell ref="G383:H383"/>
    <mergeCell ref="I383:J383"/>
    <mergeCell ref="V383:W383"/>
    <mergeCell ref="Z383:AA383"/>
    <mergeCell ref="AB383:AC383"/>
    <mergeCell ref="AD383:AE383"/>
    <mergeCell ref="AH383:AK383"/>
    <mergeCell ref="AH379:AK379"/>
    <mergeCell ref="M380:P380"/>
    <mergeCell ref="AH382:AK382"/>
    <mergeCell ref="V379:W379"/>
    <mergeCell ref="Z379:AA379"/>
    <mergeCell ref="AB379:AC379"/>
    <mergeCell ref="AD379:AE379"/>
    <mergeCell ref="V380:W380"/>
    <mergeCell ref="Z380:AA380"/>
    <mergeCell ref="A380:B380"/>
    <mergeCell ref="E380:F380"/>
    <mergeCell ref="G380:H380"/>
    <mergeCell ref="I380:J380"/>
    <mergeCell ref="AB380:AC380"/>
    <mergeCell ref="AD380:AE380"/>
    <mergeCell ref="A381:B381"/>
    <mergeCell ref="E381:F381"/>
    <mergeCell ref="AB376:AC376"/>
    <mergeCell ref="AJ374:AK374"/>
    <mergeCell ref="AL374:AM374"/>
    <mergeCell ref="AN374:AO374"/>
    <mergeCell ref="A375:B375"/>
    <mergeCell ref="E375:F375"/>
    <mergeCell ref="G375:H375"/>
    <mergeCell ref="I375:J375"/>
    <mergeCell ref="V375:W375"/>
    <mergeCell ref="AJ372:AK372"/>
    <mergeCell ref="AL372:AM372"/>
    <mergeCell ref="AD377:AE377"/>
    <mergeCell ref="AB375:AC375"/>
    <mergeCell ref="AD375:AE375"/>
    <mergeCell ref="A376:B376"/>
    <mergeCell ref="E376:F376"/>
    <mergeCell ref="G376:H376"/>
    <mergeCell ref="I376:J376"/>
    <mergeCell ref="V376:W376"/>
    <mergeCell ref="Z376:AA376"/>
    <mergeCell ref="V378:W378"/>
    <mergeCell ref="Z378:AA378"/>
    <mergeCell ref="AD376:AE376"/>
    <mergeCell ref="A377:B377"/>
    <mergeCell ref="E377:F377"/>
    <mergeCell ref="G377:H377"/>
    <mergeCell ref="I377:J377"/>
    <mergeCell ref="V377:W377"/>
    <mergeCell ref="Z377:AA377"/>
    <mergeCell ref="AB377:AC377"/>
    <mergeCell ref="AB378:AC378"/>
    <mergeCell ref="AD378:AE378"/>
    <mergeCell ref="Q372:R372"/>
    <mergeCell ref="S372:T372"/>
    <mergeCell ref="AB372:AC372"/>
    <mergeCell ref="AD372:AE372"/>
    <mergeCell ref="Z372:AA372"/>
    <mergeCell ref="AJ369:AK369"/>
    <mergeCell ref="AL369:AM369"/>
    <mergeCell ref="AN369:AO369"/>
    <mergeCell ref="AN370:AO370"/>
    <mergeCell ref="O373:P373"/>
    <mergeCell ref="Q373:R373"/>
    <mergeCell ref="S373:T373"/>
    <mergeCell ref="V373:W373"/>
    <mergeCell ref="Z373:AA373"/>
    <mergeCell ref="V372:W372"/>
    <mergeCell ref="A374:B374"/>
    <mergeCell ref="E374:F374"/>
    <mergeCell ref="G374:H374"/>
    <mergeCell ref="I374:J374"/>
    <mergeCell ref="O374:P374"/>
    <mergeCell ref="AN372:AO372"/>
    <mergeCell ref="A373:B373"/>
    <mergeCell ref="E373:F373"/>
    <mergeCell ref="G373:H373"/>
    <mergeCell ref="I373:J373"/>
    <mergeCell ref="AD374:AE374"/>
    <mergeCell ref="AB373:AC373"/>
    <mergeCell ref="AD373:AE373"/>
    <mergeCell ref="AJ373:AK373"/>
    <mergeCell ref="AL373:AM373"/>
    <mergeCell ref="AN373:AO373"/>
    <mergeCell ref="A372:B372"/>
    <mergeCell ref="E372:F372"/>
    <mergeCell ref="G372:H372"/>
    <mergeCell ref="I372:J372"/>
    <mergeCell ref="O372:P372"/>
    <mergeCell ref="Z375:AA375"/>
    <mergeCell ref="Q374:R374"/>
    <mergeCell ref="S374:T374"/>
    <mergeCell ref="V374:W374"/>
    <mergeCell ref="Z374:AA374"/>
    <mergeCell ref="AB374:AC374"/>
    <mergeCell ref="AB364:AC364"/>
    <mergeCell ref="AD364:AE364"/>
    <mergeCell ref="AJ364:AK364"/>
    <mergeCell ref="AL364:AM364"/>
    <mergeCell ref="AN364:AO364"/>
    <mergeCell ref="A365:B365"/>
    <mergeCell ref="E365:F365"/>
    <mergeCell ref="G365:H365"/>
    <mergeCell ref="I365:J365"/>
    <mergeCell ref="O365:P365"/>
    <mergeCell ref="Q365:R365"/>
    <mergeCell ref="S365:T365"/>
    <mergeCell ref="A371:B371"/>
    <mergeCell ref="E371:F371"/>
    <mergeCell ref="G371:H371"/>
    <mergeCell ref="I371:J371"/>
    <mergeCell ref="O371:P371"/>
    <mergeCell ref="V371:W371"/>
    <mergeCell ref="Z371:AA371"/>
    <mergeCell ref="AB370:AC370"/>
    <mergeCell ref="AD370:AE370"/>
    <mergeCell ref="AN371:AO371"/>
    <mergeCell ref="A368:B368"/>
    <mergeCell ref="E368:F368"/>
    <mergeCell ref="G368:H368"/>
    <mergeCell ref="I368:J368"/>
    <mergeCell ref="O368:P368"/>
    <mergeCell ref="Q368:R368"/>
    <mergeCell ref="S368:T368"/>
    <mergeCell ref="V368:W368"/>
    <mergeCell ref="Z368:AA368"/>
    <mergeCell ref="AB368:AC368"/>
    <mergeCell ref="AD368:AE368"/>
    <mergeCell ref="AJ368:AK368"/>
    <mergeCell ref="AL368:AM368"/>
    <mergeCell ref="AN368:AO368"/>
    <mergeCell ref="A369:B369"/>
    <mergeCell ref="E369:F369"/>
    <mergeCell ref="G369:H369"/>
    <mergeCell ref="I369:J369"/>
    <mergeCell ref="O369:P369"/>
    <mergeCell ref="Q369:R369"/>
    <mergeCell ref="S369:T369"/>
    <mergeCell ref="AD371:AE371"/>
    <mergeCell ref="AJ371:AK371"/>
    <mergeCell ref="AJ370:AK370"/>
    <mergeCell ref="AL370:AM370"/>
    <mergeCell ref="Q371:R371"/>
    <mergeCell ref="S371:T371"/>
    <mergeCell ref="AB371:AC371"/>
    <mergeCell ref="AL371:AM371"/>
    <mergeCell ref="A370:B370"/>
    <mergeCell ref="E370:F370"/>
    <mergeCell ref="G370:H370"/>
    <mergeCell ref="I370:J370"/>
    <mergeCell ref="O370:P370"/>
    <mergeCell ref="Q370:R370"/>
    <mergeCell ref="S370:T370"/>
    <mergeCell ref="V370:W370"/>
    <mergeCell ref="Z370:AA370"/>
    <mergeCell ref="V369:W369"/>
    <mergeCell ref="Z369:AA369"/>
    <mergeCell ref="AB369:AC369"/>
    <mergeCell ref="AD369:AE369"/>
    <mergeCell ref="E362:F362"/>
    <mergeCell ref="G362:H362"/>
    <mergeCell ref="I362:J362"/>
    <mergeCell ref="O362:P362"/>
    <mergeCell ref="Q362:R362"/>
    <mergeCell ref="S362:T362"/>
    <mergeCell ref="V362:W362"/>
    <mergeCell ref="Z362:AA362"/>
    <mergeCell ref="AB362:AC362"/>
    <mergeCell ref="AD362:AE362"/>
    <mergeCell ref="AJ362:AK362"/>
    <mergeCell ref="AL362:AM362"/>
    <mergeCell ref="AN362:AO362"/>
    <mergeCell ref="A366:B366"/>
    <mergeCell ref="E366:F366"/>
    <mergeCell ref="G366:H366"/>
    <mergeCell ref="I366:J366"/>
    <mergeCell ref="O366:P366"/>
    <mergeCell ref="Q366:R366"/>
    <mergeCell ref="S366:T366"/>
    <mergeCell ref="V366:W366"/>
    <mergeCell ref="Z366:AA366"/>
    <mergeCell ref="AB366:AC366"/>
    <mergeCell ref="AD366:AE366"/>
    <mergeCell ref="AJ366:AK366"/>
    <mergeCell ref="AL366:AM366"/>
    <mergeCell ref="AN366:AO366"/>
    <mergeCell ref="A367:B367"/>
    <mergeCell ref="E367:F367"/>
    <mergeCell ref="G367:H367"/>
    <mergeCell ref="I367:J367"/>
    <mergeCell ref="O367:P367"/>
    <mergeCell ref="Q367:R367"/>
    <mergeCell ref="S367:T367"/>
    <mergeCell ref="V367:W367"/>
    <mergeCell ref="Z367:AA367"/>
    <mergeCell ref="AB367:AC367"/>
    <mergeCell ref="AD367:AE367"/>
    <mergeCell ref="A363:B363"/>
    <mergeCell ref="E363:F363"/>
    <mergeCell ref="G363:H363"/>
    <mergeCell ref="I363:J363"/>
    <mergeCell ref="O363:P363"/>
    <mergeCell ref="Q363:R363"/>
    <mergeCell ref="S363:T363"/>
    <mergeCell ref="V363:W363"/>
    <mergeCell ref="Z363:AA363"/>
    <mergeCell ref="AB363:AC363"/>
    <mergeCell ref="AD363:AE363"/>
    <mergeCell ref="AJ363:AK363"/>
    <mergeCell ref="AL363:AM363"/>
    <mergeCell ref="AN363:AO363"/>
    <mergeCell ref="AJ367:AK367"/>
    <mergeCell ref="AL367:AM367"/>
    <mergeCell ref="AN367:AO367"/>
    <mergeCell ref="A364:B364"/>
    <mergeCell ref="E364:F364"/>
    <mergeCell ref="G364:H364"/>
    <mergeCell ref="I364:J364"/>
    <mergeCell ref="O364:P364"/>
    <mergeCell ref="Q364:R364"/>
    <mergeCell ref="S364:T364"/>
    <mergeCell ref="V364:W364"/>
    <mergeCell ref="Z364:AA364"/>
    <mergeCell ref="A358:B358"/>
    <mergeCell ref="E358:F358"/>
    <mergeCell ref="G358:H358"/>
    <mergeCell ref="I358:J358"/>
    <mergeCell ref="O358:P358"/>
    <mergeCell ref="Q358:R358"/>
    <mergeCell ref="S358:T358"/>
    <mergeCell ref="V358:W358"/>
    <mergeCell ref="Z358:AA358"/>
    <mergeCell ref="AB358:AC358"/>
    <mergeCell ref="AD358:AE358"/>
    <mergeCell ref="AJ358:AK358"/>
    <mergeCell ref="AL358:AM358"/>
    <mergeCell ref="AN358:AO358"/>
    <mergeCell ref="A359:B359"/>
    <mergeCell ref="E359:F359"/>
    <mergeCell ref="G359:H359"/>
    <mergeCell ref="I359:J359"/>
    <mergeCell ref="O359:P359"/>
    <mergeCell ref="Q359:R359"/>
    <mergeCell ref="S359:T359"/>
    <mergeCell ref="V359:W359"/>
    <mergeCell ref="Z359:AA359"/>
    <mergeCell ref="AB359:AC359"/>
    <mergeCell ref="AD359:AE359"/>
    <mergeCell ref="AJ359:AK359"/>
    <mergeCell ref="AL359:AM359"/>
    <mergeCell ref="AN359:AO359"/>
    <mergeCell ref="V365:W365"/>
    <mergeCell ref="Z365:AA365"/>
    <mergeCell ref="AB365:AC365"/>
    <mergeCell ref="AD365:AE365"/>
    <mergeCell ref="AJ365:AK365"/>
    <mergeCell ref="AL365:AM365"/>
    <mergeCell ref="AN365:AO365"/>
    <mergeCell ref="A360:B360"/>
    <mergeCell ref="E360:F360"/>
    <mergeCell ref="G360:H360"/>
    <mergeCell ref="I360:J360"/>
    <mergeCell ref="O360:P360"/>
    <mergeCell ref="Q360:R360"/>
    <mergeCell ref="S360:T360"/>
    <mergeCell ref="V360:W360"/>
    <mergeCell ref="Z360:AA360"/>
    <mergeCell ref="AB360:AC360"/>
    <mergeCell ref="AD360:AE360"/>
    <mergeCell ref="AJ360:AK360"/>
    <mergeCell ref="AL360:AM360"/>
    <mergeCell ref="AN360:AO360"/>
    <mergeCell ref="A361:B361"/>
    <mergeCell ref="E361:F361"/>
    <mergeCell ref="G361:H361"/>
    <mergeCell ref="I361:J361"/>
    <mergeCell ref="O361:P361"/>
    <mergeCell ref="Q361:R361"/>
    <mergeCell ref="S361:T361"/>
    <mergeCell ref="V361:W361"/>
    <mergeCell ref="Z361:AA361"/>
    <mergeCell ref="AB361:AC361"/>
    <mergeCell ref="AD361:AE361"/>
    <mergeCell ref="AJ361:AK361"/>
    <mergeCell ref="AL361:AM361"/>
    <mergeCell ref="AN361:AO361"/>
    <mergeCell ref="A362:B362"/>
    <mergeCell ref="A355:B355"/>
    <mergeCell ref="E355:F355"/>
    <mergeCell ref="G355:H355"/>
    <mergeCell ref="I355:J355"/>
    <mergeCell ref="O355:P355"/>
    <mergeCell ref="Q355:R355"/>
    <mergeCell ref="S355:T355"/>
    <mergeCell ref="V355:W355"/>
    <mergeCell ref="Z355:AA355"/>
    <mergeCell ref="AB355:AC355"/>
    <mergeCell ref="AD355:AE355"/>
    <mergeCell ref="AJ355:AK355"/>
    <mergeCell ref="AL355:AM355"/>
    <mergeCell ref="AN355:AO355"/>
    <mergeCell ref="A356:B356"/>
    <mergeCell ref="E356:F356"/>
    <mergeCell ref="G356:H356"/>
    <mergeCell ref="I356:J356"/>
    <mergeCell ref="O356:P356"/>
    <mergeCell ref="Q356:R356"/>
    <mergeCell ref="S356:T356"/>
    <mergeCell ref="V356:W356"/>
    <mergeCell ref="Z356:AA356"/>
    <mergeCell ref="AB356:AC356"/>
    <mergeCell ref="AD356:AE356"/>
    <mergeCell ref="AJ356:AK356"/>
    <mergeCell ref="AL356:AM356"/>
    <mergeCell ref="AN356:AO356"/>
    <mergeCell ref="A357:B357"/>
    <mergeCell ref="E357:F357"/>
    <mergeCell ref="G357:H357"/>
    <mergeCell ref="I357:J357"/>
    <mergeCell ref="O357:P357"/>
    <mergeCell ref="Q357:R357"/>
    <mergeCell ref="S357:T357"/>
    <mergeCell ref="V357:W357"/>
    <mergeCell ref="Z357:AA357"/>
    <mergeCell ref="AB357:AC357"/>
    <mergeCell ref="AD357:AE357"/>
    <mergeCell ref="AJ357:AK357"/>
    <mergeCell ref="AL357:AM357"/>
    <mergeCell ref="AN357:AO357"/>
    <mergeCell ref="A352:B352"/>
    <mergeCell ref="E352:F352"/>
    <mergeCell ref="G352:H352"/>
    <mergeCell ref="I352:J352"/>
    <mergeCell ref="O352:P352"/>
    <mergeCell ref="Q352:R352"/>
    <mergeCell ref="S352:T352"/>
    <mergeCell ref="V352:W352"/>
    <mergeCell ref="Z352:AA352"/>
    <mergeCell ref="AB352:AC352"/>
    <mergeCell ref="AD352:AE352"/>
    <mergeCell ref="AJ352:AK352"/>
    <mergeCell ref="AL352:AM352"/>
    <mergeCell ref="AN352:AO352"/>
    <mergeCell ref="A353:B353"/>
    <mergeCell ref="E353:F353"/>
    <mergeCell ref="G353:H353"/>
    <mergeCell ref="I353:J353"/>
    <mergeCell ref="O353:P353"/>
    <mergeCell ref="Q353:R353"/>
    <mergeCell ref="S353:T353"/>
    <mergeCell ref="V353:W353"/>
    <mergeCell ref="Z353:AA353"/>
    <mergeCell ref="AB353:AC353"/>
    <mergeCell ref="AD353:AE353"/>
    <mergeCell ref="AJ353:AK353"/>
    <mergeCell ref="AL353:AM353"/>
    <mergeCell ref="AN353:AO353"/>
    <mergeCell ref="A354:B354"/>
    <mergeCell ref="E354:F354"/>
    <mergeCell ref="G354:H354"/>
    <mergeCell ref="I354:J354"/>
    <mergeCell ref="O354:P354"/>
    <mergeCell ref="Q354:R354"/>
    <mergeCell ref="S354:T354"/>
    <mergeCell ref="V354:W354"/>
    <mergeCell ref="Z354:AA354"/>
    <mergeCell ref="AB354:AC354"/>
    <mergeCell ref="AD354:AE354"/>
    <mergeCell ref="AJ354:AK354"/>
    <mergeCell ref="AL354:AM354"/>
    <mergeCell ref="AN354:AO354"/>
    <mergeCell ref="S349:T349"/>
    <mergeCell ref="V349:W349"/>
    <mergeCell ref="Z349:AA349"/>
    <mergeCell ref="AB349:AC349"/>
    <mergeCell ref="AD349:AE349"/>
    <mergeCell ref="AJ349:AK349"/>
    <mergeCell ref="AL349:AM349"/>
    <mergeCell ref="AN349:AO349"/>
    <mergeCell ref="A350:B350"/>
    <mergeCell ref="E350:F350"/>
    <mergeCell ref="G350:H350"/>
    <mergeCell ref="I350:J350"/>
    <mergeCell ref="O350:P350"/>
    <mergeCell ref="Q350:R350"/>
    <mergeCell ref="S350:T350"/>
    <mergeCell ref="V350:W350"/>
    <mergeCell ref="Z350:AA350"/>
    <mergeCell ref="AB350:AC350"/>
    <mergeCell ref="AD350:AE350"/>
    <mergeCell ref="AJ350:AK350"/>
    <mergeCell ref="AL350:AM350"/>
    <mergeCell ref="AN350:AO350"/>
    <mergeCell ref="A351:B351"/>
    <mergeCell ref="E351:F351"/>
    <mergeCell ref="G351:H351"/>
    <mergeCell ref="I351:J351"/>
    <mergeCell ref="O351:P351"/>
    <mergeCell ref="Q351:R351"/>
    <mergeCell ref="S351:T351"/>
    <mergeCell ref="V351:W351"/>
    <mergeCell ref="Z351:AA351"/>
    <mergeCell ref="AB351:AC351"/>
    <mergeCell ref="AD351:AE351"/>
    <mergeCell ref="AJ351:AK351"/>
    <mergeCell ref="AL351:AM351"/>
    <mergeCell ref="AN351:AO351"/>
    <mergeCell ref="A340:T340"/>
    <mergeCell ref="G342:H342"/>
    <mergeCell ref="Q342:R342"/>
    <mergeCell ref="S342:T342"/>
    <mergeCell ref="AB342:AC342"/>
    <mergeCell ref="E334:F334"/>
    <mergeCell ref="G334:H334"/>
    <mergeCell ref="I334:J334"/>
    <mergeCell ref="Z334:AA334"/>
    <mergeCell ref="A346:B346"/>
    <mergeCell ref="E346:F346"/>
    <mergeCell ref="G346:H346"/>
    <mergeCell ref="I346:J346"/>
    <mergeCell ref="O346:P346"/>
    <mergeCell ref="Q346:R346"/>
    <mergeCell ref="S346:T346"/>
    <mergeCell ref="V346:W346"/>
    <mergeCell ref="Z346:AA346"/>
    <mergeCell ref="AB346:AC346"/>
    <mergeCell ref="AD346:AE346"/>
    <mergeCell ref="AJ346:AK346"/>
    <mergeCell ref="AL346:AM346"/>
    <mergeCell ref="AN346:AO346"/>
    <mergeCell ref="A347:B347"/>
    <mergeCell ref="E347:F347"/>
    <mergeCell ref="G347:H347"/>
    <mergeCell ref="I347:J347"/>
    <mergeCell ref="O347:P347"/>
    <mergeCell ref="Q347:R347"/>
    <mergeCell ref="S347:T347"/>
    <mergeCell ref="V347:W347"/>
    <mergeCell ref="Z347:AA347"/>
    <mergeCell ref="AB347:AC347"/>
    <mergeCell ref="AD347:AE347"/>
    <mergeCell ref="AJ347:AK347"/>
    <mergeCell ref="AL347:AM347"/>
    <mergeCell ref="AN347:AO347"/>
    <mergeCell ref="A339:T339"/>
    <mergeCell ref="V339:AO339"/>
    <mergeCell ref="O343:P344"/>
    <mergeCell ref="Q343:R344"/>
    <mergeCell ref="S343:T344"/>
    <mergeCell ref="A341:B344"/>
    <mergeCell ref="C341:F342"/>
    <mergeCell ref="AI343:AI344"/>
    <mergeCell ref="AJ343:AK344"/>
    <mergeCell ref="AL343:AM344"/>
    <mergeCell ref="AN343:AO344"/>
    <mergeCell ref="AL342:AM342"/>
    <mergeCell ref="AN342:AO342"/>
    <mergeCell ref="Y343:Y344"/>
    <mergeCell ref="Z343:AA344"/>
    <mergeCell ref="AB343:AC344"/>
    <mergeCell ref="AD343:AE343"/>
    <mergeCell ref="AD344:AE344"/>
    <mergeCell ref="L341:L344"/>
    <mergeCell ref="M341:P342"/>
    <mergeCell ref="Q341:R341"/>
    <mergeCell ref="S341:T341"/>
    <mergeCell ref="N343:N344"/>
    <mergeCell ref="G341:H341"/>
    <mergeCell ref="I341:J342"/>
    <mergeCell ref="D343:D344"/>
    <mergeCell ref="E343:F344"/>
    <mergeCell ref="A330:B330"/>
    <mergeCell ref="E330:F330"/>
    <mergeCell ref="G330:H330"/>
    <mergeCell ref="I330:J330"/>
    <mergeCell ref="V330:W330"/>
    <mergeCell ref="Z330:AA330"/>
    <mergeCell ref="AB330:AC330"/>
    <mergeCell ref="AD330:AE330"/>
    <mergeCell ref="A331:B331"/>
    <mergeCell ref="E331:F331"/>
    <mergeCell ref="G331:H331"/>
    <mergeCell ref="I331:J331"/>
    <mergeCell ref="V331:W331"/>
    <mergeCell ref="Z331:AA331"/>
    <mergeCell ref="AB331:AC331"/>
    <mergeCell ref="AD331:AE331"/>
    <mergeCell ref="A332:B332"/>
    <mergeCell ref="E332:F332"/>
    <mergeCell ref="G332:H332"/>
    <mergeCell ref="I332:J332"/>
    <mergeCell ref="V332:W332"/>
    <mergeCell ref="Z332:AA332"/>
    <mergeCell ref="AB332:AC332"/>
    <mergeCell ref="AD332:AE332"/>
    <mergeCell ref="A333:B333"/>
    <mergeCell ref="E333:F333"/>
    <mergeCell ref="G333:H333"/>
    <mergeCell ref="I333:J333"/>
    <mergeCell ref="V333:W333"/>
    <mergeCell ref="Z333:AA333"/>
    <mergeCell ref="AB333:AC333"/>
    <mergeCell ref="AB334:AC334"/>
    <mergeCell ref="AD334:AE334"/>
    <mergeCell ref="A326:B326"/>
    <mergeCell ref="E326:F326"/>
    <mergeCell ref="G326:H326"/>
    <mergeCell ref="I326:J326"/>
    <mergeCell ref="M326:P326"/>
    <mergeCell ref="V326:W326"/>
    <mergeCell ref="Z326:AA326"/>
    <mergeCell ref="AB326:AC326"/>
    <mergeCell ref="AD326:AE326"/>
    <mergeCell ref="A327:B327"/>
    <mergeCell ref="E327:F327"/>
    <mergeCell ref="G327:H327"/>
    <mergeCell ref="I327:J327"/>
    <mergeCell ref="V327:W327"/>
    <mergeCell ref="Z327:AA327"/>
    <mergeCell ref="AB327:AC327"/>
    <mergeCell ref="AD327:AE327"/>
    <mergeCell ref="A328:B328"/>
    <mergeCell ref="E328:F328"/>
    <mergeCell ref="G328:H328"/>
    <mergeCell ref="I328:J328"/>
    <mergeCell ref="V328:W328"/>
    <mergeCell ref="Z328:AA328"/>
    <mergeCell ref="AB328:AC328"/>
    <mergeCell ref="AD328:AE328"/>
    <mergeCell ref="AH328:AK328"/>
    <mergeCell ref="Z329:AA329"/>
    <mergeCell ref="AB329:AC329"/>
    <mergeCell ref="AD329:AE329"/>
    <mergeCell ref="A329:B329"/>
    <mergeCell ref="E329:F329"/>
    <mergeCell ref="G329:H329"/>
    <mergeCell ref="I329:J329"/>
    <mergeCell ref="V329:W329"/>
    <mergeCell ref="V322:W322"/>
    <mergeCell ref="Z322:AA322"/>
    <mergeCell ref="AD320:AE320"/>
    <mergeCell ref="A321:B321"/>
    <mergeCell ref="E321:F321"/>
    <mergeCell ref="G321:H321"/>
    <mergeCell ref="I321:J321"/>
    <mergeCell ref="V321:W321"/>
    <mergeCell ref="Z321:AA321"/>
    <mergeCell ref="AB321:AC321"/>
    <mergeCell ref="AB322:AC322"/>
    <mergeCell ref="AD322:AE322"/>
    <mergeCell ref="A323:B323"/>
    <mergeCell ref="E323:F323"/>
    <mergeCell ref="G323:H323"/>
    <mergeCell ref="I323:J323"/>
    <mergeCell ref="A322:B322"/>
    <mergeCell ref="E322:F322"/>
    <mergeCell ref="G322:H322"/>
    <mergeCell ref="I322:J322"/>
    <mergeCell ref="A324:B324"/>
    <mergeCell ref="E324:F324"/>
    <mergeCell ref="G324:H324"/>
    <mergeCell ref="I324:J324"/>
    <mergeCell ref="AB324:AC324"/>
    <mergeCell ref="AD324:AE324"/>
    <mergeCell ref="A325:B325"/>
    <mergeCell ref="E325:F325"/>
    <mergeCell ref="G325:H325"/>
    <mergeCell ref="I325:J325"/>
    <mergeCell ref="M325:P325"/>
    <mergeCell ref="V325:W325"/>
    <mergeCell ref="Z325:AA325"/>
    <mergeCell ref="AB325:AC325"/>
    <mergeCell ref="AD325:AE325"/>
    <mergeCell ref="A318:B318"/>
    <mergeCell ref="E318:F318"/>
    <mergeCell ref="G318:H318"/>
    <mergeCell ref="I318:J318"/>
    <mergeCell ref="O318:P318"/>
    <mergeCell ref="AN316:AO316"/>
    <mergeCell ref="A317:B317"/>
    <mergeCell ref="E317:F317"/>
    <mergeCell ref="G317:H317"/>
    <mergeCell ref="I317:J317"/>
    <mergeCell ref="AD318:AE318"/>
    <mergeCell ref="AB317:AC317"/>
    <mergeCell ref="AD317:AE317"/>
    <mergeCell ref="AJ317:AK317"/>
    <mergeCell ref="AL317:AM317"/>
    <mergeCell ref="AN317:AO317"/>
    <mergeCell ref="Z319:AA319"/>
    <mergeCell ref="Q318:R318"/>
    <mergeCell ref="S318:T318"/>
    <mergeCell ref="V318:W318"/>
    <mergeCell ref="Z318:AA318"/>
    <mergeCell ref="AB318:AC318"/>
    <mergeCell ref="AJ318:AK318"/>
    <mergeCell ref="AL318:AM318"/>
    <mergeCell ref="AN318:AO318"/>
    <mergeCell ref="A319:B319"/>
    <mergeCell ref="E319:F319"/>
    <mergeCell ref="G319:H319"/>
    <mergeCell ref="I319:J319"/>
    <mergeCell ref="V319:W319"/>
    <mergeCell ref="AB319:AC319"/>
    <mergeCell ref="A320:B320"/>
    <mergeCell ref="E320:F320"/>
    <mergeCell ref="G320:H320"/>
    <mergeCell ref="I320:J320"/>
    <mergeCell ref="V320:W320"/>
    <mergeCell ref="Z320:AA320"/>
    <mergeCell ref="A315:B315"/>
    <mergeCell ref="E315:F315"/>
    <mergeCell ref="G315:H315"/>
    <mergeCell ref="I315:J315"/>
    <mergeCell ref="O315:P315"/>
    <mergeCell ref="V315:W315"/>
    <mergeCell ref="Z315:AA315"/>
    <mergeCell ref="AB314:AC314"/>
    <mergeCell ref="AD314:AE314"/>
    <mergeCell ref="AN315:AO315"/>
    <mergeCell ref="A312:B312"/>
    <mergeCell ref="E312:F312"/>
    <mergeCell ref="G312:H312"/>
    <mergeCell ref="I312:J312"/>
    <mergeCell ref="O312:P312"/>
    <mergeCell ref="Q312:R312"/>
    <mergeCell ref="S312:T312"/>
    <mergeCell ref="V312:W312"/>
    <mergeCell ref="Z312:AA312"/>
    <mergeCell ref="AB312:AC312"/>
    <mergeCell ref="AD312:AE312"/>
    <mergeCell ref="AJ312:AK312"/>
    <mergeCell ref="AL312:AM312"/>
    <mergeCell ref="AN312:AO312"/>
    <mergeCell ref="A313:B313"/>
    <mergeCell ref="E313:F313"/>
    <mergeCell ref="G313:H313"/>
    <mergeCell ref="I313:J313"/>
    <mergeCell ref="O313:P313"/>
    <mergeCell ref="Q313:R313"/>
    <mergeCell ref="S313:T313"/>
    <mergeCell ref="A316:B316"/>
    <mergeCell ref="E316:F316"/>
    <mergeCell ref="G316:H316"/>
    <mergeCell ref="I316:J316"/>
    <mergeCell ref="O316:P316"/>
    <mergeCell ref="AD315:AE315"/>
    <mergeCell ref="AJ316:AK316"/>
    <mergeCell ref="AL316:AM316"/>
    <mergeCell ref="AJ315:AK315"/>
    <mergeCell ref="AJ314:AK314"/>
    <mergeCell ref="AL314:AM314"/>
    <mergeCell ref="Q316:R316"/>
    <mergeCell ref="S316:T316"/>
    <mergeCell ref="Q315:R315"/>
    <mergeCell ref="S315:T315"/>
    <mergeCell ref="AB316:AC316"/>
    <mergeCell ref="AD316:AE316"/>
    <mergeCell ref="Z316:AA316"/>
    <mergeCell ref="AB315:AC315"/>
    <mergeCell ref="AL315:AM315"/>
    <mergeCell ref="V316:W316"/>
    <mergeCell ref="A314:B314"/>
    <mergeCell ref="E314:F314"/>
    <mergeCell ref="G314:H314"/>
    <mergeCell ref="I314:J314"/>
    <mergeCell ref="O314:P314"/>
    <mergeCell ref="Q314:R314"/>
    <mergeCell ref="S314:T314"/>
    <mergeCell ref="V314:W314"/>
    <mergeCell ref="Z314:AA314"/>
    <mergeCell ref="V313:W313"/>
    <mergeCell ref="Z313:AA313"/>
    <mergeCell ref="AB313:AC313"/>
    <mergeCell ref="AD313:AE313"/>
    <mergeCell ref="AJ313:AK313"/>
    <mergeCell ref="AL313:AM313"/>
    <mergeCell ref="AN313:AO313"/>
    <mergeCell ref="A310:B310"/>
    <mergeCell ref="E310:F310"/>
    <mergeCell ref="G310:H310"/>
    <mergeCell ref="I310:J310"/>
    <mergeCell ref="O310:P310"/>
    <mergeCell ref="Q310:R310"/>
    <mergeCell ref="S310:T310"/>
    <mergeCell ref="V310:W310"/>
    <mergeCell ref="Z310:AA310"/>
    <mergeCell ref="AB310:AC310"/>
    <mergeCell ref="AD310:AE310"/>
    <mergeCell ref="AJ310:AK310"/>
    <mergeCell ref="AL310:AM310"/>
    <mergeCell ref="AN310:AO310"/>
    <mergeCell ref="A311:B311"/>
    <mergeCell ref="E311:F311"/>
    <mergeCell ref="G311:H311"/>
    <mergeCell ref="I311:J311"/>
    <mergeCell ref="O311:P311"/>
    <mergeCell ref="Q311:R311"/>
    <mergeCell ref="S311:T311"/>
    <mergeCell ref="V311:W311"/>
    <mergeCell ref="Z311:AA311"/>
    <mergeCell ref="AB311:AC311"/>
    <mergeCell ref="AD311:AE311"/>
    <mergeCell ref="AN314:AO314"/>
    <mergeCell ref="A307:B307"/>
    <mergeCell ref="E307:F307"/>
    <mergeCell ref="G307:H307"/>
    <mergeCell ref="I307:J307"/>
    <mergeCell ref="O307:P307"/>
    <mergeCell ref="Q307:R307"/>
    <mergeCell ref="S307:T307"/>
    <mergeCell ref="V307:W307"/>
    <mergeCell ref="Z307:AA307"/>
    <mergeCell ref="AB307:AC307"/>
    <mergeCell ref="AD307:AE307"/>
    <mergeCell ref="AJ307:AK307"/>
    <mergeCell ref="AL307:AM307"/>
    <mergeCell ref="AN307:AO307"/>
    <mergeCell ref="AN311:AO311"/>
    <mergeCell ref="A308:B308"/>
    <mergeCell ref="E308:F308"/>
    <mergeCell ref="G308:H308"/>
    <mergeCell ref="I308:J308"/>
    <mergeCell ref="O308:P308"/>
    <mergeCell ref="Q308:R308"/>
    <mergeCell ref="S308:T308"/>
    <mergeCell ref="V308:W308"/>
    <mergeCell ref="Z308:AA308"/>
    <mergeCell ref="AB308:AC308"/>
    <mergeCell ref="AD308:AE308"/>
    <mergeCell ref="AJ308:AK308"/>
    <mergeCell ref="AL308:AM308"/>
    <mergeCell ref="AN308:AO308"/>
    <mergeCell ref="A309:B309"/>
    <mergeCell ref="E309:F309"/>
    <mergeCell ref="G309:H309"/>
    <mergeCell ref="I309:J309"/>
    <mergeCell ref="O309:P309"/>
    <mergeCell ref="Q309:R309"/>
    <mergeCell ref="S309:T309"/>
    <mergeCell ref="V309:W309"/>
    <mergeCell ref="Z309:AA309"/>
    <mergeCell ref="AB309:AC309"/>
    <mergeCell ref="AD309:AE309"/>
    <mergeCell ref="AJ309:AK309"/>
    <mergeCell ref="AL309:AM309"/>
    <mergeCell ref="AN309:AO309"/>
    <mergeCell ref="A304:B304"/>
    <mergeCell ref="E304:F304"/>
    <mergeCell ref="G304:H304"/>
    <mergeCell ref="I304:J304"/>
    <mergeCell ref="O304:P304"/>
    <mergeCell ref="Q304:R304"/>
    <mergeCell ref="S304:T304"/>
    <mergeCell ref="V304:W304"/>
    <mergeCell ref="Z304:AA304"/>
    <mergeCell ref="AB304:AC304"/>
    <mergeCell ref="AD304:AE304"/>
    <mergeCell ref="AJ304:AK304"/>
    <mergeCell ref="AL304:AM304"/>
    <mergeCell ref="AN304:AO304"/>
    <mergeCell ref="A305:B305"/>
    <mergeCell ref="E305:F305"/>
    <mergeCell ref="G305:H305"/>
    <mergeCell ref="I305:J305"/>
    <mergeCell ref="O305:P305"/>
    <mergeCell ref="Q305:R305"/>
    <mergeCell ref="S305:T305"/>
    <mergeCell ref="V305:W305"/>
    <mergeCell ref="Z305:AA305"/>
    <mergeCell ref="AB305:AC305"/>
    <mergeCell ref="AD305:AE305"/>
    <mergeCell ref="AJ305:AK305"/>
    <mergeCell ref="AL305:AM305"/>
    <mergeCell ref="AN305:AO305"/>
    <mergeCell ref="A306:B306"/>
    <mergeCell ref="E306:F306"/>
    <mergeCell ref="G306:H306"/>
    <mergeCell ref="I306:J306"/>
    <mergeCell ref="O306:P306"/>
    <mergeCell ref="Q306:R306"/>
    <mergeCell ref="S306:T306"/>
    <mergeCell ref="V306:W306"/>
    <mergeCell ref="Z306:AA306"/>
    <mergeCell ref="AB306:AC306"/>
    <mergeCell ref="AD306:AE306"/>
    <mergeCell ref="AJ306:AK306"/>
    <mergeCell ref="AL306:AM306"/>
    <mergeCell ref="AN306:AO306"/>
    <mergeCell ref="A301:B301"/>
    <mergeCell ref="E301:F301"/>
    <mergeCell ref="G301:H301"/>
    <mergeCell ref="I301:J301"/>
    <mergeCell ref="O301:P301"/>
    <mergeCell ref="Q301:R301"/>
    <mergeCell ref="S301:T301"/>
    <mergeCell ref="V301:W301"/>
    <mergeCell ref="Z301:AA301"/>
    <mergeCell ref="AB301:AC301"/>
    <mergeCell ref="AD301:AE301"/>
    <mergeCell ref="AJ301:AK301"/>
    <mergeCell ref="AL301:AM301"/>
    <mergeCell ref="AN301:AO301"/>
    <mergeCell ref="A302:B302"/>
    <mergeCell ref="E302:F302"/>
    <mergeCell ref="G302:H302"/>
    <mergeCell ref="I302:J302"/>
    <mergeCell ref="O302:P302"/>
    <mergeCell ref="Q302:R302"/>
    <mergeCell ref="S302:T302"/>
    <mergeCell ref="V302:W302"/>
    <mergeCell ref="Z302:AA302"/>
    <mergeCell ref="AB302:AC302"/>
    <mergeCell ref="AD302:AE302"/>
    <mergeCell ref="AJ302:AK302"/>
    <mergeCell ref="AL302:AM302"/>
    <mergeCell ref="AN302:AO302"/>
    <mergeCell ref="A303:B303"/>
    <mergeCell ref="E303:F303"/>
    <mergeCell ref="G303:H303"/>
    <mergeCell ref="I303:J303"/>
    <mergeCell ref="O303:P303"/>
    <mergeCell ref="Q303:R303"/>
    <mergeCell ref="S303:T303"/>
    <mergeCell ref="V303:W303"/>
    <mergeCell ref="Z303:AA303"/>
    <mergeCell ref="AB303:AC303"/>
    <mergeCell ref="AD303:AE303"/>
    <mergeCell ref="AJ303:AK303"/>
    <mergeCell ref="AL303:AM303"/>
    <mergeCell ref="AN303:AO303"/>
    <mergeCell ref="A298:B298"/>
    <mergeCell ref="E298:F298"/>
    <mergeCell ref="G298:H298"/>
    <mergeCell ref="I298:J298"/>
    <mergeCell ref="O298:P298"/>
    <mergeCell ref="Q298:R298"/>
    <mergeCell ref="S298:T298"/>
    <mergeCell ref="V298:W298"/>
    <mergeCell ref="Z298:AA298"/>
    <mergeCell ref="AB298:AC298"/>
    <mergeCell ref="AD298:AE298"/>
    <mergeCell ref="AJ298:AK298"/>
    <mergeCell ref="AL298:AM298"/>
    <mergeCell ref="AN298:AO298"/>
    <mergeCell ref="A299:B299"/>
    <mergeCell ref="E299:F299"/>
    <mergeCell ref="G299:H299"/>
    <mergeCell ref="I299:J299"/>
    <mergeCell ref="O299:P299"/>
    <mergeCell ref="Q299:R299"/>
    <mergeCell ref="S299:T299"/>
    <mergeCell ref="V299:W299"/>
    <mergeCell ref="Z299:AA299"/>
    <mergeCell ref="AB299:AC299"/>
    <mergeCell ref="AD299:AE299"/>
    <mergeCell ref="AJ299:AK299"/>
    <mergeCell ref="AL299:AM299"/>
    <mergeCell ref="AN299:AO299"/>
    <mergeCell ref="A300:B300"/>
    <mergeCell ref="E300:F300"/>
    <mergeCell ref="G300:H300"/>
    <mergeCell ref="I300:J300"/>
    <mergeCell ref="O300:P300"/>
    <mergeCell ref="Q300:R300"/>
    <mergeCell ref="S300:T300"/>
    <mergeCell ref="V300:W300"/>
    <mergeCell ref="Z300:AA300"/>
    <mergeCell ref="AB300:AC300"/>
    <mergeCell ref="AD300:AE300"/>
    <mergeCell ref="AJ300:AK300"/>
    <mergeCell ref="AL300:AM300"/>
    <mergeCell ref="AN300:AO300"/>
    <mergeCell ref="A295:B295"/>
    <mergeCell ref="E295:F295"/>
    <mergeCell ref="G295:H295"/>
    <mergeCell ref="I295:J295"/>
    <mergeCell ref="O295:P295"/>
    <mergeCell ref="Q295:R295"/>
    <mergeCell ref="S295:T295"/>
    <mergeCell ref="V295:W295"/>
    <mergeCell ref="Z295:AA295"/>
    <mergeCell ref="AB295:AC295"/>
    <mergeCell ref="AD295:AE295"/>
    <mergeCell ref="AJ295:AK295"/>
    <mergeCell ref="AL295:AM295"/>
    <mergeCell ref="AN295:AO295"/>
    <mergeCell ref="A296:B296"/>
    <mergeCell ref="E296:F296"/>
    <mergeCell ref="G296:H296"/>
    <mergeCell ref="I296:J296"/>
    <mergeCell ref="O296:P296"/>
    <mergeCell ref="Q296:R296"/>
    <mergeCell ref="S296:T296"/>
    <mergeCell ref="V296:W296"/>
    <mergeCell ref="Z296:AA296"/>
    <mergeCell ref="AB296:AC296"/>
    <mergeCell ref="AD296:AE296"/>
    <mergeCell ref="AJ296:AK296"/>
    <mergeCell ref="AL296:AM296"/>
    <mergeCell ref="AN296:AO296"/>
    <mergeCell ref="A297:B297"/>
    <mergeCell ref="E297:F297"/>
    <mergeCell ref="G297:H297"/>
    <mergeCell ref="I297:J297"/>
    <mergeCell ref="O297:P297"/>
    <mergeCell ref="Q297:R297"/>
    <mergeCell ref="S297:T297"/>
    <mergeCell ref="V297:W297"/>
    <mergeCell ref="Z297:AA297"/>
    <mergeCell ref="AB297:AC297"/>
    <mergeCell ref="AD297:AE297"/>
    <mergeCell ref="AJ297:AK297"/>
    <mergeCell ref="AL297:AM297"/>
    <mergeCell ref="AN297:AO297"/>
    <mergeCell ref="Q292:R292"/>
    <mergeCell ref="S292:T292"/>
    <mergeCell ref="V292:W292"/>
    <mergeCell ref="Z292:AA292"/>
    <mergeCell ref="AB292:AC292"/>
    <mergeCell ref="AD292:AE292"/>
    <mergeCell ref="AJ292:AK292"/>
    <mergeCell ref="AL292:AM292"/>
    <mergeCell ref="AN292:AO292"/>
    <mergeCell ref="A293:B293"/>
    <mergeCell ref="E293:F293"/>
    <mergeCell ref="G293:H293"/>
    <mergeCell ref="I293:J293"/>
    <mergeCell ref="O293:P293"/>
    <mergeCell ref="Q293:R293"/>
    <mergeCell ref="S293:T293"/>
    <mergeCell ref="V293:W293"/>
    <mergeCell ref="Z293:AA293"/>
    <mergeCell ref="AB293:AC293"/>
    <mergeCell ref="AD293:AE293"/>
    <mergeCell ref="AJ293:AK293"/>
    <mergeCell ref="AL293:AM293"/>
    <mergeCell ref="AN293:AO293"/>
    <mergeCell ref="A294:B294"/>
    <mergeCell ref="E294:F294"/>
    <mergeCell ref="G294:H294"/>
    <mergeCell ref="I294:J294"/>
    <mergeCell ref="O294:P294"/>
    <mergeCell ref="Q294:R294"/>
    <mergeCell ref="S294:T294"/>
    <mergeCell ref="V294:W294"/>
    <mergeCell ref="Z294:AA294"/>
    <mergeCell ref="AB294:AC294"/>
    <mergeCell ref="AD294:AE294"/>
    <mergeCell ref="AJ294:AK294"/>
    <mergeCell ref="AL294:AM294"/>
    <mergeCell ref="AN294:AO294"/>
    <mergeCell ref="Z275:AA275"/>
    <mergeCell ref="AB275:AC275"/>
    <mergeCell ref="AD275:AE275"/>
    <mergeCell ref="A276:B276"/>
    <mergeCell ref="E276:F276"/>
    <mergeCell ref="G276:H276"/>
    <mergeCell ref="I276:J276"/>
    <mergeCell ref="V276:W276"/>
    <mergeCell ref="Z276:AA276"/>
    <mergeCell ref="AB276:AC276"/>
    <mergeCell ref="AD276:AE276"/>
    <mergeCell ref="AD277:AE277"/>
    <mergeCell ref="A277:B277"/>
    <mergeCell ref="E277:F277"/>
    <mergeCell ref="G277:H277"/>
    <mergeCell ref="I277:J277"/>
    <mergeCell ref="V277:W277"/>
    <mergeCell ref="Z277:AA277"/>
    <mergeCell ref="AB277:AC277"/>
    <mergeCell ref="AB278:AC278"/>
    <mergeCell ref="AD278:AE278"/>
    <mergeCell ref="A284:T284"/>
    <mergeCell ref="G286:H286"/>
    <mergeCell ref="Q286:R286"/>
    <mergeCell ref="S286:T286"/>
    <mergeCell ref="AB286:AC286"/>
    <mergeCell ref="E278:F278"/>
    <mergeCell ref="G278:H278"/>
    <mergeCell ref="I278:J278"/>
    <mergeCell ref="Z278:AA278"/>
    <mergeCell ref="A290:B290"/>
    <mergeCell ref="E290:F290"/>
    <mergeCell ref="G290:H290"/>
    <mergeCell ref="I290:J290"/>
    <mergeCell ref="O290:P290"/>
    <mergeCell ref="Q290:R290"/>
    <mergeCell ref="S290:T290"/>
    <mergeCell ref="V290:W290"/>
    <mergeCell ref="Z290:AA290"/>
    <mergeCell ref="AB290:AC290"/>
    <mergeCell ref="AD290:AE290"/>
    <mergeCell ref="E287:F288"/>
    <mergeCell ref="G287:H288"/>
    <mergeCell ref="I287:J287"/>
    <mergeCell ref="I288:J288"/>
    <mergeCell ref="AD288:AE288"/>
    <mergeCell ref="L285:L288"/>
    <mergeCell ref="M285:P286"/>
    <mergeCell ref="Q285:R285"/>
    <mergeCell ref="S285:T285"/>
    <mergeCell ref="N287:N288"/>
    <mergeCell ref="A289:B289"/>
    <mergeCell ref="E289:F289"/>
    <mergeCell ref="G289:H289"/>
    <mergeCell ref="O289:P289"/>
    <mergeCell ref="I289:J289"/>
    <mergeCell ref="A281:U281"/>
    <mergeCell ref="V281:AO281"/>
    <mergeCell ref="A283:T283"/>
    <mergeCell ref="V283:AO283"/>
    <mergeCell ref="O287:P288"/>
    <mergeCell ref="Q287:R288"/>
    <mergeCell ref="S287:T288"/>
    <mergeCell ref="A285:B288"/>
    <mergeCell ref="I270:J270"/>
    <mergeCell ref="M270:P270"/>
    <mergeCell ref="V270:W270"/>
    <mergeCell ref="Z270:AA270"/>
    <mergeCell ref="AB270:AC270"/>
    <mergeCell ref="AD270:AE270"/>
    <mergeCell ref="A271:B271"/>
    <mergeCell ref="E271:F271"/>
    <mergeCell ref="G271:H271"/>
    <mergeCell ref="I271:J271"/>
    <mergeCell ref="V271:W271"/>
    <mergeCell ref="Z271:AA271"/>
    <mergeCell ref="AB271:AC271"/>
    <mergeCell ref="AD271:AE271"/>
    <mergeCell ref="AH271:AK271"/>
    <mergeCell ref="A272:B272"/>
    <mergeCell ref="E272:F272"/>
    <mergeCell ref="G272:H272"/>
    <mergeCell ref="I272:J272"/>
    <mergeCell ref="V272:W272"/>
    <mergeCell ref="Z272:AA272"/>
    <mergeCell ref="AB272:AC272"/>
    <mergeCell ref="AD272:AE272"/>
    <mergeCell ref="AH272:AK272"/>
    <mergeCell ref="Z273:AA273"/>
    <mergeCell ref="AB273:AC273"/>
    <mergeCell ref="AD273:AE273"/>
    <mergeCell ref="A273:B273"/>
    <mergeCell ref="E273:F273"/>
    <mergeCell ref="G273:H273"/>
    <mergeCell ref="I273:J273"/>
    <mergeCell ref="V273:W273"/>
    <mergeCell ref="Z268:AA268"/>
    <mergeCell ref="A268:B268"/>
    <mergeCell ref="E268:F268"/>
    <mergeCell ref="G268:H268"/>
    <mergeCell ref="I268:J268"/>
    <mergeCell ref="AB268:AC268"/>
    <mergeCell ref="AD268:AE268"/>
    <mergeCell ref="A269:B269"/>
    <mergeCell ref="E269:F269"/>
    <mergeCell ref="A263:B263"/>
    <mergeCell ref="E263:F263"/>
    <mergeCell ref="G263:H263"/>
    <mergeCell ref="I263:J263"/>
    <mergeCell ref="V263:W263"/>
    <mergeCell ref="Z263:AA263"/>
    <mergeCell ref="AB263:AC263"/>
    <mergeCell ref="AD263:AE263"/>
    <mergeCell ref="A264:B264"/>
    <mergeCell ref="E264:F264"/>
    <mergeCell ref="G264:H264"/>
    <mergeCell ref="I264:J264"/>
    <mergeCell ref="V264:W264"/>
    <mergeCell ref="Z264:AA264"/>
    <mergeCell ref="AB264:AC264"/>
    <mergeCell ref="AD264:AE264"/>
    <mergeCell ref="A265:B265"/>
    <mergeCell ref="E265:F265"/>
    <mergeCell ref="G265:H265"/>
    <mergeCell ref="I265:J265"/>
    <mergeCell ref="V265:W265"/>
    <mergeCell ref="Z265:AA265"/>
    <mergeCell ref="AB265:AC265"/>
    <mergeCell ref="AD265:AE265"/>
    <mergeCell ref="A266:B266"/>
    <mergeCell ref="E266:F266"/>
    <mergeCell ref="G266:H266"/>
    <mergeCell ref="I266:J266"/>
    <mergeCell ref="V266:W266"/>
    <mergeCell ref="Z266:AA266"/>
    <mergeCell ref="AB266:AC266"/>
    <mergeCell ref="AD266:AE266"/>
    <mergeCell ref="A267:B267"/>
    <mergeCell ref="E267:F267"/>
    <mergeCell ref="G267:H267"/>
    <mergeCell ref="I267:J267"/>
    <mergeCell ref="A260:B260"/>
    <mergeCell ref="E260:F260"/>
    <mergeCell ref="G260:H260"/>
    <mergeCell ref="I260:J260"/>
    <mergeCell ref="O260:P260"/>
    <mergeCell ref="Q260:R260"/>
    <mergeCell ref="S260:T260"/>
    <mergeCell ref="V260:W260"/>
    <mergeCell ref="Z260:AA260"/>
    <mergeCell ref="AB260:AC260"/>
    <mergeCell ref="AD260:AE260"/>
    <mergeCell ref="AJ260:AK260"/>
    <mergeCell ref="AL260:AM260"/>
    <mergeCell ref="AN260:AO260"/>
    <mergeCell ref="A261:B261"/>
    <mergeCell ref="E261:F261"/>
    <mergeCell ref="G261:H261"/>
    <mergeCell ref="I261:J261"/>
    <mergeCell ref="O261:P261"/>
    <mergeCell ref="Q261:R261"/>
    <mergeCell ref="S261:T261"/>
    <mergeCell ref="V261:W261"/>
    <mergeCell ref="Z261:AA261"/>
    <mergeCell ref="AB261:AC261"/>
    <mergeCell ref="AD261:AE261"/>
    <mergeCell ref="AJ261:AK261"/>
    <mergeCell ref="AL261:AM261"/>
    <mergeCell ref="AN261:AO261"/>
    <mergeCell ref="A262:B262"/>
    <mergeCell ref="E262:F262"/>
    <mergeCell ref="G262:H262"/>
    <mergeCell ref="I262:J262"/>
    <mergeCell ref="O262:P262"/>
    <mergeCell ref="Q262:R262"/>
    <mergeCell ref="S262:T262"/>
    <mergeCell ref="V262:W262"/>
    <mergeCell ref="Z262:AA262"/>
    <mergeCell ref="AB262:AC262"/>
    <mergeCell ref="AD262:AE262"/>
    <mergeCell ref="AJ262:AK262"/>
    <mergeCell ref="AL262:AM262"/>
    <mergeCell ref="AN262:AO262"/>
    <mergeCell ref="A257:B257"/>
    <mergeCell ref="E257:F257"/>
    <mergeCell ref="G257:H257"/>
    <mergeCell ref="I257:J257"/>
    <mergeCell ref="O257:P257"/>
    <mergeCell ref="Q257:R257"/>
    <mergeCell ref="S257:T257"/>
    <mergeCell ref="V257:W257"/>
    <mergeCell ref="Z257:AA257"/>
    <mergeCell ref="AB257:AC257"/>
    <mergeCell ref="AD257:AE257"/>
    <mergeCell ref="AJ257:AK257"/>
    <mergeCell ref="AL257:AM257"/>
    <mergeCell ref="AN257:AO257"/>
    <mergeCell ref="A258:B258"/>
    <mergeCell ref="E258:F258"/>
    <mergeCell ref="G258:H258"/>
    <mergeCell ref="I258:J258"/>
    <mergeCell ref="O258:P258"/>
    <mergeCell ref="Q258:R258"/>
    <mergeCell ref="S258:T258"/>
    <mergeCell ref="V258:W258"/>
    <mergeCell ref="Z258:AA258"/>
    <mergeCell ref="AB258:AC258"/>
    <mergeCell ref="AD258:AE258"/>
    <mergeCell ref="AJ258:AK258"/>
    <mergeCell ref="AL258:AM258"/>
    <mergeCell ref="AN258:AO258"/>
    <mergeCell ref="A259:B259"/>
    <mergeCell ref="E259:F259"/>
    <mergeCell ref="G259:H259"/>
    <mergeCell ref="I259:J259"/>
    <mergeCell ref="O259:P259"/>
    <mergeCell ref="Q259:R259"/>
    <mergeCell ref="S259:T259"/>
    <mergeCell ref="V259:W259"/>
    <mergeCell ref="Z259:AA259"/>
    <mergeCell ref="AB259:AC259"/>
    <mergeCell ref="AD259:AE259"/>
    <mergeCell ref="AJ259:AK259"/>
    <mergeCell ref="AL259:AM259"/>
    <mergeCell ref="AN259:AO259"/>
    <mergeCell ref="A254:B254"/>
    <mergeCell ref="E254:F254"/>
    <mergeCell ref="G254:H254"/>
    <mergeCell ref="I254:J254"/>
    <mergeCell ref="O254:P254"/>
    <mergeCell ref="Q254:R254"/>
    <mergeCell ref="S254:T254"/>
    <mergeCell ref="V254:W254"/>
    <mergeCell ref="Z254:AA254"/>
    <mergeCell ref="AB254:AC254"/>
    <mergeCell ref="AD254:AE254"/>
    <mergeCell ref="AJ254:AK254"/>
    <mergeCell ref="AL254:AM254"/>
    <mergeCell ref="AN254:AO254"/>
    <mergeCell ref="A255:B255"/>
    <mergeCell ref="E255:F255"/>
    <mergeCell ref="G255:H255"/>
    <mergeCell ref="I255:J255"/>
    <mergeCell ref="O255:P255"/>
    <mergeCell ref="Q255:R255"/>
    <mergeCell ref="S255:T255"/>
    <mergeCell ref="V255:W255"/>
    <mergeCell ref="Z255:AA255"/>
    <mergeCell ref="AB255:AC255"/>
    <mergeCell ref="AD255:AE255"/>
    <mergeCell ref="AJ255:AK255"/>
    <mergeCell ref="AL255:AM255"/>
    <mergeCell ref="AN255:AO255"/>
    <mergeCell ref="A256:B256"/>
    <mergeCell ref="E256:F256"/>
    <mergeCell ref="G256:H256"/>
    <mergeCell ref="I256:J256"/>
    <mergeCell ref="O256:P256"/>
    <mergeCell ref="Q256:R256"/>
    <mergeCell ref="S256:T256"/>
    <mergeCell ref="V256:W256"/>
    <mergeCell ref="Z256:AA256"/>
    <mergeCell ref="AB256:AC256"/>
    <mergeCell ref="AD256:AE256"/>
    <mergeCell ref="AJ256:AK256"/>
    <mergeCell ref="AL256:AM256"/>
    <mergeCell ref="AN256:AO256"/>
    <mergeCell ref="A251:B251"/>
    <mergeCell ref="E251:F251"/>
    <mergeCell ref="G251:H251"/>
    <mergeCell ref="I251:J251"/>
    <mergeCell ref="O251:P251"/>
    <mergeCell ref="Q251:R251"/>
    <mergeCell ref="S251:T251"/>
    <mergeCell ref="V251:W251"/>
    <mergeCell ref="Z251:AA251"/>
    <mergeCell ref="AB251:AC251"/>
    <mergeCell ref="AD251:AE251"/>
    <mergeCell ref="AJ251:AK251"/>
    <mergeCell ref="AL251:AM251"/>
    <mergeCell ref="AN251:AO251"/>
    <mergeCell ref="A252:B252"/>
    <mergeCell ref="E252:F252"/>
    <mergeCell ref="G252:H252"/>
    <mergeCell ref="I252:J252"/>
    <mergeCell ref="O252:P252"/>
    <mergeCell ref="Q252:R252"/>
    <mergeCell ref="S252:T252"/>
    <mergeCell ref="V252:W252"/>
    <mergeCell ref="Z252:AA252"/>
    <mergeCell ref="AB252:AC252"/>
    <mergeCell ref="AD252:AE252"/>
    <mergeCell ref="AJ252:AK252"/>
    <mergeCell ref="AL252:AM252"/>
    <mergeCell ref="AN252:AO252"/>
    <mergeCell ref="A253:B253"/>
    <mergeCell ref="E253:F253"/>
    <mergeCell ref="G253:H253"/>
    <mergeCell ref="I253:J253"/>
    <mergeCell ref="O253:P253"/>
    <mergeCell ref="Q253:R253"/>
    <mergeCell ref="S253:T253"/>
    <mergeCell ref="V253:W253"/>
    <mergeCell ref="Z253:AA253"/>
    <mergeCell ref="AB253:AC253"/>
    <mergeCell ref="AD253:AE253"/>
    <mergeCell ref="AJ253:AK253"/>
    <mergeCell ref="AL253:AM253"/>
    <mergeCell ref="AN253:AO253"/>
    <mergeCell ref="A248:B248"/>
    <mergeCell ref="E248:F248"/>
    <mergeCell ref="G248:H248"/>
    <mergeCell ref="I248:J248"/>
    <mergeCell ref="O248:P248"/>
    <mergeCell ref="Q248:R248"/>
    <mergeCell ref="S248:T248"/>
    <mergeCell ref="V248:W248"/>
    <mergeCell ref="Z248:AA248"/>
    <mergeCell ref="AB248:AC248"/>
    <mergeCell ref="AD248:AE248"/>
    <mergeCell ref="AJ248:AK248"/>
    <mergeCell ref="AL248:AM248"/>
    <mergeCell ref="AN248:AO248"/>
    <mergeCell ref="A249:B249"/>
    <mergeCell ref="E249:F249"/>
    <mergeCell ref="G249:H249"/>
    <mergeCell ref="I249:J249"/>
    <mergeCell ref="O249:P249"/>
    <mergeCell ref="Q249:R249"/>
    <mergeCell ref="S249:T249"/>
    <mergeCell ref="V249:W249"/>
    <mergeCell ref="Z249:AA249"/>
    <mergeCell ref="AB249:AC249"/>
    <mergeCell ref="AD249:AE249"/>
    <mergeCell ref="AJ249:AK249"/>
    <mergeCell ref="AL249:AM249"/>
    <mergeCell ref="AN249:AO249"/>
    <mergeCell ref="A250:B250"/>
    <mergeCell ref="E250:F250"/>
    <mergeCell ref="G250:H250"/>
    <mergeCell ref="I250:J250"/>
    <mergeCell ref="O250:P250"/>
    <mergeCell ref="Q250:R250"/>
    <mergeCell ref="S250:T250"/>
    <mergeCell ref="V250:W250"/>
    <mergeCell ref="Z250:AA250"/>
    <mergeCell ref="AB250:AC250"/>
    <mergeCell ref="AD250:AE250"/>
    <mergeCell ref="AJ250:AK250"/>
    <mergeCell ref="AL250:AM250"/>
    <mergeCell ref="AN250:AO250"/>
    <mergeCell ref="A245:B245"/>
    <mergeCell ref="E245:F245"/>
    <mergeCell ref="G245:H245"/>
    <mergeCell ref="I245:J245"/>
    <mergeCell ref="O245:P245"/>
    <mergeCell ref="Q245:R245"/>
    <mergeCell ref="S245:T245"/>
    <mergeCell ref="V245:W245"/>
    <mergeCell ref="Z245:AA245"/>
    <mergeCell ref="AB245:AC245"/>
    <mergeCell ref="AD245:AE245"/>
    <mergeCell ref="AJ245:AK245"/>
    <mergeCell ref="AL245:AM245"/>
    <mergeCell ref="AN245:AO245"/>
    <mergeCell ref="A246:B246"/>
    <mergeCell ref="E246:F246"/>
    <mergeCell ref="G246:H246"/>
    <mergeCell ref="I246:J246"/>
    <mergeCell ref="O246:P246"/>
    <mergeCell ref="Q246:R246"/>
    <mergeCell ref="S246:T246"/>
    <mergeCell ref="V246:W246"/>
    <mergeCell ref="Z246:AA246"/>
    <mergeCell ref="AB246:AC246"/>
    <mergeCell ref="AD246:AE246"/>
    <mergeCell ref="AJ246:AK246"/>
    <mergeCell ref="AL246:AM246"/>
    <mergeCell ref="AN246:AO246"/>
    <mergeCell ref="A247:B247"/>
    <mergeCell ref="E247:F247"/>
    <mergeCell ref="G247:H247"/>
    <mergeCell ref="I247:J247"/>
    <mergeCell ref="O247:P247"/>
    <mergeCell ref="Q247:R247"/>
    <mergeCell ref="S247:T247"/>
    <mergeCell ref="V247:W247"/>
    <mergeCell ref="Z247:AA247"/>
    <mergeCell ref="AB247:AC247"/>
    <mergeCell ref="AD247:AE247"/>
    <mergeCell ref="AJ247:AK247"/>
    <mergeCell ref="AL247:AM247"/>
    <mergeCell ref="AN247:AO247"/>
    <mergeCell ref="A242:B242"/>
    <mergeCell ref="E242:F242"/>
    <mergeCell ref="G242:H242"/>
    <mergeCell ref="I242:J242"/>
    <mergeCell ref="O242:P242"/>
    <mergeCell ref="Q242:R242"/>
    <mergeCell ref="S242:T242"/>
    <mergeCell ref="V242:W242"/>
    <mergeCell ref="Z242:AA242"/>
    <mergeCell ref="AB242:AC242"/>
    <mergeCell ref="AD242:AE242"/>
    <mergeCell ref="AJ242:AK242"/>
    <mergeCell ref="AL242:AM242"/>
    <mergeCell ref="AN242:AO242"/>
    <mergeCell ref="A243:B243"/>
    <mergeCell ref="E243:F243"/>
    <mergeCell ref="G243:H243"/>
    <mergeCell ref="I243:J243"/>
    <mergeCell ref="O243:P243"/>
    <mergeCell ref="Q243:R243"/>
    <mergeCell ref="S243:T243"/>
    <mergeCell ref="V243:W243"/>
    <mergeCell ref="Z243:AA243"/>
    <mergeCell ref="AB243:AC243"/>
    <mergeCell ref="AD243:AE243"/>
    <mergeCell ref="AJ243:AK243"/>
    <mergeCell ref="AL243:AM243"/>
    <mergeCell ref="AN243:AO243"/>
    <mergeCell ref="A244:B244"/>
    <mergeCell ref="E244:F244"/>
    <mergeCell ref="G244:H244"/>
    <mergeCell ref="I244:J244"/>
    <mergeCell ref="O244:P244"/>
    <mergeCell ref="Q244:R244"/>
    <mergeCell ref="S244:T244"/>
    <mergeCell ref="V244:W244"/>
    <mergeCell ref="Z244:AA244"/>
    <mergeCell ref="AB244:AC244"/>
    <mergeCell ref="AD244:AE244"/>
    <mergeCell ref="AJ244:AK244"/>
    <mergeCell ref="AL244:AM244"/>
    <mergeCell ref="AN244:AO244"/>
    <mergeCell ref="A239:B239"/>
    <mergeCell ref="E239:F239"/>
    <mergeCell ref="G239:H239"/>
    <mergeCell ref="I239:J239"/>
    <mergeCell ref="O239:P239"/>
    <mergeCell ref="Q239:R239"/>
    <mergeCell ref="S239:T239"/>
    <mergeCell ref="V239:W239"/>
    <mergeCell ref="Z239:AA239"/>
    <mergeCell ref="AB239:AC239"/>
    <mergeCell ref="AD239:AE239"/>
    <mergeCell ref="AJ239:AK239"/>
    <mergeCell ref="AL239:AM239"/>
    <mergeCell ref="AN239:AO239"/>
    <mergeCell ref="A240:B240"/>
    <mergeCell ref="E240:F240"/>
    <mergeCell ref="G240:H240"/>
    <mergeCell ref="I240:J240"/>
    <mergeCell ref="O240:P240"/>
    <mergeCell ref="Q240:R240"/>
    <mergeCell ref="S240:T240"/>
    <mergeCell ref="V240:W240"/>
    <mergeCell ref="Z240:AA240"/>
    <mergeCell ref="AB240:AC240"/>
    <mergeCell ref="AD240:AE240"/>
    <mergeCell ref="AJ240:AK240"/>
    <mergeCell ref="AL240:AM240"/>
    <mergeCell ref="AN240:AO240"/>
    <mergeCell ref="A241:B241"/>
    <mergeCell ref="E241:F241"/>
    <mergeCell ref="G241:H241"/>
    <mergeCell ref="I241:J241"/>
    <mergeCell ref="O241:P241"/>
    <mergeCell ref="Q241:R241"/>
    <mergeCell ref="S241:T241"/>
    <mergeCell ref="V241:W241"/>
    <mergeCell ref="Z241:AA241"/>
    <mergeCell ref="AB241:AC241"/>
    <mergeCell ref="AD241:AE241"/>
    <mergeCell ref="AJ241:AK241"/>
    <mergeCell ref="AL241:AM241"/>
    <mergeCell ref="AN241:AO241"/>
    <mergeCell ref="A236:B236"/>
    <mergeCell ref="E236:F236"/>
    <mergeCell ref="G236:H236"/>
    <mergeCell ref="I236:J236"/>
    <mergeCell ref="O236:P236"/>
    <mergeCell ref="Q236:R236"/>
    <mergeCell ref="S236:T236"/>
    <mergeCell ref="V236:W236"/>
    <mergeCell ref="Z236:AA236"/>
    <mergeCell ref="AB236:AC236"/>
    <mergeCell ref="AD236:AE236"/>
    <mergeCell ref="AJ236:AK236"/>
    <mergeCell ref="AL236:AM236"/>
    <mergeCell ref="AN236:AO236"/>
    <mergeCell ref="A237:B237"/>
    <mergeCell ref="E237:F237"/>
    <mergeCell ref="G237:H237"/>
    <mergeCell ref="I237:J237"/>
    <mergeCell ref="O237:P237"/>
    <mergeCell ref="Q237:R237"/>
    <mergeCell ref="S237:T237"/>
    <mergeCell ref="V237:W237"/>
    <mergeCell ref="Z237:AA237"/>
    <mergeCell ref="AB237:AC237"/>
    <mergeCell ref="AD237:AE237"/>
    <mergeCell ref="AJ237:AK237"/>
    <mergeCell ref="AL237:AM237"/>
    <mergeCell ref="AN237:AO237"/>
    <mergeCell ref="A238:B238"/>
    <mergeCell ref="E238:F238"/>
    <mergeCell ref="G238:H238"/>
    <mergeCell ref="I238:J238"/>
    <mergeCell ref="O238:P238"/>
    <mergeCell ref="Q238:R238"/>
    <mergeCell ref="S238:T238"/>
    <mergeCell ref="V238:W238"/>
    <mergeCell ref="Z238:AA238"/>
    <mergeCell ref="AB238:AC238"/>
    <mergeCell ref="AD238:AE238"/>
    <mergeCell ref="AJ238:AK238"/>
    <mergeCell ref="AL238:AM238"/>
    <mergeCell ref="AN238:AO238"/>
    <mergeCell ref="A234:B234"/>
    <mergeCell ref="E234:F234"/>
    <mergeCell ref="G234:H234"/>
    <mergeCell ref="I234:J234"/>
    <mergeCell ref="O234:P234"/>
    <mergeCell ref="Q234:R234"/>
    <mergeCell ref="S234:T234"/>
    <mergeCell ref="V234:W234"/>
    <mergeCell ref="Z234:AA234"/>
    <mergeCell ref="AB234:AC234"/>
    <mergeCell ref="AD234:AE234"/>
    <mergeCell ref="AJ234:AK234"/>
    <mergeCell ref="AL234:AM234"/>
    <mergeCell ref="AN234:AO234"/>
    <mergeCell ref="O231:P232"/>
    <mergeCell ref="AD232:AE232"/>
    <mergeCell ref="A229:B232"/>
    <mergeCell ref="C229:F230"/>
    <mergeCell ref="G229:H229"/>
    <mergeCell ref="I229:J230"/>
    <mergeCell ref="D231:D232"/>
    <mergeCell ref="AJ233:AK233"/>
    <mergeCell ref="AL233:AM233"/>
    <mergeCell ref="AN233:AO233"/>
    <mergeCell ref="Q233:R233"/>
    <mergeCell ref="S233:T233"/>
    <mergeCell ref="V233:W233"/>
    <mergeCell ref="Z233:AA233"/>
    <mergeCell ref="AD233:AE233"/>
    <mergeCell ref="A233:B233"/>
    <mergeCell ref="E233:F233"/>
    <mergeCell ref="G233:H233"/>
    <mergeCell ref="A235:B235"/>
    <mergeCell ref="E235:F235"/>
    <mergeCell ref="G235:H235"/>
    <mergeCell ref="I235:J235"/>
    <mergeCell ref="O235:P235"/>
    <mergeCell ref="Q235:R235"/>
    <mergeCell ref="S235:T235"/>
    <mergeCell ref="V235:W235"/>
    <mergeCell ref="Z235:AA235"/>
    <mergeCell ref="AB235:AC235"/>
    <mergeCell ref="AD235:AE235"/>
    <mergeCell ref="AJ235:AK235"/>
    <mergeCell ref="AL235:AM235"/>
    <mergeCell ref="AN235:AO235"/>
    <mergeCell ref="Z222:AA222"/>
    <mergeCell ref="AB222:AC222"/>
    <mergeCell ref="AD222:AE222"/>
    <mergeCell ref="AN224:AO224"/>
    <mergeCell ref="I233:J233"/>
    <mergeCell ref="Q230:R230"/>
    <mergeCell ref="S230:T230"/>
    <mergeCell ref="AB230:AC230"/>
    <mergeCell ref="Q231:R232"/>
    <mergeCell ref="S231:T232"/>
    <mergeCell ref="Y231:Y232"/>
    <mergeCell ref="Z231:AA232"/>
    <mergeCell ref="AB231:AC232"/>
    <mergeCell ref="AB233:AC233"/>
    <mergeCell ref="E231:F232"/>
    <mergeCell ref="G231:H232"/>
    <mergeCell ref="I231:J231"/>
    <mergeCell ref="G230:H230"/>
    <mergeCell ref="I232:J232"/>
    <mergeCell ref="A225:U225"/>
    <mergeCell ref="V225:AO225"/>
    <mergeCell ref="A227:T227"/>
    <mergeCell ref="V227:AO227"/>
    <mergeCell ref="O233:P233"/>
    <mergeCell ref="AG229:AG232"/>
    <mergeCell ref="AH229:AK230"/>
    <mergeCell ref="V229:W232"/>
    <mergeCell ref="X229:AA230"/>
    <mergeCell ref="AB229:AC229"/>
    <mergeCell ref="AD229:AE230"/>
    <mergeCell ref="AL229:AM229"/>
    <mergeCell ref="AN229:AO229"/>
    <mergeCell ref="AI231:AI232"/>
    <mergeCell ref="AJ231:AK232"/>
    <mergeCell ref="AL231:AM232"/>
    <mergeCell ref="AN231:AO232"/>
    <mergeCell ref="AN230:AO230"/>
    <mergeCell ref="AL230:AM230"/>
    <mergeCell ref="AD231:AE231"/>
    <mergeCell ref="L229:L232"/>
    <mergeCell ref="M229:P230"/>
    <mergeCell ref="Q229:R229"/>
    <mergeCell ref="S229:T229"/>
    <mergeCell ref="N231:N232"/>
    <mergeCell ref="A208:B208"/>
    <mergeCell ref="E208:F208"/>
    <mergeCell ref="G208:H208"/>
    <mergeCell ref="I208:J208"/>
    <mergeCell ref="V208:W208"/>
    <mergeCell ref="Z208:AA208"/>
    <mergeCell ref="AB208:AC208"/>
    <mergeCell ref="AD208:AE208"/>
    <mergeCell ref="A209:B209"/>
    <mergeCell ref="E209:F209"/>
    <mergeCell ref="G209:H209"/>
    <mergeCell ref="I209:J209"/>
    <mergeCell ref="V209:W209"/>
    <mergeCell ref="Z209:AA209"/>
    <mergeCell ref="AB209:AC209"/>
    <mergeCell ref="AD209:AE209"/>
    <mergeCell ref="A210:B210"/>
    <mergeCell ref="E210:F210"/>
    <mergeCell ref="G210:H210"/>
    <mergeCell ref="I210:J210"/>
    <mergeCell ref="V210:W210"/>
    <mergeCell ref="Z210:AA210"/>
    <mergeCell ref="AB210:AC210"/>
    <mergeCell ref="AD210:AE210"/>
    <mergeCell ref="A211:B211"/>
    <mergeCell ref="E211:F211"/>
    <mergeCell ref="G211:H211"/>
    <mergeCell ref="I211:J211"/>
    <mergeCell ref="AB214:AC214"/>
    <mergeCell ref="AD214:AE214"/>
    <mergeCell ref="A215:B215"/>
    <mergeCell ref="E215:F215"/>
    <mergeCell ref="G215:H215"/>
    <mergeCell ref="I215:J215"/>
    <mergeCell ref="V215:W215"/>
    <mergeCell ref="Z215:AA215"/>
    <mergeCell ref="AB215:AC215"/>
    <mergeCell ref="AD215:AE215"/>
    <mergeCell ref="A205:B205"/>
    <mergeCell ref="E205:F205"/>
    <mergeCell ref="G205:H205"/>
    <mergeCell ref="I205:J205"/>
    <mergeCell ref="O205:P205"/>
    <mergeCell ref="Q205:R205"/>
    <mergeCell ref="S205:T205"/>
    <mergeCell ref="V205:W205"/>
    <mergeCell ref="Z205:AA205"/>
    <mergeCell ref="AB205:AC205"/>
    <mergeCell ref="AD205:AE205"/>
    <mergeCell ref="AJ205:AK205"/>
    <mergeCell ref="AL205:AM205"/>
    <mergeCell ref="AN205:AO205"/>
    <mergeCell ref="A206:B206"/>
    <mergeCell ref="E206:F206"/>
    <mergeCell ref="G206:H206"/>
    <mergeCell ref="I206:J206"/>
    <mergeCell ref="O206:P206"/>
    <mergeCell ref="Q206:R206"/>
    <mergeCell ref="S206:T206"/>
    <mergeCell ref="V206:W206"/>
    <mergeCell ref="Z206:AA206"/>
    <mergeCell ref="AB206:AC206"/>
    <mergeCell ref="AD206:AE206"/>
    <mergeCell ref="AJ206:AK206"/>
    <mergeCell ref="AL206:AM206"/>
    <mergeCell ref="AN206:AO206"/>
    <mergeCell ref="A207:B207"/>
    <mergeCell ref="E207:F207"/>
    <mergeCell ref="G207:H207"/>
    <mergeCell ref="I207:J207"/>
    <mergeCell ref="V207:W207"/>
    <mergeCell ref="Z207:AA207"/>
    <mergeCell ref="AB207:AC207"/>
    <mergeCell ref="AD207:AE207"/>
    <mergeCell ref="A202:B202"/>
    <mergeCell ref="E202:F202"/>
    <mergeCell ref="G202:H202"/>
    <mergeCell ref="I202:J202"/>
    <mergeCell ref="O202:P202"/>
    <mergeCell ref="Q202:R202"/>
    <mergeCell ref="S202:T202"/>
    <mergeCell ref="V202:W202"/>
    <mergeCell ref="Z202:AA202"/>
    <mergeCell ref="AB202:AC202"/>
    <mergeCell ref="AD202:AE202"/>
    <mergeCell ref="AJ202:AK202"/>
    <mergeCell ref="AL202:AM202"/>
    <mergeCell ref="AN202:AO202"/>
    <mergeCell ref="A203:B203"/>
    <mergeCell ref="E203:F203"/>
    <mergeCell ref="G203:H203"/>
    <mergeCell ref="I203:J203"/>
    <mergeCell ref="O203:P203"/>
    <mergeCell ref="Q203:R203"/>
    <mergeCell ref="S203:T203"/>
    <mergeCell ref="V203:W203"/>
    <mergeCell ref="Z203:AA203"/>
    <mergeCell ref="AB203:AC203"/>
    <mergeCell ref="AD203:AE203"/>
    <mergeCell ref="AJ203:AK203"/>
    <mergeCell ref="AL203:AM203"/>
    <mergeCell ref="AN203:AO203"/>
    <mergeCell ref="A204:B204"/>
    <mergeCell ref="E204:F204"/>
    <mergeCell ref="G204:H204"/>
    <mergeCell ref="I204:J204"/>
    <mergeCell ref="O204:P204"/>
    <mergeCell ref="Q204:R204"/>
    <mergeCell ref="S204:T204"/>
    <mergeCell ref="V204:W204"/>
    <mergeCell ref="Z204:AA204"/>
    <mergeCell ref="AB204:AC204"/>
    <mergeCell ref="AD204:AE204"/>
    <mergeCell ref="AJ204:AK204"/>
    <mergeCell ref="AL204:AM204"/>
    <mergeCell ref="AN204:AO204"/>
    <mergeCell ref="A199:B199"/>
    <mergeCell ref="E199:F199"/>
    <mergeCell ref="G199:H199"/>
    <mergeCell ref="I199:J199"/>
    <mergeCell ref="O199:P199"/>
    <mergeCell ref="Q199:R199"/>
    <mergeCell ref="S199:T199"/>
    <mergeCell ref="V199:W199"/>
    <mergeCell ref="Z199:AA199"/>
    <mergeCell ref="AB199:AC199"/>
    <mergeCell ref="AD199:AE199"/>
    <mergeCell ref="AJ199:AK199"/>
    <mergeCell ref="AL199:AM199"/>
    <mergeCell ref="AN199:AO199"/>
    <mergeCell ref="A200:B200"/>
    <mergeCell ref="E200:F200"/>
    <mergeCell ref="G200:H200"/>
    <mergeCell ref="I200:J200"/>
    <mergeCell ref="O200:P200"/>
    <mergeCell ref="Q200:R200"/>
    <mergeCell ref="S200:T200"/>
    <mergeCell ref="V200:W200"/>
    <mergeCell ref="Z200:AA200"/>
    <mergeCell ref="AB200:AC200"/>
    <mergeCell ref="AD200:AE200"/>
    <mergeCell ref="AJ200:AK200"/>
    <mergeCell ref="AL200:AM200"/>
    <mergeCell ref="AN200:AO200"/>
    <mergeCell ref="A201:B201"/>
    <mergeCell ref="E201:F201"/>
    <mergeCell ref="G201:H201"/>
    <mergeCell ref="I201:J201"/>
    <mergeCell ref="O201:P201"/>
    <mergeCell ref="Q201:R201"/>
    <mergeCell ref="S201:T201"/>
    <mergeCell ref="V201:W201"/>
    <mergeCell ref="Z201:AA201"/>
    <mergeCell ref="AB201:AC201"/>
    <mergeCell ref="AD201:AE201"/>
    <mergeCell ref="AJ201:AK201"/>
    <mergeCell ref="AL201:AM201"/>
    <mergeCell ref="AN201:AO201"/>
    <mergeCell ref="A196:B196"/>
    <mergeCell ref="E196:F196"/>
    <mergeCell ref="G196:H196"/>
    <mergeCell ref="I196:J196"/>
    <mergeCell ref="O196:P196"/>
    <mergeCell ref="Q196:R196"/>
    <mergeCell ref="S196:T196"/>
    <mergeCell ref="V196:W196"/>
    <mergeCell ref="Z196:AA196"/>
    <mergeCell ref="AB196:AC196"/>
    <mergeCell ref="AD196:AE196"/>
    <mergeCell ref="AJ196:AK196"/>
    <mergeCell ref="AL196:AM196"/>
    <mergeCell ref="AN196:AO196"/>
    <mergeCell ref="A197:B197"/>
    <mergeCell ref="E197:F197"/>
    <mergeCell ref="G197:H197"/>
    <mergeCell ref="I197:J197"/>
    <mergeCell ref="O197:P197"/>
    <mergeCell ref="Q197:R197"/>
    <mergeCell ref="S197:T197"/>
    <mergeCell ref="V197:W197"/>
    <mergeCell ref="Z197:AA197"/>
    <mergeCell ref="AB197:AC197"/>
    <mergeCell ref="AD197:AE197"/>
    <mergeCell ref="AJ197:AK197"/>
    <mergeCell ref="AL197:AM197"/>
    <mergeCell ref="AN197:AO197"/>
    <mergeCell ref="A198:B198"/>
    <mergeCell ref="E198:F198"/>
    <mergeCell ref="G198:H198"/>
    <mergeCell ref="I198:J198"/>
    <mergeCell ref="O198:P198"/>
    <mergeCell ref="Q198:R198"/>
    <mergeCell ref="S198:T198"/>
    <mergeCell ref="V198:W198"/>
    <mergeCell ref="Z198:AA198"/>
    <mergeCell ref="AB198:AC198"/>
    <mergeCell ref="AD198:AE198"/>
    <mergeCell ref="AJ198:AK198"/>
    <mergeCell ref="AL198:AM198"/>
    <mergeCell ref="AN198:AO198"/>
    <mergeCell ref="A193:B193"/>
    <mergeCell ref="E193:F193"/>
    <mergeCell ref="G193:H193"/>
    <mergeCell ref="I193:J193"/>
    <mergeCell ref="O193:P193"/>
    <mergeCell ref="Q193:R193"/>
    <mergeCell ref="S193:T193"/>
    <mergeCell ref="V193:W193"/>
    <mergeCell ref="Z193:AA193"/>
    <mergeCell ref="AB193:AC193"/>
    <mergeCell ref="AD193:AE193"/>
    <mergeCell ref="AJ193:AK193"/>
    <mergeCell ref="AL193:AM193"/>
    <mergeCell ref="AN193:AO193"/>
    <mergeCell ref="A194:B194"/>
    <mergeCell ref="E194:F194"/>
    <mergeCell ref="G194:H194"/>
    <mergeCell ref="I194:J194"/>
    <mergeCell ref="O194:P194"/>
    <mergeCell ref="Q194:R194"/>
    <mergeCell ref="S194:T194"/>
    <mergeCell ref="V194:W194"/>
    <mergeCell ref="Z194:AA194"/>
    <mergeCell ref="AB194:AC194"/>
    <mergeCell ref="AD194:AE194"/>
    <mergeCell ref="AJ194:AK194"/>
    <mergeCell ref="AL194:AM194"/>
    <mergeCell ref="AN194:AO194"/>
    <mergeCell ref="A195:B195"/>
    <mergeCell ref="E195:F195"/>
    <mergeCell ref="G195:H195"/>
    <mergeCell ref="I195:J195"/>
    <mergeCell ref="O195:P195"/>
    <mergeCell ref="Q195:R195"/>
    <mergeCell ref="S195:T195"/>
    <mergeCell ref="V195:W195"/>
    <mergeCell ref="Z195:AA195"/>
    <mergeCell ref="AB195:AC195"/>
    <mergeCell ref="AD195:AE195"/>
    <mergeCell ref="AJ195:AK195"/>
    <mergeCell ref="AL195:AM195"/>
    <mergeCell ref="AN195:AO195"/>
    <mergeCell ref="A190:B190"/>
    <mergeCell ref="E190:F190"/>
    <mergeCell ref="G190:H190"/>
    <mergeCell ref="I190:J190"/>
    <mergeCell ref="O190:P190"/>
    <mergeCell ref="Q190:R190"/>
    <mergeCell ref="S190:T190"/>
    <mergeCell ref="V190:W190"/>
    <mergeCell ref="Z190:AA190"/>
    <mergeCell ref="AB190:AC190"/>
    <mergeCell ref="AD190:AE190"/>
    <mergeCell ref="AJ190:AK190"/>
    <mergeCell ref="AL190:AM190"/>
    <mergeCell ref="AN190:AO190"/>
    <mergeCell ref="A191:B191"/>
    <mergeCell ref="E191:F191"/>
    <mergeCell ref="G191:H191"/>
    <mergeCell ref="I191:J191"/>
    <mergeCell ref="O191:P191"/>
    <mergeCell ref="Q191:R191"/>
    <mergeCell ref="S191:T191"/>
    <mergeCell ref="V191:W191"/>
    <mergeCell ref="Z191:AA191"/>
    <mergeCell ref="AB191:AC191"/>
    <mergeCell ref="AD191:AE191"/>
    <mergeCell ref="AJ191:AK191"/>
    <mergeCell ref="AL191:AM191"/>
    <mergeCell ref="AN191:AO191"/>
    <mergeCell ref="A192:B192"/>
    <mergeCell ref="E192:F192"/>
    <mergeCell ref="G192:H192"/>
    <mergeCell ref="I192:J192"/>
    <mergeCell ref="O192:P192"/>
    <mergeCell ref="Q192:R192"/>
    <mergeCell ref="S192:T192"/>
    <mergeCell ref="V192:W192"/>
    <mergeCell ref="Z192:AA192"/>
    <mergeCell ref="AB192:AC192"/>
    <mergeCell ref="AD192:AE192"/>
    <mergeCell ref="AJ192:AK192"/>
    <mergeCell ref="AL192:AM192"/>
    <mergeCell ref="AN192:AO192"/>
    <mergeCell ref="A187:B187"/>
    <mergeCell ref="E187:F187"/>
    <mergeCell ref="G187:H187"/>
    <mergeCell ref="I187:J187"/>
    <mergeCell ref="O187:P187"/>
    <mergeCell ref="Q187:R187"/>
    <mergeCell ref="S187:T187"/>
    <mergeCell ref="V187:W187"/>
    <mergeCell ref="Z187:AA187"/>
    <mergeCell ref="AB187:AC187"/>
    <mergeCell ref="AD187:AE187"/>
    <mergeCell ref="AJ187:AK187"/>
    <mergeCell ref="AL187:AM187"/>
    <mergeCell ref="AN187:AO187"/>
    <mergeCell ref="A188:B188"/>
    <mergeCell ref="E188:F188"/>
    <mergeCell ref="G188:H188"/>
    <mergeCell ref="I188:J188"/>
    <mergeCell ref="O188:P188"/>
    <mergeCell ref="Q188:R188"/>
    <mergeCell ref="S188:T188"/>
    <mergeCell ref="V188:W188"/>
    <mergeCell ref="Z188:AA188"/>
    <mergeCell ref="AB188:AC188"/>
    <mergeCell ref="AD188:AE188"/>
    <mergeCell ref="AJ188:AK188"/>
    <mergeCell ref="AL188:AM188"/>
    <mergeCell ref="AN188:AO188"/>
    <mergeCell ref="A189:B189"/>
    <mergeCell ref="E189:F189"/>
    <mergeCell ref="G189:H189"/>
    <mergeCell ref="I189:J189"/>
    <mergeCell ref="O189:P189"/>
    <mergeCell ref="Q189:R189"/>
    <mergeCell ref="S189:T189"/>
    <mergeCell ref="V189:W189"/>
    <mergeCell ref="Z189:AA189"/>
    <mergeCell ref="AB189:AC189"/>
    <mergeCell ref="AD189:AE189"/>
    <mergeCell ref="AJ189:AK189"/>
    <mergeCell ref="AL189:AM189"/>
    <mergeCell ref="AN189:AO189"/>
    <mergeCell ref="A184:B184"/>
    <mergeCell ref="E184:F184"/>
    <mergeCell ref="G184:H184"/>
    <mergeCell ref="I184:J184"/>
    <mergeCell ref="O184:P184"/>
    <mergeCell ref="Q184:R184"/>
    <mergeCell ref="S184:T184"/>
    <mergeCell ref="V184:W184"/>
    <mergeCell ref="Z184:AA184"/>
    <mergeCell ref="AB184:AC184"/>
    <mergeCell ref="AD184:AE184"/>
    <mergeCell ref="AJ184:AK184"/>
    <mergeCell ref="AL184:AM184"/>
    <mergeCell ref="AN184:AO184"/>
    <mergeCell ref="A185:B185"/>
    <mergeCell ref="E185:F185"/>
    <mergeCell ref="G185:H185"/>
    <mergeCell ref="I185:J185"/>
    <mergeCell ref="O185:P185"/>
    <mergeCell ref="Q185:R185"/>
    <mergeCell ref="S185:T185"/>
    <mergeCell ref="V185:W185"/>
    <mergeCell ref="Z185:AA185"/>
    <mergeCell ref="AB185:AC185"/>
    <mergeCell ref="AD185:AE185"/>
    <mergeCell ref="AJ185:AK185"/>
    <mergeCell ref="AL185:AM185"/>
    <mergeCell ref="AN185:AO185"/>
    <mergeCell ref="A186:B186"/>
    <mergeCell ref="E186:F186"/>
    <mergeCell ref="G186:H186"/>
    <mergeCell ref="I186:J186"/>
    <mergeCell ref="O186:P186"/>
    <mergeCell ref="Q186:R186"/>
    <mergeCell ref="S186:T186"/>
    <mergeCell ref="V186:W186"/>
    <mergeCell ref="Z186:AA186"/>
    <mergeCell ref="AB186:AC186"/>
    <mergeCell ref="AD186:AE186"/>
    <mergeCell ref="AJ186:AK186"/>
    <mergeCell ref="AL186:AM186"/>
    <mergeCell ref="AN186:AO186"/>
    <mergeCell ref="A181:B181"/>
    <mergeCell ref="E181:F181"/>
    <mergeCell ref="G181:H181"/>
    <mergeCell ref="I181:J181"/>
    <mergeCell ref="O181:P181"/>
    <mergeCell ref="Q181:R181"/>
    <mergeCell ref="S181:T181"/>
    <mergeCell ref="V181:W181"/>
    <mergeCell ref="Z181:AA181"/>
    <mergeCell ref="AB181:AC181"/>
    <mergeCell ref="AD181:AE181"/>
    <mergeCell ref="AJ181:AK181"/>
    <mergeCell ref="AL181:AM181"/>
    <mergeCell ref="AN181:AO181"/>
    <mergeCell ref="A182:B182"/>
    <mergeCell ref="E182:F182"/>
    <mergeCell ref="G182:H182"/>
    <mergeCell ref="I182:J182"/>
    <mergeCell ref="O182:P182"/>
    <mergeCell ref="Q182:R182"/>
    <mergeCell ref="S182:T182"/>
    <mergeCell ref="V182:W182"/>
    <mergeCell ref="Z182:AA182"/>
    <mergeCell ref="AB182:AC182"/>
    <mergeCell ref="AD182:AE182"/>
    <mergeCell ref="AJ182:AK182"/>
    <mergeCell ref="AL182:AM182"/>
    <mergeCell ref="AN182:AO182"/>
    <mergeCell ref="A183:B183"/>
    <mergeCell ref="E183:F183"/>
    <mergeCell ref="G183:H183"/>
    <mergeCell ref="I183:J183"/>
    <mergeCell ref="O183:P183"/>
    <mergeCell ref="Q183:R183"/>
    <mergeCell ref="S183:T183"/>
    <mergeCell ref="V183:W183"/>
    <mergeCell ref="Z183:AA183"/>
    <mergeCell ref="AB183:AC183"/>
    <mergeCell ref="AD183:AE183"/>
    <mergeCell ref="AJ183:AK183"/>
    <mergeCell ref="AL183:AM183"/>
    <mergeCell ref="AN183:AO183"/>
    <mergeCell ref="A169:U169"/>
    <mergeCell ref="V169:AO169"/>
    <mergeCell ref="I179:J179"/>
    <mergeCell ref="O179:P179"/>
    <mergeCell ref="Q179:R179"/>
    <mergeCell ref="S179:T179"/>
    <mergeCell ref="V179:W179"/>
    <mergeCell ref="AB179:AC179"/>
    <mergeCell ref="AD179:AE179"/>
    <mergeCell ref="AJ179:AK179"/>
    <mergeCell ref="AL179:AM179"/>
    <mergeCell ref="AN179:AO179"/>
    <mergeCell ref="A180:B180"/>
    <mergeCell ref="E180:F180"/>
    <mergeCell ref="G180:H180"/>
    <mergeCell ref="I180:J180"/>
    <mergeCell ref="O180:P180"/>
    <mergeCell ref="Q180:R180"/>
    <mergeCell ref="S180:T180"/>
    <mergeCell ref="V180:W180"/>
    <mergeCell ref="Z180:AA180"/>
    <mergeCell ref="AB180:AC180"/>
    <mergeCell ref="AD180:AE180"/>
    <mergeCell ref="AJ180:AK180"/>
    <mergeCell ref="AL180:AM180"/>
    <mergeCell ref="AN180:AO180"/>
    <mergeCell ref="AB177:AC177"/>
    <mergeCell ref="AJ177:AK177"/>
    <mergeCell ref="AB178:AC178"/>
    <mergeCell ref="AD178:AE178"/>
    <mergeCell ref="AJ178:AK178"/>
    <mergeCell ref="Z179:AA179"/>
    <mergeCell ref="AL177:AM177"/>
    <mergeCell ref="AN177:AO177"/>
    <mergeCell ref="AD177:AE177"/>
    <mergeCell ref="Q177:R177"/>
    <mergeCell ref="S177:T177"/>
    <mergeCell ref="V177:W177"/>
    <mergeCell ref="Z177:AA177"/>
    <mergeCell ref="A177:B177"/>
    <mergeCell ref="E177:F177"/>
    <mergeCell ref="G177:H177"/>
    <mergeCell ref="O177:P177"/>
    <mergeCell ref="I177:J177"/>
    <mergeCell ref="A178:B178"/>
    <mergeCell ref="E178:F178"/>
    <mergeCell ref="G178:H178"/>
    <mergeCell ref="I178:J178"/>
    <mergeCell ref="O178:P178"/>
    <mergeCell ref="Q178:R178"/>
    <mergeCell ref="S178:T178"/>
    <mergeCell ref="V178:W178"/>
    <mergeCell ref="Z178:AA178"/>
    <mergeCell ref="AL178:AM178"/>
    <mergeCell ref="AN178:AO178"/>
    <mergeCell ref="A179:B179"/>
    <mergeCell ref="E179:F179"/>
    <mergeCell ref="G179:H179"/>
    <mergeCell ref="A171:T171"/>
    <mergeCell ref="V171:AO171"/>
    <mergeCell ref="O175:P176"/>
    <mergeCell ref="Q175:R176"/>
    <mergeCell ref="S175:T176"/>
    <mergeCell ref="A173:B176"/>
    <mergeCell ref="A161:B161"/>
    <mergeCell ref="E161:F161"/>
    <mergeCell ref="G161:H161"/>
    <mergeCell ref="I161:J161"/>
    <mergeCell ref="V161:W161"/>
    <mergeCell ref="Z161:AA161"/>
    <mergeCell ref="AB161:AC161"/>
    <mergeCell ref="AD161:AE161"/>
    <mergeCell ref="A163:B163"/>
    <mergeCell ref="E163:F163"/>
    <mergeCell ref="G163:H163"/>
    <mergeCell ref="I163:J163"/>
    <mergeCell ref="Z163:AA163"/>
    <mergeCell ref="AB163:AC163"/>
    <mergeCell ref="AD163:AE163"/>
    <mergeCell ref="A162:B162"/>
    <mergeCell ref="E162:F162"/>
    <mergeCell ref="E164:F164"/>
    <mergeCell ref="G164:H164"/>
    <mergeCell ref="I164:J164"/>
    <mergeCell ref="Z164:AA164"/>
    <mergeCell ref="AB164:AC164"/>
    <mergeCell ref="AB162:AC162"/>
    <mergeCell ref="G162:H162"/>
    <mergeCell ref="I162:J162"/>
    <mergeCell ref="V162:W162"/>
    <mergeCell ref="Z162:AA162"/>
    <mergeCell ref="AD164:AE164"/>
    <mergeCell ref="A165:B165"/>
    <mergeCell ref="E165:F165"/>
    <mergeCell ref="G165:H165"/>
    <mergeCell ref="I165:J165"/>
    <mergeCell ref="V165:W165"/>
    <mergeCell ref="Z165:AA165"/>
    <mergeCell ref="AB165:AC165"/>
    <mergeCell ref="A164:B164"/>
    <mergeCell ref="A156:B156"/>
    <mergeCell ref="E156:F156"/>
    <mergeCell ref="G156:H156"/>
    <mergeCell ref="I156:J156"/>
    <mergeCell ref="V156:W156"/>
    <mergeCell ref="Z156:AA156"/>
    <mergeCell ref="AB156:AC156"/>
    <mergeCell ref="AD156:AE156"/>
    <mergeCell ref="V155:W155"/>
    <mergeCell ref="Z158:AA158"/>
    <mergeCell ref="AB158:AC158"/>
    <mergeCell ref="A157:B157"/>
    <mergeCell ref="E157:F157"/>
    <mergeCell ref="G157:H157"/>
    <mergeCell ref="I157:J157"/>
    <mergeCell ref="V157:W157"/>
    <mergeCell ref="Z157:AA157"/>
    <mergeCell ref="AB157:AC157"/>
    <mergeCell ref="AD157:AE157"/>
    <mergeCell ref="A158:B158"/>
    <mergeCell ref="E158:F158"/>
    <mergeCell ref="G158:H158"/>
    <mergeCell ref="I158:J158"/>
    <mergeCell ref="M158:P158"/>
    <mergeCell ref="V158:W158"/>
    <mergeCell ref="A160:B160"/>
    <mergeCell ref="E160:F160"/>
    <mergeCell ref="G160:H160"/>
    <mergeCell ref="I160:J160"/>
    <mergeCell ref="A159:B159"/>
    <mergeCell ref="E159:F159"/>
    <mergeCell ref="G159:H159"/>
    <mergeCell ref="I159:J159"/>
    <mergeCell ref="AD160:AE160"/>
    <mergeCell ref="A151:B151"/>
    <mergeCell ref="E151:F151"/>
    <mergeCell ref="G151:H151"/>
    <mergeCell ref="I151:J151"/>
    <mergeCell ref="V151:W151"/>
    <mergeCell ref="Z151:AA151"/>
    <mergeCell ref="AB151:AC151"/>
    <mergeCell ref="AD151:AE151"/>
    <mergeCell ref="A152:B152"/>
    <mergeCell ref="E152:F152"/>
    <mergeCell ref="G152:H152"/>
    <mergeCell ref="I152:J152"/>
    <mergeCell ref="V152:W152"/>
    <mergeCell ref="Z152:AA152"/>
    <mergeCell ref="AB152:AC152"/>
    <mergeCell ref="AD152:AE152"/>
    <mergeCell ref="A153:B153"/>
    <mergeCell ref="E153:F153"/>
    <mergeCell ref="G153:H153"/>
    <mergeCell ref="I153:J153"/>
    <mergeCell ref="V153:W153"/>
    <mergeCell ref="Z153:AA153"/>
    <mergeCell ref="AB153:AC153"/>
    <mergeCell ref="AD153:AE153"/>
    <mergeCell ref="A154:B154"/>
    <mergeCell ref="E154:F154"/>
    <mergeCell ref="G154:H154"/>
    <mergeCell ref="I154:J154"/>
    <mergeCell ref="V154:W154"/>
    <mergeCell ref="Z154:AA154"/>
    <mergeCell ref="AB154:AC154"/>
    <mergeCell ref="AD154:AE154"/>
    <mergeCell ref="A155:B155"/>
    <mergeCell ref="E155:F155"/>
    <mergeCell ref="G155:H155"/>
    <mergeCell ref="I155:J155"/>
    <mergeCell ref="AD155:AE155"/>
    <mergeCell ref="A148:B148"/>
    <mergeCell ref="E148:F148"/>
    <mergeCell ref="G148:H148"/>
    <mergeCell ref="I148:J148"/>
    <mergeCell ref="O148:P148"/>
    <mergeCell ref="Q148:R148"/>
    <mergeCell ref="S148:T148"/>
    <mergeCell ref="V148:W148"/>
    <mergeCell ref="Z148:AA148"/>
    <mergeCell ref="AB148:AC148"/>
    <mergeCell ref="AD148:AE148"/>
    <mergeCell ref="AJ148:AK148"/>
    <mergeCell ref="AL148:AM148"/>
    <mergeCell ref="S149:T149"/>
    <mergeCell ref="V149:W149"/>
    <mergeCell ref="A149:B149"/>
    <mergeCell ref="E149:F149"/>
    <mergeCell ref="G149:H149"/>
    <mergeCell ref="I149:J149"/>
    <mergeCell ref="Z149:AA149"/>
    <mergeCell ref="A150:B150"/>
    <mergeCell ref="E150:F150"/>
    <mergeCell ref="G150:H150"/>
    <mergeCell ref="I150:J150"/>
    <mergeCell ref="S150:T150"/>
    <mergeCell ref="V150:W150"/>
    <mergeCell ref="Z150:AA150"/>
    <mergeCell ref="O149:P149"/>
    <mergeCell ref="Q149:R149"/>
    <mergeCell ref="AB150:AC150"/>
    <mergeCell ref="AD150:AE150"/>
    <mergeCell ref="AJ150:AK150"/>
    <mergeCell ref="AL150:AM150"/>
    <mergeCell ref="A145:B145"/>
    <mergeCell ref="E145:F145"/>
    <mergeCell ref="G145:H145"/>
    <mergeCell ref="I145:J145"/>
    <mergeCell ref="O145:P145"/>
    <mergeCell ref="Q145:R145"/>
    <mergeCell ref="S145:T145"/>
    <mergeCell ref="V145:W145"/>
    <mergeCell ref="Z145:AA145"/>
    <mergeCell ref="AB145:AC145"/>
    <mergeCell ref="AD145:AE145"/>
    <mergeCell ref="AJ145:AK145"/>
    <mergeCell ref="AL145:AM145"/>
    <mergeCell ref="AN145:AO145"/>
    <mergeCell ref="A146:B146"/>
    <mergeCell ref="E146:F146"/>
    <mergeCell ref="G146:H146"/>
    <mergeCell ref="I146:J146"/>
    <mergeCell ref="O146:P146"/>
    <mergeCell ref="Q146:R146"/>
    <mergeCell ref="S146:T146"/>
    <mergeCell ref="V146:W146"/>
    <mergeCell ref="Z146:AA146"/>
    <mergeCell ref="AB146:AC146"/>
    <mergeCell ref="AD146:AE146"/>
    <mergeCell ref="AJ146:AK146"/>
    <mergeCell ref="AL146:AM146"/>
    <mergeCell ref="AN146:AO146"/>
    <mergeCell ref="A147:B147"/>
    <mergeCell ref="E147:F147"/>
    <mergeCell ref="G147:H147"/>
    <mergeCell ref="I147:J147"/>
    <mergeCell ref="O147:P147"/>
    <mergeCell ref="Q147:R147"/>
    <mergeCell ref="S147:T147"/>
    <mergeCell ref="V147:W147"/>
    <mergeCell ref="Z147:AA147"/>
    <mergeCell ref="AB147:AC147"/>
    <mergeCell ref="AD147:AE147"/>
    <mergeCell ref="AJ147:AK147"/>
    <mergeCell ref="AL147:AM147"/>
    <mergeCell ref="AN147:AO147"/>
    <mergeCell ref="A142:B142"/>
    <mergeCell ref="E142:F142"/>
    <mergeCell ref="G142:H142"/>
    <mergeCell ref="I142:J142"/>
    <mergeCell ref="O142:P142"/>
    <mergeCell ref="Q142:R142"/>
    <mergeCell ref="S142:T142"/>
    <mergeCell ref="V142:W142"/>
    <mergeCell ref="Z142:AA142"/>
    <mergeCell ref="AB142:AC142"/>
    <mergeCell ref="AD142:AE142"/>
    <mergeCell ref="AJ142:AK142"/>
    <mergeCell ref="AL142:AM142"/>
    <mergeCell ref="AN142:AO142"/>
    <mergeCell ref="A143:B143"/>
    <mergeCell ref="E143:F143"/>
    <mergeCell ref="G143:H143"/>
    <mergeCell ref="I143:J143"/>
    <mergeCell ref="O143:P143"/>
    <mergeCell ref="Q143:R143"/>
    <mergeCell ref="S143:T143"/>
    <mergeCell ref="V143:W143"/>
    <mergeCell ref="Z143:AA143"/>
    <mergeCell ref="AB143:AC143"/>
    <mergeCell ref="AD143:AE143"/>
    <mergeCell ref="AJ143:AK143"/>
    <mergeCell ref="AL143:AM143"/>
    <mergeCell ref="AN143:AO143"/>
    <mergeCell ref="A144:B144"/>
    <mergeCell ref="E144:F144"/>
    <mergeCell ref="G144:H144"/>
    <mergeCell ref="I144:J144"/>
    <mergeCell ref="O144:P144"/>
    <mergeCell ref="Q144:R144"/>
    <mergeCell ref="S144:T144"/>
    <mergeCell ref="V144:W144"/>
    <mergeCell ref="Z144:AA144"/>
    <mergeCell ref="AB144:AC144"/>
    <mergeCell ref="AD144:AE144"/>
    <mergeCell ref="AJ144:AK144"/>
    <mergeCell ref="AL144:AM144"/>
    <mergeCell ref="AN144:AO144"/>
    <mergeCell ref="A139:B139"/>
    <mergeCell ref="E139:F139"/>
    <mergeCell ref="G139:H139"/>
    <mergeCell ref="I139:J139"/>
    <mergeCell ref="O139:P139"/>
    <mergeCell ref="Q139:R139"/>
    <mergeCell ref="S139:T139"/>
    <mergeCell ref="V139:W139"/>
    <mergeCell ref="Z139:AA139"/>
    <mergeCell ref="AB139:AC139"/>
    <mergeCell ref="AD139:AE139"/>
    <mergeCell ref="AJ139:AK139"/>
    <mergeCell ref="AL139:AM139"/>
    <mergeCell ref="AN139:AO139"/>
    <mergeCell ref="A140:B140"/>
    <mergeCell ref="E140:F140"/>
    <mergeCell ref="G140:H140"/>
    <mergeCell ref="I140:J140"/>
    <mergeCell ref="O140:P140"/>
    <mergeCell ref="Q140:R140"/>
    <mergeCell ref="S140:T140"/>
    <mergeCell ref="V140:W140"/>
    <mergeCell ref="Z140:AA140"/>
    <mergeCell ref="AB140:AC140"/>
    <mergeCell ref="AD140:AE140"/>
    <mergeCell ref="AJ140:AK140"/>
    <mergeCell ref="AL140:AM140"/>
    <mergeCell ref="AN140:AO140"/>
    <mergeCell ref="A141:B141"/>
    <mergeCell ref="E141:F141"/>
    <mergeCell ref="G141:H141"/>
    <mergeCell ref="I141:J141"/>
    <mergeCell ref="O141:P141"/>
    <mergeCell ref="Q141:R141"/>
    <mergeCell ref="S141:T141"/>
    <mergeCell ref="V141:W141"/>
    <mergeCell ref="Z141:AA141"/>
    <mergeCell ref="AB141:AC141"/>
    <mergeCell ref="AD141:AE141"/>
    <mergeCell ref="AJ141:AK141"/>
    <mergeCell ref="AL141:AM141"/>
    <mergeCell ref="AN141:AO141"/>
    <mergeCell ref="A136:B136"/>
    <mergeCell ref="E136:F136"/>
    <mergeCell ref="G136:H136"/>
    <mergeCell ref="I136:J136"/>
    <mergeCell ref="O136:P136"/>
    <mergeCell ref="Q136:R136"/>
    <mergeCell ref="S136:T136"/>
    <mergeCell ref="V136:W136"/>
    <mergeCell ref="Z136:AA136"/>
    <mergeCell ref="AB136:AC136"/>
    <mergeCell ref="AD136:AE136"/>
    <mergeCell ref="AJ136:AK136"/>
    <mergeCell ref="AL136:AM136"/>
    <mergeCell ref="AN136:AO136"/>
    <mergeCell ref="A137:B137"/>
    <mergeCell ref="E137:F137"/>
    <mergeCell ref="G137:H137"/>
    <mergeCell ref="I137:J137"/>
    <mergeCell ref="O137:P137"/>
    <mergeCell ref="Q137:R137"/>
    <mergeCell ref="S137:T137"/>
    <mergeCell ref="V137:W137"/>
    <mergeCell ref="Z137:AA137"/>
    <mergeCell ref="AB137:AC137"/>
    <mergeCell ref="AD137:AE137"/>
    <mergeCell ref="AJ137:AK137"/>
    <mergeCell ref="AL137:AM137"/>
    <mergeCell ref="AN137:AO137"/>
    <mergeCell ref="A138:B138"/>
    <mergeCell ref="E138:F138"/>
    <mergeCell ref="G138:H138"/>
    <mergeCell ref="I138:J138"/>
    <mergeCell ref="O138:P138"/>
    <mergeCell ref="Q138:R138"/>
    <mergeCell ref="S138:T138"/>
    <mergeCell ref="V138:W138"/>
    <mergeCell ref="Z138:AA138"/>
    <mergeCell ref="AB138:AC138"/>
    <mergeCell ref="AD138:AE138"/>
    <mergeCell ref="AJ138:AK138"/>
    <mergeCell ref="AL138:AM138"/>
    <mergeCell ref="AN138:AO138"/>
    <mergeCell ref="A133:B133"/>
    <mergeCell ref="E133:F133"/>
    <mergeCell ref="G133:H133"/>
    <mergeCell ref="I133:J133"/>
    <mergeCell ref="O133:P133"/>
    <mergeCell ref="Q133:R133"/>
    <mergeCell ref="S133:T133"/>
    <mergeCell ref="V133:W133"/>
    <mergeCell ref="Z133:AA133"/>
    <mergeCell ref="AB133:AC133"/>
    <mergeCell ref="AD133:AE133"/>
    <mergeCell ref="AJ133:AK133"/>
    <mergeCell ref="AL133:AM133"/>
    <mergeCell ref="AN133:AO133"/>
    <mergeCell ref="A134:B134"/>
    <mergeCell ref="E134:F134"/>
    <mergeCell ref="G134:H134"/>
    <mergeCell ref="I134:J134"/>
    <mergeCell ref="O134:P134"/>
    <mergeCell ref="Q134:R134"/>
    <mergeCell ref="S134:T134"/>
    <mergeCell ref="V134:W134"/>
    <mergeCell ref="Z134:AA134"/>
    <mergeCell ref="AB134:AC134"/>
    <mergeCell ref="AD134:AE134"/>
    <mergeCell ref="AJ134:AK134"/>
    <mergeCell ref="AL134:AM134"/>
    <mergeCell ref="AN134:AO134"/>
    <mergeCell ref="A135:B135"/>
    <mergeCell ref="E135:F135"/>
    <mergeCell ref="G135:H135"/>
    <mergeCell ref="I135:J135"/>
    <mergeCell ref="O135:P135"/>
    <mergeCell ref="Q135:R135"/>
    <mergeCell ref="S135:T135"/>
    <mergeCell ref="V135:W135"/>
    <mergeCell ref="Z135:AA135"/>
    <mergeCell ref="AB135:AC135"/>
    <mergeCell ref="AD135:AE135"/>
    <mergeCell ref="AJ135:AK135"/>
    <mergeCell ref="AL135:AM135"/>
    <mergeCell ref="AN135:AO135"/>
    <mergeCell ref="A130:B130"/>
    <mergeCell ref="E130:F130"/>
    <mergeCell ref="G130:H130"/>
    <mergeCell ref="I130:J130"/>
    <mergeCell ref="O130:P130"/>
    <mergeCell ref="Q130:R130"/>
    <mergeCell ref="S130:T130"/>
    <mergeCell ref="V130:W130"/>
    <mergeCell ref="Z130:AA130"/>
    <mergeCell ref="AB130:AC130"/>
    <mergeCell ref="AD130:AE130"/>
    <mergeCell ref="AJ130:AK130"/>
    <mergeCell ref="AL130:AM130"/>
    <mergeCell ref="AN130:AO130"/>
    <mergeCell ref="A131:B131"/>
    <mergeCell ref="E131:F131"/>
    <mergeCell ref="G131:H131"/>
    <mergeCell ref="I131:J131"/>
    <mergeCell ref="O131:P131"/>
    <mergeCell ref="Q131:R131"/>
    <mergeCell ref="S131:T131"/>
    <mergeCell ref="V131:W131"/>
    <mergeCell ref="Z131:AA131"/>
    <mergeCell ref="AB131:AC131"/>
    <mergeCell ref="AD131:AE131"/>
    <mergeCell ref="AJ131:AK131"/>
    <mergeCell ref="AL131:AM131"/>
    <mergeCell ref="AN131:AO131"/>
    <mergeCell ref="A132:B132"/>
    <mergeCell ref="E132:F132"/>
    <mergeCell ref="G132:H132"/>
    <mergeCell ref="I132:J132"/>
    <mergeCell ref="O132:P132"/>
    <mergeCell ref="Q132:R132"/>
    <mergeCell ref="S132:T132"/>
    <mergeCell ref="V132:W132"/>
    <mergeCell ref="Z132:AA132"/>
    <mergeCell ref="AB132:AC132"/>
    <mergeCell ref="AD132:AE132"/>
    <mergeCell ref="AJ132:AK132"/>
    <mergeCell ref="AL132:AM132"/>
    <mergeCell ref="AN132:AO132"/>
    <mergeCell ref="A127:B127"/>
    <mergeCell ref="E127:F127"/>
    <mergeCell ref="G127:H127"/>
    <mergeCell ref="I127:J127"/>
    <mergeCell ref="O127:P127"/>
    <mergeCell ref="Q127:R127"/>
    <mergeCell ref="S127:T127"/>
    <mergeCell ref="V127:W127"/>
    <mergeCell ref="Z127:AA127"/>
    <mergeCell ref="AB127:AC127"/>
    <mergeCell ref="AD127:AE127"/>
    <mergeCell ref="AJ127:AK127"/>
    <mergeCell ref="AL127:AM127"/>
    <mergeCell ref="AN127:AO127"/>
    <mergeCell ref="A128:B128"/>
    <mergeCell ref="E128:F128"/>
    <mergeCell ref="G128:H128"/>
    <mergeCell ref="I128:J128"/>
    <mergeCell ref="O128:P128"/>
    <mergeCell ref="Q128:R128"/>
    <mergeCell ref="S128:T128"/>
    <mergeCell ref="V128:W128"/>
    <mergeCell ref="Z128:AA128"/>
    <mergeCell ref="AB128:AC128"/>
    <mergeCell ref="AD128:AE128"/>
    <mergeCell ref="AJ128:AK128"/>
    <mergeCell ref="AL128:AM128"/>
    <mergeCell ref="AN128:AO128"/>
    <mergeCell ref="A129:B129"/>
    <mergeCell ref="E129:F129"/>
    <mergeCell ref="G129:H129"/>
    <mergeCell ref="I129:J129"/>
    <mergeCell ref="O129:P129"/>
    <mergeCell ref="Q129:R129"/>
    <mergeCell ref="S129:T129"/>
    <mergeCell ref="V129:W129"/>
    <mergeCell ref="Z129:AA129"/>
    <mergeCell ref="AB129:AC129"/>
    <mergeCell ref="AD129:AE129"/>
    <mergeCell ref="AJ129:AK129"/>
    <mergeCell ref="AL129:AM129"/>
    <mergeCell ref="AN129:AO129"/>
    <mergeCell ref="A124:B124"/>
    <mergeCell ref="E124:F124"/>
    <mergeCell ref="G124:H124"/>
    <mergeCell ref="I124:J124"/>
    <mergeCell ref="O124:P124"/>
    <mergeCell ref="Q124:R124"/>
    <mergeCell ref="S124:T124"/>
    <mergeCell ref="V124:W124"/>
    <mergeCell ref="Z124:AA124"/>
    <mergeCell ref="AB124:AC124"/>
    <mergeCell ref="AD124:AE124"/>
    <mergeCell ref="AJ124:AK124"/>
    <mergeCell ref="AL124:AM124"/>
    <mergeCell ref="AN124:AO124"/>
    <mergeCell ref="A125:B125"/>
    <mergeCell ref="E125:F125"/>
    <mergeCell ref="G125:H125"/>
    <mergeCell ref="I125:J125"/>
    <mergeCell ref="O125:P125"/>
    <mergeCell ref="Q125:R125"/>
    <mergeCell ref="S125:T125"/>
    <mergeCell ref="V125:W125"/>
    <mergeCell ref="Z125:AA125"/>
    <mergeCell ref="AB125:AC125"/>
    <mergeCell ref="AD125:AE125"/>
    <mergeCell ref="AJ125:AK125"/>
    <mergeCell ref="AL125:AM125"/>
    <mergeCell ref="AN125:AO125"/>
    <mergeCell ref="A126:B126"/>
    <mergeCell ref="E126:F126"/>
    <mergeCell ref="G126:H126"/>
    <mergeCell ref="I126:J126"/>
    <mergeCell ref="O126:P126"/>
    <mergeCell ref="Q126:R126"/>
    <mergeCell ref="S126:T126"/>
    <mergeCell ref="V126:W126"/>
    <mergeCell ref="Z126:AA126"/>
    <mergeCell ref="AB126:AC126"/>
    <mergeCell ref="AD126:AE126"/>
    <mergeCell ref="AJ126:AK126"/>
    <mergeCell ref="AL126:AM126"/>
    <mergeCell ref="AN126:AO126"/>
    <mergeCell ref="A123:B123"/>
    <mergeCell ref="E123:F123"/>
    <mergeCell ref="G123:H123"/>
    <mergeCell ref="I123:J123"/>
    <mergeCell ref="O123:P123"/>
    <mergeCell ref="Q123:R123"/>
    <mergeCell ref="S123:T123"/>
    <mergeCell ref="V123:W123"/>
    <mergeCell ref="Z123:AA123"/>
    <mergeCell ref="AB123:AC123"/>
    <mergeCell ref="AD123:AE123"/>
    <mergeCell ref="AJ123:AK123"/>
    <mergeCell ref="AL123:AM123"/>
    <mergeCell ref="AN123:AO123"/>
    <mergeCell ref="AN112:AO112"/>
    <mergeCell ref="A113:U113"/>
    <mergeCell ref="V113:AO113"/>
    <mergeCell ref="A115:T115"/>
    <mergeCell ref="V115:AO115"/>
    <mergeCell ref="O119:P120"/>
    <mergeCell ref="Q119:R120"/>
    <mergeCell ref="S119:T120"/>
    <mergeCell ref="A117:B120"/>
    <mergeCell ref="C117:F118"/>
    <mergeCell ref="AB121:AC121"/>
    <mergeCell ref="AJ121:AK121"/>
    <mergeCell ref="AL121:AM121"/>
    <mergeCell ref="AN121:AO121"/>
    <mergeCell ref="AD121:AE121"/>
    <mergeCell ref="Q121:R121"/>
    <mergeCell ref="S121:T121"/>
    <mergeCell ref="V121:W121"/>
    <mergeCell ref="Z121:AA121"/>
    <mergeCell ref="A121:B121"/>
    <mergeCell ref="E121:F121"/>
    <mergeCell ref="G121:H121"/>
    <mergeCell ref="O121:P121"/>
    <mergeCell ref="I121:J121"/>
    <mergeCell ref="E108:F108"/>
    <mergeCell ref="G108:H108"/>
    <mergeCell ref="I108:J108"/>
    <mergeCell ref="Z108:AA108"/>
    <mergeCell ref="AB108:AC108"/>
    <mergeCell ref="AB106:AC106"/>
    <mergeCell ref="G106:H106"/>
    <mergeCell ref="I106:J106"/>
    <mergeCell ref="V106:W106"/>
    <mergeCell ref="Z106:AA106"/>
    <mergeCell ref="AD108:AE108"/>
    <mergeCell ref="V108:W108"/>
    <mergeCell ref="A109:B109"/>
    <mergeCell ref="E109:F109"/>
    <mergeCell ref="G109:H109"/>
    <mergeCell ref="I109:J109"/>
    <mergeCell ref="V109:W109"/>
    <mergeCell ref="Z109:AA109"/>
    <mergeCell ref="AB109:AC109"/>
    <mergeCell ref="A108:B108"/>
    <mergeCell ref="A122:B122"/>
    <mergeCell ref="E122:F122"/>
    <mergeCell ref="G122:H122"/>
    <mergeCell ref="I122:J122"/>
    <mergeCell ref="O122:P122"/>
    <mergeCell ref="Q122:R122"/>
    <mergeCell ref="S122:T122"/>
    <mergeCell ref="V122:W122"/>
    <mergeCell ref="Z122:AA122"/>
    <mergeCell ref="AB122:AC122"/>
    <mergeCell ref="AD122:AE122"/>
    <mergeCell ref="AJ122:AK122"/>
    <mergeCell ref="AL122:AM122"/>
    <mergeCell ref="A103:B103"/>
    <mergeCell ref="E103:F103"/>
    <mergeCell ref="G103:H103"/>
    <mergeCell ref="I103:J103"/>
    <mergeCell ref="M103:P103"/>
    <mergeCell ref="V103:W103"/>
    <mergeCell ref="Z103:AA103"/>
    <mergeCell ref="AB103:AC103"/>
    <mergeCell ref="AD103:AE103"/>
    <mergeCell ref="AH103:AK103"/>
    <mergeCell ref="AH102:AK102"/>
    <mergeCell ref="M102:P102"/>
    <mergeCell ref="V102:W102"/>
    <mergeCell ref="A104:B104"/>
    <mergeCell ref="E104:F104"/>
    <mergeCell ref="G104:H104"/>
    <mergeCell ref="I104:J104"/>
    <mergeCell ref="V104:W104"/>
    <mergeCell ref="Z104:AA104"/>
    <mergeCell ref="AB104:AC104"/>
    <mergeCell ref="AD104:AE104"/>
    <mergeCell ref="AH104:AK104"/>
    <mergeCell ref="A105:B105"/>
    <mergeCell ref="E105:F105"/>
    <mergeCell ref="G105:H105"/>
    <mergeCell ref="I105:J105"/>
    <mergeCell ref="V105:W105"/>
    <mergeCell ref="Z105:AA105"/>
    <mergeCell ref="AB105:AC105"/>
    <mergeCell ref="AD105:AE105"/>
    <mergeCell ref="A107:B107"/>
    <mergeCell ref="E107:F107"/>
    <mergeCell ref="G107:H107"/>
    <mergeCell ref="I107:J107"/>
    <mergeCell ref="Z107:AA107"/>
    <mergeCell ref="AB107:AC107"/>
    <mergeCell ref="AD107:AE107"/>
    <mergeCell ref="A106:B106"/>
    <mergeCell ref="E106:F106"/>
    <mergeCell ref="A98:B98"/>
    <mergeCell ref="E98:F98"/>
    <mergeCell ref="G98:H98"/>
    <mergeCell ref="I98:J98"/>
    <mergeCell ref="V98:W98"/>
    <mergeCell ref="Z98:AA98"/>
    <mergeCell ref="AB98:AC98"/>
    <mergeCell ref="AD98:AE98"/>
    <mergeCell ref="A99:B99"/>
    <mergeCell ref="E99:F99"/>
    <mergeCell ref="G99:H99"/>
    <mergeCell ref="I99:J99"/>
    <mergeCell ref="V99:W99"/>
    <mergeCell ref="Z99:AA99"/>
    <mergeCell ref="AB99:AC99"/>
    <mergeCell ref="AD99:AE99"/>
    <mergeCell ref="A100:B100"/>
    <mergeCell ref="E100:F100"/>
    <mergeCell ref="G100:H100"/>
    <mergeCell ref="I100:J100"/>
    <mergeCell ref="V100:W100"/>
    <mergeCell ref="Z100:AA100"/>
    <mergeCell ref="AB100:AC100"/>
    <mergeCell ref="AD100:AE100"/>
    <mergeCell ref="A101:B101"/>
    <mergeCell ref="E101:F101"/>
    <mergeCell ref="G101:H101"/>
    <mergeCell ref="I101:J101"/>
    <mergeCell ref="V101:W101"/>
    <mergeCell ref="Z101:AA101"/>
    <mergeCell ref="AB101:AC101"/>
    <mergeCell ref="AD101:AE101"/>
    <mergeCell ref="A102:B102"/>
    <mergeCell ref="E102:F102"/>
    <mergeCell ref="G102:H102"/>
    <mergeCell ref="I102:J102"/>
    <mergeCell ref="Z102:AA102"/>
    <mergeCell ref="AB102:AC102"/>
    <mergeCell ref="AD102:AE102"/>
    <mergeCell ref="A94:B94"/>
    <mergeCell ref="E94:F94"/>
    <mergeCell ref="G94:H94"/>
    <mergeCell ref="I94:J94"/>
    <mergeCell ref="O94:P94"/>
    <mergeCell ref="Q94:R94"/>
    <mergeCell ref="S94:T94"/>
    <mergeCell ref="V94:W94"/>
    <mergeCell ref="Z94:AA94"/>
    <mergeCell ref="AB94:AC94"/>
    <mergeCell ref="AD94:AE94"/>
    <mergeCell ref="AJ94:AK94"/>
    <mergeCell ref="AL94:AM94"/>
    <mergeCell ref="AN94:AO94"/>
    <mergeCell ref="A95:B95"/>
    <mergeCell ref="E95:F95"/>
    <mergeCell ref="G95:H95"/>
    <mergeCell ref="I95:J95"/>
    <mergeCell ref="S95:T95"/>
    <mergeCell ref="V95:W95"/>
    <mergeCell ref="Z95:AA95"/>
    <mergeCell ref="AB95:AC95"/>
    <mergeCell ref="AD95:AE95"/>
    <mergeCell ref="AN95:AO95"/>
    <mergeCell ref="A96:B96"/>
    <mergeCell ref="E96:F96"/>
    <mergeCell ref="G96:H96"/>
    <mergeCell ref="I96:J96"/>
    <mergeCell ref="V96:W96"/>
    <mergeCell ref="Z96:AA96"/>
    <mergeCell ref="AB96:AC96"/>
    <mergeCell ref="AD96:AE96"/>
    <mergeCell ref="A97:B97"/>
    <mergeCell ref="E97:F97"/>
    <mergeCell ref="G97:H97"/>
    <mergeCell ref="I97:J97"/>
    <mergeCell ref="V97:W97"/>
    <mergeCell ref="Z97:AA97"/>
    <mergeCell ref="AB97:AC97"/>
    <mergeCell ref="AD97:AE97"/>
    <mergeCell ref="A91:B91"/>
    <mergeCell ref="E91:F91"/>
    <mergeCell ref="G91:H91"/>
    <mergeCell ref="I91:J91"/>
    <mergeCell ref="O91:P91"/>
    <mergeCell ref="Q91:R91"/>
    <mergeCell ref="S91:T91"/>
    <mergeCell ref="V91:W91"/>
    <mergeCell ref="Z91:AA91"/>
    <mergeCell ref="AB91:AC91"/>
    <mergeCell ref="AD91:AE91"/>
    <mergeCell ref="AJ91:AK91"/>
    <mergeCell ref="AL91:AM91"/>
    <mergeCell ref="AN91:AO91"/>
    <mergeCell ref="A92:B92"/>
    <mergeCell ref="E92:F92"/>
    <mergeCell ref="G92:H92"/>
    <mergeCell ref="I92:J92"/>
    <mergeCell ref="O92:P92"/>
    <mergeCell ref="Q92:R92"/>
    <mergeCell ref="S92:T92"/>
    <mergeCell ref="V92:W92"/>
    <mergeCell ref="Z92:AA92"/>
    <mergeCell ref="AB92:AC92"/>
    <mergeCell ref="AD92:AE92"/>
    <mergeCell ref="AJ92:AK92"/>
    <mergeCell ref="AL92:AM92"/>
    <mergeCell ref="AN92:AO92"/>
    <mergeCell ref="A93:B93"/>
    <mergeCell ref="E93:F93"/>
    <mergeCell ref="G93:H93"/>
    <mergeCell ref="I93:J93"/>
    <mergeCell ref="O93:P93"/>
    <mergeCell ref="Q93:R93"/>
    <mergeCell ref="S93:T93"/>
    <mergeCell ref="V93:W93"/>
    <mergeCell ref="Z93:AA93"/>
    <mergeCell ref="AB93:AC93"/>
    <mergeCell ref="AD93:AE93"/>
    <mergeCell ref="AJ93:AK93"/>
    <mergeCell ref="AL93:AM93"/>
    <mergeCell ref="A88:B88"/>
    <mergeCell ref="E88:F88"/>
    <mergeCell ref="G88:H88"/>
    <mergeCell ref="I88:J88"/>
    <mergeCell ref="O88:P88"/>
    <mergeCell ref="Q88:R88"/>
    <mergeCell ref="S88:T88"/>
    <mergeCell ref="V88:W88"/>
    <mergeCell ref="Z88:AA88"/>
    <mergeCell ref="AB88:AC88"/>
    <mergeCell ref="AD88:AE88"/>
    <mergeCell ref="AJ88:AK88"/>
    <mergeCell ref="AL88:AM88"/>
    <mergeCell ref="AN88:AO88"/>
    <mergeCell ref="A89:B89"/>
    <mergeCell ref="E89:F89"/>
    <mergeCell ref="G89:H89"/>
    <mergeCell ref="I89:J89"/>
    <mergeCell ref="O89:P89"/>
    <mergeCell ref="Q89:R89"/>
    <mergeCell ref="S89:T89"/>
    <mergeCell ref="V89:W89"/>
    <mergeCell ref="Z89:AA89"/>
    <mergeCell ref="AB89:AC89"/>
    <mergeCell ref="AD89:AE89"/>
    <mergeCell ref="AJ89:AK89"/>
    <mergeCell ref="AL89:AM89"/>
    <mergeCell ref="AN89:AO89"/>
    <mergeCell ref="A90:B90"/>
    <mergeCell ref="E90:F90"/>
    <mergeCell ref="G90:H90"/>
    <mergeCell ref="I90:J90"/>
    <mergeCell ref="O90:P90"/>
    <mergeCell ref="Q90:R90"/>
    <mergeCell ref="S90:T90"/>
    <mergeCell ref="V90:W90"/>
    <mergeCell ref="Z90:AA90"/>
    <mergeCell ref="AB90:AC90"/>
    <mergeCell ref="AD90:AE90"/>
    <mergeCell ref="AJ90:AK90"/>
    <mergeCell ref="AL90:AM90"/>
    <mergeCell ref="AN90:AO90"/>
    <mergeCell ref="A85:B85"/>
    <mergeCell ref="E85:F85"/>
    <mergeCell ref="G85:H85"/>
    <mergeCell ref="I85:J85"/>
    <mergeCell ref="O85:P85"/>
    <mergeCell ref="Q85:R85"/>
    <mergeCell ref="S85:T85"/>
    <mergeCell ref="V85:W85"/>
    <mergeCell ref="Z85:AA85"/>
    <mergeCell ref="AB85:AC85"/>
    <mergeCell ref="AD85:AE85"/>
    <mergeCell ref="AJ85:AK85"/>
    <mergeCell ref="AL85:AM85"/>
    <mergeCell ref="AN85:AO85"/>
    <mergeCell ref="A86:B86"/>
    <mergeCell ref="E86:F86"/>
    <mergeCell ref="G86:H86"/>
    <mergeCell ref="I86:J86"/>
    <mergeCell ref="O86:P86"/>
    <mergeCell ref="Q86:R86"/>
    <mergeCell ref="S86:T86"/>
    <mergeCell ref="V86:W86"/>
    <mergeCell ref="Z86:AA86"/>
    <mergeCell ref="AB86:AC86"/>
    <mergeCell ref="AD86:AE86"/>
    <mergeCell ref="AJ86:AK86"/>
    <mergeCell ref="AL86:AM86"/>
    <mergeCell ref="AN86:AO86"/>
    <mergeCell ref="A87:B87"/>
    <mergeCell ref="E87:F87"/>
    <mergeCell ref="G87:H87"/>
    <mergeCell ref="I87:J87"/>
    <mergeCell ref="O87:P87"/>
    <mergeCell ref="Q87:R87"/>
    <mergeCell ref="S87:T87"/>
    <mergeCell ref="V87:W87"/>
    <mergeCell ref="Z87:AA87"/>
    <mergeCell ref="AB87:AC87"/>
    <mergeCell ref="AD87:AE87"/>
    <mergeCell ref="AJ87:AK87"/>
    <mergeCell ref="AL87:AM87"/>
    <mergeCell ref="AN87:AO87"/>
    <mergeCell ref="A82:B82"/>
    <mergeCell ref="E82:F82"/>
    <mergeCell ref="G82:H82"/>
    <mergeCell ref="I82:J82"/>
    <mergeCell ref="O82:P82"/>
    <mergeCell ref="Q82:R82"/>
    <mergeCell ref="S82:T82"/>
    <mergeCell ref="V82:W82"/>
    <mergeCell ref="Z82:AA82"/>
    <mergeCell ref="AB82:AC82"/>
    <mergeCell ref="AD82:AE82"/>
    <mergeCell ref="AJ82:AK82"/>
    <mergeCell ref="AL82:AM82"/>
    <mergeCell ref="AN82:AO82"/>
    <mergeCell ref="A83:B83"/>
    <mergeCell ref="E83:F83"/>
    <mergeCell ref="G83:H83"/>
    <mergeCell ref="I83:J83"/>
    <mergeCell ref="O83:P83"/>
    <mergeCell ref="Q83:R83"/>
    <mergeCell ref="S83:T83"/>
    <mergeCell ref="V83:W83"/>
    <mergeCell ref="Z83:AA83"/>
    <mergeCell ref="AB83:AC83"/>
    <mergeCell ref="AD83:AE83"/>
    <mergeCell ref="AJ83:AK83"/>
    <mergeCell ref="AL83:AM83"/>
    <mergeCell ref="AN83:AO83"/>
    <mergeCell ref="A84:B84"/>
    <mergeCell ref="E84:F84"/>
    <mergeCell ref="G84:H84"/>
    <mergeCell ref="I84:J84"/>
    <mergeCell ref="O84:P84"/>
    <mergeCell ref="Q84:R84"/>
    <mergeCell ref="S84:T84"/>
    <mergeCell ref="V84:W84"/>
    <mergeCell ref="Z84:AA84"/>
    <mergeCell ref="AB84:AC84"/>
    <mergeCell ref="AD84:AE84"/>
    <mergeCell ref="AJ84:AK84"/>
    <mergeCell ref="AL84:AM84"/>
    <mergeCell ref="AN84:AO84"/>
    <mergeCell ref="A79:B79"/>
    <mergeCell ref="E79:F79"/>
    <mergeCell ref="G79:H79"/>
    <mergeCell ref="I79:J79"/>
    <mergeCell ref="O79:P79"/>
    <mergeCell ref="Q79:R79"/>
    <mergeCell ref="S79:T79"/>
    <mergeCell ref="V79:W79"/>
    <mergeCell ref="Z79:AA79"/>
    <mergeCell ref="AB79:AC79"/>
    <mergeCell ref="AD79:AE79"/>
    <mergeCell ref="AJ79:AK79"/>
    <mergeCell ref="AL79:AM79"/>
    <mergeCell ref="AN79:AO79"/>
    <mergeCell ref="A80:B80"/>
    <mergeCell ref="E80:F80"/>
    <mergeCell ref="G80:H80"/>
    <mergeCell ref="I80:J80"/>
    <mergeCell ref="O80:P80"/>
    <mergeCell ref="Q80:R80"/>
    <mergeCell ref="S80:T80"/>
    <mergeCell ref="V80:W80"/>
    <mergeCell ref="Z80:AA80"/>
    <mergeCell ref="AB80:AC80"/>
    <mergeCell ref="AD80:AE80"/>
    <mergeCell ref="AJ80:AK80"/>
    <mergeCell ref="AL80:AM80"/>
    <mergeCell ref="AN80:AO80"/>
    <mergeCell ref="A81:B81"/>
    <mergeCell ref="E81:F81"/>
    <mergeCell ref="G81:H81"/>
    <mergeCell ref="I81:J81"/>
    <mergeCell ref="Q81:R81"/>
    <mergeCell ref="S81:T81"/>
    <mergeCell ref="V81:W81"/>
    <mergeCell ref="Z81:AA81"/>
    <mergeCell ref="AB81:AC81"/>
    <mergeCell ref="AD81:AE81"/>
    <mergeCell ref="AJ81:AK81"/>
    <mergeCell ref="AL81:AM81"/>
    <mergeCell ref="AN81:AO81"/>
    <mergeCell ref="A76:B76"/>
    <mergeCell ref="E76:F76"/>
    <mergeCell ref="G76:H76"/>
    <mergeCell ref="I76:J76"/>
    <mergeCell ref="O76:P76"/>
    <mergeCell ref="Q76:R76"/>
    <mergeCell ref="S76:T76"/>
    <mergeCell ref="V76:W76"/>
    <mergeCell ref="Z76:AA76"/>
    <mergeCell ref="AB76:AC76"/>
    <mergeCell ref="AD76:AE76"/>
    <mergeCell ref="AJ76:AK76"/>
    <mergeCell ref="AL76:AM76"/>
    <mergeCell ref="AN76:AO76"/>
    <mergeCell ref="A77:B77"/>
    <mergeCell ref="E77:F77"/>
    <mergeCell ref="G77:H77"/>
    <mergeCell ref="I77:J77"/>
    <mergeCell ref="O77:P77"/>
    <mergeCell ref="Q77:R77"/>
    <mergeCell ref="S77:T77"/>
    <mergeCell ref="V77:W77"/>
    <mergeCell ref="Z77:AA77"/>
    <mergeCell ref="AB77:AC77"/>
    <mergeCell ref="AD77:AE77"/>
    <mergeCell ref="AJ77:AK77"/>
    <mergeCell ref="AL77:AM77"/>
    <mergeCell ref="AN77:AO77"/>
    <mergeCell ref="A78:B78"/>
    <mergeCell ref="E78:F78"/>
    <mergeCell ref="G78:H78"/>
    <mergeCell ref="I78:J78"/>
    <mergeCell ref="O78:P78"/>
    <mergeCell ref="Q78:R78"/>
    <mergeCell ref="S78:T78"/>
    <mergeCell ref="V78:W78"/>
    <mergeCell ref="Z78:AA78"/>
    <mergeCell ref="AB78:AC78"/>
    <mergeCell ref="AD78:AE78"/>
    <mergeCell ref="AJ78:AK78"/>
    <mergeCell ref="AL78:AM78"/>
    <mergeCell ref="AN78:AO78"/>
    <mergeCell ref="A73:B73"/>
    <mergeCell ref="E73:F73"/>
    <mergeCell ref="G73:H73"/>
    <mergeCell ref="I73:J73"/>
    <mergeCell ref="O73:P73"/>
    <mergeCell ref="Q73:R73"/>
    <mergeCell ref="S73:T73"/>
    <mergeCell ref="V73:W73"/>
    <mergeCell ref="Z73:AA73"/>
    <mergeCell ref="AB73:AC73"/>
    <mergeCell ref="AD73:AE73"/>
    <mergeCell ref="AJ73:AK73"/>
    <mergeCell ref="AL73:AM73"/>
    <mergeCell ref="AN73:AO73"/>
    <mergeCell ref="A74:B74"/>
    <mergeCell ref="E74:F74"/>
    <mergeCell ref="G74:H74"/>
    <mergeCell ref="I74:J74"/>
    <mergeCell ref="O74:P74"/>
    <mergeCell ref="Q74:R74"/>
    <mergeCell ref="S74:T74"/>
    <mergeCell ref="V74:W74"/>
    <mergeCell ref="Z74:AA74"/>
    <mergeCell ref="AB74:AC74"/>
    <mergeCell ref="AD74:AE74"/>
    <mergeCell ref="AJ74:AK74"/>
    <mergeCell ref="AL74:AM74"/>
    <mergeCell ref="AN74:AO74"/>
    <mergeCell ref="A75:B75"/>
    <mergeCell ref="E75:F75"/>
    <mergeCell ref="G75:H75"/>
    <mergeCell ref="I75:J75"/>
    <mergeCell ref="O75:P75"/>
    <mergeCell ref="Q75:R75"/>
    <mergeCell ref="S75:T75"/>
    <mergeCell ref="V75:W75"/>
    <mergeCell ref="Z75:AA75"/>
    <mergeCell ref="AB75:AC75"/>
    <mergeCell ref="AD75:AE75"/>
    <mergeCell ref="AJ75:AK75"/>
    <mergeCell ref="AL75:AM75"/>
    <mergeCell ref="AN75:AO75"/>
    <mergeCell ref="A70:B70"/>
    <mergeCell ref="E70:F70"/>
    <mergeCell ref="G70:H70"/>
    <mergeCell ref="I70:J70"/>
    <mergeCell ref="O70:P70"/>
    <mergeCell ref="Q70:R70"/>
    <mergeCell ref="S70:T70"/>
    <mergeCell ref="V70:W70"/>
    <mergeCell ref="Z70:AA70"/>
    <mergeCell ref="AB70:AC70"/>
    <mergeCell ref="AD70:AE70"/>
    <mergeCell ref="AJ70:AK70"/>
    <mergeCell ref="AL70:AM70"/>
    <mergeCell ref="AN70:AO70"/>
    <mergeCell ref="A71:B71"/>
    <mergeCell ref="E71:F71"/>
    <mergeCell ref="G71:H71"/>
    <mergeCell ref="I71:J71"/>
    <mergeCell ref="O71:P71"/>
    <mergeCell ref="Q71:R71"/>
    <mergeCell ref="S71:T71"/>
    <mergeCell ref="V71:W71"/>
    <mergeCell ref="Z71:AA71"/>
    <mergeCell ref="AB71:AC71"/>
    <mergeCell ref="AD71:AE71"/>
    <mergeCell ref="AJ71:AK71"/>
    <mergeCell ref="AL71:AM71"/>
    <mergeCell ref="AN71:AO71"/>
    <mergeCell ref="A72:B72"/>
    <mergeCell ref="E72:F72"/>
    <mergeCell ref="G72:H72"/>
    <mergeCell ref="I72:J72"/>
    <mergeCell ref="O72:P72"/>
    <mergeCell ref="Q72:R72"/>
    <mergeCell ref="S72:T72"/>
    <mergeCell ref="V72:W72"/>
    <mergeCell ref="Z72:AA72"/>
    <mergeCell ref="AB72:AC72"/>
    <mergeCell ref="AD72:AE72"/>
    <mergeCell ref="AJ72:AK72"/>
    <mergeCell ref="AL72:AM72"/>
    <mergeCell ref="AN72:AO72"/>
    <mergeCell ref="I67:J67"/>
    <mergeCell ref="O67:P67"/>
    <mergeCell ref="Q67:R67"/>
    <mergeCell ref="S67:T67"/>
    <mergeCell ref="V67:W67"/>
    <mergeCell ref="Z67:AA67"/>
    <mergeCell ref="AB67:AC67"/>
    <mergeCell ref="AD67:AE67"/>
    <mergeCell ref="AJ67:AK67"/>
    <mergeCell ref="AL67:AM67"/>
    <mergeCell ref="AN67:AO67"/>
    <mergeCell ref="A68:B68"/>
    <mergeCell ref="E68:F68"/>
    <mergeCell ref="G68:H68"/>
    <mergeCell ref="I68:J68"/>
    <mergeCell ref="O68:P68"/>
    <mergeCell ref="Q68:R68"/>
    <mergeCell ref="S68:T68"/>
    <mergeCell ref="V68:W68"/>
    <mergeCell ref="Z68:AA68"/>
    <mergeCell ref="AB68:AC68"/>
    <mergeCell ref="AD68:AE68"/>
    <mergeCell ref="AJ68:AK68"/>
    <mergeCell ref="AL68:AM68"/>
    <mergeCell ref="AN68:AO68"/>
    <mergeCell ref="A69:B69"/>
    <mergeCell ref="E69:F69"/>
    <mergeCell ref="G69:H69"/>
    <mergeCell ref="I69:J69"/>
    <mergeCell ref="O69:P69"/>
    <mergeCell ref="Q69:R69"/>
    <mergeCell ref="S69:T69"/>
    <mergeCell ref="V69:W69"/>
    <mergeCell ref="Z69:AA69"/>
    <mergeCell ref="AB69:AC69"/>
    <mergeCell ref="AD69:AE69"/>
    <mergeCell ref="AJ69:AK69"/>
    <mergeCell ref="AL69:AM69"/>
    <mergeCell ref="AN69:AO69"/>
    <mergeCell ref="A51:B51"/>
    <mergeCell ref="E51:F51"/>
    <mergeCell ref="G51:H51"/>
    <mergeCell ref="I51:J51"/>
    <mergeCell ref="V51:W51"/>
    <mergeCell ref="Z51:AA51"/>
    <mergeCell ref="AB51:AC51"/>
    <mergeCell ref="AD51:AE51"/>
    <mergeCell ref="A52:B52"/>
    <mergeCell ref="E52:F52"/>
    <mergeCell ref="G52:H52"/>
    <mergeCell ref="I52:J52"/>
    <mergeCell ref="V52:W52"/>
    <mergeCell ref="Z52:AA52"/>
    <mergeCell ref="AB52:AC52"/>
    <mergeCell ref="AD52:AE52"/>
    <mergeCell ref="A53:B53"/>
    <mergeCell ref="E53:F53"/>
    <mergeCell ref="G53:H53"/>
    <mergeCell ref="I53:J53"/>
    <mergeCell ref="V53:W53"/>
    <mergeCell ref="Z53:AA53"/>
    <mergeCell ref="AB53:AC53"/>
    <mergeCell ref="AD53:AE53"/>
    <mergeCell ref="AB54:AC54"/>
    <mergeCell ref="AD54:AE54"/>
    <mergeCell ref="A58:U58"/>
    <mergeCell ref="V58:AO58"/>
    <mergeCell ref="E54:F54"/>
    <mergeCell ref="G54:H54"/>
    <mergeCell ref="I54:J54"/>
    <mergeCell ref="Z54:AA54"/>
    <mergeCell ref="S56:T56"/>
    <mergeCell ref="AN56:AO56"/>
    <mergeCell ref="A57:U57"/>
    <mergeCell ref="V57:AO57"/>
    <mergeCell ref="A47:B47"/>
    <mergeCell ref="E47:F47"/>
    <mergeCell ref="G47:H47"/>
    <mergeCell ref="I47:J47"/>
    <mergeCell ref="M47:P47"/>
    <mergeCell ref="V47:W47"/>
    <mergeCell ref="Z47:AA47"/>
    <mergeCell ref="AB47:AC47"/>
    <mergeCell ref="AD47:AE47"/>
    <mergeCell ref="AH47:AK47"/>
    <mergeCell ref="A48:B48"/>
    <mergeCell ref="E48:F48"/>
    <mergeCell ref="G48:H48"/>
    <mergeCell ref="I48:J48"/>
    <mergeCell ref="M48:P48"/>
    <mergeCell ref="V48:W48"/>
    <mergeCell ref="Z48:AA48"/>
    <mergeCell ref="AB48:AC48"/>
    <mergeCell ref="AD48:AE48"/>
    <mergeCell ref="AH48:AK48"/>
    <mergeCell ref="A49:B49"/>
    <mergeCell ref="E49:F49"/>
    <mergeCell ref="G49:H49"/>
    <mergeCell ref="I49:J49"/>
    <mergeCell ref="V49:W49"/>
    <mergeCell ref="Z49:AA49"/>
    <mergeCell ref="AB49:AC49"/>
    <mergeCell ref="AD49:AE49"/>
    <mergeCell ref="A50:B50"/>
    <mergeCell ref="E50:F50"/>
    <mergeCell ref="G50:H50"/>
    <mergeCell ref="I50:J50"/>
    <mergeCell ref="V50:W50"/>
    <mergeCell ref="Z50:AA50"/>
    <mergeCell ref="AB50:AC50"/>
    <mergeCell ref="AD50:AE50"/>
    <mergeCell ref="A42:B42"/>
    <mergeCell ref="E42:F42"/>
    <mergeCell ref="G42:H42"/>
    <mergeCell ref="I42:J42"/>
    <mergeCell ref="V42:W42"/>
    <mergeCell ref="Z42:AA42"/>
    <mergeCell ref="AB42:AC42"/>
    <mergeCell ref="AD42:AE42"/>
    <mergeCell ref="A43:B43"/>
    <mergeCell ref="E43:F43"/>
    <mergeCell ref="G43:H43"/>
    <mergeCell ref="I43:J43"/>
    <mergeCell ref="V43:W43"/>
    <mergeCell ref="Z43:AA43"/>
    <mergeCell ref="AB43:AC43"/>
    <mergeCell ref="AD43:AE43"/>
    <mergeCell ref="A44:B44"/>
    <mergeCell ref="E44:F44"/>
    <mergeCell ref="G44:H44"/>
    <mergeCell ref="I44:J44"/>
    <mergeCell ref="V44:W44"/>
    <mergeCell ref="Z44:AA44"/>
    <mergeCell ref="AB44:AC44"/>
    <mergeCell ref="AD44:AE44"/>
    <mergeCell ref="A45:B45"/>
    <mergeCell ref="E45:F45"/>
    <mergeCell ref="G45:H45"/>
    <mergeCell ref="I45:J45"/>
    <mergeCell ref="V45:W45"/>
    <mergeCell ref="Z45:AA45"/>
    <mergeCell ref="AB45:AC45"/>
    <mergeCell ref="AD45:AE45"/>
    <mergeCell ref="A46:B46"/>
    <mergeCell ref="E46:F46"/>
    <mergeCell ref="G46:H46"/>
    <mergeCell ref="I46:J46"/>
    <mergeCell ref="V46:W46"/>
    <mergeCell ref="Z46:AA46"/>
    <mergeCell ref="AB46:AC46"/>
    <mergeCell ref="AD46:AE46"/>
    <mergeCell ref="A38:B38"/>
    <mergeCell ref="E38:F38"/>
    <mergeCell ref="G38:H38"/>
    <mergeCell ref="I38:J38"/>
    <mergeCell ref="O38:P38"/>
    <mergeCell ref="Q38:R38"/>
    <mergeCell ref="S38:T38"/>
    <mergeCell ref="V38:W38"/>
    <mergeCell ref="Z38:AA38"/>
    <mergeCell ref="AB38:AC38"/>
    <mergeCell ref="AD38:AE38"/>
    <mergeCell ref="AJ38:AK38"/>
    <mergeCell ref="AL38:AM38"/>
    <mergeCell ref="AN38:AO38"/>
    <mergeCell ref="A39:B39"/>
    <mergeCell ref="E39:F39"/>
    <mergeCell ref="G39:H39"/>
    <mergeCell ref="I39:J39"/>
    <mergeCell ref="V39:W39"/>
    <mergeCell ref="Z39:AA39"/>
    <mergeCell ref="AB39:AC39"/>
    <mergeCell ref="AD39:AE39"/>
    <mergeCell ref="A40:B40"/>
    <mergeCell ref="E40:F40"/>
    <mergeCell ref="G40:H40"/>
    <mergeCell ref="I40:J40"/>
    <mergeCell ref="V40:W40"/>
    <mergeCell ref="Z40:AA40"/>
    <mergeCell ref="AB40:AC40"/>
    <mergeCell ref="AD40:AE40"/>
    <mergeCell ref="A41:B41"/>
    <mergeCell ref="E41:F41"/>
    <mergeCell ref="G41:H41"/>
    <mergeCell ref="I41:J41"/>
    <mergeCell ref="V41:W41"/>
    <mergeCell ref="Z41:AA41"/>
    <mergeCell ref="AB41:AC41"/>
    <mergeCell ref="AD41:AE41"/>
    <mergeCell ref="A35:B35"/>
    <mergeCell ref="E35:F35"/>
    <mergeCell ref="G35:H35"/>
    <mergeCell ref="I35:J35"/>
    <mergeCell ref="O35:P35"/>
    <mergeCell ref="Q35:R35"/>
    <mergeCell ref="S35:T35"/>
    <mergeCell ref="V35:W35"/>
    <mergeCell ref="Z35:AA35"/>
    <mergeCell ref="AB35:AC35"/>
    <mergeCell ref="AD35:AE35"/>
    <mergeCell ref="AJ35:AK35"/>
    <mergeCell ref="AL35:AM35"/>
    <mergeCell ref="AN35:AO35"/>
    <mergeCell ref="A36:B36"/>
    <mergeCell ref="E36:F36"/>
    <mergeCell ref="G36:H36"/>
    <mergeCell ref="I36:J36"/>
    <mergeCell ref="O36:P36"/>
    <mergeCell ref="Q36:R36"/>
    <mergeCell ref="S36:T36"/>
    <mergeCell ref="V36:W36"/>
    <mergeCell ref="Z36:AA36"/>
    <mergeCell ref="AB36:AC36"/>
    <mergeCell ref="AD36:AE36"/>
    <mergeCell ref="AJ36:AK36"/>
    <mergeCell ref="AL36:AM36"/>
    <mergeCell ref="AN36:AO36"/>
    <mergeCell ref="A37:B37"/>
    <mergeCell ref="E37:F37"/>
    <mergeCell ref="G37:H37"/>
    <mergeCell ref="I37:J37"/>
    <mergeCell ref="O37:P37"/>
    <mergeCell ref="Q37:R37"/>
    <mergeCell ref="S37:T37"/>
    <mergeCell ref="V37:W37"/>
    <mergeCell ref="Z37:AA37"/>
    <mergeCell ref="AB37:AC37"/>
    <mergeCell ref="AD37:AE37"/>
    <mergeCell ref="AJ37:AK37"/>
    <mergeCell ref="AL37:AM37"/>
    <mergeCell ref="AN37:AO37"/>
    <mergeCell ref="A32:B32"/>
    <mergeCell ref="E32:F32"/>
    <mergeCell ref="G32:H32"/>
    <mergeCell ref="I32:J32"/>
    <mergeCell ref="O32:P32"/>
    <mergeCell ref="Q32:R32"/>
    <mergeCell ref="S32:T32"/>
    <mergeCell ref="V32:W32"/>
    <mergeCell ref="Z32:AA32"/>
    <mergeCell ref="AB32:AC32"/>
    <mergeCell ref="AD32:AE32"/>
    <mergeCell ref="AJ32:AK32"/>
    <mergeCell ref="AL32:AM32"/>
    <mergeCell ref="AN32:AO32"/>
    <mergeCell ref="A33:B33"/>
    <mergeCell ref="E33:F33"/>
    <mergeCell ref="G33:H33"/>
    <mergeCell ref="I33:J33"/>
    <mergeCell ref="O33:P33"/>
    <mergeCell ref="Q33:R33"/>
    <mergeCell ref="S33:T33"/>
    <mergeCell ref="V33:W33"/>
    <mergeCell ref="Z33:AA33"/>
    <mergeCell ref="AB33:AC33"/>
    <mergeCell ref="AD33:AE33"/>
    <mergeCell ref="AJ33:AK33"/>
    <mergeCell ref="AL33:AM33"/>
    <mergeCell ref="AN33:AO33"/>
    <mergeCell ref="A34:B34"/>
    <mergeCell ref="E34:F34"/>
    <mergeCell ref="G34:H34"/>
    <mergeCell ref="I34:J34"/>
    <mergeCell ref="O34:P34"/>
    <mergeCell ref="Q34:R34"/>
    <mergeCell ref="S34:T34"/>
    <mergeCell ref="V34:W34"/>
    <mergeCell ref="Z34:AA34"/>
    <mergeCell ref="AB34:AC34"/>
    <mergeCell ref="AD34:AE34"/>
    <mergeCell ref="AJ34:AK34"/>
    <mergeCell ref="AL34:AM34"/>
    <mergeCell ref="AN34:AO34"/>
    <mergeCell ref="A29:B29"/>
    <mergeCell ref="E29:F29"/>
    <mergeCell ref="G29:H29"/>
    <mergeCell ref="I29:J29"/>
    <mergeCell ref="O29:P29"/>
    <mergeCell ref="Q29:R29"/>
    <mergeCell ref="S29:T29"/>
    <mergeCell ref="V29:W29"/>
    <mergeCell ref="Z29:AA29"/>
    <mergeCell ref="AB29:AC29"/>
    <mergeCell ref="AD29:AE29"/>
    <mergeCell ref="AJ29:AK29"/>
    <mergeCell ref="AL29:AM29"/>
    <mergeCell ref="AN29:AO29"/>
    <mergeCell ref="A30:B30"/>
    <mergeCell ref="E30:F30"/>
    <mergeCell ref="G30:H30"/>
    <mergeCell ref="I30:J30"/>
    <mergeCell ref="O30:P30"/>
    <mergeCell ref="Q30:R30"/>
    <mergeCell ref="S30:T30"/>
    <mergeCell ref="V30:W30"/>
    <mergeCell ref="Z30:AA30"/>
    <mergeCell ref="AB30:AC30"/>
    <mergeCell ref="AD30:AE30"/>
    <mergeCell ref="AJ30:AK30"/>
    <mergeCell ref="AL30:AM30"/>
    <mergeCell ref="AN30:AO30"/>
    <mergeCell ref="A31:B31"/>
    <mergeCell ref="E31:F31"/>
    <mergeCell ref="G31:H31"/>
    <mergeCell ref="I31:J31"/>
    <mergeCell ref="O31:P31"/>
    <mergeCell ref="Q31:R31"/>
    <mergeCell ref="S31:T31"/>
    <mergeCell ref="V31:W31"/>
    <mergeCell ref="Z31:AA31"/>
    <mergeCell ref="AB31:AC31"/>
    <mergeCell ref="AD31:AE31"/>
    <mergeCell ref="AJ31:AK31"/>
    <mergeCell ref="AL31:AM31"/>
    <mergeCell ref="AN31:AO31"/>
    <mergeCell ref="A26:B26"/>
    <mergeCell ref="E26:F26"/>
    <mergeCell ref="G26:H26"/>
    <mergeCell ref="I26:J26"/>
    <mergeCell ref="O26:P26"/>
    <mergeCell ref="Q26:R26"/>
    <mergeCell ref="S26:T26"/>
    <mergeCell ref="V26:W26"/>
    <mergeCell ref="Z26:AA26"/>
    <mergeCell ref="AB26:AC26"/>
    <mergeCell ref="AD26:AE26"/>
    <mergeCell ref="AJ26:AK26"/>
    <mergeCell ref="AL26:AM26"/>
    <mergeCell ref="AN26:AO26"/>
    <mergeCell ref="A27:B27"/>
    <mergeCell ref="E27:F27"/>
    <mergeCell ref="G27:H27"/>
    <mergeCell ref="I27:J27"/>
    <mergeCell ref="O27:P27"/>
    <mergeCell ref="Q27:R27"/>
    <mergeCell ref="S27:T27"/>
    <mergeCell ref="V27:W27"/>
    <mergeCell ref="Z27:AA27"/>
    <mergeCell ref="AB27:AC27"/>
    <mergeCell ref="AD27:AE27"/>
    <mergeCell ref="AJ27:AK27"/>
    <mergeCell ref="AL27:AM27"/>
    <mergeCell ref="AN27:AO27"/>
    <mergeCell ref="A28:B28"/>
    <mergeCell ref="E28:F28"/>
    <mergeCell ref="G28:H28"/>
    <mergeCell ref="I28:J28"/>
    <mergeCell ref="O28:P28"/>
    <mergeCell ref="Q28:R28"/>
    <mergeCell ref="S28:T28"/>
    <mergeCell ref="V28:W28"/>
    <mergeCell ref="Z28:AA28"/>
    <mergeCell ref="AB28:AC28"/>
    <mergeCell ref="AD28:AE28"/>
    <mergeCell ref="AJ28:AK28"/>
    <mergeCell ref="AL28:AM28"/>
    <mergeCell ref="AN28:AO28"/>
    <mergeCell ref="A23:B23"/>
    <mergeCell ref="E23:F23"/>
    <mergeCell ref="G23:H23"/>
    <mergeCell ref="I23:J23"/>
    <mergeCell ref="O23:P23"/>
    <mergeCell ref="Q23:R23"/>
    <mergeCell ref="S23:T23"/>
    <mergeCell ref="V23:W23"/>
    <mergeCell ref="Z23:AA23"/>
    <mergeCell ref="AB23:AC23"/>
    <mergeCell ref="AD23:AE23"/>
    <mergeCell ref="AJ23:AK23"/>
    <mergeCell ref="AL23:AM23"/>
    <mergeCell ref="AN23:AO23"/>
    <mergeCell ref="A24:B24"/>
    <mergeCell ref="E24:F24"/>
    <mergeCell ref="G24:H24"/>
    <mergeCell ref="I24:J24"/>
    <mergeCell ref="O24:P24"/>
    <mergeCell ref="Q24:R24"/>
    <mergeCell ref="S24:T24"/>
    <mergeCell ref="V24:W24"/>
    <mergeCell ref="Z24:AA24"/>
    <mergeCell ref="AB24:AC24"/>
    <mergeCell ref="AD24:AE24"/>
    <mergeCell ref="AJ24:AK24"/>
    <mergeCell ref="AL24:AM24"/>
    <mergeCell ref="AN24:AO24"/>
    <mergeCell ref="A25:B25"/>
    <mergeCell ref="E25:F25"/>
    <mergeCell ref="G25:H25"/>
    <mergeCell ref="I25:J25"/>
    <mergeCell ref="O25:P25"/>
    <mergeCell ref="Q25:R25"/>
    <mergeCell ref="S25:T25"/>
    <mergeCell ref="V25:W25"/>
    <mergeCell ref="Z25:AA25"/>
    <mergeCell ref="AB25:AC25"/>
    <mergeCell ref="AD25:AE25"/>
    <mergeCell ref="AJ25:AK25"/>
    <mergeCell ref="AL25:AM25"/>
    <mergeCell ref="AN25:AO25"/>
    <mergeCell ref="A20:B20"/>
    <mergeCell ref="E20:F20"/>
    <mergeCell ref="G20:H20"/>
    <mergeCell ref="I20:J20"/>
    <mergeCell ref="O20:P20"/>
    <mergeCell ref="Q20:R20"/>
    <mergeCell ref="S20:T20"/>
    <mergeCell ref="V20:W20"/>
    <mergeCell ref="Z20:AA20"/>
    <mergeCell ref="AB20:AC20"/>
    <mergeCell ref="AD20:AE20"/>
    <mergeCell ref="AJ20:AK20"/>
    <mergeCell ref="AL20:AM20"/>
    <mergeCell ref="AN20:AO20"/>
    <mergeCell ref="A21:B21"/>
    <mergeCell ref="E21:F21"/>
    <mergeCell ref="G21:H21"/>
    <mergeCell ref="I21:J21"/>
    <mergeCell ref="O21:P21"/>
    <mergeCell ref="Q21:R21"/>
    <mergeCell ref="S21:T21"/>
    <mergeCell ref="V21:W21"/>
    <mergeCell ref="Z21:AA21"/>
    <mergeCell ref="AB21:AC21"/>
    <mergeCell ref="AD21:AE21"/>
    <mergeCell ref="AJ21:AK21"/>
    <mergeCell ref="AL21:AM21"/>
    <mergeCell ref="AN21:AO21"/>
    <mergeCell ref="A22:B22"/>
    <mergeCell ref="E22:F22"/>
    <mergeCell ref="G22:H22"/>
    <mergeCell ref="I22:J22"/>
    <mergeCell ref="O22:P22"/>
    <mergeCell ref="Q22:R22"/>
    <mergeCell ref="S22:T22"/>
    <mergeCell ref="V22:W22"/>
    <mergeCell ref="Z22:AA22"/>
    <mergeCell ref="AB22:AC22"/>
    <mergeCell ref="AD22:AE22"/>
    <mergeCell ref="AJ22:AK22"/>
    <mergeCell ref="AL22:AM22"/>
    <mergeCell ref="AN22:AO22"/>
    <mergeCell ref="A17:B17"/>
    <mergeCell ref="E17:F17"/>
    <mergeCell ref="G17:H17"/>
    <mergeCell ref="I17:J17"/>
    <mergeCell ref="O17:P17"/>
    <mergeCell ref="Q17:R17"/>
    <mergeCell ref="S17:T17"/>
    <mergeCell ref="V17:W17"/>
    <mergeCell ref="Z17:AA17"/>
    <mergeCell ref="AB17:AC17"/>
    <mergeCell ref="AD17:AE17"/>
    <mergeCell ref="AJ17:AK17"/>
    <mergeCell ref="AL17:AM17"/>
    <mergeCell ref="AN17:AO17"/>
    <mergeCell ref="A18:B18"/>
    <mergeCell ref="E18:F18"/>
    <mergeCell ref="G18:H18"/>
    <mergeCell ref="I18:J18"/>
    <mergeCell ref="O18:P18"/>
    <mergeCell ref="Q18:R18"/>
    <mergeCell ref="S18:T18"/>
    <mergeCell ref="V18:W18"/>
    <mergeCell ref="Z18:AA18"/>
    <mergeCell ref="AB18:AC18"/>
    <mergeCell ref="AD18:AE18"/>
    <mergeCell ref="AJ18:AK18"/>
    <mergeCell ref="AL18:AM18"/>
    <mergeCell ref="AN18:AO18"/>
    <mergeCell ref="A19:B19"/>
    <mergeCell ref="E19:F19"/>
    <mergeCell ref="G19:H19"/>
    <mergeCell ref="I19:J19"/>
    <mergeCell ref="O19:P19"/>
    <mergeCell ref="Q19:R19"/>
    <mergeCell ref="S19:T19"/>
    <mergeCell ref="V19:W19"/>
    <mergeCell ref="Z19:AA19"/>
    <mergeCell ref="AB19:AC19"/>
    <mergeCell ref="AD19:AE19"/>
    <mergeCell ref="AJ19:AK19"/>
    <mergeCell ref="AL19:AM19"/>
    <mergeCell ref="AN19:AO19"/>
    <mergeCell ref="A14:B14"/>
    <mergeCell ref="E14:F14"/>
    <mergeCell ref="G14:H14"/>
    <mergeCell ref="I14:J14"/>
    <mergeCell ref="O14:P14"/>
    <mergeCell ref="Q14:R14"/>
    <mergeCell ref="S14:T14"/>
    <mergeCell ref="V14:W14"/>
    <mergeCell ref="Z14:AA14"/>
    <mergeCell ref="AB14:AC14"/>
    <mergeCell ref="AD14:AE14"/>
    <mergeCell ref="AJ14:AK14"/>
    <mergeCell ref="AL14:AM14"/>
    <mergeCell ref="AN14:AO14"/>
    <mergeCell ref="A15:B15"/>
    <mergeCell ref="E15:F15"/>
    <mergeCell ref="G15:H15"/>
    <mergeCell ref="I15:J15"/>
    <mergeCell ref="O15:P15"/>
    <mergeCell ref="Q15:R15"/>
    <mergeCell ref="S15:T15"/>
    <mergeCell ref="V15:W15"/>
    <mergeCell ref="Z15:AA15"/>
    <mergeCell ref="AB15:AC15"/>
    <mergeCell ref="AD15:AE15"/>
    <mergeCell ref="AJ15:AK15"/>
    <mergeCell ref="AL15:AM15"/>
    <mergeCell ref="AN15:AO15"/>
    <mergeCell ref="A16:B16"/>
    <mergeCell ref="E16:F16"/>
    <mergeCell ref="G16:H16"/>
    <mergeCell ref="I16:J16"/>
    <mergeCell ref="O16:P16"/>
    <mergeCell ref="Q16:R16"/>
    <mergeCell ref="S16:T16"/>
    <mergeCell ref="V16:W16"/>
    <mergeCell ref="Z16:AA16"/>
    <mergeCell ref="AB16:AC16"/>
    <mergeCell ref="AD16:AE16"/>
    <mergeCell ref="AJ16:AK16"/>
    <mergeCell ref="AL16:AM16"/>
    <mergeCell ref="AN16:AO16"/>
    <mergeCell ref="O10:P10"/>
    <mergeCell ref="Q10:R10"/>
    <mergeCell ref="S10:T10"/>
    <mergeCell ref="I8:J8"/>
    <mergeCell ref="I9:J9"/>
    <mergeCell ref="Z7:AA8"/>
    <mergeCell ref="Y7:Y8"/>
    <mergeCell ref="AD10:AE10"/>
    <mergeCell ref="O7:P8"/>
    <mergeCell ref="Q7:R8"/>
    <mergeCell ref="AL11:AM11"/>
    <mergeCell ref="AN11:AO11"/>
    <mergeCell ref="A12:B12"/>
    <mergeCell ref="E12:F12"/>
    <mergeCell ref="G12:H12"/>
    <mergeCell ref="I12:J12"/>
    <mergeCell ref="O12:P12"/>
    <mergeCell ref="Q12:R12"/>
    <mergeCell ref="S12:T12"/>
    <mergeCell ref="V12:W12"/>
    <mergeCell ref="Z12:AA12"/>
    <mergeCell ref="AB12:AC12"/>
    <mergeCell ref="AD12:AE12"/>
    <mergeCell ref="AJ12:AK12"/>
    <mergeCell ref="AL12:AM12"/>
    <mergeCell ref="AN12:AO12"/>
    <mergeCell ref="A13:B13"/>
    <mergeCell ref="E13:F13"/>
    <mergeCell ref="G13:H13"/>
    <mergeCell ref="I13:J13"/>
    <mergeCell ref="O13:P13"/>
    <mergeCell ref="Q13:R13"/>
    <mergeCell ref="S13:T13"/>
    <mergeCell ref="V13:W13"/>
    <mergeCell ref="Z13:AA13"/>
    <mergeCell ref="AB13:AC13"/>
    <mergeCell ref="AD13:AE13"/>
    <mergeCell ref="AJ13:AK13"/>
    <mergeCell ref="AL13:AM13"/>
    <mergeCell ref="AN13:AO13"/>
    <mergeCell ref="A9:B9"/>
    <mergeCell ref="E9:F9"/>
    <mergeCell ref="G9:H9"/>
    <mergeCell ref="O9:P9"/>
    <mergeCell ref="AL9:AM9"/>
    <mergeCell ref="AD9:AE9"/>
    <mergeCell ref="AB9:AC9"/>
    <mergeCell ref="AJ10:AK10"/>
    <mergeCell ref="AL10:AM10"/>
    <mergeCell ref="AN10:AO10"/>
    <mergeCell ref="A11:B11"/>
    <mergeCell ref="E11:F11"/>
    <mergeCell ref="G11:H11"/>
    <mergeCell ref="I11:J11"/>
    <mergeCell ref="O11:P11"/>
    <mergeCell ref="Q11:R11"/>
    <mergeCell ref="S11:T11"/>
    <mergeCell ref="V11:W11"/>
    <mergeCell ref="Z11:AA11"/>
    <mergeCell ref="AB11:AC11"/>
    <mergeCell ref="A3:T3"/>
    <mergeCell ref="V3:AO3"/>
    <mergeCell ref="A5:B8"/>
    <mergeCell ref="C5:F6"/>
    <mergeCell ref="G5:H5"/>
    <mergeCell ref="I5:J6"/>
    <mergeCell ref="L5:L8"/>
    <mergeCell ref="M5:P6"/>
    <mergeCell ref="Q5:R5"/>
    <mergeCell ref="S5:T5"/>
    <mergeCell ref="V4:AO4"/>
    <mergeCell ref="G6:H6"/>
    <mergeCell ref="Q6:R6"/>
    <mergeCell ref="S6:T6"/>
    <mergeCell ref="A4:T4"/>
    <mergeCell ref="AB5:AC5"/>
    <mergeCell ref="AD5:AE6"/>
    <mergeCell ref="V5:W8"/>
    <mergeCell ref="X5:AA6"/>
    <mergeCell ref="E7:F8"/>
    <mergeCell ref="AL6:AM6"/>
    <mergeCell ref="AN6:AO6"/>
    <mergeCell ref="AH5:AK6"/>
    <mergeCell ref="AL5:AM5"/>
    <mergeCell ref="AN5:AO5"/>
    <mergeCell ref="AI7:AI8"/>
    <mergeCell ref="AJ7:AK8"/>
    <mergeCell ref="AL7:AM8"/>
    <mergeCell ref="AN7:AO8"/>
    <mergeCell ref="AG5:AG8"/>
    <mergeCell ref="AB6:AC6"/>
    <mergeCell ref="AB7:AC8"/>
    <mergeCell ref="AD7:AE7"/>
    <mergeCell ref="AD8:AE8"/>
    <mergeCell ref="D7:D8"/>
    <mergeCell ref="S7:T8"/>
    <mergeCell ref="G7:H8"/>
    <mergeCell ref="I7:J7"/>
    <mergeCell ref="N7:N8"/>
    <mergeCell ref="AG61:AG64"/>
    <mergeCell ref="AD61:AE62"/>
    <mergeCell ref="Y63:Y64"/>
    <mergeCell ref="Z63:AA64"/>
    <mergeCell ref="AB63:AC64"/>
    <mergeCell ref="AH61:AK62"/>
    <mergeCell ref="AL61:AM61"/>
    <mergeCell ref="AN61:AO61"/>
    <mergeCell ref="AI63:AI64"/>
    <mergeCell ref="AJ63:AK64"/>
    <mergeCell ref="AL63:AM64"/>
    <mergeCell ref="AN63:AO64"/>
    <mergeCell ref="AD63:AE63"/>
    <mergeCell ref="AD64:AE64"/>
    <mergeCell ref="S63:T64"/>
    <mergeCell ref="V61:W64"/>
    <mergeCell ref="X61:AA62"/>
    <mergeCell ref="AB61:AC61"/>
    <mergeCell ref="I64:J64"/>
    <mergeCell ref="L61:L64"/>
    <mergeCell ref="M61:P62"/>
    <mergeCell ref="Q61:R61"/>
    <mergeCell ref="N63:N64"/>
    <mergeCell ref="O63:P64"/>
    <mergeCell ref="Q63:R64"/>
    <mergeCell ref="AB65:AC65"/>
    <mergeCell ref="AJ65:AK65"/>
    <mergeCell ref="AN9:AO9"/>
    <mergeCell ref="M46:P46"/>
    <mergeCell ref="AH46:AK46"/>
    <mergeCell ref="Q9:R9"/>
    <mergeCell ref="S9:T9"/>
    <mergeCell ref="V9:W9"/>
    <mergeCell ref="Z9:AA9"/>
    <mergeCell ref="AJ9:AK9"/>
    <mergeCell ref="V59:AO59"/>
    <mergeCell ref="A60:T60"/>
    <mergeCell ref="A59:T59"/>
    <mergeCell ref="G62:H62"/>
    <mergeCell ref="Q62:R62"/>
    <mergeCell ref="S62:T62"/>
    <mergeCell ref="AB62:AC62"/>
    <mergeCell ref="AL62:AM62"/>
    <mergeCell ref="AN62:AO62"/>
    <mergeCell ref="S61:T61"/>
    <mergeCell ref="A61:B64"/>
    <mergeCell ref="C61:F62"/>
    <mergeCell ref="G61:H61"/>
    <mergeCell ref="I61:J62"/>
    <mergeCell ref="D63:D64"/>
    <mergeCell ref="E63:F64"/>
    <mergeCell ref="G63:H64"/>
    <mergeCell ref="I63:J63"/>
    <mergeCell ref="A65:B65"/>
    <mergeCell ref="E65:F65"/>
    <mergeCell ref="AD11:AE11"/>
    <mergeCell ref="AJ11:AK11"/>
    <mergeCell ref="A10:B10"/>
    <mergeCell ref="E10:F10"/>
    <mergeCell ref="G10:H10"/>
    <mergeCell ref="I10:J10"/>
    <mergeCell ref="V10:W10"/>
    <mergeCell ref="Z10:AA10"/>
    <mergeCell ref="AB10:AC10"/>
    <mergeCell ref="AL65:AM65"/>
    <mergeCell ref="AN65:AO65"/>
    <mergeCell ref="AD65:AE65"/>
    <mergeCell ref="Q65:R65"/>
    <mergeCell ref="S65:T65"/>
    <mergeCell ref="V65:W65"/>
    <mergeCell ref="Z65:AA65"/>
    <mergeCell ref="AD106:AE106"/>
    <mergeCell ref="AD109:AE109"/>
    <mergeCell ref="AD120:AE120"/>
    <mergeCell ref="L117:L120"/>
    <mergeCell ref="M117:P118"/>
    <mergeCell ref="Q117:R117"/>
    <mergeCell ref="S117:T117"/>
    <mergeCell ref="N119:N120"/>
    <mergeCell ref="G117:H117"/>
    <mergeCell ref="I117:J118"/>
    <mergeCell ref="AB117:AC117"/>
    <mergeCell ref="AD117:AE118"/>
    <mergeCell ref="AH117:AK118"/>
    <mergeCell ref="AL117:AM117"/>
    <mergeCell ref="AN117:AO117"/>
    <mergeCell ref="AI119:AI120"/>
    <mergeCell ref="AJ119:AK120"/>
    <mergeCell ref="AL119:AM120"/>
    <mergeCell ref="AN119:AO120"/>
    <mergeCell ref="AL118:AM118"/>
    <mergeCell ref="AN118:AO118"/>
    <mergeCell ref="Y119:Y120"/>
    <mergeCell ref="Z119:AA120"/>
    <mergeCell ref="AB119:AC120"/>
    <mergeCell ref="AD119:AE119"/>
    <mergeCell ref="G65:H65"/>
    <mergeCell ref="O65:P65"/>
    <mergeCell ref="I65:J65"/>
    <mergeCell ref="AB110:AC110"/>
    <mergeCell ref="AD110:AE110"/>
    <mergeCell ref="A116:T116"/>
    <mergeCell ref="G118:H118"/>
    <mergeCell ref="Q118:R118"/>
    <mergeCell ref="S118:T118"/>
    <mergeCell ref="AB118:AC118"/>
    <mergeCell ref="E110:F110"/>
    <mergeCell ref="G110:H110"/>
    <mergeCell ref="I110:J110"/>
    <mergeCell ref="Z110:AA110"/>
    <mergeCell ref="S112:T112"/>
    <mergeCell ref="A66:B66"/>
    <mergeCell ref="E66:F66"/>
    <mergeCell ref="G66:H66"/>
    <mergeCell ref="I66:J66"/>
    <mergeCell ref="O66:P66"/>
    <mergeCell ref="Q66:R66"/>
    <mergeCell ref="S66:T66"/>
    <mergeCell ref="V66:W66"/>
    <mergeCell ref="Z66:AA66"/>
    <mergeCell ref="AB66:AC66"/>
    <mergeCell ref="AD66:AE66"/>
    <mergeCell ref="AJ66:AK66"/>
    <mergeCell ref="AL66:AM66"/>
    <mergeCell ref="AN66:AO66"/>
    <mergeCell ref="A67:B67"/>
    <mergeCell ref="E67:F67"/>
    <mergeCell ref="G67:H67"/>
    <mergeCell ref="AH158:AK158"/>
    <mergeCell ref="V164:W164"/>
    <mergeCell ref="S168:T168"/>
    <mergeCell ref="AN168:AO168"/>
    <mergeCell ref="AD158:AE158"/>
    <mergeCell ref="AD159:AE159"/>
    <mergeCell ref="AH159:AK159"/>
    <mergeCell ref="V160:W160"/>
    <mergeCell ref="Z160:AA160"/>
    <mergeCell ref="AB160:AC160"/>
    <mergeCell ref="AN149:AO149"/>
    <mergeCell ref="AH155:AK155"/>
    <mergeCell ref="M157:P157"/>
    <mergeCell ref="AB149:AC149"/>
    <mergeCell ref="AD149:AE149"/>
    <mergeCell ref="AJ149:AK149"/>
    <mergeCell ref="AL149:AM149"/>
    <mergeCell ref="O150:P150"/>
    <mergeCell ref="Q150:R150"/>
    <mergeCell ref="Z155:AA155"/>
    <mergeCell ref="AB155:AC155"/>
    <mergeCell ref="M159:P159"/>
    <mergeCell ref="V159:W159"/>
    <mergeCell ref="Z159:AA159"/>
    <mergeCell ref="AB159:AC159"/>
    <mergeCell ref="AD162:AE162"/>
    <mergeCell ref="AD165:AE165"/>
    <mergeCell ref="D119:D120"/>
    <mergeCell ref="E119:F120"/>
    <mergeCell ref="G119:H120"/>
    <mergeCell ref="I119:J119"/>
    <mergeCell ref="I120:J120"/>
    <mergeCell ref="AN150:AO150"/>
    <mergeCell ref="AH160:AK160"/>
    <mergeCell ref="AB166:AC166"/>
    <mergeCell ref="AD166:AE166"/>
    <mergeCell ref="E166:F166"/>
    <mergeCell ref="G166:H166"/>
    <mergeCell ref="I166:J166"/>
    <mergeCell ref="Z166:AA166"/>
    <mergeCell ref="AG117:AG120"/>
    <mergeCell ref="V117:W120"/>
    <mergeCell ref="X117:AA118"/>
    <mergeCell ref="AN122:AO122"/>
    <mergeCell ref="AN148:AO148"/>
    <mergeCell ref="C173:F174"/>
    <mergeCell ref="G173:H173"/>
    <mergeCell ref="AG173:AG176"/>
    <mergeCell ref="V173:W176"/>
    <mergeCell ref="X173:AA174"/>
    <mergeCell ref="AB173:AC173"/>
    <mergeCell ref="AD173:AE174"/>
    <mergeCell ref="AH173:AK174"/>
    <mergeCell ref="AL173:AM173"/>
    <mergeCell ref="AN173:AO173"/>
    <mergeCell ref="AI175:AI176"/>
    <mergeCell ref="AJ175:AK176"/>
    <mergeCell ref="AL175:AM176"/>
    <mergeCell ref="AN175:AO176"/>
    <mergeCell ref="AL174:AM174"/>
    <mergeCell ref="AN174:AO174"/>
    <mergeCell ref="Y175:Y176"/>
    <mergeCell ref="Z175:AA176"/>
    <mergeCell ref="AB175:AC176"/>
    <mergeCell ref="AD175:AE175"/>
    <mergeCell ref="AD176:AE176"/>
    <mergeCell ref="A172:T172"/>
    <mergeCell ref="G174:H174"/>
    <mergeCell ref="Q174:R174"/>
    <mergeCell ref="S174:T174"/>
    <mergeCell ref="AB174:AC174"/>
    <mergeCell ref="L173:L176"/>
    <mergeCell ref="M173:P174"/>
    <mergeCell ref="Q173:R173"/>
    <mergeCell ref="S173:T173"/>
    <mergeCell ref="N175:N176"/>
    <mergeCell ref="I173:J174"/>
    <mergeCell ref="D175:D176"/>
    <mergeCell ref="E175:F176"/>
    <mergeCell ref="G175:H176"/>
    <mergeCell ref="I175:J175"/>
    <mergeCell ref="I176:J176"/>
    <mergeCell ref="AH211:AK211"/>
    <mergeCell ref="M212:P212"/>
    <mergeCell ref="AH214:AK214"/>
    <mergeCell ref="S224:T224"/>
    <mergeCell ref="V211:W211"/>
    <mergeCell ref="Z211:AA211"/>
    <mergeCell ref="AB211:AC211"/>
    <mergeCell ref="AD211:AE211"/>
    <mergeCell ref="V212:W212"/>
    <mergeCell ref="Z212:AA212"/>
    <mergeCell ref="A212:B212"/>
    <mergeCell ref="E212:F212"/>
    <mergeCell ref="G212:H212"/>
    <mergeCell ref="I212:J212"/>
    <mergeCell ref="AB212:AC212"/>
    <mergeCell ref="AD212:AE212"/>
    <mergeCell ref="A213:B213"/>
    <mergeCell ref="E213:F213"/>
    <mergeCell ref="G213:H213"/>
    <mergeCell ref="I213:J213"/>
    <mergeCell ref="M213:P213"/>
    <mergeCell ref="V213:W213"/>
    <mergeCell ref="Z213:AA213"/>
    <mergeCell ref="AB213:AC213"/>
    <mergeCell ref="AD213:AE213"/>
    <mergeCell ref="A214:B214"/>
    <mergeCell ref="E214:F214"/>
    <mergeCell ref="G214:H214"/>
    <mergeCell ref="I214:J214"/>
    <mergeCell ref="M214:P214"/>
    <mergeCell ref="V214:W214"/>
    <mergeCell ref="Z214:AA214"/>
    <mergeCell ref="AH285:AK286"/>
    <mergeCell ref="A216:B216"/>
    <mergeCell ref="E216:F216"/>
    <mergeCell ref="G216:H216"/>
    <mergeCell ref="I216:J216"/>
    <mergeCell ref="V216:W216"/>
    <mergeCell ref="Z216:AA216"/>
    <mergeCell ref="AB216:AC216"/>
    <mergeCell ref="AD216:AE216"/>
    <mergeCell ref="AH216:AK216"/>
    <mergeCell ref="Z217:AA217"/>
    <mergeCell ref="AB217:AC217"/>
    <mergeCell ref="AD217:AE217"/>
    <mergeCell ref="A217:B217"/>
    <mergeCell ref="E217:F217"/>
    <mergeCell ref="G217:H217"/>
    <mergeCell ref="I217:J217"/>
    <mergeCell ref="V217:W217"/>
    <mergeCell ref="A218:B218"/>
    <mergeCell ref="E218:F218"/>
    <mergeCell ref="G218:H218"/>
    <mergeCell ref="I218:J218"/>
    <mergeCell ref="V218:W218"/>
    <mergeCell ref="Z218:AA218"/>
    <mergeCell ref="AB218:AC218"/>
    <mergeCell ref="AD218:AE218"/>
    <mergeCell ref="A219:B219"/>
    <mergeCell ref="E219:F219"/>
    <mergeCell ref="G219:H219"/>
    <mergeCell ref="I219:J219"/>
    <mergeCell ref="V219:W219"/>
    <mergeCell ref="Z219:AA219"/>
    <mergeCell ref="AN286:AO286"/>
    <mergeCell ref="Y287:Y288"/>
    <mergeCell ref="Z287:AA288"/>
    <mergeCell ref="AB287:AC288"/>
    <mergeCell ref="AD287:AE287"/>
    <mergeCell ref="AH215:AK215"/>
    <mergeCell ref="AG285:AG288"/>
    <mergeCell ref="V285:W288"/>
    <mergeCell ref="X285:AA286"/>
    <mergeCell ref="AB285:AC285"/>
    <mergeCell ref="AD285:AE286"/>
    <mergeCell ref="G285:H285"/>
    <mergeCell ref="I285:J286"/>
    <mergeCell ref="D287:D288"/>
    <mergeCell ref="G269:H269"/>
    <mergeCell ref="I269:J269"/>
    <mergeCell ref="M269:P269"/>
    <mergeCell ref="V269:W269"/>
    <mergeCell ref="Z269:AA269"/>
    <mergeCell ref="AB269:AC269"/>
    <mergeCell ref="AD269:AE269"/>
    <mergeCell ref="A270:B270"/>
    <mergeCell ref="E270:F270"/>
    <mergeCell ref="G270:H270"/>
    <mergeCell ref="A274:B274"/>
    <mergeCell ref="E274:F274"/>
    <mergeCell ref="G274:H274"/>
    <mergeCell ref="I274:J274"/>
    <mergeCell ref="V274:W274"/>
    <mergeCell ref="Z274:AA274"/>
    <mergeCell ref="AB274:AC274"/>
    <mergeCell ref="AD274:AE274"/>
    <mergeCell ref="A275:B275"/>
    <mergeCell ref="E275:F275"/>
    <mergeCell ref="G275:H275"/>
    <mergeCell ref="I275:J275"/>
    <mergeCell ref="V275:W275"/>
    <mergeCell ref="C285:F286"/>
    <mergeCell ref="AH267:AK267"/>
    <mergeCell ref="M268:P268"/>
    <mergeCell ref="AH270:AK270"/>
    <mergeCell ref="S280:T280"/>
    <mergeCell ref="V267:W267"/>
    <mergeCell ref="Z267:AA267"/>
    <mergeCell ref="AB267:AC267"/>
    <mergeCell ref="AD267:AE267"/>
    <mergeCell ref="V268:W268"/>
    <mergeCell ref="AB219:AC219"/>
    <mergeCell ref="AD219:AE219"/>
    <mergeCell ref="AB220:AC220"/>
    <mergeCell ref="AD220:AE220"/>
    <mergeCell ref="A220:B220"/>
    <mergeCell ref="E220:F220"/>
    <mergeCell ref="G220:H220"/>
    <mergeCell ref="I220:J220"/>
    <mergeCell ref="E221:F221"/>
    <mergeCell ref="G221:H221"/>
    <mergeCell ref="I221:J221"/>
    <mergeCell ref="V220:W220"/>
    <mergeCell ref="V221:W221"/>
    <mergeCell ref="Z221:AA221"/>
    <mergeCell ref="Z220:AA220"/>
    <mergeCell ref="AB221:AC221"/>
    <mergeCell ref="AD221:AE221"/>
    <mergeCell ref="AN336:AO336"/>
    <mergeCell ref="A337:U337"/>
    <mergeCell ref="V337:AO337"/>
    <mergeCell ref="AH323:AK323"/>
    <mergeCell ref="M324:P324"/>
    <mergeCell ref="AH326:AK326"/>
    <mergeCell ref="S336:T336"/>
    <mergeCell ref="V323:W323"/>
    <mergeCell ref="Z323:AA323"/>
    <mergeCell ref="AB323:AC323"/>
    <mergeCell ref="AD323:AE323"/>
    <mergeCell ref="V324:W324"/>
    <mergeCell ref="Z324:AA324"/>
    <mergeCell ref="AB289:AC289"/>
    <mergeCell ref="AJ289:AK289"/>
    <mergeCell ref="AL289:AM289"/>
    <mergeCell ref="AN289:AO289"/>
    <mergeCell ref="AD289:AE289"/>
    <mergeCell ref="Q289:R289"/>
    <mergeCell ref="S289:T289"/>
    <mergeCell ref="V289:W289"/>
    <mergeCell ref="Z289:AA289"/>
    <mergeCell ref="O317:P317"/>
    <mergeCell ref="Q317:R317"/>
    <mergeCell ref="S317:T317"/>
    <mergeCell ref="V317:W317"/>
    <mergeCell ref="Z317:AA317"/>
    <mergeCell ref="AB320:AC320"/>
    <mergeCell ref="AD321:AE321"/>
    <mergeCell ref="AD319:AE319"/>
    <mergeCell ref="AH327:AK327"/>
    <mergeCell ref="AD333:AE333"/>
    <mergeCell ref="AN280:AO280"/>
    <mergeCell ref="AJ311:AK311"/>
    <mergeCell ref="AL311:AM311"/>
    <mergeCell ref="AJ290:AK290"/>
    <mergeCell ref="AL290:AM290"/>
    <mergeCell ref="AN290:AO290"/>
    <mergeCell ref="A291:B291"/>
    <mergeCell ref="E291:F291"/>
    <mergeCell ref="G291:H291"/>
    <mergeCell ref="I291:J291"/>
    <mergeCell ref="O291:P291"/>
    <mergeCell ref="Q291:R291"/>
    <mergeCell ref="S291:T291"/>
    <mergeCell ref="V291:W291"/>
    <mergeCell ref="Z291:AA291"/>
    <mergeCell ref="AB291:AC291"/>
    <mergeCell ref="AD291:AE291"/>
    <mergeCell ref="AJ291:AK291"/>
    <mergeCell ref="AL291:AM291"/>
    <mergeCell ref="AN291:AO291"/>
    <mergeCell ref="A292:B292"/>
    <mergeCell ref="E292:F292"/>
    <mergeCell ref="G292:H292"/>
    <mergeCell ref="I292:J292"/>
    <mergeCell ref="O292:P292"/>
    <mergeCell ref="AL285:AM285"/>
    <mergeCell ref="AN285:AO285"/>
    <mergeCell ref="AI287:AI288"/>
    <mergeCell ref="AJ287:AK288"/>
    <mergeCell ref="AL287:AM288"/>
    <mergeCell ref="AN287:AO288"/>
    <mergeCell ref="AL286:AM286"/>
    <mergeCell ref="AB345:AC345"/>
    <mergeCell ref="AJ345:AK345"/>
    <mergeCell ref="AL345:AM345"/>
    <mergeCell ref="AN345:AO345"/>
    <mergeCell ref="AD345:AE345"/>
    <mergeCell ref="Q345:R345"/>
    <mergeCell ref="S345:T345"/>
    <mergeCell ref="V345:W345"/>
    <mergeCell ref="Z345:AA345"/>
    <mergeCell ref="A345:B345"/>
    <mergeCell ref="E345:F345"/>
    <mergeCell ref="G345:H345"/>
    <mergeCell ref="O345:P345"/>
    <mergeCell ref="I345:J345"/>
    <mergeCell ref="AG341:AG344"/>
    <mergeCell ref="V341:W344"/>
    <mergeCell ref="X341:AA342"/>
    <mergeCell ref="AB341:AC341"/>
    <mergeCell ref="AD341:AE342"/>
    <mergeCell ref="AH341:AK342"/>
    <mergeCell ref="AL341:AM341"/>
    <mergeCell ref="AN341:AO341"/>
    <mergeCell ref="G343:H344"/>
    <mergeCell ref="I343:J343"/>
    <mergeCell ref="I344:J344"/>
    <mergeCell ref="A348:B348"/>
    <mergeCell ref="AG397:AG400"/>
    <mergeCell ref="V397:W400"/>
    <mergeCell ref="X397:AA398"/>
    <mergeCell ref="AB397:AC397"/>
    <mergeCell ref="AD397:AE398"/>
    <mergeCell ref="AH397:AK398"/>
    <mergeCell ref="AL397:AM397"/>
    <mergeCell ref="AN397:AO397"/>
    <mergeCell ref="AI399:AI400"/>
    <mergeCell ref="AJ399:AK400"/>
    <mergeCell ref="AL399:AM400"/>
    <mergeCell ref="AN399:AO400"/>
    <mergeCell ref="AL398:AM398"/>
    <mergeCell ref="AN398:AO398"/>
    <mergeCell ref="Y399:Y400"/>
    <mergeCell ref="Z399:AA400"/>
    <mergeCell ref="AB399:AC400"/>
    <mergeCell ref="AD399:AE399"/>
    <mergeCell ref="AD400:AE400"/>
    <mergeCell ref="L397:L400"/>
    <mergeCell ref="M397:P398"/>
    <mergeCell ref="Q397:R397"/>
    <mergeCell ref="S397:T397"/>
    <mergeCell ref="N399:N400"/>
    <mergeCell ref="G397:H397"/>
    <mergeCell ref="I397:J398"/>
    <mergeCell ref="D399:D400"/>
    <mergeCell ref="E399:F400"/>
    <mergeCell ref="G399:H400"/>
    <mergeCell ref="I399:J399"/>
    <mergeCell ref="I400:J400"/>
    <mergeCell ref="AN392:AO392"/>
    <mergeCell ref="A393:U393"/>
    <mergeCell ref="V393:AO393"/>
    <mergeCell ref="A395:T395"/>
    <mergeCell ref="V395:AO395"/>
    <mergeCell ref="O399:P400"/>
    <mergeCell ref="Q399:R400"/>
    <mergeCell ref="E348:F348"/>
    <mergeCell ref="G348:H348"/>
    <mergeCell ref="I348:J348"/>
    <mergeCell ref="O348:P348"/>
    <mergeCell ref="Q348:R348"/>
    <mergeCell ref="S348:T348"/>
    <mergeCell ref="V348:W348"/>
    <mergeCell ref="Z348:AA348"/>
    <mergeCell ref="AB348:AC348"/>
    <mergeCell ref="AD348:AE348"/>
    <mergeCell ref="AJ348:AK348"/>
    <mergeCell ref="AL348:AM348"/>
    <mergeCell ref="AN348:AO348"/>
    <mergeCell ref="A349:B349"/>
    <mergeCell ref="E349:F349"/>
    <mergeCell ref="G349:H349"/>
    <mergeCell ref="I349:J349"/>
    <mergeCell ref="O349:P349"/>
    <mergeCell ref="Q349:R349"/>
    <mergeCell ref="AL453:AM453"/>
    <mergeCell ref="AN453:AO453"/>
    <mergeCell ref="AI455:AI456"/>
    <mergeCell ref="AJ455:AK456"/>
    <mergeCell ref="AL455:AM456"/>
    <mergeCell ref="AN455:AO456"/>
    <mergeCell ref="AN454:AO454"/>
    <mergeCell ref="AB455:AC456"/>
    <mergeCell ref="AD455:AE455"/>
    <mergeCell ref="L453:L456"/>
    <mergeCell ref="M453:P454"/>
    <mergeCell ref="Q453:R453"/>
    <mergeCell ref="AH435:AK435"/>
    <mergeCell ref="M436:P436"/>
    <mergeCell ref="AL405:AM405"/>
    <mergeCell ref="AN405:AO405"/>
    <mergeCell ref="A406:B406"/>
    <mergeCell ref="E406:F406"/>
    <mergeCell ref="G406:H406"/>
    <mergeCell ref="I406:J406"/>
    <mergeCell ref="O406:P406"/>
    <mergeCell ref="Q406:R406"/>
    <mergeCell ref="S406:T406"/>
    <mergeCell ref="V406:W406"/>
    <mergeCell ref="Z406:AA406"/>
    <mergeCell ref="AB406:AC406"/>
    <mergeCell ref="AD406:AE406"/>
    <mergeCell ref="AJ406:AK406"/>
    <mergeCell ref="AL406:AM406"/>
    <mergeCell ref="AN406:AO406"/>
    <mergeCell ref="A407:B407"/>
    <mergeCell ref="E407:F407"/>
    <mergeCell ref="G407:H407"/>
    <mergeCell ref="I407:J407"/>
    <mergeCell ref="O407:P407"/>
    <mergeCell ref="Q407:R407"/>
    <mergeCell ref="S407:T407"/>
    <mergeCell ref="V407:W407"/>
    <mergeCell ref="Z407:AA407"/>
    <mergeCell ref="AB407:AC407"/>
    <mergeCell ref="AD407:AE407"/>
    <mergeCell ref="AJ407:AK407"/>
    <mergeCell ref="AL407:AM407"/>
    <mergeCell ref="AN407:AO407"/>
    <mergeCell ref="A408:B408"/>
    <mergeCell ref="AH491:AK491"/>
    <mergeCell ref="M492:P492"/>
    <mergeCell ref="AH494:AK494"/>
    <mergeCell ref="S504:T504"/>
    <mergeCell ref="V491:W491"/>
    <mergeCell ref="Z491:AA491"/>
    <mergeCell ref="AB491:AC491"/>
    <mergeCell ref="AD491:AE491"/>
    <mergeCell ref="V492:W492"/>
    <mergeCell ref="Z492:AA492"/>
    <mergeCell ref="AB457:AC457"/>
    <mergeCell ref="AJ457:AK457"/>
    <mergeCell ref="AL457:AM457"/>
    <mergeCell ref="AN457:AO457"/>
    <mergeCell ref="Q457:R457"/>
    <mergeCell ref="S457:T457"/>
    <mergeCell ref="V457:W457"/>
    <mergeCell ref="Z457:AA457"/>
    <mergeCell ref="AH495:AK495"/>
    <mergeCell ref="AD501:AE501"/>
    <mergeCell ref="A458:B458"/>
    <mergeCell ref="E458:F458"/>
    <mergeCell ref="G458:H458"/>
    <mergeCell ref="I458:J458"/>
    <mergeCell ref="O458:P458"/>
    <mergeCell ref="Q458:R458"/>
    <mergeCell ref="S458:T458"/>
    <mergeCell ref="V458:W458"/>
    <mergeCell ref="Z458:AA458"/>
    <mergeCell ref="AB458:AC458"/>
    <mergeCell ref="AD458:AE458"/>
    <mergeCell ref="AJ458:AK458"/>
    <mergeCell ref="AL458:AM458"/>
    <mergeCell ref="AN458:AO458"/>
    <mergeCell ref="A459:B459"/>
    <mergeCell ref="E459:F459"/>
    <mergeCell ref="G459:H459"/>
    <mergeCell ref="I459:J459"/>
    <mergeCell ref="O459:P459"/>
    <mergeCell ref="Q459:R459"/>
    <mergeCell ref="S459:T459"/>
    <mergeCell ref="V459:W459"/>
    <mergeCell ref="Z459:AA459"/>
    <mergeCell ref="AB459:AC459"/>
    <mergeCell ref="AD459:AE459"/>
    <mergeCell ref="AJ459:AK459"/>
    <mergeCell ref="AL459:AM459"/>
    <mergeCell ref="AN459:AO459"/>
    <mergeCell ref="A460:B460"/>
    <mergeCell ref="E460:F460"/>
    <mergeCell ref="G460:H460"/>
    <mergeCell ref="I460:J460"/>
    <mergeCell ref="O460:P460"/>
    <mergeCell ref="Q460:R460"/>
    <mergeCell ref="S460:T460"/>
    <mergeCell ref="V460:W460"/>
    <mergeCell ref="Z460:AA460"/>
    <mergeCell ref="AB460:AC460"/>
    <mergeCell ref="AD460:AE460"/>
    <mergeCell ref="AJ460:AK460"/>
    <mergeCell ref="AL460:AM460"/>
    <mergeCell ref="AN460:AO460"/>
    <mergeCell ref="A461:B461"/>
    <mergeCell ref="E461:F461"/>
    <mergeCell ref="AN560:AO560"/>
    <mergeCell ref="A561:U561"/>
    <mergeCell ref="V561:AO561"/>
    <mergeCell ref="A563:T563"/>
    <mergeCell ref="Q572:R572"/>
    <mergeCell ref="I604:J604"/>
    <mergeCell ref="A605:B605"/>
    <mergeCell ref="AG565:AG568"/>
    <mergeCell ref="M604:P604"/>
    <mergeCell ref="O567:P568"/>
    <mergeCell ref="Q567:R568"/>
    <mergeCell ref="O571:P571"/>
    <mergeCell ref="Q571:R571"/>
    <mergeCell ref="S571:T571"/>
    <mergeCell ref="O572:P572"/>
    <mergeCell ref="N567:N568"/>
    <mergeCell ref="A569:B569"/>
    <mergeCell ref="E569:F569"/>
    <mergeCell ref="G569:H569"/>
    <mergeCell ref="O569:P569"/>
    <mergeCell ref="Q569:R569"/>
    <mergeCell ref="S569:T569"/>
    <mergeCell ref="AH547:AK547"/>
    <mergeCell ref="M548:P548"/>
    <mergeCell ref="AH550:AK550"/>
    <mergeCell ref="S560:T560"/>
    <mergeCell ref="V547:W547"/>
    <mergeCell ref="Z547:AA547"/>
    <mergeCell ref="AB547:AC547"/>
    <mergeCell ref="AD547:AE547"/>
    <mergeCell ref="V548:W548"/>
    <mergeCell ref="Z548:AA548"/>
    <mergeCell ref="A549:B549"/>
    <mergeCell ref="E549:F549"/>
    <mergeCell ref="G549:H549"/>
    <mergeCell ref="I549:J549"/>
    <mergeCell ref="M549:P549"/>
    <mergeCell ref="V549:W549"/>
    <mergeCell ref="Z549:AA549"/>
    <mergeCell ref="AB549:AC549"/>
    <mergeCell ref="AJ567:AK568"/>
    <mergeCell ref="AL566:AM566"/>
    <mergeCell ref="AL567:AM568"/>
    <mergeCell ref="AH565:AK566"/>
    <mergeCell ref="AN567:AO568"/>
    <mergeCell ref="E570:F570"/>
    <mergeCell ref="G570:H570"/>
    <mergeCell ref="A555:B555"/>
    <mergeCell ref="E555:F555"/>
    <mergeCell ref="G555:H555"/>
    <mergeCell ref="I555:J555"/>
    <mergeCell ref="V555:W555"/>
    <mergeCell ref="Z555:AA555"/>
    <mergeCell ref="AB555:AC555"/>
    <mergeCell ref="AD555:AE555"/>
    <mergeCell ref="A556:B556"/>
    <mergeCell ref="E556:F556"/>
    <mergeCell ref="G556:H556"/>
    <mergeCell ref="I556:J556"/>
    <mergeCell ref="V556:W556"/>
    <mergeCell ref="Z556:AA556"/>
    <mergeCell ref="AB556:AC556"/>
    <mergeCell ref="AD556:AE556"/>
    <mergeCell ref="A557:B557"/>
    <mergeCell ref="AN514:AO514"/>
    <mergeCell ref="A515:B515"/>
    <mergeCell ref="E515:F515"/>
    <mergeCell ref="G515:H515"/>
    <mergeCell ref="I515:J515"/>
    <mergeCell ref="O515:P515"/>
    <mergeCell ref="Q515:R515"/>
    <mergeCell ref="AH659:AK659"/>
    <mergeCell ref="M660:P660"/>
    <mergeCell ref="AH662:AK662"/>
    <mergeCell ref="S672:T672"/>
    <mergeCell ref="V659:W659"/>
    <mergeCell ref="Z659:AA659"/>
    <mergeCell ref="AB659:AC659"/>
    <mergeCell ref="AD659:AE659"/>
    <mergeCell ref="V660:W660"/>
    <mergeCell ref="Z660:AA660"/>
    <mergeCell ref="AJ625:AK625"/>
    <mergeCell ref="AL625:AM625"/>
    <mergeCell ref="AN625:AO625"/>
    <mergeCell ref="Q625:R625"/>
    <mergeCell ref="S625:T625"/>
    <mergeCell ref="V625:W625"/>
    <mergeCell ref="Z625:AA625"/>
    <mergeCell ref="AD625:AE625"/>
    <mergeCell ref="AD665:AE665"/>
    <mergeCell ref="V668:W668"/>
    <mergeCell ref="Z668:AA668"/>
    <mergeCell ref="AB668:AC668"/>
    <mergeCell ref="AB565:AC565"/>
    <mergeCell ref="AD565:AE566"/>
    <mergeCell ref="AD568:AE568"/>
    <mergeCell ref="A625:B625"/>
    <mergeCell ref="E625:F625"/>
    <mergeCell ref="G625:H625"/>
    <mergeCell ref="O625:P625"/>
    <mergeCell ref="AG621:AG624"/>
    <mergeCell ref="AH621:AK622"/>
    <mergeCell ref="V621:W624"/>
    <mergeCell ref="X621:AA622"/>
    <mergeCell ref="AB621:AC621"/>
    <mergeCell ref="AD621:AE622"/>
    <mergeCell ref="AL621:AM621"/>
    <mergeCell ref="AN621:AO621"/>
    <mergeCell ref="AI623:AI624"/>
    <mergeCell ref="AJ623:AK624"/>
    <mergeCell ref="AL623:AM624"/>
    <mergeCell ref="AN623:AO624"/>
    <mergeCell ref="AN622:AO622"/>
    <mergeCell ref="AL622:AM622"/>
    <mergeCell ref="AD623:AE623"/>
    <mergeCell ref="L621:L624"/>
    <mergeCell ref="M621:P622"/>
    <mergeCell ref="Q621:R621"/>
    <mergeCell ref="S621:T621"/>
    <mergeCell ref="N623:N624"/>
    <mergeCell ref="O623:P624"/>
    <mergeCell ref="AD624:AE624"/>
    <mergeCell ref="D623:D624"/>
    <mergeCell ref="E623:F624"/>
    <mergeCell ref="G623:H624"/>
    <mergeCell ref="AL565:AM565"/>
    <mergeCell ref="AN565:AO565"/>
    <mergeCell ref="AI567:AI568"/>
    <mergeCell ref="AB677:AC677"/>
    <mergeCell ref="AD677:AE678"/>
    <mergeCell ref="Y679:Y680"/>
    <mergeCell ref="Z679:AA680"/>
    <mergeCell ref="AB679:AC680"/>
    <mergeCell ref="AD679:AE679"/>
    <mergeCell ref="AD680:AE680"/>
    <mergeCell ref="A675:T675"/>
    <mergeCell ref="V675:AO675"/>
    <mergeCell ref="A677:B680"/>
    <mergeCell ref="C677:F678"/>
    <mergeCell ref="G677:H677"/>
    <mergeCell ref="I677:J678"/>
    <mergeCell ref="L677:L680"/>
    <mergeCell ref="M677:P678"/>
    <mergeCell ref="Q677:R677"/>
    <mergeCell ref="S677:T677"/>
    <mergeCell ref="AN728:AO728"/>
    <mergeCell ref="A729:U729"/>
    <mergeCell ref="V729:AO729"/>
    <mergeCell ref="A731:T731"/>
    <mergeCell ref="V731:AO731"/>
    <mergeCell ref="O735:P736"/>
    <mergeCell ref="Q735:R736"/>
    <mergeCell ref="S735:T736"/>
    <mergeCell ref="A733:B736"/>
    <mergeCell ref="C733:F734"/>
    <mergeCell ref="AH715:AK715"/>
    <mergeCell ref="M716:P716"/>
    <mergeCell ref="AH718:AK718"/>
    <mergeCell ref="S728:T728"/>
    <mergeCell ref="V715:W715"/>
    <mergeCell ref="Z715:AA715"/>
    <mergeCell ref="AB715:AC715"/>
    <mergeCell ref="AD715:AE715"/>
    <mergeCell ref="V716:W716"/>
    <mergeCell ref="Z716:AA716"/>
    <mergeCell ref="A716:B716"/>
    <mergeCell ref="E716:F716"/>
    <mergeCell ref="G716:H716"/>
    <mergeCell ref="I716:J716"/>
    <mergeCell ref="AB716:AC716"/>
    <mergeCell ref="AD716:AE716"/>
    <mergeCell ref="A717:B717"/>
    <mergeCell ref="E717:F717"/>
    <mergeCell ref="AB681:AC681"/>
    <mergeCell ref="AJ681:AK681"/>
    <mergeCell ref="AL681:AM681"/>
    <mergeCell ref="AN681:AO681"/>
    <mergeCell ref="AD681:AE681"/>
    <mergeCell ref="Q681:R681"/>
    <mergeCell ref="S681:T681"/>
    <mergeCell ref="V681:W681"/>
    <mergeCell ref="Z681:AA681"/>
    <mergeCell ref="A681:B681"/>
    <mergeCell ref="E681:F681"/>
    <mergeCell ref="G681:H681"/>
    <mergeCell ref="O681:P681"/>
    <mergeCell ref="I681:J681"/>
    <mergeCell ref="A684:B684"/>
    <mergeCell ref="E684:F684"/>
    <mergeCell ref="G684:H684"/>
    <mergeCell ref="I684:J684"/>
    <mergeCell ref="O684:P684"/>
    <mergeCell ref="Q684:R684"/>
    <mergeCell ref="S684:T684"/>
    <mergeCell ref="V684:W684"/>
    <mergeCell ref="Z684:AA684"/>
    <mergeCell ref="AB684:AC684"/>
    <mergeCell ref="AD684:AE684"/>
    <mergeCell ref="AJ684:AK684"/>
    <mergeCell ref="AL684:AM684"/>
    <mergeCell ref="AN684:AO684"/>
    <mergeCell ref="A685:B685"/>
    <mergeCell ref="E685:F685"/>
    <mergeCell ref="G685:H685"/>
    <mergeCell ref="I685:J685"/>
    <mergeCell ref="O685:P685"/>
    <mergeCell ref="Q685:R685"/>
    <mergeCell ref="S685:T685"/>
    <mergeCell ref="V685:W685"/>
    <mergeCell ref="AB737:AC737"/>
    <mergeCell ref="AJ737:AK737"/>
    <mergeCell ref="AL737:AM737"/>
    <mergeCell ref="AN737:AO737"/>
    <mergeCell ref="AD737:AE737"/>
    <mergeCell ref="Q737:R737"/>
    <mergeCell ref="S737:T737"/>
    <mergeCell ref="V737:W737"/>
    <mergeCell ref="Z737:AA737"/>
    <mergeCell ref="O765:P765"/>
    <mergeCell ref="Q765:R765"/>
    <mergeCell ref="S765:T765"/>
    <mergeCell ref="V765:W765"/>
    <mergeCell ref="Z765:AA765"/>
    <mergeCell ref="AB768:AC768"/>
    <mergeCell ref="AD769:AE769"/>
    <mergeCell ref="AD767:AE767"/>
    <mergeCell ref="Z685:AA685"/>
    <mergeCell ref="AB685:AC685"/>
    <mergeCell ref="AD685:AE685"/>
    <mergeCell ref="AJ685:AK685"/>
    <mergeCell ref="AL685:AM685"/>
    <mergeCell ref="AN685:AO685"/>
    <mergeCell ref="A686:B686"/>
    <mergeCell ref="E686:F686"/>
    <mergeCell ref="G686:H686"/>
    <mergeCell ref="I686:J686"/>
    <mergeCell ref="O686:P686"/>
    <mergeCell ref="Q686:R686"/>
    <mergeCell ref="S686:T686"/>
    <mergeCell ref="V686:W686"/>
    <mergeCell ref="Z686:AA686"/>
    <mergeCell ref="AB686:AC686"/>
    <mergeCell ref="AD686:AE686"/>
    <mergeCell ref="AJ686:AK686"/>
    <mergeCell ref="AL686:AM686"/>
    <mergeCell ref="AN686:AO686"/>
    <mergeCell ref="A687:B687"/>
    <mergeCell ref="E687:F687"/>
    <mergeCell ref="G687:H687"/>
    <mergeCell ref="I687:J687"/>
    <mergeCell ref="O687:P687"/>
    <mergeCell ref="Q687:R687"/>
    <mergeCell ref="S687:T687"/>
    <mergeCell ref="V687:W687"/>
    <mergeCell ref="Z687:AA687"/>
    <mergeCell ref="AB687:AC687"/>
    <mergeCell ref="AH775:AK775"/>
    <mergeCell ref="AD781:AE781"/>
    <mergeCell ref="AN784:AO784"/>
    <mergeCell ref="A737:B737"/>
    <mergeCell ref="E737:F737"/>
    <mergeCell ref="G737:H737"/>
    <mergeCell ref="O737:P737"/>
    <mergeCell ref="I737:J737"/>
    <mergeCell ref="AG733:AG736"/>
    <mergeCell ref="V733:W736"/>
    <mergeCell ref="X733:AA734"/>
    <mergeCell ref="AB733:AC733"/>
    <mergeCell ref="AD733:AE734"/>
    <mergeCell ref="AH733:AK734"/>
    <mergeCell ref="AL733:AM733"/>
    <mergeCell ref="AN733:AO733"/>
    <mergeCell ref="AI735:AI736"/>
    <mergeCell ref="AJ735:AK736"/>
    <mergeCell ref="AL735:AM736"/>
    <mergeCell ref="AN735:AO736"/>
    <mergeCell ref="AL734:AM734"/>
    <mergeCell ref="AN734:AO734"/>
    <mergeCell ref="Y735:Y736"/>
    <mergeCell ref="Z735:AA736"/>
    <mergeCell ref="AB735:AC736"/>
    <mergeCell ref="AD735:AE735"/>
    <mergeCell ref="AD736:AE736"/>
    <mergeCell ref="L733:L736"/>
    <mergeCell ref="M733:P734"/>
    <mergeCell ref="Q733:R733"/>
    <mergeCell ref="S733:T733"/>
    <mergeCell ref="N735:N736"/>
    <mergeCell ref="G733:H733"/>
    <mergeCell ref="I733:J734"/>
    <mergeCell ref="D735:D736"/>
    <mergeCell ref="E735:F736"/>
    <mergeCell ref="G735:H736"/>
    <mergeCell ref="I735:J735"/>
    <mergeCell ref="I736:J736"/>
    <mergeCell ref="A740:B740"/>
    <mergeCell ref="E740:F740"/>
    <mergeCell ref="G740:H740"/>
    <mergeCell ref="I740:J740"/>
    <mergeCell ref="O740:P740"/>
    <mergeCell ref="Q740:R740"/>
    <mergeCell ref="S740:T740"/>
    <mergeCell ref="Z740:AA740"/>
    <mergeCell ref="AB740:AC740"/>
    <mergeCell ref="AD740:AE740"/>
    <mergeCell ref="AJ740:AK740"/>
    <mergeCell ref="AL740:AM740"/>
    <mergeCell ref="AN740:AO740"/>
    <mergeCell ref="A741:B741"/>
    <mergeCell ref="E741:F741"/>
    <mergeCell ref="G741:H741"/>
    <mergeCell ref="I741:J741"/>
    <mergeCell ref="O741:P741"/>
    <mergeCell ref="Q741:R741"/>
    <mergeCell ref="S741:T741"/>
    <mergeCell ref="V741:W741"/>
    <mergeCell ref="Z741:AA741"/>
    <mergeCell ref="AB741:AC741"/>
    <mergeCell ref="AD741:AE741"/>
    <mergeCell ref="AJ741:AK741"/>
    <mergeCell ref="A787:T787"/>
    <mergeCell ref="V787:AO787"/>
    <mergeCell ref="O791:P792"/>
    <mergeCell ref="Q791:R792"/>
    <mergeCell ref="S791:T792"/>
    <mergeCell ref="A789:B792"/>
    <mergeCell ref="C789:F790"/>
    <mergeCell ref="AG789:AG792"/>
    <mergeCell ref="V789:W792"/>
    <mergeCell ref="X789:AA790"/>
    <mergeCell ref="AB789:AC789"/>
    <mergeCell ref="AD789:AE790"/>
    <mergeCell ref="AH789:AK790"/>
    <mergeCell ref="AL789:AM789"/>
    <mergeCell ref="AN789:AO789"/>
    <mergeCell ref="AI791:AI792"/>
    <mergeCell ref="AJ791:AK792"/>
    <mergeCell ref="AL791:AM792"/>
    <mergeCell ref="AN791:AO792"/>
    <mergeCell ref="AL790:AM790"/>
    <mergeCell ref="AN790:AO790"/>
    <mergeCell ref="Y791:Y792"/>
    <mergeCell ref="Z791:AA792"/>
    <mergeCell ref="AB791:AC792"/>
    <mergeCell ref="AD791:AE791"/>
    <mergeCell ref="AD792:AE792"/>
    <mergeCell ref="AH771:AK771"/>
    <mergeCell ref="M772:P772"/>
    <mergeCell ref="AH774:AK774"/>
    <mergeCell ref="S784:T784"/>
    <mergeCell ref="V771:W771"/>
    <mergeCell ref="Z771:AA771"/>
    <mergeCell ref="AB771:AC771"/>
    <mergeCell ref="AD771:AE771"/>
    <mergeCell ref="V772:W772"/>
    <mergeCell ref="Z772:AA772"/>
    <mergeCell ref="A774:B774"/>
    <mergeCell ref="E774:F774"/>
    <mergeCell ref="G774:H774"/>
    <mergeCell ref="I774:J774"/>
    <mergeCell ref="M774:P774"/>
    <mergeCell ref="V774:W774"/>
    <mergeCell ref="Z774:AA774"/>
    <mergeCell ref="AB774:AC774"/>
    <mergeCell ref="AD774:AE774"/>
    <mergeCell ref="A775:B775"/>
    <mergeCell ref="E775:F775"/>
    <mergeCell ref="G775:H775"/>
    <mergeCell ref="I775:J775"/>
    <mergeCell ref="V775:W775"/>
    <mergeCell ref="Z775:AA775"/>
    <mergeCell ref="AB775:AC775"/>
    <mergeCell ref="AD775:AE775"/>
    <mergeCell ref="A776:B776"/>
    <mergeCell ref="E776:F776"/>
    <mergeCell ref="G776:H776"/>
    <mergeCell ref="I776:J776"/>
    <mergeCell ref="V776:W776"/>
    <mergeCell ref="Z776:AA776"/>
    <mergeCell ref="AB776:AC776"/>
    <mergeCell ref="AD776:AE776"/>
    <mergeCell ref="AH776:AK776"/>
    <mergeCell ref="Z777:AA777"/>
    <mergeCell ref="AB777:AC777"/>
    <mergeCell ref="A843:T843"/>
    <mergeCell ref="V843:AO843"/>
    <mergeCell ref="A845:B848"/>
    <mergeCell ref="C845:F846"/>
    <mergeCell ref="G845:H845"/>
    <mergeCell ref="I845:J846"/>
    <mergeCell ref="L845:L848"/>
    <mergeCell ref="M845:P846"/>
    <mergeCell ref="Q845:R845"/>
    <mergeCell ref="S845:T845"/>
    <mergeCell ref="A844:T844"/>
    <mergeCell ref="G846:H846"/>
    <mergeCell ref="Q846:R846"/>
    <mergeCell ref="S846:T846"/>
    <mergeCell ref="AB846:AC846"/>
    <mergeCell ref="S840:T840"/>
    <mergeCell ref="AN840:AO840"/>
    <mergeCell ref="A841:U841"/>
    <mergeCell ref="V841:AO841"/>
    <mergeCell ref="M825:P825"/>
    <mergeCell ref="AH827:AK827"/>
    <mergeCell ref="M828:P828"/>
    <mergeCell ref="AH830:AK830"/>
    <mergeCell ref="V825:W825"/>
    <mergeCell ref="Z825:AA825"/>
    <mergeCell ref="V826:W826"/>
    <mergeCell ref="Z826:AA826"/>
    <mergeCell ref="AB793:AC793"/>
    <mergeCell ref="AJ793:AK793"/>
    <mergeCell ref="AB794:AC794"/>
    <mergeCell ref="AD794:AE794"/>
    <mergeCell ref="AJ794:AK794"/>
    <mergeCell ref="Z795:AA795"/>
    <mergeCell ref="AB795:AC795"/>
    <mergeCell ref="AD795:AE795"/>
    <mergeCell ref="AL793:AM793"/>
    <mergeCell ref="AN793:AO793"/>
    <mergeCell ref="AD793:AE793"/>
    <mergeCell ref="Q793:R793"/>
    <mergeCell ref="S793:T793"/>
    <mergeCell ref="V793:W793"/>
    <mergeCell ref="Z793:AA793"/>
    <mergeCell ref="A793:B793"/>
    <mergeCell ref="E793:F793"/>
    <mergeCell ref="G793:H793"/>
    <mergeCell ref="O793:P793"/>
    <mergeCell ref="I793:J793"/>
    <mergeCell ref="A795:B795"/>
    <mergeCell ref="E795:F795"/>
    <mergeCell ref="G795:H795"/>
    <mergeCell ref="I795:J795"/>
    <mergeCell ref="O795:P795"/>
    <mergeCell ref="Q795:R795"/>
    <mergeCell ref="S795:T795"/>
    <mergeCell ref="V795:W795"/>
    <mergeCell ref="AJ795:AK795"/>
    <mergeCell ref="AL795:AM795"/>
    <mergeCell ref="AN795:AO795"/>
    <mergeCell ref="A796:B796"/>
    <mergeCell ref="E796:F796"/>
    <mergeCell ref="G796:H796"/>
    <mergeCell ref="I796:J796"/>
    <mergeCell ref="O796:P796"/>
    <mergeCell ref="Q796:R796"/>
    <mergeCell ref="AB849:AC849"/>
    <mergeCell ref="AJ849:AK849"/>
    <mergeCell ref="AL849:AM849"/>
    <mergeCell ref="AN849:AO849"/>
    <mergeCell ref="AD849:AE849"/>
    <mergeCell ref="Q849:R849"/>
    <mergeCell ref="S849:T849"/>
    <mergeCell ref="V849:W849"/>
    <mergeCell ref="Z849:AA849"/>
    <mergeCell ref="AL874:AM874"/>
    <mergeCell ref="O877:P877"/>
    <mergeCell ref="Q877:R877"/>
    <mergeCell ref="S877:T877"/>
    <mergeCell ref="V877:W877"/>
    <mergeCell ref="AB875:AC875"/>
    <mergeCell ref="AD875:AE875"/>
    <mergeCell ref="AJ875:AK875"/>
    <mergeCell ref="O876:P876"/>
    <mergeCell ref="Q876:R876"/>
    <mergeCell ref="AD880:AE880"/>
    <mergeCell ref="V880:W880"/>
    <mergeCell ref="Z880:AA880"/>
    <mergeCell ref="A849:B849"/>
    <mergeCell ref="E849:F849"/>
    <mergeCell ref="G849:H849"/>
    <mergeCell ref="O849:P849"/>
    <mergeCell ref="I849:J849"/>
    <mergeCell ref="N847:N848"/>
    <mergeCell ref="O847:P848"/>
    <mergeCell ref="Q847:R848"/>
    <mergeCell ref="S847:T848"/>
    <mergeCell ref="D847:D848"/>
    <mergeCell ref="E847:F848"/>
    <mergeCell ref="G847:H848"/>
    <mergeCell ref="I847:J847"/>
    <mergeCell ref="I848:J848"/>
    <mergeCell ref="AG845:AG848"/>
    <mergeCell ref="AH845:AK846"/>
    <mergeCell ref="AL845:AM845"/>
    <mergeCell ref="AN845:AO845"/>
    <mergeCell ref="AI847:AI848"/>
    <mergeCell ref="AJ847:AK848"/>
    <mergeCell ref="AL847:AM848"/>
    <mergeCell ref="AN847:AO848"/>
    <mergeCell ref="AL846:AM846"/>
    <mergeCell ref="AN846:AO846"/>
    <mergeCell ref="V845:W848"/>
    <mergeCell ref="X845:AA846"/>
    <mergeCell ref="AB845:AC845"/>
    <mergeCell ref="AD845:AE846"/>
    <mergeCell ref="Y847:Y848"/>
    <mergeCell ref="Z847:AA848"/>
    <mergeCell ref="AB847:AC848"/>
    <mergeCell ref="AD847:AE847"/>
    <mergeCell ref="AD848:AE848"/>
    <mergeCell ref="A852:B852"/>
    <mergeCell ref="E852:F852"/>
    <mergeCell ref="G852:H852"/>
    <mergeCell ref="I852:J852"/>
    <mergeCell ref="O852:P852"/>
    <mergeCell ref="Q852:R852"/>
    <mergeCell ref="S852:T852"/>
    <mergeCell ref="V852:W852"/>
    <mergeCell ref="Z852:AA852"/>
    <mergeCell ref="A899:T899"/>
    <mergeCell ref="V899:AO899"/>
    <mergeCell ref="A900:T900"/>
    <mergeCell ref="A901:B904"/>
    <mergeCell ref="C901:F902"/>
    <mergeCell ref="G901:H901"/>
    <mergeCell ref="I901:J902"/>
    <mergeCell ref="L901:L904"/>
    <mergeCell ref="M901:P902"/>
    <mergeCell ref="X901:AA902"/>
    <mergeCell ref="AH886:AK886"/>
    <mergeCell ref="V892:W892"/>
    <mergeCell ref="S896:T896"/>
    <mergeCell ref="AN896:AO896"/>
    <mergeCell ref="AD886:AE886"/>
    <mergeCell ref="AD887:AE887"/>
    <mergeCell ref="AH887:AK887"/>
    <mergeCell ref="V888:W888"/>
    <mergeCell ref="Z888:AA888"/>
    <mergeCell ref="AB888:AC888"/>
    <mergeCell ref="V886:W886"/>
    <mergeCell ref="Z886:AA886"/>
    <mergeCell ref="AB886:AC886"/>
    <mergeCell ref="G887:H887"/>
    <mergeCell ref="I887:J887"/>
    <mergeCell ref="M887:P887"/>
    <mergeCell ref="V887:W887"/>
    <mergeCell ref="A886:B886"/>
    <mergeCell ref="E886:F886"/>
    <mergeCell ref="G886:H886"/>
    <mergeCell ref="I886:J886"/>
    <mergeCell ref="AN877:AO877"/>
    <mergeCell ref="AH883:AK883"/>
    <mergeCell ref="M885:P885"/>
    <mergeCell ref="AB877:AC877"/>
    <mergeCell ref="AD877:AE877"/>
    <mergeCell ref="AJ877:AK877"/>
    <mergeCell ref="AL878:AM878"/>
    <mergeCell ref="AL877:AM877"/>
    <mergeCell ref="O878:P878"/>
    <mergeCell ref="A877:B877"/>
    <mergeCell ref="E877:F877"/>
    <mergeCell ref="G877:H877"/>
    <mergeCell ref="I877:J877"/>
    <mergeCell ref="V879:W879"/>
    <mergeCell ref="A878:B878"/>
    <mergeCell ref="E878:F878"/>
    <mergeCell ref="G878:H878"/>
    <mergeCell ref="I878:J878"/>
    <mergeCell ref="AB878:AC878"/>
    <mergeCell ref="AD878:AE878"/>
    <mergeCell ref="Z878:AA878"/>
    <mergeCell ref="A879:B879"/>
    <mergeCell ref="E879:F879"/>
    <mergeCell ref="G879:H879"/>
    <mergeCell ref="I879:J879"/>
    <mergeCell ref="Q878:R878"/>
    <mergeCell ref="S878:T878"/>
    <mergeCell ref="V878:W878"/>
    <mergeCell ref="AB879:AC879"/>
    <mergeCell ref="AD879:AE879"/>
    <mergeCell ref="AB880:AC880"/>
    <mergeCell ref="AI903:AI904"/>
    <mergeCell ref="A889:B889"/>
    <mergeCell ref="AJ903:AK904"/>
    <mergeCell ref="AL903:AM904"/>
    <mergeCell ref="AN903:AO904"/>
    <mergeCell ref="AD904:AE904"/>
    <mergeCell ref="AG901:AG904"/>
    <mergeCell ref="AH901:AK902"/>
    <mergeCell ref="AL901:AM901"/>
    <mergeCell ref="AN901:AO901"/>
    <mergeCell ref="AD903:AE903"/>
    <mergeCell ref="D903:D904"/>
    <mergeCell ref="E903:F904"/>
    <mergeCell ref="G903:H904"/>
    <mergeCell ref="I903:J903"/>
    <mergeCell ref="N903:N904"/>
    <mergeCell ref="O903:P904"/>
    <mergeCell ref="I904:J904"/>
    <mergeCell ref="G902:H902"/>
    <mergeCell ref="Q902:R902"/>
    <mergeCell ref="S902:T902"/>
    <mergeCell ref="AB902:AC902"/>
    <mergeCell ref="AL902:AM902"/>
    <mergeCell ref="AN902:AO902"/>
    <mergeCell ref="Q901:R901"/>
    <mergeCell ref="S901:T901"/>
    <mergeCell ref="V901:W904"/>
    <mergeCell ref="AB901:AC901"/>
    <mergeCell ref="AD901:AE902"/>
    <mergeCell ref="Q903:R904"/>
    <mergeCell ref="S903:T904"/>
    <mergeCell ref="Y903:Y904"/>
    <mergeCell ref="Z903:AA904"/>
    <mergeCell ref="AB903:AC904"/>
    <mergeCell ref="AL907:AM907"/>
    <mergeCell ref="AN907:AO907"/>
    <mergeCell ref="AD907:AE907"/>
    <mergeCell ref="AJ907:AK907"/>
    <mergeCell ref="Q908:R908"/>
    <mergeCell ref="S908:T908"/>
    <mergeCell ref="V908:W908"/>
    <mergeCell ref="S907:T907"/>
    <mergeCell ref="V907:W907"/>
    <mergeCell ref="AB907:AC907"/>
    <mergeCell ref="A907:B907"/>
    <mergeCell ref="G907:H907"/>
    <mergeCell ref="I907:J907"/>
    <mergeCell ref="Q907:R907"/>
    <mergeCell ref="AB906:AC906"/>
    <mergeCell ref="AD906:AE906"/>
    <mergeCell ref="V906:W906"/>
    <mergeCell ref="AJ906:AK906"/>
    <mergeCell ref="AL906:AM906"/>
    <mergeCell ref="AN906:AO906"/>
    <mergeCell ref="AL905:AM905"/>
    <mergeCell ref="AN905:AO905"/>
    <mergeCell ref="A906:B906"/>
    <mergeCell ref="G906:H906"/>
    <mergeCell ref="I906:J906"/>
    <mergeCell ref="Q906:R906"/>
    <mergeCell ref="S906:T906"/>
    <mergeCell ref="S905:T905"/>
    <mergeCell ref="V905:W905"/>
    <mergeCell ref="AB905:AC905"/>
    <mergeCell ref="AD905:AE905"/>
    <mergeCell ref="AJ905:AK905"/>
    <mergeCell ref="A905:B905"/>
    <mergeCell ref="G905:H905"/>
    <mergeCell ref="I905:J905"/>
    <mergeCell ref="Q905:R905"/>
    <mergeCell ref="AB910:AC910"/>
    <mergeCell ref="A910:B910"/>
    <mergeCell ref="G910:H910"/>
    <mergeCell ref="I910:J910"/>
    <mergeCell ref="O910:P910"/>
    <mergeCell ref="AD910:AE910"/>
    <mergeCell ref="AJ910:AK910"/>
    <mergeCell ref="AL910:AM910"/>
    <mergeCell ref="AN910:AO910"/>
    <mergeCell ref="AL909:AM909"/>
    <mergeCell ref="AN909:AO909"/>
    <mergeCell ref="AD909:AE909"/>
    <mergeCell ref="AJ909:AK909"/>
    <mergeCell ref="Q910:R910"/>
    <mergeCell ref="S910:T910"/>
    <mergeCell ref="V910:W910"/>
    <mergeCell ref="S909:T909"/>
    <mergeCell ref="V909:W909"/>
    <mergeCell ref="AB909:AC909"/>
    <mergeCell ref="A909:B909"/>
    <mergeCell ref="G909:H909"/>
    <mergeCell ref="I909:J909"/>
    <mergeCell ref="O909:P909"/>
    <mergeCell ref="Q909:R909"/>
    <mergeCell ref="AB908:AC908"/>
    <mergeCell ref="A908:B908"/>
    <mergeCell ref="G908:H908"/>
    <mergeCell ref="I908:J908"/>
    <mergeCell ref="O908:P908"/>
    <mergeCell ref="AD908:AE908"/>
    <mergeCell ref="AJ908:AK908"/>
    <mergeCell ref="AL908:AM908"/>
    <mergeCell ref="AN908:AO908"/>
    <mergeCell ref="AL913:AM913"/>
    <mergeCell ref="AN913:AO913"/>
    <mergeCell ref="A914:B914"/>
    <mergeCell ref="G914:H914"/>
    <mergeCell ref="I914:J914"/>
    <mergeCell ref="O914:P914"/>
    <mergeCell ref="Q914:R914"/>
    <mergeCell ref="A913:B913"/>
    <mergeCell ref="G913:H913"/>
    <mergeCell ref="I913:J913"/>
    <mergeCell ref="O913:P913"/>
    <mergeCell ref="Q913:R913"/>
    <mergeCell ref="AJ914:AK914"/>
    <mergeCell ref="AJ916:AK916"/>
    <mergeCell ref="AL916:AM916"/>
    <mergeCell ref="AN916:AO916"/>
    <mergeCell ref="AL915:AM915"/>
    <mergeCell ref="AN915:AO915"/>
    <mergeCell ref="AL912:AM912"/>
    <mergeCell ref="AL914:AM914"/>
    <mergeCell ref="AN912:AO912"/>
    <mergeCell ref="AL911:AM911"/>
    <mergeCell ref="AN911:AO911"/>
    <mergeCell ref="S913:T913"/>
    <mergeCell ref="V913:W913"/>
    <mergeCell ref="AB913:AC913"/>
    <mergeCell ref="AD913:AE913"/>
    <mergeCell ref="AJ913:AK913"/>
    <mergeCell ref="V912:W912"/>
    <mergeCell ref="S911:T911"/>
    <mergeCell ref="A912:B912"/>
    <mergeCell ref="G912:H912"/>
    <mergeCell ref="I912:J912"/>
    <mergeCell ref="O912:P912"/>
    <mergeCell ref="Q912:R912"/>
    <mergeCell ref="S912:T912"/>
    <mergeCell ref="V911:W911"/>
    <mergeCell ref="AB911:AC911"/>
    <mergeCell ref="AD911:AE911"/>
    <mergeCell ref="AJ911:AK911"/>
    <mergeCell ref="AB912:AC912"/>
    <mergeCell ref="AD912:AE912"/>
    <mergeCell ref="AJ912:AK912"/>
    <mergeCell ref="A911:B911"/>
    <mergeCell ref="G911:H911"/>
    <mergeCell ref="I911:J911"/>
    <mergeCell ref="O911:P911"/>
    <mergeCell ref="Q911:R911"/>
    <mergeCell ref="AB914:AC914"/>
    <mergeCell ref="AD914:AE914"/>
    <mergeCell ref="A916:B916"/>
    <mergeCell ref="E916:F916"/>
    <mergeCell ref="G916:H916"/>
    <mergeCell ref="I916:J916"/>
    <mergeCell ref="O916:P916"/>
    <mergeCell ref="Q916:R916"/>
    <mergeCell ref="S916:T916"/>
    <mergeCell ref="V916:W916"/>
    <mergeCell ref="S915:T915"/>
    <mergeCell ref="V915:W915"/>
    <mergeCell ref="AB915:AC915"/>
    <mergeCell ref="AD915:AE915"/>
    <mergeCell ref="AB916:AC916"/>
    <mergeCell ref="AD916:AE916"/>
    <mergeCell ref="A915:B915"/>
    <mergeCell ref="G915:H915"/>
    <mergeCell ref="I915:J915"/>
    <mergeCell ref="Q915:R915"/>
    <mergeCell ref="AL917:AM917"/>
    <mergeCell ref="AN917:AO917"/>
    <mergeCell ref="A918:B918"/>
    <mergeCell ref="E918:F918"/>
    <mergeCell ref="G918:H918"/>
    <mergeCell ref="I918:J918"/>
    <mergeCell ref="Q918:R918"/>
    <mergeCell ref="S918:T918"/>
    <mergeCell ref="S917:T917"/>
    <mergeCell ref="V917:W917"/>
    <mergeCell ref="AB917:AC917"/>
    <mergeCell ref="AD917:AE917"/>
    <mergeCell ref="S914:T914"/>
    <mergeCell ref="V914:W914"/>
    <mergeCell ref="AN914:AO914"/>
    <mergeCell ref="AB922:AC922"/>
    <mergeCell ref="AD922:AE922"/>
    <mergeCell ref="AJ922:AK922"/>
    <mergeCell ref="AL922:AM922"/>
    <mergeCell ref="AN922:AO922"/>
    <mergeCell ref="AL921:AM921"/>
    <mergeCell ref="AN921:AO921"/>
    <mergeCell ref="A922:B922"/>
    <mergeCell ref="G922:H922"/>
    <mergeCell ref="I922:J922"/>
    <mergeCell ref="Q922:R922"/>
    <mergeCell ref="S922:T922"/>
    <mergeCell ref="V922:W922"/>
    <mergeCell ref="S921:T921"/>
    <mergeCell ref="V921:W921"/>
    <mergeCell ref="Z921:AA921"/>
    <mergeCell ref="AB921:AC921"/>
    <mergeCell ref="AD921:AE921"/>
    <mergeCell ref="AJ921:AK921"/>
    <mergeCell ref="A921:B921"/>
    <mergeCell ref="E921:F921"/>
    <mergeCell ref="G921:H921"/>
    <mergeCell ref="I921:J921"/>
    <mergeCell ref="Q921:R921"/>
    <mergeCell ref="A917:B917"/>
    <mergeCell ref="E917:F917"/>
    <mergeCell ref="G917:H917"/>
    <mergeCell ref="I917:J917"/>
    <mergeCell ref="Q917:R917"/>
    <mergeCell ref="V918:W918"/>
    <mergeCell ref="AB918:AC918"/>
    <mergeCell ref="AD918:AE918"/>
    <mergeCell ref="AB920:AC920"/>
    <mergeCell ref="A920:B920"/>
    <mergeCell ref="G920:H920"/>
    <mergeCell ref="I920:J920"/>
    <mergeCell ref="Q920:R920"/>
    <mergeCell ref="AJ920:AK920"/>
    <mergeCell ref="AL920:AM920"/>
    <mergeCell ref="AN920:AO920"/>
    <mergeCell ref="AL919:AM919"/>
    <mergeCell ref="AN919:AO919"/>
    <mergeCell ref="AJ919:AK919"/>
    <mergeCell ref="S920:T920"/>
    <mergeCell ref="V920:W920"/>
    <mergeCell ref="S919:T919"/>
    <mergeCell ref="V919:W919"/>
    <mergeCell ref="AB919:AC919"/>
    <mergeCell ref="AD919:AE919"/>
    <mergeCell ref="AD920:AE920"/>
    <mergeCell ref="A919:B919"/>
    <mergeCell ref="E919:F919"/>
    <mergeCell ref="G919:H919"/>
    <mergeCell ref="I919:J919"/>
    <mergeCell ref="O919:P919"/>
    <mergeCell ref="Q919:R919"/>
    <mergeCell ref="AL918:AM918"/>
    <mergeCell ref="AN918:AO918"/>
    <mergeCell ref="AL925:AM925"/>
    <mergeCell ref="AN925:AO925"/>
    <mergeCell ref="O926:P926"/>
    <mergeCell ref="Q926:R926"/>
    <mergeCell ref="S926:T926"/>
    <mergeCell ref="V926:W926"/>
    <mergeCell ref="S925:T925"/>
    <mergeCell ref="V925:W925"/>
    <mergeCell ref="AB925:AC925"/>
    <mergeCell ref="AD925:AE925"/>
    <mergeCell ref="AJ925:AK925"/>
    <mergeCell ref="A925:B925"/>
    <mergeCell ref="E925:F925"/>
    <mergeCell ref="G925:H925"/>
    <mergeCell ref="I925:J925"/>
    <mergeCell ref="O925:P925"/>
    <mergeCell ref="Q925:R925"/>
    <mergeCell ref="AB924:AC924"/>
    <mergeCell ref="AD924:AE924"/>
    <mergeCell ref="AJ924:AK924"/>
    <mergeCell ref="AL924:AM924"/>
    <mergeCell ref="AN924:AO924"/>
    <mergeCell ref="AL923:AM923"/>
    <mergeCell ref="AN923:AO923"/>
    <mergeCell ref="A924:B924"/>
    <mergeCell ref="G924:H924"/>
    <mergeCell ref="I924:J924"/>
    <mergeCell ref="Q924:R924"/>
    <mergeCell ref="S924:T924"/>
    <mergeCell ref="V924:W924"/>
    <mergeCell ref="S923:T923"/>
    <mergeCell ref="V923:W923"/>
    <mergeCell ref="AB923:AC923"/>
    <mergeCell ref="AD923:AE923"/>
    <mergeCell ref="AJ923:AK923"/>
    <mergeCell ref="A923:B923"/>
    <mergeCell ref="G923:H923"/>
    <mergeCell ref="I923:J923"/>
    <mergeCell ref="Q923:R923"/>
    <mergeCell ref="AB928:AC928"/>
    <mergeCell ref="A928:B928"/>
    <mergeCell ref="G928:H928"/>
    <mergeCell ref="I928:J928"/>
    <mergeCell ref="O928:P928"/>
    <mergeCell ref="AD928:AE928"/>
    <mergeCell ref="AJ928:AK928"/>
    <mergeCell ref="AL928:AM928"/>
    <mergeCell ref="AN928:AO928"/>
    <mergeCell ref="AL927:AM927"/>
    <mergeCell ref="AN927:AO927"/>
    <mergeCell ref="AD927:AE927"/>
    <mergeCell ref="AJ927:AK927"/>
    <mergeCell ref="Q928:R928"/>
    <mergeCell ref="S928:T928"/>
    <mergeCell ref="V928:W928"/>
    <mergeCell ref="S927:T927"/>
    <mergeCell ref="V927:W927"/>
    <mergeCell ref="AB927:AC927"/>
    <mergeCell ref="A927:B927"/>
    <mergeCell ref="G927:H927"/>
    <mergeCell ref="I927:J927"/>
    <mergeCell ref="O927:P927"/>
    <mergeCell ref="Q927:R927"/>
    <mergeCell ref="AB926:AC926"/>
    <mergeCell ref="A926:B926"/>
    <mergeCell ref="E926:F926"/>
    <mergeCell ref="G926:H926"/>
    <mergeCell ref="I926:J926"/>
    <mergeCell ref="AD926:AE926"/>
    <mergeCell ref="AJ926:AK926"/>
    <mergeCell ref="AL926:AM926"/>
    <mergeCell ref="AN926:AO926"/>
    <mergeCell ref="AL931:AM931"/>
    <mergeCell ref="V931:W931"/>
    <mergeCell ref="AB931:AC931"/>
    <mergeCell ref="AD931:AE931"/>
    <mergeCell ref="AJ931:AK931"/>
    <mergeCell ref="AN931:AO931"/>
    <mergeCell ref="A932:B932"/>
    <mergeCell ref="E932:F932"/>
    <mergeCell ref="G932:H932"/>
    <mergeCell ref="I932:J932"/>
    <mergeCell ref="O932:P932"/>
    <mergeCell ref="Q932:R932"/>
    <mergeCell ref="S932:T932"/>
    <mergeCell ref="V932:W932"/>
    <mergeCell ref="S931:T931"/>
    <mergeCell ref="A931:B931"/>
    <mergeCell ref="G931:H931"/>
    <mergeCell ref="I931:J931"/>
    <mergeCell ref="O931:P931"/>
    <mergeCell ref="Q931:R931"/>
    <mergeCell ref="AB930:AC930"/>
    <mergeCell ref="A930:B930"/>
    <mergeCell ref="G930:H930"/>
    <mergeCell ref="I930:J930"/>
    <mergeCell ref="O930:P930"/>
    <mergeCell ref="AD930:AE930"/>
    <mergeCell ref="AJ930:AK930"/>
    <mergeCell ref="AL930:AM930"/>
    <mergeCell ref="AN930:AO930"/>
    <mergeCell ref="AL929:AM929"/>
    <mergeCell ref="AN929:AO929"/>
    <mergeCell ref="AD929:AE929"/>
    <mergeCell ref="AJ929:AK929"/>
    <mergeCell ref="Q930:R930"/>
    <mergeCell ref="S930:T930"/>
    <mergeCell ref="V930:W930"/>
    <mergeCell ref="S929:T929"/>
    <mergeCell ref="V929:W929"/>
    <mergeCell ref="AB929:AC929"/>
    <mergeCell ref="A929:B929"/>
    <mergeCell ref="G929:H929"/>
    <mergeCell ref="I929:J929"/>
    <mergeCell ref="O929:P929"/>
    <mergeCell ref="Q929:R929"/>
    <mergeCell ref="AN934:AO934"/>
    <mergeCell ref="A935:B935"/>
    <mergeCell ref="E935:F935"/>
    <mergeCell ref="G935:H935"/>
    <mergeCell ref="I935:J935"/>
    <mergeCell ref="V935:W935"/>
    <mergeCell ref="Z935:AA935"/>
    <mergeCell ref="AB935:AC935"/>
    <mergeCell ref="AD935:AE935"/>
    <mergeCell ref="V934:W934"/>
    <mergeCell ref="AB934:AC934"/>
    <mergeCell ref="AD934:AE934"/>
    <mergeCell ref="AJ934:AK934"/>
    <mergeCell ref="AL934:AM934"/>
    <mergeCell ref="AJ933:AK933"/>
    <mergeCell ref="AL933:AM933"/>
    <mergeCell ref="AN933:AO933"/>
    <mergeCell ref="A934:B934"/>
    <mergeCell ref="G934:H934"/>
    <mergeCell ref="I934:J934"/>
    <mergeCell ref="O934:P934"/>
    <mergeCell ref="Q934:R934"/>
    <mergeCell ref="S934:T934"/>
    <mergeCell ref="Q933:R933"/>
    <mergeCell ref="S933:T933"/>
    <mergeCell ref="V933:W933"/>
    <mergeCell ref="Z933:AA933"/>
    <mergeCell ref="AB933:AC933"/>
    <mergeCell ref="AD933:AE933"/>
    <mergeCell ref="Z932:AA932"/>
    <mergeCell ref="AB932:AC932"/>
    <mergeCell ref="AD932:AE932"/>
    <mergeCell ref="AJ932:AK932"/>
    <mergeCell ref="AL932:AM932"/>
    <mergeCell ref="A933:B933"/>
    <mergeCell ref="E933:F933"/>
    <mergeCell ref="G933:H933"/>
    <mergeCell ref="I933:J933"/>
    <mergeCell ref="O933:P933"/>
    <mergeCell ref="AN935:AO935"/>
    <mergeCell ref="S935:T935"/>
    <mergeCell ref="AN932:AO932"/>
    <mergeCell ref="AH939:AK939"/>
    <mergeCell ref="A940:B940"/>
    <mergeCell ref="E940:F940"/>
    <mergeCell ref="G940:H940"/>
    <mergeCell ref="I940:J940"/>
    <mergeCell ref="V940:W940"/>
    <mergeCell ref="Z940:AA940"/>
    <mergeCell ref="AB940:AC940"/>
    <mergeCell ref="AD940:AE940"/>
    <mergeCell ref="AD938:AE938"/>
    <mergeCell ref="A939:B939"/>
    <mergeCell ref="G939:H939"/>
    <mergeCell ref="I939:J939"/>
    <mergeCell ref="V939:W939"/>
    <mergeCell ref="AB939:AC939"/>
    <mergeCell ref="AD939:AE939"/>
    <mergeCell ref="AB937:AC937"/>
    <mergeCell ref="AD937:AE937"/>
    <mergeCell ref="A938:B938"/>
    <mergeCell ref="G938:H938"/>
    <mergeCell ref="I938:J938"/>
    <mergeCell ref="V938:W938"/>
    <mergeCell ref="AB938:AC938"/>
    <mergeCell ref="A937:B937"/>
    <mergeCell ref="E937:F937"/>
    <mergeCell ref="G937:H937"/>
    <mergeCell ref="I937:J937"/>
    <mergeCell ref="V937:W937"/>
    <mergeCell ref="Z937:AA937"/>
    <mergeCell ref="A936:B936"/>
    <mergeCell ref="E936:F936"/>
    <mergeCell ref="G936:H936"/>
    <mergeCell ref="I936:J936"/>
    <mergeCell ref="V936:W936"/>
    <mergeCell ref="Z936:AA936"/>
    <mergeCell ref="AB936:AC936"/>
    <mergeCell ref="AD936:AE936"/>
    <mergeCell ref="AB942:AC942"/>
    <mergeCell ref="AD942:AE942"/>
    <mergeCell ref="AH942:AK942"/>
    <mergeCell ref="A943:B943"/>
    <mergeCell ref="G943:H943"/>
    <mergeCell ref="I943:J943"/>
    <mergeCell ref="M943:P943"/>
    <mergeCell ref="V943:W943"/>
    <mergeCell ref="AB943:AC943"/>
    <mergeCell ref="AD943:AE943"/>
    <mergeCell ref="E946:F946"/>
    <mergeCell ref="G946:H946"/>
    <mergeCell ref="I946:J946"/>
    <mergeCell ref="V946:W946"/>
    <mergeCell ref="Z946:AA946"/>
    <mergeCell ref="AD944:AE944"/>
    <mergeCell ref="AB946:AC946"/>
    <mergeCell ref="AD946:AE946"/>
    <mergeCell ref="A945:B945"/>
    <mergeCell ref="G945:H945"/>
    <mergeCell ref="I945:J945"/>
    <mergeCell ref="V945:W945"/>
    <mergeCell ref="Z941:AA941"/>
    <mergeCell ref="AB941:AC941"/>
    <mergeCell ref="AD941:AE941"/>
    <mergeCell ref="A942:B942"/>
    <mergeCell ref="E942:F942"/>
    <mergeCell ref="G942:H942"/>
    <mergeCell ref="I942:J942"/>
    <mergeCell ref="M942:P942"/>
    <mergeCell ref="V942:W942"/>
    <mergeCell ref="Z942:AA942"/>
    <mergeCell ref="A941:B941"/>
    <mergeCell ref="E941:F941"/>
    <mergeCell ref="G941:H941"/>
    <mergeCell ref="I941:J941"/>
    <mergeCell ref="M941:P941"/>
    <mergeCell ref="V941:W941"/>
    <mergeCell ref="AB945:AC945"/>
    <mergeCell ref="AD945:AE945"/>
    <mergeCell ref="A950:B950"/>
    <mergeCell ref="V950:W950"/>
    <mergeCell ref="E950:F950"/>
    <mergeCell ref="G950:H950"/>
    <mergeCell ref="I950:J950"/>
    <mergeCell ref="Z948:AA948"/>
    <mergeCell ref="Z950:AA950"/>
    <mergeCell ref="AB950:AC950"/>
    <mergeCell ref="AD950:AE950"/>
    <mergeCell ref="AB948:AC948"/>
    <mergeCell ref="AD948:AE948"/>
    <mergeCell ref="AD947:AE947"/>
    <mergeCell ref="Z949:AA949"/>
    <mergeCell ref="AB949:AC949"/>
    <mergeCell ref="AD949:AE949"/>
    <mergeCell ref="A948:B948"/>
    <mergeCell ref="E948:F948"/>
    <mergeCell ref="G948:H948"/>
    <mergeCell ref="I948:J948"/>
    <mergeCell ref="V948:W948"/>
    <mergeCell ref="A947:B947"/>
    <mergeCell ref="E947:F947"/>
    <mergeCell ref="G947:H947"/>
    <mergeCell ref="I947:J947"/>
    <mergeCell ref="Z947:AA947"/>
    <mergeCell ref="AB947:AC947"/>
    <mergeCell ref="V947:W947"/>
    <mergeCell ref="A949:B949"/>
    <mergeCell ref="E949:F949"/>
    <mergeCell ref="G949:H949"/>
    <mergeCell ref="I949:J949"/>
    <mergeCell ref="V949:W949"/>
    <mergeCell ref="AH943:AK943"/>
    <mergeCell ref="A944:B944"/>
    <mergeCell ref="E944:F944"/>
    <mergeCell ref="G944:H944"/>
    <mergeCell ref="I944:J944"/>
    <mergeCell ref="V944:W944"/>
    <mergeCell ref="Z944:AA944"/>
    <mergeCell ref="AB944:AC944"/>
    <mergeCell ref="AH944:AK944"/>
    <mergeCell ref="A946:B946"/>
    <mergeCell ref="AN959:AO959"/>
    <mergeCell ref="D960:D961"/>
    <mergeCell ref="E960:F961"/>
    <mergeCell ref="G960:H961"/>
    <mergeCell ref="I960:J960"/>
    <mergeCell ref="N960:N961"/>
    <mergeCell ref="O960:P961"/>
    <mergeCell ref="Q960:R961"/>
    <mergeCell ref="S960:T961"/>
    <mergeCell ref="Y960:Y961"/>
    <mergeCell ref="Z960:AA961"/>
    <mergeCell ref="AB960:AC961"/>
    <mergeCell ref="AD960:AE960"/>
    <mergeCell ref="AI960:AI961"/>
    <mergeCell ref="AJ960:AK961"/>
    <mergeCell ref="AL960:AM961"/>
    <mergeCell ref="AN960:AO961"/>
    <mergeCell ref="I961:J961"/>
    <mergeCell ref="AD961:AE961"/>
    <mergeCell ref="A956:T956"/>
    <mergeCell ref="V956:AO956"/>
    <mergeCell ref="A957:T957"/>
    <mergeCell ref="A958:B961"/>
    <mergeCell ref="C958:F959"/>
    <mergeCell ref="G958:H958"/>
    <mergeCell ref="I958:J959"/>
    <mergeCell ref="L958:L961"/>
    <mergeCell ref="M958:P959"/>
    <mergeCell ref="Q958:R958"/>
    <mergeCell ref="S958:T958"/>
    <mergeCell ref="V958:W961"/>
    <mergeCell ref="X958:AA959"/>
    <mergeCell ref="AB958:AC958"/>
    <mergeCell ref="AD958:AE959"/>
    <mergeCell ref="AG958:AG961"/>
    <mergeCell ref="AH958:AK959"/>
    <mergeCell ref="AL958:AM958"/>
    <mergeCell ref="AN958:AO958"/>
    <mergeCell ref="G959:H959"/>
    <mergeCell ref="Q959:R959"/>
    <mergeCell ref="S959:T959"/>
    <mergeCell ref="AB959:AC959"/>
    <mergeCell ref="AL959:AM959"/>
    <mergeCell ref="A964:B964"/>
    <mergeCell ref="G964:H964"/>
    <mergeCell ref="I964:J964"/>
    <mergeCell ref="Q964:R964"/>
    <mergeCell ref="S964:T964"/>
    <mergeCell ref="V964:W964"/>
    <mergeCell ref="AB964:AC964"/>
    <mergeCell ref="AD964:AE964"/>
    <mergeCell ref="AJ964:AK964"/>
    <mergeCell ref="AL964:AM964"/>
    <mergeCell ref="AN964:AO964"/>
    <mergeCell ref="A965:B965"/>
    <mergeCell ref="G965:H965"/>
    <mergeCell ref="I965:J965"/>
    <mergeCell ref="O965:P965"/>
    <mergeCell ref="Q965:R965"/>
    <mergeCell ref="S965:T965"/>
    <mergeCell ref="V965:W965"/>
    <mergeCell ref="AB965:AC965"/>
    <mergeCell ref="AD965:AE965"/>
    <mergeCell ref="AJ965:AK965"/>
    <mergeCell ref="AL965:AM965"/>
    <mergeCell ref="AN965:AO965"/>
    <mergeCell ref="A962:B962"/>
    <mergeCell ref="G962:H962"/>
    <mergeCell ref="I962:J962"/>
    <mergeCell ref="Q962:R962"/>
    <mergeCell ref="S962:T962"/>
    <mergeCell ref="V962:W962"/>
    <mergeCell ref="AB962:AC962"/>
    <mergeCell ref="AD962:AE962"/>
    <mergeCell ref="AJ962:AK962"/>
    <mergeCell ref="AL962:AM962"/>
    <mergeCell ref="AN962:AO962"/>
    <mergeCell ref="A963:B963"/>
    <mergeCell ref="G963:H963"/>
    <mergeCell ref="I963:J963"/>
    <mergeCell ref="Q963:R963"/>
    <mergeCell ref="S963:T963"/>
    <mergeCell ref="V963:W963"/>
    <mergeCell ref="AB963:AC963"/>
    <mergeCell ref="AD963:AE963"/>
    <mergeCell ref="AJ963:AK963"/>
    <mergeCell ref="AL963:AM963"/>
    <mergeCell ref="AN963:AO963"/>
    <mergeCell ref="A968:B968"/>
    <mergeCell ref="G968:H968"/>
    <mergeCell ref="I968:J968"/>
    <mergeCell ref="O968:P968"/>
    <mergeCell ref="Q968:R968"/>
    <mergeCell ref="S968:T968"/>
    <mergeCell ref="V968:W968"/>
    <mergeCell ref="AB968:AC968"/>
    <mergeCell ref="AD968:AE968"/>
    <mergeCell ref="AJ968:AK968"/>
    <mergeCell ref="AL968:AM968"/>
    <mergeCell ref="AN968:AO968"/>
    <mergeCell ref="A969:B969"/>
    <mergeCell ref="G969:H969"/>
    <mergeCell ref="I969:J969"/>
    <mergeCell ref="O969:P969"/>
    <mergeCell ref="Q969:R969"/>
    <mergeCell ref="S969:T969"/>
    <mergeCell ref="V969:W969"/>
    <mergeCell ref="AB969:AC969"/>
    <mergeCell ref="AD969:AE969"/>
    <mergeCell ref="AJ969:AK969"/>
    <mergeCell ref="AL969:AM969"/>
    <mergeCell ref="AN969:AO969"/>
    <mergeCell ref="A966:B966"/>
    <mergeCell ref="G966:H966"/>
    <mergeCell ref="I966:J966"/>
    <mergeCell ref="O966:P966"/>
    <mergeCell ref="Q966:R966"/>
    <mergeCell ref="S966:T966"/>
    <mergeCell ref="V966:W966"/>
    <mergeCell ref="AB966:AC966"/>
    <mergeCell ref="AD966:AE966"/>
    <mergeCell ref="AJ966:AK966"/>
    <mergeCell ref="AL966:AM966"/>
    <mergeCell ref="AN966:AO966"/>
    <mergeCell ref="A967:B967"/>
    <mergeCell ref="G967:H967"/>
    <mergeCell ref="I967:J967"/>
    <mergeCell ref="O967:P967"/>
    <mergeCell ref="Q967:R967"/>
    <mergeCell ref="S967:T967"/>
    <mergeCell ref="V967:W967"/>
    <mergeCell ref="AB967:AC967"/>
    <mergeCell ref="AD967:AE967"/>
    <mergeCell ref="AJ967:AK967"/>
    <mergeCell ref="AL967:AM967"/>
    <mergeCell ref="AN967:AO967"/>
    <mergeCell ref="A972:B972"/>
    <mergeCell ref="G972:H972"/>
    <mergeCell ref="I972:J972"/>
    <mergeCell ref="Q972:R972"/>
    <mergeCell ref="S972:T972"/>
    <mergeCell ref="V972:W972"/>
    <mergeCell ref="AB972:AC972"/>
    <mergeCell ref="AD972:AE972"/>
    <mergeCell ref="AL972:AM972"/>
    <mergeCell ref="AN972:AO972"/>
    <mergeCell ref="A973:B973"/>
    <mergeCell ref="E973:F973"/>
    <mergeCell ref="G973:H973"/>
    <mergeCell ref="I973:J973"/>
    <mergeCell ref="O973:P973"/>
    <mergeCell ref="Q973:R973"/>
    <mergeCell ref="S973:T973"/>
    <mergeCell ref="V973:W973"/>
    <mergeCell ref="AB973:AC973"/>
    <mergeCell ref="AD973:AE973"/>
    <mergeCell ref="AJ973:AK973"/>
    <mergeCell ref="AL973:AM973"/>
    <mergeCell ref="AN973:AO973"/>
    <mergeCell ref="A970:B970"/>
    <mergeCell ref="G970:H970"/>
    <mergeCell ref="I970:J970"/>
    <mergeCell ref="O970:P970"/>
    <mergeCell ref="Q970:R970"/>
    <mergeCell ref="S970:T970"/>
    <mergeCell ref="V970:W970"/>
    <mergeCell ref="AB970:AC970"/>
    <mergeCell ref="AD970:AE970"/>
    <mergeCell ref="AJ970:AK970"/>
    <mergeCell ref="AL970:AM970"/>
    <mergeCell ref="AN970:AO970"/>
    <mergeCell ref="A971:B971"/>
    <mergeCell ref="G971:H971"/>
    <mergeCell ref="I971:J971"/>
    <mergeCell ref="O971:P971"/>
    <mergeCell ref="Q971:R971"/>
    <mergeCell ref="S971:T971"/>
    <mergeCell ref="V971:W971"/>
    <mergeCell ref="AB971:AC971"/>
    <mergeCell ref="AD971:AE971"/>
    <mergeCell ref="AJ971:AK971"/>
    <mergeCell ref="AL971:AM971"/>
    <mergeCell ref="AN971:AO971"/>
    <mergeCell ref="A976:B976"/>
    <mergeCell ref="E976:F976"/>
    <mergeCell ref="G976:H976"/>
    <mergeCell ref="I976:J976"/>
    <mergeCell ref="O976:P976"/>
    <mergeCell ref="Q976:R976"/>
    <mergeCell ref="S976:T976"/>
    <mergeCell ref="V976:W976"/>
    <mergeCell ref="AB976:AC976"/>
    <mergeCell ref="AD976:AE976"/>
    <mergeCell ref="AJ976:AK976"/>
    <mergeCell ref="AL976:AM976"/>
    <mergeCell ref="AN976:AO976"/>
    <mergeCell ref="A977:B977"/>
    <mergeCell ref="G977:H977"/>
    <mergeCell ref="I977:J977"/>
    <mergeCell ref="Q977:R977"/>
    <mergeCell ref="S977:T977"/>
    <mergeCell ref="V977:W977"/>
    <mergeCell ref="AB977:AC977"/>
    <mergeCell ref="AD977:AE977"/>
    <mergeCell ref="AJ977:AK977"/>
    <mergeCell ref="AL977:AM977"/>
    <mergeCell ref="AN977:AO977"/>
    <mergeCell ref="A974:B974"/>
    <mergeCell ref="E974:F974"/>
    <mergeCell ref="G974:H974"/>
    <mergeCell ref="I974:J974"/>
    <mergeCell ref="Q974:R974"/>
    <mergeCell ref="S974:T974"/>
    <mergeCell ref="V974:W974"/>
    <mergeCell ref="AB974:AC974"/>
    <mergeCell ref="AD974:AE974"/>
    <mergeCell ref="AL974:AM974"/>
    <mergeCell ref="AN974:AO974"/>
    <mergeCell ref="A975:B975"/>
    <mergeCell ref="E975:F975"/>
    <mergeCell ref="G975:H975"/>
    <mergeCell ref="I975:J975"/>
    <mergeCell ref="Q975:R975"/>
    <mergeCell ref="S975:T975"/>
    <mergeCell ref="V975:W975"/>
    <mergeCell ref="AB975:AC975"/>
    <mergeCell ref="AD975:AE975"/>
    <mergeCell ref="AL975:AM975"/>
    <mergeCell ref="AN975:AO975"/>
    <mergeCell ref="A980:B980"/>
    <mergeCell ref="G980:H980"/>
    <mergeCell ref="I980:J980"/>
    <mergeCell ref="Q980:R980"/>
    <mergeCell ref="S980:T980"/>
    <mergeCell ref="V980:W980"/>
    <mergeCell ref="AB980:AC980"/>
    <mergeCell ref="AD980:AE980"/>
    <mergeCell ref="AJ980:AK980"/>
    <mergeCell ref="AL980:AM980"/>
    <mergeCell ref="AN980:AO980"/>
    <mergeCell ref="A981:B981"/>
    <mergeCell ref="G981:H981"/>
    <mergeCell ref="I981:J981"/>
    <mergeCell ref="Q981:R981"/>
    <mergeCell ref="S981:T981"/>
    <mergeCell ref="V981:W981"/>
    <mergeCell ref="AB981:AC981"/>
    <mergeCell ref="AD981:AE981"/>
    <mergeCell ref="AJ981:AK981"/>
    <mergeCell ref="AL981:AM981"/>
    <mergeCell ref="AN981:AO981"/>
    <mergeCell ref="A978:B978"/>
    <mergeCell ref="E978:F978"/>
    <mergeCell ref="G978:H978"/>
    <mergeCell ref="I978:J978"/>
    <mergeCell ref="Q978:R978"/>
    <mergeCell ref="S978:T978"/>
    <mergeCell ref="V978:W978"/>
    <mergeCell ref="Z978:AA978"/>
    <mergeCell ref="AB978:AC978"/>
    <mergeCell ref="AD978:AE978"/>
    <mergeCell ref="AJ978:AK978"/>
    <mergeCell ref="AL978:AM978"/>
    <mergeCell ref="AN978:AO978"/>
    <mergeCell ref="A979:B979"/>
    <mergeCell ref="G979:H979"/>
    <mergeCell ref="I979:J979"/>
    <mergeCell ref="Q979:R979"/>
    <mergeCell ref="S979:T979"/>
    <mergeCell ref="V979:W979"/>
    <mergeCell ref="AB979:AC979"/>
    <mergeCell ref="AD979:AE979"/>
    <mergeCell ref="AJ979:AK979"/>
    <mergeCell ref="AL979:AM979"/>
    <mergeCell ref="AN979:AO979"/>
    <mergeCell ref="O984:P984"/>
    <mergeCell ref="Q984:R984"/>
    <mergeCell ref="S984:T984"/>
    <mergeCell ref="V984:W984"/>
    <mergeCell ref="AB984:AC984"/>
    <mergeCell ref="AD984:AE984"/>
    <mergeCell ref="AJ984:AK984"/>
    <mergeCell ref="AL984:AM984"/>
    <mergeCell ref="AN984:AO984"/>
    <mergeCell ref="A985:B985"/>
    <mergeCell ref="G985:H985"/>
    <mergeCell ref="I985:J985"/>
    <mergeCell ref="O985:P985"/>
    <mergeCell ref="Q985:R985"/>
    <mergeCell ref="S985:T985"/>
    <mergeCell ref="V985:W985"/>
    <mergeCell ref="AB985:AC985"/>
    <mergeCell ref="AD985:AE985"/>
    <mergeCell ref="AJ985:AK985"/>
    <mergeCell ref="AL985:AM985"/>
    <mergeCell ref="AN985:AO985"/>
    <mergeCell ref="A982:B982"/>
    <mergeCell ref="E982:F982"/>
    <mergeCell ref="G982:H982"/>
    <mergeCell ref="I982:J982"/>
    <mergeCell ref="O982:P982"/>
    <mergeCell ref="Q982:R982"/>
    <mergeCell ref="S982:T982"/>
    <mergeCell ref="V982:W982"/>
    <mergeCell ref="AB982:AC982"/>
    <mergeCell ref="AD982:AE982"/>
    <mergeCell ref="AJ982:AK982"/>
    <mergeCell ref="AL982:AM982"/>
    <mergeCell ref="AN982:AO982"/>
    <mergeCell ref="A983:B983"/>
    <mergeCell ref="E983:F983"/>
    <mergeCell ref="G983:H983"/>
    <mergeCell ref="I983:J983"/>
    <mergeCell ref="O983:P983"/>
    <mergeCell ref="Q983:R983"/>
    <mergeCell ref="S983:T983"/>
    <mergeCell ref="V983:W983"/>
    <mergeCell ref="AB983:AC983"/>
    <mergeCell ref="AD983:AE983"/>
    <mergeCell ref="AJ983:AK983"/>
    <mergeCell ref="AL983:AM983"/>
    <mergeCell ref="AN983:AO983"/>
    <mergeCell ref="AJ988:AK988"/>
    <mergeCell ref="AL988:AM988"/>
    <mergeCell ref="AN988:AO988"/>
    <mergeCell ref="A989:B989"/>
    <mergeCell ref="E989:F989"/>
    <mergeCell ref="G989:H989"/>
    <mergeCell ref="I989:J989"/>
    <mergeCell ref="O989:P989"/>
    <mergeCell ref="Q989:R989"/>
    <mergeCell ref="S989:T989"/>
    <mergeCell ref="V989:W989"/>
    <mergeCell ref="Z989:AA989"/>
    <mergeCell ref="AB989:AC989"/>
    <mergeCell ref="AD989:AE989"/>
    <mergeCell ref="AJ989:AK989"/>
    <mergeCell ref="AL989:AM989"/>
    <mergeCell ref="A986:B986"/>
    <mergeCell ref="G986:H986"/>
    <mergeCell ref="I986:J986"/>
    <mergeCell ref="O986:P986"/>
    <mergeCell ref="Q986:R986"/>
    <mergeCell ref="S986:T986"/>
    <mergeCell ref="V986:W986"/>
    <mergeCell ref="AB986:AC986"/>
    <mergeCell ref="AD986:AE986"/>
    <mergeCell ref="AJ986:AK986"/>
    <mergeCell ref="AL986:AM986"/>
    <mergeCell ref="AN986:AO986"/>
    <mergeCell ref="A987:B987"/>
    <mergeCell ref="G987:H987"/>
    <mergeCell ref="I987:J987"/>
    <mergeCell ref="O987:P987"/>
    <mergeCell ref="Q987:R987"/>
    <mergeCell ref="S987:T987"/>
    <mergeCell ref="V987:W987"/>
    <mergeCell ref="AB987:AC987"/>
    <mergeCell ref="AD987:AE987"/>
    <mergeCell ref="AJ987:AK987"/>
    <mergeCell ref="AL987:AM987"/>
    <mergeCell ref="AN987:AO987"/>
    <mergeCell ref="AN989:AO989"/>
    <mergeCell ref="E993:F993"/>
    <mergeCell ref="G993:H993"/>
    <mergeCell ref="I993:J993"/>
    <mergeCell ref="V993:W993"/>
    <mergeCell ref="Z993:AA993"/>
    <mergeCell ref="AB993:AC993"/>
    <mergeCell ref="AD993:AE993"/>
    <mergeCell ref="A990:B990"/>
    <mergeCell ref="E990:F990"/>
    <mergeCell ref="G990:H990"/>
    <mergeCell ref="I990:J990"/>
    <mergeCell ref="O990:P990"/>
    <mergeCell ref="Q990:R990"/>
    <mergeCell ref="S990:T990"/>
    <mergeCell ref="V990:W990"/>
    <mergeCell ref="Z990:AA990"/>
    <mergeCell ref="AB990:AC990"/>
    <mergeCell ref="AD990:AE990"/>
    <mergeCell ref="AJ990:AK990"/>
    <mergeCell ref="AL990:AM990"/>
    <mergeCell ref="AN990:AO990"/>
    <mergeCell ref="A991:B991"/>
    <mergeCell ref="G991:H991"/>
    <mergeCell ref="I991:J991"/>
    <mergeCell ref="O991:P991"/>
    <mergeCell ref="Q991:R991"/>
    <mergeCell ref="S991:T991"/>
    <mergeCell ref="V991:W991"/>
    <mergeCell ref="AB991:AC991"/>
    <mergeCell ref="AD991:AE991"/>
    <mergeCell ref="AJ991:AK991"/>
    <mergeCell ref="AL991:AM991"/>
    <mergeCell ref="AN991:AO991"/>
    <mergeCell ref="S992:T992"/>
    <mergeCell ref="AN992:AO992"/>
    <mergeCell ref="AH996:AK996"/>
    <mergeCell ref="A997:B997"/>
    <mergeCell ref="E997:F997"/>
    <mergeCell ref="G997:H997"/>
    <mergeCell ref="I997:J997"/>
    <mergeCell ref="V997:W997"/>
    <mergeCell ref="Z997:AA997"/>
    <mergeCell ref="AB997:AC997"/>
    <mergeCell ref="AD997:AE997"/>
    <mergeCell ref="A998:B998"/>
    <mergeCell ref="E998:F998"/>
    <mergeCell ref="G998:H998"/>
    <mergeCell ref="I998:J998"/>
    <mergeCell ref="M998:P998"/>
    <mergeCell ref="V998:W998"/>
    <mergeCell ref="Z998:AA998"/>
    <mergeCell ref="AB998:AC998"/>
    <mergeCell ref="AD998:AE998"/>
    <mergeCell ref="A994:B994"/>
    <mergeCell ref="E994:F994"/>
    <mergeCell ref="G994:H994"/>
    <mergeCell ref="I994:J994"/>
    <mergeCell ref="V994:W994"/>
    <mergeCell ref="Z994:AA994"/>
    <mergeCell ref="AB994:AC994"/>
    <mergeCell ref="AD994:AE994"/>
    <mergeCell ref="A995:B995"/>
    <mergeCell ref="G995:H995"/>
    <mergeCell ref="I995:J995"/>
    <mergeCell ref="V995:W995"/>
    <mergeCell ref="AB995:AC995"/>
    <mergeCell ref="AD995:AE995"/>
    <mergeCell ref="A996:B996"/>
    <mergeCell ref="G996:H996"/>
    <mergeCell ref="I996:J996"/>
    <mergeCell ref="V996:W996"/>
    <mergeCell ref="AB996:AC996"/>
    <mergeCell ref="AD996:AE996"/>
    <mergeCell ref="Z996:AA996"/>
    <mergeCell ref="AH1001:AK1001"/>
    <mergeCell ref="A1002:B1002"/>
    <mergeCell ref="G1002:H1002"/>
    <mergeCell ref="I1002:J1002"/>
    <mergeCell ref="V1002:W1002"/>
    <mergeCell ref="AB1002:AC1002"/>
    <mergeCell ref="AD1002:AE1002"/>
    <mergeCell ref="A1003:B1003"/>
    <mergeCell ref="E1003:F1003"/>
    <mergeCell ref="G1003:H1003"/>
    <mergeCell ref="I1003:J1003"/>
    <mergeCell ref="V1003:W1003"/>
    <mergeCell ref="Z1003:AA1003"/>
    <mergeCell ref="AB1003:AC1003"/>
    <mergeCell ref="AD1003:AE1003"/>
    <mergeCell ref="A999:B999"/>
    <mergeCell ref="E999:F999"/>
    <mergeCell ref="G999:H999"/>
    <mergeCell ref="I999:J999"/>
    <mergeCell ref="M999:P999"/>
    <mergeCell ref="V999:W999"/>
    <mergeCell ref="Z999:AA999"/>
    <mergeCell ref="AB999:AC999"/>
    <mergeCell ref="AD999:AE999"/>
    <mergeCell ref="AH999:AK999"/>
    <mergeCell ref="A1000:B1000"/>
    <mergeCell ref="G1000:H1000"/>
    <mergeCell ref="I1000:J1000"/>
    <mergeCell ref="M1000:P1000"/>
    <mergeCell ref="V1000:W1000"/>
    <mergeCell ref="AB1000:AC1000"/>
    <mergeCell ref="AD1000:AE1000"/>
    <mergeCell ref="AH1000:AK1000"/>
    <mergeCell ref="A1007:B1007"/>
    <mergeCell ref="E1007:F1007"/>
    <mergeCell ref="G1007:H1007"/>
    <mergeCell ref="I1007:J1007"/>
    <mergeCell ref="V1007:W1007"/>
    <mergeCell ref="Z1007:AA1007"/>
    <mergeCell ref="AB1007:AC1007"/>
    <mergeCell ref="AD1007:AE1007"/>
    <mergeCell ref="E971:F971"/>
    <mergeCell ref="E991:F991"/>
    <mergeCell ref="E995:F995"/>
    <mergeCell ref="A1004:B1004"/>
    <mergeCell ref="E1004:F1004"/>
    <mergeCell ref="G1004:H1004"/>
    <mergeCell ref="I1004:J1004"/>
    <mergeCell ref="V1004:W1004"/>
    <mergeCell ref="Z1004:AA1004"/>
    <mergeCell ref="AB1004:AC1004"/>
    <mergeCell ref="AD1004:AE1004"/>
    <mergeCell ref="A1005:B1005"/>
    <mergeCell ref="E1005:F1005"/>
    <mergeCell ref="G1005:H1005"/>
    <mergeCell ref="I1005:J1005"/>
    <mergeCell ref="V1005:W1005"/>
    <mergeCell ref="Z1005:AA1005"/>
    <mergeCell ref="AB1005:AC1005"/>
    <mergeCell ref="AD1005:AE1005"/>
    <mergeCell ref="A1006:B1006"/>
    <mergeCell ref="E1006:F1006"/>
    <mergeCell ref="G1006:H1006"/>
    <mergeCell ref="I1006:J1006"/>
    <mergeCell ref="V1006:W1006"/>
    <mergeCell ref="Z1006:AA1006"/>
    <mergeCell ref="AB1006:AC1006"/>
    <mergeCell ref="AD1006:AE1006"/>
    <mergeCell ref="A1001:B1001"/>
    <mergeCell ref="E1001:F1001"/>
    <mergeCell ref="G1001:H1001"/>
    <mergeCell ref="I1001:J1001"/>
    <mergeCell ref="V1001:W1001"/>
    <mergeCell ref="Z1001:AA1001"/>
    <mergeCell ref="AB1001:AC1001"/>
    <mergeCell ref="AD1001:AE1001"/>
    <mergeCell ref="A992:B992"/>
    <mergeCell ref="E992:F992"/>
    <mergeCell ref="G992:H992"/>
    <mergeCell ref="I992:J992"/>
    <mergeCell ref="V992:W992"/>
    <mergeCell ref="Z992:AA992"/>
    <mergeCell ref="AB992:AC992"/>
    <mergeCell ref="AD992:AE992"/>
    <mergeCell ref="A988:B988"/>
    <mergeCell ref="G988:H988"/>
    <mergeCell ref="I988:J988"/>
    <mergeCell ref="O988:P988"/>
    <mergeCell ref="Q988:R988"/>
    <mergeCell ref="S988:T988"/>
    <mergeCell ref="V988:W988"/>
    <mergeCell ref="AB988:AC988"/>
    <mergeCell ref="AD988:AE988"/>
    <mergeCell ref="A984:B984"/>
    <mergeCell ref="G984:H984"/>
    <mergeCell ref="I984:J984"/>
    <mergeCell ref="A993:B993"/>
    <mergeCell ref="A1012:T1012"/>
    <mergeCell ref="V1012:AO1012"/>
    <mergeCell ref="A1013:T1013"/>
    <mergeCell ref="A1014:B1017"/>
    <mergeCell ref="C1014:F1015"/>
    <mergeCell ref="G1014:H1014"/>
    <mergeCell ref="I1014:J1015"/>
    <mergeCell ref="L1014:L1017"/>
    <mergeCell ref="M1014:P1015"/>
    <mergeCell ref="Q1014:R1014"/>
    <mergeCell ref="S1014:T1014"/>
    <mergeCell ref="V1014:W1017"/>
    <mergeCell ref="X1014:AA1015"/>
    <mergeCell ref="AB1014:AC1014"/>
    <mergeCell ref="AD1014:AE1015"/>
    <mergeCell ref="AG1014:AG1017"/>
    <mergeCell ref="AH1014:AK1015"/>
    <mergeCell ref="AL1014:AM1014"/>
    <mergeCell ref="AN1014:AO1014"/>
    <mergeCell ref="G1015:H1015"/>
    <mergeCell ref="Q1015:R1015"/>
    <mergeCell ref="S1015:T1015"/>
    <mergeCell ref="AB1015:AC1015"/>
    <mergeCell ref="AL1015:AM1015"/>
    <mergeCell ref="AN1015:AO1015"/>
    <mergeCell ref="D1016:D1017"/>
    <mergeCell ref="E1016:F1017"/>
    <mergeCell ref="G1016:H1017"/>
    <mergeCell ref="I1016:J1016"/>
    <mergeCell ref="N1016:N1017"/>
    <mergeCell ref="O1016:P1017"/>
    <mergeCell ref="Q1016:R1017"/>
    <mergeCell ref="S1016:T1017"/>
    <mergeCell ref="Y1016:Y1017"/>
    <mergeCell ref="Z1016:AA1017"/>
    <mergeCell ref="AB1016:AC1017"/>
    <mergeCell ref="AD1016:AE1016"/>
    <mergeCell ref="AI1016:AI1017"/>
    <mergeCell ref="AJ1016:AK1017"/>
    <mergeCell ref="AL1016:AM1017"/>
    <mergeCell ref="AN1016:AO1017"/>
    <mergeCell ref="I1017:J1017"/>
    <mergeCell ref="AD1017:AE1017"/>
    <mergeCell ref="A1018:B1018"/>
    <mergeCell ref="G1018:H1018"/>
    <mergeCell ref="I1018:J1018"/>
    <mergeCell ref="Q1018:R1018"/>
    <mergeCell ref="S1018:T1018"/>
    <mergeCell ref="V1018:W1018"/>
    <mergeCell ref="AB1018:AC1018"/>
    <mergeCell ref="AD1018:AE1018"/>
    <mergeCell ref="AJ1018:AK1018"/>
    <mergeCell ref="AL1018:AM1018"/>
    <mergeCell ref="AN1018:AO1018"/>
    <mergeCell ref="A1019:B1019"/>
    <mergeCell ref="G1019:H1019"/>
    <mergeCell ref="I1019:J1019"/>
    <mergeCell ref="Q1019:R1019"/>
    <mergeCell ref="S1019:T1019"/>
    <mergeCell ref="V1019:W1019"/>
    <mergeCell ref="AB1019:AC1019"/>
    <mergeCell ref="AD1019:AE1019"/>
    <mergeCell ref="AJ1019:AK1019"/>
    <mergeCell ref="AL1019:AM1019"/>
    <mergeCell ref="AN1019:AO1019"/>
    <mergeCell ref="A1020:B1020"/>
    <mergeCell ref="G1020:H1020"/>
    <mergeCell ref="I1020:J1020"/>
    <mergeCell ref="Q1020:R1020"/>
    <mergeCell ref="S1020:T1020"/>
    <mergeCell ref="V1020:W1020"/>
    <mergeCell ref="AB1020:AC1020"/>
    <mergeCell ref="AD1020:AE1020"/>
    <mergeCell ref="AJ1020:AK1020"/>
    <mergeCell ref="AL1020:AM1020"/>
    <mergeCell ref="AN1020:AO1020"/>
    <mergeCell ref="A1021:B1021"/>
    <mergeCell ref="G1021:H1021"/>
    <mergeCell ref="I1021:J1021"/>
    <mergeCell ref="O1021:P1021"/>
    <mergeCell ref="Q1021:R1021"/>
    <mergeCell ref="S1021:T1021"/>
    <mergeCell ref="V1021:W1021"/>
    <mergeCell ref="AB1021:AC1021"/>
    <mergeCell ref="AD1021:AE1021"/>
    <mergeCell ref="AJ1021:AK1021"/>
    <mergeCell ref="AL1021:AM1021"/>
    <mergeCell ref="AN1021:AO1021"/>
    <mergeCell ref="A1022:B1022"/>
    <mergeCell ref="G1022:H1022"/>
    <mergeCell ref="I1022:J1022"/>
    <mergeCell ref="O1022:P1022"/>
    <mergeCell ref="Q1022:R1022"/>
    <mergeCell ref="S1022:T1022"/>
    <mergeCell ref="V1022:W1022"/>
    <mergeCell ref="AB1022:AC1022"/>
    <mergeCell ref="AD1022:AE1022"/>
    <mergeCell ref="AJ1022:AK1022"/>
    <mergeCell ref="AL1022:AM1022"/>
    <mergeCell ref="AN1022:AO1022"/>
    <mergeCell ref="A1023:B1023"/>
    <mergeCell ref="G1023:H1023"/>
    <mergeCell ref="I1023:J1023"/>
    <mergeCell ref="O1023:P1023"/>
    <mergeCell ref="Q1023:R1023"/>
    <mergeCell ref="S1023:T1023"/>
    <mergeCell ref="V1023:W1023"/>
    <mergeCell ref="AB1023:AC1023"/>
    <mergeCell ref="AD1023:AE1023"/>
    <mergeCell ref="AJ1023:AK1023"/>
    <mergeCell ref="AL1023:AM1023"/>
    <mergeCell ref="AN1023:AO1023"/>
    <mergeCell ref="A1024:B1024"/>
    <mergeCell ref="G1024:H1024"/>
    <mergeCell ref="I1024:J1024"/>
    <mergeCell ref="O1024:P1024"/>
    <mergeCell ref="Q1024:R1024"/>
    <mergeCell ref="S1024:T1024"/>
    <mergeCell ref="V1024:W1024"/>
    <mergeCell ref="AB1024:AC1024"/>
    <mergeCell ref="AD1024:AE1024"/>
    <mergeCell ref="AJ1024:AK1024"/>
    <mergeCell ref="AL1024:AM1024"/>
    <mergeCell ref="AN1024:AO1024"/>
    <mergeCell ref="A1025:B1025"/>
    <mergeCell ref="G1025:H1025"/>
    <mergeCell ref="I1025:J1025"/>
    <mergeCell ref="O1025:P1025"/>
    <mergeCell ref="Q1025:R1025"/>
    <mergeCell ref="S1025:T1025"/>
    <mergeCell ref="V1025:W1025"/>
    <mergeCell ref="AB1025:AC1025"/>
    <mergeCell ref="AD1025:AE1025"/>
    <mergeCell ref="AJ1025:AK1025"/>
    <mergeCell ref="AL1025:AM1025"/>
    <mergeCell ref="AN1025:AO1025"/>
    <mergeCell ref="A1026:B1026"/>
    <mergeCell ref="G1026:H1026"/>
    <mergeCell ref="I1026:J1026"/>
    <mergeCell ref="O1026:P1026"/>
    <mergeCell ref="Q1026:R1026"/>
    <mergeCell ref="S1026:T1026"/>
    <mergeCell ref="V1026:W1026"/>
    <mergeCell ref="AB1026:AC1026"/>
    <mergeCell ref="AD1026:AE1026"/>
    <mergeCell ref="AJ1026:AK1026"/>
    <mergeCell ref="AL1026:AM1026"/>
    <mergeCell ref="AN1026:AO1026"/>
    <mergeCell ref="A1027:B1027"/>
    <mergeCell ref="E1027:F1027"/>
    <mergeCell ref="G1027:H1027"/>
    <mergeCell ref="I1027:J1027"/>
    <mergeCell ref="O1027:P1027"/>
    <mergeCell ref="Q1027:R1027"/>
    <mergeCell ref="S1027:T1027"/>
    <mergeCell ref="V1027:W1027"/>
    <mergeCell ref="AB1027:AC1027"/>
    <mergeCell ref="AD1027:AE1027"/>
    <mergeCell ref="AJ1027:AK1027"/>
    <mergeCell ref="AL1027:AM1027"/>
    <mergeCell ref="AN1027:AO1027"/>
    <mergeCell ref="A1028:B1028"/>
    <mergeCell ref="G1028:H1028"/>
    <mergeCell ref="I1028:J1028"/>
    <mergeCell ref="Q1028:R1028"/>
    <mergeCell ref="S1028:T1028"/>
    <mergeCell ref="V1028:W1028"/>
    <mergeCell ref="AB1028:AC1028"/>
    <mergeCell ref="AD1028:AE1028"/>
    <mergeCell ref="AL1028:AM1028"/>
    <mergeCell ref="AN1028:AO1028"/>
    <mergeCell ref="A1029:B1029"/>
    <mergeCell ref="E1029:F1029"/>
    <mergeCell ref="G1029:H1029"/>
    <mergeCell ref="I1029:J1029"/>
    <mergeCell ref="O1029:P1029"/>
    <mergeCell ref="Q1029:R1029"/>
    <mergeCell ref="S1029:T1029"/>
    <mergeCell ref="V1029:W1029"/>
    <mergeCell ref="AB1029:AC1029"/>
    <mergeCell ref="AD1029:AE1029"/>
    <mergeCell ref="AJ1029:AK1029"/>
    <mergeCell ref="AL1029:AM1029"/>
    <mergeCell ref="AN1029:AO1029"/>
    <mergeCell ref="AJ1035:AK1035"/>
    <mergeCell ref="AL1035:AM1035"/>
    <mergeCell ref="AN1035:AO1035"/>
    <mergeCell ref="A1030:B1030"/>
    <mergeCell ref="E1030:F1030"/>
    <mergeCell ref="G1030:H1030"/>
    <mergeCell ref="I1030:J1030"/>
    <mergeCell ref="Q1030:R1030"/>
    <mergeCell ref="S1030:T1030"/>
    <mergeCell ref="V1030:W1030"/>
    <mergeCell ref="AB1030:AC1030"/>
    <mergeCell ref="AD1030:AE1030"/>
    <mergeCell ref="AL1030:AM1030"/>
    <mergeCell ref="AN1030:AO1030"/>
    <mergeCell ref="A1031:B1031"/>
    <mergeCell ref="E1031:F1031"/>
    <mergeCell ref="G1031:H1031"/>
    <mergeCell ref="I1031:J1031"/>
    <mergeCell ref="Q1031:R1031"/>
    <mergeCell ref="S1031:T1031"/>
    <mergeCell ref="V1031:W1031"/>
    <mergeCell ref="AB1031:AC1031"/>
    <mergeCell ref="AD1031:AE1031"/>
    <mergeCell ref="AL1031:AM1031"/>
    <mergeCell ref="AN1031:AO1031"/>
    <mergeCell ref="A1032:B1032"/>
    <mergeCell ref="E1032:F1032"/>
    <mergeCell ref="G1032:H1032"/>
    <mergeCell ref="I1032:J1032"/>
    <mergeCell ref="O1032:P1032"/>
    <mergeCell ref="Q1032:R1032"/>
    <mergeCell ref="S1032:T1032"/>
    <mergeCell ref="V1032:W1032"/>
    <mergeCell ref="AB1032:AC1032"/>
    <mergeCell ref="AD1032:AE1032"/>
    <mergeCell ref="AJ1032:AK1032"/>
    <mergeCell ref="AL1032:AM1032"/>
    <mergeCell ref="AN1032:AO1032"/>
    <mergeCell ref="Q1036:R1036"/>
    <mergeCell ref="S1036:T1036"/>
    <mergeCell ref="V1036:W1036"/>
    <mergeCell ref="AB1036:AC1036"/>
    <mergeCell ref="AD1036:AE1036"/>
    <mergeCell ref="AJ1036:AK1036"/>
    <mergeCell ref="AL1036:AM1036"/>
    <mergeCell ref="AN1036:AO1036"/>
    <mergeCell ref="A1037:B1037"/>
    <mergeCell ref="G1037:H1037"/>
    <mergeCell ref="I1037:J1037"/>
    <mergeCell ref="Q1037:R1037"/>
    <mergeCell ref="S1037:T1037"/>
    <mergeCell ref="V1037:W1037"/>
    <mergeCell ref="AB1037:AC1037"/>
    <mergeCell ref="AD1037:AE1037"/>
    <mergeCell ref="AJ1037:AK1037"/>
    <mergeCell ref="AL1037:AM1037"/>
    <mergeCell ref="AN1037:AO1037"/>
    <mergeCell ref="A1038:B1038"/>
    <mergeCell ref="E1038:F1038"/>
    <mergeCell ref="G1038:H1038"/>
    <mergeCell ref="I1038:J1038"/>
    <mergeCell ref="O1038:P1038"/>
    <mergeCell ref="Q1038:R1038"/>
    <mergeCell ref="S1038:T1038"/>
    <mergeCell ref="V1038:W1038"/>
    <mergeCell ref="AB1038:AC1038"/>
    <mergeCell ref="AD1038:AE1038"/>
    <mergeCell ref="AJ1038:AK1038"/>
    <mergeCell ref="AL1038:AM1038"/>
    <mergeCell ref="AN1038:AO1038"/>
    <mergeCell ref="A1033:B1033"/>
    <mergeCell ref="G1033:H1033"/>
    <mergeCell ref="I1033:J1033"/>
    <mergeCell ref="Q1033:R1033"/>
    <mergeCell ref="S1033:T1033"/>
    <mergeCell ref="V1033:W1033"/>
    <mergeCell ref="AB1033:AC1033"/>
    <mergeCell ref="AD1033:AE1033"/>
    <mergeCell ref="AJ1033:AK1033"/>
    <mergeCell ref="AL1033:AM1033"/>
    <mergeCell ref="AN1033:AO1033"/>
    <mergeCell ref="A1034:B1034"/>
    <mergeCell ref="E1034:F1034"/>
    <mergeCell ref="G1034:H1034"/>
    <mergeCell ref="I1034:J1034"/>
    <mergeCell ref="Q1034:R1034"/>
    <mergeCell ref="S1034:T1034"/>
    <mergeCell ref="V1034:W1034"/>
    <mergeCell ref="Z1034:AA1034"/>
    <mergeCell ref="AB1034:AC1034"/>
    <mergeCell ref="AD1034:AE1034"/>
    <mergeCell ref="AJ1034:AK1034"/>
    <mergeCell ref="AL1034:AM1034"/>
    <mergeCell ref="AN1034:AO1034"/>
    <mergeCell ref="A1035:B1035"/>
    <mergeCell ref="G1035:H1035"/>
    <mergeCell ref="I1035:J1035"/>
    <mergeCell ref="Q1035:R1035"/>
    <mergeCell ref="S1035:T1035"/>
    <mergeCell ref="V1035:W1035"/>
    <mergeCell ref="AB1035:AC1035"/>
    <mergeCell ref="AD1035:AE1035"/>
    <mergeCell ref="AN1044:AO1044"/>
    <mergeCell ref="A1039:B1039"/>
    <mergeCell ref="E1039:F1039"/>
    <mergeCell ref="G1039:H1039"/>
    <mergeCell ref="I1039:J1039"/>
    <mergeCell ref="O1039:P1039"/>
    <mergeCell ref="Q1039:R1039"/>
    <mergeCell ref="S1039:T1039"/>
    <mergeCell ref="V1039:W1039"/>
    <mergeCell ref="AB1039:AC1039"/>
    <mergeCell ref="AD1039:AE1039"/>
    <mergeCell ref="AJ1039:AK1039"/>
    <mergeCell ref="AL1039:AM1039"/>
    <mergeCell ref="AN1039:AO1039"/>
    <mergeCell ref="A1040:B1040"/>
    <mergeCell ref="G1040:H1040"/>
    <mergeCell ref="I1040:J1040"/>
    <mergeCell ref="O1040:P1040"/>
    <mergeCell ref="Q1040:R1040"/>
    <mergeCell ref="S1040:T1040"/>
    <mergeCell ref="V1040:W1040"/>
    <mergeCell ref="AB1040:AC1040"/>
    <mergeCell ref="AD1040:AE1040"/>
    <mergeCell ref="AJ1040:AK1040"/>
    <mergeCell ref="AL1040:AM1040"/>
    <mergeCell ref="AN1040:AO1040"/>
    <mergeCell ref="A1041:B1041"/>
    <mergeCell ref="G1041:H1041"/>
    <mergeCell ref="I1041:J1041"/>
    <mergeCell ref="O1041:P1041"/>
    <mergeCell ref="Q1041:R1041"/>
    <mergeCell ref="S1041:T1041"/>
    <mergeCell ref="V1041:W1041"/>
    <mergeCell ref="AB1041:AC1041"/>
    <mergeCell ref="AD1041:AE1041"/>
    <mergeCell ref="AJ1041:AK1041"/>
    <mergeCell ref="AL1041:AM1041"/>
    <mergeCell ref="AN1041:AO1041"/>
    <mergeCell ref="AJ1045:AK1045"/>
    <mergeCell ref="AL1045:AM1045"/>
    <mergeCell ref="A1046:B1046"/>
    <mergeCell ref="E1046:F1046"/>
    <mergeCell ref="G1046:H1046"/>
    <mergeCell ref="I1046:J1046"/>
    <mergeCell ref="O1046:P1046"/>
    <mergeCell ref="Q1046:R1046"/>
    <mergeCell ref="S1046:T1046"/>
    <mergeCell ref="V1046:W1046"/>
    <mergeCell ref="Z1046:AA1046"/>
    <mergeCell ref="AB1046:AC1046"/>
    <mergeCell ref="AD1046:AE1046"/>
    <mergeCell ref="AJ1046:AK1046"/>
    <mergeCell ref="AL1046:AM1046"/>
    <mergeCell ref="AN1046:AO1046"/>
    <mergeCell ref="A1047:B1047"/>
    <mergeCell ref="E1047:F1047"/>
    <mergeCell ref="G1047:H1047"/>
    <mergeCell ref="I1047:J1047"/>
    <mergeCell ref="O1047:P1047"/>
    <mergeCell ref="Q1047:R1047"/>
    <mergeCell ref="S1047:T1047"/>
    <mergeCell ref="V1047:W1047"/>
    <mergeCell ref="AB1047:AC1047"/>
    <mergeCell ref="AD1047:AE1047"/>
    <mergeCell ref="AJ1047:AK1047"/>
    <mergeCell ref="AL1047:AM1047"/>
    <mergeCell ref="AN1047:AO1047"/>
    <mergeCell ref="A1042:B1042"/>
    <mergeCell ref="G1042:H1042"/>
    <mergeCell ref="I1042:J1042"/>
    <mergeCell ref="O1042:P1042"/>
    <mergeCell ref="Q1042:R1042"/>
    <mergeCell ref="S1042:T1042"/>
    <mergeCell ref="V1042:W1042"/>
    <mergeCell ref="AB1042:AC1042"/>
    <mergeCell ref="AD1042:AE1042"/>
    <mergeCell ref="AJ1042:AK1042"/>
    <mergeCell ref="AL1042:AM1042"/>
    <mergeCell ref="AN1042:AO1042"/>
    <mergeCell ref="A1043:B1043"/>
    <mergeCell ref="G1043:H1043"/>
    <mergeCell ref="I1043:J1043"/>
    <mergeCell ref="O1043:P1043"/>
    <mergeCell ref="Q1043:R1043"/>
    <mergeCell ref="S1043:T1043"/>
    <mergeCell ref="V1043:W1043"/>
    <mergeCell ref="AB1043:AC1043"/>
    <mergeCell ref="AD1043:AE1043"/>
    <mergeCell ref="AJ1043:AK1043"/>
    <mergeCell ref="AL1043:AM1043"/>
    <mergeCell ref="AN1043:AO1043"/>
    <mergeCell ref="A1044:B1044"/>
    <mergeCell ref="G1044:H1044"/>
    <mergeCell ref="I1044:J1044"/>
    <mergeCell ref="O1044:P1044"/>
    <mergeCell ref="Q1044:R1044"/>
    <mergeCell ref="S1044:T1044"/>
    <mergeCell ref="V1044:W1044"/>
    <mergeCell ref="AB1044:AC1044"/>
    <mergeCell ref="AD1044:AE1044"/>
    <mergeCell ref="AJ1044:AK1044"/>
    <mergeCell ref="AL1044:AM1044"/>
    <mergeCell ref="AH1055:AK1055"/>
    <mergeCell ref="A1048:B1048"/>
    <mergeCell ref="E1048:F1048"/>
    <mergeCell ref="G1048:H1048"/>
    <mergeCell ref="I1048:J1048"/>
    <mergeCell ref="S1048:T1048"/>
    <mergeCell ref="V1048:W1048"/>
    <mergeCell ref="Z1048:AA1048"/>
    <mergeCell ref="AB1048:AC1048"/>
    <mergeCell ref="AD1048:AE1048"/>
    <mergeCell ref="AN1048:AO1048"/>
    <mergeCell ref="A1049:B1049"/>
    <mergeCell ref="E1049:F1049"/>
    <mergeCell ref="G1049:H1049"/>
    <mergeCell ref="I1049:J1049"/>
    <mergeCell ref="V1049:W1049"/>
    <mergeCell ref="Z1049:AA1049"/>
    <mergeCell ref="AB1049:AC1049"/>
    <mergeCell ref="AD1049:AE1049"/>
    <mergeCell ref="A1050:B1050"/>
    <mergeCell ref="E1050:F1050"/>
    <mergeCell ref="G1050:H1050"/>
    <mergeCell ref="I1050:J1050"/>
    <mergeCell ref="V1050:W1050"/>
    <mergeCell ref="Z1050:AA1050"/>
    <mergeCell ref="AB1050:AC1050"/>
    <mergeCell ref="AD1050:AE1050"/>
    <mergeCell ref="A1051:B1051"/>
    <mergeCell ref="E1051:F1051"/>
    <mergeCell ref="G1051:H1051"/>
    <mergeCell ref="I1051:J1051"/>
    <mergeCell ref="V1051:W1051"/>
    <mergeCell ref="Z1051:AA1051"/>
    <mergeCell ref="AB1051:AC1051"/>
    <mergeCell ref="AD1051:AE1051"/>
    <mergeCell ref="AH1056:AK1056"/>
    <mergeCell ref="A1057:B1057"/>
    <mergeCell ref="E1057:F1057"/>
    <mergeCell ref="G1057:H1057"/>
    <mergeCell ref="I1057:J1057"/>
    <mergeCell ref="V1057:W1057"/>
    <mergeCell ref="Z1057:AA1057"/>
    <mergeCell ref="AB1057:AC1057"/>
    <mergeCell ref="AD1057:AE1057"/>
    <mergeCell ref="AH1057:AK1057"/>
    <mergeCell ref="A1058:B1058"/>
    <mergeCell ref="G1058:H1058"/>
    <mergeCell ref="I1058:J1058"/>
    <mergeCell ref="V1058:W1058"/>
    <mergeCell ref="AB1058:AC1058"/>
    <mergeCell ref="AD1058:AE1058"/>
    <mergeCell ref="A1059:B1059"/>
    <mergeCell ref="E1059:F1059"/>
    <mergeCell ref="G1059:H1059"/>
    <mergeCell ref="I1059:J1059"/>
    <mergeCell ref="V1059:W1059"/>
    <mergeCell ref="Z1059:AA1059"/>
    <mergeCell ref="AB1059:AC1059"/>
    <mergeCell ref="AD1059:AE1059"/>
    <mergeCell ref="A1060:B1060"/>
    <mergeCell ref="E1060:F1060"/>
    <mergeCell ref="G1060:H1060"/>
    <mergeCell ref="I1060:J1060"/>
    <mergeCell ref="V1060:W1060"/>
    <mergeCell ref="Z1060:AA1060"/>
    <mergeCell ref="AB1060:AC1060"/>
    <mergeCell ref="AD1060:AE1060"/>
    <mergeCell ref="A1052:B1052"/>
    <mergeCell ref="G1052:H1052"/>
    <mergeCell ref="I1052:J1052"/>
    <mergeCell ref="V1052:W1052"/>
    <mergeCell ref="Z1052:AA1052"/>
    <mergeCell ref="AB1052:AC1052"/>
    <mergeCell ref="AD1052:AE1052"/>
    <mergeCell ref="AH1052:AK1052"/>
    <mergeCell ref="A1053:B1053"/>
    <mergeCell ref="E1053:F1053"/>
    <mergeCell ref="G1053:H1053"/>
    <mergeCell ref="I1053:J1053"/>
    <mergeCell ref="V1053:W1053"/>
    <mergeCell ref="Z1053:AA1053"/>
    <mergeCell ref="AB1053:AC1053"/>
    <mergeCell ref="AD1053:AE1053"/>
    <mergeCell ref="A1054:B1054"/>
    <mergeCell ref="E1054:F1054"/>
    <mergeCell ref="G1054:H1054"/>
    <mergeCell ref="I1054:J1054"/>
    <mergeCell ref="M1054:P1054"/>
    <mergeCell ref="V1054:W1054"/>
    <mergeCell ref="Z1054:AA1054"/>
    <mergeCell ref="AB1054:AC1054"/>
    <mergeCell ref="AD1054:AE1054"/>
    <mergeCell ref="A1055:B1055"/>
    <mergeCell ref="E1055:F1055"/>
    <mergeCell ref="G1055:H1055"/>
    <mergeCell ref="I1055:J1055"/>
    <mergeCell ref="M1055:P1055"/>
    <mergeCell ref="V1055:W1055"/>
    <mergeCell ref="Z1055:AA1055"/>
    <mergeCell ref="A1061:B1061"/>
    <mergeCell ref="E1061:F1061"/>
    <mergeCell ref="G1061:H1061"/>
    <mergeCell ref="I1061:J1061"/>
    <mergeCell ref="V1061:W1061"/>
    <mergeCell ref="Z1061:AA1061"/>
    <mergeCell ref="AB1061:AC1061"/>
    <mergeCell ref="AD1061:AE1061"/>
    <mergeCell ref="A1062:B1062"/>
    <mergeCell ref="E1062:F1062"/>
    <mergeCell ref="G1062:H1062"/>
    <mergeCell ref="I1062:J1062"/>
    <mergeCell ref="V1062:W1062"/>
    <mergeCell ref="Z1062:AA1062"/>
    <mergeCell ref="AB1062:AC1062"/>
    <mergeCell ref="AD1062:AE1062"/>
    <mergeCell ref="A1063:B1063"/>
    <mergeCell ref="E1063:F1063"/>
    <mergeCell ref="G1063:H1063"/>
    <mergeCell ref="I1063:J1063"/>
    <mergeCell ref="V1063:W1063"/>
    <mergeCell ref="Z1063:AA1063"/>
    <mergeCell ref="AB1063:AC1063"/>
    <mergeCell ref="AD1063:AE1063"/>
    <mergeCell ref="E1020:F1020"/>
    <mergeCell ref="E1021:F1021"/>
    <mergeCell ref="E1022:F1022"/>
    <mergeCell ref="E1023:F1023"/>
    <mergeCell ref="E1024:F1024"/>
    <mergeCell ref="E1025:F1025"/>
    <mergeCell ref="E1026:F1026"/>
    <mergeCell ref="E1028:F1028"/>
    <mergeCell ref="E1058:F1058"/>
    <mergeCell ref="O1020:P1020"/>
    <mergeCell ref="O1028:P1028"/>
    <mergeCell ref="O1033:P1033"/>
    <mergeCell ref="O1034:P1034"/>
    <mergeCell ref="O1035:P1035"/>
    <mergeCell ref="O1036:P1036"/>
    <mergeCell ref="Z1044:AA1044"/>
    <mergeCell ref="Z1058:AA1058"/>
    <mergeCell ref="A1056:B1056"/>
    <mergeCell ref="G1056:H1056"/>
    <mergeCell ref="I1056:J1056"/>
    <mergeCell ref="M1056:P1056"/>
    <mergeCell ref="V1056:W1056"/>
    <mergeCell ref="AB1056:AC1056"/>
    <mergeCell ref="AD1056:AE1056"/>
    <mergeCell ref="AB1055:AC1055"/>
    <mergeCell ref="AD1055:AE1055"/>
    <mergeCell ref="A1045:B1045"/>
    <mergeCell ref="E1045:F1045"/>
    <mergeCell ref="G1045:H1045"/>
    <mergeCell ref="I1045:J1045"/>
    <mergeCell ref="O1045:P1045"/>
    <mergeCell ref="Q1045:R1045"/>
    <mergeCell ref="S1045:T1045"/>
    <mergeCell ref="V1045:W1045"/>
    <mergeCell ref="Z1045:AA1045"/>
    <mergeCell ref="AB1045:AC1045"/>
    <mergeCell ref="AD1045:AE1045"/>
    <mergeCell ref="A1036:B1036"/>
    <mergeCell ref="G1036:H1036"/>
    <mergeCell ref="I1036:J1036"/>
    <mergeCell ref="A1068:T1068"/>
    <mergeCell ref="V1068:AO1068"/>
    <mergeCell ref="A1069:T1069"/>
    <mergeCell ref="A1070:B1073"/>
    <mergeCell ref="C1070:F1071"/>
    <mergeCell ref="G1070:H1070"/>
    <mergeCell ref="I1070:J1071"/>
    <mergeCell ref="L1070:L1073"/>
    <mergeCell ref="M1070:P1071"/>
    <mergeCell ref="Q1070:R1070"/>
    <mergeCell ref="S1070:T1070"/>
    <mergeCell ref="V1070:W1073"/>
    <mergeCell ref="X1070:AA1071"/>
    <mergeCell ref="AB1070:AC1070"/>
    <mergeCell ref="AD1070:AE1071"/>
    <mergeCell ref="AG1070:AG1073"/>
    <mergeCell ref="AH1070:AK1071"/>
    <mergeCell ref="AL1070:AM1070"/>
    <mergeCell ref="AN1070:AO1070"/>
    <mergeCell ref="G1071:H1071"/>
    <mergeCell ref="Q1071:R1071"/>
    <mergeCell ref="S1071:T1071"/>
    <mergeCell ref="AB1071:AC1071"/>
    <mergeCell ref="AL1071:AM1071"/>
    <mergeCell ref="AN1071:AO1071"/>
    <mergeCell ref="D1072:D1073"/>
    <mergeCell ref="E1072:F1073"/>
    <mergeCell ref="G1072:H1073"/>
    <mergeCell ref="I1072:J1072"/>
    <mergeCell ref="N1072:N1073"/>
    <mergeCell ref="O1072:P1073"/>
    <mergeCell ref="Q1072:R1073"/>
    <mergeCell ref="S1072:T1073"/>
    <mergeCell ref="Y1072:Y1073"/>
    <mergeCell ref="Z1072:AA1073"/>
    <mergeCell ref="AB1072:AC1073"/>
    <mergeCell ref="AD1072:AE1072"/>
    <mergeCell ref="AI1072:AI1073"/>
    <mergeCell ref="AJ1072:AK1073"/>
    <mergeCell ref="AL1072:AM1073"/>
    <mergeCell ref="AN1072:AO1073"/>
    <mergeCell ref="I1073:J1073"/>
    <mergeCell ref="AD1073:AE1073"/>
    <mergeCell ref="A1074:B1074"/>
    <mergeCell ref="G1074:H1074"/>
    <mergeCell ref="I1074:J1074"/>
    <mergeCell ref="Q1074:R1074"/>
    <mergeCell ref="S1074:T1074"/>
    <mergeCell ref="V1074:W1074"/>
    <mergeCell ref="AB1074:AC1074"/>
    <mergeCell ref="AD1074:AE1074"/>
    <mergeCell ref="AJ1074:AK1074"/>
    <mergeCell ref="AL1074:AM1074"/>
    <mergeCell ref="AN1074:AO1074"/>
    <mergeCell ref="A1075:B1075"/>
    <mergeCell ref="G1075:H1075"/>
    <mergeCell ref="I1075:J1075"/>
    <mergeCell ref="Q1075:R1075"/>
    <mergeCell ref="S1075:T1075"/>
    <mergeCell ref="V1075:W1075"/>
    <mergeCell ref="AB1075:AC1075"/>
    <mergeCell ref="AD1075:AE1075"/>
    <mergeCell ref="AJ1075:AK1075"/>
    <mergeCell ref="AL1075:AM1075"/>
    <mergeCell ref="AN1075:AO1075"/>
    <mergeCell ref="A1076:B1076"/>
    <mergeCell ref="G1076:H1076"/>
    <mergeCell ref="I1076:J1076"/>
    <mergeCell ref="Q1076:R1076"/>
    <mergeCell ref="S1076:T1076"/>
    <mergeCell ref="V1076:W1076"/>
    <mergeCell ref="AB1076:AC1076"/>
    <mergeCell ref="AD1076:AE1076"/>
    <mergeCell ref="AJ1076:AK1076"/>
    <mergeCell ref="AL1076:AM1076"/>
    <mergeCell ref="AN1076:AO1076"/>
    <mergeCell ref="A1077:B1077"/>
    <mergeCell ref="G1077:H1077"/>
    <mergeCell ref="I1077:J1077"/>
    <mergeCell ref="O1077:P1077"/>
    <mergeCell ref="Q1077:R1077"/>
    <mergeCell ref="S1077:T1077"/>
    <mergeCell ref="V1077:W1077"/>
    <mergeCell ref="AB1077:AC1077"/>
    <mergeCell ref="AD1077:AE1077"/>
    <mergeCell ref="AJ1077:AK1077"/>
    <mergeCell ref="AL1077:AM1077"/>
    <mergeCell ref="AN1077:AO1077"/>
    <mergeCell ref="A1078:B1078"/>
    <mergeCell ref="G1078:H1078"/>
    <mergeCell ref="I1078:J1078"/>
    <mergeCell ref="O1078:P1078"/>
    <mergeCell ref="Q1078:R1078"/>
    <mergeCell ref="S1078:T1078"/>
    <mergeCell ref="V1078:W1078"/>
    <mergeCell ref="AB1078:AC1078"/>
    <mergeCell ref="AD1078:AE1078"/>
    <mergeCell ref="AJ1078:AK1078"/>
    <mergeCell ref="AL1078:AM1078"/>
    <mergeCell ref="AN1078:AO1078"/>
    <mergeCell ref="A1079:B1079"/>
    <mergeCell ref="G1079:H1079"/>
    <mergeCell ref="I1079:J1079"/>
    <mergeCell ref="O1079:P1079"/>
    <mergeCell ref="Q1079:R1079"/>
    <mergeCell ref="S1079:T1079"/>
    <mergeCell ref="V1079:W1079"/>
    <mergeCell ref="AB1079:AC1079"/>
    <mergeCell ref="AD1079:AE1079"/>
    <mergeCell ref="AJ1079:AK1079"/>
    <mergeCell ref="AL1079:AM1079"/>
    <mergeCell ref="AN1079:AO1079"/>
    <mergeCell ref="A1080:B1080"/>
    <mergeCell ref="G1080:H1080"/>
    <mergeCell ref="I1080:J1080"/>
    <mergeCell ref="O1080:P1080"/>
    <mergeCell ref="Q1080:R1080"/>
    <mergeCell ref="S1080:T1080"/>
    <mergeCell ref="V1080:W1080"/>
    <mergeCell ref="AB1080:AC1080"/>
    <mergeCell ref="AD1080:AE1080"/>
    <mergeCell ref="AJ1080:AK1080"/>
    <mergeCell ref="AL1080:AM1080"/>
    <mergeCell ref="AN1080:AO1080"/>
    <mergeCell ref="A1081:B1081"/>
    <mergeCell ref="G1081:H1081"/>
    <mergeCell ref="I1081:J1081"/>
    <mergeCell ref="O1081:P1081"/>
    <mergeCell ref="Q1081:R1081"/>
    <mergeCell ref="S1081:T1081"/>
    <mergeCell ref="V1081:W1081"/>
    <mergeCell ref="AB1081:AC1081"/>
    <mergeCell ref="AD1081:AE1081"/>
    <mergeCell ref="AJ1081:AK1081"/>
    <mergeCell ref="AL1081:AM1081"/>
    <mergeCell ref="AN1081:AO1081"/>
    <mergeCell ref="A1082:B1082"/>
    <mergeCell ref="G1082:H1082"/>
    <mergeCell ref="I1082:J1082"/>
    <mergeCell ref="O1082:P1082"/>
    <mergeCell ref="Q1082:R1082"/>
    <mergeCell ref="S1082:T1082"/>
    <mergeCell ref="V1082:W1082"/>
    <mergeCell ref="AB1082:AC1082"/>
    <mergeCell ref="AD1082:AE1082"/>
    <mergeCell ref="AJ1082:AK1082"/>
    <mergeCell ref="AL1082:AM1082"/>
    <mergeCell ref="AN1082:AO1082"/>
    <mergeCell ref="A1083:B1083"/>
    <mergeCell ref="E1083:F1083"/>
    <mergeCell ref="G1083:H1083"/>
    <mergeCell ref="I1083:J1083"/>
    <mergeCell ref="O1083:P1083"/>
    <mergeCell ref="Q1083:R1083"/>
    <mergeCell ref="S1083:T1083"/>
    <mergeCell ref="V1083:W1083"/>
    <mergeCell ref="AB1083:AC1083"/>
    <mergeCell ref="AD1083:AE1083"/>
    <mergeCell ref="AJ1083:AK1083"/>
    <mergeCell ref="AL1083:AM1083"/>
    <mergeCell ref="AN1083:AO1083"/>
    <mergeCell ref="A1084:B1084"/>
    <mergeCell ref="G1084:H1084"/>
    <mergeCell ref="I1084:J1084"/>
    <mergeCell ref="Q1084:R1084"/>
    <mergeCell ref="S1084:T1084"/>
    <mergeCell ref="V1084:W1084"/>
    <mergeCell ref="AB1084:AC1084"/>
    <mergeCell ref="AD1084:AE1084"/>
    <mergeCell ref="AL1084:AM1084"/>
    <mergeCell ref="AN1084:AO1084"/>
    <mergeCell ref="A1085:B1085"/>
    <mergeCell ref="E1085:F1085"/>
    <mergeCell ref="G1085:H1085"/>
    <mergeCell ref="I1085:J1085"/>
    <mergeCell ref="O1085:P1085"/>
    <mergeCell ref="Q1085:R1085"/>
    <mergeCell ref="S1085:T1085"/>
    <mergeCell ref="V1085:W1085"/>
    <mergeCell ref="AB1085:AC1085"/>
    <mergeCell ref="AD1085:AE1085"/>
    <mergeCell ref="AJ1085:AK1085"/>
    <mergeCell ref="AL1085:AM1085"/>
    <mergeCell ref="AN1085:AO1085"/>
    <mergeCell ref="A1086:B1086"/>
    <mergeCell ref="E1086:F1086"/>
    <mergeCell ref="G1086:H1086"/>
    <mergeCell ref="I1086:J1086"/>
    <mergeCell ref="Q1086:R1086"/>
    <mergeCell ref="S1086:T1086"/>
    <mergeCell ref="V1086:W1086"/>
    <mergeCell ref="AB1086:AC1086"/>
    <mergeCell ref="AD1086:AE1086"/>
    <mergeCell ref="AL1086:AM1086"/>
    <mergeCell ref="AN1086:AO1086"/>
    <mergeCell ref="A1087:B1087"/>
    <mergeCell ref="E1087:F1087"/>
    <mergeCell ref="G1087:H1087"/>
    <mergeCell ref="I1087:J1087"/>
    <mergeCell ref="Q1087:R1087"/>
    <mergeCell ref="S1087:T1087"/>
    <mergeCell ref="V1087:W1087"/>
    <mergeCell ref="AB1087:AC1087"/>
    <mergeCell ref="AD1087:AE1087"/>
    <mergeCell ref="AL1087:AM1087"/>
    <mergeCell ref="AN1087:AO1087"/>
    <mergeCell ref="A1088:B1088"/>
    <mergeCell ref="E1088:F1088"/>
    <mergeCell ref="G1088:H1088"/>
    <mergeCell ref="I1088:J1088"/>
    <mergeCell ref="O1088:P1088"/>
    <mergeCell ref="Q1088:R1088"/>
    <mergeCell ref="S1088:T1088"/>
    <mergeCell ref="V1088:W1088"/>
    <mergeCell ref="AB1088:AC1088"/>
    <mergeCell ref="AD1088:AE1088"/>
    <mergeCell ref="AJ1088:AK1088"/>
    <mergeCell ref="AL1088:AM1088"/>
    <mergeCell ref="AN1088:AO1088"/>
    <mergeCell ref="A1089:B1089"/>
    <mergeCell ref="G1089:H1089"/>
    <mergeCell ref="I1089:J1089"/>
    <mergeCell ref="Q1089:R1089"/>
    <mergeCell ref="S1089:T1089"/>
    <mergeCell ref="V1089:W1089"/>
    <mergeCell ref="AB1089:AC1089"/>
    <mergeCell ref="AD1089:AE1089"/>
    <mergeCell ref="AJ1089:AK1089"/>
    <mergeCell ref="AL1089:AM1089"/>
    <mergeCell ref="AN1089:AO1089"/>
    <mergeCell ref="A1090:B1090"/>
    <mergeCell ref="E1090:F1090"/>
    <mergeCell ref="G1090:H1090"/>
    <mergeCell ref="I1090:J1090"/>
    <mergeCell ref="Q1090:R1090"/>
    <mergeCell ref="S1090:T1090"/>
    <mergeCell ref="V1090:W1090"/>
    <mergeCell ref="Z1090:AA1090"/>
    <mergeCell ref="AB1090:AC1090"/>
    <mergeCell ref="AD1090:AE1090"/>
    <mergeCell ref="AJ1090:AK1090"/>
    <mergeCell ref="AL1090:AM1090"/>
    <mergeCell ref="AN1090:AO1090"/>
    <mergeCell ref="A1091:B1091"/>
    <mergeCell ref="G1091:H1091"/>
    <mergeCell ref="I1091:J1091"/>
    <mergeCell ref="Q1091:R1091"/>
    <mergeCell ref="S1091:T1091"/>
    <mergeCell ref="V1091:W1091"/>
    <mergeCell ref="AB1091:AC1091"/>
    <mergeCell ref="AD1091:AE1091"/>
    <mergeCell ref="AJ1091:AK1091"/>
    <mergeCell ref="AL1091:AM1091"/>
    <mergeCell ref="AN1091:AO1091"/>
    <mergeCell ref="A1092:B1092"/>
    <mergeCell ref="G1092:H1092"/>
    <mergeCell ref="I1092:J1092"/>
    <mergeCell ref="Q1092:R1092"/>
    <mergeCell ref="S1092:T1092"/>
    <mergeCell ref="V1092:W1092"/>
    <mergeCell ref="AB1092:AC1092"/>
    <mergeCell ref="AD1092:AE1092"/>
    <mergeCell ref="AJ1092:AK1092"/>
    <mergeCell ref="AL1092:AM1092"/>
    <mergeCell ref="AN1092:AO1092"/>
    <mergeCell ref="A1093:B1093"/>
    <mergeCell ref="G1093:H1093"/>
    <mergeCell ref="I1093:J1093"/>
    <mergeCell ref="Q1093:R1093"/>
    <mergeCell ref="S1093:T1093"/>
    <mergeCell ref="V1093:W1093"/>
    <mergeCell ref="AB1093:AC1093"/>
    <mergeCell ref="AD1093:AE1093"/>
    <mergeCell ref="AJ1093:AK1093"/>
    <mergeCell ref="AL1093:AM1093"/>
    <mergeCell ref="AN1093:AO1093"/>
    <mergeCell ref="A1094:B1094"/>
    <mergeCell ref="E1094:F1094"/>
    <mergeCell ref="G1094:H1094"/>
    <mergeCell ref="I1094:J1094"/>
    <mergeCell ref="O1094:P1094"/>
    <mergeCell ref="Q1094:R1094"/>
    <mergeCell ref="S1094:T1094"/>
    <mergeCell ref="V1094:W1094"/>
    <mergeCell ref="AB1094:AC1094"/>
    <mergeCell ref="AD1094:AE1094"/>
    <mergeCell ref="AJ1094:AK1094"/>
    <mergeCell ref="AL1094:AM1094"/>
    <mergeCell ref="AN1094:AO1094"/>
    <mergeCell ref="A1095:B1095"/>
    <mergeCell ref="E1095:F1095"/>
    <mergeCell ref="G1095:H1095"/>
    <mergeCell ref="I1095:J1095"/>
    <mergeCell ref="O1095:P1095"/>
    <mergeCell ref="Q1095:R1095"/>
    <mergeCell ref="S1095:T1095"/>
    <mergeCell ref="V1095:W1095"/>
    <mergeCell ref="AB1095:AC1095"/>
    <mergeCell ref="AD1095:AE1095"/>
    <mergeCell ref="AJ1095:AK1095"/>
    <mergeCell ref="AL1095:AM1095"/>
    <mergeCell ref="AN1095:AO1095"/>
    <mergeCell ref="A1096:B1096"/>
    <mergeCell ref="G1096:H1096"/>
    <mergeCell ref="I1096:J1096"/>
    <mergeCell ref="O1096:P1096"/>
    <mergeCell ref="Q1096:R1096"/>
    <mergeCell ref="S1096:T1096"/>
    <mergeCell ref="V1096:W1096"/>
    <mergeCell ref="AB1096:AC1096"/>
    <mergeCell ref="AD1096:AE1096"/>
    <mergeCell ref="AJ1096:AK1096"/>
    <mergeCell ref="AL1096:AM1096"/>
    <mergeCell ref="AN1096:AO1096"/>
    <mergeCell ref="A1097:B1097"/>
    <mergeCell ref="G1097:H1097"/>
    <mergeCell ref="I1097:J1097"/>
    <mergeCell ref="O1097:P1097"/>
    <mergeCell ref="Q1097:R1097"/>
    <mergeCell ref="S1097:T1097"/>
    <mergeCell ref="V1097:W1097"/>
    <mergeCell ref="AB1097:AC1097"/>
    <mergeCell ref="AD1097:AE1097"/>
    <mergeCell ref="AJ1097:AK1097"/>
    <mergeCell ref="AL1097:AM1097"/>
    <mergeCell ref="AN1097:AO1097"/>
    <mergeCell ref="A1098:B1098"/>
    <mergeCell ref="G1098:H1098"/>
    <mergeCell ref="I1098:J1098"/>
    <mergeCell ref="O1098:P1098"/>
    <mergeCell ref="Q1098:R1098"/>
    <mergeCell ref="S1098:T1098"/>
    <mergeCell ref="V1098:W1098"/>
    <mergeCell ref="AB1098:AC1098"/>
    <mergeCell ref="AD1098:AE1098"/>
    <mergeCell ref="AJ1098:AK1098"/>
    <mergeCell ref="AL1098:AM1098"/>
    <mergeCell ref="AN1098:AO1098"/>
    <mergeCell ref="A1099:B1099"/>
    <mergeCell ref="G1099:H1099"/>
    <mergeCell ref="I1099:J1099"/>
    <mergeCell ref="O1099:P1099"/>
    <mergeCell ref="Q1099:R1099"/>
    <mergeCell ref="S1099:T1099"/>
    <mergeCell ref="V1099:W1099"/>
    <mergeCell ref="AB1099:AC1099"/>
    <mergeCell ref="AD1099:AE1099"/>
    <mergeCell ref="AJ1099:AK1099"/>
    <mergeCell ref="AL1099:AM1099"/>
    <mergeCell ref="AN1099:AO1099"/>
    <mergeCell ref="A1100:B1100"/>
    <mergeCell ref="G1100:H1100"/>
    <mergeCell ref="I1100:J1100"/>
    <mergeCell ref="O1100:P1100"/>
    <mergeCell ref="Q1100:R1100"/>
    <mergeCell ref="S1100:T1100"/>
    <mergeCell ref="V1100:W1100"/>
    <mergeCell ref="AB1100:AC1100"/>
    <mergeCell ref="AD1100:AE1100"/>
    <mergeCell ref="AJ1100:AK1100"/>
    <mergeCell ref="AL1100:AM1100"/>
    <mergeCell ref="AN1100:AO1100"/>
    <mergeCell ref="A1101:B1101"/>
    <mergeCell ref="E1101:F1101"/>
    <mergeCell ref="G1101:H1101"/>
    <mergeCell ref="I1101:J1101"/>
    <mergeCell ref="O1101:P1101"/>
    <mergeCell ref="Q1101:R1101"/>
    <mergeCell ref="S1101:T1101"/>
    <mergeCell ref="V1101:W1101"/>
    <mergeCell ref="Z1101:AA1101"/>
    <mergeCell ref="AB1101:AC1101"/>
    <mergeCell ref="AD1101:AE1101"/>
    <mergeCell ref="AJ1101:AK1101"/>
    <mergeCell ref="AL1101:AM1101"/>
    <mergeCell ref="A1102:B1102"/>
    <mergeCell ref="E1102:F1102"/>
    <mergeCell ref="G1102:H1102"/>
    <mergeCell ref="I1102:J1102"/>
    <mergeCell ref="O1102:P1102"/>
    <mergeCell ref="Q1102:R1102"/>
    <mergeCell ref="S1102:T1102"/>
    <mergeCell ref="V1102:W1102"/>
    <mergeCell ref="Z1102:AA1102"/>
    <mergeCell ref="AB1102:AC1102"/>
    <mergeCell ref="AD1102:AE1102"/>
    <mergeCell ref="AJ1102:AK1102"/>
    <mergeCell ref="AL1102:AM1102"/>
    <mergeCell ref="AN1102:AO1102"/>
    <mergeCell ref="A1103:B1103"/>
    <mergeCell ref="E1103:F1103"/>
    <mergeCell ref="G1103:H1103"/>
    <mergeCell ref="I1103:J1103"/>
    <mergeCell ref="O1103:P1103"/>
    <mergeCell ref="Q1103:R1103"/>
    <mergeCell ref="S1103:T1103"/>
    <mergeCell ref="V1103:W1103"/>
    <mergeCell ref="AB1103:AC1103"/>
    <mergeCell ref="AD1103:AE1103"/>
    <mergeCell ref="AJ1103:AK1103"/>
    <mergeCell ref="AL1103:AM1103"/>
    <mergeCell ref="AN1103:AO1103"/>
    <mergeCell ref="AN1101:AO1101"/>
    <mergeCell ref="A1104:B1104"/>
    <mergeCell ref="E1104:F1104"/>
    <mergeCell ref="G1104:H1104"/>
    <mergeCell ref="I1104:J1104"/>
    <mergeCell ref="S1104:T1104"/>
    <mergeCell ref="V1104:W1104"/>
    <mergeCell ref="Z1104:AA1104"/>
    <mergeCell ref="AB1104:AC1104"/>
    <mergeCell ref="AD1104:AE1104"/>
    <mergeCell ref="AN1104:AO1104"/>
    <mergeCell ref="A1105:B1105"/>
    <mergeCell ref="E1105:F1105"/>
    <mergeCell ref="G1105:H1105"/>
    <mergeCell ref="I1105:J1105"/>
    <mergeCell ref="V1105:W1105"/>
    <mergeCell ref="Z1105:AA1105"/>
    <mergeCell ref="AB1105:AC1105"/>
    <mergeCell ref="AD1105:AE1105"/>
    <mergeCell ref="A1106:B1106"/>
    <mergeCell ref="E1106:F1106"/>
    <mergeCell ref="G1106:H1106"/>
    <mergeCell ref="I1106:J1106"/>
    <mergeCell ref="V1106:W1106"/>
    <mergeCell ref="Z1106:AA1106"/>
    <mergeCell ref="AB1106:AC1106"/>
    <mergeCell ref="AD1106:AE1106"/>
    <mergeCell ref="A1107:B1107"/>
    <mergeCell ref="E1107:F1107"/>
    <mergeCell ref="G1107:H1107"/>
    <mergeCell ref="I1107:J1107"/>
    <mergeCell ref="V1107:W1107"/>
    <mergeCell ref="Z1107:AA1107"/>
    <mergeCell ref="AB1107:AC1107"/>
    <mergeCell ref="AD1107:AE1107"/>
    <mergeCell ref="Z1115:AA1115"/>
    <mergeCell ref="AB1115:AC1115"/>
    <mergeCell ref="AD1115:AE1115"/>
    <mergeCell ref="A1116:B1116"/>
    <mergeCell ref="E1116:F1116"/>
    <mergeCell ref="G1116:H1116"/>
    <mergeCell ref="I1116:J1116"/>
    <mergeCell ref="V1116:W1116"/>
    <mergeCell ref="Z1116:AA1116"/>
    <mergeCell ref="AB1116:AC1116"/>
    <mergeCell ref="AD1116:AE1116"/>
    <mergeCell ref="A1108:B1108"/>
    <mergeCell ref="G1108:H1108"/>
    <mergeCell ref="I1108:J1108"/>
    <mergeCell ref="V1108:W1108"/>
    <mergeCell ref="Z1108:AA1108"/>
    <mergeCell ref="AB1108:AC1108"/>
    <mergeCell ref="AD1108:AE1108"/>
    <mergeCell ref="AH1108:AK1108"/>
    <mergeCell ref="A1109:B1109"/>
    <mergeCell ref="E1109:F1109"/>
    <mergeCell ref="G1109:H1109"/>
    <mergeCell ref="I1109:J1109"/>
    <mergeCell ref="V1109:W1109"/>
    <mergeCell ref="Z1109:AA1109"/>
    <mergeCell ref="AB1109:AC1109"/>
    <mergeCell ref="AD1109:AE1109"/>
    <mergeCell ref="A1110:B1110"/>
    <mergeCell ref="E1110:F1110"/>
    <mergeCell ref="G1110:H1110"/>
    <mergeCell ref="I1110:J1110"/>
    <mergeCell ref="M1110:P1110"/>
    <mergeCell ref="V1110:W1110"/>
    <mergeCell ref="Z1110:AA1110"/>
    <mergeCell ref="AB1110:AC1110"/>
    <mergeCell ref="AD1110:AE1110"/>
    <mergeCell ref="A1111:B1111"/>
    <mergeCell ref="E1111:F1111"/>
    <mergeCell ref="G1111:H1111"/>
    <mergeCell ref="I1111:J1111"/>
    <mergeCell ref="M1111:P1111"/>
    <mergeCell ref="V1111:W1111"/>
    <mergeCell ref="Z1111:AA1111"/>
    <mergeCell ref="AB1111:AC1111"/>
    <mergeCell ref="AD1111:AE1111"/>
    <mergeCell ref="AH1111:AK1111"/>
    <mergeCell ref="AP135:AQ135"/>
    <mergeCell ref="A1117:B1117"/>
    <mergeCell ref="E1117:F1117"/>
    <mergeCell ref="G1117:H1117"/>
    <mergeCell ref="I1117:J1117"/>
    <mergeCell ref="V1117:W1117"/>
    <mergeCell ref="Z1117:AA1117"/>
    <mergeCell ref="AB1117:AC1117"/>
    <mergeCell ref="AD1117:AE1117"/>
    <mergeCell ref="A1118:B1118"/>
    <mergeCell ref="E1118:F1118"/>
    <mergeCell ref="G1118:H1118"/>
    <mergeCell ref="I1118:J1118"/>
    <mergeCell ref="V1118:W1118"/>
    <mergeCell ref="Z1118:AA1118"/>
    <mergeCell ref="AB1118:AC1118"/>
    <mergeCell ref="AD1118:AE1118"/>
    <mergeCell ref="A1119:B1119"/>
    <mergeCell ref="E1119:F1119"/>
    <mergeCell ref="G1119:H1119"/>
    <mergeCell ref="I1119:J1119"/>
    <mergeCell ref="V1119:W1119"/>
    <mergeCell ref="Z1119:AA1119"/>
    <mergeCell ref="AB1119:AC1119"/>
    <mergeCell ref="AD1119:AE1119"/>
    <mergeCell ref="E1089:F1089"/>
    <mergeCell ref="E1091:F1091"/>
    <mergeCell ref="E1108:F1108"/>
    <mergeCell ref="O1076:P1076"/>
    <mergeCell ref="O1084:P1084"/>
    <mergeCell ref="O1086:P1086"/>
    <mergeCell ref="O1087:P1087"/>
    <mergeCell ref="Z1103:AA1103"/>
    <mergeCell ref="AJ1084:AK1084"/>
    <mergeCell ref="AJ1086:AK1086"/>
    <mergeCell ref="AJ1087:AK1087"/>
    <mergeCell ref="A1112:B1112"/>
    <mergeCell ref="G1112:H1112"/>
    <mergeCell ref="I1112:J1112"/>
    <mergeCell ref="M1112:P1112"/>
    <mergeCell ref="V1112:W1112"/>
    <mergeCell ref="AB1112:AC1112"/>
    <mergeCell ref="AD1112:AE1112"/>
    <mergeCell ref="AH1112:AK1112"/>
    <mergeCell ref="A1113:B1113"/>
    <mergeCell ref="E1113:F1113"/>
    <mergeCell ref="G1113:H1113"/>
    <mergeCell ref="I1113:J1113"/>
    <mergeCell ref="V1113:W1113"/>
    <mergeCell ref="Z1113:AA1113"/>
    <mergeCell ref="AB1113:AC1113"/>
    <mergeCell ref="AD1113:AE1113"/>
    <mergeCell ref="AH1113:AK1113"/>
    <mergeCell ref="A1114:B1114"/>
    <mergeCell ref="G1114:H1114"/>
    <mergeCell ref="I1114:J1114"/>
    <mergeCell ref="V1114:W1114"/>
    <mergeCell ref="AB1114:AC1114"/>
    <mergeCell ref="AD1114:AE1114"/>
    <mergeCell ref="A1115:B1115"/>
    <mergeCell ref="E1115:F1115"/>
    <mergeCell ref="G1115:H1115"/>
    <mergeCell ref="I1115:J1115"/>
    <mergeCell ref="V1115:W1115"/>
  </mergeCells>
  <phoneticPr fontId="13" type="noConversion"/>
  <pageMargins left="0.59055118110236227" right="0.39370078740157483" top="0.78740157480314965" bottom="0.39370078740157483" header="0.59055118110236227" footer="0"/>
  <pageSetup scale="60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selection sqref="A1:S1"/>
    </sheetView>
  </sheetViews>
  <sheetFormatPr baseColWidth="10" defaultColWidth="11.42578125" defaultRowHeight="12.75" x14ac:dyDescent="0.2"/>
  <cols>
    <col min="1" max="1" width="14.140625" customWidth="1"/>
    <col min="2" max="9" width="9.7109375" customWidth="1"/>
    <col min="10" max="10" width="13.28515625" customWidth="1"/>
    <col min="11" max="11" width="8.7109375" bestFit="1" customWidth="1"/>
    <col min="12" max="12" width="5.7109375" bestFit="1" customWidth="1"/>
    <col min="13" max="13" width="7.7109375" bestFit="1" customWidth="1"/>
    <col min="14" max="14" width="8.7109375" bestFit="1" customWidth="1"/>
    <col min="15" max="15" width="5.5703125" customWidth="1"/>
    <col min="16" max="16" width="7.7109375" bestFit="1" customWidth="1"/>
    <col min="17" max="17" width="9.85546875" bestFit="1" customWidth="1"/>
    <col min="18" max="18" width="5.7109375" bestFit="1" customWidth="1"/>
    <col min="19" max="19" width="7.7109375" bestFit="1" customWidth="1"/>
  </cols>
  <sheetData>
    <row r="1" spans="1:19" ht="15.75" x14ac:dyDescent="0.25">
      <c r="A1" s="3010" t="s">
        <v>324</v>
      </c>
      <c r="B1" s="3010"/>
      <c r="C1" s="3010"/>
      <c r="D1" s="3010"/>
      <c r="E1" s="3010"/>
      <c r="F1" s="3010"/>
      <c r="G1" s="3010"/>
      <c r="H1" s="3010"/>
      <c r="I1" s="3010"/>
      <c r="J1" s="3010"/>
      <c r="K1" s="3010"/>
      <c r="L1" s="3010"/>
      <c r="M1" s="3010"/>
      <c r="N1" s="3010"/>
      <c r="O1" s="3010"/>
      <c r="P1" s="3010"/>
      <c r="Q1" s="3010"/>
      <c r="R1" s="3010"/>
      <c r="S1" s="3010"/>
    </row>
    <row r="2" spans="1:19" x14ac:dyDescent="0.2">
      <c r="A2" s="2508" t="s">
        <v>434</v>
      </c>
      <c r="B2" s="2508"/>
      <c r="C2" s="2508"/>
      <c r="D2" s="2508"/>
      <c r="E2" s="2508"/>
      <c r="F2" s="2508"/>
      <c r="G2" s="2508"/>
      <c r="H2" s="2508"/>
      <c r="I2" s="2508"/>
      <c r="J2" s="2508"/>
      <c r="K2" s="2508"/>
      <c r="L2" s="2508"/>
      <c r="M2" s="2508"/>
      <c r="N2" s="2508"/>
      <c r="O2" s="2508"/>
      <c r="P2" s="2508"/>
      <c r="Q2" s="2508"/>
      <c r="R2" s="2508"/>
      <c r="S2" s="2508"/>
    </row>
    <row r="3" spans="1:19" ht="13.5" thickBot="1" x14ac:dyDescent="0.25">
      <c r="A3" s="3011" t="s">
        <v>2025</v>
      </c>
      <c r="B3" s="3012"/>
      <c r="C3" s="3012"/>
      <c r="D3" s="3012"/>
      <c r="E3" s="3012"/>
      <c r="F3" s="3012"/>
      <c r="G3" s="3012"/>
      <c r="H3" s="3012"/>
      <c r="I3" s="3012"/>
      <c r="J3" s="3012"/>
      <c r="K3" s="3012"/>
      <c r="L3" s="3012"/>
      <c r="M3" s="3012"/>
      <c r="N3" s="3012"/>
      <c r="O3" s="3012"/>
      <c r="P3" s="3012"/>
      <c r="Q3" s="3012"/>
      <c r="R3" s="3012"/>
      <c r="S3" s="3012"/>
    </row>
    <row r="4" spans="1:19" ht="18.75" thickTop="1" x14ac:dyDescent="0.25">
      <c r="A4" s="302"/>
      <c r="B4" s="303"/>
      <c r="C4" s="303"/>
      <c r="D4" s="303"/>
      <c r="E4" s="303"/>
      <c r="F4" s="304"/>
      <c r="G4" s="304" t="s">
        <v>1203</v>
      </c>
      <c r="H4" s="304"/>
      <c r="I4" s="304"/>
      <c r="J4" s="304"/>
      <c r="K4" s="304"/>
      <c r="L4" s="303"/>
      <c r="M4" s="303"/>
      <c r="N4" s="303"/>
      <c r="O4" s="303"/>
      <c r="P4" s="303"/>
      <c r="Q4" s="303"/>
      <c r="R4" s="303"/>
      <c r="S4" s="305"/>
    </row>
    <row r="5" spans="1:19" x14ac:dyDescent="0.2">
      <c r="A5" s="306"/>
      <c r="B5" s="3021" t="s">
        <v>1204</v>
      </c>
      <c r="C5" s="3018"/>
      <c r="D5" s="3018"/>
      <c r="E5" s="3018"/>
      <c r="F5" s="3022" t="s">
        <v>1205</v>
      </c>
      <c r="G5" s="3018"/>
      <c r="H5" s="3018"/>
      <c r="I5" s="3023"/>
      <c r="J5" s="307" t="s">
        <v>1206</v>
      </c>
      <c r="K5" s="3018" t="s">
        <v>1207</v>
      </c>
      <c r="L5" s="3018"/>
      <c r="M5" s="3018"/>
      <c r="N5" s="3018"/>
      <c r="O5" s="3018"/>
      <c r="P5" s="3018"/>
      <c r="Q5" s="3018"/>
      <c r="R5" s="3018"/>
      <c r="S5" s="3019"/>
    </row>
    <row r="6" spans="1:19" x14ac:dyDescent="0.2">
      <c r="A6" s="308" t="s">
        <v>327</v>
      </c>
      <c r="B6" s="309"/>
      <c r="C6" s="309"/>
      <c r="D6" s="309"/>
      <c r="E6" s="309"/>
      <c r="F6" s="310"/>
      <c r="G6" s="309"/>
      <c r="H6" s="309"/>
      <c r="I6" s="311"/>
      <c r="J6" s="312" t="s">
        <v>1208</v>
      </c>
      <c r="K6" s="3013" t="s">
        <v>1209</v>
      </c>
      <c r="L6" s="3013"/>
      <c r="M6" s="3013"/>
      <c r="N6" s="3014" t="s">
        <v>1210</v>
      </c>
      <c r="O6" s="3013"/>
      <c r="P6" s="3013"/>
      <c r="Q6" s="3014" t="s">
        <v>1211</v>
      </c>
      <c r="R6" s="3013"/>
      <c r="S6" s="3015"/>
    </row>
    <row r="7" spans="1:19" x14ac:dyDescent="0.2">
      <c r="A7" s="306" t="s">
        <v>1212</v>
      </c>
      <c r="B7" s="313" t="s">
        <v>1213</v>
      </c>
      <c r="C7" s="313" t="s">
        <v>1214</v>
      </c>
      <c r="D7" s="313" t="s">
        <v>1215</v>
      </c>
      <c r="E7" s="314" t="s">
        <v>433</v>
      </c>
      <c r="F7" s="315" t="s">
        <v>1216</v>
      </c>
      <c r="G7" s="313" t="s">
        <v>1214</v>
      </c>
      <c r="H7" s="313" t="s">
        <v>1215</v>
      </c>
      <c r="I7" s="312" t="s">
        <v>433</v>
      </c>
      <c r="J7" s="312" t="s">
        <v>1217</v>
      </c>
      <c r="K7" s="316" t="s">
        <v>1201</v>
      </c>
      <c r="L7" s="317"/>
      <c r="M7" s="318" t="s">
        <v>1218</v>
      </c>
      <c r="N7" s="319" t="s">
        <v>1201</v>
      </c>
      <c r="O7" s="317"/>
      <c r="P7" s="320" t="s">
        <v>1218</v>
      </c>
      <c r="Q7" s="319" t="s">
        <v>1201</v>
      </c>
      <c r="R7" s="317"/>
      <c r="S7" s="321" t="s">
        <v>1218</v>
      </c>
    </row>
    <row r="8" spans="1:19" x14ac:dyDescent="0.2">
      <c r="A8" s="322"/>
      <c r="B8" s="323" t="s">
        <v>1219</v>
      </c>
      <c r="C8" s="323" t="s">
        <v>1219</v>
      </c>
      <c r="D8" s="323" t="s">
        <v>1219</v>
      </c>
      <c r="E8" s="324"/>
      <c r="F8" s="325" t="s">
        <v>1219</v>
      </c>
      <c r="G8" s="323" t="s">
        <v>1219</v>
      </c>
      <c r="H8" s="323" t="s">
        <v>1219</v>
      </c>
      <c r="I8" s="326"/>
      <c r="J8" s="326" t="s">
        <v>1220</v>
      </c>
      <c r="K8" s="327" t="s">
        <v>1220</v>
      </c>
      <c r="L8" s="327" t="s">
        <v>1221</v>
      </c>
      <c r="M8" s="327" t="s">
        <v>1222</v>
      </c>
      <c r="N8" s="328" t="s">
        <v>1220</v>
      </c>
      <c r="O8" s="327" t="s">
        <v>1221</v>
      </c>
      <c r="P8" s="329" t="s">
        <v>1222</v>
      </c>
      <c r="Q8" s="328" t="s">
        <v>1220</v>
      </c>
      <c r="R8" s="327" t="s">
        <v>1221</v>
      </c>
      <c r="S8" s="330" t="s">
        <v>1222</v>
      </c>
    </row>
    <row r="9" spans="1:19" x14ac:dyDescent="0.2">
      <c r="A9" s="417" t="s">
        <v>352</v>
      </c>
      <c r="B9" s="1189">
        <v>29240</v>
      </c>
      <c r="C9" s="1189">
        <v>20008</v>
      </c>
      <c r="D9" s="1189">
        <v>17508</v>
      </c>
      <c r="E9" s="372">
        <v>66756</v>
      </c>
      <c r="F9" s="1190">
        <v>31312</v>
      </c>
      <c r="G9" s="1189">
        <v>32962</v>
      </c>
      <c r="H9" s="1189">
        <v>123004</v>
      </c>
      <c r="I9" s="1191">
        <v>187278</v>
      </c>
      <c r="J9" s="1192">
        <v>254034</v>
      </c>
      <c r="K9" s="1193">
        <v>41095.320000000007</v>
      </c>
      <c r="L9" s="1194">
        <v>8.8803479936987753</v>
      </c>
      <c r="M9" s="1195"/>
      <c r="N9" s="1196">
        <v>39867.450000000004</v>
      </c>
      <c r="O9" s="1194">
        <v>8.6150157638725329</v>
      </c>
      <c r="P9" s="1195"/>
      <c r="Q9" s="1190">
        <v>173071.22999999998</v>
      </c>
      <c r="R9" s="2226">
        <v>37.399216020157013</v>
      </c>
      <c r="S9" s="1996"/>
    </row>
    <row r="10" spans="1:19" x14ac:dyDescent="0.2">
      <c r="A10" s="423" t="s">
        <v>353</v>
      </c>
      <c r="B10" s="968">
        <v>2778</v>
      </c>
      <c r="C10" s="968">
        <v>2084</v>
      </c>
      <c r="D10" s="968">
        <v>1533</v>
      </c>
      <c r="E10" s="1199">
        <v>6395</v>
      </c>
      <c r="F10" s="968">
        <v>3320</v>
      </c>
      <c r="G10" s="968">
        <v>3939</v>
      </c>
      <c r="H10" s="968">
        <v>12198</v>
      </c>
      <c r="I10" s="1199">
        <v>19457</v>
      </c>
      <c r="J10" s="1200">
        <v>25852</v>
      </c>
      <c r="K10" s="1201">
        <v>5170.3999999999996</v>
      </c>
      <c r="L10" s="957">
        <v>20</v>
      </c>
      <c r="M10" s="963" t="s">
        <v>1750</v>
      </c>
      <c r="N10" s="1198">
        <v>3877.8</v>
      </c>
      <c r="O10" s="957">
        <v>15</v>
      </c>
      <c r="P10" s="963" t="s">
        <v>1743</v>
      </c>
      <c r="Q10" s="1198">
        <v>16803.8</v>
      </c>
      <c r="R10" s="957">
        <v>65</v>
      </c>
      <c r="S10" s="432" t="s">
        <v>1811</v>
      </c>
    </row>
    <row r="11" spans="1:19" x14ac:dyDescent="0.2">
      <c r="A11" s="423" t="s">
        <v>354</v>
      </c>
      <c r="B11" s="968">
        <v>3581</v>
      </c>
      <c r="C11" s="968">
        <v>2115</v>
      </c>
      <c r="D11" s="968">
        <v>1898</v>
      </c>
      <c r="E11" s="1199">
        <v>7594</v>
      </c>
      <c r="F11" s="968">
        <v>3935</v>
      </c>
      <c r="G11" s="968">
        <v>4211</v>
      </c>
      <c r="H11" s="968">
        <v>16510</v>
      </c>
      <c r="I11" s="1199">
        <v>24656</v>
      </c>
      <c r="J11" s="1200">
        <v>32250</v>
      </c>
      <c r="K11" s="1201">
        <v>2580</v>
      </c>
      <c r="L11" s="957">
        <v>8</v>
      </c>
      <c r="M11" s="963" t="s">
        <v>1223</v>
      </c>
      <c r="N11" s="1198">
        <v>3225</v>
      </c>
      <c r="O11" s="957">
        <v>10</v>
      </c>
      <c r="P11" s="963" t="s">
        <v>1802</v>
      </c>
      <c r="Q11" s="1198">
        <v>26445</v>
      </c>
      <c r="R11" s="957">
        <v>82</v>
      </c>
      <c r="S11" s="432" t="s">
        <v>1738</v>
      </c>
    </row>
    <row r="12" spans="1:19" x14ac:dyDescent="0.2">
      <c r="A12" s="423" t="s">
        <v>355</v>
      </c>
      <c r="B12" s="968">
        <v>1977</v>
      </c>
      <c r="C12" s="968">
        <v>1741</v>
      </c>
      <c r="D12" s="968">
        <v>1565</v>
      </c>
      <c r="E12" s="1199">
        <v>5283</v>
      </c>
      <c r="F12" s="968">
        <v>1680</v>
      </c>
      <c r="G12" s="968">
        <v>1961</v>
      </c>
      <c r="H12" s="968">
        <v>6545</v>
      </c>
      <c r="I12" s="1199">
        <v>10186</v>
      </c>
      <c r="J12" s="1200">
        <v>15469</v>
      </c>
      <c r="K12" s="1201">
        <v>618.76</v>
      </c>
      <c r="L12" s="957">
        <v>4</v>
      </c>
      <c r="M12" s="963" t="s">
        <v>1794</v>
      </c>
      <c r="N12" s="1198">
        <v>309.38</v>
      </c>
      <c r="O12" s="957">
        <v>2</v>
      </c>
      <c r="P12" s="963" t="s">
        <v>1747</v>
      </c>
      <c r="Q12" s="1198">
        <v>14540.86</v>
      </c>
      <c r="R12" s="957">
        <v>94</v>
      </c>
      <c r="S12" s="432" t="s">
        <v>1795</v>
      </c>
    </row>
    <row r="13" spans="1:19" x14ac:dyDescent="0.2">
      <c r="A13" s="423" t="s">
        <v>356</v>
      </c>
      <c r="B13" s="968">
        <v>2859</v>
      </c>
      <c r="C13" s="968">
        <v>2788</v>
      </c>
      <c r="D13" s="968">
        <v>2199</v>
      </c>
      <c r="E13" s="1199">
        <v>7846</v>
      </c>
      <c r="F13" s="968">
        <v>2904</v>
      </c>
      <c r="G13" s="968">
        <v>3240</v>
      </c>
      <c r="H13" s="968">
        <v>11930</v>
      </c>
      <c r="I13" s="1199">
        <v>18074</v>
      </c>
      <c r="J13" s="1200">
        <v>25920</v>
      </c>
      <c r="K13" s="1201">
        <v>6480</v>
      </c>
      <c r="L13" s="957">
        <v>25</v>
      </c>
      <c r="M13" s="963" t="s">
        <v>1223</v>
      </c>
      <c r="N13" s="1198">
        <v>3888</v>
      </c>
      <c r="O13" s="957">
        <v>15</v>
      </c>
      <c r="P13" s="963" t="s">
        <v>1272</v>
      </c>
      <c r="Q13" s="1198">
        <v>15552</v>
      </c>
      <c r="R13" s="957">
        <v>60</v>
      </c>
      <c r="S13" s="432" t="s">
        <v>1223</v>
      </c>
    </row>
    <row r="14" spans="1:19" x14ac:dyDescent="0.2">
      <c r="A14" s="423" t="s">
        <v>357</v>
      </c>
      <c r="B14" s="968">
        <v>1296</v>
      </c>
      <c r="C14" s="968">
        <v>1025</v>
      </c>
      <c r="D14" s="968">
        <v>763</v>
      </c>
      <c r="E14" s="1199">
        <v>3084</v>
      </c>
      <c r="F14" s="968">
        <v>1575</v>
      </c>
      <c r="G14" s="968">
        <v>1651</v>
      </c>
      <c r="H14" s="968">
        <v>6127</v>
      </c>
      <c r="I14" s="1199">
        <v>9353</v>
      </c>
      <c r="J14" s="1200">
        <v>12437</v>
      </c>
      <c r="K14" s="1201">
        <v>1243.7</v>
      </c>
      <c r="L14" s="957">
        <v>10</v>
      </c>
      <c r="M14" s="963" t="s">
        <v>1795</v>
      </c>
      <c r="N14" s="1198">
        <v>621.85</v>
      </c>
      <c r="O14" s="957">
        <v>5</v>
      </c>
      <c r="P14" s="963" t="s">
        <v>1743</v>
      </c>
      <c r="Q14" s="1198">
        <v>10571.45</v>
      </c>
      <c r="R14" s="957">
        <v>85</v>
      </c>
      <c r="S14" s="432" t="s">
        <v>1795</v>
      </c>
    </row>
    <row r="15" spans="1:19" x14ac:dyDescent="0.2">
      <c r="A15" s="423" t="s">
        <v>358</v>
      </c>
      <c r="B15" s="968">
        <v>2613</v>
      </c>
      <c r="C15" s="968">
        <v>2480</v>
      </c>
      <c r="D15" s="968">
        <v>2965</v>
      </c>
      <c r="E15" s="1199">
        <v>8058</v>
      </c>
      <c r="F15" s="968">
        <v>2595</v>
      </c>
      <c r="G15" s="968">
        <v>2716</v>
      </c>
      <c r="H15" s="968">
        <v>10614</v>
      </c>
      <c r="I15" s="1199">
        <v>15925</v>
      </c>
      <c r="J15" s="1200">
        <v>23983</v>
      </c>
      <c r="K15" s="1201">
        <v>7194.9</v>
      </c>
      <c r="L15" s="957">
        <v>30</v>
      </c>
      <c r="M15" s="963" t="s">
        <v>351</v>
      </c>
      <c r="N15" s="1198">
        <v>0</v>
      </c>
      <c r="O15" s="957">
        <v>0</v>
      </c>
      <c r="P15" s="963" t="s">
        <v>1580</v>
      </c>
      <c r="Q15" s="1198">
        <v>16788.099999999999</v>
      </c>
      <c r="R15" s="957">
        <v>70</v>
      </c>
      <c r="S15" s="432" t="s">
        <v>1098</v>
      </c>
    </row>
    <row r="16" spans="1:19" x14ac:dyDescent="0.2">
      <c r="A16" s="423" t="s">
        <v>359</v>
      </c>
      <c r="B16" s="968">
        <v>614</v>
      </c>
      <c r="C16" s="968">
        <v>433</v>
      </c>
      <c r="D16" s="968">
        <v>216</v>
      </c>
      <c r="E16" s="1199">
        <v>1263</v>
      </c>
      <c r="F16" s="968">
        <v>612</v>
      </c>
      <c r="G16" s="968">
        <v>991</v>
      </c>
      <c r="H16" s="968">
        <v>3174</v>
      </c>
      <c r="I16" s="1199">
        <v>4777</v>
      </c>
      <c r="J16" s="1200">
        <v>6040</v>
      </c>
      <c r="K16" s="1201">
        <v>604</v>
      </c>
      <c r="L16" s="957">
        <v>10</v>
      </c>
      <c r="M16" s="963" t="s">
        <v>1795</v>
      </c>
      <c r="N16" s="1198">
        <v>604</v>
      </c>
      <c r="O16" s="957">
        <v>10</v>
      </c>
      <c r="P16" s="963" t="s">
        <v>1743</v>
      </c>
      <c r="Q16" s="1198">
        <v>4832</v>
      </c>
      <c r="R16" s="957">
        <v>80</v>
      </c>
      <c r="S16" s="432" t="s">
        <v>1795</v>
      </c>
    </row>
    <row r="17" spans="1:19" x14ac:dyDescent="0.2">
      <c r="A17" s="423" t="s">
        <v>360</v>
      </c>
      <c r="B17" s="968">
        <v>1055</v>
      </c>
      <c r="C17" s="968">
        <v>726</v>
      </c>
      <c r="D17" s="968">
        <v>619</v>
      </c>
      <c r="E17" s="1199">
        <v>2400</v>
      </c>
      <c r="F17" s="968">
        <v>930</v>
      </c>
      <c r="G17" s="968">
        <v>636</v>
      </c>
      <c r="H17" s="968">
        <v>3890</v>
      </c>
      <c r="I17" s="1199">
        <v>5456</v>
      </c>
      <c r="J17" s="1200">
        <v>7856</v>
      </c>
      <c r="K17" s="1201">
        <v>1571.2</v>
      </c>
      <c r="L17" s="957">
        <v>20</v>
      </c>
      <c r="M17" s="963" t="s">
        <v>1223</v>
      </c>
      <c r="N17" s="1198">
        <v>157.12</v>
      </c>
      <c r="O17" s="957">
        <v>2</v>
      </c>
      <c r="P17" s="963" t="s">
        <v>1576</v>
      </c>
      <c r="Q17" s="1198">
        <v>6127.68</v>
      </c>
      <c r="R17" s="957">
        <v>78</v>
      </c>
      <c r="S17" s="432" t="s">
        <v>1795</v>
      </c>
    </row>
    <row r="18" spans="1:19" x14ac:dyDescent="0.2">
      <c r="A18" s="423" t="s">
        <v>938</v>
      </c>
      <c r="B18" s="968">
        <v>3639</v>
      </c>
      <c r="C18" s="968">
        <v>1661</v>
      </c>
      <c r="D18" s="968">
        <v>1362</v>
      </c>
      <c r="E18" s="1199">
        <v>6662</v>
      </c>
      <c r="F18" s="968">
        <v>4030</v>
      </c>
      <c r="G18" s="968">
        <v>4064</v>
      </c>
      <c r="H18" s="968">
        <v>16406</v>
      </c>
      <c r="I18" s="1199">
        <v>24500</v>
      </c>
      <c r="J18" s="1200">
        <v>31162</v>
      </c>
      <c r="K18" s="1201">
        <v>3116.2</v>
      </c>
      <c r="L18" s="957">
        <v>10</v>
      </c>
      <c r="M18" s="963" t="s">
        <v>1740</v>
      </c>
      <c r="N18" s="1198">
        <v>9348.6</v>
      </c>
      <c r="O18" s="957">
        <v>30</v>
      </c>
      <c r="P18" s="963" t="s">
        <v>350</v>
      </c>
      <c r="Q18" s="1198">
        <v>18697.2</v>
      </c>
      <c r="R18" s="957">
        <v>60</v>
      </c>
      <c r="S18" s="432" t="s">
        <v>1740</v>
      </c>
    </row>
    <row r="19" spans="1:19" x14ac:dyDescent="0.2">
      <c r="A19" s="423" t="s">
        <v>362</v>
      </c>
      <c r="B19" s="968">
        <v>1861</v>
      </c>
      <c r="C19" s="968">
        <v>790</v>
      </c>
      <c r="D19" s="968">
        <v>697</v>
      </c>
      <c r="E19" s="1199">
        <v>3348</v>
      </c>
      <c r="F19" s="968">
        <v>2104</v>
      </c>
      <c r="G19" s="968">
        <v>1641</v>
      </c>
      <c r="H19" s="968">
        <v>7159</v>
      </c>
      <c r="I19" s="1199">
        <v>10904</v>
      </c>
      <c r="J19" s="1200">
        <v>14252</v>
      </c>
      <c r="K19" s="1201">
        <v>5700.8</v>
      </c>
      <c r="L19" s="957">
        <v>40</v>
      </c>
      <c r="M19" s="963" t="s">
        <v>1796</v>
      </c>
      <c r="N19" s="1198">
        <v>4988.2</v>
      </c>
      <c r="O19" s="957">
        <v>35</v>
      </c>
      <c r="P19" s="963" t="s">
        <v>1272</v>
      </c>
      <c r="Q19" s="1198">
        <v>3563</v>
      </c>
      <c r="R19" s="957">
        <v>25</v>
      </c>
      <c r="S19" s="432" t="s">
        <v>1272</v>
      </c>
    </row>
    <row r="20" spans="1:19" x14ac:dyDescent="0.2">
      <c r="A20" s="1873" t="s">
        <v>363</v>
      </c>
      <c r="B20" s="968">
        <v>733</v>
      </c>
      <c r="C20" s="968">
        <v>913</v>
      </c>
      <c r="D20" s="968">
        <v>869</v>
      </c>
      <c r="E20" s="1199">
        <v>2515</v>
      </c>
      <c r="F20" s="968">
        <v>781</v>
      </c>
      <c r="G20" s="968">
        <v>877</v>
      </c>
      <c r="H20" s="968">
        <v>2681</v>
      </c>
      <c r="I20" s="1199">
        <v>4339</v>
      </c>
      <c r="J20" s="1200">
        <v>6854</v>
      </c>
      <c r="K20" s="1201">
        <v>685.4</v>
      </c>
      <c r="L20" s="957">
        <v>10</v>
      </c>
      <c r="M20" s="963" t="s">
        <v>1797</v>
      </c>
      <c r="N20" s="1198">
        <v>2741.6</v>
      </c>
      <c r="O20" s="957">
        <v>40</v>
      </c>
      <c r="P20" s="963" t="s">
        <v>1223</v>
      </c>
      <c r="Q20" s="1198">
        <v>3427</v>
      </c>
      <c r="R20" s="957">
        <v>50</v>
      </c>
      <c r="S20" s="432" t="s">
        <v>1225</v>
      </c>
    </row>
    <row r="21" spans="1:19" x14ac:dyDescent="0.2">
      <c r="A21" s="423" t="s">
        <v>939</v>
      </c>
      <c r="B21" s="968">
        <v>1873</v>
      </c>
      <c r="C21" s="968">
        <v>1437</v>
      </c>
      <c r="D21" s="968">
        <v>1340</v>
      </c>
      <c r="E21" s="1199">
        <v>4650</v>
      </c>
      <c r="F21" s="968">
        <v>1953</v>
      </c>
      <c r="G21" s="968">
        <v>2137</v>
      </c>
      <c r="H21" s="968">
        <v>8243</v>
      </c>
      <c r="I21" s="1199">
        <v>12333</v>
      </c>
      <c r="J21" s="1200">
        <v>16983</v>
      </c>
      <c r="K21" s="1201">
        <v>3396.6</v>
      </c>
      <c r="L21" s="957">
        <v>20</v>
      </c>
      <c r="M21" s="963" t="s">
        <v>1223</v>
      </c>
      <c r="N21" s="1198">
        <v>8491.5</v>
      </c>
      <c r="O21" s="957">
        <v>50</v>
      </c>
      <c r="P21" s="963" t="s">
        <v>1803</v>
      </c>
      <c r="Q21" s="1198">
        <v>5094.8999999999996</v>
      </c>
      <c r="R21" s="957">
        <v>30</v>
      </c>
      <c r="S21" s="432" t="s">
        <v>1738</v>
      </c>
    </row>
    <row r="22" spans="1:19" x14ac:dyDescent="0.2">
      <c r="A22" s="423" t="s">
        <v>365</v>
      </c>
      <c r="B22" s="968">
        <v>643</v>
      </c>
      <c r="C22" s="968">
        <v>532</v>
      </c>
      <c r="D22" s="968">
        <v>348</v>
      </c>
      <c r="E22" s="1199">
        <v>1523</v>
      </c>
      <c r="F22" s="968">
        <v>670</v>
      </c>
      <c r="G22" s="968">
        <v>1031</v>
      </c>
      <c r="H22" s="968">
        <v>3178</v>
      </c>
      <c r="I22" s="1199">
        <v>4879</v>
      </c>
      <c r="J22" s="1200">
        <v>6402</v>
      </c>
      <c r="K22" s="1201">
        <v>1280.4000000000001</v>
      </c>
      <c r="L22" s="957">
        <v>20</v>
      </c>
      <c r="M22" s="963" t="s">
        <v>1223</v>
      </c>
      <c r="N22" s="1198">
        <v>0</v>
      </c>
      <c r="O22" s="957">
        <v>0</v>
      </c>
      <c r="P22" s="963" t="s">
        <v>1580</v>
      </c>
      <c r="Q22" s="1198">
        <v>5121.6000000000004</v>
      </c>
      <c r="R22" s="957">
        <v>80</v>
      </c>
      <c r="S22" s="432" t="s">
        <v>1812</v>
      </c>
    </row>
    <row r="23" spans="1:19" x14ac:dyDescent="0.2">
      <c r="A23" s="423" t="s">
        <v>366</v>
      </c>
      <c r="B23" s="968">
        <v>1556</v>
      </c>
      <c r="C23" s="968">
        <v>626</v>
      </c>
      <c r="D23" s="968">
        <v>508</v>
      </c>
      <c r="E23" s="1199">
        <v>2690</v>
      </c>
      <c r="F23" s="968">
        <v>1634</v>
      </c>
      <c r="G23" s="968">
        <v>1710</v>
      </c>
      <c r="H23" s="968">
        <v>6396</v>
      </c>
      <c r="I23" s="1199">
        <v>9740</v>
      </c>
      <c r="J23" s="1200">
        <v>12430</v>
      </c>
      <c r="K23" s="1201"/>
      <c r="L23" s="957">
        <v>0</v>
      </c>
      <c r="M23" s="963" t="s">
        <v>1580</v>
      </c>
      <c r="N23" s="1198">
        <v>0</v>
      </c>
      <c r="O23" s="957">
        <v>0</v>
      </c>
      <c r="P23" s="963" t="s">
        <v>1580</v>
      </c>
      <c r="Q23" s="1198">
        <v>12430</v>
      </c>
      <c r="R23" s="968">
        <v>100</v>
      </c>
      <c r="S23" s="432" t="s">
        <v>1750</v>
      </c>
    </row>
    <row r="24" spans="1:19" x14ac:dyDescent="0.2">
      <c r="A24" s="423" t="s">
        <v>367</v>
      </c>
      <c r="B24" s="968">
        <v>2162</v>
      </c>
      <c r="C24" s="968">
        <v>657</v>
      </c>
      <c r="D24" s="968">
        <v>626</v>
      </c>
      <c r="E24" s="1199">
        <v>3445</v>
      </c>
      <c r="F24" s="968">
        <v>2589</v>
      </c>
      <c r="G24" s="968">
        <v>2157</v>
      </c>
      <c r="H24" s="968">
        <v>7953</v>
      </c>
      <c r="I24" s="1199">
        <v>12699</v>
      </c>
      <c r="J24" s="1200">
        <v>16144</v>
      </c>
      <c r="K24" s="1201">
        <v>1452.96</v>
      </c>
      <c r="L24" s="957">
        <v>9</v>
      </c>
      <c r="M24" s="963" t="s">
        <v>1223</v>
      </c>
      <c r="N24" s="1198">
        <v>1614.4</v>
      </c>
      <c r="O24" s="957">
        <v>10</v>
      </c>
      <c r="P24" s="963" t="s">
        <v>1098</v>
      </c>
      <c r="Q24" s="1198">
        <v>13076.64</v>
      </c>
      <c r="R24" s="957">
        <v>81</v>
      </c>
      <c r="S24" s="432" t="s">
        <v>1599</v>
      </c>
    </row>
    <row r="25" spans="1:19" x14ac:dyDescent="0.2">
      <c r="A25" s="433" t="s">
        <v>368</v>
      </c>
      <c r="B25" s="1004">
        <v>6475</v>
      </c>
      <c r="C25" s="1004">
        <v>4936</v>
      </c>
      <c r="D25" s="1004">
        <v>4938</v>
      </c>
      <c r="E25" s="1204">
        <v>16349</v>
      </c>
      <c r="F25" s="1206">
        <v>6791</v>
      </c>
      <c r="G25" s="1004">
        <v>6509</v>
      </c>
      <c r="H25" s="1004">
        <v>29019</v>
      </c>
      <c r="I25" s="1204">
        <v>42319</v>
      </c>
      <c r="J25" s="1205">
        <v>58668</v>
      </c>
      <c r="K25" s="1206">
        <v>6926.97</v>
      </c>
      <c r="L25" s="1150">
        <v>1.4968591105243028</v>
      </c>
      <c r="M25" s="1000"/>
      <c r="N25" s="1203">
        <v>5081.4400000000005</v>
      </c>
      <c r="O25" s="1150">
        <v>1.0980558250696355</v>
      </c>
      <c r="P25" s="1000"/>
      <c r="Q25" s="1203">
        <v>46659.590000000004</v>
      </c>
      <c r="R25" s="1002">
        <v>10.082739261874766</v>
      </c>
      <c r="S25" s="1997"/>
    </row>
    <row r="26" spans="1:19" x14ac:dyDescent="0.2">
      <c r="A26" s="423" t="s">
        <v>1226</v>
      </c>
      <c r="B26" s="968">
        <v>2040</v>
      </c>
      <c r="C26" s="968">
        <v>2086</v>
      </c>
      <c r="D26" s="968">
        <v>2021</v>
      </c>
      <c r="E26" s="1199">
        <v>6147</v>
      </c>
      <c r="F26" s="968">
        <v>1894</v>
      </c>
      <c r="G26" s="968">
        <v>2135</v>
      </c>
      <c r="H26" s="968">
        <v>8785</v>
      </c>
      <c r="I26" s="1199">
        <v>12814</v>
      </c>
      <c r="J26" s="1200">
        <v>18961</v>
      </c>
      <c r="K26" s="1201">
        <v>2844.15</v>
      </c>
      <c r="L26" s="957">
        <v>15</v>
      </c>
      <c r="M26" s="963" t="s">
        <v>350</v>
      </c>
      <c r="N26" s="1198">
        <v>1896.1</v>
      </c>
      <c r="O26" s="957">
        <v>10</v>
      </c>
      <c r="P26" s="963" t="s">
        <v>1804</v>
      </c>
      <c r="Q26" s="1198">
        <v>14220.75</v>
      </c>
      <c r="R26" s="957">
        <v>75</v>
      </c>
      <c r="S26" s="432" t="s">
        <v>350</v>
      </c>
    </row>
    <row r="27" spans="1:19" x14ac:dyDescent="0.2">
      <c r="A27" s="423" t="s">
        <v>370</v>
      </c>
      <c r="B27" s="968">
        <v>368</v>
      </c>
      <c r="C27" s="968">
        <v>502</v>
      </c>
      <c r="D27" s="968">
        <v>594</v>
      </c>
      <c r="E27" s="1199">
        <v>1464</v>
      </c>
      <c r="F27" s="968">
        <v>467</v>
      </c>
      <c r="G27" s="968">
        <v>426</v>
      </c>
      <c r="H27" s="968">
        <v>1852</v>
      </c>
      <c r="I27" s="1199">
        <v>2745</v>
      </c>
      <c r="J27" s="1200">
        <v>4209</v>
      </c>
      <c r="K27" s="1201">
        <v>420.9</v>
      </c>
      <c r="L27" s="957">
        <v>10</v>
      </c>
      <c r="M27" s="963" t="s">
        <v>1223</v>
      </c>
      <c r="N27" s="1198">
        <v>420.9</v>
      </c>
      <c r="O27" s="957">
        <v>10</v>
      </c>
      <c r="P27" s="963" t="s">
        <v>1225</v>
      </c>
      <c r="Q27" s="1198">
        <v>3367.2</v>
      </c>
      <c r="R27" s="957">
        <v>80</v>
      </c>
      <c r="S27" s="432" t="s">
        <v>1738</v>
      </c>
    </row>
    <row r="28" spans="1:19" x14ac:dyDescent="0.2">
      <c r="A28" s="423" t="s">
        <v>371</v>
      </c>
      <c r="B28" s="968">
        <v>281</v>
      </c>
      <c r="C28" s="968">
        <v>435</v>
      </c>
      <c r="D28" s="968">
        <v>325</v>
      </c>
      <c r="E28" s="1199">
        <v>1041</v>
      </c>
      <c r="F28" s="968">
        <v>352</v>
      </c>
      <c r="G28" s="968">
        <v>653</v>
      </c>
      <c r="H28" s="968">
        <v>1574</v>
      </c>
      <c r="I28" s="1199">
        <v>2579</v>
      </c>
      <c r="J28" s="1200">
        <v>3620</v>
      </c>
      <c r="K28" s="1201">
        <v>905</v>
      </c>
      <c r="L28" s="957">
        <v>25</v>
      </c>
      <c r="M28" s="963" t="s">
        <v>1798</v>
      </c>
      <c r="N28" s="1198">
        <v>724</v>
      </c>
      <c r="O28" s="957">
        <v>20</v>
      </c>
      <c r="P28" s="963" t="s">
        <v>1805</v>
      </c>
      <c r="Q28" s="1198">
        <v>1991</v>
      </c>
      <c r="R28" s="957">
        <v>55</v>
      </c>
      <c r="S28" s="432" t="s">
        <v>1748</v>
      </c>
    </row>
    <row r="29" spans="1:19" x14ac:dyDescent="0.2">
      <c r="A29" s="423" t="s">
        <v>372</v>
      </c>
      <c r="B29" s="968">
        <v>1575</v>
      </c>
      <c r="C29" s="968">
        <v>934</v>
      </c>
      <c r="D29" s="968">
        <v>868</v>
      </c>
      <c r="E29" s="1199">
        <v>3377</v>
      </c>
      <c r="F29" s="968">
        <v>1827</v>
      </c>
      <c r="G29" s="968">
        <v>1622</v>
      </c>
      <c r="H29" s="968">
        <v>7516</v>
      </c>
      <c r="I29" s="1199">
        <v>10965</v>
      </c>
      <c r="J29" s="1200">
        <v>14342</v>
      </c>
      <c r="K29" s="1201">
        <v>2581.56</v>
      </c>
      <c r="L29" s="957">
        <v>18</v>
      </c>
      <c r="M29" s="963" t="s">
        <v>1223</v>
      </c>
      <c r="N29" s="1198">
        <v>286.83999999999997</v>
      </c>
      <c r="O29" s="957">
        <v>2</v>
      </c>
      <c r="P29" s="963" t="s">
        <v>1806</v>
      </c>
      <c r="Q29" s="1198">
        <v>11473.6</v>
      </c>
      <c r="R29" s="957">
        <v>80</v>
      </c>
      <c r="S29" s="432" t="s">
        <v>350</v>
      </c>
    </row>
    <row r="30" spans="1:19" x14ac:dyDescent="0.2">
      <c r="A30" s="1873" t="s">
        <v>373</v>
      </c>
      <c r="B30" s="968">
        <v>2211</v>
      </c>
      <c r="C30" s="968">
        <v>979</v>
      </c>
      <c r="D30" s="968">
        <v>1130</v>
      </c>
      <c r="E30" s="1199">
        <v>4320</v>
      </c>
      <c r="F30" s="968">
        <v>2251</v>
      </c>
      <c r="G30" s="968">
        <v>1673</v>
      </c>
      <c r="H30" s="968">
        <v>9292</v>
      </c>
      <c r="I30" s="1199">
        <v>13216</v>
      </c>
      <c r="J30" s="1200">
        <v>17536</v>
      </c>
      <c r="K30" s="1201">
        <v>175.36</v>
      </c>
      <c r="L30" s="957">
        <v>1</v>
      </c>
      <c r="M30" s="963" t="s">
        <v>1739</v>
      </c>
      <c r="N30" s="1198">
        <v>1753.6</v>
      </c>
      <c r="O30" s="957">
        <v>10</v>
      </c>
      <c r="P30" s="963" t="s">
        <v>1803</v>
      </c>
      <c r="Q30" s="1198">
        <v>15607.04</v>
      </c>
      <c r="R30" s="957">
        <v>89</v>
      </c>
      <c r="S30" s="432" t="s">
        <v>1752</v>
      </c>
    </row>
    <row r="31" spans="1:19" x14ac:dyDescent="0.2">
      <c r="A31" s="433" t="s">
        <v>374</v>
      </c>
      <c r="B31" s="435">
        <v>8950</v>
      </c>
      <c r="C31" s="435">
        <v>7635</v>
      </c>
      <c r="D31" s="435">
        <v>7095</v>
      </c>
      <c r="E31" s="436">
        <v>23680</v>
      </c>
      <c r="F31" s="1209">
        <v>9989</v>
      </c>
      <c r="G31" s="435">
        <v>11441</v>
      </c>
      <c r="H31" s="435">
        <v>40245</v>
      </c>
      <c r="I31" s="436">
        <v>61675</v>
      </c>
      <c r="J31" s="1208">
        <v>85355</v>
      </c>
      <c r="K31" s="1209">
        <v>10773.94</v>
      </c>
      <c r="L31" s="1150">
        <v>2.3281565020842021</v>
      </c>
      <c r="M31" s="1000"/>
      <c r="N31" s="434">
        <v>10582.75</v>
      </c>
      <c r="O31" s="1150">
        <v>2.2868419744709541</v>
      </c>
      <c r="P31" s="1000"/>
      <c r="Q31" s="434">
        <v>63998.31</v>
      </c>
      <c r="R31" s="1002">
        <v>13.829488705979466</v>
      </c>
      <c r="S31" s="1997"/>
    </row>
    <row r="32" spans="1:19" x14ac:dyDescent="0.2">
      <c r="A32" s="423" t="s">
        <v>375</v>
      </c>
      <c r="B32" s="968">
        <v>1192</v>
      </c>
      <c r="C32" s="968">
        <v>1163</v>
      </c>
      <c r="D32" s="968">
        <v>1242</v>
      </c>
      <c r="E32" s="1199">
        <v>3597</v>
      </c>
      <c r="F32" s="968">
        <v>1418</v>
      </c>
      <c r="G32" s="968">
        <v>1561</v>
      </c>
      <c r="H32" s="968">
        <v>5294</v>
      </c>
      <c r="I32" s="1199">
        <v>8273</v>
      </c>
      <c r="J32" s="1200">
        <v>11870</v>
      </c>
      <c r="K32" s="1201">
        <v>1187</v>
      </c>
      <c r="L32" s="957">
        <v>10</v>
      </c>
      <c r="M32" s="963" t="s">
        <v>351</v>
      </c>
      <c r="N32" s="1198">
        <v>2136.6</v>
      </c>
      <c r="O32" s="957">
        <v>18</v>
      </c>
      <c r="P32" s="963" t="s">
        <v>1803</v>
      </c>
      <c r="Q32" s="1198">
        <v>8546.4</v>
      </c>
      <c r="R32" s="957">
        <v>72</v>
      </c>
      <c r="S32" s="432" t="s">
        <v>1741</v>
      </c>
    </row>
    <row r="33" spans="1:19" x14ac:dyDescent="0.2">
      <c r="A33" s="1873" t="s">
        <v>376</v>
      </c>
      <c r="B33" s="968">
        <v>935</v>
      </c>
      <c r="C33" s="968">
        <v>706</v>
      </c>
      <c r="D33" s="968">
        <v>540</v>
      </c>
      <c r="E33" s="1199">
        <v>2181</v>
      </c>
      <c r="F33" s="968">
        <v>1017</v>
      </c>
      <c r="G33" s="968">
        <v>920</v>
      </c>
      <c r="H33" s="968">
        <v>4273</v>
      </c>
      <c r="I33" s="1199">
        <v>6210</v>
      </c>
      <c r="J33" s="1200">
        <v>8391</v>
      </c>
      <c r="K33" s="1201">
        <v>1678.2</v>
      </c>
      <c r="L33" s="957">
        <v>20</v>
      </c>
      <c r="M33" s="963" t="s">
        <v>1223</v>
      </c>
      <c r="N33" s="1198">
        <v>1678.2</v>
      </c>
      <c r="O33" s="957">
        <v>20</v>
      </c>
      <c r="P33" s="963" t="s">
        <v>1098</v>
      </c>
      <c r="Q33" s="1198">
        <v>5034.6000000000004</v>
      </c>
      <c r="R33" s="957">
        <v>60</v>
      </c>
      <c r="S33" s="432" t="s">
        <v>350</v>
      </c>
    </row>
    <row r="34" spans="1:19" x14ac:dyDescent="0.2">
      <c r="A34" s="423" t="s">
        <v>377</v>
      </c>
      <c r="B34" s="968">
        <v>1356</v>
      </c>
      <c r="C34" s="968">
        <v>915</v>
      </c>
      <c r="D34" s="968">
        <v>1045</v>
      </c>
      <c r="E34" s="1199">
        <v>3316</v>
      </c>
      <c r="F34" s="968">
        <v>1335</v>
      </c>
      <c r="G34" s="968">
        <v>1618</v>
      </c>
      <c r="H34" s="968">
        <v>5348</v>
      </c>
      <c r="I34" s="1199">
        <v>8301</v>
      </c>
      <c r="J34" s="1200">
        <v>11617</v>
      </c>
      <c r="K34" s="1201">
        <v>0</v>
      </c>
      <c r="L34" s="957">
        <v>0</v>
      </c>
      <c r="M34" s="963" t="s">
        <v>1580</v>
      </c>
      <c r="N34" s="1198">
        <v>232.34</v>
      </c>
      <c r="O34" s="957">
        <v>2</v>
      </c>
      <c r="P34" s="963" t="s">
        <v>1803</v>
      </c>
      <c r="Q34" s="1198">
        <v>11384.66</v>
      </c>
      <c r="R34" s="957">
        <v>98</v>
      </c>
      <c r="S34" s="432" t="s">
        <v>1750</v>
      </c>
    </row>
    <row r="35" spans="1:19" x14ac:dyDescent="0.2">
      <c r="A35" s="423" t="s">
        <v>378</v>
      </c>
      <c r="B35" s="968">
        <v>1674</v>
      </c>
      <c r="C35" s="968">
        <v>1208</v>
      </c>
      <c r="D35" s="968">
        <v>1040</v>
      </c>
      <c r="E35" s="1199">
        <v>3922</v>
      </c>
      <c r="F35" s="968">
        <v>1897</v>
      </c>
      <c r="G35" s="968">
        <v>1959</v>
      </c>
      <c r="H35" s="968">
        <v>6898</v>
      </c>
      <c r="I35" s="1199">
        <v>10754</v>
      </c>
      <c r="J35" s="1200">
        <v>14676</v>
      </c>
      <c r="K35" s="1201">
        <v>1320.84</v>
      </c>
      <c r="L35" s="957">
        <v>9</v>
      </c>
      <c r="M35" s="963" t="s">
        <v>1223</v>
      </c>
      <c r="N35" s="1198">
        <v>1614.36</v>
      </c>
      <c r="O35" s="957">
        <v>11</v>
      </c>
      <c r="P35" s="963" t="s">
        <v>1098</v>
      </c>
      <c r="Q35" s="1198">
        <v>11740.8</v>
      </c>
      <c r="R35" s="957">
        <v>80</v>
      </c>
      <c r="S35" s="432" t="s">
        <v>1795</v>
      </c>
    </row>
    <row r="36" spans="1:19" x14ac:dyDescent="0.2">
      <c r="A36" s="423" t="s">
        <v>379</v>
      </c>
      <c r="B36" s="968">
        <v>403</v>
      </c>
      <c r="C36" s="968">
        <v>618</v>
      </c>
      <c r="D36" s="968">
        <v>448</v>
      </c>
      <c r="E36" s="1199">
        <v>1469</v>
      </c>
      <c r="F36" s="968">
        <v>456</v>
      </c>
      <c r="G36" s="968">
        <v>715</v>
      </c>
      <c r="H36" s="968">
        <v>2366</v>
      </c>
      <c r="I36" s="1199">
        <v>3537</v>
      </c>
      <c r="J36" s="1200">
        <v>5006</v>
      </c>
      <c r="K36" s="1201">
        <v>1251.5</v>
      </c>
      <c r="L36" s="957">
        <v>25</v>
      </c>
      <c r="M36" s="963" t="s">
        <v>1799</v>
      </c>
      <c r="N36" s="1198">
        <v>750.9</v>
      </c>
      <c r="O36" s="957">
        <v>15</v>
      </c>
      <c r="P36" s="963" t="s">
        <v>1807</v>
      </c>
      <c r="Q36" s="1198">
        <v>3003.6</v>
      </c>
      <c r="R36" s="957">
        <v>60</v>
      </c>
      <c r="S36" s="432" t="s">
        <v>1795</v>
      </c>
    </row>
    <row r="37" spans="1:19" x14ac:dyDescent="0.2">
      <c r="A37" s="423" t="s">
        <v>380</v>
      </c>
      <c r="B37" s="968">
        <v>923</v>
      </c>
      <c r="C37" s="968">
        <v>394</v>
      </c>
      <c r="D37" s="968">
        <v>545</v>
      </c>
      <c r="E37" s="1199">
        <v>1862</v>
      </c>
      <c r="F37" s="968">
        <v>1079</v>
      </c>
      <c r="G37" s="968">
        <v>808</v>
      </c>
      <c r="H37" s="968">
        <v>3816</v>
      </c>
      <c r="I37" s="1199">
        <v>5703</v>
      </c>
      <c r="J37" s="1200">
        <v>7565</v>
      </c>
      <c r="K37" s="1201">
        <v>378.25</v>
      </c>
      <c r="L37" s="957">
        <v>5</v>
      </c>
      <c r="M37" s="963" t="s">
        <v>1744</v>
      </c>
      <c r="N37" s="1198">
        <v>756.5</v>
      </c>
      <c r="O37" s="957">
        <v>10</v>
      </c>
      <c r="P37" s="963" t="s">
        <v>1749</v>
      </c>
      <c r="Q37" s="1198">
        <v>6430.25</v>
      </c>
      <c r="R37" s="957">
        <v>85</v>
      </c>
      <c r="S37" s="432" t="s">
        <v>1599</v>
      </c>
    </row>
    <row r="38" spans="1:19" x14ac:dyDescent="0.2">
      <c r="A38" s="423" t="s">
        <v>381</v>
      </c>
      <c r="B38" s="968">
        <v>691</v>
      </c>
      <c r="C38" s="968">
        <v>895</v>
      </c>
      <c r="D38" s="968">
        <v>1036</v>
      </c>
      <c r="E38" s="1199">
        <v>2622</v>
      </c>
      <c r="F38" s="968">
        <v>870</v>
      </c>
      <c r="G38" s="968">
        <v>1401</v>
      </c>
      <c r="H38" s="968">
        <v>3982</v>
      </c>
      <c r="I38" s="1199">
        <v>6253</v>
      </c>
      <c r="J38" s="1200">
        <v>8875</v>
      </c>
      <c r="K38" s="1201">
        <v>4437.5</v>
      </c>
      <c r="L38" s="957">
        <v>50</v>
      </c>
      <c r="M38" s="963" t="s">
        <v>1745</v>
      </c>
      <c r="N38" s="1198">
        <v>1331.25</v>
      </c>
      <c r="O38" s="957">
        <v>15</v>
      </c>
      <c r="P38" s="963" t="s">
        <v>1748</v>
      </c>
      <c r="Q38" s="1198">
        <v>3106.25</v>
      </c>
      <c r="R38" s="957">
        <v>35</v>
      </c>
      <c r="S38" s="432" t="s">
        <v>1795</v>
      </c>
    </row>
    <row r="39" spans="1:19" x14ac:dyDescent="0.2">
      <c r="A39" s="423" t="s">
        <v>382</v>
      </c>
      <c r="B39" s="968">
        <v>1776</v>
      </c>
      <c r="C39" s="968">
        <v>1736</v>
      </c>
      <c r="D39" s="968">
        <v>1199</v>
      </c>
      <c r="E39" s="1199">
        <v>4711</v>
      </c>
      <c r="F39" s="968">
        <v>1917</v>
      </c>
      <c r="G39" s="968">
        <v>2459</v>
      </c>
      <c r="H39" s="968">
        <v>8268</v>
      </c>
      <c r="I39" s="1199">
        <v>12644</v>
      </c>
      <c r="J39" s="1200">
        <v>17355</v>
      </c>
      <c r="K39" s="1201">
        <v>520.65</v>
      </c>
      <c r="L39" s="957">
        <v>3</v>
      </c>
      <c r="M39" s="963" t="s">
        <v>1223</v>
      </c>
      <c r="N39" s="1198">
        <v>2082.6</v>
      </c>
      <c r="O39" s="957">
        <v>12</v>
      </c>
      <c r="P39" s="963" t="s">
        <v>1225</v>
      </c>
      <c r="Q39" s="1198">
        <v>14751.75</v>
      </c>
      <c r="R39" s="957">
        <v>85</v>
      </c>
      <c r="S39" s="432" t="s">
        <v>1223</v>
      </c>
    </row>
    <row r="40" spans="1:19" x14ac:dyDescent="0.2">
      <c r="A40" s="433" t="s">
        <v>383</v>
      </c>
      <c r="B40" s="435">
        <v>5624</v>
      </c>
      <c r="C40" s="435">
        <v>9985</v>
      </c>
      <c r="D40" s="435">
        <v>13951</v>
      </c>
      <c r="E40" s="436">
        <v>29560</v>
      </c>
      <c r="F40" s="1209">
        <v>5631</v>
      </c>
      <c r="G40" s="435">
        <v>6793</v>
      </c>
      <c r="H40" s="435">
        <v>22726</v>
      </c>
      <c r="I40" s="436">
        <v>35150</v>
      </c>
      <c r="J40" s="1208">
        <v>64710</v>
      </c>
      <c r="K40" s="1209">
        <v>24451.359999999997</v>
      </c>
      <c r="L40" s="1150">
        <v>5.2837302573433274</v>
      </c>
      <c r="M40" s="1000"/>
      <c r="N40" s="434">
        <v>6761.8294000000005</v>
      </c>
      <c r="O40" s="1150">
        <v>1.4611736359766363</v>
      </c>
      <c r="P40" s="1000"/>
      <c r="Q40" s="434">
        <v>33496.810599999997</v>
      </c>
      <c r="R40" s="1150">
        <v>7.2383749489483904</v>
      </c>
      <c r="S40" s="1997"/>
    </row>
    <row r="41" spans="1:19" x14ac:dyDescent="0.2">
      <c r="A41" s="423" t="s">
        <v>384</v>
      </c>
      <c r="B41" s="968">
        <v>2034</v>
      </c>
      <c r="C41" s="968">
        <v>3842</v>
      </c>
      <c r="D41" s="968">
        <v>6212</v>
      </c>
      <c r="E41" s="1199">
        <v>12088</v>
      </c>
      <c r="F41" s="968">
        <v>1896</v>
      </c>
      <c r="G41" s="968">
        <v>2331</v>
      </c>
      <c r="H41" s="968">
        <v>8075</v>
      </c>
      <c r="I41" s="1199">
        <v>12302</v>
      </c>
      <c r="J41" s="1200">
        <v>24390</v>
      </c>
      <c r="K41" s="1201">
        <v>13170.6</v>
      </c>
      <c r="L41" s="957">
        <v>54</v>
      </c>
      <c r="M41" s="963" t="s">
        <v>1223</v>
      </c>
      <c r="N41" s="1198">
        <v>2682.9</v>
      </c>
      <c r="O41" s="957">
        <v>11</v>
      </c>
      <c r="P41" s="963" t="s">
        <v>1225</v>
      </c>
      <c r="Q41" s="1198">
        <v>8536.5</v>
      </c>
      <c r="R41" s="957">
        <v>35</v>
      </c>
      <c r="S41" s="432" t="s">
        <v>1223</v>
      </c>
    </row>
    <row r="42" spans="1:19" x14ac:dyDescent="0.2">
      <c r="A42" s="423" t="s">
        <v>385</v>
      </c>
      <c r="B42" s="968">
        <v>261</v>
      </c>
      <c r="C42" s="968">
        <v>471</v>
      </c>
      <c r="D42" s="968">
        <v>426</v>
      </c>
      <c r="E42" s="1199">
        <v>1158</v>
      </c>
      <c r="F42" s="968">
        <v>275</v>
      </c>
      <c r="G42" s="968">
        <v>375</v>
      </c>
      <c r="H42" s="968">
        <v>1176</v>
      </c>
      <c r="I42" s="1199">
        <v>1826</v>
      </c>
      <c r="J42" s="1200">
        <v>2984</v>
      </c>
      <c r="K42" s="1201">
        <v>1044.4000000000001</v>
      </c>
      <c r="L42" s="957">
        <v>35</v>
      </c>
      <c r="M42" s="963" t="s">
        <v>351</v>
      </c>
      <c r="N42" s="1198">
        <v>746</v>
      </c>
      <c r="O42" s="957">
        <v>25</v>
      </c>
      <c r="P42" s="963" t="s">
        <v>1808</v>
      </c>
      <c r="Q42" s="1198">
        <v>1193.5999999999999</v>
      </c>
      <c r="R42" s="957">
        <v>40</v>
      </c>
      <c r="S42" s="432" t="s">
        <v>1272</v>
      </c>
    </row>
    <row r="43" spans="1:19" x14ac:dyDescent="0.2">
      <c r="A43" s="423" t="s">
        <v>386</v>
      </c>
      <c r="B43" s="968">
        <v>615</v>
      </c>
      <c r="C43" s="968">
        <v>812</v>
      </c>
      <c r="D43" s="968">
        <v>689</v>
      </c>
      <c r="E43" s="1199">
        <v>2116</v>
      </c>
      <c r="F43" s="968">
        <v>682</v>
      </c>
      <c r="G43" s="968">
        <v>679</v>
      </c>
      <c r="H43" s="968">
        <v>2415</v>
      </c>
      <c r="I43" s="1199">
        <v>3776</v>
      </c>
      <c r="J43" s="1200">
        <v>5892</v>
      </c>
      <c r="K43" s="1201">
        <v>1178.4000000000001</v>
      </c>
      <c r="L43" s="957">
        <v>20</v>
      </c>
      <c r="M43" s="963" t="s">
        <v>1223</v>
      </c>
      <c r="N43" s="1198">
        <v>589.20000000000005</v>
      </c>
      <c r="O43" s="957">
        <v>10</v>
      </c>
      <c r="P43" s="963" t="s">
        <v>1747</v>
      </c>
      <c r="Q43" s="1198">
        <v>4124.3999999999996</v>
      </c>
      <c r="R43" s="957">
        <v>70</v>
      </c>
      <c r="S43" s="432" t="s">
        <v>1795</v>
      </c>
    </row>
    <row r="44" spans="1:19" x14ac:dyDescent="0.2">
      <c r="A44" s="423" t="s">
        <v>387</v>
      </c>
      <c r="B44" s="968">
        <v>553</v>
      </c>
      <c r="C44" s="968">
        <v>928</v>
      </c>
      <c r="D44" s="968">
        <v>1211</v>
      </c>
      <c r="E44" s="1199">
        <v>2692</v>
      </c>
      <c r="F44" s="968">
        <v>507</v>
      </c>
      <c r="G44" s="968">
        <v>605</v>
      </c>
      <c r="H44" s="968">
        <v>2480</v>
      </c>
      <c r="I44" s="1199">
        <v>3592</v>
      </c>
      <c r="J44" s="1200">
        <v>6284</v>
      </c>
      <c r="K44" s="1201">
        <v>1822.36</v>
      </c>
      <c r="L44" s="957">
        <v>29</v>
      </c>
      <c r="M44" s="963" t="s">
        <v>1800</v>
      </c>
      <c r="N44" s="1198">
        <v>0</v>
      </c>
      <c r="O44" s="957">
        <v>0</v>
      </c>
      <c r="P44" s="963"/>
      <c r="Q44" s="1198">
        <v>4461.6400000000003</v>
      </c>
      <c r="R44" s="957">
        <v>71</v>
      </c>
      <c r="S44" s="432" t="s">
        <v>1800</v>
      </c>
    </row>
    <row r="45" spans="1:19" x14ac:dyDescent="0.2">
      <c r="A45" s="423" t="s">
        <v>388</v>
      </c>
      <c r="B45" s="968">
        <v>136</v>
      </c>
      <c r="C45" s="968">
        <v>330</v>
      </c>
      <c r="D45" s="968">
        <v>1228</v>
      </c>
      <c r="E45" s="1199">
        <v>1694</v>
      </c>
      <c r="F45" s="968">
        <v>140</v>
      </c>
      <c r="G45" s="968">
        <v>256</v>
      </c>
      <c r="H45" s="968">
        <v>813</v>
      </c>
      <c r="I45" s="1199">
        <v>1209</v>
      </c>
      <c r="J45" s="1200">
        <v>2903</v>
      </c>
      <c r="K45" s="1201">
        <v>870.9</v>
      </c>
      <c r="L45" s="957">
        <v>30</v>
      </c>
      <c r="M45" s="963" t="s">
        <v>351</v>
      </c>
      <c r="N45" s="1198">
        <v>290.3</v>
      </c>
      <c r="O45" s="957">
        <v>10</v>
      </c>
      <c r="P45" s="963" t="s">
        <v>1809</v>
      </c>
      <c r="Q45" s="1198">
        <v>1741.8</v>
      </c>
      <c r="R45" s="957">
        <v>60</v>
      </c>
      <c r="S45" s="432" t="s">
        <v>1223</v>
      </c>
    </row>
    <row r="46" spans="1:19" x14ac:dyDescent="0.2">
      <c r="A46" s="423" t="s">
        <v>389</v>
      </c>
      <c r="B46" s="968">
        <v>122</v>
      </c>
      <c r="C46" s="968">
        <v>167</v>
      </c>
      <c r="D46" s="968">
        <v>248</v>
      </c>
      <c r="E46" s="1199">
        <v>537</v>
      </c>
      <c r="F46" s="968">
        <v>143</v>
      </c>
      <c r="G46" s="968">
        <v>196</v>
      </c>
      <c r="H46" s="968">
        <v>544</v>
      </c>
      <c r="I46" s="1199">
        <v>883</v>
      </c>
      <c r="J46" s="1200">
        <v>1420</v>
      </c>
      <c r="K46" s="1201">
        <v>113.6</v>
      </c>
      <c r="L46" s="957">
        <v>8</v>
      </c>
      <c r="M46" s="963" t="s">
        <v>1746</v>
      </c>
      <c r="N46" s="1198">
        <v>99.4</v>
      </c>
      <c r="O46" s="957">
        <v>7</v>
      </c>
      <c r="P46" s="963" t="s">
        <v>1810</v>
      </c>
      <c r="Q46" s="1198">
        <v>1207</v>
      </c>
      <c r="R46" s="957">
        <v>85</v>
      </c>
      <c r="S46" s="432" t="s">
        <v>1795</v>
      </c>
    </row>
    <row r="47" spans="1:19" x14ac:dyDescent="0.2">
      <c r="A47" s="423" t="s">
        <v>390</v>
      </c>
      <c r="B47" s="968">
        <v>441</v>
      </c>
      <c r="C47" s="968">
        <v>813</v>
      </c>
      <c r="D47" s="968">
        <v>1317</v>
      </c>
      <c r="E47" s="1199">
        <v>2571</v>
      </c>
      <c r="F47" s="968">
        <v>398</v>
      </c>
      <c r="G47" s="968">
        <v>496</v>
      </c>
      <c r="H47" s="968">
        <v>1662</v>
      </c>
      <c r="I47" s="1199">
        <v>2556</v>
      </c>
      <c r="J47" s="1200">
        <v>5127</v>
      </c>
      <c r="K47" s="1201">
        <v>1538.1</v>
      </c>
      <c r="L47" s="957">
        <v>30</v>
      </c>
      <c r="M47" s="963" t="s">
        <v>1223</v>
      </c>
      <c r="N47" s="1198">
        <v>11.279400000000001</v>
      </c>
      <c r="O47" s="957">
        <v>0.22</v>
      </c>
      <c r="P47" s="963" t="s">
        <v>1738</v>
      </c>
      <c r="Q47" s="1198">
        <v>3577.6206000000002</v>
      </c>
      <c r="R47" s="957">
        <v>69.78</v>
      </c>
      <c r="S47" s="432" t="s">
        <v>1272</v>
      </c>
    </row>
    <row r="48" spans="1:19" x14ac:dyDescent="0.2">
      <c r="A48" s="423" t="s">
        <v>941</v>
      </c>
      <c r="B48" s="968">
        <v>621</v>
      </c>
      <c r="C48" s="968">
        <v>1011</v>
      </c>
      <c r="D48" s="968">
        <v>965</v>
      </c>
      <c r="E48" s="1199">
        <v>2597</v>
      </c>
      <c r="F48" s="968">
        <v>640</v>
      </c>
      <c r="G48" s="968">
        <v>898</v>
      </c>
      <c r="H48" s="968">
        <v>2094</v>
      </c>
      <c r="I48" s="1199">
        <v>3632</v>
      </c>
      <c r="J48" s="1200">
        <v>6229</v>
      </c>
      <c r="K48" s="1201">
        <v>1868.7</v>
      </c>
      <c r="L48" s="957">
        <v>30</v>
      </c>
      <c r="M48" s="963" t="s">
        <v>1801</v>
      </c>
      <c r="N48" s="1198">
        <v>1868.7</v>
      </c>
      <c r="O48" s="957">
        <v>30</v>
      </c>
      <c r="P48" s="963" t="s">
        <v>1751</v>
      </c>
      <c r="Q48" s="1198">
        <v>2491.6</v>
      </c>
      <c r="R48" s="957">
        <v>40</v>
      </c>
      <c r="S48" s="432" t="s">
        <v>1795</v>
      </c>
    </row>
    <row r="49" spans="1:19" x14ac:dyDescent="0.2">
      <c r="A49" s="423" t="s">
        <v>392</v>
      </c>
      <c r="B49" s="968">
        <v>841</v>
      </c>
      <c r="C49" s="968">
        <v>1611</v>
      </c>
      <c r="D49" s="968">
        <v>1655</v>
      </c>
      <c r="E49" s="1199">
        <v>4107</v>
      </c>
      <c r="F49" s="968">
        <v>950</v>
      </c>
      <c r="G49" s="968">
        <v>957</v>
      </c>
      <c r="H49" s="968">
        <v>3467</v>
      </c>
      <c r="I49" s="1199">
        <v>5374</v>
      </c>
      <c r="J49" s="1200">
        <v>9481</v>
      </c>
      <c r="K49" s="1201">
        <v>2844.3</v>
      </c>
      <c r="L49" s="957">
        <v>30</v>
      </c>
      <c r="M49" s="963" t="s">
        <v>350</v>
      </c>
      <c r="N49" s="1198">
        <v>474.05</v>
      </c>
      <c r="O49" s="957">
        <v>5</v>
      </c>
      <c r="P49" s="963" t="s">
        <v>1808</v>
      </c>
      <c r="Q49" s="1198">
        <v>6162.65</v>
      </c>
      <c r="R49" s="957">
        <v>65</v>
      </c>
      <c r="S49" s="432" t="s">
        <v>350</v>
      </c>
    </row>
    <row r="50" spans="1:19" x14ac:dyDescent="0.2">
      <c r="A50" s="332"/>
      <c r="B50" s="968"/>
      <c r="C50" s="333"/>
      <c r="D50" s="333"/>
      <c r="E50" s="335"/>
      <c r="F50" s="1198"/>
      <c r="G50" s="333"/>
      <c r="H50" s="333"/>
      <c r="I50" s="335"/>
      <c r="J50" s="336"/>
      <c r="K50" s="236"/>
      <c r="L50" s="234"/>
      <c r="M50" s="337"/>
      <c r="N50" s="334"/>
      <c r="O50" s="234"/>
      <c r="P50" s="338"/>
      <c r="Q50" s="334"/>
      <c r="R50" s="234"/>
      <c r="S50" s="1998"/>
    </row>
    <row r="51" spans="1:19" ht="13.5" thickBot="1" x14ac:dyDescent="0.25">
      <c r="A51" s="339" t="s">
        <v>393</v>
      </c>
      <c r="B51" s="340">
        <v>50289</v>
      </c>
      <c r="C51" s="340">
        <v>42564</v>
      </c>
      <c r="D51" s="340">
        <v>43492</v>
      </c>
      <c r="E51" s="341">
        <v>136345</v>
      </c>
      <c r="F51" s="342">
        <v>53723</v>
      </c>
      <c r="G51" s="340">
        <v>57705</v>
      </c>
      <c r="H51" s="340">
        <v>214994</v>
      </c>
      <c r="I51" s="343">
        <v>326422</v>
      </c>
      <c r="J51" s="344">
        <v>462767</v>
      </c>
      <c r="K51" s="345">
        <v>83247.590000000011</v>
      </c>
      <c r="L51" s="2224">
        <v>17.989093863650609</v>
      </c>
      <c r="M51" s="346" t="s">
        <v>1223</v>
      </c>
      <c r="N51" s="345">
        <v>62293.469400000009</v>
      </c>
      <c r="O51" s="2225">
        <v>13.461087199389761</v>
      </c>
      <c r="P51" s="347" t="s">
        <v>1803</v>
      </c>
      <c r="Q51" s="345">
        <v>317225.94059999997</v>
      </c>
      <c r="R51" s="2225">
        <v>68.549818936959639</v>
      </c>
      <c r="S51" s="1999" t="s">
        <v>1224</v>
      </c>
    </row>
    <row r="52" spans="1:19" ht="13.5" thickTop="1" x14ac:dyDescent="0.2">
      <c r="A52" s="7" t="s">
        <v>1934</v>
      </c>
    </row>
    <row r="53" spans="1:19" x14ac:dyDescent="0.2">
      <c r="A53" s="9" t="s">
        <v>1813</v>
      </c>
    </row>
    <row r="54" spans="1:19" ht="25.5" customHeight="1" x14ac:dyDescent="0.2">
      <c r="A54" s="3016" t="s">
        <v>1742</v>
      </c>
      <c r="B54" s="3017"/>
      <c r="C54" s="3017"/>
      <c r="D54" s="3017"/>
      <c r="E54" s="3017"/>
      <c r="F54" s="3017"/>
      <c r="G54" s="3017"/>
      <c r="H54" s="3017"/>
      <c r="I54" s="3017"/>
      <c r="J54" s="3017"/>
      <c r="K54" s="3017"/>
      <c r="L54" s="3017"/>
      <c r="M54" s="3017"/>
      <c r="N54" s="3017"/>
      <c r="O54" s="3017"/>
      <c r="P54" s="3017"/>
    </row>
    <row r="55" spans="1:19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</row>
    <row r="56" spans="1:19" x14ac:dyDescent="0.2">
      <c r="E56" s="176"/>
      <c r="F56" s="176"/>
      <c r="J56" s="176"/>
    </row>
    <row r="57" spans="1:19" x14ac:dyDescent="0.2">
      <c r="E57" s="176"/>
      <c r="H57" s="176"/>
      <c r="J57" s="397"/>
    </row>
    <row r="58" spans="1:19" x14ac:dyDescent="0.2">
      <c r="B58" s="176"/>
      <c r="C58" s="348"/>
      <c r="F58" s="176"/>
      <c r="J58" s="176"/>
      <c r="K58" s="9"/>
      <c r="L58" s="9"/>
    </row>
    <row r="59" spans="1:19" x14ac:dyDescent="0.2">
      <c r="F59" s="176"/>
      <c r="K59" s="2227"/>
    </row>
    <row r="60" spans="1:19" x14ac:dyDescent="0.2">
      <c r="B60" s="9"/>
      <c r="C60" s="9"/>
      <c r="D60" s="9"/>
      <c r="F60" s="176"/>
      <c r="J60" s="2016"/>
      <c r="K60" s="2227"/>
    </row>
    <row r="61" spans="1:19" x14ac:dyDescent="0.2">
      <c r="E61" s="2164"/>
      <c r="F61" s="348"/>
      <c r="J61" s="2016"/>
      <c r="K61" s="2227"/>
    </row>
    <row r="62" spans="1:19" x14ac:dyDescent="0.2">
      <c r="E62" s="2164"/>
      <c r="F62" s="348"/>
      <c r="J62" s="2016"/>
      <c r="K62" s="2227"/>
    </row>
    <row r="63" spans="1:19" x14ac:dyDescent="0.2">
      <c r="F63" s="348"/>
      <c r="J63" s="2016"/>
      <c r="K63" s="2227"/>
    </row>
    <row r="64" spans="1:19" x14ac:dyDescent="0.2">
      <c r="E64" s="3020"/>
      <c r="F64" s="348"/>
      <c r="J64" s="2016"/>
      <c r="K64" s="2227"/>
    </row>
    <row r="65" spans="5:11" x14ac:dyDescent="0.2">
      <c r="E65" s="3020"/>
      <c r="F65" s="348"/>
      <c r="K65" s="2227"/>
    </row>
    <row r="66" spans="5:11" x14ac:dyDescent="0.2">
      <c r="E66" s="3020"/>
      <c r="F66" s="348"/>
      <c r="K66" s="2227"/>
    </row>
    <row r="67" spans="5:11" x14ac:dyDescent="0.2">
      <c r="E67" s="3020"/>
      <c r="F67" s="348"/>
      <c r="J67" s="2016"/>
      <c r="K67" s="2227"/>
    </row>
    <row r="68" spans="5:11" x14ac:dyDescent="0.2">
      <c r="E68" s="3020"/>
      <c r="F68" s="348"/>
      <c r="K68" s="2016"/>
    </row>
    <row r="69" spans="5:11" x14ac:dyDescent="0.2">
      <c r="F69" s="348"/>
      <c r="J69" s="2016"/>
      <c r="K69" s="2016"/>
    </row>
    <row r="70" spans="5:11" x14ac:dyDescent="0.2">
      <c r="F70" s="348"/>
      <c r="K70" s="2227"/>
    </row>
    <row r="71" spans="5:11" x14ac:dyDescent="0.2">
      <c r="E71" s="3020"/>
      <c r="F71" s="348"/>
      <c r="K71" s="2016"/>
    </row>
    <row r="72" spans="5:11" x14ac:dyDescent="0.2">
      <c r="E72" s="3020"/>
      <c r="F72" s="348"/>
      <c r="J72" s="2016"/>
      <c r="K72" s="2016"/>
    </row>
    <row r="73" spans="5:11" x14ac:dyDescent="0.2">
      <c r="E73" s="3020"/>
      <c r="F73" s="348"/>
      <c r="K73" s="2227"/>
    </row>
    <row r="74" spans="5:11" x14ac:dyDescent="0.2">
      <c r="E74" s="3020"/>
      <c r="F74" s="348"/>
      <c r="K74" s="2227"/>
    </row>
    <row r="75" spans="5:11" x14ac:dyDescent="0.2">
      <c r="E75" s="3020"/>
      <c r="F75" s="348"/>
      <c r="K75" s="2227"/>
    </row>
    <row r="76" spans="5:11" x14ac:dyDescent="0.2">
      <c r="E76" s="3020"/>
      <c r="F76" s="348"/>
      <c r="K76" s="2016"/>
    </row>
    <row r="77" spans="5:11" x14ac:dyDescent="0.2">
      <c r="E77" s="3020"/>
      <c r="F77" s="348"/>
      <c r="J77" s="2016"/>
      <c r="K77" s="2227"/>
    </row>
    <row r="78" spans="5:11" x14ac:dyDescent="0.2">
      <c r="E78" s="3020"/>
      <c r="F78" s="348"/>
      <c r="K78" s="2227"/>
    </row>
    <row r="79" spans="5:11" x14ac:dyDescent="0.2">
      <c r="E79" s="3020"/>
      <c r="F79" s="348"/>
      <c r="K79" s="2227"/>
    </row>
    <row r="80" spans="5:11" x14ac:dyDescent="0.2">
      <c r="E80" s="3020"/>
      <c r="F80" s="348"/>
      <c r="K80" s="2227"/>
    </row>
    <row r="81" spans="5:12" x14ac:dyDescent="0.2">
      <c r="E81" s="3020"/>
      <c r="F81" s="348"/>
      <c r="K81" s="2227"/>
    </row>
    <row r="82" spans="5:12" x14ac:dyDescent="0.2">
      <c r="E82" s="3020"/>
      <c r="F82" s="348"/>
      <c r="J82" s="2016"/>
      <c r="K82" s="2016"/>
    </row>
    <row r="83" spans="5:12" x14ac:dyDescent="0.2">
      <c r="E83" s="3020"/>
      <c r="F83" s="348"/>
      <c r="K83" s="2227"/>
    </row>
    <row r="84" spans="5:12" x14ac:dyDescent="0.2">
      <c r="E84" s="2164"/>
      <c r="F84" s="348"/>
      <c r="K84" s="2227"/>
    </row>
    <row r="85" spans="5:12" x14ac:dyDescent="0.2">
      <c r="F85" s="348"/>
      <c r="K85" s="2227"/>
    </row>
    <row r="86" spans="5:12" x14ac:dyDescent="0.2">
      <c r="E86" s="1"/>
      <c r="F86" s="348"/>
      <c r="K86" s="2016"/>
    </row>
    <row r="87" spans="5:12" ht="15" customHeight="1" x14ac:dyDescent="0.2">
      <c r="E87" s="3020"/>
      <c r="F87" s="348"/>
      <c r="J87" s="2016"/>
      <c r="K87" s="2227"/>
    </row>
    <row r="88" spans="5:12" ht="15" customHeight="1" x14ac:dyDescent="0.2">
      <c r="E88" s="3020"/>
      <c r="F88" s="348"/>
      <c r="K88" s="2227"/>
    </row>
    <row r="89" spans="5:12" ht="15" customHeight="1" x14ac:dyDescent="0.2">
      <c r="E89" s="3020"/>
      <c r="F89" s="348"/>
      <c r="K89" s="2227"/>
    </row>
    <row r="90" spans="5:12" ht="15" customHeight="1" x14ac:dyDescent="0.2">
      <c r="E90" s="3020"/>
      <c r="F90" s="348"/>
      <c r="K90" s="2227"/>
    </row>
    <row r="91" spans="5:12" x14ac:dyDescent="0.2">
      <c r="E91" s="3020"/>
      <c r="F91" s="348"/>
      <c r="K91" s="2227"/>
    </row>
    <row r="92" spans="5:12" x14ac:dyDescent="0.2">
      <c r="E92" s="3020"/>
      <c r="F92" s="348"/>
      <c r="K92" s="2227"/>
    </row>
    <row r="93" spans="5:12" x14ac:dyDescent="0.2">
      <c r="F93" s="348"/>
      <c r="K93" s="2227"/>
    </row>
    <row r="94" spans="5:12" x14ac:dyDescent="0.2">
      <c r="K94" s="2016"/>
    </row>
    <row r="95" spans="5:12" x14ac:dyDescent="0.2">
      <c r="K95" s="495"/>
      <c r="L95" s="9"/>
    </row>
    <row r="96" spans="5:12" x14ac:dyDescent="0.2">
      <c r="K96" s="2016"/>
    </row>
  </sheetData>
  <sortState ref="K59:L95">
    <sortCondition ref="L59:L95"/>
  </sortState>
  <mergeCells count="13">
    <mergeCell ref="A54:P54"/>
    <mergeCell ref="K5:S5"/>
    <mergeCell ref="E64:E68"/>
    <mergeCell ref="E71:E83"/>
    <mergeCell ref="E87:E92"/>
    <mergeCell ref="B5:E5"/>
    <mergeCell ref="F5:I5"/>
    <mergeCell ref="A1:S1"/>
    <mergeCell ref="A2:S2"/>
    <mergeCell ref="A3:S3"/>
    <mergeCell ref="K6:M6"/>
    <mergeCell ref="N6:P6"/>
    <mergeCell ref="Q6:S6"/>
  </mergeCells>
  <phoneticPr fontId="13" type="noConversion"/>
  <pageMargins left="0.39370078740157499" right="0.39370078740157499" top="0.59055118110236204" bottom="0.59055118110236204" header="0" footer="0"/>
  <pageSetup scale="75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workbookViewId="0">
      <selection sqref="A1:F1"/>
    </sheetView>
  </sheetViews>
  <sheetFormatPr baseColWidth="10" defaultColWidth="11.42578125" defaultRowHeight="12.75" x14ac:dyDescent="0.2"/>
  <cols>
    <col min="1" max="1" width="29.5703125" customWidth="1"/>
    <col min="2" max="2" width="19.140625" customWidth="1"/>
    <col min="3" max="5" width="18.42578125" customWidth="1"/>
    <col min="6" max="6" width="20.85546875" customWidth="1"/>
  </cols>
  <sheetData>
    <row r="1" spans="1:6" ht="15.75" x14ac:dyDescent="0.25">
      <c r="A1" s="3010" t="s">
        <v>324</v>
      </c>
      <c r="B1" s="3010"/>
      <c r="C1" s="3010"/>
      <c r="D1" s="3010"/>
      <c r="E1" s="3010"/>
      <c r="F1" s="3010"/>
    </row>
    <row r="2" spans="1:6" x14ac:dyDescent="0.2">
      <c r="A2" s="2794" t="s">
        <v>434</v>
      </c>
      <c r="B2" s="2794"/>
      <c r="C2" s="2794"/>
      <c r="D2" s="2794"/>
      <c r="E2" s="2794"/>
      <c r="F2" s="2794"/>
    </row>
    <row r="3" spans="1:6" ht="13.5" thickBot="1" x14ac:dyDescent="0.25">
      <c r="A3" s="3011" t="s">
        <v>2025</v>
      </c>
      <c r="B3" s="3011"/>
      <c r="C3" s="3011"/>
      <c r="D3" s="3011"/>
      <c r="E3" s="3011"/>
      <c r="F3" s="3011"/>
    </row>
    <row r="4" spans="1:6" ht="13.5" thickTop="1" x14ac:dyDescent="0.2">
      <c r="A4" s="2284"/>
      <c r="B4" s="3024" t="s">
        <v>1875</v>
      </c>
      <c r="C4" s="3024"/>
      <c r="D4" s="3024"/>
      <c r="E4" s="3024"/>
      <c r="F4" s="3025"/>
    </row>
    <row r="5" spans="1:6" ht="12.75" customHeight="1" x14ac:dyDescent="0.2">
      <c r="A5" s="308" t="s">
        <v>327</v>
      </c>
      <c r="B5" s="3026" t="s">
        <v>1870</v>
      </c>
      <c r="C5" s="3026" t="s">
        <v>1871</v>
      </c>
      <c r="D5" s="3026" t="s">
        <v>1872</v>
      </c>
      <c r="E5" s="3026" t="s">
        <v>1873</v>
      </c>
      <c r="F5" s="3028" t="s">
        <v>1874</v>
      </c>
    </row>
    <row r="6" spans="1:6" x14ac:dyDescent="0.2">
      <c r="A6" s="322" t="s">
        <v>1212</v>
      </c>
      <c r="B6" s="3027"/>
      <c r="C6" s="3027"/>
      <c r="D6" s="3027"/>
      <c r="E6" s="3027"/>
      <c r="F6" s="3028"/>
    </row>
    <row r="7" spans="1:6" x14ac:dyDescent="0.2">
      <c r="A7" s="2166" t="s">
        <v>352</v>
      </c>
      <c r="B7" s="1930">
        <v>5986</v>
      </c>
      <c r="C7" s="1930">
        <v>766</v>
      </c>
      <c r="D7" s="1930">
        <v>464</v>
      </c>
      <c r="E7" s="1930">
        <v>20</v>
      </c>
      <c r="F7" s="1930">
        <v>7236</v>
      </c>
    </row>
    <row r="8" spans="1:6" x14ac:dyDescent="0.2">
      <c r="A8" s="2168" t="s">
        <v>353</v>
      </c>
      <c r="B8" s="424">
        <v>607</v>
      </c>
      <c r="C8" s="424">
        <v>89</v>
      </c>
      <c r="D8" s="424">
        <v>51</v>
      </c>
      <c r="E8" s="424">
        <v>1</v>
      </c>
      <c r="F8" s="2285">
        <v>748</v>
      </c>
    </row>
    <row r="9" spans="1:6" x14ac:dyDescent="0.2">
      <c r="A9" s="2168" t="s">
        <v>354</v>
      </c>
      <c r="B9" s="424">
        <v>597</v>
      </c>
      <c r="C9" s="424">
        <v>110</v>
      </c>
      <c r="D9" s="424">
        <v>66</v>
      </c>
      <c r="E9" s="424">
        <v>2</v>
      </c>
      <c r="F9" s="2285">
        <v>775</v>
      </c>
    </row>
    <row r="10" spans="1:6" x14ac:dyDescent="0.2">
      <c r="A10" s="2168" t="s">
        <v>355</v>
      </c>
      <c r="B10" s="424">
        <v>572</v>
      </c>
      <c r="C10" s="424">
        <v>50</v>
      </c>
      <c r="D10" s="424">
        <v>14</v>
      </c>
      <c r="E10" s="424">
        <v>1</v>
      </c>
      <c r="F10" s="2285">
        <v>637</v>
      </c>
    </row>
    <row r="11" spans="1:6" x14ac:dyDescent="0.2">
      <c r="A11" s="2168" t="s">
        <v>356</v>
      </c>
      <c r="B11" s="424">
        <v>499</v>
      </c>
      <c r="C11" s="424">
        <v>66</v>
      </c>
      <c r="D11" s="424">
        <v>45</v>
      </c>
      <c r="E11" s="424">
        <v>3</v>
      </c>
      <c r="F11" s="2285">
        <v>613</v>
      </c>
    </row>
    <row r="12" spans="1:6" x14ac:dyDescent="0.2">
      <c r="A12" s="2168" t="s">
        <v>357</v>
      </c>
      <c r="B12" s="424">
        <v>389</v>
      </c>
      <c r="C12" s="424">
        <v>50</v>
      </c>
      <c r="D12" s="424">
        <v>13</v>
      </c>
      <c r="E12" s="424">
        <v>0</v>
      </c>
      <c r="F12" s="2285">
        <v>452</v>
      </c>
    </row>
    <row r="13" spans="1:6" x14ac:dyDescent="0.2">
      <c r="A13" s="2168" t="s">
        <v>358</v>
      </c>
      <c r="B13" s="424">
        <v>602</v>
      </c>
      <c r="C13" s="424">
        <v>72</v>
      </c>
      <c r="D13" s="424">
        <v>36</v>
      </c>
      <c r="E13" s="424">
        <v>1</v>
      </c>
      <c r="F13" s="2285">
        <v>711</v>
      </c>
    </row>
    <row r="14" spans="1:6" x14ac:dyDescent="0.2">
      <c r="A14" s="2168" t="s">
        <v>359</v>
      </c>
      <c r="B14" s="424">
        <v>117</v>
      </c>
      <c r="C14" s="424">
        <v>17</v>
      </c>
      <c r="D14" s="424">
        <v>14</v>
      </c>
      <c r="E14" s="424">
        <v>1</v>
      </c>
      <c r="F14" s="2285">
        <v>149</v>
      </c>
    </row>
    <row r="15" spans="1:6" x14ac:dyDescent="0.2">
      <c r="A15" s="2168" t="s">
        <v>360</v>
      </c>
      <c r="B15" s="424">
        <v>294</v>
      </c>
      <c r="C15" s="424">
        <v>21</v>
      </c>
      <c r="D15" s="424">
        <v>14</v>
      </c>
      <c r="E15" s="424">
        <v>0</v>
      </c>
      <c r="F15" s="2285">
        <v>329</v>
      </c>
    </row>
    <row r="16" spans="1:6" x14ac:dyDescent="0.2">
      <c r="A16" s="2168" t="s">
        <v>938</v>
      </c>
      <c r="B16" s="424">
        <v>603</v>
      </c>
      <c r="C16" s="424">
        <v>97</v>
      </c>
      <c r="D16" s="424">
        <v>60</v>
      </c>
      <c r="E16" s="424">
        <v>4</v>
      </c>
      <c r="F16" s="2285">
        <v>764</v>
      </c>
    </row>
    <row r="17" spans="1:6" x14ac:dyDescent="0.2">
      <c r="A17" s="2168" t="s">
        <v>362</v>
      </c>
      <c r="B17" s="424">
        <v>370</v>
      </c>
      <c r="C17" s="424">
        <v>47</v>
      </c>
      <c r="D17" s="424">
        <v>31</v>
      </c>
      <c r="E17" s="424">
        <v>0</v>
      </c>
      <c r="F17" s="2285">
        <v>448</v>
      </c>
    </row>
    <row r="18" spans="1:6" x14ac:dyDescent="0.2">
      <c r="A18" s="2170" t="s">
        <v>363</v>
      </c>
      <c r="B18" s="424">
        <v>439</v>
      </c>
      <c r="C18" s="424">
        <v>16</v>
      </c>
      <c r="D18" s="424">
        <v>2</v>
      </c>
      <c r="E18" s="424">
        <v>0</v>
      </c>
      <c r="F18" s="2285">
        <v>457</v>
      </c>
    </row>
    <row r="19" spans="1:6" x14ac:dyDescent="0.2">
      <c r="A19" s="2168" t="s">
        <v>939</v>
      </c>
      <c r="B19" s="424">
        <v>318</v>
      </c>
      <c r="C19" s="424">
        <v>34</v>
      </c>
      <c r="D19" s="424">
        <v>38</v>
      </c>
      <c r="E19" s="424">
        <v>3</v>
      </c>
      <c r="F19" s="2285">
        <v>393</v>
      </c>
    </row>
    <row r="20" spans="1:6" x14ac:dyDescent="0.2">
      <c r="A20" s="2168" t="s">
        <v>365</v>
      </c>
      <c r="B20" s="424">
        <v>168</v>
      </c>
      <c r="C20" s="424">
        <v>18</v>
      </c>
      <c r="D20" s="424">
        <v>16</v>
      </c>
      <c r="E20" s="424">
        <v>0</v>
      </c>
      <c r="F20" s="2285">
        <v>202</v>
      </c>
    </row>
    <row r="21" spans="1:6" x14ac:dyDescent="0.2">
      <c r="A21" s="2168" t="s">
        <v>366</v>
      </c>
      <c r="B21" s="424">
        <v>247</v>
      </c>
      <c r="C21" s="424">
        <v>48</v>
      </c>
      <c r="D21" s="424">
        <v>23</v>
      </c>
      <c r="E21" s="424">
        <v>0</v>
      </c>
      <c r="F21" s="2285">
        <v>318</v>
      </c>
    </row>
    <row r="22" spans="1:6" x14ac:dyDescent="0.2">
      <c r="A22" s="2168" t="s">
        <v>367</v>
      </c>
      <c r="B22" s="424">
        <v>164</v>
      </c>
      <c r="C22" s="424">
        <v>31</v>
      </c>
      <c r="D22" s="424">
        <v>41</v>
      </c>
      <c r="E22" s="424">
        <v>4</v>
      </c>
      <c r="F22" s="2285">
        <v>240</v>
      </c>
    </row>
    <row r="23" spans="1:6" x14ac:dyDescent="0.2">
      <c r="A23" s="2166" t="s">
        <v>368</v>
      </c>
      <c r="B23" s="1930">
        <v>1944</v>
      </c>
      <c r="C23" s="1930">
        <v>177</v>
      </c>
      <c r="D23" s="1930">
        <v>96</v>
      </c>
      <c r="E23" s="1930">
        <v>1</v>
      </c>
      <c r="F23" s="2286">
        <v>2218</v>
      </c>
    </row>
    <row r="24" spans="1:6" x14ac:dyDescent="0.2">
      <c r="A24" s="2168" t="s">
        <v>1226</v>
      </c>
      <c r="B24" s="424">
        <v>785</v>
      </c>
      <c r="C24" s="424">
        <v>60</v>
      </c>
      <c r="D24" s="424">
        <v>24</v>
      </c>
      <c r="E24" s="424">
        <v>0</v>
      </c>
      <c r="F24" s="2285">
        <v>869</v>
      </c>
    </row>
    <row r="25" spans="1:6" x14ac:dyDescent="0.2">
      <c r="A25" s="2168" t="s">
        <v>370</v>
      </c>
      <c r="B25" s="424">
        <v>281</v>
      </c>
      <c r="C25" s="424">
        <v>5</v>
      </c>
      <c r="D25" s="424">
        <v>3</v>
      </c>
      <c r="E25" s="424">
        <v>0</v>
      </c>
      <c r="F25" s="2285">
        <v>289</v>
      </c>
    </row>
    <row r="26" spans="1:6" x14ac:dyDescent="0.2">
      <c r="A26" s="2168" t="s">
        <v>371</v>
      </c>
      <c r="B26" s="424">
        <v>190</v>
      </c>
      <c r="C26" s="424">
        <v>9</v>
      </c>
      <c r="D26" s="424">
        <v>4</v>
      </c>
      <c r="E26" s="424">
        <v>0</v>
      </c>
      <c r="F26" s="2285">
        <v>203</v>
      </c>
    </row>
    <row r="27" spans="1:6" x14ac:dyDescent="0.2">
      <c r="A27" s="2168" t="s">
        <v>372</v>
      </c>
      <c r="B27" s="424">
        <v>314</v>
      </c>
      <c r="C27" s="424">
        <v>38</v>
      </c>
      <c r="D27" s="424">
        <v>34</v>
      </c>
      <c r="E27" s="424">
        <v>1</v>
      </c>
      <c r="F27" s="2285">
        <v>387</v>
      </c>
    </row>
    <row r="28" spans="1:6" x14ac:dyDescent="0.2">
      <c r="A28" s="2170" t="s">
        <v>373</v>
      </c>
      <c r="B28" s="424">
        <v>374</v>
      </c>
      <c r="C28" s="424">
        <v>65</v>
      </c>
      <c r="D28" s="424">
        <v>31</v>
      </c>
      <c r="E28" s="424">
        <v>0</v>
      </c>
      <c r="F28" s="2285">
        <v>470</v>
      </c>
    </row>
    <row r="29" spans="1:6" x14ac:dyDescent="0.2">
      <c r="A29" s="2166" t="s">
        <v>374</v>
      </c>
      <c r="B29" s="1930">
        <v>2222</v>
      </c>
      <c r="C29" s="1930">
        <v>258</v>
      </c>
      <c r="D29" s="1930">
        <v>165</v>
      </c>
      <c r="E29" s="1930">
        <v>2</v>
      </c>
      <c r="F29" s="2286">
        <v>2647</v>
      </c>
    </row>
    <row r="30" spans="1:6" x14ac:dyDescent="0.2">
      <c r="A30" s="2168" t="s">
        <v>375</v>
      </c>
      <c r="B30" s="424">
        <v>512</v>
      </c>
      <c r="C30" s="424">
        <v>31</v>
      </c>
      <c r="D30" s="424">
        <v>15</v>
      </c>
      <c r="E30" s="424">
        <v>0</v>
      </c>
      <c r="F30" s="2285">
        <v>558</v>
      </c>
    </row>
    <row r="31" spans="1:6" x14ac:dyDescent="0.2">
      <c r="A31" s="2170" t="s">
        <v>376</v>
      </c>
      <c r="B31" s="424">
        <v>176</v>
      </c>
      <c r="C31" s="424">
        <v>30</v>
      </c>
      <c r="D31" s="424">
        <v>18</v>
      </c>
      <c r="E31" s="424">
        <v>0</v>
      </c>
      <c r="F31" s="2285">
        <v>224</v>
      </c>
    </row>
    <row r="32" spans="1:6" x14ac:dyDescent="0.2">
      <c r="A32" s="2168" t="s">
        <v>377</v>
      </c>
      <c r="B32" s="424">
        <v>161</v>
      </c>
      <c r="C32" s="424">
        <v>43</v>
      </c>
      <c r="D32" s="424">
        <v>27</v>
      </c>
      <c r="E32" s="424">
        <v>0</v>
      </c>
      <c r="F32" s="2285">
        <v>231</v>
      </c>
    </row>
    <row r="33" spans="1:6" x14ac:dyDescent="0.2">
      <c r="A33" s="2168" t="s">
        <v>378</v>
      </c>
      <c r="B33" s="424">
        <v>393</v>
      </c>
      <c r="C33" s="424">
        <v>39</v>
      </c>
      <c r="D33" s="424">
        <v>34</v>
      </c>
      <c r="E33" s="424">
        <v>0</v>
      </c>
      <c r="F33" s="2285">
        <v>466</v>
      </c>
    </row>
    <row r="34" spans="1:6" x14ac:dyDescent="0.2">
      <c r="A34" s="2168" t="s">
        <v>379</v>
      </c>
      <c r="B34" s="424">
        <v>148</v>
      </c>
      <c r="C34" s="424">
        <v>11</v>
      </c>
      <c r="D34" s="424">
        <v>8</v>
      </c>
      <c r="E34" s="424">
        <v>0</v>
      </c>
      <c r="F34" s="2285">
        <v>167</v>
      </c>
    </row>
    <row r="35" spans="1:6" x14ac:dyDescent="0.2">
      <c r="A35" s="2168" t="s">
        <v>380</v>
      </c>
      <c r="B35" s="424">
        <v>221</v>
      </c>
      <c r="C35" s="424">
        <v>25</v>
      </c>
      <c r="D35" s="424">
        <v>16</v>
      </c>
      <c r="E35" s="424">
        <v>0</v>
      </c>
      <c r="F35" s="2285">
        <v>262</v>
      </c>
    </row>
    <row r="36" spans="1:6" x14ac:dyDescent="0.2">
      <c r="A36" s="2168" t="s">
        <v>381</v>
      </c>
      <c r="B36" s="424">
        <v>232</v>
      </c>
      <c r="C36" s="424">
        <v>27</v>
      </c>
      <c r="D36" s="424">
        <v>16</v>
      </c>
      <c r="E36" s="424">
        <v>0</v>
      </c>
      <c r="F36" s="2285">
        <v>275</v>
      </c>
    </row>
    <row r="37" spans="1:6" x14ac:dyDescent="0.2">
      <c r="A37" s="2168" t="s">
        <v>382</v>
      </c>
      <c r="B37" s="424">
        <v>379</v>
      </c>
      <c r="C37" s="424">
        <v>52</v>
      </c>
      <c r="D37" s="424">
        <v>31</v>
      </c>
      <c r="E37" s="424">
        <v>2</v>
      </c>
      <c r="F37" s="2285">
        <v>464</v>
      </c>
    </row>
    <row r="38" spans="1:6" x14ac:dyDescent="0.2">
      <c r="A38" s="2166" t="s">
        <v>383</v>
      </c>
      <c r="B38" s="1930">
        <v>3301</v>
      </c>
      <c r="C38" s="1930">
        <v>176</v>
      </c>
      <c r="D38" s="1930">
        <v>76</v>
      </c>
      <c r="E38" s="1930">
        <v>1</v>
      </c>
      <c r="F38" s="2286">
        <v>3554</v>
      </c>
    </row>
    <row r="39" spans="1:6" x14ac:dyDescent="0.2">
      <c r="A39" s="2168" t="s">
        <v>384</v>
      </c>
      <c r="B39" s="424">
        <v>1076</v>
      </c>
      <c r="C39" s="424">
        <v>68</v>
      </c>
      <c r="D39" s="424">
        <v>38</v>
      </c>
      <c r="E39" s="424">
        <v>0</v>
      </c>
      <c r="F39" s="2285">
        <v>1182</v>
      </c>
    </row>
    <row r="40" spans="1:6" x14ac:dyDescent="0.2">
      <c r="A40" s="2168" t="s">
        <v>385</v>
      </c>
      <c r="B40" s="424">
        <v>280</v>
      </c>
      <c r="C40" s="424">
        <v>6</v>
      </c>
      <c r="D40" s="424">
        <v>0</v>
      </c>
      <c r="E40" s="424">
        <v>0</v>
      </c>
      <c r="F40" s="2285">
        <v>286</v>
      </c>
    </row>
    <row r="41" spans="1:6" x14ac:dyDescent="0.2">
      <c r="A41" s="2168" t="s">
        <v>386</v>
      </c>
      <c r="B41" s="424">
        <v>111</v>
      </c>
      <c r="C41" s="424">
        <v>11</v>
      </c>
      <c r="D41" s="424">
        <v>13</v>
      </c>
      <c r="E41" s="424">
        <v>1</v>
      </c>
      <c r="F41" s="2285">
        <v>136</v>
      </c>
    </row>
    <row r="42" spans="1:6" x14ac:dyDescent="0.2">
      <c r="A42" s="2168" t="s">
        <v>387</v>
      </c>
      <c r="B42" s="424">
        <v>408</v>
      </c>
      <c r="C42" s="424">
        <v>15</v>
      </c>
      <c r="D42" s="424">
        <v>1</v>
      </c>
      <c r="E42" s="424">
        <v>0</v>
      </c>
      <c r="F42" s="2285">
        <v>424</v>
      </c>
    </row>
    <row r="43" spans="1:6" x14ac:dyDescent="0.2">
      <c r="A43" s="2168" t="s">
        <v>388</v>
      </c>
      <c r="B43" s="424">
        <v>207</v>
      </c>
      <c r="C43" s="424">
        <v>3</v>
      </c>
      <c r="D43" s="424">
        <v>1</v>
      </c>
      <c r="E43" s="424">
        <v>0</v>
      </c>
      <c r="F43" s="2285">
        <v>211</v>
      </c>
    </row>
    <row r="44" spans="1:6" x14ac:dyDescent="0.2">
      <c r="A44" s="2168" t="s">
        <v>389</v>
      </c>
      <c r="B44" s="424">
        <v>166</v>
      </c>
      <c r="C44" s="424">
        <v>0</v>
      </c>
      <c r="D44" s="424">
        <v>0</v>
      </c>
      <c r="E44" s="424">
        <v>0</v>
      </c>
      <c r="F44" s="2285">
        <v>166</v>
      </c>
    </row>
    <row r="45" spans="1:6" x14ac:dyDescent="0.2">
      <c r="A45" s="2168" t="s">
        <v>390</v>
      </c>
      <c r="B45" s="424">
        <v>267</v>
      </c>
      <c r="C45" s="424">
        <v>13</v>
      </c>
      <c r="D45" s="424">
        <v>4</v>
      </c>
      <c r="E45" s="424">
        <v>0</v>
      </c>
      <c r="F45" s="2285">
        <v>284</v>
      </c>
    </row>
    <row r="46" spans="1:6" x14ac:dyDescent="0.2">
      <c r="A46" s="2168" t="s">
        <v>941</v>
      </c>
      <c r="B46" s="424">
        <v>501</v>
      </c>
      <c r="C46" s="424">
        <v>18</v>
      </c>
      <c r="D46" s="424">
        <v>4</v>
      </c>
      <c r="E46" s="424">
        <v>0</v>
      </c>
      <c r="F46" s="2285">
        <v>523</v>
      </c>
    </row>
    <row r="47" spans="1:6" x14ac:dyDescent="0.2">
      <c r="A47" s="2168" t="s">
        <v>392</v>
      </c>
      <c r="B47" s="424">
        <v>285</v>
      </c>
      <c r="C47" s="424">
        <v>42</v>
      </c>
      <c r="D47" s="424">
        <v>15</v>
      </c>
      <c r="E47" s="424">
        <v>0</v>
      </c>
      <c r="F47" s="2285">
        <v>342</v>
      </c>
    </row>
    <row r="48" spans="1:6" x14ac:dyDescent="0.2">
      <c r="A48" s="2168"/>
      <c r="B48" s="424"/>
      <c r="C48" s="424"/>
      <c r="D48" s="424"/>
      <c r="E48" s="424"/>
      <c r="F48" s="1469"/>
    </row>
    <row r="49" spans="1:6" ht="13.5" thickBot="1" x14ac:dyDescent="0.25">
      <c r="A49" s="2171" t="s">
        <v>393</v>
      </c>
      <c r="B49" s="2172">
        <v>13453</v>
      </c>
      <c r="C49" s="2172">
        <v>1377</v>
      </c>
      <c r="D49" s="2172">
        <v>801</v>
      </c>
      <c r="E49" s="2172">
        <v>24</v>
      </c>
      <c r="F49" s="2172">
        <v>15655</v>
      </c>
    </row>
    <row r="50" spans="1:6" ht="13.5" thickTop="1" x14ac:dyDescent="0.2">
      <c r="A50" s="2165" t="s">
        <v>2026</v>
      </c>
    </row>
  </sheetData>
  <mergeCells count="9">
    <mergeCell ref="A1:F1"/>
    <mergeCell ref="A2:F2"/>
    <mergeCell ref="A3:F3"/>
    <mergeCell ref="B4:F4"/>
    <mergeCell ref="B5:B6"/>
    <mergeCell ref="C5:C6"/>
    <mergeCell ref="F5:F6"/>
    <mergeCell ref="D5:D6"/>
    <mergeCell ref="E5:E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sqref="A1:G1"/>
    </sheetView>
  </sheetViews>
  <sheetFormatPr baseColWidth="10" defaultColWidth="11.42578125" defaultRowHeight="12.75" x14ac:dyDescent="0.2"/>
  <cols>
    <col min="1" max="1" width="29.5703125" customWidth="1"/>
    <col min="2" max="7" width="13.28515625" customWidth="1"/>
  </cols>
  <sheetData>
    <row r="1" spans="1:10" ht="15.75" x14ac:dyDescent="0.25">
      <c r="A1" s="3010" t="s">
        <v>324</v>
      </c>
      <c r="B1" s="3010"/>
      <c r="C1" s="3010"/>
      <c r="D1" s="3010"/>
      <c r="E1" s="3010"/>
      <c r="F1" s="3010"/>
      <c r="G1" s="3010"/>
    </row>
    <row r="2" spans="1:10" x14ac:dyDescent="0.2">
      <c r="A2" s="2794" t="s">
        <v>434</v>
      </c>
      <c r="B2" s="2794"/>
      <c r="C2" s="2794"/>
      <c r="D2" s="2794"/>
      <c r="E2" s="2794"/>
      <c r="F2" s="2794"/>
      <c r="G2" s="2794"/>
    </row>
    <row r="3" spans="1:10" ht="13.5" thickBot="1" x14ac:dyDescent="0.25">
      <c r="A3" s="3011" t="s">
        <v>1904</v>
      </c>
      <c r="B3" s="3011"/>
      <c r="C3" s="3011"/>
      <c r="D3" s="3011"/>
      <c r="E3" s="3011"/>
      <c r="F3" s="3011"/>
      <c r="G3" s="3011"/>
    </row>
    <row r="4" spans="1:10" ht="13.5" thickTop="1" x14ac:dyDescent="0.2">
      <c r="A4" s="375"/>
      <c r="B4" s="3033" t="s">
        <v>2027</v>
      </c>
      <c r="C4" s="3033"/>
      <c r="D4" s="3033"/>
      <c r="E4" s="3033"/>
      <c r="F4" s="3033"/>
      <c r="G4" s="3034"/>
    </row>
    <row r="5" spans="1:10" ht="12.75" customHeight="1" x14ac:dyDescent="0.2">
      <c r="A5" s="376" t="s">
        <v>327</v>
      </c>
      <c r="B5" s="3026" t="s">
        <v>1888</v>
      </c>
      <c r="C5" s="3026" t="s">
        <v>1889</v>
      </c>
      <c r="D5" s="3035" t="s">
        <v>1890</v>
      </c>
      <c r="E5" s="3031" t="s">
        <v>1518</v>
      </c>
      <c r="F5" s="3026" t="s">
        <v>1519</v>
      </c>
      <c r="G5" s="3029" t="s">
        <v>1891</v>
      </c>
    </row>
    <row r="6" spans="1:10" x14ac:dyDescent="0.2">
      <c r="A6" s="375" t="s">
        <v>1212</v>
      </c>
      <c r="B6" s="3027"/>
      <c r="C6" s="3027"/>
      <c r="D6" s="3036"/>
      <c r="E6" s="3032"/>
      <c r="F6" s="3027"/>
      <c r="G6" s="3030"/>
    </row>
    <row r="7" spans="1:10" x14ac:dyDescent="0.2">
      <c r="A7" s="2166" t="s">
        <v>352</v>
      </c>
      <c r="B7" s="2341">
        <v>7090</v>
      </c>
      <c r="C7" s="1930">
        <v>7065</v>
      </c>
      <c r="D7" s="2344">
        <v>99.647390691114239</v>
      </c>
      <c r="E7" s="2341">
        <v>253341</v>
      </c>
      <c r="F7" s="1930">
        <v>252433</v>
      </c>
      <c r="G7" s="2167">
        <v>99.641589793993077</v>
      </c>
      <c r="J7" s="9"/>
    </row>
    <row r="8" spans="1:10" x14ac:dyDescent="0.2">
      <c r="A8" s="2168" t="s">
        <v>353</v>
      </c>
      <c r="B8" s="1670">
        <v>725</v>
      </c>
      <c r="C8" s="1670">
        <v>723</v>
      </c>
      <c r="D8" s="2345">
        <v>99.724137931034491</v>
      </c>
      <c r="E8" s="2342">
        <v>25528</v>
      </c>
      <c r="F8" s="424">
        <v>25417</v>
      </c>
      <c r="G8" s="2169">
        <v>99.565183328110308</v>
      </c>
    </row>
    <row r="9" spans="1:10" x14ac:dyDescent="0.2">
      <c r="A9" s="2168" t="s">
        <v>354</v>
      </c>
      <c r="B9" s="1670">
        <v>771</v>
      </c>
      <c r="C9" s="1670">
        <v>767</v>
      </c>
      <c r="D9" s="2345">
        <v>99.481193255512324</v>
      </c>
      <c r="E9" s="2342">
        <v>32734</v>
      </c>
      <c r="F9" s="424">
        <v>32666</v>
      </c>
      <c r="G9" s="2169">
        <v>99.792264923321312</v>
      </c>
    </row>
    <row r="10" spans="1:10" x14ac:dyDescent="0.2">
      <c r="A10" s="2168" t="s">
        <v>355</v>
      </c>
      <c r="B10" s="1670">
        <v>628</v>
      </c>
      <c r="C10" s="1670">
        <v>625</v>
      </c>
      <c r="D10" s="2345">
        <v>99.522292993630572</v>
      </c>
      <c r="E10" s="2342">
        <v>15190</v>
      </c>
      <c r="F10" s="424">
        <v>15135</v>
      </c>
      <c r="G10" s="2169">
        <v>99.637919684002625</v>
      </c>
    </row>
    <row r="11" spans="1:10" x14ac:dyDescent="0.2">
      <c r="A11" s="2168" t="s">
        <v>356</v>
      </c>
      <c r="B11" s="1670">
        <v>597</v>
      </c>
      <c r="C11" s="1670">
        <v>597</v>
      </c>
      <c r="D11" s="2345">
        <v>100</v>
      </c>
      <c r="E11" s="2342">
        <v>25254</v>
      </c>
      <c r="F11" s="424">
        <v>25233</v>
      </c>
      <c r="G11" s="2169">
        <v>99.916844856260383</v>
      </c>
    </row>
    <row r="12" spans="1:10" x14ac:dyDescent="0.2">
      <c r="A12" s="2168" t="s">
        <v>357</v>
      </c>
      <c r="B12" s="1670">
        <v>446</v>
      </c>
      <c r="C12" s="1670">
        <v>445</v>
      </c>
      <c r="D12" s="2345">
        <v>99.775784753363226</v>
      </c>
      <c r="E12" s="2342">
        <v>12188</v>
      </c>
      <c r="F12" s="424">
        <v>12152</v>
      </c>
      <c r="G12" s="2169">
        <v>99.704627502461435</v>
      </c>
    </row>
    <row r="13" spans="1:10" x14ac:dyDescent="0.2">
      <c r="A13" s="2168" t="s">
        <v>358</v>
      </c>
      <c r="B13" s="1670">
        <v>696</v>
      </c>
      <c r="C13" s="1670">
        <v>695</v>
      </c>
      <c r="D13" s="2345">
        <v>99.856321839080465</v>
      </c>
      <c r="E13" s="2342">
        <v>23904</v>
      </c>
      <c r="F13" s="424">
        <v>23882</v>
      </c>
      <c r="G13" s="2169">
        <v>99.907965194109778</v>
      </c>
    </row>
    <row r="14" spans="1:10" x14ac:dyDescent="0.2">
      <c r="A14" s="2168" t="s">
        <v>359</v>
      </c>
      <c r="B14" s="1670">
        <v>141</v>
      </c>
      <c r="C14" s="1670">
        <v>136</v>
      </c>
      <c r="D14" s="2345">
        <v>96.453900709219852</v>
      </c>
      <c r="E14" s="2342">
        <v>5430</v>
      </c>
      <c r="F14" s="424">
        <v>5253</v>
      </c>
      <c r="G14" s="2169">
        <v>96.740331491712709</v>
      </c>
    </row>
    <row r="15" spans="1:10" x14ac:dyDescent="0.2">
      <c r="A15" s="2168" t="s">
        <v>360</v>
      </c>
      <c r="B15" s="1670">
        <v>331</v>
      </c>
      <c r="C15" s="1670">
        <v>330</v>
      </c>
      <c r="D15" s="2345">
        <v>99.697885196374628</v>
      </c>
      <c r="E15" s="2342">
        <v>8061</v>
      </c>
      <c r="F15" s="424">
        <v>8024</v>
      </c>
      <c r="G15" s="2169">
        <v>99.540999875945914</v>
      </c>
    </row>
    <row r="16" spans="1:10" x14ac:dyDescent="0.2">
      <c r="A16" s="2168" t="s">
        <v>938</v>
      </c>
      <c r="B16" s="1670">
        <v>750</v>
      </c>
      <c r="C16" s="1670">
        <v>744</v>
      </c>
      <c r="D16" s="2345">
        <v>99.2</v>
      </c>
      <c r="E16" s="2342">
        <v>31587</v>
      </c>
      <c r="F16" s="424">
        <v>31334</v>
      </c>
      <c r="G16" s="2169">
        <v>99.199037578750747</v>
      </c>
    </row>
    <row r="17" spans="1:7" x14ac:dyDescent="0.2">
      <c r="A17" s="2168" t="s">
        <v>362</v>
      </c>
      <c r="B17" s="1670">
        <v>440</v>
      </c>
      <c r="C17" s="1670">
        <v>440</v>
      </c>
      <c r="D17" s="2345">
        <v>100</v>
      </c>
      <c r="E17" s="2342">
        <v>14306</v>
      </c>
      <c r="F17" s="424">
        <v>14261</v>
      </c>
      <c r="G17" s="2169">
        <v>99.685446665734659</v>
      </c>
    </row>
    <row r="18" spans="1:7" x14ac:dyDescent="0.2">
      <c r="A18" s="2170" t="s">
        <v>363</v>
      </c>
      <c r="B18" s="2340">
        <v>437</v>
      </c>
      <c r="C18" s="2340">
        <v>437</v>
      </c>
      <c r="D18" s="2345">
        <v>100</v>
      </c>
      <c r="E18" s="2342">
        <v>6540</v>
      </c>
      <c r="F18" s="424">
        <v>6540</v>
      </c>
      <c r="G18" s="2169">
        <v>100</v>
      </c>
    </row>
    <row r="19" spans="1:7" x14ac:dyDescent="0.2">
      <c r="A19" s="2168" t="s">
        <v>939</v>
      </c>
      <c r="B19" s="1670">
        <v>380</v>
      </c>
      <c r="C19" s="1670">
        <v>380</v>
      </c>
      <c r="D19" s="2345">
        <v>100</v>
      </c>
      <c r="E19" s="2342">
        <v>17135</v>
      </c>
      <c r="F19" s="424">
        <v>17125</v>
      </c>
      <c r="G19" s="2169">
        <v>99.941639918295891</v>
      </c>
    </row>
    <row r="20" spans="1:7" x14ac:dyDescent="0.2">
      <c r="A20" s="2168" t="s">
        <v>365</v>
      </c>
      <c r="B20" s="1670">
        <v>191</v>
      </c>
      <c r="C20" s="1670">
        <v>189</v>
      </c>
      <c r="D20" s="2345">
        <v>98.952879581151834</v>
      </c>
      <c r="E20" s="2342">
        <v>6290</v>
      </c>
      <c r="F20" s="424">
        <v>6233</v>
      </c>
      <c r="G20" s="2169">
        <v>99.093799682034984</v>
      </c>
    </row>
    <row r="21" spans="1:7" x14ac:dyDescent="0.2">
      <c r="A21" s="2168" t="s">
        <v>366</v>
      </c>
      <c r="B21" s="1670">
        <v>318</v>
      </c>
      <c r="C21" s="1670">
        <v>318</v>
      </c>
      <c r="D21" s="2345">
        <v>100</v>
      </c>
      <c r="E21" s="2342">
        <v>12759</v>
      </c>
      <c r="F21" s="424">
        <v>12755</v>
      </c>
      <c r="G21" s="2169">
        <v>99.968649580688137</v>
      </c>
    </row>
    <row r="22" spans="1:7" x14ac:dyDescent="0.2">
      <c r="A22" s="2168" t="s">
        <v>367</v>
      </c>
      <c r="B22" s="1670">
        <v>239</v>
      </c>
      <c r="C22" s="1670">
        <v>239</v>
      </c>
      <c r="D22" s="2345">
        <v>100</v>
      </c>
      <c r="E22" s="2342">
        <v>16435</v>
      </c>
      <c r="F22" s="424">
        <v>16423</v>
      </c>
      <c r="G22" s="2169">
        <v>99.926985092789778</v>
      </c>
    </row>
    <row r="23" spans="1:7" x14ac:dyDescent="0.2">
      <c r="A23" s="2166" t="s">
        <v>368</v>
      </c>
      <c r="B23" s="2341">
        <v>2255</v>
      </c>
      <c r="C23" s="1930">
        <v>2183</v>
      </c>
      <c r="D23" s="2344">
        <v>96.8070953436807</v>
      </c>
      <c r="E23" s="2341">
        <v>59005</v>
      </c>
      <c r="F23" s="1930">
        <v>57913</v>
      </c>
      <c r="G23" s="2167">
        <v>98.149309380560965</v>
      </c>
    </row>
    <row r="24" spans="1:7" x14ac:dyDescent="0.2">
      <c r="A24" s="2168" t="s">
        <v>1226</v>
      </c>
      <c r="B24" s="1670">
        <v>891</v>
      </c>
      <c r="C24" s="1670">
        <v>836</v>
      </c>
      <c r="D24" s="2345">
        <v>93.827160493827151</v>
      </c>
      <c r="E24" s="2342">
        <v>18562</v>
      </c>
      <c r="F24" s="424">
        <v>17919</v>
      </c>
      <c r="G24" s="2169">
        <v>96.535933627841828</v>
      </c>
    </row>
    <row r="25" spans="1:7" x14ac:dyDescent="0.2">
      <c r="A25" s="2168" t="s">
        <v>370</v>
      </c>
      <c r="B25" s="1670">
        <v>288</v>
      </c>
      <c r="C25" s="1670">
        <v>288</v>
      </c>
      <c r="D25" s="2345">
        <v>100</v>
      </c>
      <c r="E25" s="2342">
        <v>4297</v>
      </c>
      <c r="F25" s="424">
        <v>4242</v>
      </c>
      <c r="G25" s="2169">
        <v>98.720037235280429</v>
      </c>
    </row>
    <row r="26" spans="1:7" x14ac:dyDescent="0.2">
      <c r="A26" s="2168" t="s">
        <v>371</v>
      </c>
      <c r="B26" s="1670">
        <v>203</v>
      </c>
      <c r="C26" s="1670">
        <v>201</v>
      </c>
      <c r="D26" s="2345">
        <v>99.01477832512316</v>
      </c>
      <c r="E26" s="2342">
        <v>3685</v>
      </c>
      <c r="F26" s="424">
        <v>3670</v>
      </c>
      <c r="G26" s="2169">
        <v>99.592944369063773</v>
      </c>
    </row>
    <row r="27" spans="1:7" x14ac:dyDescent="0.2">
      <c r="A27" s="2168" t="s">
        <v>372</v>
      </c>
      <c r="B27" s="1670">
        <v>396</v>
      </c>
      <c r="C27" s="1670">
        <v>396</v>
      </c>
      <c r="D27" s="2345">
        <v>100</v>
      </c>
      <c r="E27" s="2342">
        <v>14224</v>
      </c>
      <c r="F27" s="424">
        <v>14217</v>
      </c>
      <c r="G27" s="2169">
        <v>99.9507874015748</v>
      </c>
    </row>
    <row r="28" spans="1:7" x14ac:dyDescent="0.2">
      <c r="A28" s="2170" t="s">
        <v>373</v>
      </c>
      <c r="B28" s="2340">
        <v>477</v>
      </c>
      <c r="C28" s="2340">
        <v>462</v>
      </c>
      <c r="D28" s="2345">
        <v>96.855345911949684</v>
      </c>
      <c r="E28" s="2342">
        <v>18237</v>
      </c>
      <c r="F28" s="424">
        <v>17865</v>
      </c>
      <c r="G28" s="2169">
        <v>97.960190820858699</v>
      </c>
    </row>
    <row r="29" spans="1:7" x14ac:dyDescent="0.2">
      <c r="A29" s="2166" t="s">
        <v>374</v>
      </c>
      <c r="B29" s="2341">
        <v>2663</v>
      </c>
      <c r="C29" s="1930">
        <v>2608</v>
      </c>
      <c r="D29" s="2344">
        <v>97.934660157716863</v>
      </c>
      <c r="E29" s="2341">
        <v>85884</v>
      </c>
      <c r="F29" s="1930">
        <v>84538</v>
      </c>
      <c r="G29" s="2167">
        <v>98.432769782497317</v>
      </c>
    </row>
    <row r="30" spans="1:7" x14ac:dyDescent="0.2">
      <c r="A30" s="2168" t="s">
        <v>375</v>
      </c>
      <c r="B30" s="1670">
        <v>547</v>
      </c>
      <c r="C30" s="1670">
        <v>535</v>
      </c>
      <c r="D30" s="2345">
        <v>97.806215722120655</v>
      </c>
      <c r="E30" s="2342">
        <v>11496</v>
      </c>
      <c r="F30" s="424">
        <v>11241</v>
      </c>
      <c r="G30" s="2169">
        <v>97.781837160751564</v>
      </c>
    </row>
    <row r="31" spans="1:7" x14ac:dyDescent="0.2">
      <c r="A31" s="2170" t="s">
        <v>376</v>
      </c>
      <c r="B31" s="2340">
        <v>225</v>
      </c>
      <c r="C31" s="2340">
        <v>215</v>
      </c>
      <c r="D31" s="2345">
        <v>95.555555555555557</v>
      </c>
      <c r="E31" s="2342">
        <v>8368</v>
      </c>
      <c r="F31" s="424">
        <v>7899</v>
      </c>
      <c r="G31" s="2169">
        <v>94.395315487571708</v>
      </c>
    </row>
    <row r="32" spans="1:7" x14ac:dyDescent="0.2">
      <c r="A32" s="2168" t="s">
        <v>377</v>
      </c>
      <c r="B32" s="1670">
        <v>246</v>
      </c>
      <c r="C32" s="1670">
        <v>246</v>
      </c>
      <c r="D32" s="2345">
        <v>100</v>
      </c>
      <c r="E32" s="2342">
        <v>12167</v>
      </c>
      <c r="F32" s="424">
        <v>12071</v>
      </c>
      <c r="G32" s="2169">
        <v>99.210980521081609</v>
      </c>
    </row>
    <row r="33" spans="1:7" x14ac:dyDescent="0.2">
      <c r="A33" s="2168" t="s">
        <v>378</v>
      </c>
      <c r="B33" s="1670">
        <v>468</v>
      </c>
      <c r="C33" s="1670">
        <v>461</v>
      </c>
      <c r="D33" s="2345">
        <v>98.504273504273513</v>
      </c>
      <c r="E33" s="2342">
        <v>14828</v>
      </c>
      <c r="F33" s="424">
        <v>14701</v>
      </c>
      <c r="G33" s="2169">
        <v>99.143512274076073</v>
      </c>
    </row>
    <row r="34" spans="1:7" x14ac:dyDescent="0.2">
      <c r="A34" s="2168" t="s">
        <v>379</v>
      </c>
      <c r="B34" s="1670">
        <v>173</v>
      </c>
      <c r="C34" s="1670">
        <v>172</v>
      </c>
      <c r="D34" s="2345">
        <v>99.421965317919074</v>
      </c>
      <c r="E34" s="2342">
        <v>4886</v>
      </c>
      <c r="F34" s="424">
        <v>4875</v>
      </c>
      <c r="G34" s="2169">
        <v>99.774866966844044</v>
      </c>
    </row>
    <row r="35" spans="1:7" x14ac:dyDescent="0.2">
      <c r="A35" s="2168" t="s">
        <v>380</v>
      </c>
      <c r="B35" s="1670">
        <v>264</v>
      </c>
      <c r="C35" s="1670">
        <v>245</v>
      </c>
      <c r="D35" s="2345">
        <v>92.803030303030297</v>
      </c>
      <c r="E35" s="2342">
        <v>7761</v>
      </c>
      <c r="F35" s="424">
        <v>7517</v>
      </c>
      <c r="G35" s="2169">
        <v>96.85607524803504</v>
      </c>
    </row>
    <row r="36" spans="1:7" x14ac:dyDescent="0.2">
      <c r="A36" s="2168" t="s">
        <v>381</v>
      </c>
      <c r="B36" s="1670">
        <v>272</v>
      </c>
      <c r="C36" s="1670">
        <v>271</v>
      </c>
      <c r="D36" s="2345">
        <v>99.632352941176478</v>
      </c>
      <c r="E36" s="2342">
        <v>8831</v>
      </c>
      <c r="F36" s="424">
        <v>8807</v>
      </c>
      <c r="G36" s="2169">
        <v>99.72823009851659</v>
      </c>
    </row>
    <row r="37" spans="1:7" x14ac:dyDescent="0.2">
      <c r="A37" s="2168" t="s">
        <v>382</v>
      </c>
      <c r="B37" s="1670">
        <v>468</v>
      </c>
      <c r="C37" s="1670">
        <v>463</v>
      </c>
      <c r="D37" s="2345">
        <v>98.931623931623932</v>
      </c>
      <c r="E37" s="2342">
        <v>17547</v>
      </c>
      <c r="F37" s="424">
        <v>17427</v>
      </c>
      <c r="G37" s="2169">
        <v>99.316122414087886</v>
      </c>
    </row>
    <row r="38" spans="1:7" x14ac:dyDescent="0.2">
      <c r="A38" s="2166" t="s">
        <v>383</v>
      </c>
      <c r="B38" s="2341">
        <v>3507</v>
      </c>
      <c r="C38" s="1930">
        <v>3419</v>
      </c>
      <c r="D38" s="2344">
        <v>97.490732820074129</v>
      </c>
      <c r="E38" s="2341">
        <v>63308</v>
      </c>
      <c r="F38" s="1930">
        <v>62281</v>
      </c>
      <c r="G38" s="2167">
        <v>98.377772161496182</v>
      </c>
    </row>
    <row r="39" spans="1:7" x14ac:dyDescent="0.2">
      <c r="A39" s="2168" t="s">
        <v>384</v>
      </c>
      <c r="B39" s="1670">
        <v>1166</v>
      </c>
      <c r="C39" s="1670">
        <v>1120</v>
      </c>
      <c r="D39" s="2345">
        <v>96.054888507718701</v>
      </c>
      <c r="E39" s="2342">
        <v>24493</v>
      </c>
      <c r="F39" s="424">
        <v>23851</v>
      </c>
      <c r="G39" s="2169">
        <v>97.378842934716033</v>
      </c>
    </row>
    <row r="40" spans="1:7" x14ac:dyDescent="0.2">
      <c r="A40" s="2168" t="s">
        <v>385</v>
      </c>
      <c r="B40" s="1670">
        <v>277</v>
      </c>
      <c r="C40" s="1670">
        <v>276</v>
      </c>
      <c r="D40" s="2345">
        <v>99.638989169675085</v>
      </c>
      <c r="E40" s="2342">
        <v>3046</v>
      </c>
      <c r="F40" s="424">
        <v>3029</v>
      </c>
      <c r="G40" s="2169">
        <v>99.441891004596201</v>
      </c>
    </row>
    <row r="41" spans="1:7" x14ac:dyDescent="0.2">
      <c r="A41" s="2168" t="s">
        <v>386</v>
      </c>
      <c r="B41" s="1670">
        <v>136</v>
      </c>
      <c r="C41" s="1670">
        <v>134</v>
      </c>
      <c r="D41" s="2345">
        <v>98.529411764705884</v>
      </c>
      <c r="E41" s="2342">
        <v>5451</v>
      </c>
      <c r="F41" s="424">
        <v>5440</v>
      </c>
      <c r="G41" s="2169">
        <v>99.798202164740417</v>
      </c>
    </row>
    <row r="42" spans="1:7" x14ac:dyDescent="0.2">
      <c r="A42" s="2168" t="s">
        <v>387</v>
      </c>
      <c r="B42" s="1670">
        <v>419</v>
      </c>
      <c r="C42" s="1670">
        <v>419</v>
      </c>
      <c r="D42" s="2345">
        <v>100</v>
      </c>
      <c r="E42" s="2342">
        <v>6007</v>
      </c>
      <c r="F42" s="424">
        <v>5979</v>
      </c>
      <c r="G42" s="2169">
        <v>99.533877143332788</v>
      </c>
    </row>
    <row r="43" spans="1:7" x14ac:dyDescent="0.2">
      <c r="A43" s="2168" t="s">
        <v>388</v>
      </c>
      <c r="B43" s="1670">
        <v>212</v>
      </c>
      <c r="C43" s="1670">
        <v>212</v>
      </c>
      <c r="D43" s="2345">
        <v>100</v>
      </c>
      <c r="E43" s="2342">
        <v>2678</v>
      </c>
      <c r="F43" s="424">
        <v>2678</v>
      </c>
      <c r="G43" s="2169">
        <v>100</v>
      </c>
    </row>
    <row r="44" spans="1:7" x14ac:dyDescent="0.2">
      <c r="A44" s="2168" t="s">
        <v>389</v>
      </c>
      <c r="B44" s="1670">
        <v>160</v>
      </c>
      <c r="C44" s="1670">
        <v>155</v>
      </c>
      <c r="D44" s="2345">
        <v>96.875</v>
      </c>
      <c r="E44" s="2342">
        <v>1423</v>
      </c>
      <c r="F44" s="424">
        <v>1388</v>
      </c>
      <c r="G44" s="2169">
        <v>97.54040758959944</v>
      </c>
    </row>
    <row r="45" spans="1:7" x14ac:dyDescent="0.2">
      <c r="A45" s="2168" t="s">
        <v>390</v>
      </c>
      <c r="B45" s="1670">
        <v>281</v>
      </c>
      <c r="C45" s="1670">
        <v>278</v>
      </c>
      <c r="D45" s="2345">
        <v>98.932384341637018</v>
      </c>
      <c r="E45" s="2342">
        <v>5033</v>
      </c>
      <c r="F45" s="424">
        <v>4963</v>
      </c>
      <c r="G45" s="2169">
        <v>98.609179415855351</v>
      </c>
    </row>
    <row r="46" spans="1:7" x14ac:dyDescent="0.2">
      <c r="A46" s="2168" t="s">
        <v>941</v>
      </c>
      <c r="B46" s="1670">
        <v>516</v>
      </c>
      <c r="C46" s="1670">
        <v>486</v>
      </c>
      <c r="D46" s="2345">
        <v>94.186046511627907</v>
      </c>
      <c r="E46" s="2342">
        <v>5826</v>
      </c>
      <c r="F46" s="424">
        <v>5637</v>
      </c>
      <c r="G46" s="2169">
        <v>96.755921730175075</v>
      </c>
    </row>
    <row r="47" spans="1:7" x14ac:dyDescent="0.2">
      <c r="A47" s="2168" t="s">
        <v>392</v>
      </c>
      <c r="B47" s="1670">
        <v>340</v>
      </c>
      <c r="C47" s="1670">
        <v>339</v>
      </c>
      <c r="D47" s="2345">
        <v>99.705882352941174</v>
      </c>
      <c r="E47" s="2342">
        <v>9351</v>
      </c>
      <c r="F47" s="424">
        <v>9316</v>
      </c>
      <c r="G47" s="2169">
        <v>99.625708480376431</v>
      </c>
    </row>
    <row r="48" spans="1:7" x14ac:dyDescent="0.2">
      <c r="A48" s="2168"/>
      <c r="B48" s="1670"/>
      <c r="C48" s="1670"/>
      <c r="D48" s="1455"/>
      <c r="E48" s="2342"/>
      <c r="F48" s="424"/>
      <c r="G48" s="1683"/>
    </row>
    <row r="49" spans="1:7" ht="13.5" thickBot="1" x14ac:dyDescent="0.25">
      <c r="A49" s="2171" t="s">
        <v>393</v>
      </c>
      <c r="B49" s="2343">
        <v>15515</v>
      </c>
      <c r="C49" s="2172">
        <v>15275</v>
      </c>
      <c r="D49" s="2346">
        <v>98.453109893651302</v>
      </c>
      <c r="E49" s="2343">
        <v>461538</v>
      </c>
      <c r="F49" s="2172">
        <v>457165</v>
      </c>
      <c r="G49" s="2173">
        <v>99.052515719182395</v>
      </c>
    </row>
    <row r="50" spans="1:7" ht="13.5" thickTop="1" x14ac:dyDescent="0.2">
      <c r="A50" s="2165" t="s">
        <v>1905</v>
      </c>
      <c r="B50" s="9"/>
      <c r="C50" s="9"/>
      <c r="D50" s="9"/>
    </row>
  </sheetData>
  <mergeCells count="10">
    <mergeCell ref="G5:G6"/>
    <mergeCell ref="A1:G1"/>
    <mergeCell ref="A2:G2"/>
    <mergeCell ref="A3:G3"/>
    <mergeCell ref="E5:E6"/>
    <mergeCell ref="F5:F6"/>
    <mergeCell ref="B4:G4"/>
    <mergeCell ref="B5:B6"/>
    <mergeCell ref="C5:C6"/>
    <mergeCell ref="D5:D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0"/>
  <sheetViews>
    <sheetView zoomScale="80" zoomScaleNormal="80" workbookViewId="0"/>
  </sheetViews>
  <sheetFormatPr baseColWidth="10" defaultColWidth="11.42578125" defaultRowHeight="12.75" x14ac:dyDescent="0.2"/>
  <cols>
    <col min="1" max="1" width="25.5703125" customWidth="1"/>
    <col min="2" max="2" width="13.28515625" customWidth="1"/>
    <col min="3" max="4" width="13" customWidth="1"/>
    <col min="5" max="5" width="11.5703125" customWidth="1"/>
    <col min="6" max="6" width="12.28515625" customWidth="1"/>
    <col min="7" max="7" width="13.42578125" customWidth="1"/>
    <col min="8" max="8" width="12.140625" customWidth="1"/>
    <col min="9" max="9" width="14.42578125" customWidth="1"/>
    <col min="10" max="10" width="12.7109375" customWidth="1"/>
    <col min="11" max="11" width="14.28515625" customWidth="1"/>
    <col min="12" max="12" width="24" customWidth="1"/>
  </cols>
  <sheetData>
    <row r="3" spans="1:12" ht="15.75" x14ac:dyDescent="0.25">
      <c r="A3" s="3010" t="s">
        <v>324</v>
      </c>
      <c r="B3" s="3010"/>
      <c r="C3" s="3010"/>
      <c r="D3" s="3010"/>
      <c r="E3" s="3010"/>
      <c r="F3" s="3010"/>
      <c r="G3" s="3010"/>
      <c r="H3" s="3010"/>
      <c r="I3" s="3010"/>
      <c r="J3" s="3010"/>
      <c r="K3" s="3010"/>
      <c r="L3" s="3010"/>
    </row>
    <row r="4" spans="1:12" x14ac:dyDescent="0.2">
      <c r="A4" s="2508" t="s">
        <v>434</v>
      </c>
      <c r="B4" s="2508"/>
      <c r="C4" s="2508"/>
      <c r="D4" s="2508"/>
      <c r="E4" s="2508"/>
      <c r="F4" s="2508"/>
      <c r="G4" s="2508"/>
      <c r="H4" s="2508"/>
      <c r="I4" s="2508"/>
      <c r="J4" s="2508"/>
      <c r="K4" s="2508"/>
      <c r="L4" s="2508"/>
    </row>
    <row r="5" spans="1:12" x14ac:dyDescent="0.2">
      <c r="A5" s="2794" t="s">
        <v>2025</v>
      </c>
      <c r="B5" s="2794"/>
      <c r="C5" s="2794"/>
      <c r="D5" s="2508"/>
      <c r="E5" s="2508"/>
      <c r="F5" s="2508"/>
      <c r="G5" s="2508"/>
      <c r="H5" s="2508"/>
      <c r="I5" s="2508"/>
      <c r="J5" s="2508"/>
      <c r="K5" s="2508"/>
      <c r="L5" s="2508"/>
    </row>
    <row r="6" spans="1:12" ht="15.75" thickBot="1" x14ac:dyDescent="0.3">
      <c r="A6" s="366"/>
      <c r="B6" s="366"/>
      <c r="C6" s="366"/>
      <c r="D6" s="366"/>
      <c r="E6" s="366"/>
      <c r="F6" s="366"/>
      <c r="G6" s="367"/>
      <c r="H6" s="367"/>
      <c r="I6" s="367"/>
      <c r="J6" s="367"/>
      <c r="K6" s="367"/>
      <c r="L6" s="225"/>
    </row>
    <row r="7" spans="1:12" ht="17.25" customHeight="1" thickTop="1" x14ac:dyDescent="0.25">
      <c r="A7" s="1819"/>
      <c r="B7" s="3042" t="s">
        <v>1229</v>
      </c>
      <c r="C7" s="3043"/>
      <c r="D7" s="3043"/>
      <c r="E7" s="3043"/>
      <c r="F7" s="3043"/>
      <c r="G7" s="3043"/>
      <c r="H7" s="3043"/>
      <c r="I7" s="3043"/>
      <c r="J7" s="3043"/>
      <c r="K7" s="3043"/>
      <c r="L7" s="3044"/>
    </row>
    <row r="8" spans="1:12" ht="15.75" x14ac:dyDescent="0.25">
      <c r="A8" s="375"/>
      <c r="B8" s="3045" t="s">
        <v>1595</v>
      </c>
      <c r="C8" s="3046"/>
      <c r="D8" s="3014" t="s">
        <v>20</v>
      </c>
      <c r="E8" s="3037"/>
      <c r="F8" s="1484"/>
      <c r="G8" s="2032"/>
      <c r="H8" s="2038" t="s">
        <v>1230</v>
      </c>
      <c r="I8" s="2038"/>
      <c r="J8" s="2038"/>
      <c r="K8" s="2039"/>
      <c r="L8" s="3040" t="s">
        <v>1596</v>
      </c>
    </row>
    <row r="9" spans="1:12" x14ac:dyDescent="0.2">
      <c r="A9" s="376" t="s">
        <v>1231</v>
      </c>
      <c r="B9" s="2036"/>
      <c r="C9" s="2037"/>
      <c r="D9" s="1634"/>
      <c r="E9" s="312"/>
      <c r="F9" s="3014" t="s">
        <v>141</v>
      </c>
      <c r="G9" s="3037"/>
      <c r="H9" s="3014" t="s">
        <v>142</v>
      </c>
      <c r="I9" s="3037"/>
      <c r="J9" s="3038" t="s">
        <v>143</v>
      </c>
      <c r="K9" s="3039"/>
      <c r="L9" s="3041"/>
    </row>
    <row r="10" spans="1:12" x14ac:dyDescent="0.2">
      <c r="A10" s="375"/>
      <c r="B10" s="1635" t="s">
        <v>1232</v>
      </c>
      <c r="C10" s="2034"/>
      <c r="D10" s="1635" t="s">
        <v>1232</v>
      </c>
      <c r="E10" s="1632"/>
      <c r="F10" s="1637" t="s">
        <v>1232</v>
      </c>
      <c r="G10" s="1593"/>
      <c r="H10" s="1635" t="s">
        <v>1232</v>
      </c>
      <c r="I10" s="1593"/>
      <c r="J10" s="488" t="s">
        <v>1232</v>
      </c>
      <c r="K10" s="1593"/>
      <c r="L10" s="3041"/>
    </row>
    <row r="11" spans="1:12" x14ac:dyDescent="0.2">
      <c r="A11" s="451"/>
      <c r="B11" s="1636" t="s">
        <v>1233</v>
      </c>
      <c r="C11" s="2035" t="s">
        <v>1269</v>
      </c>
      <c r="D11" s="1636" t="s">
        <v>1233</v>
      </c>
      <c r="E11" s="324" t="s">
        <v>1269</v>
      </c>
      <c r="F11" s="1636" t="s">
        <v>1233</v>
      </c>
      <c r="G11" s="326" t="s">
        <v>1269</v>
      </c>
      <c r="H11" s="1636" t="s">
        <v>1233</v>
      </c>
      <c r="I11" s="326" t="s">
        <v>1269</v>
      </c>
      <c r="J11" s="2188" t="s">
        <v>1233</v>
      </c>
      <c r="K11" s="1836" t="s">
        <v>1269</v>
      </c>
      <c r="L11" s="2161" t="s">
        <v>1270</v>
      </c>
    </row>
    <row r="12" spans="1:12" x14ac:dyDescent="0.2">
      <c r="A12" s="417" t="s">
        <v>352</v>
      </c>
      <c r="B12" s="983"/>
      <c r="C12" s="2174">
        <v>752</v>
      </c>
      <c r="D12" s="975"/>
      <c r="E12" s="2174">
        <v>4953</v>
      </c>
      <c r="F12" s="2178"/>
      <c r="G12" s="1191">
        <v>4569</v>
      </c>
      <c r="H12" s="1196"/>
      <c r="I12" s="1192">
        <v>296278</v>
      </c>
      <c r="J12" s="1196"/>
      <c r="K12" s="1227">
        <v>56071</v>
      </c>
      <c r="L12" s="2185">
        <v>362623</v>
      </c>
    </row>
    <row r="13" spans="1:12" x14ac:dyDescent="0.2">
      <c r="A13" s="423" t="s">
        <v>353</v>
      </c>
      <c r="B13" s="2040" t="s">
        <v>351</v>
      </c>
      <c r="C13" s="2028">
        <v>115</v>
      </c>
      <c r="D13" s="2228" t="s">
        <v>350</v>
      </c>
      <c r="E13" s="2028">
        <v>350</v>
      </c>
      <c r="F13" s="2181" t="s">
        <v>1271</v>
      </c>
      <c r="G13" s="2028">
        <v>989</v>
      </c>
      <c r="H13" s="2181" t="s">
        <v>1764</v>
      </c>
      <c r="I13" s="2028">
        <v>32500</v>
      </c>
      <c r="J13" s="2181" t="s">
        <v>1506</v>
      </c>
      <c r="K13" s="1236">
        <v>7260</v>
      </c>
      <c r="L13" s="1581">
        <v>41214</v>
      </c>
    </row>
    <row r="14" spans="1:12" x14ac:dyDescent="0.2">
      <c r="A14" s="423" t="s">
        <v>354</v>
      </c>
      <c r="B14" s="1638" t="s">
        <v>1754</v>
      </c>
      <c r="C14" s="2028">
        <v>150</v>
      </c>
      <c r="D14" s="2228" t="s">
        <v>350</v>
      </c>
      <c r="E14" s="2028">
        <v>50</v>
      </c>
      <c r="F14" s="2181" t="s">
        <v>1271</v>
      </c>
      <c r="G14" s="2028">
        <v>180</v>
      </c>
      <c r="H14" s="2181" t="s">
        <v>1762</v>
      </c>
      <c r="I14" s="2028">
        <v>53400</v>
      </c>
      <c r="J14" s="2181" t="s">
        <v>351</v>
      </c>
      <c r="K14" s="1236">
        <v>10000</v>
      </c>
      <c r="L14" s="1581">
        <v>63780</v>
      </c>
    </row>
    <row r="15" spans="1:12" x14ac:dyDescent="0.2">
      <c r="A15" s="423" t="s">
        <v>355</v>
      </c>
      <c r="B15" s="2040" t="s">
        <v>1598</v>
      </c>
      <c r="C15" s="2028">
        <v>160</v>
      </c>
      <c r="D15" s="2181" t="s">
        <v>1597</v>
      </c>
      <c r="E15" s="2028">
        <v>115</v>
      </c>
      <c r="F15" s="2181" t="s">
        <v>1271</v>
      </c>
      <c r="G15" s="2028">
        <v>190</v>
      </c>
      <c r="H15" s="2181" t="s">
        <v>1272</v>
      </c>
      <c r="I15" s="2028">
        <v>14398</v>
      </c>
      <c r="J15" s="2181" t="s">
        <v>351</v>
      </c>
      <c r="K15" s="1236">
        <v>2800</v>
      </c>
      <c r="L15" s="1581">
        <v>17663</v>
      </c>
    </row>
    <row r="16" spans="1:12" x14ac:dyDescent="0.2">
      <c r="A16" s="423" t="s">
        <v>356</v>
      </c>
      <c r="B16" s="1638" t="s">
        <v>1755</v>
      </c>
      <c r="C16" s="2028">
        <v>35</v>
      </c>
      <c r="D16" s="2228" t="s">
        <v>350</v>
      </c>
      <c r="E16" s="2028">
        <v>272</v>
      </c>
      <c r="F16" s="2181" t="s">
        <v>1271</v>
      </c>
      <c r="G16" s="2028">
        <v>760</v>
      </c>
      <c r="H16" s="2181" t="s">
        <v>1598</v>
      </c>
      <c r="I16" s="2028">
        <v>17500</v>
      </c>
      <c r="J16" s="2181" t="s">
        <v>351</v>
      </c>
      <c r="K16" s="1236">
        <v>1650</v>
      </c>
      <c r="L16" s="1581">
        <v>20217</v>
      </c>
    </row>
    <row r="17" spans="1:12" x14ac:dyDescent="0.2">
      <c r="A17" s="423" t="s">
        <v>357</v>
      </c>
      <c r="B17" s="1638" t="s">
        <v>1503</v>
      </c>
      <c r="C17" s="2028">
        <v>40</v>
      </c>
      <c r="D17" s="2181" t="s">
        <v>350</v>
      </c>
      <c r="E17" s="2028">
        <v>22</v>
      </c>
      <c r="F17" s="2181" t="s">
        <v>1757</v>
      </c>
      <c r="G17" s="2028">
        <v>605</v>
      </c>
      <c r="H17" s="2181" t="s">
        <v>1272</v>
      </c>
      <c r="I17" s="2028">
        <v>14820</v>
      </c>
      <c r="J17" s="2181" t="s">
        <v>351</v>
      </c>
      <c r="K17" s="1236">
        <v>1570</v>
      </c>
      <c r="L17" s="1581">
        <v>17057</v>
      </c>
    </row>
    <row r="18" spans="1:12" x14ac:dyDescent="0.2">
      <c r="A18" s="423" t="s">
        <v>358</v>
      </c>
      <c r="B18" s="1638"/>
      <c r="C18" s="2028">
        <v>0</v>
      </c>
      <c r="D18" s="2228"/>
      <c r="E18" s="2028">
        <v>0</v>
      </c>
      <c r="F18" s="2181" t="s">
        <v>1271</v>
      </c>
      <c r="G18" s="2028">
        <v>300</v>
      </c>
      <c r="H18" s="2181" t="s">
        <v>1272</v>
      </c>
      <c r="I18" s="2028">
        <v>36000</v>
      </c>
      <c r="J18" s="2181" t="s">
        <v>1768</v>
      </c>
      <c r="K18" s="1236">
        <v>2000</v>
      </c>
      <c r="L18" s="1581">
        <v>38300</v>
      </c>
    </row>
    <row r="19" spans="1:12" x14ac:dyDescent="0.2">
      <c r="A19" s="423" t="s">
        <v>359</v>
      </c>
      <c r="B19" s="1638"/>
      <c r="C19" s="2028">
        <v>0</v>
      </c>
      <c r="D19" s="2181" t="s">
        <v>350</v>
      </c>
      <c r="E19" s="2028">
        <v>10</v>
      </c>
      <c r="F19" s="2181" t="s">
        <v>1271</v>
      </c>
      <c r="G19" s="2028">
        <v>32</v>
      </c>
      <c r="H19" s="2181" t="s">
        <v>1272</v>
      </c>
      <c r="I19" s="2028">
        <v>5400</v>
      </c>
      <c r="J19" s="2181" t="s">
        <v>351</v>
      </c>
      <c r="K19" s="1236">
        <v>1465</v>
      </c>
      <c r="L19" s="1581">
        <v>6907</v>
      </c>
    </row>
    <row r="20" spans="1:12" x14ac:dyDescent="0.2">
      <c r="A20" s="423" t="s">
        <v>360</v>
      </c>
      <c r="B20" s="1638" t="s">
        <v>350</v>
      </c>
      <c r="C20" s="2028">
        <v>25</v>
      </c>
      <c r="D20" s="2181" t="s">
        <v>1504</v>
      </c>
      <c r="E20" s="2028">
        <v>10</v>
      </c>
      <c r="F20" s="2181" t="s">
        <v>1271</v>
      </c>
      <c r="G20" s="2028">
        <v>150</v>
      </c>
      <c r="H20" s="2181" t="s">
        <v>1272</v>
      </c>
      <c r="I20" s="2028">
        <v>23500</v>
      </c>
      <c r="J20" s="2181" t="s">
        <v>351</v>
      </c>
      <c r="K20" s="1236">
        <v>1150</v>
      </c>
      <c r="L20" s="1581">
        <v>24835</v>
      </c>
    </row>
    <row r="21" spans="1:12" x14ac:dyDescent="0.2">
      <c r="A21" s="423" t="s">
        <v>938</v>
      </c>
      <c r="B21" s="1638" t="s">
        <v>1588</v>
      </c>
      <c r="C21" s="2028">
        <v>52</v>
      </c>
      <c r="D21" s="2228" t="s">
        <v>1755</v>
      </c>
      <c r="E21" s="2028">
        <v>30</v>
      </c>
      <c r="F21" s="2181" t="s">
        <v>351</v>
      </c>
      <c r="G21" s="2028">
        <v>18</v>
      </c>
      <c r="H21" s="2181" t="s">
        <v>1765</v>
      </c>
      <c r="I21" s="2028">
        <v>20700</v>
      </c>
      <c r="J21" s="2181" t="s">
        <v>1508</v>
      </c>
      <c r="K21" s="1236">
        <v>10500</v>
      </c>
      <c r="L21" s="1581">
        <v>31300</v>
      </c>
    </row>
    <row r="22" spans="1:12" x14ac:dyDescent="0.2">
      <c r="A22" s="423" t="s">
        <v>362</v>
      </c>
      <c r="B22" s="2040"/>
      <c r="C22" s="2028">
        <v>0</v>
      </c>
      <c r="D22" s="2181" t="s">
        <v>350</v>
      </c>
      <c r="E22" s="2028">
        <v>3600</v>
      </c>
      <c r="F22" s="2181" t="s">
        <v>1271</v>
      </c>
      <c r="G22" s="2028">
        <v>55</v>
      </c>
      <c r="H22" s="2181" t="s">
        <v>1272</v>
      </c>
      <c r="I22" s="2028">
        <v>17000</v>
      </c>
      <c r="J22" s="2181" t="s">
        <v>351</v>
      </c>
      <c r="K22" s="1236">
        <v>45</v>
      </c>
      <c r="L22" s="1581">
        <v>20700</v>
      </c>
    </row>
    <row r="23" spans="1:12" x14ac:dyDescent="0.2">
      <c r="A23" s="423" t="s">
        <v>363</v>
      </c>
      <c r="B23" s="1638"/>
      <c r="C23" s="2028">
        <v>0</v>
      </c>
      <c r="D23" s="2228" t="s">
        <v>1315</v>
      </c>
      <c r="E23" s="2028">
        <v>55</v>
      </c>
      <c r="F23" s="2181" t="s">
        <v>1505</v>
      </c>
      <c r="G23" s="2028">
        <v>70</v>
      </c>
      <c r="H23" s="2181" t="s">
        <v>1272</v>
      </c>
      <c r="I23" s="2028">
        <v>10800</v>
      </c>
      <c r="J23" s="2181" t="s">
        <v>351</v>
      </c>
      <c r="K23" s="1236">
        <v>70</v>
      </c>
      <c r="L23" s="1581">
        <v>10995</v>
      </c>
    </row>
    <row r="24" spans="1:12" x14ac:dyDescent="0.2">
      <c r="A24" s="423" t="s">
        <v>939</v>
      </c>
      <c r="B24" s="2040" t="s">
        <v>1503</v>
      </c>
      <c r="C24" s="2028">
        <v>50</v>
      </c>
      <c r="D24" s="2228" t="s">
        <v>1273</v>
      </c>
      <c r="E24" s="2028">
        <v>280</v>
      </c>
      <c r="F24" s="2181" t="s">
        <v>1758</v>
      </c>
      <c r="G24" s="2028">
        <v>1000</v>
      </c>
      <c r="H24" s="2181" t="s">
        <v>1272</v>
      </c>
      <c r="I24" s="2028">
        <v>13000</v>
      </c>
      <c r="J24" s="2181" t="s">
        <v>351</v>
      </c>
      <c r="K24" s="1236">
        <v>7000</v>
      </c>
      <c r="L24" s="1581">
        <v>21330</v>
      </c>
    </row>
    <row r="25" spans="1:12" x14ac:dyDescent="0.2">
      <c r="A25" s="423" t="s">
        <v>365</v>
      </c>
      <c r="B25" s="2040" t="s">
        <v>1756</v>
      </c>
      <c r="C25" s="2028">
        <v>40</v>
      </c>
      <c r="D25" s="2228" t="s">
        <v>350</v>
      </c>
      <c r="E25" s="2028">
        <v>120</v>
      </c>
      <c r="F25" s="2181" t="s">
        <v>1758</v>
      </c>
      <c r="G25" s="2028">
        <v>50</v>
      </c>
      <c r="H25" s="2181" t="s">
        <v>1272</v>
      </c>
      <c r="I25" s="2028">
        <v>13100</v>
      </c>
      <c r="J25" s="2181" t="s">
        <v>1506</v>
      </c>
      <c r="K25" s="1236">
        <v>1400</v>
      </c>
      <c r="L25" s="1581">
        <v>14710</v>
      </c>
    </row>
    <row r="26" spans="1:12" x14ac:dyDescent="0.2">
      <c r="A26" s="423" t="s">
        <v>366</v>
      </c>
      <c r="B26" s="2040" t="s">
        <v>1315</v>
      </c>
      <c r="C26" s="2028">
        <v>80</v>
      </c>
      <c r="D26" s="2228" t="s">
        <v>350</v>
      </c>
      <c r="E26" s="2028">
        <v>17</v>
      </c>
      <c r="F26" s="2181" t="s">
        <v>1271</v>
      </c>
      <c r="G26" s="2028">
        <v>150</v>
      </c>
      <c r="H26" s="2181" t="s">
        <v>1766</v>
      </c>
      <c r="I26" s="2028">
        <v>19560</v>
      </c>
      <c r="J26" s="2181" t="s">
        <v>351</v>
      </c>
      <c r="K26" s="1236">
        <v>610</v>
      </c>
      <c r="L26" s="1581">
        <v>20417</v>
      </c>
    </row>
    <row r="27" spans="1:12" x14ac:dyDescent="0.2">
      <c r="A27" s="423" t="s">
        <v>367</v>
      </c>
      <c r="B27" s="1638" t="s">
        <v>350</v>
      </c>
      <c r="C27" s="2028">
        <v>5</v>
      </c>
      <c r="D27" s="2228" t="s">
        <v>350</v>
      </c>
      <c r="E27" s="2028">
        <v>22</v>
      </c>
      <c r="F27" s="2181" t="s">
        <v>1505</v>
      </c>
      <c r="G27" s="2028">
        <v>20</v>
      </c>
      <c r="H27" s="2181" t="s">
        <v>1272</v>
      </c>
      <c r="I27" s="2028">
        <v>4600</v>
      </c>
      <c r="J27" s="2181" t="s">
        <v>351</v>
      </c>
      <c r="K27" s="1236">
        <v>8551</v>
      </c>
      <c r="L27" s="1581">
        <v>13198</v>
      </c>
    </row>
    <row r="28" spans="1:12" x14ac:dyDescent="0.2">
      <c r="A28" s="433" t="s">
        <v>368</v>
      </c>
      <c r="B28" s="1639"/>
      <c r="C28" s="2175">
        <v>230</v>
      </c>
      <c r="D28" s="2229"/>
      <c r="E28" s="2175">
        <v>437</v>
      </c>
      <c r="F28" s="2182"/>
      <c r="G28" s="1240">
        <v>1195</v>
      </c>
      <c r="H28" s="2182"/>
      <c r="I28" s="2175">
        <v>57590</v>
      </c>
      <c r="J28" s="2182"/>
      <c r="K28" s="436">
        <v>15905</v>
      </c>
      <c r="L28" s="1551">
        <v>75357</v>
      </c>
    </row>
    <row r="29" spans="1:12" x14ac:dyDescent="0.2">
      <c r="A29" s="423" t="s">
        <v>1226</v>
      </c>
      <c r="B29" s="2040" t="s">
        <v>1315</v>
      </c>
      <c r="C29" s="2028">
        <v>55</v>
      </c>
      <c r="D29" s="2181" t="s">
        <v>1271</v>
      </c>
      <c r="E29" s="2028">
        <v>380</v>
      </c>
      <c r="F29" s="2181" t="s">
        <v>1504</v>
      </c>
      <c r="G29" s="2028">
        <v>750</v>
      </c>
      <c r="H29" s="2181" t="s">
        <v>1273</v>
      </c>
      <c r="I29" s="2028">
        <v>21790</v>
      </c>
      <c r="J29" s="2181" t="s">
        <v>351</v>
      </c>
      <c r="K29" s="1236">
        <v>6650</v>
      </c>
      <c r="L29" s="1581">
        <v>29625</v>
      </c>
    </row>
    <row r="30" spans="1:12" x14ac:dyDescent="0.2">
      <c r="A30" s="423" t="s">
        <v>370</v>
      </c>
      <c r="B30" s="2040"/>
      <c r="C30" s="2028">
        <v>0</v>
      </c>
      <c r="D30" s="2228" t="s">
        <v>1501</v>
      </c>
      <c r="E30" s="2028">
        <v>25</v>
      </c>
      <c r="F30" s="2181" t="s">
        <v>1759</v>
      </c>
      <c r="G30" s="2028">
        <v>140</v>
      </c>
      <c r="H30" s="2181" t="s">
        <v>1758</v>
      </c>
      <c r="I30" s="2028">
        <v>920</v>
      </c>
      <c r="J30" s="2181" t="s">
        <v>1504</v>
      </c>
      <c r="K30" s="1236">
        <v>305</v>
      </c>
      <c r="L30" s="1581">
        <v>1390</v>
      </c>
    </row>
    <row r="31" spans="1:12" x14ac:dyDescent="0.2">
      <c r="A31" s="423" t="s">
        <v>371</v>
      </c>
      <c r="B31" s="2040" t="s">
        <v>1600</v>
      </c>
      <c r="C31" s="2028">
        <v>5</v>
      </c>
      <c r="D31" s="2181" t="s">
        <v>350</v>
      </c>
      <c r="E31" s="2028">
        <v>10</v>
      </c>
      <c r="F31" s="2181" t="s">
        <v>1504</v>
      </c>
      <c r="G31" s="2028">
        <v>60</v>
      </c>
      <c r="H31" s="2181" t="s">
        <v>1507</v>
      </c>
      <c r="I31" s="2028">
        <v>2900</v>
      </c>
      <c r="J31" s="2181" t="s">
        <v>351</v>
      </c>
      <c r="K31" s="1236">
        <v>450</v>
      </c>
      <c r="L31" s="1581">
        <v>3425</v>
      </c>
    </row>
    <row r="32" spans="1:12" x14ac:dyDescent="0.2">
      <c r="A32" s="423" t="s">
        <v>372</v>
      </c>
      <c r="B32" s="1638" t="s">
        <v>1315</v>
      </c>
      <c r="C32" s="2028">
        <v>170</v>
      </c>
      <c r="D32" s="2228" t="s">
        <v>1754</v>
      </c>
      <c r="E32" s="2028">
        <v>1</v>
      </c>
      <c r="F32" s="2181" t="s">
        <v>1271</v>
      </c>
      <c r="G32" s="2028">
        <v>50</v>
      </c>
      <c r="H32" s="2181" t="s">
        <v>1507</v>
      </c>
      <c r="I32" s="2028">
        <v>13980</v>
      </c>
      <c r="J32" s="2181" t="s">
        <v>351</v>
      </c>
      <c r="K32" s="1236">
        <v>6000</v>
      </c>
      <c r="L32" s="1581">
        <v>20201</v>
      </c>
    </row>
    <row r="33" spans="1:12" x14ac:dyDescent="0.2">
      <c r="A33" s="423" t="s">
        <v>373</v>
      </c>
      <c r="B33" s="1638"/>
      <c r="C33" s="2028">
        <v>0</v>
      </c>
      <c r="D33" s="2228" t="s">
        <v>350</v>
      </c>
      <c r="E33" s="2028">
        <v>21</v>
      </c>
      <c r="F33" s="2181" t="s">
        <v>1271</v>
      </c>
      <c r="G33" s="2028">
        <v>195</v>
      </c>
      <c r="H33" s="2181" t="s">
        <v>1098</v>
      </c>
      <c r="I33" s="2028">
        <v>18000</v>
      </c>
      <c r="J33" s="2181" t="s">
        <v>351</v>
      </c>
      <c r="K33" s="1236">
        <v>2500</v>
      </c>
      <c r="L33" s="1581">
        <v>20716</v>
      </c>
    </row>
    <row r="34" spans="1:12" x14ac:dyDescent="0.2">
      <c r="A34" s="433" t="s">
        <v>374</v>
      </c>
      <c r="B34" s="1639"/>
      <c r="C34" s="2175">
        <v>328</v>
      </c>
      <c r="D34" s="2229"/>
      <c r="E34" s="2175">
        <v>1344</v>
      </c>
      <c r="F34" s="2182"/>
      <c r="G34" s="1240">
        <v>1207</v>
      </c>
      <c r="H34" s="2182"/>
      <c r="I34" s="2175">
        <v>92227</v>
      </c>
      <c r="J34" s="2182"/>
      <c r="K34" s="436">
        <v>9856</v>
      </c>
      <c r="L34" s="1551">
        <v>104962</v>
      </c>
    </row>
    <row r="35" spans="1:12" x14ac:dyDescent="0.2">
      <c r="A35" s="423" t="s">
        <v>375</v>
      </c>
      <c r="B35" s="2040" t="s">
        <v>1315</v>
      </c>
      <c r="C35" s="2028">
        <v>210</v>
      </c>
      <c r="D35" s="2228" t="s">
        <v>1588</v>
      </c>
      <c r="E35" s="2028">
        <v>800</v>
      </c>
      <c r="F35" s="2181" t="s">
        <v>1504</v>
      </c>
      <c r="G35" s="2028">
        <v>120</v>
      </c>
      <c r="H35" s="2181" t="s">
        <v>1758</v>
      </c>
      <c r="I35" s="2028">
        <v>30000</v>
      </c>
      <c r="J35" s="2181" t="s">
        <v>351</v>
      </c>
      <c r="K35" s="1236">
        <v>2000</v>
      </c>
      <c r="L35" s="1581">
        <v>33130</v>
      </c>
    </row>
    <row r="36" spans="1:12" x14ac:dyDescent="0.2">
      <c r="A36" s="423" t="s">
        <v>376</v>
      </c>
      <c r="B36" s="2040" t="s">
        <v>1315</v>
      </c>
      <c r="C36" s="2028">
        <v>20</v>
      </c>
      <c r="D36" s="2228" t="s">
        <v>1588</v>
      </c>
      <c r="E36" s="2028">
        <v>20</v>
      </c>
      <c r="F36" s="2181" t="s">
        <v>1504</v>
      </c>
      <c r="G36" s="2028">
        <v>65</v>
      </c>
      <c r="H36" s="2181" t="s">
        <v>1599</v>
      </c>
      <c r="I36" s="2028">
        <v>4500</v>
      </c>
      <c r="J36" s="2181" t="s">
        <v>1768</v>
      </c>
      <c r="K36" s="1236">
        <v>50</v>
      </c>
      <c r="L36" s="1581">
        <v>4655</v>
      </c>
    </row>
    <row r="37" spans="1:12" x14ac:dyDescent="0.2">
      <c r="A37" s="423" t="s">
        <v>377</v>
      </c>
      <c r="B37" s="2040"/>
      <c r="C37" s="2028">
        <v>0</v>
      </c>
      <c r="D37" s="2228" t="s">
        <v>1755</v>
      </c>
      <c r="E37" s="2028">
        <v>15</v>
      </c>
      <c r="F37" s="2181" t="s">
        <v>1761</v>
      </c>
      <c r="G37" s="2028">
        <v>110</v>
      </c>
      <c r="H37" s="2181" t="s">
        <v>1272</v>
      </c>
      <c r="I37" s="2028">
        <v>6500</v>
      </c>
      <c r="J37" s="2181" t="s">
        <v>351</v>
      </c>
      <c r="K37" s="1236">
        <v>100</v>
      </c>
      <c r="L37" s="1581">
        <v>6725</v>
      </c>
    </row>
    <row r="38" spans="1:12" x14ac:dyDescent="0.2">
      <c r="A38" s="423" t="s">
        <v>378</v>
      </c>
      <c r="B38" s="2040" t="s">
        <v>1503</v>
      </c>
      <c r="C38" s="2028">
        <v>13</v>
      </c>
      <c r="D38" s="2228" t="s">
        <v>1588</v>
      </c>
      <c r="E38" s="2028">
        <v>160</v>
      </c>
      <c r="F38" s="2181" t="s">
        <v>1271</v>
      </c>
      <c r="G38" s="2028">
        <v>160</v>
      </c>
      <c r="H38" s="2181" t="s">
        <v>1272</v>
      </c>
      <c r="I38" s="2028">
        <v>13500</v>
      </c>
      <c r="J38" s="2181" t="s">
        <v>351</v>
      </c>
      <c r="K38" s="1236">
        <v>500</v>
      </c>
      <c r="L38" s="1581">
        <v>14333</v>
      </c>
    </row>
    <row r="39" spans="1:12" x14ac:dyDescent="0.2">
      <c r="A39" s="423" t="s">
        <v>379</v>
      </c>
      <c r="B39" s="2040" t="s">
        <v>1757</v>
      </c>
      <c r="C39" s="2028">
        <v>11</v>
      </c>
      <c r="D39" s="2228" t="s">
        <v>1501</v>
      </c>
      <c r="E39" s="2028">
        <v>21</v>
      </c>
      <c r="F39" s="2181" t="s">
        <v>1271</v>
      </c>
      <c r="G39" s="2028">
        <v>124</v>
      </c>
      <c r="H39" s="2181" t="s">
        <v>1272</v>
      </c>
      <c r="I39" s="2028">
        <v>3002</v>
      </c>
      <c r="J39" s="2181" t="s">
        <v>1769</v>
      </c>
      <c r="K39" s="1236">
        <v>856</v>
      </c>
      <c r="L39" s="1581">
        <v>4014</v>
      </c>
    </row>
    <row r="40" spans="1:12" x14ac:dyDescent="0.2">
      <c r="A40" s="423" t="s">
        <v>380</v>
      </c>
      <c r="B40" s="2040" t="s">
        <v>1315</v>
      </c>
      <c r="C40" s="2028">
        <v>21</v>
      </c>
      <c r="D40" s="2181" t="s">
        <v>350</v>
      </c>
      <c r="E40" s="2028">
        <v>158</v>
      </c>
      <c r="F40" s="2181" t="s">
        <v>1271</v>
      </c>
      <c r="G40" s="2028">
        <v>183</v>
      </c>
      <c r="H40" s="2181" t="s">
        <v>1272</v>
      </c>
      <c r="I40" s="2028">
        <v>10510</v>
      </c>
      <c r="J40" s="2181" t="s">
        <v>351</v>
      </c>
      <c r="K40" s="1236">
        <v>2050</v>
      </c>
      <c r="L40" s="1581">
        <v>12922</v>
      </c>
    </row>
    <row r="41" spans="1:12" x14ac:dyDescent="0.2">
      <c r="A41" s="423" t="s">
        <v>381</v>
      </c>
      <c r="B41" s="1638" t="s">
        <v>1757</v>
      </c>
      <c r="C41" s="2028">
        <v>15</v>
      </c>
      <c r="D41" s="2228" t="s">
        <v>1501</v>
      </c>
      <c r="E41" s="2028">
        <v>30</v>
      </c>
      <c r="F41" s="2181" t="s">
        <v>1271</v>
      </c>
      <c r="G41" s="2028">
        <v>325</v>
      </c>
      <c r="H41" s="2181" t="s">
        <v>1272</v>
      </c>
      <c r="I41" s="2028">
        <v>10250</v>
      </c>
      <c r="J41" s="2181" t="s">
        <v>1769</v>
      </c>
      <c r="K41" s="1236">
        <v>1800</v>
      </c>
      <c r="L41" s="1581">
        <v>12420</v>
      </c>
    </row>
    <row r="42" spans="1:12" x14ac:dyDescent="0.2">
      <c r="A42" s="423" t="s">
        <v>382</v>
      </c>
      <c r="B42" s="2040" t="s">
        <v>1503</v>
      </c>
      <c r="C42" s="2028">
        <v>38</v>
      </c>
      <c r="D42" s="2181" t="s">
        <v>1502</v>
      </c>
      <c r="E42" s="2028">
        <v>140</v>
      </c>
      <c r="F42" s="2181" t="s">
        <v>1505</v>
      </c>
      <c r="G42" s="2028">
        <v>120</v>
      </c>
      <c r="H42" s="2181" t="s">
        <v>1272</v>
      </c>
      <c r="I42" s="2028">
        <v>13965</v>
      </c>
      <c r="J42" s="2181" t="s">
        <v>351</v>
      </c>
      <c r="K42" s="1236">
        <v>2500</v>
      </c>
      <c r="L42" s="1581">
        <v>16763</v>
      </c>
    </row>
    <row r="43" spans="1:12" x14ac:dyDescent="0.2">
      <c r="A43" s="433" t="s">
        <v>383</v>
      </c>
      <c r="B43" s="1639"/>
      <c r="C43" s="2175">
        <v>110</v>
      </c>
      <c r="D43" s="2229"/>
      <c r="E43" s="2175">
        <v>727</v>
      </c>
      <c r="F43" s="2182"/>
      <c r="G43" s="1605">
        <v>1123</v>
      </c>
      <c r="H43" s="2182"/>
      <c r="I43" s="2175">
        <v>76260</v>
      </c>
      <c r="J43" s="2182"/>
      <c r="K43" s="436">
        <v>31850</v>
      </c>
      <c r="L43" s="1551">
        <v>110070</v>
      </c>
    </row>
    <row r="44" spans="1:12" x14ac:dyDescent="0.2">
      <c r="A44" s="423" t="s">
        <v>384</v>
      </c>
      <c r="B44" s="1638"/>
      <c r="C44" s="464">
        <v>0</v>
      </c>
      <c r="D44" s="2181" t="s">
        <v>1501</v>
      </c>
      <c r="E44" s="464">
        <v>284</v>
      </c>
      <c r="F44" s="2181" t="s">
        <v>1508</v>
      </c>
      <c r="G44" s="464">
        <v>245</v>
      </c>
      <c r="H44" s="2181" t="s">
        <v>1098</v>
      </c>
      <c r="I44" s="464">
        <v>21530</v>
      </c>
      <c r="J44" s="2181" t="s">
        <v>1506</v>
      </c>
      <c r="K44" s="425">
        <v>12600</v>
      </c>
      <c r="L44" s="1581">
        <v>34659</v>
      </c>
    </row>
    <row r="45" spans="1:12" x14ac:dyDescent="0.2">
      <c r="A45" s="423" t="s">
        <v>385</v>
      </c>
      <c r="B45" s="2040" t="s">
        <v>1502</v>
      </c>
      <c r="C45" s="464">
        <v>10</v>
      </c>
      <c r="D45" s="2228" t="s">
        <v>350</v>
      </c>
      <c r="E45" s="464">
        <v>18</v>
      </c>
      <c r="F45" s="2181" t="s">
        <v>1271</v>
      </c>
      <c r="G45" s="464">
        <v>218</v>
      </c>
      <c r="H45" s="2181" t="s">
        <v>1599</v>
      </c>
      <c r="I45" s="464">
        <v>5170</v>
      </c>
      <c r="J45" s="2181" t="s">
        <v>1504</v>
      </c>
      <c r="K45" s="425">
        <v>350</v>
      </c>
      <c r="L45" s="1581">
        <v>5766</v>
      </c>
    </row>
    <row r="46" spans="1:12" x14ac:dyDescent="0.2">
      <c r="A46" s="423" t="s">
        <v>386</v>
      </c>
      <c r="B46" s="1638"/>
      <c r="C46" s="464">
        <v>0</v>
      </c>
      <c r="D46" s="2228" t="s">
        <v>1501</v>
      </c>
      <c r="E46" s="464">
        <v>5</v>
      </c>
      <c r="F46" s="2181" t="s">
        <v>1754</v>
      </c>
      <c r="G46" s="464">
        <v>30</v>
      </c>
      <c r="H46" s="2181" t="s">
        <v>1272</v>
      </c>
      <c r="I46" s="464">
        <v>3100</v>
      </c>
      <c r="J46" s="2181" t="s">
        <v>351</v>
      </c>
      <c r="K46" s="425">
        <v>80</v>
      </c>
      <c r="L46" s="1581">
        <v>3215</v>
      </c>
    </row>
    <row r="47" spans="1:12" x14ac:dyDescent="0.2">
      <c r="A47" s="423" t="s">
        <v>387</v>
      </c>
      <c r="B47" s="1638"/>
      <c r="C47" s="464">
        <v>0</v>
      </c>
      <c r="D47" s="2181" t="s">
        <v>350</v>
      </c>
      <c r="E47" s="464">
        <v>25</v>
      </c>
      <c r="F47" s="2181" t="s">
        <v>1760</v>
      </c>
      <c r="G47" s="464">
        <v>30</v>
      </c>
      <c r="H47" s="2181" t="s">
        <v>1759</v>
      </c>
      <c r="I47" s="464">
        <v>25000</v>
      </c>
      <c r="J47" s="2181" t="s">
        <v>351</v>
      </c>
      <c r="K47" s="425">
        <v>4500</v>
      </c>
      <c r="L47" s="1581">
        <v>29555</v>
      </c>
    </row>
    <row r="48" spans="1:12" x14ac:dyDescent="0.2">
      <c r="A48" s="423" t="s">
        <v>388</v>
      </c>
      <c r="B48" s="1638"/>
      <c r="C48" s="464">
        <v>0</v>
      </c>
      <c r="D48" s="2228" t="s">
        <v>350</v>
      </c>
      <c r="E48" s="464">
        <v>95</v>
      </c>
      <c r="F48" s="2181" t="s">
        <v>1504</v>
      </c>
      <c r="G48" s="464">
        <v>110</v>
      </c>
      <c r="H48" s="2181" t="s">
        <v>1598</v>
      </c>
      <c r="I48" s="464">
        <v>2055</v>
      </c>
      <c r="J48" s="2181" t="s">
        <v>351</v>
      </c>
      <c r="K48" s="425">
        <v>285</v>
      </c>
      <c r="L48" s="1581">
        <v>2545</v>
      </c>
    </row>
    <row r="49" spans="1:12" x14ac:dyDescent="0.2">
      <c r="A49" s="423" t="s">
        <v>389</v>
      </c>
      <c r="B49" s="1638"/>
      <c r="C49" s="464">
        <v>0</v>
      </c>
      <c r="D49" s="2228" t="s">
        <v>350</v>
      </c>
      <c r="E49" s="464">
        <v>5</v>
      </c>
      <c r="F49" s="2181" t="s">
        <v>1271</v>
      </c>
      <c r="G49" s="464">
        <v>27</v>
      </c>
      <c r="H49" s="2181" t="s">
        <v>1098</v>
      </c>
      <c r="I49" s="464">
        <v>1560</v>
      </c>
      <c r="J49" s="2181" t="s">
        <v>351</v>
      </c>
      <c r="K49" s="425">
        <v>460</v>
      </c>
      <c r="L49" s="1581">
        <v>2052</v>
      </c>
    </row>
    <row r="50" spans="1:12" x14ac:dyDescent="0.2">
      <c r="A50" s="423" t="s">
        <v>390</v>
      </c>
      <c r="B50" s="1638"/>
      <c r="C50" s="464">
        <v>0</v>
      </c>
      <c r="D50" s="2181" t="s">
        <v>350</v>
      </c>
      <c r="E50" s="464">
        <v>45</v>
      </c>
      <c r="F50" s="2181" t="s">
        <v>1504</v>
      </c>
      <c r="G50" s="464">
        <v>28</v>
      </c>
      <c r="H50" s="2181" t="s">
        <v>1272</v>
      </c>
      <c r="I50" s="464">
        <v>2050</v>
      </c>
      <c r="J50" s="2181" t="s">
        <v>351</v>
      </c>
      <c r="K50" s="425">
        <v>1250</v>
      </c>
      <c r="L50" s="1581">
        <v>3373</v>
      </c>
    </row>
    <row r="51" spans="1:12" x14ac:dyDescent="0.2">
      <c r="A51" s="423" t="s">
        <v>941</v>
      </c>
      <c r="B51" s="1638"/>
      <c r="C51" s="464">
        <v>0</v>
      </c>
      <c r="D51" s="2228" t="s">
        <v>1504</v>
      </c>
      <c r="E51" s="464">
        <v>200</v>
      </c>
      <c r="F51" s="2181" t="s">
        <v>1760</v>
      </c>
      <c r="G51" s="464">
        <v>185</v>
      </c>
      <c r="H51" s="2181" t="s">
        <v>1098</v>
      </c>
      <c r="I51" s="464">
        <v>11925</v>
      </c>
      <c r="J51" s="2181" t="s">
        <v>351</v>
      </c>
      <c r="K51" s="425">
        <v>10025</v>
      </c>
      <c r="L51" s="1581">
        <v>22335</v>
      </c>
    </row>
    <row r="52" spans="1:12" x14ac:dyDescent="0.2">
      <c r="A52" s="423" t="s">
        <v>392</v>
      </c>
      <c r="B52" s="1638" t="s">
        <v>350</v>
      </c>
      <c r="C52" s="464">
        <v>100</v>
      </c>
      <c r="D52" s="2228" t="s">
        <v>350</v>
      </c>
      <c r="E52" s="464">
        <v>50</v>
      </c>
      <c r="F52" s="2181" t="s">
        <v>1504</v>
      </c>
      <c r="G52" s="464">
        <v>250</v>
      </c>
      <c r="H52" s="2181" t="s">
        <v>1766</v>
      </c>
      <c r="I52" s="464">
        <v>3870</v>
      </c>
      <c r="J52" s="2181" t="s">
        <v>1506</v>
      </c>
      <c r="K52" s="425">
        <v>2300</v>
      </c>
      <c r="L52" s="1581">
        <v>6570</v>
      </c>
    </row>
    <row r="53" spans="1:12" x14ac:dyDescent="0.2">
      <c r="A53" s="332"/>
      <c r="B53" s="1638"/>
      <c r="C53" s="2033"/>
      <c r="D53" s="1640"/>
      <c r="E53" s="2177"/>
      <c r="F53" s="2179"/>
      <c r="G53" s="335"/>
      <c r="H53" s="2183"/>
      <c r="I53" s="335"/>
      <c r="J53" s="2179"/>
      <c r="K53" s="335"/>
      <c r="L53" s="2186"/>
    </row>
    <row r="54" spans="1:12" ht="13.5" thickBot="1" x14ac:dyDescent="0.25">
      <c r="A54" s="339" t="s">
        <v>393</v>
      </c>
      <c r="B54" s="2041" t="s">
        <v>1315</v>
      </c>
      <c r="C54" s="2176">
        <v>1420</v>
      </c>
      <c r="D54" s="1641" t="s">
        <v>350</v>
      </c>
      <c r="E54" s="2176">
        <v>7461</v>
      </c>
      <c r="F54" s="2180" t="s">
        <v>1271</v>
      </c>
      <c r="G54" s="343">
        <v>8094</v>
      </c>
      <c r="H54" s="2184" t="s">
        <v>1272</v>
      </c>
      <c r="I54" s="343">
        <v>522355</v>
      </c>
      <c r="J54" s="2180" t="s">
        <v>351</v>
      </c>
      <c r="K54" s="343">
        <v>113682</v>
      </c>
      <c r="L54" s="2187">
        <v>653012</v>
      </c>
    </row>
    <row r="55" spans="1:12" ht="13.5" thickTop="1" x14ac:dyDescent="0.2">
      <c r="A55" s="7" t="s">
        <v>1934</v>
      </c>
      <c r="B55" s="7"/>
      <c r="C55" s="7"/>
      <c r="L55" s="176"/>
    </row>
    <row r="56" spans="1:12" x14ac:dyDescent="0.2">
      <c r="A56" s="373" t="s">
        <v>1753</v>
      </c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</row>
    <row r="57" spans="1:12" x14ac:dyDescent="0.2">
      <c r="A57" s="8" t="s">
        <v>1767</v>
      </c>
      <c r="B57" s="225"/>
      <c r="C57" s="225"/>
    </row>
    <row r="58" spans="1:12" x14ac:dyDescent="0.2">
      <c r="A58" s="9" t="s">
        <v>1763</v>
      </c>
      <c r="B58" s="224"/>
      <c r="C58" s="224"/>
    </row>
    <row r="59" spans="1:12" x14ac:dyDescent="0.2">
      <c r="A59" s="224"/>
      <c r="B59" s="224"/>
      <c r="C59" s="224"/>
      <c r="L59" s="348"/>
    </row>
    <row r="60" spans="1:12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</sheetData>
  <sortState ref="A62:C98">
    <sortCondition ref="B62:B98"/>
  </sortState>
  <mergeCells count="10">
    <mergeCell ref="A3:L3"/>
    <mergeCell ref="A4:L4"/>
    <mergeCell ref="A5:L5"/>
    <mergeCell ref="F9:G9"/>
    <mergeCell ref="H9:I9"/>
    <mergeCell ref="J9:K9"/>
    <mergeCell ref="L8:L10"/>
    <mergeCell ref="B7:L7"/>
    <mergeCell ref="B8:C8"/>
    <mergeCell ref="D8:E8"/>
  </mergeCells>
  <phoneticPr fontId="13" type="noConversion"/>
  <pageMargins left="0.78740157480314965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5"/>
  <sheetViews>
    <sheetView zoomScale="90" zoomScaleNormal="90" workbookViewId="0">
      <selection sqref="A1:N1"/>
    </sheetView>
  </sheetViews>
  <sheetFormatPr baseColWidth="10" defaultColWidth="11.42578125" defaultRowHeight="12.75" x14ac:dyDescent="0.2"/>
  <cols>
    <col min="1" max="1" width="12.140625" customWidth="1"/>
    <col min="2" max="2" width="9.7109375" customWidth="1"/>
    <col min="3" max="3" width="13.42578125" customWidth="1"/>
    <col min="4" max="4" width="12.85546875" bestFit="1" customWidth="1"/>
    <col min="5" max="5" width="12.28515625" customWidth="1"/>
    <col min="6" max="6" width="12.7109375" customWidth="1"/>
    <col min="7" max="7" width="13.5703125" bestFit="1" customWidth="1"/>
    <col min="8" max="8" width="12.140625" customWidth="1"/>
    <col min="9" max="9" width="12.85546875" customWidth="1"/>
    <col min="10" max="10" width="11.140625" customWidth="1"/>
    <col min="11" max="11" width="12.85546875" customWidth="1"/>
    <col min="12" max="12" width="12.5703125" customWidth="1"/>
    <col min="13" max="13" width="12.140625" customWidth="1"/>
    <col min="14" max="14" width="11.140625" customWidth="1"/>
  </cols>
  <sheetData>
    <row r="1" spans="1:14" ht="15" customHeight="1" x14ac:dyDescent="0.3">
      <c r="A1" s="3063" t="s">
        <v>324</v>
      </c>
      <c r="B1" s="3063"/>
      <c r="C1" s="3063"/>
      <c r="D1" s="3063"/>
      <c r="E1" s="3063"/>
      <c r="F1" s="3063"/>
      <c r="G1" s="3063"/>
      <c r="H1" s="3063"/>
      <c r="I1" s="3063"/>
      <c r="J1" s="3063"/>
      <c r="K1" s="3063"/>
      <c r="L1" s="3063"/>
      <c r="M1" s="3063"/>
      <c r="N1" s="3063"/>
    </row>
    <row r="2" spans="1:14" ht="13.5" customHeight="1" x14ac:dyDescent="0.2">
      <c r="A2" s="3058" t="s">
        <v>1275</v>
      </c>
      <c r="B2" s="3058"/>
      <c r="C2" s="3058"/>
      <c r="D2" s="3058"/>
      <c r="E2" s="3058"/>
      <c r="F2" s="3058"/>
      <c r="G2" s="3058"/>
      <c r="H2" s="3058"/>
      <c r="I2" s="3058"/>
      <c r="J2" s="3058"/>
      <c r="K2" s="3058"/>
      <c r="L2" s="3058"/>
      <c r="M2" s="3058"/>
      <c r="N2" s="3058"/>
    </row>
    <row r="3" spans="1:14" ht="16.5" customHeight="1" x14ac:dyDescent="0.2">
      <c r="A3" s="3059" t="s">
        <v>2028</v>
      </c>
      <c r="B3" s="3059"/>
      <c r="C3" s="3059"/>
      <c r="D3" s="3059"/>
      <c r="E3" s="3059"/>
      <c r="F3" s="3059"/>
      <c r="G3" s="3059"/>
      <c r="H3" s="3059"/>
      <c r="I3" s="3059"/>
      <c r="J3" s="3059"/>
      <c r="K3" s="3059"/>
      <c r="L3" s="3059"/>
      <c r="M3" s="3059"/>
      <c r="N3" s="3059"/>
    </row>
    <row r="5" spans="1:14" ht="15.75" thickBot="1" x14ac:dyDescent="0.3">
      <c r="A5" s="366"/>
    </row>
    <row r="6" spans="1:14" ht="16.5" thickTop="1" x14ac:dyDescent="0.25">
      <c r="A6" s="374"/>
      <c r="B6" s="3068" t="s">
        <v>21</v>
      </c>
      <c r="C6" s="3069"/>
      <c r="D6" s="3069"/>
      <c r="E6" s="3069"/>
      <c r="F6" s="3069"/>
      <c r="G6" s="3069"/>
      <c r="H6" s="3069"/>
      <c r="I6" s="3069"/>
      <c r="J6" s="3069"/>
      <c r="K6" s="3069"/>
      <c r="L6" s="3069"/>
      <c r="M6" s="3069"/>
      <c r="N6" s="3073" t="s">
        <v>1509</v>
      </c>
    </row>
    <row r="7" spans="1:14" x14ac:dyDescent="0.2">
      <c r="A7" s="375"/>
      <c r="B7" s="3038" t="s">
        <v>1227</v>
      </c>
      <c r="C7" s="3054"/>
      <c r="D7" s="3039"/>
      <c r="E7" s="3038" t="s">
        <v>22</v>
      </c>
      <c r="F7" s="3054"/>
      <c r="G7" s="3039"/>
      <c r="H7" s="3038" t="s">
        <v>23</v>
      </c>
      <c r="I7" s="3054"/>
      <c r="J7" s="3054"/>
      <c r="K7" s="3052" t="s">
        <v>433</v>
      </c>
      <c r="L7" s="3050"/>
      <c r="M7" s="3050"/>
      <c r="N7" s="3074"/>
    </row>
    <row r="8" spans="1:14" x14ac:dyDescent="0.2">
      <c r="A8" s="376" t="s">
        <v>327</v>
      </c>
      <c r="B8" s="3070" t="s">
        <v>1525</v>
      </c>
      <c r="C8" s="380" t="s">
        <v>1278</v>
      </c>
      <c r="D8" s="450" t="s">
        <v>1279</v>
      </c>
      <c r="E8" s="379" t="s">
        <v>1277</v>
      </c>
      <c r="F8" s="380" t="s">
        <v>1278</v>
      </c>
      <c r="G8" s="450" t="s">
        <v>1279</v>
      </c>
      <c r="H8" s="379" t="s">
        <v>1277</v>
      </c>
      <c r="I8" s="380" t="s">
        <v>1278</v>
      </c>
      <c r="J8" s="450" t="s">
        <v>1279</v>
      </c>
      <c r="K8" s="377" t="s">
        <v>1277</v>
      </c>
      <c r="L8" s="378" t="s">
        <v>1278</v>
      </c>
      <c r="M8" s="356" t="s">
        <v>1279</v>
      </c>
      <c r="N8" s="3074"/>
    </row>
    <row r="9" spans="1:14" x14ac:dyDescent="0.2">
      <c r="A9" s="375"/>
      <c r="B9" s="3071"/>
      <c r="C9" s="380" t="s">
        <v>1282</v>
      </c>
      <c r="D9" s="450" t="s">
        <v>1283</v>
      </c>
      <c r="E9" s="379" t="s">
        <v>1281</v>
      </c>
      <c r="F9" s="380" t="s">
        <v>1282</v>
      </c>
      <c r="G9" s="450" t="s">
        <v>1283</v>
      </c>
      <c r="H9" s="379" t="s">
        <v>1281</v>
      </c>
      <c r="I9" s="380" t="s">
        <v>1282</v>
      </c>
      <c r="J9" s="450" t="s">
        <v>1283</v>
      </c>
      <c r="K9" s="379" t="s">
        <v>1281</v>
      </c>
      <c r="L9" s="380" t="s">
        <v>1282</v>
      </c>
      <c r="M9" s="450" t="s">
        <v>1283</v>
      </c>
      <c r="N9" s="3074"/>
    </row>
    <row r="10" spans="1:14" ht="13.5" thickBot="1" x14ac:dyDescent="0.25">
      <c r="A10" s="383"/>
      <c r="B10" s="3072"/>
      <c r="C10" s="385" t="s">
        <v>1285</v>
      </c>
      <c r="D10" s="386" t="s">
        <v>1286</v>
      </c>
      <c r="E10" s="384"/>
      <c r="F10" s="385" t="s">
        <v>1285</v>
      </c>
      <c r="G10" s="386" t="s">
        <v>1286</v>
      </c>
      <c r="H10" s="384"/>
      <c r="I10" s="385" t="s">
        <v>1285</v>
      </c>
      <c r="J10" s="386" t="s">
        <v>1286</v>
      </c>
      <c r="K10" s="384"/>
      <c r="L10" s="385" t="s">
        <v>1285</v>
      </c>
      <c r="M10" s="386" t="s">
        <v>1286</v>
      </c>
      <c r="N10" s="3075"/>
    </row>
    <row r="11" spans="1:14" x14ac:dyDescent="0.2">
      <c r="A11" s="1211" t="s">
        <v>352</v>
      </c>
      <c r="B11" s="387">
        <v>3.4575163398692812</v>
      </c>
      <c r="C11" s="388">
        <v>35190</v>
      </c>
      <c r="D11" s="1232">
        <v>44409550</v>
      </c>
      <c r="E11" s="387">
        <v>10.126227208976157</v>
      </c>
      <c r="F11" s="388">
        <v>3565</v>
      </c>
      <c r="G11" s="1232">
        <v>13176500</v>
      </c>
      <c r="H11" s="387">
        <v>5.4720394736842106</v>
      </c>
      <c r="I11" s="388">
        <v>6080</v>
      </c>
      <c r="J11" s="1232">
        <v>12143550</v>
      </c>
      <c r="K11" s="2296">
        <v>5.0685069545927988</v>
      </c>
      <c r="L11" s="388">
        <v>44835</v>
      </c>
      <c r="M11" s="1232">
        <v>69729600</v>
      </c>
      <c r="N11" s="1897">
        <v>2161.9199999999996</v>
      </c>
    </row>
    <row r="12" spans="1:14" x14ac:dyDescent="0.2">
      <c r="A12" s="423" t="s">
        <v>31</v>
      </c>
      <c r="B12" s="1212">
        <v>3.4</v>
      </c>
      <c r="C12" s="424">
        <v>3280</v>
      </c>
      <c r="D12" s="464">
        <v>4070480</v>
      </c>
      <c r="E12" s="1212">
        <v>10</v>
      </c>
      <c r="F12" s="424">
        <v>600</v>
      </c>
      <c r="G12" s="464">
        <v>2190000</v>
      </c>
      <c r="H12" s="1212">
        <v>5</v>
      </c>
      <c r="I12" s="424">
        <v>1500</v>
      </c>
      <c r="J12" s="464">
        <v>2737500</v>
      </c>
      <c r="K12" s="1212">
        <v>5.4931364595164691</v>
      </c>
      <c r="L12" s="424">
        <v>5380</v>
      </c>
      <c r="M12" s="1812">
        <v>8997980</v>
      </c>
      <c r="N12" s="1898">
        <v>2183.9999999999995</v>
      </c>
    </row>
    <row r="13" spans="1:14" x14ac:dyDescent="0.2">
      <c r="A13" s="423" t="s">
        <v>32</v>
      </c>
      <c r="B13" s="1212">
        <v>3.2</v>
      </c>
      <c r="C13" s="424">
        <v>3980</v>
      </c>
      <c r="D13" s="464">
        <v>4648640</v>
      </c>
      <c r="E13" s="1212">
        <v>10</v>
      </c>
      <c r="F13" s="424">
        <v>500</v>
      </c>
      <c r="G13" s="464">
        <v>1825000</v>
      </c>
      <c r="H13" s="1212">
        <v>4.5</v>
      </c>
      <c r="I13" s="424">
        <v>900</v>
      </c>
      <c r="J13" s="464">
        <v>1478250</v>
      </c>
      <c r="K13" s="1212">
        <v>5.0023042320756455</v>
      </c>
      <c r="L13" s="424">
        <v>5380</v>
      </c>
      <c r="M13" s="1812">
        <v>7951890</v>
      </c>
      <c r="N13" s="1898">
        <v>2335.1999999999998</v>
      </c>
    </row>
    <row r="14" spans="1:14" x14ac:dyDescent="0.2">
      <c r="A14" s="423" t="s">
        <v>33</v>
      </c>
      <c r="B14" s="1212">
        <v>3.5</v>
      </c>
      <c r="C14" s="424">
        <v>2300</v>
      </c>
      <c r="D14" s="464">
        <v>2938250</v>
      </c>
      <c r="E14" s="1212">
        <v>11</v>
      </c>
      <c r="F14" s="424">
        <v>150</v>
      </c>
      <c r="G14" s="464">
        <v>602250</v>
      </c>
      <c r="H14" s="1212">
        <v>6</v>
      </c>
      <c r="I14" s="424">
        <v>400</v>
      </c>
      <c r="J14" s="464">
        <v>876000</v>
      </c>
      <c r="K14" s="1212">
        <v>5.0185950413223139</v>
      </c>
      <c r="L14" s="424">
        <v>2850</v>
      </c>
      <c r="M14" s="1812">
        <v>4416500</v>
      </c>
      <c r="N14" s="1898">
        <v>2183.9999999999995</v>
      </c>
    </row>
    <row r="15" spans="1:14" x14ac:dyDescent="0.2">
      <c r="A15" s="423" t="s">
        <v>34</v>
      </c>
      <c r="B15" s="1212">
        <v>3.5</v>
      </c>
      <c r="C15" s="424">
        <v>3500</v>
      </c>
      <c r="D15" s="464">
        <v>4471250</v>
      </c>
      <c r="E15" s="1212">
        <v>10</v>
      </c>
      <c r="F15" s="424">
        <v>400</v>
      </c>
      <c r="G15" s="464">
        <v>1460000</v>
      </c>
      <c r="H15" s="1212">
        <v>6</v>
      </c>
      <c r="I15" s="424">
        <v>500</v>
      </c>
      <c r="J15" s="464">
        <v>1095000</v>
      </c>
      <c r="K15" s="1212">
        <v>5.2402597402597406</v>
      </c>
      <c r="L15" s="424">
        <v>4400</v>
      </c>
      <c r="M15" s="1812">
        <v>7026250</v>
      </c>
      <c r="N15" s="1898">
        <v>2385.5999999999995</v>
      </c>
    </row>
    <row r="16" spans="1:14" x14ac:dyDescent="0.2">
      <c r="A16" s="423" t="s">
        <v>35</v>
      </c>
      <c r="B16" s="1212">
        <v>3.2</v>
      </c>
      <c r="C16" s="424">
        <v>2000</v>
      </c>
      <c r="D16" s="464">
        <v>2336000</v>
      </c>
      <c r="E16" s="1212">
        <v>0</v>
      </c>
      <c r="F16" s="424">
        <v>0</v>
      </c>
      <c r="G16" s="464">
        <v>0</v>
      </c>
      <c r="H16" s="1212">
        <v>5</v>
      </c>
      <c r="I16" s="424">
        <v>150</v>
      </c>
      <c r="J16" s="464">
        <v>273750</v>
      </c>
      <c r="K16" s="1212">
        <v>3.3888111888111889</v>
      </c>
      <c r="L16" s="424">
        <v>2150</v>
      </c>
      <c r="M16" s="1812">
        <v>2609750</v>
      </c>
      <c r="N16" s="1898">
        <v>2183.9999999999995</v>
      </c>
    </row>
    <row r="17" spans="1:14" x14ac:dyDescent="0.2">
      <c r="A17" s="423" t="s">
        <v>36</v>
      </c>
      <c r="B17" s="1212">
        <v>4</v>
      </c>
      <c r="C17" s="424">
        <v>2500</v>
      </c>
      <c r="D17" s="464">
        <v>3650000</v>
      </c>
      <c r="E17" s="1212">
        <v>0</v>
      </c>
      <c r="F17" s="424">
        <v>0</v>
      </c>
      <c r="G17" s="464">
        <v>0</v>
      </c>
      <c r="H17" s="1212">
        <v>7</v>
      </c>
      <c r="I17" s="424">
        <v>500</v>
      </c>
      <c r="J17" s="464">
        <v>1277500</v>
      </c>
      <c r="K17" s="1212">
        <v>4.7777777777777777</v>
      </c>
      <c r="L17" s="424">
        <v>3000</v>
      </c>
      <c r="M17" s="1812">
        <v>4927500</v>
      </c>
      <c r="N17" s="1898">
        <v>1965.6</v>
      </c>
    </row>
    <row r="18" spans="1:14" x14ac:dyDescent="0.2">
      <c r="A18" s="423" t="s">
        <v>937</v>
      </c>
      <c r="B18" s="1212">
        <v>3.2</v>
      </c>
      <c r="C18" s="424">
        <v>800</v>
      </c>
      <c r="D18" s="464">
        <v>934400</v>
      </c>
      <c r="E18" s="1212">
        <v>10</v>
      </c>
      <c r="F18" s="424">
        <v>80</v>
      </c>
      <c r="G18" s="464">
        <v>292000</v>
      </c>
      <c r="H18" s="1212">
        <v>5</v>
      </c>
      <c r="I18" s="424">
        <v>240</v>
      </c>
      <c r="J18" s="464">
        <v>438000</v>
      </c>
      <c r="K18" s="1212">
        <v>4.8666666666666663</v>
      </c>
      <c r="L18" s="424">
        <v>1120</v>
      </c>
      <c r="M18" s="1812">
        <v>1664400</v>
      </c>
      <c r="N18" s="1898">
        <v>2402.3999999999996</v>
      </c>
    </row>
    <row r="19" spans="1:14" x14ac:dyDescent="0.2">
      <c r="A19" s="423" t="s">
        <v>37</v>
      </c>
      <c r="B19" s="1212">
        <v>3.6</v>
      </c>
      <c r="C19" s="424">
        <v>1340</v>
      </c>
      <c r="D19" s="464">
        <v>1760760</v>
      </c>
      <c r="E19" s="1212">
        <v>10</v>
      </c>
      <c r="F19" s="424">
        <v>25</v>
      </c>
      <c r="G19" s="464">
        <v>91250</v>
      </c>
      <c r="H19" s="1212">
        <v>4.5</v>
      </c>
      <c r="I19" s="424">
        <v>200</v>
      </c>
      <c r="J19" s="464">
        <v>328500</v>
      </c>
      <c r="K19" s="1212">
        <v>4.0034147974556413</v>
      </c>
      <c r="L19" s="424">
        <v>1565</v>
      </c>
      <c r="M19" s="1812">
        <v>2180510</v>
      </c>
      <c r="N19" s="1898">
        <v>1965.6</v>
      </c>
    </row>
    <row r="20" spans="1:14" x14ac:dyDescent="0.2">
      <c r="A20" s="423" t="s">
        <v>1357</v>
      </c>
      <c r="B20" s="1212">
        <v>3.5</v>
      </c>
      <c r="C20" s="424">
        <v>4160</v>
      </c>
      <c r="D20" s="464">
        <v>5314400</v>
      </c>
      <c r="E20" s="1212">
        <v>10</v>
      </c>
      <c r="F20" s="424">
        <v>650</v>
      </c>
      <c r="G20" s="464">
        <v>2372500</v>
      </c>
      <c r="H20" s="1212">
        <v>6</v>
      </c>
      <c r="I20" s="424">
        <v>350</v>
      </c>
      <c r="J20" s="464">
        <v>766500</v>
      </c>
      <c r="K20" s="1212">
        <v>5.5509499136442138</v>
      </c>
      <c r="L20" s="424">
        <v>5160</v>
      </c>
      <c r="M20" s="1812">
        <v>8453400</v>
      </c>
      <c r="N20" s="1898">
        <v>2183.9999999999995</v>
      </c>
    </row>
    <row r="21" spans="1:14" x14ac:dyDescent="0.2">
      <c r="A21" s="1873" t="s">
        <v>38</v>
      </c>
      <c r="B21" s="1212">
        <v>3.7</v>
      </c>
      <c r="C21" s="424">
        <v>2500</v>
      </c>
      <c r="D21" s="464">
        <v>3376250</v>
      </c>
      <c r="E21" s="1212">
        <v>10</v>
      </c>
      <c r="F21" s="424">
        <v>260</v>
      </c>
      <c r="G21" s="464">
        <v>949000</v>
      </c>
      <c r="H21" s="1212">
        <v>6</v>
      </c>
      <c r="I21" s="424">
        <v>270</v>
      </c>
      <c r="J21" s="464">
        <v>591300</v>
      </c>
      <c r="K21" s="1212">
        <v>5.192650334075724</v>
      </c>
      <c r="L21" s="424">
        <v>3030</v>
      </c>
      <c r="M21" s="1812">
        <v>4916550</v>
      </c>
      <c r="N21" s="1898">
        <v>2183.9999999999995</v>
      </c>
    </row>
    <row r="22" spans="1:14" x14ac:dyDescent="0.2">
      <c r="A22" s="423" t="s">
        <v>39</v>
      </c>
      <c r="B22" s="2106">
        <v>4</v>
      </c>
      <c r="C22" s="424">
        <v>820</v>
      </c>
      <c r="D22" s="464">
        <v>1197200</v>
      </c>
      <c r="E22" s="1212">
        <v>9</v>
      </c>
      <c r="F22" s="424">
        <v>100</v>
      </c>
      <c r="G22" s="464">
        <v>328500</v>
      </c>
      <c r="H22" s="1212">
        <v>6</v>
      </c>
      <c r="I22" s="424">
        <v>270</v>
      </c>
      <c r="J22" s="464">
        <v>591300</v>
      </c>
      <c r="K22" s="1212">
        <v>5.3344827586206893</v>
      </c>
      <c r="L22" s="424">
        <v>1190</v>
      </c>
      <c r="M22" s="1812">
        <v>2117000</v>
      </c>
      <c r="N22" s="1898">
        <v>1920</v>
      </c>
    </row>
    <row r="23" spans="1:14" x14ac:dyDescent="0.2">
      <c r="A23" s="423" t="s">
        <v>364</v>
      </c>
      <c r="B23" s="1212">
        <v>3</v>
      </c>
      <c r="C23" s="424">
        <v>2300</v>
      </c>
      <c r="D23" s="464">
        <v>2518500</v>
      </c>
      <c r="E23" s="1212">
        <v>10</v>
      </c>
      <c r="F23" s="424">
        <v>400</v>
      </c>
      <c r="G23" s="464">
        <v>1460000</v>
      </c>
      <c r="H23" s="1212">
        <v>5</v>
      </c>
      <c r="I23" s="424">
        <v>370</v>
      </c>
      <c r="J23" s="464">
        <v>675250</v>
      </c>
      <c r="K23" s="1212">
        <v>5.4862745098039216</v>
      </c>
      <c r="L23" s="424">
        <v>3070</v>
      </c>
      <c r="M23" s="1812">
        <v>4653750</v>
      </c>
      <c r="N23" s="1898">
        <v>2049.6</v>
      </c>
    </row>
    <row r="24" spans="1:14" x14ac:dyDescent="0.2">
      <c r="A24" s="423" t="s">
        <v>40</v>
      </c>
      <c r="B24" s="1212">
        <v>3.4</v>
      </c>
      <c r="C24" s="424">
        <v>950</v>
      </c>
      <c r="D24" s="464">
        <v>1178950</v>
      </c>
      <c r="E24" s="1212">
        <v>0</v>
      </c>
      <c r="F24" s="424">
        <v>0</v>
      </c>
      <c r="G24" s="464">
        <v>0</v>
      </c>
      <c r="H24" s="1212">
        <v>7</v>
      </c>
      <c r="I24" s="424">
        <v>200</v>
      </c>
      <c r="J24" s="464">
        <v>511000</v>
      </c>
      <c r="K24" s="1212">
        <v>4.4885529157667392</v>
      </c>
      <c r="L24" s="424">
        <v>1150</v>
      </c>
      <c r="M24" s="1812">
        <v>1689950</v>
      </c>
      <c r="N24" s="1898">
        <v>2183.9999999999995</v>
      </c>
    </row>
    <row r="25" spans="1:14" x14ac:dyDescent="0.2">
      <c r="A25" s="423" t="s">
        <v>41</v>
      </c>
      <c r="B25" s="1212">
        <v>3.1</v>
      </c>
      <c r="C25" s="424">
        <v>2300</v>
      </c>
      <c r="D25" s="464">
        <v>2602450</v>
      </c>
      <c r="E25" s="1212">
        <v>0</v>
      </c>
      <c r="F25" s="424">
        <v>0</v>
      </c>
      <c r="G25" s="464">
        <v>0</v>
      </c>
      <c r="H25" s="1212">
        <v>0</v>
      </c>
      <c r="I25" s="424">
        <v>0</v>
      </c>
      <c r="J25" s="464">
        <v>0</v>
      </c>
      <c r="K25" s="1212">
        <v>3.1</v>
      </c>
      <c r="L25" s="424">
        <v>2300</v>
      </c>
      <c r="M25" s="1812">
        <v>2602450</v>
      </c>
      <c r="N25" s="1898">
        <v>2116.7999999999997</v>
      </c>
    </row>
    <row r="26" spans="1:14" x14ac:dyDescent="0.2">
      <c r="A26" s="423" t="s">
        <v>1360</v>
      </c>
      <c r="B26" s="1212">
        <v>3.8</v>
      </c>
      <c r="C26" s="424">
        <v>2460</v>
      </c>
      <c r="D26" s="464">
        <v>3412020</v>
      </c>
      <c r="E26" s="1212">
        <v>11</v>
      </c>
      <c r="F26" s="424">
        <v>400</v>
      </c>
      <c r="G26" s="464">
        <v>1606000</v>
      </c>
      <c r="H26" s="1212">
        <v>6</v>
      </c>
      <c r="I26" s="424">
        <v>230</v>
      </c>
      <c r="J26" s="464">
        <v>503700</v>
      </c>
      <c r="K26" s="1212">
        <v>6.0948175568482279</v>
      </c>
      <c r="L26" s="424">
        <v>3090</v>
      </c>
      <c r="M26" s="1812">
        <v>5521720</v>
      </c>
      <c r="N26" s="1898">
        <v>2183.9999999999995</v>
      </c>
    </row>
    <row r="27" spans="1:14" x14ac:dyDescent="0.2">
      <c r="A27" s="1214" t="s">
        <v>368</v>
      </c>
      <c r="B27" s="387">
        <v>4.1124309392265195</v>
      </c>
      <c r="C27" s="435">
        <v>7240</v>
      </c>
      <c r="D27" s="1642">
        <v>10867510</v>
      </c>
      <c r="E27" s="387">
        <v>11.035714285714285</v>
      </c>
      <c r="F27" s="435">
        <v>700</v>
      </c>
      <c r="G27" s="1642">
        <v>2819625</v>
      </c>
      <c r="H27" s="387">
        <v>6.7452229299363058</v>
      </c>
      <c r="I27" s="435">
        <v>1570</v>
      </c>
      <c r="J27" s="1642">
        <v>3865350</v>
      </c>
      <c r="K27" s="2296">
        <v>5.8043694497639526</v>
      </c>
      <c r="L27" s="435">
        <v>9510</v>
      </c>
      <c r="M27" s="1642">
        <v>17552485</v>
      </c>
      <c r="N27" s="1899">
        <v>2170.56</v>
      </c>
    </row>
    <row r="28" spans="1:14" x14ac:dyDescent="0.2">
      <c r="A28" s="423" t="s">
        <v>42</v>
      </c>
      <c r="B28" s="1212">
        <v>3.8</v>
      </c>
      <c r="C28" s="424">
        <v>2600</v>
      </c>
      <c r="D28" s="464">
        <v>3606200</v>
      </c>
      <c r="E28" s="1212">
        <v>10.5</v>
      </c>
      <c r="F28" s="424">
        <v>250</v>
      </c>
      <c r="G28" s="464">
        <v>958125</v>
      </c>
      <c r="H28" s="1212">
        <v>5</v>
      </c>
      <c r="I28" s="424">
        <v>250</v>
      </c>
      <c r="J28" s="464">
        <v>456250</v>
      </c>
      <c r="K28" s="1212">
        <v>5.1876772082878961</v>
      </c>
      <c r="L28" s="424">
        <v>3100</v>
      </c>
      <c r="M28" s="1812">
        <v>5020575</v>
      </c>
      <c r="N28" s="1898">
        <v>2116.7999999999997</v>
      </c>
    </row>
    <row r="29" spans="1:14" x14ac:dyDescent="0.2">
      <c r="A29" s="423" t="s">
        <v>43</v>
      </c>
      <c r="B29" s="1212">
        <v>4</v>
      </c>
      <c r="C29" s="424">
        <v>320</v>
      </c>
      <c r="D29" s="464">
        <v>467200</v>
      </c>
      <c r="E29" s="1212">
        <v>14</v>
      </c>
      <c r="F29" s="424">
        <v>100</v>
      </c>
      <c r="G29" s="464">
        <v>511000</v>
      </c>
      <c r="H29" s="1212">
        <v>8</v>
      </c>
      <c r="I29" s="424">
        <v>250</v>
      </c>
      <c r="J29" s="464">
        <v>730000</v>
      </c>
      <c r="K29" s="1212">
        <v>8.7008547008547019</v>
      </c>
      <c r="L29" s="424">
        <v>670</v>
      </c>
      <c r="M29" s="1812">
        <v>1708200</v>
      </c>
      <c r="N29" s="1898">
        <v>2183.9999999999995</v>
      </c>
    </row>
    <row r="30" spans="1:14" x14ac:dyDescent="0.2">
      <c r="A30" s="423" t="s">
        <v>44</v>
      </c>
      <c r="B30" s="1212">
        <v>3.5</v>
      </c>
      <c r="C30" s="424">
        <v>400</v>
      </c>
      <c r="D30" s="464">
        <v>511000</v>
      </c>
      <c r="E30" s="1212">
        <v>10</v>
      </c>
      <c r="F30" s="424">
        <v>30</v>
      </c>
      <c r="G30" s="464">
        <v>109500</v>
      </c>
      <c r="H30" s="1212">
        <v>6</v>
      </c>
      <c r="I30" s="424">
        <v>150</v>
      </c>
      <c r="J30" s="464">
        <v>328500</v>
      </c>
      <c r="K30" s="1212">
        <v>5.115384615384615</v>
      </c>
      <c r="L30" s="424">
        <v>580</v>
      </c>
      <c r="M30" s="1812">
        <v>949000</v>
      </c>
      <c r="N30" s="1898">
        <v>2183.9999999999995</v>
      </c>
    </row>
    <row r="31" spans="1:14" x14ac:dyDescent="0.2">
      <c r="A31" s="423" t="s">
        <v>45</v>
      </c>
      <c r="B31" s="1212">
        <v>4.2</v>
      </c>
      <c r="C31" s="424">
        <v>1420</v>
      </c>
      <c r="D31" s="464">
        <v>2176860</v>
      </c>
      <c r="E31" s="1212">
        <v>12</v>
      </c>
      <c r="F31" s="424">
        <v>100</v>
      </c>
      <c r="G31" s="464">
        <v>438000</v>
      </c>
      <c r="H31" s="1212">
        <v>7</v>
      </c>
      <c r="I31" s="424">
        <v>250</v>
      </c>
      <c r="J31" s="464">
        <v>638750</v>
      </c>
      <c r="K31" s="1212">
        <v>5.7997307606013013</v>
      </c>
      <c r="L31" s="424">
        <v>1770</v>
      </c>
      <c r="M31" s="1812">
        <v>3253610</v>
      </c>
      <c r="N31" s="1898">
        <v>2183.9999999999995</v>
      </c>
    </row>
    <row r="32" spans="1:14" x14ac:dyDescent="0.2">
      <c r="A32" s="423" t="s">
        <v>373</v>
      </c>
      <c r="B32" s="1212">
        <v>4.5</v>
      </c>
      <c r="C32" s="424">
        <v>2500</v>
      </c>
      <c r="D32" s="464">
        <v>4106250</v>
      </c>
      <c r="E32" s="1212">
        <v>10</v>
      </c>
      <c r="F32" s="424">
        <v>220</v>
      </c>
      <c r="G32" s="464">
        <v>803000</v>
      </c>
      <c r="H32" s="1212">
        <v>7</v>
      </c>
      <c r="I32" s="424">
        <v>670</v>
      </c>
      <c r="J32" s="464">
        <v>1711850</v>
      </c>
      <c r="K32" s="1212">
        <v>5.8133958103638363</v>
      </c>
      <c r="L32" s="424">
        <v>3390</v>
      </c>
      <c r="M32" s="1812">
        <v>6621100</v>
      </c>
      <c r="N32" s="1898">
        <v>2183.9999999999995</v>
      </c>
    </row>
    <row r="33" spans="1:14" x14ac:dyDescent="0.2">
      <c r="A33" s="1214" t="s">
        <v>374</v>
      </c>
      <c r="B33" s="387">
        <v>3.5153701968134961</v>
      </c>
      <c r="C33" s="435">
        <v>10670</v>
      </c>
      <c r="D33" s="1642">
        <v>13690785</v>
      </c>
      <c r="E33" s="387">
        <v>12.74553799082101</v>
      </c>
      <c r="F33" s="435">
        <v>1961</v>
      </c>
      <c r="G33" s="1642">
        <v>9122810</v>
      </c>
      <c r="H33" s="387">
        <v>5.2654867256637168</v>
      </c>
      <c r="I33" s="435">
        <v>2260</v>
      </c>
      <c r="J33" s="1642">
        <v>4343500</v>
      </c>
      <c r="K33" s="2296">
        <v>6.8959489441320381</v>
      </c>
      <c r="L33" s="435">
        <v>14891</v>
      </c>
      <c r="M33" s="1642">
        <v>27157095</v>
      </c>
      <c r="N33" s="1899">
        <v>2171.3999999999996</v>
      </c>
    </row>
    <row r="34" spans="1:14" x14ac:dyDescent="0.2">
      <c r="A34" s="423" t="s">
        <v>46</v>
      </c>
      <c r="B34" s="1212">
        <v>3.5</v>
      </c>
      <c r="C34" s="424">
        <v>1400</v>
      </c>
      <c r="D34" s="464">
        <v>1788500</v>
      </c>
      <c r="E34" s="1212">
        <v>20</v>
      </c>
      <c r="F34" s="424">
        <v>250</v>
      </c>
      <c r="G34" s="464">
        <v>1825000</v>
      </c>
      <c r="H34" s="1212">
        <v>6</v>
      </c>
      <c r="I34" s="424">
        <v>500</v>
      </c>
      <c r="J34" s="464">
        <v>1095000</v>
      </c>
      <c r="K34" s="1212">
        <v>10.476744186046513</v>
      </c>
      <c r="L34" s="424">
        <v>2150</v>
      </c>
      <c r="M34" s="1812">
        <v>4708500</v>
      </c>
      <c r="N34" s="1898">
        <v>2267.9999999999995</v>
      </c>
    </row>
    <row r="35" spans="1:14" x14ac:dyDescent="0.2">
      <c r="A35" s="423" t="s">
        <v>47</v>
      </c>
      <c r="B35" s="1212">
        <v>4.3</v>
      </c>
      <c r="C35" s="424">
        <v>550</v>
      </c>
      <c r="D35" s="464">
        <v>863225</v>
      </c>
      <c r="E35" s="1212">
        <v>15</v>
      </c>
      <c r="F35" s="424">
        <v>400</v>
      </c>
      <c r="G35" s="464">
        <v>2190000</v>
      </c>
      <c r="H35" s="1212">
        <v>8</v>
      </c>
      <c r="I35" s="424">
        <v>100</v>
      </c>
      <c r="J35" s="464">
        <v>292000</v>
      </c>
      <c r="K35" s="1212">
        <v>11.627877795962904</v>
      </c>
      <c r="L35" s="424">
        <v>1050</v>
      </c>
      <c r="M35" s="1812">
        <v>3345225</v>
      </c>
      <c r="N35" s="1898">
        <v>2116.7999999999997</v>
      </c>
    </row>
    <row r="36" spans="1:14" x14ac:dyDescent="0.2">
      <c r="A36" s="423" t="s">
        <v>48</v>
      </c>
      <c r="B36" s="1212">
        <v>3.4</v>
      </c>
      <c r="C36" s="424">
        <v>1560</v>
      </c>
      <c r="D36" s="464">
        <v>1935960</v>
      </c>
      <c r="E36" s="1212">
        <v>10</v>
      </c>
      <c r="F36" s="424">
        <v>100</v>
      </c>
      <c r="G36" s="464">
        <v>365000</v>
      </c>
      <c r="H36" s="1212">
        <v>5</v>
      </c>
      <c r="I36" s="424">
        <v>170</v>
      </c>
      <c r="J36" s="464">
        <v>310250</v>
      </c>
      <c r="K36" s="1212">
        <v>4.5126642437797031</v>
      </c>
      <c r="L36" s="424">
        <v>1830</v>
      </c>
      <c r="M36" s="1812">
        <v>2611210</v>
      </c>
      <c r="N36" s="1898">
        <v>2116.7999999999997</v>
      </c>
    </row>
    <row r="37" spans="1:14" x14ac:dyDescent="0.2">
      <c r="A37" s="423" t="s">
        <v>49</v>
      </c>
      <c r="B37" s="1212">
        <v>3</v>
      </c>
      <c r="C37" s="424">
        <v>2350</v>
      </c>
      <c r="D37" s="464">
        <v>2573250</v>
      </c>
      <c r="E37" s="1212">
        <v>7.2</v>
      </c>
      <c r="F37" s="424">
        <v>380</v>
      </c>
      <c r="G37" s="464">
        <v>998640</v>
      </c>
      <c r="H37" s="1212">
        <v>4</v>
      </c>
      <c r="I37" s="424">
        <v>400</v>
      </c>
      <c r="J37" s="464">
        <v>584000</v>
      </c>
      <c r="K37" s="1212">
        <v>4.149762866678377</v>
      </c>
      <c r="L37" s="424">
        <v>3130</v>
      </c>
      <c r="M37" s="1812">
        <v>4155890</v>
      </c>
      <c r="N37" s="1898">
        <v>2016</v>
      </c>
    </row>
    <row r="38" spans="1:14" x14ac:dyDescent="0.2">
      <c r="A38" s="423" t="s">
        <v>50</v>
      </c>
      <c r="B38" s="1212">
        <v>5</v>
      </c>
      <c r="C38" s="424">
        <v>730</v>
      </c>
      <c r="D38" s="464">
        <v>1332250</v>
      </c>
      <c r="E38" s="1212">
        <v>12</v>
      </c>
      <c r="F38" s="424">
        <v>120</v>
      </c>
      <c r="G38" s="464">
        <v>525600</v>
      </c>
      <c r="H38" s="1212">
        <v>7</v>
      </c>
      <c r="I38" s="424">
        <v>100</v>
      </c>
      <c r="J38" s="464">
        <v>255500</v>
      </c>
      <c r="K38" s="1212">
        <v>6.9827288428324694</v>
      </c>
      <c r="L38" s="424">
        <v>950</v>
      </c>
      <c r="M38" s="1812">
        <v>2113350</v>
      </c>
      <c r="N38" s="1898">
        <v>2116.7999999999997</v>
      </c>
    </row>
    <row r="39" spans="1:14" x14ac:dyDescent="0.2">
      <c r="A39" s="423" t="s">
        <v>51</v>
      </c>
      <c r="B39" s="1212">
        <v>3</v>
      </c>
      <c r="C39" s="424">
        <v>980</v>
      </c>
      <c r="D39" s="464">
        <v>1073100</v>
      </c>
      <c r="E39" s="1212">
        <v>18</v>
      </c>
      <c r="F39" s="424">
        <v>171</v>
      </c>
      <c r="G39" s="464">
        <v>1123470</v>
      </c>
      <c r="H39" s="1212">
        <v>5</v>
      </c>
      <c r="I39" s="424">
        <v>150</v>
      </c>
      <c r="J39" s="464">
        <v>273750</v>
      </c>
      <c r="K39" s="1212">
        <v>10.043439716312054</v>
      </c>
      <c r="L39" s="424">
        <v>1301</v>
      </c>
      <c r="M39" s="1812">
        <v>2470320</v>
      </c>
      <c r="N39" s="1898">
        <v>2335.1999999999998</v>
      </c>
    </row>
    <row r="40" spans="1:14" x14ac:dyDescent="0.2">
      <c r="A40" s="423" t="s">
        <v>52</v>
      </c>
      <c r="B40" s="1212">
        <v>4</v>
      </c>
      <c r="C40" s="424">
        <v>900</v>
      </c>
      <c r="D40" s="464">
        <v>1314000</v>
      </c>
      <c r="E40" s="1212">
        <v>12</v>
      </c>
      <c r="F40" s="424">
        <v>170</v>
      </c>
      <c r="G40" s="464">
        <v>744600</v>
      </c>
      <c r="H40" s="1212">
        <v>5</v>
      </c>
      <c r="I40" s="424">
        <v>240</v>
      </c>
      <c r="J40" s="464">
        <v>438000</v>
      </c>
      <c r="K40" s="1212">
        <v>6.5614035087719298</v>
      </c>
      <c r="L40" s="424">
        <v>1310</v>
      </c>
      <c r="M40" s="1812">
        <v>2496600</v>
      </c>
      <c r="N40" s="1898">
        <v>2183.9999999999995</v>
      </c>
    </row>
    <row r="41" spans="1:14" x14ac:dyDescent="0.2">
      <c r="A41" s="423" t="s">
        <v>53</v>
      </c>
      <c r="B41" s="1212">
        <v>3.5</v>
      </c>
      <c r="C41" s="424">
        <v>2200</v>
      </c>
      <c r="D41" s="464">
        <v>2810500</v>
      </c>
      <c r="E41" s="1212">
        <v>10</v>
      </c>
      <c r="F41" s="424">
        <v>370</v>
      </c>
      <c r="G41" s="464">
        <v>1350500</v>
      </c>
      <c r="H41" s="1212">
        <v>5</v>
      </c>
      <c r="I41" s="424">
        <v>600</v>
      </c>
      <c r="J41" s="464">
        <v>1095000</v>
      </c>
      <c r="K41" s="1212">
        <v>5.4826388888888884</v>
      </c>
      <c r="L41" s="424">
        <v>3170</v>
      </c>
      <c r="M41" s="1812">
        <v>5256000</v>
      </c>
      <c r="N41" s="1898">
        <v>2217.5999999999995</v>
      </c>
    </row>
    <row r="42" spans="1:14" x14ac:dyDescent="0.2">
      <c r="A42" s="1214" t="s">
        <v>383</v>
      </c>
      <c r="B42" s="387">
        <v>3.9833333333333334</v>
      </c>
      <c r="C42" s="435">
        <v>6960</v>
      </c>
      <c r="D42" s="1642">
        <v>10119260</v>
      </c>
      <c r="E42" s="387">
        <v>16.873239436619716</v>
      </c>
      <c r="F42" s="435">
        <v>710</v>
      </c>
      <c r="G42" s="1642">
        <v>4372700</v>
      </c>
      <c r="H42" s="387">
        <v>7.6524663677130036</v>
      </c>
      <c r="I42" s="435">
        <v>2230</v>
      </c>
      <c r="J42" s="1642">
        <v>6228725</v>
      </c>
      <c r="K42" s="2296">
        <v>7.8064556421472968</v>
      </c>
      <c r="L42" s="435">
        <v>9900</v>
      </c>
      <c r="M42" s="1642">
        <v>20720685</v>
      </c>
      <c r="N42" s="1899">
        <v>2380</v>
      </c>
    </row>
    <row r="43" spans="1:14" x14ac:dyDescent="0.2">
      <c r="A43" s="423" t="s">
        <v>1361</v>
      </c>
      <c r="B43" s="1212">
        <v>4</v>
      </c>
      <c r="C43" s="424">
        <v>2500</v>
      </c>
      <c r="D43" s="464">
        <v>3650000</v>
      </c>
      <c r="E43" s="1212">
        <v>20</v>
      </c>
      <c r="F43" s="424">
        <v>400</v>
      </c>
      <c r="G43" s="464">
        <v>2920000</v>
      </c>
      <c r="H43" s="1212">
        <v>8</v>
      </c>
      <c r="I43" s="424">
        <v>950</v>
      </c>
      <c r="J43" s="464">
        <v>2774000</v>
      </c>
      <c r="K43" s="1212">
        <v>10.1875</v>
      </c>
      <c r="L43" s="424">
        <v>3850</v>
      </c>
      <c r="M43" s="1812">
        <v>9344000</v>
      </c>
      <c r="N43" s="1898">
        <v>2402.3999999999996</v>
      </c>
    </row>
    <row r="44" spans="1:14" x14ac:dyDescent="0.2">
      <c r="A44" s="423" t="s">
        <v>54</v>
      </c>
      <c r="B44" s="1212">
        <v>3</v>
      </c>
      <c r="C44" s="424">
        <v>250</v>
      </c>
      <c r="D44" s="464">
        <v>273750</v>
      </c>
      <c r="E44" s="1212">
        <v>8</v>
      </c>
      <c r="F44" s="424">
        <v>100</v>
      </c>
      <c r="G44" s="464">
        <v>292000</v>
      </c>
      <c r="H44" s="1212">
        <v>5</v>
      </c>
      <c r="I44" s="424">
        <v>130</v>
      </c>
      <c r="J44" s="464">
        <v>237250</v>
      </c>
      <c r="K44" s="1212">
        <v>5.4090909090909092</v>
      </c>
      <c r="L44" s="424">
        <v>480</v>
      </c>
      <c r="M44" s="1812">
        <v>803000</v>
      </c>
      <c r="N44" s="1898">
        <v>2116.7999999999997</v>
      </c>
    </row>
    <row r="45" spans="1:14" x14ac:dyDescent="0.2">
      <c r="A45" s="423" t="s">
        <v>55</v>
      </c>
      <c r="B45" s="1212">
        <v>4</v>
      </c>
      <c r="C45" s="424">
        <v>730</v>
      </c>
      <c r="D45" s="464">
        <v>1065800</v>
      </c>
      <c r="E45" s="1212">
        <v>13</v>
      </c>
      <c r="F45" s="424">
        <v>60</v>
      </c>
      <c r="G45" s="464">
        <v>284700</v>
      </c>
      <c r="H45" s="1212">
        <v>7</v>
      </c>
      <c r="I45" s="424">
        <v>135</v>
      </c>
      <c r="J45" s="464">
        <v>344925</v>
      </c>
      <c r="K45" s="1212">
        <v>6.1216361679224978</v>
      </c>
      <c r="L45" s="424">
        <v>925</v>
      </c>
      <c r="M45" s="1812">
        <v>1695425</v>
      </c>
      <c r="N45" s="1898">
        <v>2116.7999999999997</v>
      </c>
    </row>
    <row r="46" spans="1:14" x14ac:dyDescent="0.2">
      <c r="A46" s="423" t="s">
        <v>56</v>
      </c>
      <c r="B46" s="1212">
        <v>4</v>
      </c>
      <c r="C46" s="424">
        <v>800</v>
      </c>
      <c r="D46" s="464">
        <v>1168000</v>
      </c>
      <c r="E46" s="1212">
        <v>0</v>
      </c>
      <c r="F46" s="424">
        <v>0</v>
      </c>
      <c r="G46" s="464">
        <v>0</v>
      </c>
      <c r="H46" s="1212">
        <v>8</v>
      </c>
      <c r="I46" s="424">
        <v>200</v>
      </c>
      <c r="J46" s="464">
        <v>584000</v>
      </c>
      <c r="K46" s="1212">
        <v>5.333333333333333</v>
      </c>
      <c r="L46" s="424">
        <v>1000</v>
      </c>
      <c r="M46" s="1812">
        <v>1752000</v>
      </c>
      <c r="N46" s="1898">
        <v>2402.3999999999996</v>
      </c>
    </row>
    <row r="47" spans="1:14" x14ac:dyDescent="0.2">
      <c r="A47" s="423" t="s">
        <v>57</v>
      </c>
      <c r="B47" s="1212">
        <v>3.5</v>
      </c>
      <c r="C47" s="424">
        <v>100</v>
      </c>
      <c r="D47" s="464">
        <v>127750</v>
      </c>
      <c r="E47" s="1212">
        <v>8</v>
      </c>
      <c r="F47" s="424">
        <v>50</v>
      </c>
      <c r="G47" s="464">
        <v>146000</v>
      </c>
      <c r="H47" s="1212">
        <v>4</v>
      </c>
      <c r="I47" s="424">
        <v>40</v>
      </c>
      <c r="J47" s="464">
        <v>58400</v>
      </c>
      <c r="K47" s="1212">
        <v>5.5659340659340666</v>
      </c>
      <c r="L47" s="424">
        <v>190</v>
      </c>
      <c r="M47" s="1812">
        <v>332150</v>
      </c>
      <c r="N47" s="1898">
        <v>2637.6</v>
      </c>
    </row>
    <row r="48" spans="1:14" x14ac:dyDescent="0.2">
      <c r="A48" s="423" t="s">
        <v>58</v>
      </c>
      <c r="B48" s="1212">
        <v>3.5</v>
      </c>
      <c r="C48" s="424">
        <v>160</v>
      </c>
      <c r="D48" s="464">
        <v>204400</v>
      </c>
      <c r="E48" s="1212">
        <v>0</v>
      </c>
      <c r="F48" s="424">
        <v>0</v>
      </c>
      <c r="G48" s="464">
        <v>0</v>
      </c>
      <c r="H48" s="1212">
        <v>5</v>
      </c>
      <c r="I48" s="424">
        <v>80</v>
      </c>
      <c r="J48" s="464">
        <v>146000</v>
      </c>
      <c r="K48" s="1212">
        <v>4.125</v>
      </c>
      <c r="L48" s="424">
        <v>240</v>
      </c>
      <c r="M48" s="1812">
        <v>350400</v>
      </c>
      <c r="N48" s="1898">
        <v>2183.9999999999995</v>
      </c>
    </row>
    <row r="49" spans="1:14" x14ac:dyDescent="0.2">
      <c r="A49" s="423" t="s">
        <v>59</v>
      </c>
      <c r="B49" s="1212">
        <v>4.2</v>
      </c>
      <c r="C49" s="424">
        <v>680</v>
      </c>
      <c r="D49" s="464">
        <v>1042440</v>
      </c>
      <c r="E49" s="1212">
        <v>0</v>
      </c>
      <c r="F49" s="424">
        <v>0</v>
      </c>
      <c r="G49" s="464">
        <v>0</v>
      </c>
      <c r="H49" s="1212">
        <v>8</v>
      </c>
      <c r="I49" s="424">
        <v>45</v>
      </c>
      <c r="J49" s="464">
        <v>131400</v>
      </c>
      <c r="K49" s="1212">
        <v>4.6253731343283588</v>
      </c>
      <c r="L49" s="424">
        <v>725</v>
      </c>
      <c r="M49" s="1812">
        <v>1173840</v>
      </c>
      <c r="N49" s="1898">
        <v>2183.9999999999995</v>
      </c>
    </row>
    <row r="50" spans="1:14" x14ac:dyDescent="0.2">
      <c r="A50" s="423" t="s">
        <v>60</v>
      </c>
      <c r="B50" s="1212">
        <v>4.2</v>
      </c>
      <c r="C50" s="424">
        <v>640</v>
      </c>
      <c r="D50" s="464">
        <v>981120</v>
      </c>
      <c r="E50" s="1212">
        <v>0</v>
      </c>
      <c r="F50" s="424">
        <v>0</v>
      </c>
      <c r="G50" s="464">
        <v>0</v>
      </c>
      <c r="H50" s="1212">
        <v>9</v>
      </c>
      <c r="I50" s="424">
        <v>400</v>
      </c>
      <c r="J50" s="464">
        <v>1314000</v>
      </c>
      <c r="K50" s="1212">
        <v>6.9480916030534345</v>
      </c>
      <c r="L50" s="424">
        <v>1040</v>
      </c>
      <c r="M50" s="1812">
        <v>2295120</v>
      </c>
      <c r="N50" s="1898">
        <v>3192</v>
      </c>
    </row>
    <row r="51" spans="1:14" x14ac:dyDescent="0.2">
      <c r="A51" s="423" t="s">
        <v>61</v>
      </c>
      <c r="B51" s="1212">
        <v>4</v>
      </c>
      <c r="C51" s="424">
        <v>1100</v>
      </c>
      <c r="D51" s="464">
        <v>1606000</v>
      </c>
      <c r="E51" s="1212">
        <v>20</v>
      </c>
      <c r="F51" s="424">
        <v>100</v>
      </c>
      <c r="G51" s="464">
        <v>730000</v>
      </c>
      <c r="H51" s="1212">
        <v>7</v>
      </c>
      <c r="I51" s="424">
        <v>250</v>
      </c>
      <c r="J51" s="464">
        <v>638750</v>
      </c>
      <c r="K51" s="1212">
        <v>8.5705521472392636</v>
      </c>
      <c r="L51" s="424">
        <v>1450</v>
      </c>
      <c r="M51" s="1812">
        <v>2974750</v>
      </c>
      <c r="N51" s="1898">
        <v>2183.9999999999995</v>
      </c>
    </row>
    <row r="52" spans="1:14" ht="13.5" thickBot="1" x14ac:dyDescent="0.25">
      <c r="A52" s="391"/>
      <c r="B52" s="392"/>
      <c r="C52" s="393"/>
      <c r="D52" s="176"/>
      <c r="E52" s="392"/>
      <c r="F52" s="393"/>
      <c r="G52" s="176"/>
      <c r="H52" s="392"/>
      <c r="I52" s="393"/>
      <c r="J52" s="176"/>
      <c r="K52" s="392"/>
      <c r="L52" s="393"/>
      <c r="M52" s="176"/>
      <c r="N52" s="1900"/>
    </row>
    <row r="53" spans="1:14" ht="13.5" thickBot="1" x14ac:dyDescent="0.25">
      <c r="A53" s="1564" t="s">
        <v>393</v>
      </c>
      <c r="B53" s="1647">
        <v>3.6076756576756575</v>
      </c>
      <c r="C53" s="1134">
        <v>60060</v>
      </c>
      <c r="D53" s="1649">
        <v>79087105</v>
      </c>
      <c r="E53" s="1647">
        <v>11.649221453287197</v>
      </c>
      <c r="F53" s="1134">
        <v>6936</v>
      </c>
      <c r="G53" s="1649">
        <v>29491635</v>
      </c>
      <c r="H53" s="1647">
        <v>5.9987644151565078</v>
      </c>
      <c r="I53" s="1134">
        <v>12140</v>
      </c>
      <c r="J53" s="1649">
        <v>26581125</v>
      </c>
      <c r="K53" s="1648">
        <v>5.8325681032892529</v>
      </c>
      <c r="L53" s="1134">
        <v>79136</v>
      </c>
      <c r="M53" s="1649">
        <v>135159865</v>
      </c>
      <c r="N53" s="2347">
        <v>2214.7641578067578</v>
      </c>
    </row>
    <row r="54" spans="1:14" x14ac:dyDescent="0.2">
      <c r="A54" s="7" t="s">
        <v>1934</v>
      </c>
      <c r="B54" s="7"/>
      <c r="C54" s="7"/>
      <c r="D54" s="7"/>
      <c r="E54" s="7"/>
    </row>
    <row r="55" spans="1:14" x14ac:dyDescent="0.2">
      <c r="A55" s="7"/>
      <c r="B55" s="2264"/>
      <c r="C55" s="2264"/>
      <c r="D55" s="2264"/>
      <c r="E55" s="2264"/>
      <c r="F55" s="397"/>
      <c r="G55" s="397"/>
      <c r="H55" s="397"/>
      <c r="I55" s="397"/>
      <c r="J55" s="176"/>
      <c r="K55" s="397"/>
      <c r="L55" s="397"/>
      <c r="M55" s="10"/>
      <c r="N55" s="397"/>
    </row>
    <row r="56" spans="1:14" x14ac:dyDescent="0.2">
      <c r="B56" s="7"/>
      <c r="C56" s="7"/>
      <c r="D56" s="7"/>
      <c r="E56" s="7"/>
    </row>
    <row r="57" spans="1:14" x14ac:dyDescent="0.2">
      <c r="A57" s="7"/>
      <c r="L57" s="176"/>
      <c r="M57" s="397"/>
      <c r="N57" s="176"/>
    </row>
    <row r="58" spans="1:14" x14ac:dyDescent="0.2">
      <c r="A58" s="7"/>
    </row>
    <row r="59" spans="1:14" x14ac:dyDescent="0.2">
      <c r="A59" s="7"/>
    </row>
    <row r="60" spans="1:14" ht="15" customHeight="1" x14ac:dyDescent="0.3">
      <c r="A60" s="3063" t="s">
        <v>324</v>
      </c>
      <c r="B60" s="3063"/>
      <c r="C60" s="3063"/>
      <c r="D60" s="3063"/>
      <c r="E60" s="3063"/>
      <c r="F60" s="3063"/>
      <c r="G60" s="3063"/>
      <c r="H60" s="3063"/>
      <c r="I60" s="3063"/>
      <c r="J60" s="3063"/>
      <c r="K60" s="446"/>
      <c r="L60" s="446"/>
      <c r="M60" s="446"/>
      <c r="N60" s="2008"/>
    </row>
    <row r="61" spans="1:14" ht="12.75" customHeight="1" x14ac:dyDescent="0.2">
      <c r="A61" s="3058" t="s">
        <v>1275</v>
      </c>
      <c r="B61" s="3058"/>
      <c r="C61" s="3058"/>
      <c r="D61" s="3058"/>
      <c r="E61" s="3058"/>
      <c r="F61" s="3058"/>
      <c r="G61" s="3058"/>
      <c r="H61" s="3058"/>
      <c r="I61" s="3058"/>
      <c r="J61" s="3058"/>
      <c r="K61" s="447"/>
      <c r="L61" s="447"/>
      <c r="M61" s="447"/>
      <c r="N61" s="2009"/>
    </row>
    <row r="62" spans="1:14" ht="12.75" customHeight="1" x14ac:dyDescent="0.2">
      <c r="A62" s="3059" t="s">
        <v>2028</v>
      </c>
      <c r="B62" s="3058"/>
      <c r="C62" s="3058"/>
      <c r="D62" s="3058"/>
      <c r="E62" s="3058"/>
      <c r="F62" s="3058"/>
      <c r="G62" s="3058"/>
      <c r="H62" s="3058"/>
      <c r="I62" s="3058"/>
      <c r="J62" s="3058"/>
      <c r="K62" s="447"/>
      <c r="L62" s="447"/>
      <c r="M62" s="447"/>
      <c r="N62" s="447"/>
    </row>
    <row r="63" spans="1:14" ht="13.5" thickBot="1" x14ac:dyDescent="0.25">
      <c r="A63" s="7"/>
    </row>
    <row r="64" spans="1:14" ht="13.5" thickTop="1" x14ac:dyDescent="0.2">
      <c r="A64" s="1650"/>
      <c r="B64" s="1651"/>
      <c r="C64" s="3055" t="s">
        <v>30</v>
      </c>
      <c r="D64" s="3056"/>
      <c r="E64" s="3056"/>
      <c r="F64" s="3056"/>
      <c r="G64" s="3056"/>
      <c r="H64" s="3056"/>
      <c r="I64" s="3056"/>
      <c r="J64" s="3076"/>
    </row>
    <row r="65" spans="1:11" x14ac:dyDescent="0.2">
      <c r="A65" s="3066" t="s">
        <v>327</v>
      </c>
      <c r="B65" s="3067"/>
      <c r="C65" s="3022" t="s">
        <v>1526</v>
      </c>
      <c r="D65" s="3057"/>
      <c r="E65" s="3052" t="s">
        <v>26</v>
      </c>
      <c r="F65" s="3057"/>
      <c r="G65" s="3052" t="s">
        <v>28</v>
      </c>
      <c r="H65" s="3057"/>
      <c r="I65" s="1668"/>
      <c r="J65" s="1669"/>
    </row>
    <row r="66" spans="1:11" ht="13.5" thickBot="1" x14ac:dyDescent="0.25">
      <c r="A66" s="375"/>
      <c r="B66" s="1652"/>
      <c r="C66" s="2870"/>
      <c r="D66" s="2871"/>
      <c r="E66" s="2870" t="s">
        <v>27</v>
      </c>
      <c r="F66" s="2871"/>
      <c r="G66" s="2870"/>
      <c r="H66" s="2871"/>
      <c r="I66" s="3064" t="s">
        <v>29</v>
      </c>
      <c r="J66" s="3065"/>
    </row>
    <row r="67" spans="1:11" ht="13.5" thickBot="1" x14ac:dyDescent="0.25">
      <c r="A67" s="375"/>
      <c r="B67" s="1652"/>
      <c r="C67" s="1951" t="s">
        <v>1221</v>
      </c>
      <c r="D67" s="1952" t="s">
        <v>591</v>
      </c>
      <c r="E67" s="1951" t="s">
        <v>1221</v>
      </c>
      <c r="F67" s="1952" t="s">
        <v>591</v>
      </c>
      <c r="G67" s="1951" t="s">
        <v>1221</v>
      </c>
      <c r="H67" s="1952" t="s">
        <v>591</v>
      </c>
      <c r="I67" s="1956" t="s">
        <v>1221</v>
      </c>
      <c r="J67" s="1965" t="s">
        <v>591</v>
      </c>
    </row>
    <row r="68" spans="1:11" x14ac:dyDescent="0.2">
      <c r="A68" s="1661" t="s">
        <v>352</v>
      </c>
      <c r="B68" s="872"/>
      <c r="C68" s="1959">
        <v>8.7261306532663312</v>
      </c>
      <c r="D68" s="1960">
        <v>6084696</v>
      </c>
      <c r="E68" s="1959">
        <v>38.121074120603012</v>
      </c>
      <c r="F68" s="1960">
        <v>26581672.5</v>
      </c>
      <c r="G68" s="1959">
        <v>53.152795226130657</v>
      </c>
      <c r="H68" s="1960">
        <v>37063231.5</v>
      </c>
      <c r="I68" s="368"/>
      <c r="J68" s="1653"/>
    </row>
    <row r="69" spans="1:11" x14ac:dyDescent="0.2">
      <c r="A69" s="423" t="s">
        <v>31</v>
      </c>
      <c r="B69" s="403"/>
      <c r="C69" s="1953">
        <v>10</v>
      </c>
      <c r="D69" s="1957">
        <v>899798</v>
      </c>
      <c r="E69" s="1953">
        <v>50</v>
      </c>
      <c r="F69" s="1957">
        <v>4498990</v>
      </c>
      <c r="G69" s="1953">
        <v>40</v>
      </c>
      <c r="H69" s="1957">
        <v>3599192</v>
      </c>
      <c r="I69" s="1670"/>
      <c r="J69" s="1469"/>
      <c r="K69" s="1950"/>
    </row>
    <row r="70" spans="1:11" x14ac:dyDescent="0.2">
      <c r="A70" s="423" t="s">
        <v>32</v>
      </c>
      <c r="B70" s="403"/>
      <c r="C70" s="1953">
        <v>12</v>
      </c>
      <c r="D70" s="1957">
        <v>954226.79999999993</v>
      </c>
      <c r="E70" s="1953">
        <v>13</v>
      </c>
      <c r="F70" s="1957">
        <v>1033745.7000000001</v>
      </c>
      <c r="G70" s="1953">
        <v>75</v>
      </c>
      <c r="H70" s="1957">
        <v>5963917.5</v>
      </c>
      <c r="I70" s="1670"/>
      <c r="J70" s="1469"/>
      <c r="K70" s="1950"/>
    </row>
    <row r="71" spans="1:11" x14ac:dyDescent="0.2">
      <c r="A71" s="423" t="s">
        <v>33</v>
      </c>
      <c r="B71" s="403"/>
      <c r="C71" s="1953">
        <v>20</v>
      </c>
      <c r="D71" s="1957">
        <v>883300</v>
      </c>
      <c r="E71" s="1953">
        <v>30</v>
      </c>
      <c r="F71" s="1957">
        <v>1324950</v>
      </c>
      <c r="G71" s="1953">
        <v>50</v>
      </c>
      <c r="H71" s="1957">
        <v>2208250</v>
      </c>
      <c r="I71" s="1670"/>
      <c r="J71" s="1469"/>
      <c r="K71" s="1950"/>
    </row>
    <row r="72" spans="1:11" x14ac:dyDescent="0.2">
      <c r="A72" s="423" t="s">
        <v>34</v>
      </c>
      <c r="B72" s="403"/>
      <c r="C72" s="1953">
        <v>5</v>
      </c>
      <c r="D72" s="1957">
        <v>351312.5</v>
      </c>
      <c r="E72" s="1953">
        <v>35</v>
      </c>
      <c r="F72" s="1957">
        <v>2459187.5</v>
      </c>
      <c r="G72" s="1953">
        <v>60</v>
      </c>
      <c r="H72" s="1957">
        <v>4215750</v>
      </c>
      <c r="I72" s="1670"/>
      <c r="J72" s="1469"/>
      <c r="K72" s="1950"/>
    </row>
    <row r="73" spans="1:11" x14ac:dyDescent="0.2">
      <c r="A73" s="423" t="s">
        <v>35</v>
      </c>
      <c r="B73" s="403"/>
      <c r="C73" s="1953">
        <v>10</v>
      </c>
      <c r="D73" s="1957">
        <v>260975</v>
      </c>
      <c r="E73" s="1953">
        <v>55</v>
      </c>
      <c r="F73" s="1957">
        <v>1435362.5</v>
      </c>
      <c r="G73" s="1953">
        <v>35</v>
      </c>
      <c r="H73" s="1957">
        <v>913412.5</v>
      </c>
      <c r="I73" s="1670"/>
      <c r="J73" s="1469"/>
      <c r="K73" s="1950"/>
    </row>
    <row r="74" spans="1:11" x14ac:dyDescent="0.2">
      <c r="A74" s="423" t="s">
        <v>36</v>
      </c>
      <c r="B74" s="403"/>
      <c r="C74" s="1953">
        <v>20</v>
      </c>
      <c r="D74" s="1957">
        <v>985500</v>
      </c>
      <c r="E74" s="1953">
        <v>80</v>
      </c>
      <c r="F74" s="1957">
        <v>3942000</v>
      </c>
      <c r="G74" s="1953"/>
      <c r="H74" s="1957">
        <v>0</v>
      </c>
      <c r="I74" s="1670"/>
      <c r="J74" s="1469"/>
      <c r="K74" s="1950"/>
    </row>
    <row r="75" spans="1:11" x14ac:dyDescent="0.2">
      <c r="A75" s="423" t="s">
        <v>937</v>
      </c>
      <c r="B75" s="403"/>
      <c r="C75" s="1953">
        <v>3</v>
      </c>
      <c r="D75" s="1957">
        <v>49932</v>
      </c>
      <c r="E75" s="1953">
        <v>67</v>
      </c>
      <c r="F75" s="1957">
        <v>1115148</v>
      </c>
      <c r="G75" s="1953">
        <v>30</v>
      </c>
      <c r="H75" s="1957">
        <v>499320</v>
      </c>
      <c r="I75" s="1670"/>
      <c r="J75" s="1469"/>
      <c r="K75" s="1950"/>
    </row>
    <row r="76" spans="1:11" x14ac:dyDescent="0.2">
      <c r="A76" s="423" t="s">
        <v>37</v>
      </c>
      <c r="B76" s="403"/>
      <c r="C76" s="1953">
        <v>2</v>
      </c>
      <c r="D76" s="1957">
        <v>43610.200000000004</v>
      </c>
      <c r="E76" s="1953">
        <v>68</v>
      </c>
      <c r="F76" s="1957">
        <v>1482746.8</v>
      </c>
      <c r="G76" s="1953">
        <v>30</v>
      </c>
      <c r="H76" s="1957">
        <v>654153</v>
      </c>
      <c r="I76" s="1670"/>
      <c r="J76" s="1469"/>
      <c r="K76" s="1950"/>
    </row>
    <row r="77" spans="1:11" x14ac:dyDescent="0.2">
      <c r="A77" s="423" t="s">
        <v>1357</v>
      </c>
      <c r="B77" s="403"/>
      <c r="C77" s="1953">
        <v>3</v>
      </c>
      <c r="D77" s="1957">
        <v>253602</v>
      </c>
      <c r="E77" s="1953">
        <v>20</v>
      </c>
      <c r="F77" s="1957">
        <v>1690680</v>
      </c>
      <c r="G77" s="1953">
        <v>77</v>
      </c>
      <c r="H77" s="1957">
        <v>6509118</v>
      </c>
      <c r="I77" s="1670"/>
      <c r="J77" s="1469"/>
      <c r="K77" s="1950"/>
    </row>
    <row r="78" spans="1:11" x14ac:dyDescent="0.2">
      <c r="A78" s="423" t="s">
        <v>38</v>
      </c>
      <c r="B78" s="403"/>
      <c r="C78" s="1953">
        <v>10</v>
      </c>
      <c r="D78" s="1957">
        <v>491655</v>
      </c>
      <c r="E78" s="1953">
        <v>30</v>
      </c>
      <c r="F78" s="1957">
        <v>1474965</v>
      </c>
      <c r="G78" s="1953">
        <v>60</v>
      </c>
      <c r="H78" s="1957">
        <v>2949930</v>
      </c>
      <c r="I78" s="1670"/>
      <c r="J78" s="1469"/>
      <c r="K78" s="1950"/>
    </row>
    <row r="79" spans="1:11" x14ac:dyDescent="0.2">
      <c r="A79" s="423" t="s">
        <v>39</v>
      </c>
      <c r="B79" s="403"/>
      <c r="C79" s="1953">
        <v>10</v>
      </c>
      <c r="D79" s="1957">
        <v>211700</v>
      </c>
      <c r="E79" s="1953">
        <v>30</v>
      </c>
      <c r="F79" s="1957">
        <v>635100</v>
      </c>
      <c r="G79" s="1953">
        <v>60</v>
      </c>
      <c r="H79" s="1957">
        <v>1270200</v>
      </c>
      <c r="I79" s="1670"/>
      <c r="J79" s="1469"/>
      <c r="K79" s="1950"/>
    </row>
    <row r="80" spans="1:11" x14ac:dyDescent="0.2">
      <c r="A80" s="423" t="s">
        <v>364</v>
      </c>
      <c r="B80" s="403"/>
      <c r="C80" s="1953">
        <v>8</v>
      </c>
      <c r="D80" s="1957">
        <v>372300</v>
      </c>
      <c r="E80" s="1953">
        <v>32</v>
      </c>
      <c r="F80" s="1957">
        <v>1489200</v>
      </c>
      <c r="G80" s="1953">
        <v>60</v>
      </c>
      <c r="H80" s="1957">
        <v>2792250</v>
      </c>
      <c r="I80" s="1670"/>
      <c r="J80" s="1469"/>
      <c r="K80" s="1950"/>
    </row>
    <row r="81" spans="1:11" x14ac:dyDescent="0.2">
      <c r="A81" s="423" t="s">
        <v>40</v>
      </c>
      <c r="B81" s="403"/>
      <c r="C81" s="1953">
        <v>3</v>
      </c>
      <c r="D81" s="1957">
        <v>50698.5</v>
      </c>
      <c r="E81" s="1953">
        <v>50</v>
      </c>
      <c r="F81" s="1957">
        <v>844975</v>
      </c>
      <c r="G81" s="1953">
        <v>47</v>
      </c>
      <c r="H81" s="1957">
        <v>794276.5</v>
      </c>
      <c r="I81" s="1670"/>
      <c r="J81" s="1469"/>
      <c r="K81" s="1950"/>
    </row>
    <row r="82" spans="1:11" x14ac:dyDescent="0.2">
      <c r="A82" s="423" t="s">
        <v>41</v>
      </c>
      <c r="B82" s="403"/>
      <c r="C82" s="1953"/>
      <c r="D82" s="1957">
        <v>0</v>
      </c>
      <c r="E82" s="1953">
        <v>100</v>
      </c>
      <c r="F82" s="1957">
        <v>2602450</v>
      </c>
      <c r="G82" s="1953"/>
      <c r="H82" s="1957">
        <v>0</v>
      </c>
      <c r="I82" s="1670"/>
      <c r="J82" s="1469"/>
      <c r="K82" s="1950"/>
    </row>
    <row r="83" spans="1:11" x14ac:dyDescent="0.2">
      <c r="A83" s="423" t="s">
        <v>1360</v>
      </c>
      <c r="B83" s="403"/>
      <c r="C83" s="1953">
        <v>5</v>
      </c>
      <c r="D83" s="1957">
        <v>276086</v>
      </c>
      <c r="E83" s="1953">
        <v>10</v>
      </c>
      <c r="F83" s="1957">
        <v>552172</v>
      </c>
      <c r="G83" s="1953">
        <v>85</v>
      </c>
      <c r="H83" s="1957">
        <v>4693462</v>
      </c>
      <c r="I83" s="1670"/>
      <c r="J83" s="1469"/>
      <c r="K83" s="1950"/>
    </row>
    <row r="84" spans="1:11" x14ac:dyDescent="0.2">
      <c r="A84" s="1214" t="s">
        <v>368</v>
      </c>
      <c r="B84" s="1452"/>
      <c r="C84" s="1961">
        <v>12.96699868992909</v>
      </c>
      <c r="D84" s="1962">
        <v>2276030.5</v>
      </c>
      <c r="E84" s="1961">
        <v>40.012892761338357</v>
      </c>
      <c r="F84" s="1962">
        <v>7023257</v>
      </c>
      <c r="G84" s="1961">
        <v>47.020108548732559</v>
      </c>
      <c r="H84" s="1962">
        <v>8253197.5</v>
      </c>
      <c r="I84" s="1671"/>
      <c r="J84" s="1666"/>
      <c r="K84" s="1950"/>
    </row>
    <row r="85" spans="1:11" x14ac:dyDescent="0.2">
      <c r="A85" s="423" t="s">
        <v>42</v>
      </c>
      <c r="B85" s="403"/>
      <c r="C85" s="1953">
        <v>20</v>
      </c>
      <c r="D85" s="1957">
        <v>1004115</v>
      </c>
      <c r="E85" s="1953">
        <v>30</v>
      </c>
      <c r="F85" s="1957">
        <v>1506172.5</v>
      </c>
      <c r="G85" s="1953">
        <v>50</v>
      </c>
      <c r="H85" s="1957">
        <v>2510287.5</v>
      </c>
      <c r="I85" s="1670"/>
      <c r="J85" s="1469"/>
      <c r="K85" s="1950"/>
    </row>
    <row r="86" spans="1:11" x14ac:dyDescent="0.2">
      <c r="A86" s="423" t="s">
        <v>43</v>
      </c>
      <c r="B86" s="403"/>
      <c r="C86" s="1953">
        <v>40</v>
      </c>
      <c r="D86" s="1957">
        <v>683280</v>
      </c>
      <c r="E86" s="1953">
        <v>60</v>
      </c>
      <c r="F86" s="1957">
        <v>1024920</v>
      </c>
      <c r="G86" s="1953"/>
      <c r="H86" s="1957">
        <v>0</v>
      </c>
      <c r="I86" s="1670"/>
      <c r="J86" s="1469"/>
      <c r="K86" s="1950"/>
    </row>
    <row r="87" spans="1:11" x14ac:dyDescent="0.2">
      <c r="A87" s="423" t="s">
        <v>44</v>
      </c>
      <c r="B87" s="403"/>
      <c r="C87" s="1953">
        <v>10</v>
      </c>
      <c r="D87" s="1957">
        <v>94900</v>
      </c>
      <c r="E87" s="1953">
        <v>40</v>
      </c>
      <c r="F87" s="1957">
        <v>379600</v>
      </c>
      <c r="G87" s="1953">
        <v>50</v>
      </c>
      <c r="H87" s="1957">
        <v>474500</v>
      </c>
      <c r="I87" s="1670"/>
      <c r="J87" s="1469"/>
      <c r="K87" s="1950"/>
    </row>
    <row r="88" spans="1:11" x14ac:dyDescent="0.2">
      <c r="A88" s="423" t="s">
        <v>45</v>
      </c>
      <c r="B88" s="403"/>
      <c r="C88" s="1953">
        <v>5</v>
      </c>
      <c r="D88" s="1957">
        <v>162680.5</v>
      </c>
      <c r="E88" s="1953">
        <v>45</v>
      </c>
      <c r="F88" s="1957">
        <v>1464124.5</v>
      </c>
      <c r="G88" s="1953">
        <v>50</v>
      </c>
      <c r="H88" s="1957">
        <v>1626805</v>
      </c>
      <c r="I88" s="1670"/>
      <c r="J88" s="1469"/>
      <c r="K88" s="1950"/>
    </row>
    <row r="89" spans="1:11" x14ac:dyDescent="0.2">
      <c r="A89" s="423" t="s">
        <v>373</v>
      </c>
      <c r="B89" s="403"/>
      <c r="C89" s="1953">
        <v>5</v>
      </c>
      <c r="D89" s="1957">
        <v>331055</v>
      </c>
      <c r="E89" s="1953">
        <v>40</v>
      </c>
      <c r="F89" s="1957">
        <v>2648440</v>
      </c>
      <c r="G89" s="1953">
        <v>55</v>
      </c>
      <c r="H89" s="1957">
        <v>3641605.0000000005</v>
      </c>
      <c r="I89" s="1670"/>
      <c r="J89" s="1469"/>
      <c r="K89" s="1950"/>
    </row>
    <row r="90" spans="1:11" x14ac:dyDescent="0.2">
      <c r="A90" s="1214" t="s">
        <v>374</v>
      </c>
      <c r="B90" s="1452"/>
      <c r="C90" s="1961">
        <v>8.9378788489711436</v>
      </c>
      <c r="D90" s="1962">
        <v>2427268.25</v>
      </c>
      <c r="E90" s="1961">
        <v>33.703076488851259</v>
      </c>
      <c r="F90" s="1962">
        <v>9152776.5</v>
      </c>
      <c r="G90" s="1961">
        <v>57.359044662177602</v>
      </c>
      <c r="H90" s="1962">
        <v>15577050.25</v>
      </c>
      <c r="I90" s="1671"/>
      <c r="J90" s="1666"/>
      <c r="K90" s="1950"/>
    </row>
    <row r="91" spans="1:11" x14ac:dyDescent="0.2">
      <c r="A91" s="423" t="s">
        <v>46</v>
      </c>
      <c r="B91" s="403"/>
      <c r="C91" s="1953">
        <v>11</v>
      </c>
      <c r="D91" s="1957">
        <v>517935</v>
      </c>
      <c r="E91" s="1953">
        <v>32</v>
      </c>
      <c r="F91" s="1957">
        <v>1506720</v>
      </c>
      <c r="G91" s="1953">
        <v>57</v>
      </c>
      <c r="H91" s="1957">
        <v>2683845</v>
      </c>
      <c r="I91" s="1670"/>
      <c r="J91" s="1469"/>
      <c r="K91" s="1950"/>
    </row>
    <row r="92" spans="1:11" x14ac:dyDescent="0.2">
      <c r="A92" s="423" t="s">
        <v>47</v>
      </c>
      <c r="B92" s="403"/>
      <c r="C92" s="1953">
        <v>5</v>
      </c>
      <c r="D92" s="1957">
        <v>167261.25</v>
      </c>
      <c r="E92" s="1953">
        <v>30</v>
      </c>
      <c r="F92" s="1957">
        <v>1003567.5</v>
      </c>
      <c r="G92" s="1953">
        <v>65</v>
      </c>
      <c r="H92" s="1957">
        <v>2174396.25</v>
      </c>
      <c r="I92" s="1670"/>
      <c r="J92" s="1469"/>
      <c r="K92" s="1950"/>
    </row>
    <row r="93" spans="1:11" x14ac:dyDescent="0.2">
      <c r="A93" s="423" t="s">
        <v>48</v>
      </c>
      <c r="B93" s="403"/>
      <c r="C93" s="1953">
        <v>5</v>
      </c>
      <c r="D93" s="1957">
        <v>130560.5</v>
      </c>
      <c r="E93" s="1953">
        <v>45</v>
      </c>
      <c r="F93" s="1957">
        <v>1175044.5</v>
      </c>
      <c r="G93" s="1953">
        <v>50</v>
      </c>
      <c r="H93" s="1957">
        <v>1305605</v>
      </c>
      <c r="I93" s="1670"/>
      <c r="J93" s="1469"/>
      <c r="K93" s="1950"/>
    </row>
    <row r="94" spans="1:11" x14ac:dyDescent="0.2">
      <c r="A94" s="423" t="s">
        <v>49</v>
      </c>
      <c r="B94" s="403"/>
      <c r="C94" s="1953">
        <v>15</v>
      </c>
      <c r="D94" s="1957">
        <v>623383.5</v>
      </c>
      <c r="E94" s="1953">
        <v>45</v>
      </c>
      <c r="F94" s="1957">
        <v>1870150.5</v>
      </c>
      <c r="G94" s="1953">
        <v>40</v>
      </c>
      <c r="H94" s="1957">
        <v>1662356</v>
      </c>
      <c r="I94" s="1670"/>
      <c r="J94" s="1469"/>
      <c r="K94" s="1950"/>
    </row>
    <row r="95" spans="1:11" x14ac:dyDescent="0.2">
      <c r="A95" s="423" t="s">
        <v>50</v>
      </c>
      <c r="B95" s="403"/>
      <c r="C95" s="1953"/>
      <c r="D95" s="1957">
        <v>0</v>
      </c>
      <c r="E95" s="1953">
        <v>80</v>
      </c>
      <c r="F95" s="1957">
        <v>1690680</v>
      </c>
      <c r="G95" s="1953">
        <v>20</v>
      </c>
      <c r="H95" s="1957">
        <v>422670</v>
      </c>
      <c r="I95" s="1670"/>
      <c r="J95" s="1469"/>
      <c r="K95" s="1950"/>
    </row>
    <row r="96" spans="1:11" x14ac:dyDescent="0.2">
      <c r="A96" s="423" t="s">
        <v>51</v>
      </c>
      <c r="B96" s="403"/>
      <c r="C96" s="1953"/>
      <c r="D96" s="1957">
        <v>0</v>
      </c>
      <c r="E96" s="1953">
        <v>20</v>
      </c>
      <c r="F96" s="1957">
        <v>494064</v>
      </c>
      <c r="G96" s="1953">
        <v>80</v>
      </c>
      <c r="H96" s="1957">
        <v>1976256</v>
      </c>
      <c r="I96" s="1670"/>
      <c r="J96" s="1469"/>
      <c r="K96" s="1950"/>
    </row>
    <row r="97" spans="1:11" x14ac:dyDescent="0.2">
      <c r="A97" s="423" t="s">
        <v>52</v>
      </c>
      <c r="B97" s="403"/>
      <c r="C97" s="1953">
        <v>8</v>
      </c>
      <c r="D97" s="1957">
        <v>199728</v>
      </c>
      <c r="E97" s="1953">
        <v>25</v>
      </c>
      <c r="F97" s="1957">
        <v>624150</v>
      </c>
      <c r="G97" s="1953">
        <v>67</v>
      </c>
      <c r="H97" s="1957">
        <v>1672722</v>
      </c>
      <c r="I97" s="1670"/>
      <c r="J97" s="1469"/>
      <c r="K97" s="1950"/>
    </row>
    <row r="98" spans="1:11" x14ac:dyDescent="0.2">
      <c r="A98" s="423" t="s">
        <v>53</v>
      </c>
      <c r="B98" s="403"/>
      <c r="C98" s="1953">
        <v>15</v>
      </c>
      <c r="D98" s="1957">
        <v>788400</v>
      </c>
      <c r="E98" s="1953">
        <v>15</v>
      </c>
      <c r="F98" s="1957">
        <v>788400</v>
      </c>
      <c r="G98" s="1953">
        <v>70</v>
      </c>
      <c r="H98" s="1957">
        <v>3679199.9999999995</v>
      </c>
      <c r="I98" s="1670"/>
      <c r="J98" s="1469"/>
      <c r="K98" s="1950"/>
    </row>
    <row r="99" spans="1:11" x14ac:dyDescent="0.2">
      <c r="A99" s="1214" t="s">
        <v>383</v>
      </c>
      <c r="B99" s="1452"/>
      <c r="C99" s="1961">
        <v>14.981239761137241</v>
      </c>
      <c r="D99" s="1962">
        <v>3104215.5</v>
      </c>
      <c r="E99" s="1961">
        <v>36.908876323345488</v>
      </c>
      <c r="F99" s="1962">
        <v>7647772</v>
      </c>
      <c r="G99" s="1961">
        <v>48.109883915517273</v>
      </c>
      <c r="H99" s="1962">
        <v>9968697.5</v>
      </c>
      <c r="I99" s="1671"/>
      <c r="J99" s="1666"/>
      <c r="K99" s="1950"/>
    </row>
    <row r="100" spans="1:11" x14ac:dyDescent="0.2">
      <c r="A100" s="423" t="s">
        <v>1361</v>
      </c>
      <c r="B100" s="403"/>
      <c r="C100" s="1953">
        <v>10</v>
      </c>
      <c r="D100" s="1957">
        <v>934400</v>
      </c>
      <c r="E100" s="1953">
        <v>10</v>
      </c>
      <c r="F100" s="1957">
        <v>934400</v>
      </c>
      <c r="G100" s="1953">
        <v>80</v>
      </c>
      <c r="H100" s="1957">
        <v>7475200</v>
      </c>
      <c r="I100" s="1670"/>
      <c r="J100" s="1469"/>
      <c r="K100" s="1950"/>
    </row>
    <row r="101" spans="1:11" x14ac:dyDescent="0.2">
      <c r="A101" s="423" t="s">
        <v>54</v>
      </c>
      <c r="B101" s="403"/>
      <c r="C101" s="1953">
        <v>20</v>
      </c>
      <c r="D101" s="1957">
        <v>160600</v>
      </c>
      <c r="E101" s="1953">
        <v>40</v>
      </c>
      <c r="F101" s="1957">
        <v>321200</v>
      </c>
      <c r="G101" s="1953">
        <v>40</v>
      </c>
      <c r="H101" s="1957">
        <v>321200</v>
      </c>
      <c r="I101" s="1670"/>
      <c r="J101" s="1469"/>
      <c r="K101" s="1950"/>
    </row>
    <row r="102" spans="1:11" x14ac:dyDescent="0.2">
      <c r="A102" s="423" t="s">
        <v>55</v>
      </c>
      <c r="B102" s="403"/>
      <c r="C102" s="1953">
        <v>20</v>
      </c>
      <c r="D102" s="1957">
        <v>339085</v>
      </c>
      <c r="E102" s="1953">
        <v>60</v>
      </c>
      <c r="F102" s="1957">
        <v>1017255</v>
      </c>
      <c r="G102" s="1953">
        <v>20</v>
      </c>
      <c r="H102" s="1957">
        <v>339085</v>
      </c>
      <c r="I102" s="1670"/>
      <c r="J102" s="1469"/>
      <c r="K102" s="1950"/>
    </row>
    <row r="103" spans="1:11" x14ac:dyDescent="0.2">
      <c r="A103" s="423" t="s">
        <v>56</v>
      </c>
      <c r="B103" s="403"/>
      <c r="C103" s="1953">
        <v>10</v>
      </c>
      <c r="D103" s="1957">
        <v>175200</v>
      </c>
      <c r="E103" s="1953">
        <v>75</v>
      </c>
      <c r="F103" s="1957">
        <v>1314000</v>
      </c>
      <c r="G103" s="1953">
        <v>15</v>
      </c>
      <c r="H103" s="1957">
        <v>262800</v>
      </c>
      <c r="I103" s="1670"/>
      <c r="J103" s="1469"/>
      <c r="K103" s="1950"/>
    </row>
    <row r="104" spans="1:11" x14ac:dyDescent="0.2">
      <c r="A104" s="423" t="s">
        <v>57</v>
      </c>
      <c r="B104" s="403"/>
      <c r="C104" s="1953">
        <v>5</v>
      </c>
      <c r="D104" s="1957">
        <v>16607.5</v>
      </c>
      <c r="E104" s="1953">
        <v>70</v>
      </c>
      <c r="F104" s="1957">
        <v>232504.99999999997</v>
      </c>
      <c r="G104" s="1953">
        <v>25</v>
      </c>
      <c r="H104" s="1957">
        <v>83037.5</v>
      </c>
      <c r="I104" s="1670"/>
      <c r="J104" s="1469"/>
      <c r="K104" s="1950"/>
    </row>
    <row r="105" spans="1:11" x14ac:dyDescent="0.2">
      <c r="A105" s="423" t="s">
        <v>58</v>
      </c>
      <c r="B105" s="403"/>
      <c r="C105" s="1953">
        <v>40</v>
      </c>
      <c r="D105" s="1957">
        <v>140160</v>
      </c>
      <c r="E105" s="1953">
        <v>60</v>
      </c>
      <c r="F105" s="1957">
        <v>210240</v>
      </c>
      <c r="G105" s="1953"/>
      <c r="H105" s="1957">
        <v>0</v>
      </c>
      <c r="I105" s="1670"/>
      <c r="J105" s="1469"/>
      <c r="K105" s="1950"/>
    </row>
    <row r="106" spans="1:11" x14ac:dyDescent="0.2">
      <c r="A106" s="423" t="s">
        <v>59</v>
      </c>
      <c r="B106" s="403"/>
      <c r="C106" s="1953">
        <v>30</v>
      </c>
      <c r="D106" s="1957">
        <v>352152</v>
      </c>
      <c r="E106" s="1953">
        <v>70</v>
      </c>
      <c r="F106" s="1957">
        <v>821688</v>
      </c>
      <c r="G106" s="1953"/>
      <c r="H106" s="1957">
        <v>0</v>
      </c>
      <c r="I106" s="1670"/>
      <c r="J106" s="1469"/>
      <c r="K106" s="1950"/>
    </row>
    <row r="107" spans="1:11" x14ac:dyDescent="0.2">
      <c r="A107" s="423" t="s">
        <v>60</v>
      </c>
      <c r="B107" s="403"/>
      <c r="C107" s="1953">
        <v>30</v>
      </c>
      <c r="D107" s="1957">
        <v>688536</v>
      </c>
      <c r="E107" s="1953">
        <v>70</v>
      </c>
      <c r="F107" s="1957">
        <v>1606584</v>
      </c>
      <c r="G107" s="1953"/>
      <c r="H107" s="1957">
        <v>0</v>
      </c>
      <c r="I107" s="1670"/>
      <c r="J107" s="1469"/>
      <c r="K107" s="1950"/>
    </row>
    <row r="108" spans="1:11" x14ac:dyDescent="0.2">
      <c r="A108" s="423" t="s">
        <v>61</v>
      </c>
      <c r="B108" s="403"/>
      <c r="C108" s="1953">
        <v>10</v>
      </c>
      <c r="D108" s="1957">
        <v>297475</v>
      </c>
      <c r="E108" s="1953">
        <v>40</v>
      </c>
      <c r="F108" s="1957">
        <v>1189900</v>
      </c>
      <c r="G108" s="1953">
        <v>50</v>
      </c>
      <c r="H108" s="1957">
        <v>1487375</v>
      </c>
      <c r="I108" s="1670"/>
      <c r="J108" s="1469"/>
      <c r="K108" s="1950"/>
    </row>
    <row r="109" spans="1:11" ht="13.5" thickBot="1" x14ac:dyDescent="0.25">
      <c r="A109" s="391"/>
      <c r="B109" s="402"/>
      <c r="C109" s="1954"/>
      <c r="D109" s="1958"/>
      <c r="E109" s="1954"/>
      <c r="F109" s="1958"/>
      <c r="G109" s="1954"/>
      <c r="H109" s="1958"/>
      <c r="I109" s="1654"/>
      <c r="J109" s="864"/>
      <c r="K109" s="1950"/>
    </row>
    <row r="110" spans="1:11" ht="13.5" thickBot="1" x14ac:dyDescent="0.25">
      <c r="A110" s="394" t="s">
        <v>393</v>
      </c>
      <c r="B110" s="1463"/>
      <c r="C110" s="1963">
        <v>10.278354635823289</v>
      </c>
      <c r="D110" s="1964">
        <v>13892210.25</v>
      </c>
      <c r="E110" s="1963">
        <v>37.293229021795781</v>
      </c>
      <c r="F110" s="1964">
        <v>50405478</v>
      </c>
      <c r="G110" s="1963">
        <v>52.42841634238092</v>
      </c>
      <c r="H110" s="1964">
        <v>70862176.75</v>
      </c>
      <c r="I110" s="1955"/>
      <c r="J110" s="1724"/>
      <c r="K110" s="1950"/>
    </row>
    <row r="111" spans="1:11" ht="13.5" thickTop="1" x14ac:dyDescent="0.2">
      <c r="A111" s="7" t="s">
        <v>1934</v>
      </c>
    </row>
    <row r="112" spans="1:11" x14ac:dyDescent="0.2">
      <c r="A112" s="7"/>
    </row>
    <row r="113" spans="1:14" x14ac:dyDescent="0.2">
      <c r="A113" s="7"/>
    </row>
    <row r="114" spans="1:14" x14ac:dyDescent="0.2">
      <c r="A114" s="7"/>
      <c r="E114" s="348"/>
      <c r="F114" s="348"/>
    </row>
    <row r="115" spans="1:14" x14ac:dyDescent="0.2">
      <c r="A115" s="7"/>
    </row>
    <row r="116" spans="1:14" x14ac:dyDescent="0.2">
      <c r="A116" s="7"/>
    </row>
    <row r="117" spans="1:14" x14ac:dyDescent="0.2">
      <c r="A117" s="7"/>
    </row>
    <row r="118" spans="1:14" x14ac:dyDescent="0.2">
      <c r="A118" s="7"/>
    </row>
    <row r="120" spans="1:14" ht="15" customHeight="1" x14ac:dyDescent="0.3">
      <c r="A120" s="3063" t="s">
        <v>324</v>
      </c>
      <c r="B120" s="3063"/>
      <c r="C120" s="3063"/>
      <c r="D120" s="3063"/>
      <c r="E120" s="3063"/>
      <c r="F120" s="3063"/>
      <c r="G120" s="3063"/>
      <c r="H120" s="3063"/>
      <c r="I120" s="3063"/>
      <c r="J120" s="3063"/>
      <c r="K120" s="3063"/>
      <c r="L120" s="3063"/>
      <c r="M120" s="3063"/>
      <c r="N120" s="446"/>
    </row>
    <row r="121" spans="1:14" ht="12.75" customHeight="1" x14ac:dyDescent="0.2">
      <c r="A121" s="3058" t="s">
        <v>1275</v>
      </c>
      <c r="B121" s="3058"/>
      <c r="C121" s="3058"/>
      <c r="D121" s="3058"/>
      <c r="E121" s="3058"/>
      <c r="F121" s="3058"/>
      <c r="G121" s="3058"/>
      <c r="H121" s="3058"/>
      <c r="I121" s="3058"/>
      <c r="J121" s="3058"/>
      <c r="K121" s="3058"/>
      <c r="L121" s="3058"/>
      <c r="M121" s="3058"/>
      <c r="N121" s="447"/>
    </row>
    <row r="122" spans="1:14" ht="12.75" customHeight="1" x14ac:dyDescent="0.2">
      <c r="A122" s="3059" t="s">
        <v>2028</v>
      </c>
      <c r="B122" s="3059"/>
      <c r="C122" s="3059"/>
      <c r="D122" s="3059"/>
      <c r="E122" s="3059"/>
      <c r="F122" s="3059"/>
      <c r="G122" s="3059"/>
      <c r="H122" s="3059"/>
      <c r="I122" s="3059"/>
      <c r="J122" s="3059"/>
      <c r="K122" s="3059"/>
      <c r="L122" s="3059"/>
      <c r="M122" s="3059"/>
      <c r="N122" s="447"/>
    </row>
    <row r="123" spans="1:14" x14ac:dyDescent="0.2">
      <c r="J123" s="176"/>
      <c r="K123" s="176"/>
      <c r="L123" s="176"/>
      <c r="M123" s="176"/>
      <c r="N123" s="176"/>
    </row>
    <row r="124" spans="1:14" ht="13.5" thickBot="1" x14ac:dyDescent="0.25">
      <c r="A124" s="1665"/>
      <c r="C124" s="397"/>
      <c r="D124" s="397"/>
      <c r="E124" s="397"/>
    </row>
    <row r="125" spans="1:14" ht="13.5" thickTop="1" x14ac:dyDescent="0.2">
      <c r="A125" s="1650"/>
      <c r="B125" s="1651"/>
      <c r="C125" s="3055" t="s">
        <v>1276</v>
      </c>
      <c r="D125" s="3056"/>
      <c r="E125" s="3056"/>
      <c r="F125" s="3056"/>
      <c r="G125" s="3056"/>
      <c r="H125" s="3056"/>
      <c r="I125" s="3056"/>
      <c r="J125" s="3056"/>
      <c r="K125" s="3056"/>
      <c r="L125" s="303"/>
      <c r="M125" s="3060" t="s">
        <v>1510</v>
      </c>
    </row>
    <row r="126" spans="1:14" x14ac:dyDescent="0.2">
      <c r="A126" s="376" t="s">
        <v>327</v>
      </c>
      <c r="B126" s="1652"/>
      <c r="C126" s="3038" t="s">
        <v>1204</v>
      </c>
      <c r="D126" s="3054"/>
      <c r="E126" s="3039"/>
      <c r="F126" s="3038" t="s">
        <v>1205</v>
      </c>
      <c r="G126" s="3054"/>
      <c r="H126" s="3054"/>
      <c r="I126" s="3038" t="s">
        <v>1280</v>
      </c>
      <c r="J126" s="3054"/>
      <c r="K126" s="3054"/>
      <c r="L126" s="3039"/>
      <c r="M126" s="3061"/>
    </row>
    <row r="127" spans="1:14" x14ac:dyDescent="0.2">
      <c r="A127" s="375"/>
      <c r="B127" s="1652"/>
      <c r="C127" s="354" t="s">
        <v>1201</v>
      </c>
      <c r="D127" s="3049" t="s">
        <v>1284</v>
      </c>
      <c r="E127" s="3057"/>
      <c r="F127" s="354" t="s">
        <v>1201</v>
      </c>
      <c r="G127" s="3049" t="s">
        <v>1284</v>
      </c>
      <c r="H127" s="3050"/>
      <c r="I127" s="3052" t="s">
        <v>24</v>
      </c>
      <c r="J127" s="3053"/>
      <c r="K127" s="3049" t="s">
        <v>1284</v>
      </c>
      <c r="L127" s="3050"/>
      <c r="M127" s="3061"/>
    </row>
    <row r="128" spans="1:14" ht="13.5" thickBot="1" x14ac:dyDescent="0.25">
      <c r="A128" s="375"/>
      <c r="B128" s="1652"/>
      <c r="C128" s="350" t="s">
        <v>1220</v>
      </c>
      <c r="D128" s="3047" t="s">
        <v>1287</v>
      </c>
      <c r="E128" s="3048"/>
      <c r="F128" s="350" t="s">
        <v>1220</v>
      </c>
      <c r="G128" s="3047" t="s">
        <v>1287</v>
      </c>
      <c r="H128" s="3051"/>
      <c r="I128" s="2870" t="s">
        <v>25</v>
      </c>
      <c r="J128" s="3062"/>
      <c r="K128" s="3047" t="s">
        <v>1287</v>
      </c>
      <c r="L128" s="3051"/>
      <c r="M128" s="3061"/>
    </row>
    <row r="129" spans="1:14" x14ac:dyDescent="0.2">
      <c r="A129" s="1661" t="s">
        <v>352</v>
      </c>
      <c r="B129" s="872"/>
      <c r="C129" s="1231">
        <v>14949</v>
      </c>
      <c r="D129" s="1658"/>
      <c r="E129" s="390">
        <v>6704.47</v>
      </c>
      <c r="F129" s="1655">
        <v>31178</v>
      </c>
      <c r="G129" s="1656"/>
      <c r="H129" s="1644">
        <v>11847.64</v>
      </c>
      <c r="I129" s="349"/>
      <c r="J129" s="1655">
        <v>46127</v>
      </c>
      <c r="K129" s="1657"/>
      <c r="L129" s="1644">
        <v>18552.11</v>
      </c>
      <c r="M129" s="1902">
        <v>7766.666666666667</v>
      </c>
    </row>
    <row r="130" spans="1:14" x14ac:dyDescent="0.2">
      <c r="A130" s="1873" t="s">
        <v>31</v>
      </c>
      <c r="B130" s="2259"/>
      <c r="C130" s="364"/>
      <c r="D130" s="1662"/>
      <c r="E130" s="1213">
        <v>0</v>
      </c>
      <c r="F130" s="2115"/>
      <c r="G130" s="1473"/>
      <c r="H130" s="1163">
        <v>0</v>
      </c>
      <c r="I130" s="1461"/>
      <c r="J130" s="464">
        <v>0</v>
      </c>
      <c r="K130" s="1662"/>
      <c r="L130" s="1163">
        <v>0</v>
      </c>
      <c r="M130" s="1898"/>
    </row>
    <row r="131" spans="1:14" x14ac:dyDescent="0.2">
      <c r="A131" s="1873" t="s">
        <v>32</v>
      </c>
      <c r="B131" s="2259"/>
      <c r="C131" s="464"/>
      <c r="D131" s="1662"/>
      <c r="E131" s="1213">
        <v>0</v>
      </c>
      <c r="F131" s="2115"/>
      <c r="G131" s="1473"/>
      <c r="H131" s="1163">
        <v>0</v>
      </c>
      <c r="I131" s="1461"/>
      <c r="J131" s="464">
        <v>0</v>
      </c>
      <c r="K131" s="1662"/>
      <c r="L131" s="1163">
        <v>0</v>
      </c>
      <c r="M131" s="1898"/>
    </row>
    <row r="132" spans="1:14" x14ac:dyDescent="0.2">
      <c r="A132" s="1873" t="s">
        <v>33</v>
      </c>
      <c r="B132" s="2259"/>
      <c r="C132" s="2366">
        <v>964</v>
      </c>
      <c r="D132" s="1662"/>
      <c r="E132" s="1213">
        <v>414.52</v>
      </c>
      <c r="F132" s="2115">
        <v>1445</v>
      </c>
      <c r="G132" s="1473"/>
      <c r="H132" s="1163">
        <v>549.1</v>
      </c>
      <c r="I132" s="1461"/>
      <c r="J132" s="464">
        <v>2409</v>
      </c>
      <c r="K132" s="1662"/>
      <c r="L132" s="1163">
        <v>963.62</v>
      </c>
      <c r="M132" s="1898">
        <v>7960</v>
      </c>
    </row>
    <row r="133" spans="1:14" x14ac:dyDescent="0.2">
      <c r="A133" s="1873" t="s">
        <v>34</v>
      </c>
      <c r="B133" s="2259"/>
      <c r="C133" s="464"/>
      <c r="D133" s="1662"/>
      <c r="E133" s="1213">
        <v>0</v>
      </c>
      <c r="F133" s="2115"/>
      <c r="G133" s="1473"/>
      <c r="H133" s="1163">
        <v>0</v>
      </c>
      <c r="I133" s="1461"/>
      <c r="J133" s="464">
        <v>0</v>
      </c>
      <c r="K133" s="1662"/>
      <c r="L133" s="1163">
        <v>0</v>
      </c>
      <c r="M133" s="1898"/>
    </row>
    <row r="134" spans="1:14" x14ac:dyDescent="0.2">
      <c r="A134" s="1873" t="s">
        <v>35</v>
      </c>
      <c r="B134" s="2259"/>
      <c r="C134" s="464"/>
      <c r="D134" s="1662"/>
      <c r="E134" s="1213">
        <v>0</v>
      </c>
      <c r="F134" s="2115"/>
      <c r="G134" s="1473"/>
      <c r="H134" s="1163">
        <v>0</v>
      </c>
      <c r="I134" s="1461"/>
      <c r="J134" s="464">
        <v>0</v>
      </c>
      <c r="K134" s="1662"/>
      <c r="L134" s="1163">
        <v>0</v>
      </c>
      <c r="M134" s="1898"/>
    </row>
    <row r="135" spans="1:14" x14ac:dyDescent="0.2">
      <c r="A135" s="1873" t="s">
        <v>36</v>
      </c>
      <c r="B135" s="2259"/>
      <c r="C135" s="464"/>
      <c r="D135" s="1662"/>
      <c r="E135" s="1213">
        <v>0</v>
      </c>
      <c r="F135" s="2115"/>
      <c r="G135" s="1473"/>
      <c r="H135" s="1163">
        <v>0</v>
      </c>
      <c r="I135" s="1461"/>
      <c r="J135" s="464">
        <v>0</v>
      </c>
      <c r="K135" s="1662"/>
      <c r="L135" s="1163">
        <v>0</v>
      </c>
      <c r="M135" s="1898"/>
    </row>
    <row r="136" spans="1:14" x14ac:dyDescent="0.2">
      <c r="A136" s="1873" t="s">
        <v>937</v>
      </c>
      <c r="B136" s="2259"/>
      <c r="C136" s="464"/>
      <c r="D136" s="1662"/>
      <c r="E136" s="1213">
        <v>0</v>
      </c>
      <c r="F136" s="2115"/>
      <c r="G136" s="1473"/>
      <c r="H136" s="1163">
        <v>0</v>
      </c>
      <c r="I136" s="1461"/>
      <c r="J136" s="464">
        <v>0</v>
      </c>
      <c r="K136" s="1662"/>
      <c r="L136" s="1163">
        <v>0</v>
      </c>
      <c r="M136" s="1898"/>
    </row>
    <row r="137" spans="1:14" x14ac:dyDescent="0.2">
      <c r="A137" s="1873" t="s">
        <v>37</v>
      </c>
      <c r="B137" s="2259"/>
      <c r="C137" s="464"/>
      <c r="D137" s="1662"/>
      <c r="E137" s="1213">
        <v>0</v>
      </c>
      <c r="F137" s="2115"/>
      <c r="G137" s="1473"/>
      <c r="H137" s="1163">
        <v>0</v>
      </c>
      <c r="I137" s="1461"/>
      <c r="J137" s="464">
        <v>0</v>
      </c>
      <c r="K137" s="1662"/>
      <c r="L137" s="1163">
        <v>0</v>
      </c>
      <c r="M137" s="1898"/>
      <c r="N137" s="176"/>
    </row>
    <row r="138" spans="1:14" x14ac:dyDescent="0.2">
      <c r="A138" s="1873" t="s">
        <v>1357</v>
      </c>
      <c r="B138" s="2259"/>
      <c r="C138" s="2366">
        <v>165</v>
      </c>
      <c r="D138" s="1662"/>
      <c r="E138" s="1213">
        <v>70.95</v>
      </c>
      <c r="F138" s="2115">
        <v>2315</v>
      </c>
      <c r="G138" s="1473"/>
      <c r="H138" s="1163">
        <v>879.7</v>
      </c>
      <c r="I138" s="1461"/>
      <c r="J138" s="464">
        <v>2480</v>
      </c>
      <c r="K138" s="1662"/>
      <c r="L138" s="1163">
        <v>950.65000000000009</v>
      </c>
      <c r="M138" s="1898">
        <v>7580</v>
      </c>
    </row>
    <row r="139" spans="1:14" x14ac:dyDescent="0.2">
      <c r="A139" s="1873" t="s">
        <v>38</v>
      </c>
      <c r="B139" s="2259"/>
      <c r="C139" s="464">
        <v>13820</v>
      </c>
      <c r="D139" s="1662"/>
      <c r="E139" s="1213">
        <v>6219</v>
      </c>
      <c r="F139" s="2115">
        <v>27418</v>
      </c>
      <c r="G139" s="1473"/>
      <c r="H139" s="1163">
        <v>10418.84</v>
      </c>
      <c r="I139" s="1461"/>
      <c r="J139" s="464">
        <v>41238</v>
      </c>
      <c r="K139" s="1662"/>
      <c r="L139" s="1163">
        <v>16637.84</v>
      </c>
      <c r="M139" s="1898">
        <v>7760</v>
      </c>
    </row>
    <row r="140" spans="1:14" x14ac:dyDescent="0.2">
      <c r="A140" s="1873" t="s">
        <v>39</v>
      </c>
      <c r="B140" s="2259"/>
      <c r="C140" s="464"/>
      <c r="D140" s="1662"/>
      <c r="E140" s="1213">
        <v>0</v>
      </c>
      <c r="F140" s="2115"/>
      <c r="G140" s="1473"/>
      <c r="H140" s="1163">
        <v>0</v>
      </c>
      <c r="I140" s="1461"/>
      <c r="J140" s="464">
        <v>0</v>
      </c>
      <c r="K140" s="1662"/>
      <c r="L140" s="1163">
        <v>0</v>
      </c>
      <c r="M140" s="1898"/>
    </row>
    <row r="141" spans="1:14" x14ac:dyDescent="0.2">
      <c r="A141" s="1873" t="s">
        <v>364</v>
      </c>
      <c r="B141" s="2259"/>
      <c r="C141" s="464"/>
      <c r="D141" s="1662"/>
      <c r="E141" s="1213">
        <v>0</v>
      </c>
      <c r="F141" s="2115"/>
      <c r="G141" s="1473"/>
      <c r="H141" s="1163">
        <v>0</v>
      </c>
      <c r="I141" s="1461"/>
      <c r="J141" s="464">
        <v>0</v>
      </c>
      <c r="K141" s="1662"/>
      <c r="L141" s="1163">
        <v>0</v>
      </c>
      <c r="M141" s="1898"/>
    </row>
    <row r="142" spans="1:14" x14ac:dyDescent="0.2">
      <c r="A142" s="1873" t="s">
        <v>40</v>
      </c>
      <c r="B142" s="2259"/>
      <c r="C142" s="464"/>
      <c r="D142" s="1662"/>
      <c r="E142" s="1213">
        <v>0</v>
      </c>
      <c r="F142" s="2115"/>
      <c r="G142" s="1473"/>
      <c r="H142" s="1163">
        <v>0</v>
      </c>
      <c r="I142" s="1461"/>
      <c r="J142" s="464">
        <v>0</v>
      </c>
      <c r="K142" s="1662"/>
      <c r="L142" s="1163">
        <v>0</v>
      </c>
      <c r="M142" s="1898"/>
    </row>
    <row r="143" spans="1:14" x14ac:dyDescent="0.2">
      <c r="A143" s="1873" t="s">
        <v>41</v>
      </c>
      <c r="B143" s="2259"/>
      <c r="C143" s="464"/>
      <c r="D143" s="1662"/>
      <c r="E143" s="1213">
        <v>0</v>
      </c>
      <c r="F143" s="2115"/>
      <c r="G143" s="1473"/>
      <c r="H143" s="1163">
        <v>0</v>
      </c>
      <c r="I143" s="1461"/>
      <c r="J143" s="464">
        <v>0</v>
      </c>
      <c r="K143" s="1662"/>
      <c r="L143" s="1163">
        <v>0</v>
      </c>
      <c r="M143" s="1898"/>
    </row>
    <row r="144" spans="1:14" ht="12.95" customHeight="1" x14ac:dyDescent="0.2">
      <c r="A144" s="1873" t="s">
        <v>1360</v>
      </c>
      <c r="B144" s="403"/>
      <c r="C144" s="464"/>
      <c r="D144" s="1662"/>
      <c r="E144" s="1213">
        <v>0</v>
      </c>
      <c r="F144" s="2115"/>
      <c r="G144" s="1473"/>
      <c r="H144" s="1163">
        <v>0</v>
      </c>
      <c r="I144" s="1461"/>
      <c r="J144" s="464">
        <v>0</v>
      </c>
      <c r="K144" s="1662"/>
      <c r="L144" s="1163">
        <v>0</v>
      </c>
      <c r="M144" s="1898"/>
    </row>
    <row r="145" spans="1:13" ht="12.95" customHeight="1" x14ac:dyDescent="0.2">
      <c r="A145" s="1214" t="s">
        <v>368</v>
      </c>
      <c r="B145" s="1452"/>
      <c r="C145" s="1642">
        <v>0</v>
      </c>
      <c r="D145" s="1663"/>
      <c r="E145" s="1215">
        <v>0</v>
      </c>
      <c r="F145" s="434">
        <v>0</v>
      </c>
      <c r="G145" s="1664"/>
      <c r="H145" s="1645">
        <v>0</v>
      </c>
      <c r="I145" s="1449"/>
      <c r="J145" s="1642">
        <v>0</v>
      </c>
      <c r="K145" s="1663"/>
      <c r="L145" s="1645">
        <v>0</v>
      </c>
      <c r="M145" s="1903">
        <v>0</v>
      </c>
    </row>
    <row r="146" spans="1:13" ht="12.95" customHeight="1" x14ac:dyDescent="0.2">
      <c r="A146" s="1873" t="s">
        <v>42</v>
      </c>
      <c r="B146" s="403"/>
      <c r="C146" s="464"/>
      <c r="D146" s="1662"/>
      <c r="E146" s="1213">
        <v>0</v>
      </c>
      <c r="F146" s="2115"/>
      <c r="G146" s="1473"/>
      <c r="H146" s="1163">
        <v>0</v>
      </c>
      <c r="I146" s="1461"/>
      <c r="J146" s="464">
        <v>0</v>
      </c>
      <c r="K146" s="1662"/>
      <c r="L146" s="1163">
        <v>0</v>
      </c>
      <c r="M146" s="1898"/>
    </row>
    <row r="147" spans="1:13" ht="12.95" customHeight="1" x14ac:dyDescent="0.2">
      <c r="A147" s="1873" t="s">
        <v>43</v>
      </c>
      <c r="B147" s="403"/>
      <c r="C147" s="464"/>
      <c r="D147" s="1662"/>
      <c r="E147" s="1213">
        <v>0</v>
      </c>
      <c r="F147" s="2115"/>
      <c r="G147" s="1473"/>
      <c r="H147" s="1163">
        <v>0</v>
      </c>
      <c r="I147" s="1461"/>
      <c r="J147" s="464">
        <v>0</v>
      </c>
      <c r="K147" s="1662"/>
      <c r="L147" s="1163">
        <v>0</v>
      </c>
      <c r="M147" s="1898"/>
    </row>
    <row r="148" spans="1:13" ht="12.95" customHeight="1" x14ac:dyDescent="0.2">
      <c r="A148" s="1873" t="s">
        <v>44</v>
      </c>
      <c r="B148" s="403"/>
      <c r="C148" s="464"/>
      <c r="D148" s="1662"/>
      <c r="E148" s="1213">
        <v>0</v>
      </c>
      <c r="F148" s="2115"/>
      <c r="G148" s="1473"/>
      <c r="H148" s="1163">
        <v>0</v>
      </c>
      <c r="I148" s="1461"/>
      <c r="J148" s="464">
        <v>0</v>
      </c>
      <c r="K148" s="1662"/>
      <c r="L148" s="1163">
        <v>0</v>
      </c>
      <c r="M148" s="1898"/>
    </row>
    <row r="149" spans="1:13" ht="12.95" customHeight="1" x14ac:dyDescent="0.2">
      <c r="A149" s="423" t="s">
        <v>45</v>
      </c>
      <c r="B149" s="403"/>
      <c r="C149" s="464"/>
      <c r="D149" s="1662"/>
      <c r="E149" s="1213">
        <v>0</v>
      </c>
      <c r="F149" s="2115"/>
      <c r="G149" s="1473"/>
      <c r="H149" s="1163">
        <v>0</v>
      </c>
      <c r="I149" s="1461"/>
      <c r="J149" s="464">
        <v>0</v>
      </c>
      <c r="K149" s="1662"/>
      <c r="L149" s="1163">
        <v>0</v>
      </c>
      <c r="M149" s="1898"/>
    </row>
    <row r="150" spans="1:13" ht="12.95" customHeight="1" x14ac:dyDescent="0.2">
      <c r="A150" s="1873" t="s">
        <v>373</v>
      </c>
      <c r="B150" s="403"/>
      <c r="C150" s="464"/>
      <c r="D150" s="1662"/>
      <c r="E150" s="1213">
        <v>0</v>
      </c>
      <c r="F150" s="2115"/>
      <c r="G150" s="1473"/>
      <c r="H150" s="1163">
        <v>0</v>
      </c>
      <c r="I150" s="1461"/>
      <c r="J150" s="464">
        <v>0</v>
      </c>
      <c r="K150" s="1662"/>
      <c r="L150" s="1163">
        <v>0</v>
      </c>
      <c r="M150" s="1898"/>
    </row>
    <row r="151" spans="1:13" ht="12.95" customHeight="1" x14ac:dyDescent="0.2">
      <c r="A151" s="1214" t="s">
        <v>374</v>
      </c>
      <c r="B151" s="1452"/>
      <c r="C151" s="1642">
        <v>5326</v>
      </c>
      <c r="D151" s="1663"/>
      <c r="E151" s="1215">
        <v>2508.88</v>
      </c>
      <c r="F151" s="434">
        <v>7783</v>
      </c>
      <c r="G151" s="1664"/>
      <c r="H151" s="1645">
        <v>2955.05</v>
      </c>
      <c r="I151" s="1449"/>
      <c r="J151" s="1642">
        <v>13109</v>
      </c>
      <c r="K151" s="1663"/>
      <c r="L151" s="1645">
        <v>5463.93</v>
      </c>
      <c r="M151" s="1903">
        <v>8500</v>
      </c>
    </row>
    <row r="152" spans="1:13" ht="12.95" customHeight="1" x14ac:dyDescent="0.2">
      <c r="A152" s="1873" t="s">
        <v>46</v>
      </c>
      <c r="B152" s="403"/>
      <c r="C152" s="2366">
        <v>4850</v>
      </c>
      <c r="D152" s="1662"/>
      <c r="E152" s="1213">
        <v>2328</v>
      </c>
      <c r="F152" s="2115">
        <v>4620</v>
      </c>
      <c r="G152" s="1473"/>
      <c r="H152" s="1163">
        <v>1848</v>
      </c>
      <c r="I152" s="1461"/>
      <c r="J152" s="464">
        <v>9470</v>
      </c>
      <c r="K152" s="1662"/>
      <c r="L152" s="1163">
        <v>4176</v>
      </c>
      <c r="M152" s="1898">
        <v>8500</v>
      </c>
    </row>
    <row r="153" spans="1:13" ht="12.95" customHeight="1" x14ac:dyDescent="0.2">
      <c r="A153" s="423" t="s">
        <v>47</v>
      </c>
      <c r="B153" s="403"/>
      <c r="C153" s="464"/>
      <c r="D153" s="1662"/>
      <c r="E153" s="1213">
        <v>0</v>
      </c>
      <c r="F153" s="2115"/>
      <c r="G153" s="1473"/>
      <c r="H153" s="1163">
        <v>0</v>
      </c>
      <c r="I153" s="1461"/>
      <c r="J153" s="464">
        <v>0</v>
      </c>
      <c r="K153" s="1662"/>
      <c r="L153" s="1163">
        <v>0</v>
      </c>
      <c r="M153" s="1898"/>
    </row>
    <row r="154" spans="1:13" ht="12.95" customHeight="1" x14ac:dyDescent="0.2">
      <c r="A154" s="423" t="s">
        <v>48</v>
      </c>
      <c r="B154" s="403"/>
      <c r="C154" s="464"/>
      <c r="D154" s="1662"/>
      <c r="E154" s="1213">
        <v>0</v>
      </c>
      <c r="F154" s="2115"/>
      <c r="G154" s="1473"/>
      <c r="H154" s="1163">
        <v>0</v>
      </c>
      <c r="I154" s="1461"/>
      <c r="J154" s="464">
        <v>0</v>
      </c>
      <c r="K154" s="1662"/>
      <c r="L154" s="1163">
        <v>0</v>
      </c>
      <c r="M154" s="1898"/>
    </row>
    <row r="155" spans="1:13" ht="12.95" customHeight="1" x14ac:dyDescent="0.2">
      <c r="A155" s="1873" t="s">
        <v>49</v>
      </c>
      <c r="B155" s="403"/>
      <c r="C155" s="464"/>
      <c r="D155" s="1662"/>
      <c r="E155" s="1213">
        <v>0</v>
      </c>
      <c r="F155" s="2115"/>
      <c r="G155" s="1473"/>
      <c r="H155" s="1163">
        <v>0</v>
      </c>
      <c r="I155" s="1461"/>
      <c r="J155" s="464">
        <v>0</v>
      </c>
      <c r="K155" s="1662"/>
      <c r="L155" s="1163">
        <v>0</v>
      </c>
      <c r="M155" s="1898"/>
    </row>
    <row r="156" spans="1:13" ht="12.95" customHeight="1" x14ac:dyDescent="0.2">
      <c r="A156" s="1873" t="s">
        <v>50</v>
      </c>
      <c r="B156" s="403"/>
      <c r="C156" s="464"/>
      <c r="D156" s="1662"/>
      <c r="E156" s="1213">
        <v>0</v>
      </c>
      <c r="F156" s="2115"/>
      <c r="G156" s="1473"/>
      <c r="H156" s="1163">
        <v>0</v>
      </c>
      <c r="I156" s="1461"/>
      <c r="J156" s="464">
        <v>0</v>
      </c>
      <c r="K156" s="1662"/>
      <c r="L156" s="1163">
        <v>0</v>
      </c>
      <c r="M156" s="1898"/>
    </row>
    <row r="157" spans="1:13" ht="12.95" customHeight="1" x14ac:dyDescent="0.2">
      <c r="A157" s="1873" t="s">
        <v>51</v>
      </c>
      <c r="B157" s="403"/>
      <c r="C157" s="2366"/>
      <c r="D157" s="1662"/>
      <c r="E157" s="1213">
        <v>0</v>
      </c>
      <c r="F157" s="2115"/>
      <c r="G157" s="1473"/>
      <c r="H157" s="1213">
        <v>0</v>
      </c>
      <c r="I157" s="1473"/>
      <c r="J157" s="464">
        <v>0</v>
      </c>
      <c r="K157" s="1662"/>
      <c r="L157" s="1163">
        <v>0</v>
      </c>
      <c r="M157" s="1898">
        <v>8500</v>
      </c>
    </row>
    <row r="158" spans="1:13" ht="12.95" customHeight="1" x14ac:dyDescent="0.2">
      <c r="A158" s="1873" t="s">
        <v>52</v>
      </c>
      <c r="B158" s="403"/>
      <c r="C158" s="2366">
        <v>476</v>
      </c>
      <c r="D158" s="1662"/>
      <c r="E158" s="1213">
        <v>180.88</v>
      </c>
      <c r="F158" s="2115">
        <v>3163</v>
      </c>
      <c r="G158" s="1473"/>
      <c r="H158" s="1213">
        <v>1107.05</v>
      </c>
      <c r="I158" s="1473"/>
      <c r="J158" s="464">
        <v>3639</v>
      </c>
      <c r="K158" s="1662"/>
      <c r="L158" s="1163">
        <v>1287.9299999999998</v>
      </c>
      <c r="M158" s="1898">
        <v>8500</v>
      </c>
    </row>
    <row r="159" spans="1:13" ht="12.95" customHeight="1" x14ac:dyDescent="0.2">
      <c r="A159" s="423" t="s">
        <v>53</v>
      </c>
      <c r="B159" s="403"/>
      <c r="C159" s="464"/>
      <c r="D159" s="1662"/>
      <c r="E159" s="1213">
        <v>0</v>
      </c>
      <c r="F159" s="2115"/>
      <c r="G159" s="1473"/>
      <c r="H159" s="1213">
        <v>0</v>
      </c>
      <c r="I159" s="1473"/>
      <c r="J159" s="464">
        <v>0</v>
      </c>
      <c r="K159" s="1662"/>
      <c r="L159" s="1163">
        <v>0</v>
      </c>
      <c r="M159" s="1898"/>
    </row>
    <row r="160" spans="1:13" ht="12.95" customHeight="1" x14ac:dyDescent="0.2">
      <c r="A160" s="1214" t="s">
        <v>383</v>
      </c>
      <c r="B160" s="1452"/>
      <c r="C160" s="1642">
        <v>14604</v>
      </c>
      <c r="D160" s="1663"/>
      <c r="E160" s="1215">
        <v>6367.2599999999993</v>
      </c>
      <c r="F160" s="434">
        <v>6087</v>
      </c>
      <c r="G160" s="1664"/>
      <c r="H160" s="1215">
        <v>2291.38</v>
      </c>
      <c r="I160" s="1664"/>
      <c r="J160" s="1642">
        <v>20691</v>
      </c>
      <c r="K160" s="1663"/>
      <c r="L160" s="1645">
        <v>8658.64</v>
      </c>
      <c r="M160" s="1903">
        <v>8150</v>
      </c>
    </row>
    <row r="161" spans="1:13" ht="12.95" customHeight="1" x14ac:dyDescent="0.2">
      <c r="A161" s="1873" t="s">
        <v>1361</v>
      </c>
      <c r="B161" s="403"/>
      <c r="C161" s="2366">
        <v>11682</v>
      </c>
      <c r="D161" s="1662"/>
      <c r="E161" s="1213">
        <v>5256.9</v>
      </c>
      <c r="F161" s="2115">
        <v>3919</v>
      </c>
      <c r="G161" s="1473"/>
      <c r="H161" s="1213">
        <v>1489.22</v>
      </c>
      <c r="I161" s="1473"/>
      <c r="J161" s="464">
        <v>15601</v>
      </c>
      <c r="K161" s="1662"/>
      <c r="L161" s="1163">
        <v>6746.12</v>
      </c>
      <c r="M161" s="1898">
        <v>8460</v>
      </c>
    </row>
    <row r="162" spans="1:13" ht="12.95" customHeight="1" x14ac:dyDescent="0.2">
      <c r="A162" s="1873" t="s">
        <v>54</v>
      </c>
      <c r="B162" s="403"/>
      <c r="C162" s="464"/>
      <c r="D162" s="1662"/>
      <c r="E162" s="1213">
        <v>0</v>
      </c>
      <c r="F162" s="2115"/>
      <c r="G162" s="1473"/>
      <c r="H162" s="1213">
        <v>0</v>
      </c>
      <c r="I162" s="1473"/>
      <c r="J162" s="464">
        <v>0</v>
      </c>
      <c r="K162" s="1662"/>
      <c r="L162" s="1163">
        <v>0</v>
      </c>
      <c r="M162" s="1898"/>
    </row>
    <row r="163" spans="1:13" ht="12.95" customHeight="1" x14ac:dyDescent="0.2">
      <c r="A163" s="1873" t="s">
        <v>55</v>
      </c>
      <c r="B163" s="403"/>
      <c r="C163" s="464"/>
      <c r="D163" s="1662"/>
      <c r="E163" s="1213">
        <v>0</v>
      </c>
      <c r="F163" s="2115"/>
      <c r="G163" s="1473"/>
      <c r="H163" s="1213">
        <v>0</v>
      </c>
      <c r="I163" s="1473"/>
      <c r="J163" s="464">
        <v>0</v>
      </c>
      <c r="K163" s="1662"/>
      <c r="L163" s="1163">
        <v>0</v>
      </c>
      <c r="M163" s="1898"/>
    </row>
    <row r="164" spans="1:13" ht="12.95" customHeight="1" x14ac:dyDescent="0.2">
      <c r="A164" s="1873" t="s">
        <v>56</v>
      </c>
      <c r="B164" s="403"/>
      <c r="C164" s="2366">
        <v>2922</v>
      </c>
      <c r="D164" s="1662"/>
      <c r="E164" s="1213">
        <v>1110.3599999999999</v>
      </c>
      <c r="F164" s="2115">
        <v>2168</v>
      </c>
      <c r="G164" s="1473"/>
      <c r="H164" s="1213">
        <v>802.16</v>
      </c>
      <c r="I164" s="1473"/>
      <c r="J164" s="464">
        <v>5090</v>
      </c>
      <c r="K164" s="1662"/>
      <c r="L164" s="1163">
        <v>1912.52</v>
      </c>
      <c r="M164" s="1898">
        <v>7840</v>
      </c>
    </row>
    <row r="165" spans="1:13" ht="12.95" customHeight="1" x14ac:dyDescent="0.2">
      <c r="A165" s="1873" t="s">
        <v>57</v>
      </c>
      <c r="B165" s="403"/>
      <c r="C165" s="464"/>
      <c r="D165" s="1662"/>
      <c r="E165" s="1213">
        <v>0</v>
      </c>
      <c r="F165" s="2115"/>
      <c r="G165" s="1473"/>
      <c r="H165" s="1213">
        <v>0</v>
      </c>
      <c r="I165" s="1473"/>
      <c r="J165" s="464">
        <v>0</v>
      </c>
      <c r="K165" s="1662"/>
      <c r="L165" s="1163">
        <v>0</v>
      </c>
      <c r="M165" s="1898"/>
    </row>
    <row r="166" spans="1:13" ht="12.95" customHeight="1" x14ac:dyDescent="0.2">
      <c r="A166" s="1873" t="s">
        <v>58</v>
      </c>
      <c r="B166" s="403"/>
      <c r="C166" s="464"/>
      <c r="D166" s="1662"/>
      <c r="E166" s="1213">
        <v>0</v>
      </c>
      <c r="F166" s="2115"/>
      <c r="G166" s="1473"/>
      <c r="H166" s="1213">
        <v>0</v>
      </c>
      <c r="I166" s="1473"/>
      <c r="J166" s="464">
        <v>0</v>
      </c>
      <c r="K166" s="1662"/>
      <c r="L166" s="1163">
        <v>0</v>
      </c>
      <c r="M166" s="1898"/>
    </row>
    <row r="167" spans="1:13" x14ac:dyDescent="0.2">
      <c r="A167" s="1873" t="s">
        <v>59</v>
      </c>
      <c r="B167" s="403"/>
      <c r="C167" s="464"/>
      <c r="D167" s="1662"/>
      <c r="E167" s="1213">
        <v>0</v>
      </c>
      <c r="F167" s="2115"/>
      <c r="G167" s="1473"/>
      <c r="H167" s="1213">
        <v>0</v>
      </c>
      <c r="I167" s="1473"/>
      <c r="J167" s="464">
        <v>0</v>
      </c>
      <c r="K167" s="1662"/>
      <c r="L167" s="1163">
        <v>0</v>
      </c>
      <c r="M167" s="1898"/>
    </row>
    <row r="168" spans="1:13" x14ac:dyDescent="0.2">
      <c r="A168" s="1873" t="s">
        <v>60</v>
      </c>
      <c r="B168" s="403"/>
      <c r="C168" s="464"/>
      <c r="D168" s="1662"/>
      <c r="E168" s="1213">
        <v>0</v>
      </c>
      <c r="F168" s="2115"/>
      <c r="G168" s="1473"/>
      <c r="H168" s="1213">
        <v>0</v>
      </c>
      <c r="I168" s="1473"/>
      <c r="J168" s="464">
        <v>0</v>
      </c>
      <c r="K168" s="1662"/>
      <c r="L168" s="1163">
        <v>0</v>
      </c>
      <c r="M168" s="1898"/>
    </row>
    <row r="169" spans="1:13" x14ac:dyDescent="0.2">
      <c r="A169" s="1873" t="s">
        <v>61</v>
      </c>
      <c r="B169" s="403"/>
      <c r="C169" s="464"/>
      <c r="D169" s="1662"/>
      <c r="E169" s="1213">
        <v>0</v>
      </c>
      <c r="F169" s="2115"/>
      <c r="G169" s="1473"/>
      <c r="H169" s="1213">
        <v>0</v>
      </c>
      <c r="I169" s="1473"/>
      <c r="J169" s="464">
        <v>0</v>
      </c>
      <c r="K169" s="1662"/>
      <c r="L169" s="1163">
        <v>0</v>
      </c>
      <c r="M169" s="1898"/>
    </row>
    <row r="170" spans="1:13" ht="13.5" thickBot="1" x14ac:dyDescent="0.25">
      <c r="A170" s="391"/>
      <c r="B170" s="402"/>
      <c r="C170" s="176"/>
      <c r="D170" s="1659"/>
      <c r="E170" s="16"/>
      <c r="F170" s="2230"/>
      <c r="H170" s="16"/>
      <c r="J170" s="176"/>
      <c r="K170" s="1659"/>
      <c r="L170" s="397"/>
      <c r="M170" s="1900"/>
    </row>
    <row r="171" spans="1:13" ht="13.5" thickBot="1" x14ac:dyDescent="0.25">
      <c r="A171" s="394" t="s">
        <v>393</v>
      </c>
      <c r="B171" s="1463"/>
      <c r="C171" s="1643">
        <v>34879</v>
      </c>
      <c r="D171" s="1660"/>
      <c r="E171" s="395">
        <v>15580.61</v>
      </c>
      <c r="F171" s="396">
        <v>45048</v>
      </c>
      <c r="G171" s="1462"/>
      <c r="H171" s="395">
        <v>17094.07</v>
      </c>
      <c r="I171" s="1667"/>
      <c r="J171" s="1643">
        <v>79927</v>
      </c>
      <c r="K171" s="1660"/>
      <c r="L171" s="1901">
        <v>32674.68</v>
      </c>
      <c r="M171" s="1904">
        <v>8033.6124975057137</v>
      </c>
    </row>
    <row r="172" spans="1:13" ht="13.5" thickTop="1" x14ac:dyDescent="0.2">
      <c r="A172" s="7" t="s">
        <v>1934</v>
      </c>
      <c r="B172" s="7"/>
      <c r="C172" s="7"/>
      <c r="D172" s="7"/>
      <c r="E172" s="7"/>
    </row>
    <row r="173" spans="1:13" x14ac:dyDescent="0.2">
      <c r="A173" s="7" t="s">
        <v>637</v>
      </c>
      <c r="B173" s="7"/>
      <c r="C173" s="7"/>
      <c r="D173" s="7"/>
      <c r="E173" s="7"/>
    </row>
    <row r="174" spans="1:13" x14ac:dyDescent="0.2">
      <c r="A174" s="7"/>
      <c r="B174" s="7"/>
      <c r="C174" s="7"/>
      <c r="D174" s="7"/>
      <c r="E174" s="7"/>
    </row>
    <row r="175" spans="1:13" x14ac:dyDescent="0.2"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</row>
  </sheetData>
  <mergeCells count="38">
    <mergeCell ref="A62:J62"/>
    <mergeCell ref="E65:F65"/>
    <mergeCell ref="G65:H65"/>
    <mergeCell ref="A61:J61"/>
    <mergeCell ref="C64:J64"/>
    <mergeCell ref="A1:N1"/>
    <mergeCell ref="A2:N2"/>
    <mergeCell ref="A3:N3"/>
    <mergeCell ref="B6:M6"/>
    <mergeCell ref="A60:J60"/>
    <mergeCell ref="B8:B10"/>
    <mergeCell ref="B7:D7"/>
    <mergeCell ref="E7:G7"/>
    <mergeCell ref="H7:J7"/>
    <mergeCell ref="K7:M7"/>
    <mergeCell ref="N6:N10"/>
    <mergeCell ref="F126:H126"/>
    <mergeCell ref="C125:K125"/>
    <mergeCell ref="C65:D65"/>
    <mergeCell ref="A121:M121"/>
    <mergeCell ref="A122:M122"/>
    <mergeCell ref="C126:E126"/>
    <mergeCell ref="E66:F66"/>
    <mergeCell ref="M125:M128"/>
    <mergeCell ref="I128:J128"/>
    <mergeCell ref="G66:H66"/>
    <mergeCell ref="I126:L126"/>
    <mergeCell ref="C66:D66"/>
    <mergeCell ref="A120:M120"/>
    <mergeCell ref="I66:J66"/>
    <mergeCell ref="A65:B65"/>
    <mergeCell ref="D127:E127"/>
    <mergeCell ref="D128:E128"/>
    <mergeCell ref="G127:H127"/>
    <mergeCell ref="K127:L127"/>
    <mergeCell ref="K128:L128"/>
    <mergeCell ref="I127:J127"/>
    <mergeCell ref="G128:H128"/>
  </mergeCells>
  <phoneticPr fontId="13" type="noConversion"/>
  <pageMargins left="0.78740157480314965" right="0.39370078740157483" top="0.39370078740157483" bottom="0.39370078740157483" header="0" footer="0"/>
  <pageSetup scale="75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80" zoomScaleNormal="80" workbookViewId="0">
      <selection sqref="A1:S1"/>
    </sheetView>
  </sheetViews>
  <sheetFormatPr baseColWidth="10" defaultColWidth="11.42578125" defaultRowHeight="12.75" x14ac:dyDescent="0.2"/>
  <cols>
    <col min="1" max="1" width="16.28515625" customWidth="1"/>
    <col min="2" max="4" width="11.7109375" customWidth="1"/>
    <col min="5" max="5" width="15.28515625" customWidth="1"/>
    <col min="6" max="6" width="13.7109375" customWidth="1"/>
    <col min="7" max="7" width="12.85546875" customWidth="1"/>
    <col min="8" max="8" width="14.7109375" customWidth="1"/>
    <col min="9" max="9" width="13" customWidth="1"/>
    <col min="10" max="10" width="11.7109375" customWidth="1"/>
    <col min="11" max="11" width="10.140625" bestFit="1" customWidth="1"/>
    <col min="12" max="12" width="8.85546875" bestFit="1" customWidth="1"/>
    <col min="13" max="13" width="8.7109375" bestFit="1" customWidth="1"/>
    <col min="14" max="14" width="8.140625" customWidth="1"/>
    <col min="15" max="15" width="9.42578125" customWidth="1"/>
    <col min="16" max="17" width="8.85546875" customWidth="1"/>
    <col min="18" max="18" width="8.5703125" customWidth="1"/>
    <col min="19" max="19" width="8.7109375" customWidth="1"/>
  </cols>
  <sheetData>
    <row r="1" spans="1:19" ht="15" x14ac:dyDescent="0.3">
      <c r="A1" s="3063" t="s">
        <v>324</v>
      </c>
      <c r="B1" s="3063"/>
      <c r="C1" s="3063"/>
      <c r="D1" s="3063"/>
      <c r="E1" s="3063"/>
      <c r="F1" s="3063"/>
      <c r="G1" s="3063"/>
      <c r="H1" s="3063"/>
      <c r="I1" s="3063"/>
      <c r="J1" s="3063"/>
      <c r="K1" s="3063"/>
      <c r="L1" s="3063"/>
      <c r="M1" s="3063"/>
      <c r="N1" s="3063"/>
      <c r="O1" s="3063"/>
      <c r="P1" s="3063"/>
      <c r="Q1" s="3063"/>
      <c r="R1" s="3063"/>
      <c r="S1" s="3063"/>
    </row>
    <row r="2" spans="1:19" x14ac:dyDescent="0.2">
      <c r="A2" s="3058" t="s">
        <v>1275</v>
      </c>
      <c r="B2" s="3058"/>
      <c r="C2" s="3058"/>
      <c r="D2" s="3058"/>
      <c r="E2" s="3058"/>
      <c r="F2" s="3058"/>
      <c r="G2" s="3058"/>
      <c r="H2" s="3058"/>
      <c r="I2" s="3058"/>
      <c r="J2" s="3058"/>
      <c r="K2" s="3058"/>
      <c r="L2" s="3058"/>
      <c r="M2" s="3058"/>
      <c r="N2" s="3058"/>
      <c r="O2" s="3058"/>
      <c r="P2" s="3058"/>
      <c r="Q2" s="3058"/>
      <c r="R2" s="3058"/>
      <c r="S2" s="3058"/>
    </row>
    <row r="3" spans="1:19" x14ac:dyDescent="0.2">
      <c r="A3" s="3059" t="s">
        <v>2028</v>
      </c>
      <c r="B3" s="3058"/>
      <c r="C3" s="3058"/>
      <c r="D3" s="3058"/>
      <c r="E3" s="3058"/>
      <c r="F3" s="3058"/>
      <c r="G3" s="3058"/>
      <c r="H3" s="3058"/>
      <c r="I3" s="3058"/>
      <c r="J3" s="3058"/>
      <c r="K3" s="3058"/>
      <c r="L3" s="3058"/>
      <c r="M3" s="3058"/>
      <c r="N3" s="3058"/>
      <c r="O3" s="3058"/>
      <c r="P3" s="3058"/>
      <c r="Q3" s="3058"/>
      <c r="R3" s="3058"/>
      <c r="S3" s="3058"/>
    </row>
    <row r="4" spans="1:19" ht="13.5" thickBot="1" x14ac:dyDescent="0.25"/>
    <row r="5" spans="1:19" ht="13.5" thickTop="1" x14ac:dyDescent="0.2">
      <c r="A5" s="407"/>
      <c r="B5" s="3055" t="s">
        <v>1132</v>
      </c>
      <c r="C5" s="3056"/>
      <c r="D5" s="3056"/>
      <c r="E5" s="3056"/>
      <c r="F5" s="3056"/>
      <c r="G5" s="3056"/>
      <c r="H5" s="3056"/>
      <c r="I5" s="3056"/>
      <c r="J5" s="3099"/>
      <c r="K5" s="3094" t="s">
        <v>1200</v>
      </c>
      <c r="L5" s="3094"/>
      <c r="M5" s="3095"/>
      <c r="N5" s="3096" t="s">
        <v>1017</v>
      </c>
      <c r="O5" s="3097"/>
      <c r="P5" s="3097"/>
      <c r="Q5" s="3097"/>
      <c r="R5" s="3097"/>
      <c r="S5" s="3098"/>
    </row>
    <row r="6" spans="1:19" ht="25.5" customHeight="1" x14ac:dyDescent="0.2">
      <c r="A6" s="408" t="s">
        <v>327</v>
      </c>
      <c r="B6" s="3089" t="s">
        <v>1892</v>
      </c>
      <c r="C6" s="3090"/>
      <c r="D6" s="3090"/>
      <c r="E6" s="3091"/>
      <c r="F6" s="3085" t="s">
        <v>1882</v>
      </c>
      <c r="G6" s="3087" t="s">
        <v>1880</v>
      </c>
      <c r="H6" s="3081" t="s">
        <v>1893</v>
      </c>
      <c r="I6" s="3079" t="s">
        <v>1879</v>
      </c>
      <c r="J6" s="3100" t="s">
        <v>1881</v>
      </c>
      <c r="K6" s="411" t="s">
        <v>1277</v>
      </c>
      <c r="L6" s="411" t="s">
        <v>1283</v>
      </c>
      <c r="M6" s="358" t="s">
        <v>1283</v>
      </c>
      <c r="N6" s="3102" t="s">
        <v>1015</v>
      </c>
      <c r="O6" s="3103"/>
      <c r="P6" s="3103"/>
      <c r="Q6" s="3103"/>
      <c r="R6" s="3103"/>
      <c r="S6" s="3104"/>
    </row>
    <row r="7" spans="1:19" ht="22.5" customHeight="1" x14ac:dyDescent="0.2">
      <c r="A7" s="412"/>
      <c r="B7" s="3077" t="s">
        <v>1876</v>
      </c>
      <c r="C7" s="3079" t="s">
        <v>1877</v>
      </c>
      <c r="D7" s="3079" t="s">
        <v>1878</v>
      </c>
      <c r="E7" s="3092" t="s">
        <v>1894</v>
      </c>
      <c r="F7" s="3086"/>
      <c r="G7" s="3088"/>
      <c r="H7" s="3082"/>
      <c r="I7" s="3084"/>
      <c r="J7" s="3101"/>
      <c r="K7" s="369" t="s">
        <v>1301</v>
      </c>
      <c r="L7" s="369" t="s">
        <v>1301</v>
      </c>
      <c r="M7" s="414" t="s">
        <v>1302</v>
      </c>
      <c r="N7" s="3105" t="s">
        <v>1303</v>
      </c>
      <c r="O7" s="3106"/>
      <c r="P7" s="3107" t="s">
        <v>1304</v>
      </c>
      <c r="Q7" s="3106"/>
      <c r="R7" s="3107" t="s">
        <v>1305</v>
      </c>
      <c r="S7" s="3108"/>
    </row>
    <row r="8" spans="1:19" x14ac:dyDescent="0.2">
      <c r="A8" s="415"/>
      <c r="B8" s="3078"/>
      <c r="C8" s="3080"/>
      <c r="D8" s="3080"/>
      <c r="E8" s="3093"/>
      <c r="F8" s="3086"/>
      <c r="G8" s="3088"/>
      <c r="H8" s="3083"/>
      <c r="I8" s="3080"/>
      <c r="J8" s="3101"/>
      <c r="K8" s="370" t="s">
        <v>1306</v>
      </c>
      <c r="L8" s="370" t="s">
        <v>1307</v>
      </c>
      <c r="M8" s="359" t="s">
        <v>1307</v>
      </c>
      <c r="N8" s="327" t="s">
        <v>1221</v>
      </c>
      <c r="O8" s="327" t="s">
        <v>1308</v>
      </c>
      <c r="P8" s="327" t="s">
        <v>1221</v>
      </c>
      <c r="Q8" s="327" t="s">
        <v>1308</v>
      </c>
      <c r="R8" s="327" t="s">
        <v>1221</v>
      </c>
      <c r="S8" s="330" t="s">
        <v>1308</v>
      </c>
    </row>
    <row r="9" spans="1:19" x14ac:dyDescent="0.2">
      <c r="A9" s="417" t="s">
        <v>352</v>
      </c>
      <c r="B9" s="1629">
        <v>59398</v>
      </c>
      <c r="C9" s="435">
        <v>3563</v>
      </c>
      <c r="D9" s="435">
        <v>254</v>
      </c>
      <c r="E9" s="436">
        <v>63215</v>
      </c>
      <c r="F9" s="1642">
        <v>3773</v>
      </c>
      <c r="G9" s="2287">
        <v>66988</v>
      </c>
      <c r="H9" s="1642">
        <v>285</v>
      </c>
      <c r="I9" s="435">
        <v>629</v>
      </c>
      <c r="J9" s="2287">
        <v>914</v>
      </c>
      <c r="K9" s="419"/>
      <c r="L9" s="420"/>
      <c r="M9" s="421"/>
      <c r="N9" s="419"/>
      <c r="O9" s="420"/>
      <c r="P9" s="420"/>
      <c r="Q9" s="420"/>
      <c r="R9" s="420"/>
      <c r="S9" s="422"/>
    </row>
    <row r="10" spans="1:19" x14ac:dyDescent="0.2">
      <c r="A10" s="423" t="s">
        <v>353</v>
      </c>
      <c r="B10" s="364">
        <v>23429</v>
      </c>
      <c r="C10" s="424">
        <v>1151</v>
      </c>
      <c r="D10" s="424">
        <v>38</v>
      </c>
      <c r="E10" s="425">
        <v>24618</v>
      </c>
      <c r="F10" s="364">
        <v>357</v>
      </c>
      <c r="G10" s="2288">
        <v>24975</v>
      </c>
      <c r="H10" s="364">
        <v>41</v>
      </c>
      <c r="I10" s="424">
        <v>62</v>
      </c>
      <c r="J10" s="2288">
        <v>103</v>
      </c>
      <c r="K10" s="427">
        <v>10</v>
      </c>
      <c r="L10" s="428">
        <v>8</v>
      </c>
      <c r="M10" s="429">
        <v>46</v>
      </c>
      <c r="N10" s="430">
        <v>55</v>
      </c>
      <c r="O10" s="431" t="s">
        <v>1309</v>
      </c>
      <c r="P10" s="431">
        <v>30</v>
      </c>
      <c r="Q10" s="431" t="s">
        <v>1309</v>
      </c>
      <c r="R10" s="431">
        <v>15</v>
      </c>
      <c r="S10" s="432" t="s">
        <v>1309</v>
      </c>
    </row>
    <row r="11" spans="1:19" x14ac:dyDescent="0.2">
      <c r="A11" s="2107" t="s">
        <v>354</v>
      </c>
      <c r="B11" s="364">
        <v>1987</v>
      </c>
      <c r="C11" s="424">
        <v>133</v>
      </c>
      <c r="D11" s="424">
        <v>19</v>
      </c>
      <c r="E11" s="425">
        <v>2139</v>
      </c>
      <c r="F11" s="364">
        <v>285</v>
      </c>
      <c r="G11" s="2288">
        <v>2424</v>
      </c>
      <c r="H11" s="364">
        <v>28</v>
      </c>
      <c r="I11" s="424">
        <v>46</v>
      </c>
      <c r="J11" s="2288">
        <v>74</v>
      </c>
      <c r="K11" s="427">
        <v>9</v>
      </c>
      <c r="L11" s="428">
        <v>7</v>
      </c>
      <c r="M11" s="429">
        <v>40</v>
      </c>
      <c r="N11" s="430">
        <v>45</v>
      </c>
      <c r="O11" s="431" t="s">
        <v>1310</v>
      </c>
      <c r="P11" s="431">
        <v>30</v>
      </c>
      <c r="Q11" s="431" t="s">
        <v>1310</v>
      </c>
      <c r="R11" s="431">
        <v>25</v>
      </c>
      <c r="S11" s="432" t="s">
        <v>1309</v>
      </c>
    </row>
    <row r="12" spans="1:19" x14ac:dyDescent="0.2">
      <c r="A12" s="423" t="s">
        <v>355</v>
      </c>
      <c r="B12" s="364">
        <v>445</v>
      </c>
      <c r="C12" s="424">
        <v>42</v>
      </c>
      <c r="D12" s="424">
        <v>6</v>
      </c>
      <c r="E12" s="425">
        <v>493</v>
      </c>
      <c r="F12" s="364">
        <v>115</v>
      </c>
      <c r="G12" s="2288">
        <v>608</v>
      </c>
      <c r="H12" s="364">
        <v>14</v>
      </c>
      <c r="I12" s="424">
        <v>19</v>
      </c>
      <c r="J12" s="2288">
        <v>33</v>
      </c>
      <c r="K12" s="427">
        <v>11</v>
      </c>
      <c r="L12" s="428">
        <v>9</v>
      </c>
      <c r="M12" s="429">
        <v>45</v>
      </c>
      <c r="N12" s="430">
        <v>10</v>
      </c>
      <c r="O12" s="431" t="s">
        <v>1311</v>
      </c>
      <c r="P12" s="431">
        <v>10</v>
      </c>
      <c r="Q12" s="431" t="s">
        <v>1311</v>
      </c>
      <c r="R12" s="431">
        <v>80</v>
      </c>
      <c r="S12" s="432" t="s">
        <v>1311</v>
      </c>
    </row>
    <row r="13" spans="1:19" x14ac:dyDescent="0.2">
      <c r="A13" s="423" t="s">
        <v>356</v>
      </c>
      <c r="B13" s="364">
        <v>586</v>
      </c>
      <c r="C13" s="424">
        <v>61</v>
      </c>
      <c r="D13" s="424">
        <v>11</v>
      </c>
      <c r="E13" s="425">
        <v>658</v>
      </c>
      <c r="F13" s="364">
        <v>506</v>
      </c>
      <c r="G13" s="2288">
        <v>1164</v>
      </c>
      <c r="H13" s="364">
        <v>16</v>
      </c>
      <c r="I13" s="424">
        <v>93</v>
      </c>
      <c r="J13" s="2288">
        <v>109</v>
      </c>
      <c r="K13" s="427">
        <v>10</v>
      </c>
      <c r="L13" s="428">
        <v>7</v>
      </c>
      <c r="M13" s="429">
        <v>50</v>
      </c>
      <c r="N13" s="430">
        <v>10</v>
      </c>
      <c r="O13" s="431" t="s">
        <v>1312</v>
      </c>
      <c r="P13" s="431">
        <v>10</v>
      </c>
      <c r="Q13" s="431" t="s">
        <v>1313</v>
      </c>
      <c r="R13" s="431">
        <v>80</v>
      </c>
      <c r="S13" s="432" t="s">
        <v>1310</v>
      </c>
    </row>
    <row r="14" spans="1:19" x14ac:dyDescent="0.2">
      <c r="A14" s="423" t="s">
        <v>357</v>
      </c>
      <c r="B14" s="364">
        <v>14341</v>
      </c>
      <c r="C14" s="424">
        <v>931</v>
      </c>
      <c r="D14" s="424">
        <v>52</v>
      </c>
      <c r="E14" s="425">
        <v>15324</v>
      </c>
      <c r="F14" s="364">
        <v>248</v>
      </c>
      <c r="G14" s="2288">
        <v>15572</v>
      </c>
      <c r="H14" s="364">
        <v>43</v>
      </c>
      <c r="I14" s="424">
        <v>36</v>
      </c>
      <c r="J14" s="2288">
        <v>79</v>
      </c>
      <c r="K14" s="427">
        <v>10</v>
      </c>
      <c r="L14" s="428">
        <v>9</v>
      </c>
      <c r="M14" s="429">
        <v>50</v>
      </c>
      <c r="N14" s="430">
        <v>20</v>
      </c>
      <c r="O14" s="431" t="s">
        <v>1309</v>
      </c>
      <c r="P14" s="431">
        <v>20</v>
      </c>
      <c r="Q14" s="431" t="s">
        <v>1309</v>
      </c>
      <c r="R14" s="431">
        <v>60</v>
      </c>
      <c r="S14" s="432" t="s">
        <v>1309</v>
      </c>
    </row>
    <row r="15" spans="1:19" x14ac:dyDescent="0.2">
      <c r="A15" s="423" t="s">
        <v>358</v>
      </c>
      <c r="B15" s="364">
        <v>216</v>
      </c>
      <c r="C15" s="424">
        <v>26</v>
      </c>
      <c r="D15" s="424">
        <v>6</v>
      </c>
      <c r="E15" s="425">
        <v>248</v>
      </c>
      <c r="F15" s="364">
        <v>71</v>
      </c>
      <c r="G15" s="2288">
        <v>319</v>
      </c>
      <c r="H15" s="364">
        <v>7</v>
      </c>
      <c r="I15" s="424">
        <v>16</v>
      </c>
      <c r="J15" s="2288">
        <v>23</v>
      </c>
      <c r="K15" s="427">
        <v>9</v>
      </c>
      <c r="L15" s="428">
        <v>7</v>
      </c>
      <c r="M15" s="429">
        <v>60</v>
      </c>
      <c r="N15" s="430">
        <v>20</v>
      </c>
      <c r="O15" s="431" t="s">
        <v>1309</v>
      </c>
      <c r="P15" s="431">
        <v>20</v>
      </c>
      <c r="Q15" s="431" t="s">
        <v>1311</v>
      </c>
      <c r="R15" s="431">
        <v>60</v>
      </c>
      <c r="S15" s="432" t="s">
        <v>1314</v>
      </c>
    </row>
    <row r="16" spans="1:19" x14ac:dyDescent="0.2">
      <c r="A16" s="423" t="s">
        <v>359</v>
      </c>
      <c r="B16" s="364">
        <v>691</v>
      </c>
      <c r="C16" s="424">
        <v>43</v>
      </c>
      <c r="D16" s="424">
        <v>5</v>
      </c>
      <c r="E16" s="425">
        <v>739</v>
      </c>
      <c r="F16" s="364">
        <v>135</v>
      </c>
      <c r="G16" s="2288">
        <v>874</v>
      </c>
      <c r="H16" s="364">
        <v>6</v>
      </c>
      <c r="I16" s="424">
        <v>22</v>
      </c>
      <c r="J16" s="2288">
        <v>28</v>
      </c>
      <c r="K16" s="427">
        <v>8</v>
      </c>
      <c r="L16" s="428">
        <v>8</v>
      </c>
      <c r="M16" s="429">
        <v>50</v>
      </c>
      <c r="N16" s="430">
        <v>20</v>
      </c>
      <c r="O16" s="431" t="s">
        <v>1309</v>
      </c>
      <c r="P16" s="431"/>
      <c r="Q16" s="431"/>
      <c r="R16" s="431">
        <v>80</v>
      </c>
      <c r="S16" s="432" t="s">
        <v>1315</v>
      </c>
    </row>
    <row r="17" spans="1:19" x14ac:dyDescent="0.2">
      <c r="A17" s="423" t="s">
        <v>360</v>
      </c>
      <c r="B17" s="364">
        <v>948</v>
      </c>
      <c r="C17" s="424">
        <v>49</v>
      </c>
      <c r="D17" s="424">
        <v>8</v>
      </c>
      <c r="E17" s="425">
        <v>1005</v>
      </c>
      <c r="F17" s="364">
        <v>60</v>
      </c>
      <c r="G17" s="2288">
        <v>1065</v>
      </c>
      <c r="H17" s="364">
        <v>7</v>
      </c>
      <c r="I17" s="424">
        <v>10</v>
      </c>
      <c r="J17" s="2288">
        <v>17</v>
      </c>
      <c r="K17" s="427">
        <v>10</v>
      </c>
      <c r="L17" s="428">
        <v>10</v>
      </c>
      <c r="M17" s="429">
        <v>45</v>
      </c>
      <c r="N17" s="430"/>
      <c r="O17" s="431"/>
      <c r="P17" s="431"/>
      <c r="Q17" s="431"/>
      <c r="R17" s="431">
        <v>100</v>
      </c>
      <c r="S17" s="432" t="s">
        <v>1309</v>
      </c>
    </row>
    <row r="18" spans="1:19" x14ac:dyDescent="0.2">
      <c r="A18" s="423" t="s">
        <v>938</v>
      </c>
      <c r="B18" s="364">
        <v>3922</v>
      </c>
      <c r="C18" s="424">
        <v>270</v>
      </c>
      <c r="D18" s="424">
        <v>24</v>
      </c>
      <c r="E18" s="425">
        <v>4216</v>
      </c>
      <c r="F18" s="364">
        <v>415</v>
      </c>
      <c r="G18" s="2288">
        <v>4631</v>
      </c>
      <c r="H18" s="364">
        <v>26</v>
      </c>
      <c r="I18" s="424">
        <v>68</v>
      </c>
      <c r="J18" s="2288">
        <v>94</v>
      </c>
      <c r="K18" s="427">
        <v>10</v>
      </c>
      <c r="L18" s="428">
        <v>9</v>
      </c>
      <c r="M18" s="429">
        <v>45</v>
      </c>
      <c r="N18" s="430">
        <v>10</v>
      </c>
      <c r="O18" s="431" t="s">
        <v>1309</v>
      </c>
      <c r="P18" s="431">
        <v>30</v>
      </c>
      <c r="Q18" s="431" t="s">
        <v>1309</v>
      </c>
      <c r="R18" s="431">
        <v>60</v>
      </c>
      <c r="S18" s="432" t="s">
        <v>1316</v>
      </c>
    </row>
    <row r="19" spans="1:19" x14ac:dyDescent="0.2">
      <c r="A19" s="423" t="s">
        <v>362</v>
      </c>
      <c r="B19" s="364">
        <v>3891</v>
      </c>
      <c r="C19" s="424">
        <v>261</v>
      </c>
      <c r="D19" s="424">
        <v>20</v>
      </c>
      <c r="E19" s="425">
        <v>4172</v>
      </c>
      <c r="F19" s="364">
        <v>183</v>
      </c>
      <c r="G19" s="2288">
        <v>4355</v>
      </c>
      <c r="H19" s="364">
        <v>26</v>
      </c>
      <c r="I19" s="424">
        <v>32</v>
      </c>
      <c r="J19" s="2288">
        <v>58</v>
      </c>
      <c r="K19" s="427">
        <v>9</v>
      </c>
      <c r="L19" s="428">
        <v>8</v>
      </c>
      <c r="M19" s="429">
        <v>40</v>
      </c>
      <c r="N19" s="430">
        <v>30</v>
      </c>
      <c r="O19" s="431" t="s">
        <v>1309</v>
      </c>
      <c r="P19" s="431">
        <v>20</v>
      </c>
      <c r="Q19" s="431" t="s">
        <v>1272</v>
      </c>
      <c r="R19" s="431">
        <v>50</v>
      </c>
      <c r="S19" s="432" t="s">
        <v>1316</v>
      </c>
    </row>
    <row r="20" spans="1:19" x14ac:dyDescent="0.2">
      <c r="A20" s="423" t="s">
        <v>363</v>
      </c>
      <c r="B20" s="364">
        <v>987</v>
      </c>
      <c r="C20" s="424">
        <v>90</v>
      </c>
      <c r="D20" s="424">
        <v>16</v>
      </c>
      <c r="E20" s="425">
        <v>1093</v>
      </c>
      <c r="F20" s="364">
        <v>96</v>
      </c>
      <c r="G20" s="2288">
        <v>1189</v>
      </c>
      <c r="H20" s="364">
        <v>12</v>
      </c>
      <c r="I20" s="424">
        <v>12</v>
      </c>
      <c r="J20" s="2288">
        <v>24</v>
      </c>
      <c r="K20" s="427">
        <v>9</v>
      </c>
      <c r="L20" s="428">
        <v>8</v>
      </c>
      <c r="M20" s="429">
        <v>45</v>
      </c>
      <c r="N20" s="430">
        <v>20</v>
      </c>
      <c r="O20" s="431" t="s">
        <v>1310</v>
      </c>
      <c r="P20" s="431">
        <v>20</v>
      </c>
      <c r="Q20" s="431" t="s">
        <v>1310</v>
      </c>
      <c r="R20" s="431">
        <v>60</v>
      </c>
      <c r="S20" s="432" t="s">
        <v>1315</v>
      </c>
    </row>
    <row r="21" spans="1:19" x14ac:dyDescent="0.2">
      <c r="A21" s="423" t="s">
        <v>939</v>
      </c>
      <c r="B21" s="364">
        <v>738</v>
      </c>
      <c r="C21" s="424">
        <v>70</v>
      </c>
      <c r="D21" s="424">
        <v>8</v>
      </c>
      <c r="E21" s="425">
        <v>816</v>
      </c>
      <c r="F21" s="364">
        <v>755</v>
      </c>
      <c r="G21" s="2288">
        <v>1571</v>
      </c>
      <c r="H21" s="364">
        <v>20</v>
      </c>
      <c r="I21" s="424">
        <v>137</v>
      </c>
      <c r="J21" s="2288">
        <v>157</v>
      </c>
      <c r="K21" s="427">
        <v>10</v>
      </c>
      <c r="L21" s="428">
        <v>9</v>
      </c>
      <c r="M21" s="429">
        <v>60</v>
      </c>
      <c r="N21" s="430">
        <v>30</v>
      </c>
      <c r="O21" s="431" t="s">
        <v>1309</v>
      </c>
      <c r="P21" s="431">
        <v>65</v>
      </c>
      <c r="Q21" s="431" t="s">
        <v>1309</v>
      </c>
      <c r="R21" s="431">
        <v>5</v>
      </c>
      <c r="S21" s="432" t="s">
        <v>1315</v>
      </c>
    </row>
    <row r="22" spans="1:19" x14ac:dyDescent="0.2">
      <c r="A22" s="423" t="s">
        <v>365</v>
      </c>
      <c r="B22" s="364">
        <v>4662</v>
      </c>
      <c r="C22" s="424">
        <v>262</v>
      </c>
      <c r="D22" s="424">
        <v>14</v>
      </c>
      <c r="E22" s="425">
        <v>4938</v>
      </c>
      <c r="F22" s="364">
        <v>100</v>
      </c>
      <c r="G22" s="2288">
        <v>5038</v>
      </c>
      <c r="H22" s="364">
        <v>10</v>
      </c>
      <c r="I22" s="424">
        <v>13</v>
      </c>
      <c r="J22" s="2288">
        <v>23</v>
      </c>
      <c r="K22" s="427">
        <v>10</v>
      </c>
      <c r="L22" s="428">
        <v>8</v>
      </c>
      <c r="M22" s="429">
        <v>60</v>
      </c>
      <c r="N22" s="430"/>
      <c r="O22" s="431"/>
      <c r="P22" s="431"/>
      <c r="Q22" s="431"/>
      <c r="R22" s="431">
        <v>100</v>
      </c>
      <c r="S22" s="432" t="s">
        <v>1311</v>
      </c>
    </row>
    <row r="23" spans="1:19" x14ac:dyDescent="0.2">
      <c r="A23" s="423" t="s">
        <v>366</v>
      </c>
      <c r="B23" s="364">
        <v>1583</v>
      </c>
      <c r="C23" s="424">
        <v>60</v>
      </c>
      <c r="D23" s="424">
        <v>11</v>
      </c>
      <c r="E23" s="425">
        <v>1654</v>
      </c>
      <c r="F23" s="364">
        <v>246</v>
      </c>
      <c r="G23" s="2288">
        <v>1900</v>
      </c>
      <c r="H23" s="364">
        <v>16</v>
      </c>
      <c r="I23" s="424">
        <v>38</v>
      </c>
      <c r="J23" s="2288">
        <v>54</v>
      </c>
      <c r="K23" s="427">
        <v>10</v>
      </c>
      <c r="L23" s="428">
        <v>10</v>
      </c>
      <c r="M23" s="429">
        <v>45</v>
      </c>
      <c r="N23" s="430">
        <v>5</v>
      </c>
      <c r="O23" s="431" t="s">
        <v>1315</v>
      </c>
      <c r="P23" s="431">
        <v>5</v>
      </c>
      <c r="Q23" s="431" t="s">
        <v>1315</v>
      </c>
      <c r="R23" s="431">
        <v>90</v>
      </c>
      <c r="S23" s="432" t="s">
        <v>1314</v>
      </c>
    </row>
    <row r="24" spans="1:19" x14ac:dyDescent="0.2">
      <c r="A24" s="423" t="s">
        <v>367</v>
      </c>
      <c r="B24" s="364">
        <v>972</v>
      </c>
      <c r="C24" s="424">
        <v>114</v>
      </c>
      <c r="D24" s="424">
        <v>16</v>
      </c>
      <c r="E24" s="425">
        <v>1102</v>
      </c>
      <c r="F24" s="364">
        <v>201</v>
      </c>
      <c r="G24" s="2288">
        <v>1303</v>
      </c>
      <c r="H24" s="364">
        <v>13</v>
      </c>
      <c r="I24" s="424">
        <v>25</v>
      </c>
      <c r="J24" s="2288">
        <v>38</v>
      </c>
      <c r="K24" s="427">
        <v>10</v>
      </c>
      <c r="L24" s="428">
        <v>8</v>
      </c>
      <c r="M24" s="429">
        <v>60</v>
      </c>
      <c r="N24" s="430"/>
      <c r="O24" s="431"/>
      <c r="P24" s="431">
        <v>10</v>
      </c>
      <c r="Q24" s="431" t="s">
        <v>1309</v>
      </c>
      <c r="R24" s="431">
        <v>90</v>
      </c>
      <c r="S24" s="432" t="s">
        <v>1309</v>
      </c>
    </row>
    <row r="25" spans="1:19" x14ac:dyDescent="0.2">
      <c r="A25" s="433" t="s">
        <v>368</v>
      </c>
      <c r="B25" s="1629">
        <v>9930</v>
      </c>
      <c r="C25" s="435">
        <v>694</v>
      </c>
      <c r="D25" s="435">
        <v>59</v>
      </c>
      <c r="E25" s="436">
        <v>10683</v>
      </c>
      <c r="F25" s="1642">
        <v>1011</v>
      </c>
      <c r="G25" s="2287">
        <v>11694</v>
      </c>
      <c r="H25" s="1642">
        <v>87</v>
      </c>
      <c r="I25" s="435">
        <v>122</v>
      </c>
      <c r="J25" s="2287">
        <v>209</v>
      </c>
      <c r="K25" s="427"/>
      <c r="L25" s="428"/>
      <c r="M25" s="429"/>
      <c r="N25" s="430"/>
      <c r="O25" s="431"/>
      <c r="P25" s="431"/>
      <c r="Q25" s="431"/>
      <c r="R25" s="431"/>
      <c r="S25" s="432"/>
    </row>
    <row r="26" spans="1:19" x14ac:dyDescent="0.2">
      <c r="A26" s="423" t="s">
        <v>1226</v>
      </c>
      <c r="B26" s="364">
        <v>3294</v>
      </c>
      <c r="C26" s="424">
        <v>257</v>
      </c>
      <c r="D26" s="424">
        <v>20</v>
      </c>
      <c r="E26" s="425">
        <v>3571</v>
      </c>
      <c r="F26" s="364">
        <v>373</v>
      </c>
      <c r="G26" s="2288">
        <v>3944</v>
      </c>
      <c r="H26" s="364">
        <v>38</v>
      </c>
      <c r="I26" s="424">
        <v>45</v>
      </c>
      <c r="J26" s="2288">
        <v>83</v>
      </c>
      <c r="K26" s="427">
        <v>9</v>
      </c>
      <c r="L26" s="428">
        <v>8</v>
      </c>
      <c r="M26" s="429">
        <v>45</v>
      </c>
      <c r="N26" s="430">
        <v>25</v>
      </c>
      <c r="O26" s="431" t="s">
        <v>1311</v>
      </c>
      <c r="P26" s="431">
        <v>25</v>
      </c>
      <c r="Q26" s="431" t="s">
        <v>1311</v>
      </c>
      <c r="R26" s="431">
        <v>50</v>
      </c>
      <c r="S26" s="432" t="s">
        <v>1314</v>
      </c>
    </row>
    <row r="27" spans="1:19" x14ac:dyDescent="0.2">
      <c r="A27" s="423" t="s">
        <v>370</v>
      </c>
      <c r="B27" s="364">
        <v>1043</v>
      </c>
      <c r="C27" s="424">
        <v>82</v>
      </c>
      <c r="D27" s="424">
        <v>14</v>
      </c>
      <c r="E27" s="425">
        <v>1139</v>
      </c>
      <c r="F27" s="364">
        <v>75</v>
      </c>
      <c r="G27" s="2288">
        <v>1214</v>
      </c>
      <c r="H27" s="364">
        <v>12</v>
      </c>
      <c r="I27" s="424">
        <v>6</v>
      </c>
      <c r="J27" s="2288">
        <v>18</v>
      </c>
      <c r="K27" s="427">
        <v>9</v>
      </c>
      <c r="L27" s="428">
        <v>8</v>
      </c>
      <c r="M27" s="429">
        <v>21</v>
      </c>
      <c r="N27" s="430">
        <v>5</v>
      </c>
      <c r="O27" s="431" t="s">
        <v>1309</v>
      </c>
      <c r="P27" s="431">
        <v>5</v>
      </c>
      <c r="Q27" s="431" t="s">
        <v>1310</v>
      </c>
      <c r="R27" s="431">
        <v>90</v>
      </c>
      <c r="S27" s="432" t="s">
        <v>1310</v>
      </c>
    </row>
    <row r="28" spans="1:19" x14ac:dyDescent="0.2">
      <c r="A28" s="423" t="s">
        <v>371</v>
      </c>
      <c r="B28" s="364">
        <v>402</v>
      </c>
      <c r="C28" s="424">
        <v>43</v>
      </c>
      <c r="D28" s="424">
        <v>6</v>
      </c>
      <c r="E28" s="425">
        <v>451</v>
      </c>
      <c r="F28" s="364">
        <v>221</v>
      </c>
      <c r="G28" s="2288">
        <v>672</v>
      </c>
      <c r="H28" s="364">
        <v>9</v>
      </c>
      <c r="I28" s="424">
        <v>27</v>
      </c>
      <c r="J28" s="2288">
        <v>36</v>
      </c>
      <c r="K28" s="427">
        <v>10</v>
      </c>
      <c r="L28" s="428">
        <v>8</v>
      </c>
      <c r="M28" s="429">
        <v>45</v>
      </c>
      <c r="N28" s="430"/>
      <c r="O28" s="431"/>
      <c r="P28" s="431"/>
      <c r="Q28" s="431"/>
      <c r="R28" s="431">
        <v>100</v>
      </c>
      <c r="S28" s="432" t="s">
        <v>1315</v>
      </c>
    </row>
    <row r="29" spans="1:19" x14ac:dyDescent="0.2">
      <c r="A29" s="423" t="s">
        <v>372</v>
      </c>
      <c r="B29" s="364">
        <v>773</v>
      </c>
      <c r="C29" s="424">
        <v>50</v>
      </c>
      <c r="D29" s="424">
        <v>5</v>
      </c>
      <c r="E29" s="425">
        <v>828</v>
      </c>
      <c r="F29" s="364">
        <v>145</v>
      </c>
      <c r="G29" s="2288">
        <v>973</v>
      </c>
      <c r="H29" s="364">
        <v>13</v>
      </c>
      <c r="I29" s="424">
        <v>23</v>
      </c>
      <c r="J29" s="2288">
        <v>36</v>
      </c>
      <c r="K29" s="427">
        <v>9</v>
      </c>
      <c r="L29" s="428">
        <v>8</v>
      </c>
      <c r="M29" s="429">
        <v>60</v>
      </c>
      <c r="N29" s="430">
        <v>30</v>
      </c>
      <c r="O29" s="431" t="s">
        <v>1309</v>
      </c>
      <c r="P29" s="431">
        <v>35</v>
      </c>
      <c r="Q29" s="431" t="s">
        <v>1311</v>
      </c>
      <c r="R29" s="431">
        <v>35</v>
      </c>
      <c r="S29" s="432" t="s">
        <v>1316</v>
      </c>
    </row>
    <row r="30" spans="1:19" x14ac:dyDescent="0.2">
      <c r="A30" s="423" t="s">
        <v>373</v>
      </c>
      <c r="B30" s="364">
        <v>4418</v>
      </c>
      <c r="C30" s="424">
        <v>262</v>
      </c>
      <c r="D30" s="424">
        <v>14</v>
      </c>
      <c r="E30" s="425">
        <v>4694</v>
      </c>
      <c r="F30" s="364">
        <v>197</v>
      </c>
      <c r="G30" s="2288">
        <v>4891</v>
      </c>
      <c r="H30" s="364">
        <v>15</v>
      </c>
      <c r="I30" s="424">
        <v>21</v>
      </c>
      <c r="J30" s="2288">
        <v>36</v>
      </c>
      <c r="K30" s="427">
        <v>9</v>
      </c>
      <c r="L30" s="428">
        <v>7</v>
      </c>
      <c r="M30" s="429">
        <v>50</v>
      </c>
      <c r="N30" s="430"/>
      <c r="O30" s="431"/>
      <c r="P30" s="431">
        <v>20</v>
      </c>
      <c r="Q30" s="431" t="s">
        <v>1311</v>
      </c>
      <c r="R30" s="431">
        <v>80</v>
      </c>
      <c r="S30" s="432" t="s">
        <v>1315</v>
      </c>
    </row>
    <row r="31" spans="1:19" x14ac:dyDescent="0.2">
      <c r="A31" s="433" t="s">
        <v>374</v>
      </c>
      <c r="B31" s="1629">
        <v>12327</v>
      </c>
      <c r="C31" s="435">
        <v>901</v>
      </c>
      <c r="D31" s="435">
        <v>116</v>
      </c>
      <c r="E31" s="436">
        <v>13344</v>
      </c>
      <c r="F31" s="1642">
        <v>2119</v>
      </c>
      <c r="G31" s="2287">
        <v>15463</v>
      </c>
      <c r="H31" s="1642">
        <v>137</v>
      </c>
      <c r="I31" s="435">
        <v>334</v>
      </c>
      <c r="J31" s="2287">
        <v>471</v>
      </c>
      <c r="K31" s="427"/>
      <c r="L31" s="428"/>
      <c r="M31" s="429"/>
      <c r="N31" s="430"/>
      <c r="O31" s="431"/>
      <c r="P31" s="431"/>
      <c r="Q31" s="431"/>
      <c r="R31" s="431"/>
      <c r="S31" s="432"/>
    </row>
    <row r="32" spans="1:19" x14ac:dyDescent="0.2">
      <c r="A32" s="423" t="s">
        <v>375</v>
      </c>
      <c r="B32" s="364">
        <v>4911</v>
      </c>
      <c r="C32" s="424">
        <v>329</v>
      </c>
      <c r="D32" s="424">
        <v>58</v>
      </c>
      <c r="E32" s="425">
        <v>5298</v>
      </c>
      <c r="F32" s="364">
        <v>259</v>
      </c>
      <c r="G32" s="2288">
        <v>5557</v>
      </c>
      <c r="H32" s="364">
        <v>42</v>
      </c>
      <c r="I32" s="424">
        <v>37</v>
      </c>
      <c r="J32" s="2288">
        <v>79</v>
      </c>
      <c r="K32" s="427">
        <v>10</v>
      </c>
      <c r="L32" s="428">
        <v>9</v>
      </c>
      <c r="M32" s="429">
        <v>50</v>
      </c>
      <c r="N32" s="430">
        <v>10</v>
      </c>
      <c r="O32" s="431" t="s">
        <v>1317</v>
      </c>
      <c r="P32" s="431">
        <v>20</v>
      </c>
      <c r="Q32" s="431" t="s">
        <v>1310</v>
      </c>
      <c r="R32" s="431">
        <v>70</v>
      </c>
      <c r="S32" s="432" t="s">
        <v>1314</v>
      </c>
    </row>
    <row r="33" spans="1:19" x14ac:dyDescent="0.2">
      <c r="A33" s="423" t="s">
        <v>376</v>
      </c>
      <c r="B33" s="364">
        <v>830</v>
      </c>
      <c r="C33" s="424">
        <v>0</v>
      </c>
      <c r="D33" s="424">
        <v>0</v>
      </c>
      <c r="E33" s="425">
        <v>830</v>
      </c>
      <c r="F33" s="364">
        <v>145</v>
      </c>
      <c r="G33" s="2288">
        <v>975</v>
      </c>
      <c r="H33" s="364">
        <v>2</v>
      </c>
      <c r="I33" s="424">
        <v>26</v>
      </c>
      <c r="J33" s="2288">
        <v>28</v>
      </c>
      <c r="K33" s="427">
        <v>10</v>
      </c>
      <c r="L33" s="428">
        <v>9</v>
      </c>
      <c r="M33" s="429">
        <v>40</v>
      </c>
      <c r="N33" s="430">
        <v>15</v>
      </c>
      <c r="O33" s="431" t="s">
        <v>1309</v>
      </c>
      <c r="P33" s="431">
        <v>35</v>
      </c>
      <c r="Q33" s="431" t="s">
        <v>1311</v>
      </c>
      <c r="R33" s="431">
        <v>50</v>
      </c>
      <c r="S33" s="432" t="s">
        <v>1318</v>
      </c>
    </row>
    <row r="34" spans="1:19" x14ac:dyDescent="0.2">
      <c r="A34" s="423" t="s">
        <v>377</v>
      </c>
      <c r="B34" s="364">
        <v>1142</v>
      </c>
      <c r="C34" s="424">
        <v>120</v>
      </c>
      <c r="D34" s="424">
        <v>10</v>
      </c>
      <c r="E34" s="425">
        <v>1272</v>
      </c>
      <c r="F34" s="364">
        <v>192</v>
      </c>
      <c r="G34" s="2288">
        <v>1464</v>
      </c>
      <c r="H34" s="364">
        <v>25</v>
      </c>
      <c r="I34" s="424">
        <v>45</v>
      </c>
      <c r="J34" s="2288">
        <v>70</v>
      </c>
      <c r="K34" s="427">
        <v>10</v>
      </c>
      <c r="L34" s="428">
        <v>9</v>
      </c>
      <c r="M34" s="429">
        <v>28</v>
      </c>
      <c r="N34" s="430">
        <v>65</v>
      </c>
      <c r="O34" s="431" t="s">
        <v>1315</v>
      </c>
      <c r="P34" s="431"/>
      <c r="Q34" s="431"/>
      <c r="R34" s="431">
        <v>35</v>
      </c>
      <c r="S34" s="432" t="s">
        <v>1319</v>
      </c>
    </row>
    <row r="35" spans="1:19" x14ac:dyDescent="0.2">
      <c r="A35" s="423" t="s">
        <v>378</v>
      </c>
      <c r="B35" s="364">
        <v>1701</v>
      </c>
      <c r="C35" s="424">
        <v>128</v>
      </c>
      <c r="D35" s="424">
        <v>16</v>
      </c>
      <c r="E35" s="425">
        <v>1845</v>
      </c>
      <c r="F35" s="364">
        <v>368</v>
      </c>
      <c r="G35" s="2288">
        <v>2213</v>
      </c>
      <c r="H35" s="364">
        <v>24</v>
      </c>
      <c r="I35" s="424">
        <v>56</v>
      </c>
      <c r="J35" s="2288">
        <v>80</v>
      </c>
      <c r="K35" s="427">
        <v>8</v>
      </c>
      <c r="L35" s="428">
        <v>7</v>
      </c>
      <c r="M35" s="429">
        <v>50</v>
      </c>
      <c r="N35" s="430">
        <v>25</v>
      </c>
      <c r="O35" s="431" t="s">
        <v>1310</v>
      </c>
      <c r="P35" s="431">
        <v>50</v>
      </c>
      <c r="Q35" s="431" t="s">
        <v>1310</v>
      </c>
      <c r="R35" s="431">
        <v>25</v>
      </c>
      <c r="S35" s="432" t="s">
        <v>1310</v>
      </c>
    </row>
    <row r="36" spans="1:19" x14ac:dyDescent="0.2">
      <c r="A36" s="423" t="s">
        <v>379</v>
      </c>
      <c r="B36" s="364">
        <v>1205</v>
      </c>
      <c r="C36" s="424">
        <v>99</v>
      </c>
      <c r="D36" s="424">
        <v>12</v>
      </c>
      <c r="E36" s="425">
        <v>1316</v>
      </c>
      <c r="F36" s="364">
        <v>178</v>
      </c>
      <c r="G36" s="2288">
        <v>1494</v>
      </c>
      <c r="H36" s="364">
        <v>8</v>
      </c>
      <c r="I36" s="424">
        <v>23</v>
      </c>
      <c r="J36" s="2288">
        <v>31</v>
      </c>
      <c r="K36" s="427">
        <v>10</v>
      </c>
      <c r="L36" s="428">
        <v>8</v>
      </c>
      <c r="M36" s="429">
        <v>45</v>
      </c>
      <c r="N36" s="430">
        <v>50</v>
      </c>
      <c r="O36" s="431" t="s">
        <v>1315</v>
      </c>
      <c r="P36" s="431">
        <v>40</v>
      </c>
      <c r="Q36" s="431" t="s">
        <v>1309</v>
      </c>
      <c r="R36" s="431">
        <v>10</v>
      </c>
      <c r="S36" s="432" t="s">
        <v>1320</v>
      </c>
    </row>
    <row r="37" spans="1:19" x14ac:dyDescent="0.2">
      <c r="A37" s="423" t="s">
        <v>380</v>
      </c>
      <c r="B37" s="364">
        <v>713</v>
      </c>
      <c r="C37" s="424">
        <v>41</v>
      </c>
      <c r="D37" s="424">
        <v>4</v>
      </c>
      <c r="E37" s="425">
        <v>758</v>
      </c>
      <c r="F37" s="364">
        <v>543</v>
      </c>
      <c r="G37" s="2288">
        <v>1301</v>
      </c>
      <c r="H37" s="364">
        <v>14</v>
      </c>
      <c r="I37" s="424">
        <v>98</v>
      </c>
      <c r="J37" s="2288">
        <v>112</v>
      </c>
      <c r="K37" s="427">
        <v>10</v>
      </c>
      <c r="L37" s="428">
        <v>9</v>
      </c>
      <c r="M37" s="429">
        <v>50</v>
      </c>
      <c r="N37" s="430">
        <v>30</v>
      </c>
      <c r="O37" s="431" t="s">
        <v>1310</v>
      </c>
      <c r="P37" s="431">
        <v>40</v>
      </c>
      <c r="Q37" s="431" t="s">
        <v>1310</v>
      </c>
      <c r="R37" s="431">
        <v>30</v>
      </c>
      <c r="S37" s="432" t="s">
        <v>1311</v>
      </c>
    </row>
    <row r="38" spans="1:19" x14ac:dyDescent="0.2">
      <c r="A38" s="423" t="s">
        <v>381</v>
      </c>
      <c r="B38" s="364">
        <v>554</v>
      </c>
      <c r="C38" s="424">
        <v>80</v>
      </c>
      <c r="D38" s="424">
        <v>9</v>
      </c>
      <c r="E38" s="425">
        <v>643</v>
      </c>
      <c r="F38" s="364">
        <v>245</v>
      </c>
      <c r="G38" s="2288">
        <v>888</v>
      </c>
      <c r="H38" s="364">
        <v>12</v>
      </c>
      <c r="I38" s="424">
        <v>24</v>
      </c>
      <c r="J38" s="2288">
        <v>36</v>
      </c>
      <c r="K38" s="427">
        <v>9</v>
      </c>
      <c r="L38" s="428">
        <v>8</v>
      </c>
      <c r="M38" s="429">
        <v>50</v>
      </c>
      <c r="N38" s="430"/>
      <c r="O38" s="431"/>
      <c r="P38" s="431">
        <v>5</v>
      </c>
      <c r="Q38" s="431" t="s">
        <v>1310</v>
      </c>
      <c r="R38" s="431">
        <v>95</v>
      </c>
      <c r="S38" s="432" t="s">
        <v>1311</v>
      </c>
    </row>
    <row r="39" spans="1:19" x14ac:dyDescent="0.2">
      <c r="A39" s="423" t="s">
        <v>382</v>
      </c>
      <c r="B39" s="364">
        <v>1271</v>
      </c>
      <c r="C39" s="424">
        <v>104</v>
      </c>
      <c r="D39" s="424">
        <v>7</v>
      </c>
      <c r="E39" s="425">
        <v>1382</v>
      </c>
      <c r="F39" s="364">
        <v>189</v>
      </c>
      <c r="G39" s="2288">
        <v>1571</v>
      </c>
      <c r="H39" s="364">
        <v>10</v>
      </c>
      <c r="I39" s="424">
        <v>25</v>
      </c>
      <c r="J39" s="2288">
        <v>35</v>
      </c>
      <c r="K39" s="427">
        <v>10</v>
      </c>
      <c r="L39" s="428">
        <v>9</v>
      </c>
      <c r="M39" s="429">
        <v>50</v>
      </c>
      <c r="N39" s="430">
        <v>15</v>
      </c>
      <c r="O39" s="431" t="s">
        <v>1310</v>
      </c>
      <c r="P39" s="431">
        <v>20</v>
      </c>
      <c r="Q39" s="431" t="s">
        <v>1310</v>
      </c>
      <c r="R39" s="431">
        <v>65</v>
      </c>
      <c r="S39" s="432" t="s">
        <v>1310</v>
      </c>
    </row>
    <row r="40" spans="1:19" x14ac:dyDescent="0.2">
      <c r="A40" s="433" t="s">
        <v>383</v>
      </c>
      <c r="B40" s="1629">
        <v>10799</v>
      </c>
      <c r="C40" s="435">
        <v>1033</v>
      </c>
      <c r="D40" s="435">
        <v>138</v>
      </c>
      <c r="E40" s="436">
        <v>11970</v>
      </c>
      <c r="F40" s="1642">
        <v>7149</v>
      </c>
      <c r="G40" s="2287">
        <v>19119</v>
      </c>
      <c r="H40" s="1642">
        <v>250</v>
      </c>
      <c r="I40" s="435">
        <v>1206</v>
      </c>
      <c r="J40" s="2287">
        <v>1456</v>
      </c>
      <c r="K40" s="427"/>
      <c r="L40" s="428"/>
      <c r="M40" s="429"/>
      <c r="N40" s="430"/>
      <c r="O40" s="431"/>
      <c r="P40" s="431"/>
      <c r="Q40" s="431"/>
      <c r="R40" s="431"/>
      <c r="S40" s="432"/>
    </row>
    <row r="41" spans="1:19" x14ac:dyDescent="0.2">
      <c r="A41" s="423" t="s">
        <v>384</v>
      </c>
      <c r="B41" s="364">
        <v>2002</v>
      </c>
      <c r="C41" s="424">
        <v>231</v>
      </c>
      <c r="D41" s="424">
        <v>51</v>
      </c>
      <c r="E41" s="425">
        <v>2284</v>
      </c>
      <c r="F41" s="364">
        <v>1864</v>
      </c>
      <c r="G41" s="2288">
        <v>4148</v>
      </c>
      <c r="H41" s="364">
        <v>67</v>
      </c>
      <c r="I41" s="424">
        <v>288</v>
      </c>
      <c r="J41" s="2288">
        <v>355</v>
      </c>
      <c r="K41" s="427">
        <v>10</v>
      </c>
      <c r="L41" s="428">
        <v>8</v>
      </c>
      <c r="M41" s="429">
        <v>42</v>
      </c>
      <c r="N41" s="430">
        <v>40</v>
      </c>
      <c r="O41" s="431" t="s">
        <v>1310</v>
      </c>
      <c r="P41" s="431">
        <v>40</v>
      </c>
      <c r="Q41" s="431" t="s">
        <v>1310</v>
      </c>
      <c r="R41" s="431">
        <v>20</v>
      </c>
      <c r="S41" s="432" t="s">
        <v>1314</v>
      </c>
    </row>
    <row r="42" spans="1:19" x14ac:dyDescent="0.2">
      <c r="A42" s="423" t="s">
        <v>385</v>
      </c>
      <c r="B42" s="364">
        <v>1049</v>
      </c>
      <c r="C42" s="424">
        <v>87</v>
      </c>
      <c r="D42" s="424">
        <v>10</v>
      </c>
      <c r="E42" s="425">
        <v>1146</v>
      </c>
      <c r="F42" s="364">
        <v>88</v>
      </c>
      <c r="G42" s="2288">
        <v>1234</v>
      </c>
      <c r="H42" s="364">
        <v>14</v>
      </c>
      <c r="I42" s="424">
        <v>20</v>
      </c>
      <c r="J42" s="2288">
        <v>34</v>
      </c>
      <c r="K42" s="427">
        <v>10</v>
      </c>
      <c r="L42" s="428">
        <v>9</v>
      </c>
      <c r="M42" s="429">
        <v>45</v>
      </c>
      <c r="N42" s="430">
        <v>30</v>
      </c>
      <c r="O42" s="431" t="s">
        <v>1310</v>
      </c>
      <c r="P42" s="431"/>
      <c r="Q42" s="431"/>
      <c r="R42" s="431">
        <v>70</v>
      </c>
      <c r="S42" s="432" t="s">
        <v>1320</v>
      </c>
    </row>
    <row r="43" spans="1:19" x14ac:dyDescent="0.2">
      <c r="A43" s="423" t="s">
        <v>386</v>
      </c>
      <c r="B43" s="364">
        <v>430</v>
      </c>
      <c r="C43" s="424">
        <v>46</v>
      </c>
      <c r="D43" s="424">
        <v>3</v>
      </c>
      <c r="E43" s="425">
        <v>479</v>
      </c>
      <c r="F43" s="364">
        <v>105</v>
      </c>
      <c r="G43" s="2288">
        <v>584</v>
      </c>
      <c r="H43" s="364">
        <v>12</v>
      </c>
      <c r="I43" s="424">
        <v>18</v>
      </c>
      <c r="J43" s="2288">
        <v>30</v>
      </c>
      <c r="K43" s="427">
        <v>9</v>
      </c>
      <c r="L43" s="428">
        <v>7</v>
      </c>
      <c r="M43" s="429">
        <v>48</v>
      </c>
      <c r="N43" s="430">
        <v>3</v>
      </c>
      <c r="O43" s="431" t="s">
        <v>1310</v>
      </c>
      <c r="P43" s="431">
        <v>5</v>
      </c>
      <c r="Q43" s="431" t="s">
        <v>1310</v>
      </c>
      <c r="R43" s="431">
        <v>92</v>
      </c>
      <c r="S43" s="432" t="s">
        <v>1309</v>
      </c>
    </row>
    <row r="44" spans="1:19" x14ac:dyDescent="0.2">
      <c r="A44" s="423" t="s">
        <v>387</v>
      </c>
      <c r="B44" s="364">
        <v>2262</v>
      </c>
      <c r="C44" s="424">
        <v>229</v>
      </c>
      <c r="D44" s="424">
        <v>28</v>
      </c>
      <c r="E44" s="425">
        <v>2519</v>
      </c>
      <c r="F44" s="364">
        <v>1035</v>
      </c>
      <c r="G44" s="2288">
        <v>3554</v>
      </c>
      <c r="H44" s="364">
        <v>47</v>
      </c>
      <c r="I44" s="424">
        <v>190</v>
      </c>
      <c r="J44" s="2288">
        <v>237</v>
      </c>
      <c r="K44" s="427">
        <v>8</v>
      </c>
      <c r="L44" s="428">
        <v>7</v>
      </c>
      <c r="M44" s="429">
        <v>55</v>
      </c>
      <c r="N44" s="430">
        <v>12</v>
      </c>
      <c r="O44" s="431" t="s">
        <v>1321</v>
      </c>
      <c r="P44" s="431">
        <v>2</v>
      </c>
      <c r="Q44" s="431" t="s">
        <v>1310</v>
      </c>
      <c r="R44" s="431">
        <v>86</v>
      </c>
      <c r="S44" s="432" t="s">
        <v>1314</v>
      </c>
    </row>
    <row r="45" spans="1:19" x14ac:dyDescent="0.2">
      <c r="A45" s="423" t="s">
        <v>388</v>
      </c>
      <c r="B45" s="364">
        <v>610</v>
      </c>
      <c r="C45" s="424">
        <v>64</v>
      </c>
      <c r="D45" s="424">
        <v>8</v>
      </c>
      <c r="E45" s="425">
        <v>682</v>
      </c>
      <c r="F45" s="364">
        <v>1080</v>
      </c>
      <c r="G45" s="2288">
        <v>1762</v>
      </c>
      <c r="H45" s="364">
        <v>17</v>
      </c>
      <c r="I45" s="424">
        <v>194</v>
      </c>
      <c r="J45" s="2288">
        <v>211</v>
      </c>
      <c r="K45" s="427">
        <v>10</v>
      </c>
      <c r="L45" s="428">
        <v>9</v>
      </c>
      <c r="M45" s="429">
        <v>45</v>
      </c>
      <c r="N45" s="430">
        <v>60</v>
      </c>
      <c r="O45" s="431" t="s">
        <v>1309</v>
      </c>
      <c r="P45" s="431">
        <v>30</v>
      </c>
      <c r="Q45" s="431" t="s">
        <v>1309</v>
      </c>
      <c r="R45" s="431">
        <v>10</v>
      </c>
      <c r="S45" s="432" t="s">
        <v>1309</v>
      </c>
    </row>
    <row r="46" spans="1:19" x14ac:dyDescent="0.2">
      <c r="A46" s="423" t="s">
        <v>389</v>
      </c>
      <c r="B46" s="364">
        <v>78</v>
      </c>
      <c r="C46" s="424">
        <v>7</v>
      </c>
      <c r="D46" s="424">
        <v>1</v>
      </c>
      <c r="E46" s="425">
        <v>86</v>
      </c>
      <c r="F46" s="364">
        <v>308</v>
      </c>
      <c r="G46" s="2288">
        <v>394</v>
      </c>
      <c r="H46" s="364">
        <v>2</v>
      </c>
      <c r="I46" s="424">
        <v>53</v>
      </c>
      <c r="J46" s="2288">
        <v>55</v>
      </c>
      <c r="K46" s="427">
        <v>8</v>
      </c>
      <c r="L46" s="428">
        <v>6</v>
      </c>
      <c r="M46" s="429">
        <v>55</v>
      </c>
      <c r="N46" s="430">
        <v>8</v>
      </c>
      <c r="O46" s="431" t="s">
        <v>1314</v>
      </c>
      <c r="P46" s="431">
        <v>4</v>
      </c>
      <c r="Q46" s="431" t="s">
        <v>1314</v>
      </c>
      <c r="R46" s="431">
        <v>88</v>
      </c>
      <c r="S46" s="432" t="s">
        <v>1309</v>
      </c>
    </row>
    <row r="47" spans="1:19" x14ac:dyDescent="0.2">
      <c r="A47" s="423" t="s">
        <v>390</v>
      </c>
      <c r="B47" s="364">
        <v>54</v>
      </c>
      <c r="C47" s="424">
        <v>6</v>
      </c>
      <c r="D47" s="424">
        <v>1</v>
      </c>
      <c r="E47" s="425">
        <v>61</v>
      </c>
      <c r="F47" s="364">
        <v>343</v>
      </c>
      <c r="G47" s="2288">
        <v>404</v>
      </c>
      <c r="H47" s="364">
        <v>1</v>
      </c>
      <c r="I47" s="424">
        <v>58</v>
      </c>
      <c r="J47" s="2288">
        <v>59</v>
      </c>
      <c r="K47" s="427">
        <v>9</v>
      </c>
      <c r="L47" s="428">
        <v>8</v>
      </c>
      <c r="M47" s="429">
        <v>45</v>
      </c>
      <c r="N47" s="430">
        <v>12</v>
      </c>
      <c r="O47" s="431" t="s">
        <v>1315</v>
      </c>
      <c r="P47" s="431">
        <v>18</v>
      </c>
      <c r="Q47" s="431" t="s">
        <v>1309</v>
      </c>
      <c r="R47" s="431">
        <v>70</v>
      </c>
      <c r="S47" s="432" t="s">
        <v>1314</v>
      </c>
    </row>
    <row r="48" spans="1:19" x14ac:dyDescent="0.2">
      <c r="A48" s="423" t="s">
        <v>941</v>
      </c>
      <c r="B48" s="364">
        <v>1574</v>
      </c>
      <c r="C48" s="424">
        <v>153</v>
      </c>
      <c r="D48" s="424">
        <v>18</v>
      </c>
      <c r="E48" s="425">
        <v>1745</v>
      </c>
      <c r="F48" s="364">
        <v>1014</v>
      </c>
      <c r="G48" s="2288">
        <v>2759</v>
      </c>
      <c r="H48" s="364">
        <v>37</v>
      </c>
      <c r="I48" s="424">
        <v>219</v>
      </c>
      <c r="J48" s="2288">
        <v>256</v>
      </c>
      <c r="K48" s="427">
        <v>10</v>
      </c>
      <c r="L48" s="428">
        <v>8</v>
      </c>
      <c r="M48" s="429">
        <v>45</v>
      </c>
      <c r="N48" s="430">
        <v>20</v>
      </c>
      <c r="O48" s="431" t="s">
        <v>1311</v>
      </c>
      <c r="P48" s="431">
        <v>5</v>
      </c>
      <c r="Q48" s="431" t="s">
        <v>1311</v>
      </c>
      <c r="R48" s="431">
        <v>75</v>
      </c>
      <c r="S48" s="432" t="s">
        <v>1314</v>
      </c>
    </row>
    <row r="49" spans="1:19" x14ac:dyDescent="0.2">
      <c r="A49" s="423" t="s">
        <v>392</v>
      </c>
      <c r="B49" s="364">
        <v>2740</v>
      </c>
      <c r="C49" s="424">
        <v>210</v>
      </c>
      <c r="D49" s="424">
        <v>18</v>
      </c>
      <c r="E49" s="425">
        <v>2968</v>
      </c>
      <c r="F49" s="364">
        <v>1312</v>
      </c>
      <c r="G49" s="2288">
        <v>4280</v>
      </c>
      <c r="H49" s="364">
        <v>53</v>
      </c>
      <c r="I49" s="424">
        <v>166</v>
      </c>
      <c r="J49" s="2288">
        <v>219</v>
      </c>
      <c r="K49" s="427">
        <v>10</v>
      </c>
      <c r="L49" s="428">
        <v>8</v>
      </c>
      <c r="M49" s="429">
        <v>45</v>
      </c>
      <c r="N49" s="430">
        <v>5</v>
      </c>
      <c r="O49" s="431" t="s">
        <v>1310</v>
      </c>
      <c r="P49" s="431">
        <v>5</v>
      </c>
      <c r="Q49" s="431" t="s">
        <v>1309</v>
      </c>
      <c r="R49" s="431">
        <v>90</v>
      </c>
      <c r="S49" s="432" t="s">
        <v>1309</v>
      </c>
    </row>
    <row r="50" spans="1:19" ht="13.5" thickBot="1" x14ac:dyDescent="0.25">
      <c r="A50" s="391"/>
      <c r="B50" s="863"/>
      <c r="C50" s="2291"/>
      <c r="D50" s="2291"/>
      <c r="E50" s="2293"/>
      <c r="G50" s="2289"/>
      <c r="I50" s="2295"/>
      <c r="J50" s="2294"/>
      <c r="K50" s="440"/>
      <c r="L50" s="441"/>
      <c r="M50" s="442"/>
      <c r="N50" s="1820"/>
      <c r="O50" s="971"/>
      <c r="P50" s="971"/>
      <c r="Q50" s="971"/>
      <c r="R50" s="971"/>
      <c r="S50" s="1821"/>
    </row>
    <row r="51" spans="1:19" ht="13.5" thickBot="1" x14ac:dyDescent="0.25">
      <c r="A51" s="394" t="s">
        <v>1322</v>
      </c>
      <c r="B51" s="1811">
        <v>92454</v>
      </c>
      <c r="C51" s="2292">
        <v>6191</v>
      </c>
      <c r="D51" s="2292">
        <v>567</v>
      </c>
      <c r="E51" s="444">
        <v>99212</v>
      </c>
      <c r="F51" s="1643">
        <v>14052</v>
      </c>
      <c r="G51" s="2290">
        <v>113264</v>
      </c>
      <c r="H51" s="1643">
        <v>759</v>
      </c>
      <c r="I51" s="2292">
        <v>2291</v>
      </c>
      <c r="J51" s="2290">
        <v>3050</v>
      </c>
      <c r="K51" s="445">
        <v>9.513513513513514</v>
      </c>
      <c r="L51" s="445">
        <v>8.1621621621621614</v>
      </c>
      <c r="M51" s="1822">
        <v>47.297297297297298</v>
      </c>
      <c r="N51" s="1823">
        <v>23.31093544137023</v>
      </c>
      <c r="O51" s="1824" t="s">
        <v>1323</v>
      </c>
      <c r="P51" s="1825">
        <v>20.098814229249008</v>
      </c>
      <c r="Q51" s="1824" t="s">
        <v>1323</v>
      </c>
      <c r="R51" s="1825">
        <v>56.590250329380765</v>
      </c>
      <c r="S51" s="1826" t="s">
        <v>1324</v>
      </c>
    </row>
    <row r="52" spans="1:19" ht="13.5" thickTop="1" x14ac:dyDescent="0.2">
      <c r="A52" s="7" t="s">
        <v>1934</v>
      </c>
      <c r="B52" s="7"/>
      <c r="C52" s="7"/>
      <c r="D52" s="7"/>
      <c r="E52" s="351"/>
      <c r="F52" s="351"/>
      <c r="G52" s="351"/>
      <c r="H52" s="351"/>
      <c r="I52" s="351"/>
      <c r="J52" s="351"/>
      <c r="K52" s="351"/>
      <c r="L52" s="351"/>
    </row>
    <row r="53" spans="1:19" x14ac:dyDescent="0.2">
      <c r="A53" s="7" t="s">
        <v>1906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P53" s="10"/>
    </row>
    <row r="54" spans="1:19" x14ac:dyDescent="0.2">
      <c r="A54" s="351" t="s">
        <v>1325</v>
      </c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</row>
    <row r="55" spans="1:19" x14ac:dyDescent="0.2">
      <c r="A55" s="35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</row>
    <row r="57" spans="1:19" x14ac:dyDescent="0.2">
      <c r="H57" s="397"/>
      <c r="I57" s="397"/>
      <c r="J57" s="397"/>
    </row>
  </sheetData>
  <mergeCells count="20">
    <mergeCell ref="J6:J8"/>
    <mergeCell ref="N6:S6"/>
    <mergeCell ref="N7:O7"/>
    <mergeCell ref="P7:Q7"/>
    <mergeCell ref="R7:S7"/>
    <mergeCell ref="A1:S1"/>
    <mergeCell ref="A2:S2"/>
    <mergeCell ref="A3:S3"/>
    <mergeCell ref="K5:M5"/>
    <mergeCell ref="N5:S5"/>
    <mergeCell ref="B5:J5"/>
    <mergeCell ref="B7:B8"/>
    <mergeCell ref="D7:D8"/>
    <mergeCell ref="C7:C8"/>
    <mergeCell ref="H6:H8"/>
    <mergeCell ref="I6:I8"/>
    <mergeCell ref="F6:F8"/>
    <mergeCell ref="G6:G8"/>
    <mergeCell ref="B6:E6"/>
    <mergeCell ref="E7:E8"/>
  </mergeCells>
  <phoneticPr fontId="13" type="noConversion"/>
  <pageMargins left="0.59055118110236227" right="0.59055118110236227" top="0.78740157480314965" bottom="0.78740157480314965" header="0" footer="0"/>
  <pageSetup scale="70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8"/>
  <sheetViews>
    <sheetView workbookViewId="0"/>
  </sheetViews>
  <sheetFormatPr baseColWidth="10" defaultColWidth="11.42578125" defaultRowHeight="12.75" x14ac:dyDescent="0.2"/>
  <cols>
    <col min="2" max="2" width="23" customWidth="1"/>
    <col min="3" max="3" width="17" customWidth="1"/>
    <col min="4" max="4" width="19.28515625" customWidth="1"/>
    <col min="5" max="5" width="16.5703125" customWidth="1"/>
    <col min="6" max="6" width="19.5703125" customWidth="1"/>
    <col min="7" max="7" width="19.42578125" customWidth="1"/>
    <col min="8" max="8" width="23.42578125" customWidth="1"/>
  </cols>
  <sheetData>
    <row r="2" spans="2:9" ht="15" customHeight="1" x14ac:dyDescent="0.3">
      <c r="B2" s="3063" t="s">
        <v>324</v>
      </c>
      <c r="C2" s="3063"/>
      <c r="D2" s="3063"/>
      <c r="E2" s="3063"/>
      <c r="F2" s="3063"/>
      <c r="G2" s="3063"/>
      <c r="H2" s="3063"/>
      <c r="I2" s="3063"/>
    </row>
    <row r="3" spans="2:9" ht="12.75" customHeight="1" x14ac:dyDescent="0.2">
      <c r="B3" s="3058" t="s">
        <v>1275</v>
      </c>
      <c r="C3" s="3058"/>
      <c r="D3" s="3058"/>
      <c r="E3" s="3058"/>
      <c r="F3" s="3058"/>
      <c r="G3" s="3058"/>
      <c r="H3" s="3058"/>
      <c r="I3" s="3058"/>
    </row>
    <row r="4" spans="2:9" ht="12.75" customHeight="1" x14ac:dyDescent="0.2">
      <c r="B4" s="3059" t="s">
        <v>2028</v>
      </c>
      <c r="C4" s="3059"/>
      <c r="D4" s="3059"/>
      <c r="E4" s="3059"/>
      <c r="F4" s="3059"/>
      <c r="G4" s="3059"/>
      <c r="H4" s="3059"/>
      <c r="I4" s="3059"/>
    </row>
    <row r="5" spans="2:9" x14ac:dyDescent="0.2">
      <c r="D5" s="171"/>
      <c r="E5" s="171"/>
      <c r="F5" s="171"/>
      <c r="G5" s="171"/>
    </row>
    <row r="6" spans="2:9" ht="15.75" thickBot="1" x14ac:dyDescent="0.3">
      <c r="B6" s="366"/>
      <c r="C6" s="448"/>
      <c r="H6" s="449"/>
      <c r="I6" s="225"/>
    </row>
    <row r="7" spans="2:9" ht="16.5" thickTop="1" x14ac:dyDescent="0.25">
      <c r="B7" s="375"/>
      <c r="C7" s="3112" t="s">
        <v>1326</v>
      </c>
      <c r="D7" s="3113"/>
      <c r="E7" s="3113"/>
      <c r="F7" s="3113"/>
      <c r="G7" s="3113"/>
      <c r="H7" s="3113"/>
      <c r="I7" s="3109" t="s">
        <v>1511</v>
      </c>
    </row>
    <row r="8" spans="2:9" x14ac:dyDescent="0.2">
      <c r="B8" s="375"/>
      <c r="C8" s="3014" t="s">
        <v>1204</v>
      </c>
      <c r="D8" s="3037"/>
      <c r="E8" s="3022" t="s">
        <v>1205</v>
      </c>
      <c r="F8" s="3023"/>
      <c r="G8" s="3014" t="s">
        <v>1280</v>
      </c>
      <c r="H8" s="3013"/>
      <c r="I8" s="3110"/>
    </row>
    <row r="9" spans="2:9" x14ac:dyDescent="0.2">
      <c r="B9" s="376" t="s">
        <v>327</v>
      </c>
      <c r="C9" s="377" t="s">
        <v>1201</v>
      </c>
      <c r="D9" s="382" t="s">
        <v>1327</v>
      </c>
      <c r="E9" s="354" t="s">
        <v>1201</v>
      </c>
      <c r="F9" s="382" t="s">
        <v>1327</v>
      </c>
      <c r="G9" s="356" t="s">
        <v>433</v>
      </c>
      <c r="H9" s="355" t="s">
        <v>433</v>
      </c>
      <c r="I9" s="3110"/>
    </row>
    <row r="10" spans="2:9" x14ac:dyDescent="0.2">
      <c r="B10" s="375"/>
      <c r="C10" s="379" t="s">
        <v>1220</v>
      </c>
      <c r="D10" s="413" t="s">
        <v>1328</v>
      </c>
      <c r="E10" s="450" t="s">
        <v>1220</v>
      </c>
      <c r="F10" s="413" t="s">
        <v>1328</v>
      </c>
      <c r="G10" s="450" t="s">
        <v>1329</v>
      </c>
      <c r="H10" s="1896" t="s">
        <v>1330</v>
      </c>
      <c r="I10" s="3110"/>
    </row>
    <row r="11" spans="2:9" x14ac:dyDescent="0.2">
      <c r="B11" s="451"/>
      <c r="C11" s="452"/>
      <c r="D11" s="453" t="s">
        <v>1331</v>
      </c>
      <c r="E11" s="454"/>
      <c r="F11" s="453" t="s">
        <v>1331</v>
      </c>
      <c r="G11" s="455" t="s">
        <v>1332</v>
      </c>
      <c r="H11" s="1905" t="s">
        <v>346</v>
      </c>
      <c r="I11" s="3111"/>
    </row>
    <row r="12" spans="2:9" x14ac:dyDescent="0.2">
      <c r="B12" s="417" t="s">
        <v>352</v>
      </c>
      <c r="C12" s="1216">
        <v>25465</v>
      </c>
      <c r="D12" s="1217">
        <v>2291.85</v>
      </c>
      <c r="E12" s="1218">
        <v>28800</v>
      </c>
      <c r="F12" s="1219">
        <v>2447.5</v>
      </c>
      <c r="G12" s="1220">
        <v>54265</v>
      </c>
      <c r="H12" s="1906">
        <v>4739.3500000000004</v>
      </c>
      <c r="I12" s="1911">
        <v>10600</v>
      </c>
    </row>
    <row r="13" spans="2:9" x14ac:dyDescent="0.2">
      <c r="B13" s="1873" t="s">
        <v>353</v>
      </c>
      <c r="C13" s="2076"/>
      <c r="D13" s="1222">
        <v>0</v>
      </c>
      <c r="E13" s="1223"/>
      <c r="F13" s="1222">
        <v>0</v>
      </c>
      <c r="G13" s="1223">
        <v>0</v>
      </c>
      <c r="H13" s="1907">
        <v>0</v>
      </c>
      <c r="I13" s="1912"/>
    </row>
    <row r="14" spans="2:9" x14ac:dyDescent="0.2">
      <c r="B14" s="423" t="s">
        <v>354</v>
      </c>
      <c r="C14" s="1221"/>
      <c r="D14" s="1222">
        <v>0</v>
      </c>
      <c r="E14" s="1223"/>
      <c r="F14" s="1222">
        <v>0</v>
      </c>
      <c r="G14" s="1223">
        <v>0</v>
      </c>
      <c r="H14" s="1907">
        <v>0</v>
      </c>
      <c r="I14" s="1912"/>
    </row>
    <row r="15" spans="2:9" x14ac:dyDescent="0.2">
      <c r="B15" s="1873" t="s">
        <v>355</v>
      </c>
      <c r="C15" s="2076">
        <v>115</v>
      </c>
      <c r="D15" s="1222">
        <v>10.35</v>
      </c>
      <c r="E15" s="1223">
        <v>250</v>
      </c>
      <c r="F15" s="1222">
        <v>20.75</v>
      </c>
      <c r="G15" s="1223">
        <v>365</v>
      </c>
      <c r="H15" s="1907">
        <v>31.1</v>
      </c>
      <c r="I15" s="1912">
        <v>10800</v>
      </c>
    </row>
    <row r="16" spans="2:9" x14ac:dyDescent="0.2">
      <c r="B16" s="1873" t="s">
        <v>356</v>
      </c>
      <c r="C16" s="2076"/>
      <c r="D16" s="1222">
        <v>0</v>
      </c>
      <c r="E16" s="1223"/>
      <c r="F16" s="1222">
        <v>0</v>
      </c>
      <c r="G16" s="1223">
        <v>0</v>
      </c>
      <c r="H16" s="1907">
        <v>0</v>
      </c>
      <c r="I16" s="1912"/>
    </row>
    <row r="17" spans="2:9" x14ac:dyDescent="0.2">
      <c r="B17" s="1873" t="s">
        <v>357</v>
      </c>
      <c r="C17" s="2076"/>
      <c r="D17" s="1222">
        <v>0</v>
      </c>
      <c r="E17" s="1223"/>
      <c r="F17" s="1222">
        <v>0</v>
      </c>
      <c r="G17" s="1223">
        <v>0</v>
      </c>
      <c r="H17" s="1907">
        <v>0</v>
      </c>
      <c r="I17" s="1912"/>
    </row>
    <row r="18" spans="2:9" x14ac:dyDescent="0.2">
      <c r="B18" s="423" t="s">
        <v>358</v>
      </c>
      <c r="C18" s="1221"/>
      <c r="D18" s="1222">
        <v>0</v>
      </c>
      <c r="E18" s="1221"/>
      <c r="F18" s="1222">
        <v>0</v>
      </c>
      <c r="G18" s="1223">
        <v>0</v>
      </c>
      <c r="H18" s="1907">
        <v>0</v>
      </c>
      <c r="I18" s="1912"/>
    </row>
    <row r="19" spans="2:9" x14ac:dyDescent="0.2">
      <c r="B19" s="1873" t="s">
        <v>359</v>
      </c>
      <c r="C19" s="2076"/>
      <c r="D19" s="1222">
        <v>0</v>
      </c>
      <c r="E19" s="2076"/>
      <c r="F19" s="1222">
        <v>0</v>
      </c>
      <c r="G19" s="1223">
        <v>0</v>
      </c>
      <c r="H19" s="1907">
        <v>0</v>
      </c>
      <c r="I19" s="1912"/>
    </row>
    <row r="20" spans="2:9" x14ac:dyDescent="0.2">
      <c r="B20" s="423" t="s">
        <v>360</v>
      </c>
      <c r="C20" s="1221"/>
      <c r="D20" s="1222">
        <v>0</v>
      </c>
      <c r="E20" s="1221"/>
      <c r="F20" s="1222">
        <v>0</v>
      </c>
      <c r="G20" s="1223">
        <v>0</v>
      </c>
      <c r="H20" s="1907">
        <v>0</v>
      </c>
      <c r="I20" s="1912"/>
    </row>
    <row r="21" spans="2:9" x14ac:dyDescent="0.2">
      <c r="B21" s="1873" t="s">
        <v>938</v>
      </c>
      <c r="C21" s="2076"/>
      <c r="D21" s="1222">
        <v>0</v>
      </c>
      <c r="E21" s="2076"/>
      <c r="F21" s="1222">
        <v>0</v>
      </c>
      <c r="G21" s="1223">
        <v>0</v>
      </c>
      <c r="H21" s="1907">
        <v>0</v>
      </c>
      <c r="I21" s="1912"/>
    </row>
    <row r="22" spans="2:9" x14ac:dyDescent="0.2">
      <c r="B22" s="423" t="s">
        <v>362</v>
      </c>
      <c r="C22" s="1221">
        <v>25350</v>
      </c>
      <c r="D22" s="1222">
        <v>2281.5</v>
      </c>
      <c r="E22" s="1221">
        <v>28550</v>
      </c>
      <c r="F22" s="1222">
        <v>2426.75</v>
      </c>
      <c r="G22" s="1223">
        <v>53900</v>
      </c>
      <c r="H22" s="1907">
        <v>4708.25</v>
      </c>
      <c r="I22" s="1912">
        <v>10400</v>
      </c>
    </row>
    <row r="23" spans="2:9" x14ac:dyDescent="0.2">
      <c r="B23" s="423" t="s">
        <v>363</v>
      </c>
      <c r="C23" s="1221"/>
      <c r="D23" s="1222">
        <v>0</v>
      </c>
      <c r="E23" s="1221"/>
      <c r="F23" s="1222">
        <v>0</v>
      </c>
      <c r="G23" s="1223">
        <v>0</v>
      </c>
      <c r="H23" s="1907">
        <v>0</v>
      </c>
      <c r="I23" s="1912"/>
    </row>
    <row r="24" spans="2:9" x14ac:dyDescent="0.2">
      <c r="B24" s="423" t="s">
        <v>939</v>
      </c>
      <c r="C24" s="1221"/>
      <c r="D24" s="1222">
        <v>0</v>
      </c>
      <c r="E24" s="1221"/>
      <c r="F24" s="1222">
        <v>0</v>
      </c>
      <c r="G24" s="1223">
        <v>0</v>
      </c>
      <c r="H24" s="1907">
        <v>0</v>
      </c>
      <c r="I24" s="1912"/>
    </row>
    <row r="25" spans="2:9" x14ac:dyDescent="0.2">
      <c r="B25" s="423" t="s">
        <v>365</v>
      </c>
      <c r="C25" s="1221"/>
      <c r="D25" s="1222">
        <v>0</v>
      </c>
      <c r="E25" s="1221"/>
      <c r="F25" s="1222">
        <v>0</v>
      </c>
      <c r="G25" s="1223">
        <v>0</v>
      </c>
      <c r="H25" s="1907">
        <v>0</v>
      </c>
      <c r="I25" s="1912"/>
    </row>
    <row r="26" spans="2:9" x14ac:dyDescent="0.2">
      <c r="B26" s="423" t="s">
        <v>366</v>
      </c>
      <c r="C26" s="1221"/>
      <c r="D26" s="1222">
        <v>0</v>
      </c>
      <c r="E26" s="1221"/>
      <c r="F26" s="1222">
        <v>0</v>
      </c>
      <c r="G26" s="1223">
        <v>0</v>
      </c>
      <c r="H26" s="1907">
        <v>0</v>
      </c>
      <c r="I26" s="1912"/>
    </row>
    <row r="27" spans="2:9" x14ac:dyDescent="0.2">
      <c r="B27" s="423" t="s">
        <v>367</v>
      </c>
      <c r="C27" s="1221"/>
      <c r="D27" s="1222">
        <v>0</v>
      </c>
      <c r="E27" s="1223"/>
      <c r="F27" s="1222">
        <v>0</v>
      </c>
      <c r="G27" s="1223">
        <v>0</v>
      </c>
      <c r="H27" s="1907">
        <v>0</v>
      </c>
      <c r="I27" s="1912"/>
    </row>
    <row r="28" spans="2:9" x14ac:dyDescent="0.2">
      <c r="B28" s="433" t="s">
        <v>368</v>
      </c>
      <c r="C28" s="1224">
        <v>0</v>
      </c>
      <c r="D28" s="1225">
        <v>0</v>
      </c>
      <c r="E28" s="985">
        <v>0</v>
      </c>
      <c r="F28" s="1225">
        <v>0</v>
      </c>
      <c r="G28" s="985">
        <v>0</v>
      </c>
      <c r="H28" s="1908">
        <v>0</v>
      </c>
      <c r="I28" s="1913">
        <v>0</v>
      </c>
    </row>
    <row r="29" spans="2:9" x14ac:dyDescent="0.2">
      <c r="B29" s="1873" t="s">
        <v>369</v>
      </c>
      <c r="C29" s="2076"/>
      <c r="D29" s="1222">
        <v>0</v>
      </c>
      <c r="E29" s="2076"/>
      <c r="F29" s="1222">
        <v>0</v>
      </c>
      <c r="G29" s="1223">
        <v>0</v>
      </c>
      <c r="H29" s="1907">
        <v>0</v>
      </c>
      <c r="I29" s="1912"/>
    </row>
    <row r="30" spans="2:9" x14ac:dyDescent="0.2">
      <c r="B30" s="1873" t="s">
        <v>370</v>
      </c>
      <c r="C30" s="2076"/>
      <c r="D30" s="1222">
        <v>0</v>
      </c>
      <c r="E30" s="2076"/>
      <c r="F30" s="1222">
        <v>0</v>
      </c>
      <c r="G30" s="1223">
        <v>0</v>
      </c>
      <c r="H30" s="1907">
        <v>0</v>
      </c>
      <c r="I30" s="1912"/>
    </row>
    <row r="31" spans="2:9" x14ac:dyDescent="0.2">
      <c r="B31" s="1873" t="s">
        <v>371</v>
      </c>
      <c r="C31" s="2076"/>
      <c r="D31" s="1222">
        <v>0</v>
      </c>
      <c r="E31" s="2076"/>
      <c r="F31" s="1222">
        <v>0</v>
      </c>
      <c r="G31" s="1223">
        <v>0</v>
      </c>
      <c r="H31" s="1907">
        <v>0</v>
      </c>
      <c r="I31" s="1912"/>
    </row>
    <row r="32" spans="2:9" x14ac:dyDescent="0.2">
      <c r="B32" s="423" t="s">
        <v>372</v>
      </c>
      <c r="C32" s="1221"/>
      <c r="D32" s="1222">
        <v>0</v>
      </c>
      <c r="E32" s="1221"/>
      <c r="F32" s="1222">
        <v>0</v>
      </c>
      <c r="G32" s="1223">
        <v>0</v>
      </c>
      <c r="H32" s="1907">
        <v>0</v>
      </c>
      <c r="I32" s="1912"/>
    </row>
    <row r="33" spans="2:9" x14ac:dyDescent="0.2">
      <c r="B33" s="1873" t="s">
        <v>373</v>
      </c>
      <c r="C33" s="2076"/>
      <c r="D33" s="1222">
        <v>0</v>
      </c>
      <c r="E33" s="1223"/>
      <c r="F33" s="1222">
        <v>0</v>
      </c>
      <c r="G33" s="1223">
        <v>0</v>
      </c>
      <c r="H33" s="1907">
        <v>0</v>
      </c>
      <c r="I33" s="1912"/>
    </row>
    <row r="34" spans="2:9" x14ac:dyDescent="0.2">
      <c r="B34" s="433" t="s">
        <v>374</v>
      </c>
      <c r="C34" s="1224">
        <v>1850</v>
      </c>
      <c r="D34" s="1225">
        <v>175.75</v>
      </c>
      <c r="E34" s="985">
        <v>1960</v>
      </c>
      <c r="F34" s="1225">
        <v>166.6</v>
      </c>
      <c r="G34" s="985">
        <v>3810</v>
      </c>
      <c r="H34" s="1908">
        <v>342.35</v>
      </c>
      <c r="I34" s="1913">
        <v>10600</v>
      </c>
    </row>
    <row r="35" spans="2:9" x14ac:dyDescent="0.2">
      <c r="B35" s="1873" t="s">
        <v>375</v>
      </c>
      <c r="C35" s="2076">
        <v>1850</v>
      </c>
      <c r="D35" s="1222">
        <v>175.75</v>
      </c>
      <c r="E35" s="2076">
        <v>1960</v>
      </c>
      <c r="F35" s="1222">
        <v>166.6</v>
      </c>
      <c r="G35" s="1223">
        <v>3810</v>
      </c>
      <c r="H35" s="1907">
        <v>342.35</v>
      </c>
      <c r="I35" s="1912">
        <v>10600</v>
      </c>
    </row>
    <row r="36" spans="2:9" x14ac:dyDescent="0.2">
      <c r="B36" s="423" t="s">
        <v>376</v>
      </c>
      <c r="C36" s="1221"/>
      <c r="D36" s="1222">
        <v>0</v>
      </c>
      <c r="E36" s="1221"/>
      <c r="F36" s="1222">
        <v>0</v>
      </c>
      <c r="G36" s="1223">
        <v>0</v>
      </c>
      <c r="H36" s="1907">
        <v>0</v>
      </c>
      <c r="I36" s="1912"/>
    </row>
    <row r="37" spans="2:9" x14ac:dyDescent="0.2">
      <c r="B37" s="423" t="s">
        <v>377</v>
      </c>
      <c r="C37" s="1221"/>
      <c r="D37" s="1222">
        <v>0</v>
      </c>
      <c r="E37" s="1221"/>
      <c r="F37" s="1222">
        <v>0</v>
      </c>
      <c r="G37" s="1223">
        <v>0</v>
      </c>
      <c r="H37" s="1907">
        <v>0</v>
      </c>
      <c r="I37" s="1912"/>
    </row>
    <row r="38" spans="2:9" x14ac:dyDescent="0.2">
      <c r="B38" s="1873" t="s">
        <v>378</v>
      </c>
      <c r="C38" s="2076"/>
      <c r="D38" s="1222">
        <v>0</v>
      </c>
      <c r="E38" s="2076"/>
      <c r="F38" s="1222">
        <v>0</v>
      </c>
      <c r="G38" s="1223">
        <v>0</v>
      </c>
      <c r="H38" s="1907">
        <v>0</v>
      </c>
      <c r="I38" s="1912"/>
    </row>
    <row r="39" spans="2:9" x14ac:dyDescent="0.2">
      <c r="B39" s="1873" t="s">
        <v>379</v>
      </c>
      <c r="C39" s="2076"/>
      <c r="D39" s="1222">
        <v>0</v>
      </c>
      <c r="E39" s="2076"/>
      <c r="F39" s="1222">
        <v>0</v>
      </c>
      <c r="G39" s="1223">
        <v>0</v>
      </c>
      <c r="H39" s="1907">
        <v>0</v>
      </c>
      <c r="I39" s="1912"/>
    </row>
    <row r="40" spans="2:9" x14ac:dyDescent="0.2">
      <c r="B40" s="423" t="s">
        <v>380</v>
      </c>
      <c r="C40" s="1221"/>
      <c r="D40" s="1222">
        <v>0</v>
      </c>
      <c r="E40" s="1221"/>
      <c r="F40" s="1222">
        <v>0</v>
      </c>
      <c r="G40" s="1223">
        <v>0</v>
      </c>
      <c r="H40" s="1907">
        <v>0</v>
      </c>
      <c r="I40" s="1912"/>
    </row>
    <row r="41" spans="2:9" x14ac:dyDescent="0.2">
      <c r="B41" s="1873" t="s">
        <v>381</v>
      </c>
      <c r="C41" s="1221"/>
      <c r="D41" s="1222">
        <v>0</v>
      </c>
      <c r="E41" s="1221"/>
      <c r="F41" s="1222">
        <v>0</v>
      </c>
      <c r="G41" s="1223">
        <v>0</v>
      </c>
      <c r="H41" s="1907">
        <v>0</v>
      </c>
      <c r="I41" s="1912"/>
    </row>
    <row r="42" spans="2:9" x14ac:dyDescent="0.2">
      <c r="B42" s="423" t="s">
        <v>382</v>
      </c>
      <c r="C42" s="1221"/>
      <c r="D42" s="1222">
        <v>0</v>
      </c>
      <c r="E42" s="1221"/>
      <c r="F42" s="1222">
        <v>0</v>
      </c>
      <c r="G42" s="1223">
        <v>0</v>
      </c>
      <c r="H42" s="1907">
        <v>0</v>
      </c>
      <c r="I42" s="1912"/>
    </row>
    <row r="43" spans="2:9" x14ac:dyDescent="0.2">
      <c r="B43" s="433" t="s">
        <v>383</v>
      </c>
      <c r="C43" s="1224">
        <v>820</v>
      </c>
      <c r="D43" s="1225">
        <v>73.8</v>
      </c>
      <c r="E43" s="985">
        <v>1580</v>
      </c>
      <c r="F43" s="1225">
        <v>134.30000000000001</v>
      </c>
      <c r="G43" s="985">
        <v>2400</v>
      </c>
      <c r="H43" s="1908">
        <v>208.10000000000002</v>
      </c>
      <c r="I43" s="1913">
        <v>10250</v>
      </c>
    </row>
    <row r="44" spans="2:9" x14ac:dyDescent="0.2">
      <c r="B44" s="1873" t="s">
        <v>384</v>
      </c>
      <c r="C44" s="2076">
        <v>820</v>
      </c>
      <c r="D44" s="1222">
        <v>73.8</v>
      </c>
      <c r="E44" s="2076">
        <v>1580</v>
      </c>
      <c r="F44" s="1222">
        <v>134.30000000000001</v>
      </c>
      <c r="G44" s="1223">
        <v>2400</v>
      </c>
      <c r="H44" s="1907">
        <v>208.10000000000002</v>
      </c>
      <c r="I44" s="1912">
        <v>10200</v>
      </c>
    </row>
    <row r="45" spans="2:9" x14ac:dyDescent="0.2">
      <c r="B45" s="1873" t="s">
        <v>385</v>
      </c>
      <c r="C45" s="2076"/>
      <c r="D45" s="1222">
        <v>0</v>
      </c>
      <c r="E45" s="2076"/>
      <c r="F45" s="1222">
        <v>0</v>
      </c>
      <c r="G45" s="1223">
        <v>0</v>
      </c>
      <c r="H45" s="1907">
        <v>0</v>
      </c>
      <c r="I45" s="1912"/>
    </row>
    <row r="46" spans="2:9" x14ac:dyDescent="0.2">
      <c r="B46" s="423" t="s">
        <v>386</v>
      </c>
      <c r="C46" s="1221"/>
      <c r="D46" s="1222">
        <v>0</v>
      </c>
      <c r="E46" s="1221"/>
      <c r="F46" s="1222">
        <v>0</v>
      </c>
      <c r="G46" s="1223">
        <v>0</v>
      </c>
      <c r="H46" s="1907">
        <v>0</v>
      </c>
      <c r="I46" s="1912"/>
    </row>
    <row r="47" spans="2:9" x14ac:dyDescent="0.2">
      <c r="B47" s="1873" t="s">
        <v>387</v>
      </c>
      <c r="C47" s="1221"/>
      <c r="D47" s="1222">
        <v>0</v>
      </c>
      <c r="E47" s="1221"/>
      <c r="F47" s="1222">
        <v>0</v>
      </c>
      <c r="G47" s="1223">
        <v>0</v>
      </c>
      <c r="H47" s="1907">
        <v>0</v>
      </c>
      <c r="I47" s="1912">
        <v>10300</v>
      </c>
    </row>
    <row r="48" spans="2:9" x14ac:dyDescent="0.2">
      <c r="B48" s="423" t="s">
        <v>388</v>
      </c>
      <c r="C48" s="1221"/>
      <c r="D48" s="1222">
        <v>0</v>
      </c>
      <c r="E48" s="1221"/>
      <c r="F48" s="1222">
        <v>0</v>
      </c>
      <c r="G48" s="1223">
        <v>0</v>
      </c>
      <c r="H48" s="1907">
        <v>0</v>
      </c>
      <c r="I48" s="1912"/>
    </row>
    <row r="49" spans="2:9" x14ac:dyDescent="0.2">
      <c r="B49" s="423" t="s">
        <v>389</v>
      </c>
      <c r="C49" s="1221"/>
      <c r="D49" s="1222">
        <v>0</v>
      </c>
      <c r="E49" s="1223"/>
      <c r="F49" s="1222">
        <v>0</v>
      </c>
      <c r="G49" s="1223">
        <v>0</v>
      </c>
      <c r="H49" s="1907">
        <v>0</v>
      </c>
      <c r="I49" s="1912"/>
    </row>
    <row r="50" spans="2:9" x14ac:dyDescent="0.2">
      <c r="B50" s="423" t="s">
        <v>390</v>
      </c>
      <c r="C50" s="1221"/>
      <c r="D50" s="1222">
        <v>0</v>
      </c>
      <c r="E50" s="1223"/>
      <c r="F50" s="1222">
        <v>0</v>
      </c>
      <c r="G50" s="1223">
        <v>0</v>
      </c>
      <c r="H50" s="1907">
        <v>0</v>
      </c>
      <c r="I50" s="1912"/>
    </row>
    <row r="51" spans="2:9" x14ac:dyDescent="0.2">
      <c r="B51" s="423" t="s">
        <v>941</v>
      </c>
      <c r="C51" s="1221"/>
      <c r="D51" s="1222">
        <v>0</v>
      </c>
      <c r="E51" s="1223"/>
      <c r="F51" s="1222">
        <v>0</v>
      </c>
      <c r="G51" s="1223">
        <v>0</v>
      </c>
      <c r="H51" s="1907">
        <v>0</v>
      </c>
      <c r="I51" s="1912"/>
    </row>
    <row r="52" spans="2:9" x14ac:dyDescent="0.2">
      <c r="B52" s="1873" t="s">
        <v>392</v>
      </c>
      <c r="C52" s="2076"/>
      <c r="D52" s="1222">
        <v>0</v>
      </c>
      <c r="E52" s="1223"/>
      <c r="F52" s="1222">
        <v>0</v>
      </c>
      <c r="G52" s="1223">
        <v>0</v>
      </c>
      <c r="H52" s="1907">
        <v>0</v>
      </c>
      <c r="I52" s="1912"/>
    </row>
    <row r="53" spans="2:9" x14ac:dyDescent="0.2">
      <c r="B53" s="332"/>
      <c r="C53" s="457"/>
      <c r="D53" s="458"/>
      <c r="E53" s="459"/>
      <c r="F53" s="458"/>
      <c r="G53" s="459"/>
      <c r="H53" s="1909"/>
      <c r="I53" s="1914"/>
    </row>
    <row r="54" spans="2:9" ht="13.5" thickBot="1" x14ac:dyDescent="0.25">
      <c r="B54" s="339" t="s">
        <v>393</v>
      </c>
      <c r="C54" s="460">
        <v>28135</v>
      </c>
      <c r="D54" s="461">
        <v>2541.4</v>
      </c>
      <c r="E54" s="462">
        <v>32340</v>
      </c>
      <c r="F54" s="461">
        <v>2748.4</v>
      </c>
      <c r="G54" s="462">
        <v>60475</v>
      </c>
      <c r="H54" s="1910">
        <v>5289.8000000000011</v>
      </c>
      <c r="I54" s="1915">
        <v>10407.42750198495</v>
      </c>
    </row>
    <row r="55" spans="2:9" ht="13.5" thickTop="1" x14ac:dyDescent="0.2">
      <c r="B55" s="7" t="s">
        <v>1934</v>
      </c>
      <c r="C55" s="7"/>
      <c r="D55" s="7"/>
      <c r="E55" s="7"/>
      <c r="F55" s="351"/>
    </row>
    <row r="56" spans="2:9" x14ac:dyDescent="0.2">
      <c r="B56" s="351" t="s">
        <v>1333</v>
      </c>
      <c r="C56" s="7"/>
      <c r="D56" s="7"/>
      <c r="E56" s="7"/>
      <c r="F56" s="7"/>
    </row>
    <row r="58" spans="2:9" x14ac:dyDescent="0.2">
      <c r="C58" s="10"/>
      <c r="D58" s="10"/>
      <c r="E58" s="10"/>
      <c r="F58" s="10"/>
      <c r="G58" s="10"/>
      <c r="H58" s="10"/>
      <c r="I58" s="10"/>
    </row>
  </sheetData>
  <mergeCells count="8">
    <mergeCell ref="B2:I2"/>
    <mergeCell ref="B3:I3"/>
    <mergeCell ref="B4:I4"/>
    <mergeCell ref="I7:I11"/>
    <mergeCell ref="C7:H7"/>
    <mergeCell ref="C8:D8"/>
    <mergeCell ref="E8:F8"/>
    <mergeCell ref="G8:H8"/>
  </mergeCells>
  <phoneticPr fontId="13" type="noConversion"/>
  <pageMargins left="0.98425196850393704" right="0.39370078740157483" top="0.39370078740157483" bottom="0.59055118110236227" header="0" footer="0"/>
  <pageSetup scale="75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zoomScale="90" zoomScaleNormal="90" workbookViewId="0">
      <selection sqref="A1:K1"/>
    </sheetView>
  </sheetViews>
  <sheetFormatPr baseColWidth="10" defaultColWidth="11.42578125" defaultRowHeight="12.75" x14ac:dyDescent="0.2"/>
  <cols>
    <col min="1" max="1" width="19.42578125" customWidth="1"/>
    <col min="2" max="2" width="14.5703125" customWidth="1"/>
    <col min="3" max="3" width="15" customWidth="1"/>
    <col min="4" max="4" width="15.28515625" customWidth="1"/>
    <col min="5" max="5" width="13.85546875" customWidth="1"/>
    <col min="6" max="6" width="9.85546875" customWidth="1"/>
    <col min="7" max="7" width="18.7109375" customWidth="1"/>
    <col min="8" max="8" width="17.42578125" customWidth="1"/>
    <col min="9" max="9" width="15.7109375" customWidth="1"/>
    <col min="10" max="10" width="13.7109375" customWidth="1"/>
    <col min="11" max="11" width="11" bestFit="1" customWidth="1"/>
  </cols>
  <sheetData>
    <row r="1" spans="1:11" ht="15.75" x14ac:dyDescent="0.25">
      <c r="A1" s="3010" t="s">
        <v>324</v>
      </c>
      <c r="B1" s="3010"/>
      <c r="C1" s="3010"/>
      <c r="D1" s="3010"/>
      <c r="E1" s="3010"/>
      <c r="F1" s="3010"/>
      <c r="G1" s="3010"/>
      <c r="H1" s="3010"/>
      <c r="I1" s="3010"/>
      <c r="J1" s="3010"/>
      <c r="K1" s="3010"/>
    </row>
    <row r="2" spans="1:11" ht="15.75" x14ac:dyDescent="0.25">
      <c r="A2" s="3010" t="s">
        <v>909</v>
      </c>
      <c r="B2" s="3010"/>
      <c r="C2" s="3010"/>
      <c r="D2" s="3010"/>
      <c r="E2" s="3010"/>
      <c r="F2" s="3010"/>
      <c r="G2" s="3010"/>
      <c r="H2" s="3010"/>
      <c r="I2" s="3010"/>
      <c r="J2" s="3010"/>
      <c r="K2" s="3010"/>
    </row>
    <row r="3" spans="1:11" ht="15.75" x14ac:dyDescent="0.25">
      <c r="A3" s="3010" t="s">
        <v>2025</v>
      </c>
      <c r="B3" s="3010"/>
      <c r="C3" s="3010"/>
      <c r="D3" s="3010"/>
      <c r="E3" s="3010"/>
      <c r="F3" s="3010"/>
      <c r="G3" s="3010"/>
      <c r="H3" s="3010"/>
      <c r="I3" s="3010"/>
      <c r="J3" s="3010"/>
      <c r="K3" s="3010"/>
    </row>
    <row r="4" spans="1:11" ht="15.75" thickBot="1" x14ac:dyDescent="0.3">
      <c r="A4" s="366"/>
      <c r="B4" s="448"/>
      <c r="C4" s="448"/>
      <c r="D4" s="448"/>
    </row>
    <row r="5" spans="1:11" ht="18.75" thickTop="1" x14ac:dyDescent="0.25">
      <c r="A5" s="1672"/>
      <c r="B5" s="3042" t="s">
        <v>1334</v>
      </c>
      <c r="C5" s="3043"/>
      <c r="D5" s="3043"/>
      <c r="E5" s="3043"/>
      <c r="F5" s="3043"/>
      <c r="G5" s="3043"/>
      <c r="H5" s="3043"/>
      <c r="I5" s="3043"/>
      <c r="J5" s="3043"/>
      <c r="K5" s="3044"/>
    </row>
    <row r="6" spans="1:11" x14ac:dyDescent="0.2">
      <c r="A6" s="1673"/>
      <c r="B6" s="3014" t="s">
        <v>115</v>
      </c>
      <c r="C6" s="3013"/>
      <c r="D6" s="3013"/>
      <c r="E6" s="3013"/>
      <c r="F6" s="3013"/>
      <c r="G6" s="3013"/>
      <c r="H6" s="3037"/>
      <c r="I6" s="3115" t="s">
        <v>1335</v>
      </c>
      <c r="J6" s="3024"/>
      <c r="K6" s="3025"/>
    </row>
    <row r="7" spans="1:11" x14ac:dyDescent="0.2">
      <c r="A7" s="1674" t="s">
        <v>327</v>
      </c>
      <c r="B7" s="3038" t="s">
        <v>1141</v>
      </c>
      <c r="C7" s="3039"/>
      <c r="D7" s="3054" t="s">
        <v>1142</v>
      </c>
      <c r="E7" s="3054"/>
      <c r="F7" s="3054"/>
      <c r="G7" s="3054"/>
      <c r="H7" s="3039"/>
      <c r="I7" s="467" t="s">
        <v>1208</v>
      </c>
      <c r="J7" s="356" t="s">
        <v>1279</v>
      </c>
      <c r="K7" s="2011" t="s">
        <v>1577</v>
      </c>
    </row>
    <row r="8" spans="1:11" x14ac:dyDescent="0.2">
      <c r="A8" s="1673"/>
      <c r="B8" s="379" t="s">
        <v>433</v>
      </c>
      <c r="C8" s="381" t="s">
        <v>1228</v>
      </c>
      <c r="D8" s="467" t="s">
        <v>433</v>
      </c>
      <c r="E8" s="467" t="s">
        <v>1143</v>
      </c>
      <c r="F8" s="355" t="s">
        <v>1145</v>
      </c>
      <c r="G8" s="355" t="s">
        <v>1146</v>
      </c>
      <c r="H8" s="382" t="s">
        <v>1228</v>
      </c>
      <c r="I8" s="468" t="s">
        <v>1336</v>
      </c>
      <c r="J8" s="450" t="s">
        <v>1337</v>
      </c>
      <c r="K8" s="2013" t="s">
        <v>1578</v>
      </c>
    </row>
    <row r="9" spans="1:11" x14ac:dyDescent="0.2">
      <c r="A9" s="1675"/>
      <c r="B9" s="1849" t="s">
        <v>1149</v>
      </c>
      <c r="C9" s="1836" t="s">
        <v>1136</v>
      </c>
      <c r="D9" s="371" t="s">
        <v>1147</v>
      </c>
      <c r="E9" s="371" t="s">
        <v>1144</v>
      </c>
      <c r="F9" s="471" t="s">
        <v>1344</v>
      </c>
      <c r="G9" s="471" t="s">
        <v>1148</v>
      </c>
      <c r="H9" s="2035" t="s">
        <v>1814</v>
      </c>
      <c r="I9" s="371" t="s">
        <v>1345</v>
      </c>
      <c r="J9" s="2007" t="s">
        <v>1346</v>
      </c>
      <c r="K9" s="2012" t="s">
        <v>1579</v>
      </c>
    </row>
    <row r="10" spans="1:11" x14ac:dyDescent="0.2">
      <c r="A10" s="1676" t="s">
        <v>352</v>
      </c>
      <c r="B10" s="1190">
        <v>1617400</v>
      </c>
      <c r="C10" s="1191">
        <v>469046000</v>
      </c>
      <c r="D10" s="1193">
        <v>2137600</v>
      </c>
      <c r="E10" s="1189">
        <v>436350</v>
      </c>
      <c r="F10" s="1226">
        <v>4.8988197547840038</v>
      </c>
      <c r="G10" s="1189">
        <v>1924680</v>
      </c>
      <c r="H10" s="1227">
        <v>3175722</v>
      </c>
      <c r="I10" s="1193">
        <v>2819</v>
      </c>
      <c r="J10" s="372">
        <v>95160</v>
      </c>
      <c r="K10" s="2014"/>
    </row>
    <row r="11" spans="1:11" x14ac:dyDescent="0.2">
      <c r="A11" s="885" t="s">
        <v>353</v>
      </c>
      <c r="B11" s="1198">
        <v>400000</v>
      </c>
      <c r="C11" s="1199">
        <v>116000000</v>
      </c>
      <c r="D11" s="1201">
        <v>1200000</v>
      </c>
      <c r="E11" s="968">
        <v>240000</v>
      </c>
      <c r="F11" s="1228">
        <v>5</v>
      </c>
      <c r="G11" s="968">
        <v>1080000</v>
      </c>
      <c r="H11" s="1199">
        <v>1782000</v>
      </c>
      <c r="I11" s="1201">
        <v>610</v>
      </c>
      <c r="J11" s="1201">
        <v>18300</v>
      </c>
      <c r="K11" s="2231">
        <v>39400</v>
      </c>
    </row>
    <row r="12" spans="1:11" x14ac:dyDescent="0.2">
      <c r="A12" s="885" t="s">
        <v>354</v>
      </c>
      <c r="B12" s="1198">
        <v>3500</v>
      </c>
      <c r="C12" s="1199">
        <v>1015000</v>
      </c>
      <c r="D12" s="1201">
        <v>240000</v>
      </c>
      <c r="E12" s="968">
        <v>48000</v>
      </c>
      <c r="F12" s="1228">
        <v>5</v>
      </c>
      <c r="G12" s="968">
        <v>216000</v>
      </c>
      <c r="H12" s="1199">
        <v>356400</v>
      </c>
      <c r="I12" s="1201">
        <v>230</v>
      </c>
      <c r="J12" s="1201">
        <v>6900</v>
      </c>
      <c r="K12" s="2231">
        <v>39400</v>
      </c>
    </row>
    <row r="13" spans="1:11" x14ac:dyDescent="0.2">
      <c r="A13" s="885" t="s">
        <v>355</v>
      </c>
      <c r="B13" s="1198">
        <v>3000</v>
      </c>
      <c r="C13" s="1199">
        <v>870000</v>
      </c>
      <c r="D13" s="1201">
        <v>8000</v>
      </c>
      <c r="E13" s="968">
        <v>2000</v>
      </c>
      <c r="F13" s="1228">
        <v>4</v>
      </c>
      <c r="G13" s="968">
        <v>7360</v>
      </c>
      <c r="H13" s="1199">
        <v>12144</v>
      </c>
      <c r="I13" s="1201">
        <v>760</v>
      </c>
      <c r="J13" s="1201">
        <v>22800</v>
      </c>
      <c r="K13" s="2231">
        <v>42000</v>
      </c>
    </row>
    <row r="14" spans="1:11" x14ac:dyDescent="0.2">
      <c r="A14" s="885" t="s">
        <v>356</v>
      </c>
      <c r="B14" s="1198">
        <v>50000</v>
      </c>
      <c r="C14" s="1199">
        <v>14500000</v>
      </c>
      <c r="D14" s="1201">
        <v>6000</v>
      </c>
      <c r="E14" s="968">
        <v>1500</v>
      </c>
      <c r="F14" s="1228">
        <v>4</v>
      </c>
      <c r="G14" s="968">
        <v>5400</v>
      </c>
      <c r="H14" s="1199">
        <v>8910</v>
      </c>
      <c r="I14" s="1201"/>
      <c r="J14" s="1201"/>
      <c r="K14" s="2231">
        <v>0</v>
      </c>
    </row>
    <row r="15" spans="1:11" x14ac:dyDescent="0.2">
      <c r="A15" s="885" t="s">
        <v>357</v>
      </c>
      <c r="B15" s="1198">
        <v>25500</v>
      </c>
      <c r="C15" s="1199">
        <v>7395000</v>
      </c>
      <c r="D15" s="1201">
        <v>40000</v>
      </c>
      <c r="E15" s="968">
        <v>8000</v>
      </c>
      <c r="F15" s="1228">
        <v>5</v>
      </c>
      <c r="G15" s="968">
        <v>36000</v>
      </c>
      <c r="H15" s="1199">
        <v>59400</v>
      </c>
      <c r="I15" s="1201">
        <v>60</v>
      </c>
      <c r="J15" s="1201">
        <v>2400</v>
      </c>
      <c r="K15" s="2231">
        <v>38000</v>
      </c>
    </row>
    <row r="16" spans="1:11" x14ac:dyDescent="0.2">
      <c r="A16" s="885" t="s">
        <v>358</v>
      </c>
      <c r="B16" s="1198">
        <v>400</v>
      </c>
      <c r="C16" s="1199">
        <v>116000</v>
      </c>
      <c r="D16" s="1201">
        <v>1000</v>
      </c>
      <c r="E16" s="968">
        <v>250</v>
      </c>
      <c r="F16" s="1228">
        <v>4</v>
      </c>
      <c r="G16" s="968">
        <v>900</v>
      </c>
      <c r="H16" s="1199">
        <v>1485</v>
      </c>
      <c r="I16" s="1201">
        <v>150</v>
      </c>
      <c r="J16" s="1201">
        <v>4500</v>
      </c>
      <c r="K16" s="2231">
        <v>38000</v>
      </c>
    </row>
    <row r="17" spans="1:11" x14ac:dyDescent="0.2">
      <c r="A17" s="885" t="s">
        <v>359</v>
      </c>
      <c r="B17" s="1198">
        <v>5000</v>
      </c>
      <c r="C17" s="1199">
        <v>1450000</v>
      </c>
      <c r="D17" s="1201">
        <v>10500</v>
      </c>
      <c r="E17" s="968">
        <v>3500</v>
      </c>
      <c r="F17" s="1228">
        <v>3</v>
      </c>
      <c r="G17" s="968">
        <v>9450</v>
      </c>
      <c r="H17" s="1199">
        <v>15592.5</v>
      </c>
      <c r="I17" s="1201"/>
      <c r="J17" s="1201"/>
      <c r="K17" s="2231">
        <v>0</v>
      </c>
    </row>
    <row r="18" spans="1:11" x14ac:dyDescent="0.2">
      <c r="A18" s="885" t="s">
        <v>360</v>
      </c>
      <c r="B18" s="1198">
        <v>3000</v>
      </c>
      <c r="C18" s="1199">
        <v>870000</v>
      </c>
      <c r="D18" s="1201">
        <v>4000</v>
      </c>
      <c r="E18" s="968">
        <v>1000</v>
      </c>
      <c r="F18" s="1228">
        <v>4</v>
      </c>
      <c r="G18" s="968">
        <v>3680</v>
      </c>
      <c r="H18" s="1199">
        <v>6072</v>
      </c>
      <c r="I18" s="1201">
        <v>115</v>
      </c>
      <c r="J18" s="1201">
        <v>3450</v>
      </c>
      <c r="K18" s="2231">
        <v>38000</v>
      </c>
    </row>
    <row r="19" spans="1:11" x14ac:dyDescent="0.2">
      <c r="A19" s="885" t="s">
        <v>938</v>
      </c>
      <c r="B19" s="1198">
        <v>320000</v>
      </c>
      <c r="C19" s="1199">
        <v>92800000</v>
      </c>
      <c r="D19" s="1201">
        <v>460000</v>
      </c>
      <c r="E19" s="968">
        <v>92000</v>
      </c>
      <c r="F19" s="1228">
        <v>5</v>
      </c>
      <c r="G19" s="968">
        <v>414000</v>
      </c>
      <c r="H19" s="1199">
        <v>683100</v>
      </c>
      <c r="I19" s="1201">
        <v>125</v>
      </c>
      <c r="J19" s="1201">
        <v>3750</v>
      </c>
      <c r="K19" s="2231">
        <v>38000</v>
      </c>
    </row>
    <row r="20" spans="1:11" x14ac:dyDescent="0.2">
      <c r="A20" s="885" t="s">
        <v>362</v>
      </c>
      <c r="B20" s="1198">
        <v>742000</v>
      </c>
      <c r="C20" s="1199">
        <v>215180000</v>
      </c>
      <c r="D20" s="1201">
        <v>100000</v>
      </c>
      <c r="E20" s="968">
        <v>20000</v>
      </c>
      <c r="F20" s="1228">
        <v>5</v>
      </c>
      <c r="G20" s="968">
        <v>90000</v>
      </c>
      <c r="H20" s="1199">
        <v>148500</v>
      </c>
      <c r="I20" s="1201">
        <v>450</v>
      </c>
      <c r="J20" s="1201">
        <v>22500</v>
      </c>
      <c r="K20" s="2231">
        <v>38000</v>
      </c>
    </row>
    <row r="21" spans="1:11" x14ac:dyDescent="0.2">
      <c r="A21" s="885" t="s">
        <v>363</v>
      </c>
      <c r="B21" s="1198">
        <v>10000</v>
      </c>
      <c r="C21" s="1199">
        <v>2900000</v>
      </c>
      <c r="D21" s="1201">
        <v>30000</v>
      </c>
      <c r="E21" s="968">
        <v>10000</v>
      </c>
      <c r="F21" s="1228">
        <v>3</v>
      </c>
      <c r="G21" s="968">
        <v>27600</v>
      </c>
      <c r="H21" s="1199">
        <v>45540</v>
      </c>
      <c r="I21" s="1201">
        <v>165</v>
      </c>
      <c r="J21" s="1201">
        <v>5940</v>
      </c>
      <c r="K21" s="2231">
        <v>38000</v>
      </c>
    </row>
    <row r="22" spans="1:11" x14ac:dyDescent="0.2">
      <c r="A22" s="885" t="s">
        <v>939</v>
      </c>
      <c r="B22" s="1198">
        <v>1000</v>
      </c>
      <c r="C22" s="1199">
        <v>290000</v>
      </c>
      <c r="D22" s="1201">
        <v>9600</v>
      </c>
      <c r="E22" s="968">
        <v>2400</v>
      </c>
      <c r="F22" s="1228">
        <v>4</v>
      </c>
      <c r="G22" s="968">
        <v>8640</v>
      </c>
      <c r="H22" s="1199">
        <v>14256</v>
      </c>
      <c r="I22" s="1201">
        <v>55</v>
      </c>
      <c r="J22" s="1201">
        <v>1650</v>
      </c>
      <c r="K22" s="2231">
        <v>38000</v>
      </c>
    </row>
    <row r="23" spans="1:11" x14ac:dyDescent="0.2">
      <c r="A23" s="885" t="s">
        <v>365</v>
      </c>
      <c r="B23" s="1198">
        <v>2000</v>
      </c>
      <c r="C23" s="1199">
        <v>580000</v>
      </c>
      <c r="D23" s="1201">
        <v>6900</v>
      </c>
      <c r="E23" s="968">
        <v>2300</v>
      </c>
      <c r="F23" s="1228">
        <v>3</v>
      </c>
      <c r="G23" s="968">
        <v>6210</v>
      </c>
      <c r="H23" s="1199">
        <v>10246.5</v>
      </c>
      <c r="I23" s="1201">
        <v>24</v>
      </c>
      <c r="J23" s="1201">
        <v>720</v>
      </c>
      <c r="K23" s="2231">
        <v>38000</v>
      </c>
    </row>
    <row r="24" spans="1:11" x14ac:dyDescent="0.2">
      <c r="A24" s="885" t="s">
        <v>366</v>
      </c>
      <c r="B24" s="1198">
        <v>2000</v>
      </c>
      <c r="C24" s="1199">
        <v>580000</v>
      </c>
      <c r="D24" s="1201">
        <v>12000</v>
      </c>
      <c r="E24" s="968">
        <v>3000</v>
      </c>
      <c r="F24" s="1228">
        <v>4</v>
      </c>
      <c r="G24" s="968">
        <v>10800</v>
      </c>
      <c r="H24" s="1199">
        <v>17820</v>
      </c>
      <c r="I24" s="1201">
        <v>75</v>
      </c>
      <c r="J24" s="1201">
        <v>2250</v>
      </c>
      <c r="K24" s="2231">
        <v>40000</v>
      </c>
    </row>
    <row r="25" spans="1:11" x14ac:dyDescent="0.2">
      <c r="A25" s="885" t="s">
        <v>367</v>
      </c>
      <c r="B25" s="1198">
        <v>50000</v>
      </c>
      <c r="C25" s="1199">
        <v>14500000</v>
      </c>
      <c r="D25" s="1201">
        <v>9600</v>
      </c>
      <c r="E25" s="968">
        <v>2400</v>
      </c>
      <c r="F25" s="1228">
        <v>4</v>
      </c>
      <c r="G25" s="968">
        <v>8640</v>
      </c>
      <c r="H25" s="1199">
        <v>14256</v>
      </c>
      <c r="I25" s="1201"/>
      <c r="J25" s="1197"/>
      <c r="K25" s="1683"/>
    </row>
    <row r="26" spans="1:11" x14ac:dyDescent="0.2">
      <c r="A26" s="1677" t="s">
        <v>368</v>
      </c>
      <c r="B26" s="434">
        <v>121500</v>
      </c>
      <c r="C26" s="436">
        <v>35235000</v>
      </c>
      <c r="D26" s="1209">
        <v>677350</v>
      </c>
      <c r="E26" s="435">
        <v>117900</v>
      </c>
      <c r="F26" s="1226">
        <v>5.7451229855810011</v>
      </c>
      <c r="G26" s="435">
        <v>609615</v>
      </c>
      <c r="H26" s="436">
        <v>1005864.75</v>
      </c>
      <c r="I26" s="1209">
        <v>480</v>
      </c>
      <c r="J26" s="1207">
        <v>15850</v>
      </c>
      <c r="K26" s="2014"/>
    </row>
    <row r="27" spans="1:11" x14ac:dyDescent="0.2">
      <c r="A27" s="885" t="s">
        <v>369</v>
      </c>
      <c r="B27" s="1198">
        <v>65000</v>
      </c>
      <c r="C27" s="1199">
        <v>18850000</v>
      </c>
      <c r="D27" s="1201">
        <v>612000</v>
      </c>
      <c r="E27" s="968">
        <v>102000</v>
      </c>
      <c r="F27" s="1229">
        <v>6</v>
      </c>
      <c r="G27" s="968">
        <v>550800</v>
      </c>
      <c r="H27" s="1199">
        <v>908820</v>
      </c>
      <c r="I27" s="1201">
        <v>145</v>
      </c>
      <c r="J27" s="1201">
        <v>5800</v>
      </c>
      <c r="K27" s="2231">
        <v>38000</v>
      </c>
    </row>
    <row r="28" spans="1:11" x14ac:dyDescent="0.2">
      <c r="A28" s="2042" t="s">
        <v>370</v>
      </c>
      <c r="B28" s="1198">
        <v>6000</v>
      </c>
      <c r="C28" s="1199">
        <v>1740000</v>
      </c>
      <c r="D28" s="1201">
        <v>20000</v>
      </c>
      <c r="E28" s="968">
        <v>5000</v>
      </c>
      <c r="F28" s="1229">
        <v>4</v>
      </c>
      <c r="G28" s="968">
        <v>18000</v>
      </c>
      <c r="H28" s="1199">
        <v>29700</v>
      </c>
      <c r="I28" s="1201">
        <v>80</v>
      </c>
      <c r="J28" s="1201">
        <v>2400</v>
      </c>
      <c r="K28" s="2231">
        <v>38000</v>
      </c>
    </row>
    <row r="29" spans="1:11" x14ac:dyDescent="0.2">
      <c r="A29" s="885" t="s">
        <v>371</v>
      </c>
      <c r="B29" s="1198">
        <v>2000</v>
      </c>
      <c r="C29" s="1199">
        <v>580000</v>
      </c>
      <c r="D29" s="1201">
        <v>8000</v>
      </c>
      <c r="E29" s="968">
        <v>2000</v>
      </c>
      <c r="F29" s="1229">
        <v>4</v>
      </c>
      <c r="G29" s="968">
        <v>7200</v>
      </c>
      <c r="H29" s="1199">
        <v>11880</v>
      </c>
      <c r="I29" s="1201">
        <v>20</v>
      </c>
      <c r="J29" s="1201">
        <v>600</v>
      </c>
      <c r="K29" s="2231">
        <v>38000</v>
      </c>
    </row>
    <row r="30" spans="1:11" x14ac:dyDescent="0.2">
      <c r="A30" s="885" t="s">
        <v>372</v>
      </c>
      <c r="B30" s="1198">
        <v>33500</v>
      </c>
      <c r="C30" s="1199">
        <v>9715000</v>
      </c>
      <c r="D30" s="1201">
        <v>15750</v>
      </c>
      <c r="E30" s="968">
        <v>3500</v>
      </c>
      <c r="F30" s="1229">
        <v>4.5</v>
      </c>
      <c r="G30" s="968">
        <v>14175</v>
      </c>
      <c r="H30" s="1199">
        <v>23388.75</v>
      </c>
      <c r="I30" s="1201">
        <v>95</v>
      </c>
      <c r="J30" s="1201">
        <v>2850</v>
      </c>
      <c r="K30" s="2231">
        <v>38000</v>
      </c>
    </row>
    <row r="31" spans="1:11" x14ac:dyDescent="0.2">
      <c r="A31" s="885" t="s">
        <v>373</v>
      </c>
      <c r="B31" s="1198">
        <v>15000</v>
      </c>
      <c r="C31" s="1199">
        <v>4350000</v>
      </c>
      <c r="D31" s="1201">
        <v>21600</v>
      </c>
      <c r="E31" s="968">
        <v>5400</v>
      </c>
      <c r="F31" s="1229">
        <v>4</v>
      </c>
      <c r="G31" s="968">
        <v>19440</v>
      </c>
      <c r="H31" s="1199">
        <v>32076</v>
      </c>
      <c r="I31" s="1201">
        <v>140</v>
      </c>
      <c r="J31" s="1201">
        <v>4200</v>
      </c>
      <c r="K31" s="2231">
        <v>38000</v>
      </c>
    </row>
    <row r="32" spans="1:11" x14ac:dyDescent="0.2">
      <c r="A32" s="1677" t="s">
        <v>374</v>
      </c>
      <c r="B32" s="434">
        <v>240200</v>
      </c>
      <c r="C32" s="436">
        <v>69658000</v>
      </c>
      <c r="D32" s="1209">
        <v>1098000</v>
      </c>
      <c r="E32" s="435">
        <v>224000</v>
      </c>
      <c r="F32" s="1226">
        <v>4.9017857142857144</v>
      </c>
      <c r="G32" s="435">
        <v>988200</v>
      </c>
      <c r="H32" s="436">
        <v>1630530</v>
      </c>
      <c r="I32" s="1209">
        <v>2228</v>
      </c>
      <c r="J32" s="1207">
        <v>72170</v>
      </c>
      <c r="K32" s="2014"/>
    </row>
    <row r="33" spans="1:11" x14ac:dyDescent="0.2">
      <c r="A33" s="885" t="s">
        <v>375</v>
      </c>
      <c r="B33" s="1198">
        <v>76000</v>
      </c>
      <c r="C33" s="1199">
        <v>22040000</v>
      </c>
      <c r="D33" s="1201">
        <v>600000</v>
      </c>
      <c r="E33" s="968">
        <v>120000</v>
      </c>
      <c r="F33" s="1229">
        <v>5</v>
      </c>
      <c r="G33" s="968">
        <v>540000</v>
      </c>
      <c r="H33" s="1199">
        <v>891000</v>
      </c>
      <c r="I33" s="1201">
        <v>1150</v>
      </c>
      <c r="J33" s="1201">
        <v>36800</v>
      </c>
      <c r="K33" s="2231">
        <v>42000</v>
      </c>
    </row>
    <row r="34" spans="1:11" x14ac:dyDescent="0.2">
      <c r="A34" s="885" t="s">
        <v>376</v>
      </c>
      <c r="B34" s="1198">
        <v>8000</v>
      </c>
      <c r="C34" s="1199">
        <v>2320000</v>
      </c>
      <c r="D34" s="1201">
        <v>72000</v>
      </c>
      <c r="E34" s="968">
        <v>18000</v>
      </c>
      <c r="F34" s="1229">
        <v>4</v>
      </c>
      <c r="G34" s="968">
        <v>64800</v>
      </c>
      <c r="H34" s="1199">
        <v>106920</v>
      </c>
      <c r="I34" s="1201">
        <v>75</v>
      </c>
      <c r="J34" s="1201">
        <v>2250</v>
      </c>
      <c r="K34" s="2231">
        <v>35000</v>
      </c>
    </row>
    <row r="35" spans="1:11" x14ac:dyDescent="0.2">
      <c r="A35" s="885" t="s">
        <v>377</v>
      </c>
      <c r="B35" s="1198">
        <v>5200</v>
      </c>
      <c r="C35" s="1199">
        <v>1508000</v>
      </c>
      <c r="D35" s="1201">
        <v>80000</v>
      </c>
      <c r="E35" s="968">
        <v>20000</v>
      </c>
      <c r="F35" s="1229">
        <v>4</v>
      </c>
      <c r="G35" s="968">
        <v>72000</v>
      </c>
      <c r="H35" s="1199">
        <v>118800</v>
      </c>
      <c r="I35" s="1201">
        <v>18</v>
      </c>
      <c r="J35" s="1201">
        <v>540</v>
      </c>
      <c r="K35" s="2231">
        <v>32000</v>
      </c>
    </row>
    <row r="36" spans="1:11" x14ac:dyDescent="0.2">
      <c r="A36" s="885" t="s">
        <v>378</v>
      </c>
      <c r="B36" s="1198">
        <v>54000</v>
      </c>
      <c r="C36" s="1199">
        <v>15660000</v>
      </c>
      <c r="D36" s="1201">
        <v>100000</v>
      </c>
      <c r="E36" s="968">
        <v>20000</v>
      </c>
      <c r="F36" s="1229">
        <v>5</v>
      </c>
      <c r="G36" s="968">
        <v>90000</v>
      </c>
      <c r="H36" s="1199">
        <v>148500</v>
      </c>
      <c r="I36" s="1201">
        <v>350</v>
      </c>
      <c r="J36" s="1201">
        <v>12600</v>
      </c>
      <c r="K36" s="2231">
        <v>40000</v>
      </c>
    </row>
    <row r="37" spans="1:11" x14ac:dyDescent="0.2">
      <c r="A37" s="885" t="s">
        <v>379</v>
      </c>
      <c r="B37" s="1198">
        <v>12000</v>
      </c>
      <c r="C37" s="1199">
        <v>3480000</v>
      </c>
      <c r="D37" s="1201">
        <v>60000</v>
      </c>
      <c r="E37" s="968">
        <v>10000</v>
      </c>
      <c r="F37" s="1229">
        <v>6</v>
      </c>
      <c r="G37" s="968">
        <v>54000</v>
      </c>
      <c r="H37" s="1199">
        <v>89100</v>
      </c>
      <c r="I37" s="1201">
        <v>70</v>
      </c>
      <c r="J37" s="1201">
        <v>2100</v>
      </c>
      <c r="K37" s="2231">
        <v>42000</v>
      </c>
    </row>
    <row r="38" spans="1:11" x14ac:dyDescent="0.2">
      <c r="A38" s="885" t="s">
        <v>380</v>
      </c>
      <c r="B38" s="1198">
        <v>49000</v>
      </c>
      <c r="C38" s="1199">
        <v>14210000</v>
      </c>
      <c r="D38" s="1201">
        <v>72000</v>
      </c>
      <c r="E38" s="968">
        <v>12000</v>
      </c>
      <c r="F38" s="1229">
        <v>6</v>
      </c>
      <c r="G38" s="968">
        <v>64800</v>
      </c>
      <c r="H38" s="1199">
        <v>106920</v>
      </c>
      <c r="I38" s="1201">
        <v>240</v>
      </c>
      <c r="J38" s="1201">
        <v>7200</v>
      </c>
      <c r="K38" s="2231">
        <v>45000</v>
      </c>
    </row>
    <row r="39" spans="1:11" x14ac:dyDescent="0.2">
      <c r="A39" s="885" t="s">
        <v>381</v>
      </c>
      <c r="B39" s="1198">
        <v>30000</v>
      </c>
      <c r="C39" s="1199">
        <v>8700000</v>
      </c>
      <c r="D39" s="1201">
        <v>54000</v>
      </c>
      <c r="E39" s="968">
        <v>12000</v>
      </c>
      <c r="F39" s="1229">
        <v>4.5</v>
      </c>
      <c r="G39" s="968">
        <v>48600</v>
      </c>
      <c r="H39" s="1199">
        <v>80190</v>
      </c>
      <c r="I39" s="1201">
        <v>155</v>
      </c>
      <c r="J39" s="1201">
        <v>5580</v>
      </c>
      <c r="K39" s="2231">
        <v>42000</v>
      </c>
    </row>
    <row r="40" spans="1:11" x14ac:dyDescent="0.2">
      <c r="A40" s="885" t="s">
        <v>382</v>
      </c>
      <c r="B40" s="1198">
        <v>6000</v>
      </c>
      <c r="C40" s="1199">
        <v>1740000</v>
      </c>
      <c r="D40" s="1201">
        <v>60000</v>
      </c>
      <c r="E40" s="968">
        <v>12000</v>
      </c>
      <c r="F40" s="1229">
        <v>5</v>
      </c>
      <c r="G40" s="968">
        <v>54000</v>
      </c>
      <c r="H40" s="1199">
        <v>89100</v>
      </c>
      <c r="I40" s="1201">
        <v>170</v>
      </c>
      <c r="J40" s="1201">
        <v>5100</v>
      </c>
      <c r="K40" s="2231">
        <v>38000</v>
      </c>
    </row>
    <row r="41" spans="1:11" x14ac:dyDescent="0.2">
      <c r="A41" s="1677" t="s">
        <v>383</v>
      </c>
      <c r="B41" s="434">
        <v>138000</v>
      </c>
      <c r="C41" s="436">
        <v>40020000</v>
      </c>
      <c r="D41" s="1209">
        <v>3265600</v>
      </c>
      <c r="E41" s="435">
        <v>659400</v>
      </c>
      <c r="F41" s="1226">
        <v>4.9523809523809526</v>
      </c>
      <c r="G41" s="435">
        <v>2943352</v>
      </c>
      <c r="H41" s="436">
        <v>4856530.8</v>
      </c>
      <c r="I41" s="1209">
        <v>2930</v>
      </c>
      <c r="J41" s="1207">
        <v>194350</v>
      </c>
      <c r="K41" s="2014"/>
    </row>
    <row r="42" spans="1:11" x14ac:dyDescent="0.2">
      <c r="A42" s="885" t="s">
        <v>384</v>
      </c>
      <c r="B42" s="1198">
        <v>52500</v>
      </c>
      <c r="C42" s="1199">
        <v>15225000</v>
      </c>
      <c r="D42" s="1201">
        <v>3050000</v>
      </c>
      <c r="E42" s="968">
        <v>610000</v>
      </c>
      <c r="F42" s="1229">
        <v>5</v>
      </c>
      <c r="G42" s="968">
        <v>2745000</v>
      </c>
      <c r="H42" s="1199">
        <v>4529250</v>
      </c>
      <c r="I42" s="1201">
        <v>1200</v>
      </c>
      <c r="J42" s="1201">
        <v>100000</v>
      </c>
      <c r="K42" s="2231">
        <v>40000</v>
      </c>
    </row>
    <row r="43" spans="1:11" x14ac:dyDescent="0.2">
      <c r="A43" s="885" t="s">
        <v>385</v>
      </c>
      <c r="B43" s="1198">
        <v>20000</v>
      </c>
      <c r="C43" s="1199">
        <v>5800000</v>
      </c>
      <c r="D43" s="1201">
        <v>4000</v>
      </c>
      <c r="E43" s="968">
        <v>1000</v>
      </c>
      <c r="F43" s="1229">
        <v>4</v>
      </c>
      <c r="G43" s="968">
        <v>3680</v>
      </c>
      <c r="H43" s="1199">
        <v>6072</v>
      </c>
      <c r="I43" s="1201">
        <v>100</v>
      </c>
      <c r="J43" s="1201">
        <v>4500</v>
      </c>
      <c r="K43" s="2231">
        <v>38000</v>
      </c>
    </row>
    <row r="44" spans="1:11" x14ac:dyDescent="0.2">
      <c r="A44" s="885" t="s">
        <v>386</v>
      </c>
      <c r="B44" s="1198">
        <v>5000</v>
      </c>
      <c r="C44" s="1199">
        <v>1450000</v>
      </c>
      <c r="D44" s="1201">
        <v>4000</v>
      </c>
      <c r="E44" s="968">
        <v>1000</v>
      </c>
      <c r="F44" s="1229">
        <v>4</v>
      </c>
      <c r="G44" s="968">
        <v>3680</v>
      </c>
      <c r="H44" s="1199">
        <v>6072</v>
      </c>
      <c r="I44" s="1201"/>
      <c r="J44" s="1201"/>
      <c r="K44" s="2231">
        <v>0</v>
      </c>
    </row>
    <row r="45" spans="1:11" x14ac:dyDescent="0.2">
      <c r="A45" s="885" t="s">
        <v>387</v>
      </c>
      <c r="B45" s="1198">
        <v>20000</v>
      </c>
      <c r="C45" s="1199">
        <v>5800000</v>
      </c>
      <c r="D45" s="1201">
        <v>10000</v>
      </c>
      <c r="E45" s="968">
        <v>2500</v>
      </c>
      <c r="F45" s="1229">
        <v>4</v>
      </c>
      <c r="G45" s="968">
        <v>9200</v>
      </c>
      <c r="H45" s="1199">
        <v>15180</v>
      </c>
      <c r="I45" s="1201">
        <v>35</v>
      </c>
      <c r="J45" s="1201">
        <v>2100</v>
      </c>
      <c r="K45" s="2231">
        <v>38000</v>
      </c>
    </row>
    <row r="46" spans="1:11" x14ac:dyDescent="0.2">
      <c r="A46" s="885" t="s">
        <v>388</v>
      </c>
      <c r="B46" s="1198">
        <v>1500</v>
      </c>
      <c r="C46" s="1199">
        <v>435000</v>
      </c>
      <c r="D46" s="1201">
        <v>8000</v>
      </c>
      <c r="E46" s="968">
        <v>2000</v>
      </c>
      <c r="F46" s="1229">
        <v>4</v>
      </c>
      <c r="G46" s="968">
        <v>7360</v>
      </c>
      <c r="H46" s="1199">
        <v>12144</v>
      </c>
      <c r="I46" s="1201">
        <v>150</v>
      </c>
      <c r="J46" s="1201">
        <v>6750</v>
      </c>
      <c r="K46" s="2231">
        <v>38000</v>
      </c>
    </row>
    <row r="47" spans="1:11" x14ac:dyDescent="0.2">
      <c r="A47" s="885" t="s">
        <v>389</v>
      </c>
      <c r="B47" s="1198">
        <v>5000</v>
      </c>
      <c r="C47" s="1199">
        <v>1450000</v>
      </c>
      <c r="D47" s="1201">
        <v>6000</v>
      </c>
      <c r="E47" s="968">
        <v>1500</v>
      </c>
      <c r="F47" s="1229">
        <v>4</v>
      </c>
      <c r="G47" s="968">
        <v>5520</v>
      </c>
      <c r="H47" s="1199">
        <v>9108</v>
      </c>
      <c r="I47" s="1201">
        <v>150</v>
      </c>
      <c r="J47" s="1201">
        <v>5100</v>
      </c>
      <c r="K47" s="2231">
        <v>32000</v>
      </c>
    </row>
    <row r="48" spans="1:11" x14ac:dyDescent="0.2">
      <c r="A48" s="885" t="s">
        <v>390</v>
      </c>
      <c r="B48" s="1198">
        <v>18000</v>
      </c>
      <c r="C48" s="1199">
        <v>5220000</v>
      </c>
      <c r="D48" s="1201">
        <v>5600</v>
      </c>
      <c r="E48" s="968">
        <v>1400</v>
      </c>
      <c r="F48" s="1229">
        <v>4</v>
      </c>
      <c r="G48" s="968">
        <v>5152</v>
      </c>
      <c r="H48" s="1199">
        <v>8500.7999999999993</v>
      </c>
      <c r="I48" s="1201">
        <v>30</v>
      </c>
      <c r="J48" s="1201">
        <v>2000</v>
      </c>
      <c r="K48" s="2231">
        <v>32000</v>
      </c>
    </row>
    <row r="49" spans="1:11" x14ac:dyDescent="0.2">
      <c r="A49" s="885" t="s">
        <v>941</v>
      </c>
      <c r="B49" s="1198">
        <v>8000</v>
      </c>
      <c r="C49" s="1199">
        <v>2320000</v>
      </c>
      <c r="D49" s="1201">
        <v>88000</v>
      </c>
      <c r="E49" s="968">
        <v>22000</v>
      </c>
      <c r="F49" s="1229">
        <v>4</v>
      </c>
      <c r="G49" s="968">
        <v>80960</v>
      </c>
      <c r="H49" s="1199">
        <v>133584</v>
      </c>
      <c r="I49" s="1201">
        <v>765</v>
      </c>
      <c r="J49" s="1201">
        <v>45900</v>
      </c>
      <c r="K49" s="2231">
        <v>40000</v>
      </c>
    </row>
    <row r="50" spans="1:11" ht="13.5" thickBot="1" x14ac:dyDescent="0.25">
      <c r="A50" s="862" t="s">
        <v>392</v>
      </c>
      <c r="B50" s="1850">
        <v>8000</v>
      </c>
      <c r="C50" s="1199">
        <v>2320000</v>
      </c>
      <c r="D50" s="1201">
        <v>90000</v>
      </c>
      <c r="E50" s="18">
        <v>18000</v>
      </c>
      <c r="F50" s="473">
        <v>5</v>
      </c>
      <c r="G50" s="968">
        <v>82800</v>
      </c>
      <c r="H50" s="331">
        <v>136620</v>
      </c>
      <c r="I50" s="474">
        <v>500</v>
      </c>
      <c r="J50" s="474">
        <v>28000</v>
      </c>
      <c r="K50" s="2232">
        <v>38000</v>
      </c>
    </row>
    <row r="51" spans="1:11" ht="13.5" thickBot="1" x14ac:dyDescent="0.25">
      <c r="A51" s="443" t="s">
        <v>393</v>
      </c>
      <c r="B51" s="1851">
        <v>2117100</v>
      </c>
      <c r="C51" s="477">
        <v>613959000</v>
      </c>
      <c r="D51" s="478">
        <v>7178550</v>
      </c>
      <c r="E51" s="475">
        <v>1437650</v>
      </c>
      <c r="F51" s="476">
        <v>4.9932528779605603</v>
      </c>
      <c r="G51" s="475">
        <v>6465847</v>
      </c>
      <c r="H51" s="477">
        <v>10668647.550000001</v>
      </c>
      <c r="I51" s="478">
        <v>8457</v>
      </c>
      <c r="J51" s="2010">
        <v>377530</v>
      </c>
      <c r="K51" s="2015">
        <v>39652.080629353957</v>
      </c>
    </row>
    <row r="52" spans="1:11" ht="13.5" thickTop="1" x14ac:dyDescent="0.2">
      <c r="A52" s="7" t="s">
        <v>1934</v>
      </c>
      <c r="B52" s="7"/>
      <c r="C52" s="7"/>
      <c r="D52" s="7"/>
      <c r="E52" s="7"/>
    </row>
    <row r="53" spans="1:11" x14ac:dyDescent="0.2">
      <c r="A53" s="351" t="s">
        <v>1770</v>
      </c>
      <c r="F53" s="950"/>
      <c r="G53" s="950"/>
    </row>
    <row r="54" spans="1:11" x14ac:dyDescent="0.2">
      <c r="A54" s="351" t="s">
        <v>1527</v>
      </c>
      <c r="H54" s="176"/>
    </row>
    <row r="55" spans="1:11" x14ac:dyDescent="0.2">
      <c r="B55" s="176"/>
      <c r="C55" s="176"/>
      <c r="D55" s="176"/>
      <c r="E55" s="176"/>
      <c r="F55" s="176"/>
      <c r="G55" s="176"/>
      <c r="H55" s="176"/>
      <c r="I55" s="176"/>
      <c r="J55" s="176"/>
      <c r="K55" s="176"/>
    </row>
    <row r="56" spans="1:11" x14ac:dyDescent="0.2">
      <c r="C56" s="176"/>
      <c r="H56" s="176"/>
    </row>
    <row r="57" spans="1:11" x14ac:dyDescent="0.2">
      <c r="A57" s="176"/>
      <c r="E57" s="509"/>
    </row>
    <row r="58" spans="1:11" ht="15.75" x14ac:dyDescent="0.25">
      <c r="A58" s="3010" t="s">
        <v>324</v>
      </c>
      <c r="B58" s="3010"/>
      <c r="C58" s="3010"/>
      <c r="D58" s="3010"/>
      <c r="E58" s="3010"/>
      <c r="F58" s="3010"/>
      <c r="G58" s="3010"/>
      <c r="H58" s="3010"/>
      <c r="I58" s="3010"/>
      <c r="J58" s="3010"/>
    </row>
    <row r="59" spans="1:11" ht="15.75" x14ac:dyDescent="0.25">
      <c r="A59" s="3010" t="s">
        <v>909</v>
      </c>
      <c r="B59" s="3010"/>
      <c r="C59" s="3010"/>
      <c r="D59" s="3010"/>
      <c r="E59" s="3010"/>
      <c r="F59" s="3010"/>
      <c r="G59" s="3010"/>
      <c r="H59" s="3010"/>
      <c r="I59" s="3010"/>
      <c r="J59" s="3010"/>
    </row>
    <row r="60" spans="1:11" ht="15.75" x14ac:dyDescent="0.25">
      <c r="A60" s="3010" t="s">
        <v>2025</v>
      </c>
      <c r="B60" s="3010"/>
      <c r="C60" s="3010"/>
      <c r="D60" s="3010"/>
      <c r="E60" s="3010"/>
      <c r="F60" s="3010"/>
      <c r="G60" s="3010"/>
      <c r="H60" s="3010"/>
      <c r="I60" s="3010"/>
      <c r="J60" s="3010"/>
    </row>
    <row r="61" spans="1:11" ht="13.5" thickBot="1" x14ac:dyDescent="0.25"/>
    <row r="62" spans="1:11" ht="18.75" thickTop="1" x14ac:dyDescent="0.25">
      <c r="A62" s="302"/>
      <c r="B62" s="3114" t="s">
        <v>1494</v>
      </c>
      <c r="C62" s="3043"/>
      <c r="D62" s="3043"/>
      <c r="E62" s="3043"/>
      <c r="F62" s="3043"/>
      <c r="G62" s="3043"/>
      <c r="H62" s="3043"/>
      <c r="I62" s="3043"/>
      <c r="J62" s="3044"/>
    </row>
    <row r="63" spans="1:11" x14ac:dyDescent="0.2">
      <c r="A63" s="375"/>
      <c r="B63" s="466"/>
      <c r="C63" s="466"/>
      <c r="D63" s="466"/>
      <c r="E63" s="466"/>
      <c r="F63" s="1072"/>
      <c r="G63" s="1072"/>
      <c r="H63" s="466"/>
      <c r="I63" s="466"/>
      <c r="J63" s="1678"/>
    </row>
    <row r="64" spans="1:11" x14ac:dyDescent="0.2">
      <c r="A64" s="376" t="s">
        <v>327</v>
      </c>
      <c r="B64" s="380"/>
      <c r="C64" s="380"/>
      <c r="D64" s="380"/>
      <c r="E64" s="380"/>
      <c r="F64" s="1679"/>
      <c r="G64" s="1679"/>
      <c r="H64" s="469"/>
      <c r="I64" s="469"/>
      <c r="J64" s="1653"/>
    </row>
    <row r="65" spans="1:10" x14ac:dyDescent="0.2">
      <c r="A65" s="375"/>
      <c r="B65" s="380" t="s">
        <v>1338</v>
      </c>
      <c r="C65" s="380" t="s">
        <v>1340</v>
      </c>
      <c r="D65" s="380" t="s">
        <v>1339</v>
      </c>
      <c r="E65" s="380" t="s">
        <v>1341</v>
      </c>
      <c r="F65" s="380" t="s">
        <v>1133</v>
      </c>
      <c r="G65" s="380" t="s">
        <v>1134</v>
      </c>
      <c r="H65" s="380" t="s">
        <v>1342</v>
      </c>
      <c r="I65" s="380" t="s">
        <v>1343</v>
      </c>
      <c r="J65" s="470" t="s">
        <v>1135</v>
      </c>
    </row>
    <row r="66" spans="1:10" x14ac:dyDescent="0.2">
      <c r="A66" s="375"/>
      <c r="B66" s="469"/>
      <c r="C66" s="1680"/>
      <c r="D66" s="1681"/>
      <c r="E66" s="1680"/>
      <c r="F66" s="1679"/>
      <c r="G66" s="1679"/>
      <c r="H66" s="469"/>
      <c r="I66" s="469"/>
      <c r="J66" s="1653"/>
    </row>
    <row r="67" spans="1:10" x14ac:dyDescent="0.2">
      <c r="A67" s="433" t="s">
        <v>352</v>
      </c>
      <c r="B67" s="1004">
        <v>19900</v>
      </c>
      <c r="C67" s="1004">
        <v>4653</v>
      </c>
      <c r="D67" s="1004">
        <v>9094</v>
      </c>
      <c r="E67" s="1004">
        <v>774</v>
      </c>
      <c r="F67" s="1004">
        <v>1490</v>
      </c>
      <c r="G67" s="1004">
        <v>4680</v>
      </c>
      <c r="H67" s="1004">
        <v>14771</v>
      </c>
      <c r="I67" s="1004">
        <v>17620</v>
      </c>
      <c r="J67" s="1682">
        <v>0</v>
      </c>
    </row>
    <row r="68" spans="1:10" x14ac:dyDescent="0.2">
      <c r="A68" s="423" t="s">
        <v>353</v>
      </c>
      <c r="B68" s="968">
        <v>2000</v>
      </c>
      <c r="C68" s="968">
        <v>800</v>
      </c>
      <c r="D68" s="968">
        <v>3000</v>
      </c>
      <c r="E68" s="968">
        <v>26</v>
      </c>
      <c r="F68" s="968">
        <v>700</v>
      </c>
      <c r="G68" s="968">
        <v>1700</v>
      </c>
      <c r="H68" s="968">
        <v>300</v>
      </c>
      <c r="I68" s="968">
        <v>1800</v>
      </c>
      <c r="J68" s="1683"/>
    </row>
    <row r="69" spans="1:10" x14ac:dyDescent="0.2">
      <c r="A69" s="423" t="s">
        <v>354</v>
      </c>
      <c r="B69" s="968">
        <v>1500</v>
      </c>
      <c r="C69" s="968">
        <v>260</v>
      </c>
      <c r="D69" s="968">
        <v>335</v>
      </c>
      <c r="E69" s="968">
        <v>18</v>
      </c>
      <c r="F69" s="968">
        <v>100</v>
      </c>
      <c r="G69" s="968" t="s">
        <v>1580</v>
      </c>
      <c r="H69" s="968">
        <v>1600</v>
      </c>
      <c r="I69" s="968">
        <v>350</v>
      </c>
      <c r="J69" s="1683"/>
    </row>
    <row r="70" spans="1:10" x14ac:dyDescent="0.2">
      <c r="A70" s="423" t="s">
        <v>355</v>
      </c>
      <c r="B70" s="968">
        <v>1500</v>
      </c>
      <c r="C70" s="968">
        <v>54</v>
      </c>
      <c r="D70" s="968">
        <v>930</v>
      </c>
      <c r="E70" s="968">
        <v>2</v>
      </c>
      <c r="F70" s="968">
        <v>100</v>
      </c>
      <c r="G70" s="968">
        <v>230</v>
      </c>
      <c r="H70" s="968">
        <v>200</v>
      </c>
      <c r="I70" s="968">
        <v>50</v>
      </c>
      <c r="J70" s="1683"/>
    </row>
    <row r="71" spans="1:10" x14ac:dyDescent="0.2">
      <c r="A71" s="423" t="s">
        <v>356</v>
      </c>
      <c r="B71" s="968">
        <v>1500</v>
      </c>
      <c r="C71" s="968">
        <v>335</v>
      </c>
      <c r="D71" s="968">
        <v>178</v>
      </c>
      <c r="E71" s="968">
        <v>27</v>
      </c>
      <c r="F71" s="968">
        <v>30</v>
      </c>
      <c r="G71" s="968" t="s">
        <v>1580</v>
      </c>
      <c r="H71" s="968">
        <v>4000</v>
      </c>
      <c r="I71" s="968">
        <v>6000</v>
      </c>
      <c r="J71" s="1683"/>
    </row>
    <row r="72" spans="1:10" x14ac:dyDescent="0.2">
      <c r="A72" s="423" t="s">
        <v>357</v>
      </c>
      <c r="B72" s="968">
        <v>1800</v>
      </c>
      <c r="C72" s="968">
        <v>80</v>
      </c>
      <c r="D72" s="968">
        <v>467</v>
      </c>
      <c r="E72" s="968">
        <v>25</v>
      </c>
      <c r="F72" s="968" t="s">
        <v>1580</v>
      </c>
      <c r="G72" s="968" t="s">
        <v>1580</v>
      </c>
      <c r="H72" s="968">
        <v>100</v>
      </c>
      <c r="I72" s="968">
        <v>150</v>
      </c>
      <c r="J72" s="1683"/>
    </row>
    <row r="73" spans="1:10" x14ac:dyDescent="0.2">
      <c r="A73" s="423" t="s">
        <v>358</v>
      </c>
      <c r="B73" s="968">
        <v>2500</v>
      </c>
      <c r="C73" s="968">
        <v>1800</v>
      </c>
      <c r="D73" s="968">
        <v>2000</v>
      </c>
      <c r="E73" s="968">
        <v>0</v>
      </c>
      <c r="F73" s="968" t="s">
        <v>1580</v>
      </c>
      <c r="G73" s="968" t="s">
        <v>1580</v>
      </c>
      <c r="H73" s="968">
        <v>2200</v>
      </c>
      <c r="I73" s="968">
        <v>1800</v>
      </c>
      <c r="J73" s="1683"/>
    </row>
    <row r="74" spans="1:10" x14ac:dyDescent="0.2">
      <c r="A74" s="423" t="s">
        <v>359</v>
      </c>
      <c r="B74" s="968">
        <v>700</v>
      </c>
      <c r="C74" s="968">
        <v>70</v>
      </c>
      <c r="D74" s="968">
        <v>190</v>
      </c>
      <c r="E74" s="968">
        <v>11</v>
      </c>
      <c r="F74" s="968">
        <v>200</v>
      </c>
      <c r="G74" s="968">
        <v>150</v>
      </c>
      <c r="H74" s="968">
        <v>650</v>
      </c>
      <c r="I74" s="968">
        <v>850</v>
      </c>
      <c r="J74" s="1683"/>
    </row>
    <row r="75" spans="1:10" x14ac:dyDescent="0.2">
      <c r="A75" s="423" t="s">
        <v>360</v>
      </c>
      <c r="B75" s="968">
        <v>1000</v>
      </c>
      <c r="C75" s="968">
        <v>355</v>
      </c>
      <c r="D75" s="968">
        <v>218</v>
      </c>
      <c r="E75" s="968">
        <v>0</v>
      </c>
      <c r="F75" s="968" t="s">
        <v>1580</v>
      </c>
      <c r="G75" s="968" t="s">
        <v>1580</v>
      </c>
      <c r="H75" s="968">
        <v>96</v>
      </c>
      <c r="I75" s="968" t="s">
        <v>1580</v>
      </c>
      <c r="J75" s="1683"/>
    </row>
    <row r="76" spans="1:10" x14ac:dyDescent="0.2">
      <c r="A76" s="423" t="s">
        <v>938</v>
      </c>
      <c r="B76" s="968">
        <v>1500</v>
      </c>
      <c r="C76" s="968">
        <v>260</v>
      </c>
      <c r="D76" s="968">
        <v>150</v>
      </c>
      <c r="E76" s="968">
        <v>100</v>
      </c>
      <c r="F76" s="968">
        <v>160</v>
      </c>
      <c r="G76" s="968">
        <v>100</v>
      </c>
      <c r="H76" s="968">
        <v>100</v>
      </c>
      <c r="I76" s="968">
        <v>250</v>
      </c>
      <c r="J76" s="1683"/>
    </row>
    <row r="77" spans="1:10" x14ac:dyDescent="0.2">
      <c r="A77" s="423" t="s">
        <v>362</v>
      </c>
      <c r="B77" s="968">
        <v>1000</v>
      </c>
      <c r="C77" s="968">
        <v>150</v>
      </c>
      <c r="D77" s="968">
        <v>220</v>
      </c>
      <c r="E77" s="968">
        <v>455</v>
      </c>
      <c r="F77" s="968" t="s">
        <v>1580</v>
      </c>
      <c r="G77" s="968">
        <v>850</v>
      </c>
      <c r="H77" s="968">
        <v>750</v>
      </c>
      <c r="I77" s="968">
        <v>120</v>
      </c>
      <c r="J77" s="1683"/>
    </row>
    <row r="78" spans="1:10" x14ac:dyDescent="0.2">
      <c r="A78" s="423" t="s">
        <v>363</v>
      </c>
      <c r="B78" s="1874">
        <v>1500</v>
      </c>
      <c r="C78" s="1874">
        <v>40</v>
      </c>
      <c r="D78" s="1874">
        <v>60</v>
      </c>
      <c r="E78" s="1874">
        <v>0</v>
      </c>
      <c r="F78" s="1874">
        <v>200</v>
      </c>
      <c r="G78" s="1874">
        <v>150</v>
      </c>
      <c r="H78" s="1874">
        <v>150</v>
      </c>
      <c r="I78" s="1874">
        <v>100</v>
      </c>
      <c r="J78" s="1683"/>
    </row>
    <row r="79" spans="1:10" x14ac:dyDescent="0.2">
      <c r="A79" s="423" t="s">
        <v>939</v>
      </c>
      <c r="B79" s="968">
        <v>1300</v>
      </c>
      <c r="C79" s="968">
        <v>80</v>
      </c>
      <c r="D79" s="968">
        <v>950</v>
      </c>
      <c r="E79" s="968">
        <v>52</v>
      </c>
      <c r="F79" s="968" t="s">
        <v>1580</v>
      </c>
      <c r="G79" s="968">
        <v>1500</v>
      </c>
      <c r="H79" s="968" t="s">
        <v>1580</v>
      </c>
      <c r="I79" s="968">
        <v>400</v>
      </c>
      <c r="J79" s="1683"/>
    </row>
    <row r="80" spans="1:10" x14ac:dyDescent="0.2">
      <c r="A80" s="423" t="s">
        <v>365</v>
      </c>
      <c r="B80" s="968">
        <v>300</v>
      </c>
      <c r="C80" s="968">
        <v>189</v>
      </c>
      <c r="D80" s="968">
        <v>35</v>
      </c>
      <c r="E80" s="968">
        <v>16</v>
      </c>
      <c r="F80" s="968" t="s">
        <v>1580</v>
      </c>
      <c r="G80" s="968" t="s">
        <v>1580</v>
      </c>
      <c r="H80" s="968">
        <v>45</v>
      </c>
      <c r="I80" s="968">
        <v>120</v>
      </c>
      <c r="J80" s="1683"/>
    </row>
    <row r="81" spans="1:10" x14ac:dyDescent="0.2">
      <c r="A81" s="423" t="s">
        <v>366</v>
      </c>
      <c r="B81" s="968">
        <v>1200</v>
      </c>
      <c r="C81" s="968">
        <v>159</v>
      </c>
      <c r="D81" s="968">
        <v>298</v>
      </c>
      <c r="E81" s="968">
        <v>0</v>
      </c>
      <c r="F81" s="968" t="s">
        <v>1580</v>
      </c>
      <c r="G81" s="968" t="s">
        <v>1580</v>
      </c>
      <c r="H81" s="968">
        <v>4500</v>
      </c>
      <c r="I81" s="968">
        <v>5600</v>
      </c>
      <c r="J81" s="1683"/>
    </row>
    <row r="82" spans="1:10" x14ac:dyDescent="0.2">
      <c r="A82" s="423" t="s">
        <v>367</v>
      </c>
      <c r="B82" s="968">
        <v>600</v>
      </c>
      <c r="C82" s="968">
        <v>21</v>
      </c>
      <c r="D82" s="968">
        <v>63</v>
      </c>
      <c r="E82" s="968">
        <v>42</v>
      </c>
      <c r="F82" s="968" t="s">
        <v>1580</v>
      </c>
      <c r="G82" s="968" t="s">
        <v>1580</v>
      </c>
      <c r="H82" s="968">
        <v>80</v>
      </c>
      <c r="I82" s="968">
        <v>30</v>
      </c>
      <c r="J82" s="1683"/>
    </row>
    <row r="83" spans="1:10" x14ac:dyDescent="0.2">
      <c r="A83" s="433" t="s">
        <v>368</v>
      </c>
      <c r="B83" s="435">
        <v>4350</v>
      </c>
      <c r="C83" s="435">
        <v>170</v>
      </c>
      <c r="D83" s="435">
        <v>230</v>
      </c>
      <c r="E83" s="435">
        <v>32</v>
      </c>
      <c r="F83" s="435">
        <v>350</v>
      </c>
      <c r="G83" s="435">
        <v>1970</v>
      </c>
      <c r="H83" s="435">
        <v>410</v>
      </c>
      <c r="I83" s="435">
        <v>248</v>
      </c>
      <c r="J83" s="1210">
        <v>0</v>
      </c>
    </row>
    <row r="84" spans="1:10" x14ac:dyDescent="0.2">
      <c r="A84" s="423" t="s">
        <v>369</v>
      </c>
      <c r="B84" s="968">
        <v>1800</v>
      </c>
      <c r="C84" s="968">
        <v>20</v>
      </c>
      <c r="D84" s="968">
        <v>20</v>
      </c>
      <c r="E84" s="968">
        <v>0</v>
      </c>
      <c r="F84" s="968" t="s">
        <v>1580</v>
      </c>
      <c r="G84" s="968" t="s">
        <v>1580</v>
      </c>
      <c r="H84" s="968">
        <v>50</v>
      </c>
      <c r="I84" s="968">
        <v>15</v>
      </c>
      <c r="J84" s="1683"/>
    </row>
    <row r="85" spans="1:10" x14ac:dyDescent="0.2">
      <c r="A85" s="423" t="s">
        <v>370</v>
      </c>
      <c r="B85" s="968">
        <v>800</v>
      </c>
      <c r="C85" s="968">
        <v>25</v>
      </c>
      <c r="D85" s="968">
        <v>35</v>
      </c>
      <c r="E85" s="968">
        <v>0</v>
      </c>
      <c r="F85" s="968">
        <v>250</v>
      </c>
      <c r="G85" s="968">
        <v>1900</v>
      </c>
      <c r="H85" s="968">
        <v>100</v>
      </c>
      <c r="I85" s="968">
        <v>200</v>
      </c>
      <c r="J85" s="1683"/>
    </row>
    <row r="86" spans="1:10" x14ac:dyDescent="0.2">
      <c r="A86" s="423" t="s">
        <v>371</v>
      </c>
      <c r="B86" s="968">
        <v>350</v>
      </c>
      <c r="C86" s="968">
        <v>5</v>
      </c>
      <c r="D86" s="968">
        <v>15</v>
      </c>
      <c r="E86" s="968">
        <v>0</v>
      </c>
      <c r="F86" s="968" t="s">
        <v>1580</v>
      </c>
      <c r="G86" s="968" t="s">
        <v>1580</v>
      </c>
      <c r="H86" s="968" t="s">
        <v>1580</v>
      </c>
      <c r="I86" s="968" t="s">
        <v>1580</v>
      </c>
      <c r="J86" s="1683"/>
    </row>
    <row r="87" spans="1:10" x14ac:dyDescent="0.2">
      <c r="A87" s="423" t="s">
        <v>372</v>
      </c>
      <c r="B87" s="968">
        <v>600</v>
      </c>
      <c r="C87" s="968">
        <v>90</v>
      </c>
      <c r="D87" s="968">
        <v>130</v>
      </c>
      <c r="E87" s="968">
        <v>29</v>
      </c>
      <c r="F87" s="968">
        <v>50</v>
      </c>
      <c r="G87" s="968">
        <v>20</v>
      </c>
      <c r="H87" s="968">
        <v>160</v>
      </c>
      <c r="I87" s="968">
        <v>18</v>
      </c>
      <c r="J87" s="1683"/>
    </row>
    <row r="88" spans="1:10" x14ac:dyDescent="0.2">
      <c r="A88" s="423" t="s">
        <v>373</v>
      </c>
      <c r="B88" s="968">
        <v>800</v>
      </c>
      <c r="C88" s="968">
        <v>30</v>
      </c>
      <c r="D88" s="968">
        <v>30</v>
      </c>
      <c r="E88" s="968">
        <v>3</v>
      </c>
      <c r="F88" s="968">
        <v>50</v>
      </c>
      <c r="G88" s="968">
        <v>50</v>
      </c>
      <c r="H88" s="968">
        <v>100</v>
      </c>
      <c r="I88" s="968">
        <v>15</v>
      </c>
      <c r="J88" s="1683"/>
    </row>
    <row r="89" spans="1:10" x14ac:dyDescent="0.2">
      <c r="A89" s="433" t="s">
        <v>374</v>
      </c>
      <c r="B89" s="435">
        <v>8500</v>
      </c>
      <c r="C89" s="435">
        <v>452</v>
      </c>
      <c r="D89" s="435">
        <v>358</v>
      </c>
      <c r="E89" s="435">
        <v>328</v>
      </c>
      <c r="F89" s="435">
        <v>779</v>
      </c>
      <c r="G89" s="435">
        <v>110</v>
      </c>
      <c r="H89" s="435">
        <v>1358</v>
      </c>
      <c r="I89" s="435">
        <v>375</v>
      </c>
      <c r="J89" s="1210">
        <v>0</v>
      </c>
    </row>
    <row r="90" spans="1:10" x14ac:dyDescent="0.2">
      <c r="A90" s="423" t="s">
        <v>375</v>
      </c>
      <c r="B90" s="968">
        <v>2500</v>
      </c>
      <c r="C90" s="968">
        <v>20</v>
      </c>
      <c r="D90" s="968">
        <v>70</v>
      </c>
      <c r="E90" s="968">
        <v>20</v>
      </c>
      <c r="F90" s="968">
        <v>200</v>
      </c>
      <c r="G90" s="968" t="s">
        <v>1580</v>
      </c>
      <c r="H90" s="968">
        <v>20</v>
      </c>
      <c r="I90" s="968">
        <v>40</v>
      </c>
      <c r="J90" s="1683"/>
    </row>
    <row r="91" spans="1:10" x14ac:dyDescent="0.2">
      <c r="A91" s="423" t="s">
        <v>376</v>
      </c>
      <c r="B91" s="968">
        <v>700</v>
      </c>
      <c r="C91" s="968">
        <v>10</v>
      </c>
      <c r="D91" s="968">
        <v>20</v>
      </c>
      <c r="E91" s="968">
        <v>33</v>
      </c>
      <c r="F91" s="968" t="s">
        <v>1580</v>
      </c>
      <c r="G91" s="968" t="s">
        <v>1580</v>
      </c>
      <c r="H91" s="968" t="s">
        <v>1580</v>
      </c>
      <c r="I91" s="968" t="s">
        <v>1580</v>
      </c>
      <c r="J91" s="1683"/>
    </row>
    <row r="92" spans="1:10" x14ac:dyDescent="0.2">
      <c r="A92" s="423" t="s">
        <v>377</v>
      </c>
      <c r="B92" s="968">
        <v>600</v>
      </c>
      <c r="C92" s="968" t="s">
        <v>1580</v>
      </c>
      <c r="D92" s="968">
        <v>8</v>
      </c>
      <c r="E92" s="968">
        <v>140</v>
      </c>
      <c r="F92" s="968" t="s">
        <v>1580</v>
      </c>
      <c r="G92" s="968" t="s">
        <v>1580</v>
      </c>
      <c r="H92" s="968">
        <v>550</v>
      </c>
      <c r="I92" s="968" t="s">
        <v>1580</v>
      </c>
      <c r="J92" s="1683"/>
    </row>
    <row r="93" spans="1:10" x14ac:dyDescent="0.2">
      <c r="A93" s="423" t="s">
        <v>378</v>
      </c>
      <c r="B93" s="968">
        <v>800</v>
      </c>
      <c r="C93" s="968">
        <v>40</v>
      </c>
      <c r="D93" s="968">
        <v>40</v>
      </c>
      <c r="E93" s="968">
        <v>7</v>
      </c>
      <c r="F93" s="968">
        <v>150</v>
      </c>
      <c r="G93" s="968" t="s">
        <v>1580</v>
      </c>
      <c r="H93" s="968">
        <v>400</v>
      </c>
      <c r="I93" s="968">
        <v>180</v>
      </c>
      <c r="J93" s="1683"/>
    </row>
    <row r="94" spans="1:10" x14ac:dyDescent="0.2">
      <c r="A94" s="423" t="s">
        <v>379</v>
      </c>
      <c r="B94" s="968">
        <v>800</v>
      </c>
      <c r="C94" s="968">
        <v>9</v>
      </c>
      <c r="D94" s="968">
        <v>45</v>
      </c>
      <c r="E94" s="968">
        <v>5</v>
      </c>
      <c r="F94" s="968">
        <v>213</v>
      </c>
      <c r="G94" s="968">
        <v>70</v>
      </c>
      <c r="H94" s="968">
        <v>125</v>
      </c>
      <c r="I94" s="968">
        <v>40</v>
      </c>
      <c r="J94" s="1683"/>
    </row>
    <row r="95" spans="1:10" x14ac:dyDescent="0.2">
      <c r="A95" s="423" t="s">
        <v>380</v>
      </c>
      <c r="B95" s="968">
        <v>1000</v>
      </c>
      <c r="C95" s="968">
        <v>225</v>
      </c>
      <c r="D95" s="968">
        <v>50</v>
      </c>
      <c r="E95" s="968">
        <v>2</v>
      </c>
      <c r="F95" s="968">
        <v>25</v>
      </c>
      <c r="G95" s="968" t="s">
        <v>1580</v>
      </c>
      <c r="H95" s="968">
        <v>100</v>
      </c>
      <c r="I95" s="968" t="s">
        <v>1580</v>
      </c>
      <c r="J95" s="1683"/>
    </row>
    <row r="96" spans="1:10" x14ac:dyDescent="0.2">
      <c r="A96" s="423" t="s">
        <v>381</v>
      </c>
      <c r="B96" s="968">
        <v>1200</v>
      </c>
      <c r="C96" s="968">
        <v>18</v>
      </c>
      <c r="D96" s="968">
        <v>55</v>
      </c>
      <c r="E96" s="968">
        <v>8</v>
      </c>
      <c r="F96" s="968">
        <v>191</v>
      </c>
      <c r="G96" s="968" t="s">
        <v>1580</v>
      </c>
      <c r="H96" s="968">
        <v>145</v>
      </c>
      <c r="I96" s="968">
        <v>80</v>
      </c>
      <c r="J96" s="1683"/>
    </row>
    <row r="97" spans="1:10" x14ac:dyDescent="0.2">
      <c r="A97" s="423" t="s">
        <v>382</v>
      </c>
      <c r="B97" s="968">
        <v>900</v>
      </c>
      <c r="C97" s="968">
        <v>130</v>
      </c>
      <c r="D97" s="968">
        <v>70</v>
      </c>
      <c r="E97" s="968">
        <v>113</v>
      </c>
      <c r="F97" s="968" t="s">
        <v>1580</v>
      </c>
      <c r="G97" s="968">
        <v>40</v>
      </c>
      <c r="H97" s="968">
        <v>18</v>
      </c>
      <c r="I97" s="968">
        <v>35</v>
      </c>
      <c r="J97" s="1683"/>
    </row>
    <row r="98" spans="1:10" x14ac:dyDescent="0.2">
      <c r="A98" s="433" t="s">
        <v>383</v>
      </c>
      <c r="B98" s="435">
        <v>7000</v>
      </c>
      <c r="C98" s="435">
        <v>370</v>
      </c>
      <c r="D98" s="435">
        <v>1421</v>
      </c>
      <c r="E98" s="435">
        <v>285</v>
      </c>
      <c r="F98" s="435">
        <v>8130</v>
      </c>
      <c r="G98" s="435">
        <v>13798</v>
      </c>
      <c r="H98" s="435">
        <v>452</v>
      </c>
      <c r="I98" s="435">
        <v>653</v>
      </c>
      <c r="J98" s="1210">
        <v>0</v>
      </c>
    </row>
    <row r="99" spans="1:10" x14ac:dyDescent="0.2">
      <c r="A99" s="423" t="s">
        <v>384</v>
      </c>
      <c r="B99" s="968">
        <v>1500</v>
      </c>
      <c r="C99" s="968">
        <v>112</v>
      </c>
      <c r="D99" s="968">
        <v>390</v>
      </c>
      <c r="E99" s="968">
        <v>154</v>
      </c>
      <c r="F99" s="968">
        <v>450</v>
      </c>
      <c r="G99" s="968">
        <v>1150</v>
      </c>
      <c r="H99" s="968">
        <v>130</v>
      </c>
      <c r="I99" s="968">
        <v>160</v>
      </c>
      <c r="J99" s="1683"/>
    </row>
    <row r="100" spans="1:10" x14ac:dyDescent="0.2">
      <c r="A100" s="423" t="s">
        <v>385</v>
      </c>
      <c r="B100" s="968">
        <v>700</v>
      </c>
      <c r="C100" s="968">
        <v>20</v>
      </c>
      <c r="D100" s="968">
        <v>350</v>
      </c>
      <c r="E100" s="968">
        <v>39</v>
      </c>
      <c r="F100" s="968">
        <v>45</v>
      </c>
      <c r="G100" s="968" t="s">
        <v>1580</v>
      </c>
      <c r="H100" s="968" t="s">
        <v>1580</v>
      </c>
      <c r="I100" s="968"/>
      <c r="J100" s="1683"/>
    </row>
    <row r="101" spans="1:10" x14ac:dyDescent="0.2">
      <c r="A101" s="423" t="s">
        <v>386</v>
      </c>
      <c r="B101" s="968">
        <v>400</v>
      </c>
      <c r="C101" s="968">
        <v>10</v>
      </c>
      <c r="D101" s="968">
        <v>30</v>
      </c>
      <c r="E101" s="968">
        <v>0</v>
      </c>
      <c r="F101" s="968">
        <v>300</v>
      </c>
      <c r="G101" s="968">
        <v>300</v>
      </c>
      <c r="H101" s="968" t="s">
        <v>1580</v>
      </c>
      <c r="I101" s="968" t="s">
        <v>1580</v>
      </c>
      <c r="J101" s="1683"/>
    </row>
    <row r="102" spans="1:10" x14ac:dyDescent="0.2">
      <c r="A102" s="423" t="s">
        <v>387</v>
      </c>
      <c r="B102" s="968">
        <v>1500</v>
      </c>
      <c r="C102" s="968">
        <v>56</v>
      </c>
      <c r="D102" s="968">
        <v>47</v>
      </c>
      <c r="E102" s="968">
        <v>22</v>
      </c>
      <c r="F102" s="968">
        <v>2200</v>
      </c>
      <c r="G102" s="968">
        <v>3298</v>
      </c>
      <c r="H102" s="968">
        <v>67</v>
      </c>
      <c r="I102" s="968">
        <v>105</v>
      </c>
      <c r="J102" s="1683"/>
    </row>
    <row r="103" spans="1:10" x14ac:dyDescent="0.2">
      <c r="A103" s="423" t="s">
        <v>388</v>
      </c>
      <c r="B103" s="968">
        <v>300</v>
      </c>
      <c r="C103" s="968">
        <v>12</v>
      </c>
      <c r="D103" s="968">
        <v>130</v>
      </c>
      <c r="E103" s="968">
        <v>0</v>
      </c>
      <c r="F103" s="968">
        <v>35</v>
      </c>
      <c r="G103" s="968">
        <v>500</v>
      </c>
      <c r="H103" s="968">
        <v>10</v>
      </c>
      <c r="I103" s="968">
        <v>50</v>
      </c>
      <c r="J103" s="1683"/>
    </row>
    <row r="104" spans="1:10" x14ac:dyDescent="0.2">
      <c r="A104" s="423" t="s">
        <v>389</v>
      </c>
      <c r="B104" s="968">
        <v>500</v>
      </c>
      <c r="C104" s="968">
        <v>15</v>
      </c>
      <c r="D104" s="968">
        <v>154</v>
      </c>
      <c r="E104" s="968">
        <v>0</v>
      </c>
      <c r="F104" s="968">
        <v>100</v>
      </c>
      <c r="G104" s="968">
        <v>650</v>
      </c>
      <c r="H104" s="968" t="s">
        <v>1580</v>
      </c>
      <c r="I104" s="968" t="s">
        <v>1580</v>
      </c>
      <c r="J104" s="1683"/>
    </row>
    <row r="105" spans="1:10" x14ac:dyDescent="0.2">
      <c r="A105" s="423" t="s">
        <v>390</v>
      </c>
      <c r="B105" s="968">
        <v>600</v>
      </c>
      <c r="C105" s="968">
        <v>40</v>
      </c>
      <c r="D105" s="968">
        <v>25</v>
      </c>
      <c r="E105" s="968">
        <v>0</v>
      </c>
      <c r="F105" s="968" t="s">
        <v>1580</v>
      </c>
      <c r="G105" s="968">
        <v>100</v>
      </c>
      <c r="H105" s="968" t="s">
        <v>1580</v>
      </c>
      <c r="I105" s="968">
        <v>45</v>
      </c>
      <c r="J105" s="1683"/>
    </row>
    <row r="106" spans="1:10" x14ac:dyDescent="0.2">
      <c r="A106" s="423" t="s">
        <v>941</v>
      </c>
      <c r="B106" s="968">
        <v>700</v>
      </c>
      <c r="C106" s="968">
        <v>100</v>
      </c>
      <c r="D106" s="968">
        <v>175</v>
      </c>
      <c r="E106" s="968">
        <v>65</v>
      </c>
      <c r="F106" s="968">
        <v>800</v>
      </c>
      <c r="G106" s="968">
        <v>2800</v>
      </c>
      <c r="H106" s="968">
        <v>95</v>
      </c>
      <c r="I106" s="968">
        <v>93</v>
      </c>
      <c r="J106" s="1683"/>
    </row>
    <row r="107" spans="1:10" ht="13.5" thickBot="1" x14ac:dyDescent="0.25">
      <c r="A107" s="391" t="s">
        <v>392</v>
      </c>
      <c r="B107" s="472">
        <v>800</v>
      </c>
      <c r="C107" s="472">
        <v>5</v>
      </c>
      <c r="D107" s="472">
        <v>120</v>
      </c>
      <c r="E107" s="472">
        <v>5</v>
      </c>
      <c r="F107" s="472">
        <v>4200</v>
      </c>
      <c r="G107" s="472">
        <v>5000</v>
      </c>
      <c r="H107" s="472">
        <v>150</v>
      </c>
      <c r="I107" s="472">
        <v>200</v>
      </c>
      <c r="J107" s="1684"/>
    </row>
    <row r="108" spans="1:10" ht="13.5" thickBot="1" x14ac:dyDescent="0.25">
      <c r="A108" s="394" t="s">
        <v>393</v>
      </c>
      <c r="B108" s="475">
        <v>39750</v>
      </c>
      <c r="C108" s="475">
        <v>5645</v>
      </c>
      <c r="D108" s="475">
        <v>11103</v>
      </c>
      <c r="E108" s="475">
        <v>1419</v>
      </c>
      <c r="F108" s="475">
        <v>10749</v>
      </c>
      <c r="G108" s="475">
        <v>20558</v>
      </c>
      <c r="H108" s="475">
        <v>16991</v>
      </c>
      <c r="I108" s="475">
        <v>18896</v>
      </c>
      <c r="J108" s="479">
        <v>0</v>
      </c>
    </row>
    <row r="109" spans="1:10" ht="13.5" thickTop="1" x14ac:dyDescent="0.2">
      <c r="A109" s="7" t="s">
        <v>1934</v>
      </c>
      <c r="B109" s="7"/>
      <c r="C109" s="7"/>
      <c r="D109" s="7"/>
      <c r="E109" s="7"/>
    </row>
  </sheetData>
  <mergeCells count="12">
    <mergeCell ref="A1:K1"/>
    <mergeCell ref="A2:K2"/>
    <mergeCell ref="A3:K3"/>
    <mergeCell ref="B62:J62"/>
    <mergeCell ref="A58:J58"/>
    <mergeCell ref="A59:J59"/>
    <mergeCell ref="A60:J60"/>
    <mergeCell ref="I6:K6"/>
    <mergeCell ref="B7:C7"/>
    <mergeCell ref="D7:H7"/>
    <mergeCell ref="B6:H6"/>
    <mergeCell ref="B5:K5"/>
  </mergeCells>
  <phoneticPr fontId="13" type="noConversion"/>
  <pageMargins left="0.78740157480314965" right="0.59055118110236227" top="0.59055118110236227" bottom="0.39370078740157483" header="0" footer="0"/>
  <pageSetup scale="75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Q1340"/>
  <sheetViews>
    <sheetView zoomScale="90" zoomScaleNormal="90" zoomScaleSheetLayoutView="100" workbookViewId="0">
      <selection sqref="A1:Q1"/>
    </sheetView>
  </sheetViews>
  <sheetFormatPr baseColWidth="10" defaultColWidth="11.42578125" defaultRowHeight="12.75" x14ac:dyDescent="0.2"/>
  <cols>
    <col min="1" max="1" width="19.28515625" customWidth="1"/>
    <col min="2" max="8" width="12.85546875" customWidth="1"/>
    <col min="9" max="11" width="4.140625" customWidth="1"/>
    <col min="12" max="14" width="12" customWidth="1"/>
    <col min="15" max="15" width="10.5703125" customWidth="1"/>
    <col min="16" max="17" width="12" customWidth="1"/>
  </cols>
  <sheetData>
    <row r="1" spans="1:17" ht="15" customHeight="1" x14ac:dyDescent="0.25">
      <c r="A1" s="2512" t="s">
        <v>1929</v>
      </c>
      <c r="B1" s="2512"/>
      <c r="C1" s="2512"/>
      <c r="D1" s="2512"/>
      <c r="E1" s="2512"/>
      <c r="F1" s="2512"/>
      <c r="G1" s="2512"/>
      <c r="H1" s="2512"/>
      <c r="I1" s="2512"/>
      <c r="J1" s="2512"/>
      <c r="K1" s="2512"/>
      <c r="L1" s="2512"/>
      <c r="M1" s="2512"/>
      <c r="N1" s="2512"/>
      <c r="O1" s="2512"/>
      <c r="P1" s="2512"/>
      <c r="Q1" s="2512"/>
    </row>
    <row r="2" spans="1:17" ht="15" customHeight="1" x14ac:dyDescent="0.25">
      <c r="A2" s="2369"/>
      <c r="B2" s="2369"/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2369"/>
      <c r="P2" s="2369"/>
      <c r="Q2" s="2369"/>
    </row>
    <row r="3" spans="1:17" x14ac:dyDescent="0.2">
      <c r="A3" s="3"/>
      <c r="B3" s="1995"/>
      <c r="C3" s="3"/>
      <c r="D3" s="3"/>
      <c r="E3" s="4"/>
      <c r="F3" s="5"/>
      <c r="G3" s="3"/>
      <c r="H3" s="3"/>
      <c r="I3" s="4"/>
      <c r="J3" s="4"/>
      <c r="K3" s="4"/>
      <c r="L3" s="3"/>
      <c r="M3" s="3"/>
      <c r="N3" s="3"/>
      <c r="O3" s="4"/>
      <c r="P3" s="4"/>
      <c r="Q3" s="3"/>
    </row>
    <row r="4" spans="1:17" ht="13.5" thickBot="1" x14ac:dyDescent="0.25">
      <c r="A4" s="2371" t="s">
        <v>326</v>
      </c>
      <c r="B4" s="2371"/>
      <c r="C4" s="3"/>
      <c r="D4" s="3"/>
      <c r="E4" s="4"/>
      <c r="F4" s="5"/>
      <c r="G4" s="3"/>
      <c r="H4" s="3"/>
      <c r="I4" s="4"/>
      <c r="J4" s="4"/>
      <c r="K4" s="4"/>
      <c r="L4" s="3"/>
      <c r="M4" s="3"/>
      <c r="N4" s="3"/>
      <c r="O4" s="4"/>
      <c r="P4" s="4"/>
      <c r="Q4" s="3"/>
    </row>
    <row r="5" spans="1:17" ht="14.45" customHeight="1" thickBot="1" x14ac:dyDescent="0.25">
      <c r="A5" s="2513" t="s">
        <v>327</v>
      </c>
      <c r="B5" s="2516" t="s">
        <v>1935</v>
      </c>
      <c r="C5" s="2517"/>
      <c r="D5" s="2517"/>
      <c r="E5" s="2517"/>
      <c r="F5" s="2517"/>
      <c r="G5" s="2517"/>
      <c r="H5" s="2517"/>
      <c r="I5" s="2517"/>
      <c r="J5" s="2517"/>
      <c r="K5" s="2517"/>
      <c r="L5" s="2518" t="s">
        <v>1930</v>
      </c>
      <c r="M5" s="2519"/>
      <c r="N5" s="2519"/>
      <c r="O5" s="2519"/>
      <c r="P5" s="2520"/>
      <c r="Q5" s="2521"/>
    </row>
    <row r="6" spans="1:17" ht="14.45" customHeight="1" x14ac:dyDescent="0.2">
      <c r="A6" s="2514"/>
      <c r="B6" s="2522" t="s">
        <v>328</v>
      </c>
      <c r="C6" s="2523"/>
      <c r="D6" s="1014"/>
      <c r="E6" s="1014" t="s">
        <v>904</v>
      </c>
      <c r="F6" s="1014" t="s">
        <v>329</v>
      </c>
      <c r="G6" s="1014"/>
      <c r="H6" s="1014"/>
      <c r="I6" s="2526" t="s">
        <v>330</v>
      </c>
      <c r="J6" s="2527"/>
      <c r="K6" s="2528"/>
      <c r="L6" s="2524" t="s">
        <v>328</v>
      </c>
      <c r="M6" s="2525"/>
      <c r="N6" s="1021" t="s">
        <v>331</v>
      </c>
      <c r="O6" s="1022" t="s">
        <v>332</v>
      </c>
      <c r="P6" s="1023"/>
      <c r="Q6" s="1024"/>
    </row>
    <row r="7" spans="1:17" ht="14.45" customHeight="1" x14ac:dyDescent="0.2">
      <c r="A7" s="2514"/>
      <c r="B7" s="1014" t="s">
        <v>835</v>
      </c>
      <c r="C7" s="1014" t="s">
        <v>335</v>
      </c>
      <c r="D7" s="1014" t="s">
        <v>837</v>
      </c>
      <c r="E7" s="1014" t="s">
        <v>842</v>
      </c>
      <c r="F7" s="1014" t="s">
        <v>336</v>
      </c>
      <c r="G7" s="1014" t="s">
        <v>337</v>
      </c>
      <c r="H7" s="1014" t="s">
        <v>338</v>
      </c>
      <c r="I7" s="2529" t="s">
        <v>839</v>
      </c>
      <c r="J7" s="2530"/>
      <c r="K7" s="2531"/>
      <c r="L7" s="1025" t="s">
        <v>835</v>
      </c>
      <c r="M7" s="1021" t="s">
        <v>335</v>
      </c>
      <c r="N7" s="1021" t="s">
        <v>339</v>
      </c>
      <c r="O7" s="1022"/>
      <c r="P7" s="1021" t="s">
        <v>337</v>
      </c>
      <c r="Q7" s="1024" t="s">
        <v>338</v>
      </c>
    </row>
    <row r="8" spans="1:17" ht="14.45" customHeight="1" x14ac:dyDescent="0.2">
      <c r="A8" s="2514"/>
      <c r="B8" s="1014"/>
      <c r="C8" s="1014"/>
      <c r="D8" s="1014"/>
      <c r="E8" s="1014"/>
      <c r="F8" s="1014" t="s">
        <v>341</v>
      </c>
      <c r="G8" s="1014" t="s">
        <v>342</v>
      </c>
      <c r="H8" s="1014" t="s">
        <v>341</v>
      </c>
      <c r="I8" s="1015"/>
      <c r="J8" s="1016"/>
      <c r="K8" s="1017"/>
      <c r="L8" s="1025"/>
      <c r="M8" s="1021"/>
      <c r="N8" s="1021"/>
      <c r="O8" s="1022" t="s">
        <v>344</v>
      </c>
      <c r="P8" s="1021" t="s">
        <v>342</v>
      </c>
      <c r="Q8" s="1024" t="s">
        <v>341</v>
      </c>
    </row>
    <row r="9" spans="1:17" ht="14.45" customHeight="1" x14ac:dyDescent="0.2">
      <c r="A9" s="2515"/>
      <c r="B9" s="1018" t="s">
        <v>345</v>
      </c>
      <c r="C9" s="1018" t="s">
        <v>345</v>
      </c>
      <c r="D9" s="1018" t="s">
        <v>346</v>
      </c>
      <c r="E9" s="1018" t="s">
        <v>757</v>
      </c>
      <c r="F9" s="1018"/>
      <c r="G9" s="1018" t="s">
        <v>347</v>
      </c>
      <c r="H9" s="1018" t="s">
        <v>348</v>
      </c>
      <c r="I9" s="1019" t="s">
        <v>349</v>
      </c>
      <c r="J9" s="1019" t="s">
        <v>350</v>
      </c>
      <c r="K9" s="1020" t="s">
        <v>351</v>
      </c>
      <c r="L9" s="1026" t="s">
        <v>345</v>
      </c>
      <c r="M9" s="1027" t="s">
        <v>345</v>
      </c>
      <c r="N9" s="1027" t="s">
        <v>346</v>
      </c>
      <c r="O9" s="1028"/>
      <c r="P9" s="1027" t="s">
        <v>347</v>
      </c>
      <c r="Q9" s="1029" t="s">
        <v>348</v>
      </c>
    </row>
    <row r="10" spans="1:17" ht="14.45" customHeight="1" x14ac:dyDescent="0.2">
      <c r="A10" s="975" t="s">
        <v>352</v>
      </c>
      <c r="B10" s="1861">
        <v>179</v>
      </c>
      <c r="C10" s="1861">
        <v>179</v>
      </c>
      <c r="D10" s="1608">
        <v>447.7</v>
      </c>
      <c r="E10" s="1608">
        <v>2.501117318435754</v>
      </c>
      <c r="F10" s="979"/>
      <c r="G10" s="976"/>
      <c r="H10" s="976"/>
      <c r="I10" s="978"/>
      <c r="J10" s="978"/>
      <c r="K10" s="980"/>
      <c r="L10" s="981">
        <v>0</v>
      </c>
      <c r="M10" s="977">
        <v>0</v>
      </c>
      <c r="N10" s="977">
        <v>0</v>
      </c>
      <c r="O10" s="978"/>
      <c r="P10" s="980"/>
      <c r="Q10" s="982"/>
    </row>
    <row r="11" spans="1:17" ht="14.45" customHeight="1" x14ac:dyDescent="0.2">
      <c r="A11" s="1481" t="s">
        <v>353</v>
      </c>
      <c r="B11" s="1498">
        <v>0</v>
      </c>
      <c r="C11" s="1498">
        <v>0</v>
      </c>
      <c r="D11" s="245">
        <v>0</v>
      </c>
      <c r="E11" s="1623">
        <v>0</v>
      </c>
      <c r="F11" s="1342"/>
      <c r="G11" s="959"/>
      <c r="H11" s="1149"/>
      <c r="I11" s="960"/>
      <c r="J11" s="960"/>
      <c r="K11" s="961"/>
      <c r="L11" s="962">
        <v>0</v>
      </c>
      <c r="M11" s="956">
        <v>0</v>
      </c>
      <c r="N11" s="1498">
        <v>0</v>
      </c>
      <c r="O11" s="1807">
        <v>0</v>
      </c>
      <c r="P11" s="961"/>
      <c r="Q11" s="1616"/>
    </row>
    <row r="12" spans="1:17" ht="14.45" customHeight="1" x14ac:dyDescent="0.2">
      <c r="A12" s="1481" t="s">
        <v>354</v>
      </c>
      <c r="B12" s="1498">
        <v>45</v>
      </c>
      <c r="C12" s="1498">
        <v>45</v>
      </c>
      <c r="D12" s="245">
        <v>90</v>
      </c>
      <c r="E12" s="1623">
        <v>2</v>
      </c>
      <c r="F12" s="1342" t="s">
        <v>982</v>
      </c>
      <c r="G12" s="959">
        <v>5667200</v>
      </c>
      <c r="H12" s="1149">
        <v>12057868.137423173</v>
      </c>
      <c r="I12" s="960"/>
      <c r="J12" s="960"/>
      <c r="K12" s="961"/>
      <c r="L12" s="962">
        <v>0</v>
      </c>
      <c r="M12" s="956">
        <v>0</v>
      </c>
      <c r="N12" s="1498">
        <v>0</v>
      </c>
      <c r="O12" s="1807">
        <v>0</v>
      </c>
      <c r="P12" s="961"/>
      <c r="Q12" s="1616"/>
    </row>
    <row r="13" spans="1:17" ht="14.45" customHeight="1" x14ac:dyDescent="0.2">
      <c r="A13" s="1481" t="s">
        <v>355</v>
      </c>
      <c r="B13" s="1498">
        <v>0</v>
      </c>
      <c r="C13" s="1498">
        <v>0</v>
      </c>
      <c r="D13" s="245">
        <v>0</v>
      </c>
      <c r="E13" s="1619">
        <v>0</v>
      </c>
      <c r="F13" s="964"/>
      <c r="G13" s="959"/>
      <c r="H13" s="1149"/>
      <c r="I13" s="960"/>
      <c r="J13" s="960"/>
      <c r="K13" s="961"/>
      <c r="L13" s="962">
        <v>0</v>
      </c>
      <c r="M13" s="956">
        <v>0</v>
      </c>
      <c r="N13" s="1498">
        <v>0</v>
      </c>
      <c r="O13" s="1807">
        <v>0</v>
      </c>
      <c r="P13" s="961"/>
      <c r="Q13" s="1616"/>
    </row>
    <row r="14" spans="1:17" ht="14.45" customHeight="1" x14ac:dyDescent="0.2">
      <c r="A14" s="1481" t="s">
        <v>356</v>
      </c>
      <c r="B14" s="1498">
        <v>0</v>
      </c>
      <c r="C14" s="1498">
        <v>0</v>
      </c>
      <c r="D14" s="245">
        <v>0</v>
      </c>
      <c r="E14" s="1619">
        <v>0</v>
      </c>
      <c r="F14" s="1342"/>
      <c r="G14" s="959"/>
      <c r="H14" s="1149"/>
      <c r="I14" s="960"/>
      <c r="J14" s="960"/>
      <c r="K14" s="961"/>
      <c r="L14" s="962">
        <v>0</v>
      </c>
      <c r="M14" s="956">
        <v>0</v>
      </c>
      <c r="N14" s="1498">
        <v>0</v>
      </c>
      <c r="O14" s="1807">
        <v>0</v>
      </c>
      <c r="P14" s="961"/>
      <c r="Q14" s="1616"/>
    </row>
    <row r="15" spans="1:17" ht="14.45" customHeight="1" x14ac:dyDescent="0.2">
      <c r="A15" s="1481" t="s">
        <v>357</v>
      </c>
      <c r="B15" s="1498">
        <v>100</v>
      </c>
      <c r="C15" s="1498">
        <v>100</v>
      </c>
      <c r="D15" s="245">
        <v>250</v>
      </c>
      <c r="E15" s="1518">
        <v>2.5</v>
      </c>
      <c r="F15" s="1342" t="s">
        <v>982</v>
      </c>
      <c r="G15" s="959">
        <v>5667200</v>
      </c>
      <c r="H15" s="1149">
        <v>12057868.137423173</v>
      </c>
      <c r="I15" s="960"/>
      <c r="J15" s="960"/>
      <c r="K15" s="961"/>
      <c r="L15" s="962">
        <v>0</v>
      </c>
      <c r="M15" s="956">
        <v>0</v>
      </c>
      <c r="N15" s="1498">
        <v>0</v>
      </c>
      <c r="O15" s="1807">
        <v>0</v>
      </c>
      <c r="P15" s="961"/>
      <c r="Q15" s="1616"/>
    </row>
    <row r="16" spans="1:17" ht="14.45" customHeight="1" x14ac:dyDescent="0.2">
      <c r="A16" s="1481" t="s">
        <v>358</v>
      </c>
      <c r="B16" s="1498">
        <v>0</v>
      </c>
      <c r="C16" s="1498">
        <v>0</v>
      </c>
      <c r="D16" s="245">
        <v>0</v>
      </c>
      <c r="E16" s="1619">
        <v>0</v>
      </c>
      <c r="F16" s="964"/>
      <c r="G16" s="959"/>
      <c r="H16" s="1149"/>
      <c r="I16" s="960"/>
      <c r="J16" s="960"/>
      <c r="K16" s="961"/>
      <c r="L16" s="962">
        <v>0</v>
      </c>
      <c r="M16" s="956">
        <v>0</v>
      </c>
      <c r="N16" s="1498">
        <v>0</v>
      </c>
      <c r="O16" s="1807">
        <v>0</v>
      </c>
      <c r="P16" s="961"/>
      <c r="Q16" s="1616"/>
    </row>
    <row r="17" spans="1:17" ht="14.45" customHeight="1" x14ac:dyDescent="0.2">
      <c r="A17" s="1481" t="s">
        <v>359</v>
      </c>
      <c r="B17" s="1498">
        <v>0</v>
      </c>
      <c r="C17" s="1498">
        <v>0</v>
      </c>
      <c r="D17" s="245">
        <v>0</v>
      </c>
      <c r="E17" s="1619">
        <v>0</v>
      </c>
      <c r="F17" s="964"/>
      <c r="G17" s="959"/>
      <c r="H17" s="1149"/>
      <c r="I17" s="960"/>
      <c r="J17" s="960"/>
      <c r="K17" s="961"/>
      <c r="L17" s="962">
        <v>0</v>
      </c>
      <c r="M17" s="956">
        <v>0</v>
      </c>
      <c r="N17" s="1498">
        <v>0</v>
      </c>
      <c r="O17" s="1807">
        <v>0</v>
      </c>
      <c r="P17" s="961"/>
      <c r="Q17" s="1616"/>
    </row>
    <row r="18" spans="1:17" ht="14.45" customHeight="1" x14ac:dyDescent="0.2">
      <c r="A18" s="1481" t="s">
        <v>360</v>
      </c>
      <c r="B18" s="1498">
        <v>0</v>
      </c>
      <c r="C18" s="1498">
        <v>0</v>
      </c>
      <c r="D18" s="245">
        <v>0</v>
      </c>
      <c r="E18" s="1619">
        <v>0</v>
      </c>
      <c r="F18" s="964"/>
      <c r="G18" s="959"/>
      <c r="H18" s="1149"/>
      <c r="I18" s="960"/>
      <c r="J18" s="960"/>
      <c r="K18" s="961"/>
      <c r="L18" s="962">
        <v>0</v>
      </c>
      <c r="M18" s="956">
        <v>0</v>
      </c>
      <c r="N18" s="1498">
        <v>0</v>
      </c>
      <c r="O18" s="1807">
        <v>0</v>
      </c>
      <c r="P18" s="961"/>
      <c r="Q18" s="1616"/>
    </row>
    <row r="19" spans="1:17" ht="14.45" customHeight="1" x14ac:dyDescent="0.2">
      <c r="A19" s="1481" t="s">
        <v>361</v>
      </c>
      <c r="B19" s="245">
        <v>9</v>
      </c>
      <c r="C19" s="245">
        <v>9</v>
      </c>
      <c r="D19" s="245">
        <v>25.2</v>
      </c>
      <c r="E19" s="1623">
        <v>2.8</v>
      </c>
      <c r="F19" s="1342" t="s">
        <v>982</v>
      </c>
      <c r="G19" s="959">
        <v>5667200</v>
      </c>
      <c r="H19" s="1149">
        <v>12057868.137423173</v>
      </c>
      <c r="I19" s="960"/>
      <c r="J19" s="960"/>
      <c r="K19" s="961"/>
      <c r="L19" s="962">
        <v>0</v>
      </c>
      <c r="M19" s="956">
        <v>0</v>
      </c>
      <c r="N19" s="1498">
        <v>0</v>
      </c>
      <c r="O19" s="1807">
        <v>0</v>
      </c>
      <c r="P19" s="961"/>
      <c r="Q19" s="1616"/>
    </row>
    <row r="20" spans="1:17" ht="14.45" customHeight="1" x14ac:dyDescent="0.2">
      <c r="A20" s="1481" t="s">
        <v>362</v>
      </c>
      <c r="B20" s="1498">
        <v>0</v>
      </c>
      <c r="C20" s="1498">
        <v>0</v>
      </c>
      <c r="D20" s="245">
        <v>0</v>
      </c>
      <c r="E20" s="1619">
        <v>0</v>
      </c>
      <c r="F20" s="1342"/>
      <c r="G20" s="959"/>
      <c r="H20" s="1149"/>
      <c r="I20" s="960"/>
      <c r="J20" s="960"/>
      <c r="K20" s="961"/>
      <c r="L20" s="962">
        <v>0</v>
      </c>
      <c r="M20" s="956">
        <v>0</v>
      </c>
      <c r="N20" s="1498">
        <v>0</v>
      </c>
      <c r="O20" s="1807">
        <v>0</v>
      </c>
      <c r="P20" s="961"/>
      <c r="Q20" s="1616"/>
    </row>
    <row r="21" spans="1:17" ht="14.45" customHeight="1" x14ac:dyDescent="0.2">
      <c r="A21" s="1481" t="s">
        <v>363</v>
      </c>
      <c r="B21" s="1498">
        <v>0</v>
      </c>
      <c r="C21" s="1498">
        <v>0</v>
      </c>
      <c r="D21" s="245">
        <v>0</v>
      </c>
      <c r="E21" s="1619">
        <v>0</v>
      </c>
      <c r="F21" s="964"/>
      <c r="G21" s="959"/>
      <c r="H21" s="1149"/>
      <c r="I21" s="960"/>
      <c r="J21" s="960"/>
      <c r="K21" s="961"/>
      <c r="L21" s="962">
        <v>0</v>
      </c>
      <c r="M21" s="956">
        <v>0</v>
      </c>
      <c r="N21" s="1498">
        <v>0</v>
      </c>
      <c r="O21" s="1807">
        <v>0</v>
      </c>
      <c r="P21" s="961"/>
      <c r="Q21" s="1616"/>
    </row>
    <row r="22" spans="1:17" ht="14.45" customHeight="1" x14ac:dyDescent="0.2">
      <c r="A22" s="1481" t="s">
        <v>364</v>
      </c>
      <c r="B22" s="1498">
        <v>15</v>
      </c>
      <c r="C22" s="1498">
        <v>15</v>
      </c>
      <c r="D22" s="245">
        <v>52.5</v>
      </c>
      <c r="E22" s="1619">
        <v>3.5</v>
      </c>
      <c r="F22" s="1342" t="s">
        <v>982</v>
      </c>
      <c r="G22" s="959">
        <v>5667200</v>
      </c>
      <c r="H22" s="1149">
        <v>12057868.137423173</v>
      </c>
      <c r="I22" s="2096"/>
      <c r="J22" s="960"/>
      <c r="K22" s="961"/>
      <c r="L22" s="962">
        <v>0</v>
      </c>
      <c r="M22" s="956">
        <v>0</v>
      </c>
      <c r="N22" s="1498">
        <v>0</v>
      </c>
      <c r="O22" s="1807">
        <v>0</v>
      </c>
      <c r="P22" s="961"/>
      <c r="Q22" s="1616"/>
    </row>
    <row r="23" spans="1:17" ht="14.45" customHeight="1" x14ac:dyDescent="0.2">
      <c r="A23" s="1481" t="s">
        <v>365</v>
      </c>
      <c r="B23" s="1498">
        <v>0</v>
      </c>
      <c r="C23" s="1498">
        <v>0</v>
      </c>
      <c r="D23" s="245">
        <v>0</v>
      </c>
      <c r="E23" s="1619">
        <v>0</v>
      </c>
      <c r="F23" s="964"/>
      <c r="G23" s="959"/>
      <c r="H23" s="1968"/>
      <c r="I23" s="2096"/>
      <c r="J23" s="960"/>
      <c r="K23" s="961"/>
      <c r="L23" s="962">
        <v>0</v>
      </c>
      <c r="M23" s="956">
        <v>0</v>
      </c>
      <c r="N23" s="1498">
        <v>0</v>
      </c>
      <c r="O23" s="1807">
        <v>0</v>
      </c>
      <c r="P23" s="961"/>
      <c r="Q23" s="1616"/>
    </row>
    <row r="24" spans="1:17" ht="14.45" customHeight="1" x14ac:dyDescent="0.2">
      <c r="A24" s="1481" t="s">
        <v>366</v>
      </c>
      <c r="B24" s="1498">
        <v>10</v>
      </c>
      <c r="C24" s="1498">
        <v>10</v>
      </c>
      <c r="D24" s="245">
        <v>30</v>
      </c>
      <c r="E24" s="1623">
        <v>3</v>
      </c>
      <c r="F24" s="1342" t="s">
        <v>982</v>
      </c>
      <c r="G24" s="959">
        <v>5667200</v>
      </c>
      <c r="H24" s="1968">
        <v>12057868.137423173</v>
      </c>
      <c r="I24" s="2096"/>
      <c r="J24" s="960"/>
      <c r="K24" s="961"/>
      <c r="L24" s="962">
        <v>0</v>
      </c>
      <c r="M24" s="956">
        <v>0</v>
      </c>
      <c r="N24" s="1498">
        <v>0</v>
      </c>
      <c r="O24" s="1807">
        <v>0</v>
      </c>
      <c r="P24" s="961"/>
      <c r="Q24" s="1616"/>
    </row>
    <row r="25" spans="1:17" ht="14.45" customHeight="1" x14ac:dyDescent="0.2">
      <c r="A25" s="954" t="s">
        <v>367</v>
      </c>
      <c r="B25" s="2305">
        <v>0</v>
      </c>
      <c r="C25" s="1498">
        <v>0</v>
      </c>
      <c r="D25" s="245">
        <v>0</v>
      </c>
      <c r="E25" s="1064">
        <v>0</v>
      </c>
      <c r="F25" s="964"/>
      <c r="G25" s="959"/>
      <c r="H25" s="1968"/>
      <c r="I25" s="2096"/>
      <c r="J25" s="960"/>
      <c r="K25" s="961"/>
      <c r="L25" s="962">
        <v>0</v>
      </c>
      <c r="M25" s="956">
        <v>0</v>
      </c>
      <c r="N25" s="1498">
        <v>0</v>
      </c>
      <c r="O25" s="1807">
        <v>0</v>
      </c>
      <c r="P25" s="961"/>
      <c r="Q25" s="1616"/>
    </row>
    <row r="26" spans="1:17" ht="14.45" customHeight="1" x14ac:dyDescent="0.2">
      <c r="A26" s="983" t="s">
        <v>368</v>
      </c>
      <c r="B26" s="994">
        <v>0</v>
      </c>
      <c r="C26" s="994">
        <v>0</v>
      </c>
      <c r="D26" s="2311">
        <v>0</v>
      </c>
      <c r="E26" s="986"/>
      <c r="F26" s="987"/>
      <c r="G26" s="988"/>
      <c r="H26" s="2091"/>
      <c r="I26" s="2097"/>
      <c r="J26" s="989"/>
      <c r="K26" s="990"/>
      <c r="L26" s="991">
        <v>0</v>
      </c>
      <c r="M26" s="984">
        <v>0</v>
      </c>
      <c r="N26" s="984">
        <v>0</v>
      </c>
      <c r="O26" s="1602"/>
      <c r="P26" s="992"/>
      <c r="Q26" s="993"/>
    </row>
    <row r="27" spans="1:17" ht="14.45" customHeight="1" x14ac:dyDescent="0.2">
      <c r="A27" s="954" t="s">
        <v>369</v>
      </c>
      <c r="B27" s="2305">
        <v>0</v>
      </c>
      <c r="C27" s="1498">
        <v>0</v>
      </c>
      <c r="D27" s="245">
        <v>0</v>
      </c>
      <c r="E27" s="1064">
        <v>0</v>
      </c>
      <c r="F27" s="964"/>
      <c r="G27" s="959"/>
      <c r="H27" s="1968"/>
      <c r="I27" s="2096"/>
      <c r="J27" s="960"/>
      <c r="K27" s="961"/>
      <c r="L27" s="962">
        <v>0</v>
      </c>
      <c r="M27" s="956">
        <v>0</v>
      </c>
      <c r="N27" s="1498">
        <v>0</v>
      </c>
      <c r="O27" s="1807">
        <v>0</v>
      </c>
      <c r="P27" s="961"/>
      <c r="Q27" s="1616"/>
    </row>
    <row r="28" spans="1:17" ht="14.45" customHeight="1" x14ac:dyDescent="0.2">
      <c r="A28" s="954" t="s">
        <v>370</v>
      </c>
      <c r="B28" s="2305">
        <v>0</v>
      </c>
      <c r="C28" s="1498">
        <v>0</v>
      </c>
      <c r="D28" s="245">
        <v>0</v>
      </c>
      <c r="E28" s="1064">
        <v>0</v>
      </c>
      <c r="F28" s="964"/>
      <c r="G28" s="959"/>
      <c r="H28" s="1968"/>
      <c r="I28" s="2096"/>
      <c r="J28" s="960"/>
      <c r="K28" s="961"/>
      <c r="L28" s="962">
        <v>0</v>
      </c>
      <c r="M28" s="956">
        <v>0</v>
      </c>
      <c r="N28" s="1498">
        <v>0</v>
      </c>
      <c r="O28" s="1807">
        <v>0</v>
      </c>
      <c r="P28" s="961"/>
      <c r="Q28" s="1616"/>
    </row>
    <row r="29" spans="1:17" ht="14.45" customHeight="1" x14ac:dyDescent="0.2">
      <c r="A29" s="954" t="s">
        <v>371</v>
      </c>
      <c r="B29" s="2305">
        <v>0</v>
      </c>
      <c r="C29" s="1498">
        <v>0</v>
      </c>
      <c r="D29" s="245">
        <v>0</v>
      </c>
      <c r="E29" s="1064">
        <v>0</v>
      </c>
      <c r="F29" s="964"/>
      <c r="G29" s="959"/>
      <c r="H29" s="1968"/>
      <c r="I29" s="2096"/>
      <c r="J29" s="960"/>
      <c r="K29" s="961"/>
      <c r="L29" s="962">
        <v>0</v>
      </c>
      <c r="M29" s="956">
        <v>0</v>
      </c>
      <c r="N29" s="1498">
        <v>0</v>
      </c>
      <c r="O29" s="1807">
        <v>0</v>
      </c>
      <c r="P29" s="961"/>
      <c r="Q29" s="1616"/>
    </row>
    <row r="30" spans="1:17" ht="14.45" customHeight="1" x14ac:dyDescent="0.2">
      <c r="A30" s="954" t="s">
        <v>372</v>
      </c>
      <c r="B30" s="2305">
        <v>0</v>
      </c>
      <c r="C30" s="1498">
        <v>0</v>
      </c>
      <c r="D30" s="245">
        <v>0</v>
      </c>
      <c r="E30" s="1064">
        <v>0</v>
      </c>
      <c r="F30" s="964"/>
      <c r="G30" s="959"/>
      <c r="H30" s="1968"/>
      <c r="I30" s="2096"/>
      <c r="J30" s="960"/>
      <c r="K30" s="961"/>
      <c r="L30" s="962">
        <v>0</v>
      </c>
      <c r="M30" s="956">
        <v>0</v>
      </c>
      <c r="N30" s="1498">
        <v>0</v>
      </c>
      <c r="O30" s="1807">
        <v>0</v>
      </c>
      <c r="P30" s="961"/>
      <c r="Q30" s="1616"/>
    </row>
    <row r="31" spans="1:17" ht="14.45" customHeight="1" x14ac:dyDescent="0.2">
      <c r="A31" s="954" t="s">
        <v>373</v>
      </c>
      <c r="B31" s="2305">
        <v>0</v>
      </c>
      <c r="C31" s="1498">
        <v>0</v>
      </c>
      <c r="D31" s="245">
        <v>0</v>
      </c>
      <c r="E31" s="1064">
        <v>0</v>
      </c>
      <c r="F31" s="958"/>
      <c r="G31" s="959"/>
      <c r="H31" s="1968"/>
      <c r="I31" s="2096"/>
      <c r="J31" s="960"/>
      <c r="K31" s="961"/>
      <c r="L31" s="962">
        <v>0</v>
      </c>
      <c r="M31" s="956">
        <v>0</v>
      </c>
      <c r="N31" s="1498">
        <v>0</v>
      </c>
      <c r="O31" s="1807">
        <v>0</v>
      </c>
      <c r="P31" s="961"/>
      <c r="Q31" s="1616"/>
    </row>
    <row r="32" spans="1:17" ht="14.45" customHeight="1" x14ac:dyDescent="0.2">
      <c r="A32" s="983" t="s">
        <v>374</v>
      </c>
      <c r="B32" s="994">
        <v>0</v>
      </c>
      <c r="C32" s="994">
        <v>0</v>
      </c>
      <c r="D32" s="994">
        <v>0</v>
      </c>
      <c r="E32" s="1519"/>
      <c r="F32" s="987"/>
      <c r="G32" s="996"/>
      <c r="H32" s="2092"/>
      <c r="I32" s="2098"/>
      <c r="J32" s="997"/>
      <c r="K32" s="998"/>
      <c r="L32" s="999">
        <v>0</v>
      </c>
      <c r="M32" s="994">
        <v>0</v>
      </c>
      <c r="N32" s="994">
        <v>0</v>
      </c>
      <c r="O32" s="1808"/>
      <c r="P32" s="1000"/>
      <c r="Q32" s="1001"/>
    </row>
    <row r="33" spans="1:17" ht="14.45" customHeight="1" x14ac:dyDescent="0.2">
      <c r="A33" s="954" t="s">
        <v>375</v>
      </c>
      <c r="B33" s="2305">
        <v>0</v>
      </c>
      <c r="C33" s="1498">
        <v>0</v>
      </c>
      <c r="D33" s="245">
        <v>0</v>
      </c>
      <c r="E33" s="1064">
        <v>0</v>
      </c>
      <c r="F33" s="958"/>
      <c r="G33" s="959"/>
      <c r="H33" s="1968"/>
      <c r="I33" s="2096"/>
      <c r="J33" s="960"/>
      <c r="K33" s="961"/>
      <c r="L33" s="962">
        <v>0</v>
      </c>
      <c r="M33" s="956">
        <v>0</v>
      </c>
      <c r="N33" s="1498">
        <v>0</v>
      </c>
      <c r="O33" s="1807">
        <v>0</v>
      </c>
      <c r="P33" s="961"/>
      <c r="Q33" s="1616"/>
    </row>
    <row r="34" spans="1:17" ht="14.45" customHeight="1" x14ac:dyDescent="0.2">
      <c r="A34" s="954" t="s">
        <v>376</v>
      </c>
      <c r="B34" s="2305">
        <v>0</v>
      </c>
      <c r="C34" s="1498">
        <v>0</v>
      </c>
      <c r="D34" s="245">
        <v>0</v>
      </c>
      <c r="E34" s="1064">
        <v>0</v>
      </c>
      <c r="F34" s="958"/>
      <c r="G34" s="959"/>
      <c r="H34" s="1968"/>
      <c r="I34" s="2096"/>
      <c r="J34" s="960"/>
      <c r="K34" s="961"/>
      <c r="L34" s="962">
        <v>0</v>
      </c>
      <c r="M34" s="956">
        <v>0</v>
      </c>
      <c r="N34" s="1498">
        <v>0</v>
      </c>
      <c r="O34" s="1807">
        <v>0</v>
      </c>
      <c r="P34" s="961"/>
      <c r="Q34" s="1616"/>
    </row>
    <row r="35" spans="1:17" ht="14.45" customHeight="1" x14ac:dyDescent="0.2">
      <c r="A35" s="954" t="s">
        <v>377</v>
      </c>
      <c r="B35" s="2305">
        <v>0</v>
      </c>
      <c r="C35" s="1498">
        <v>0</v>
      </c>
      <c r="D35" s="245">
        <v>0</v>
      </c>
      <c r="E35" s="1064">
        <v>0</v>
      </c>
      <c r="F35" s="958"/>
      <c r="G35" s="959"/>
      <c r="H35" s="1968"/>
      <c r="I35" s="2096"/>
      <c r="J35" s="960"/>
      <c r="K35" s="961"/>
      <c r="L35" s="962">
        <v>0</v>
      </c>
      <c r="M35" s="956">
        <v>0</v>
      </c>
      <c r="N35" s="1498">
        <v>0</v>
      </c>
      <c r="O35" s="1807">
        <v>0</v>
      </c>
      <c r="P35" s="961"/>
      <c r="Q35" s="1616"/>
    </row>
    <row r="36" spans="1:17" ht="14.45" customHeight="1" x14ac:dyDescent="0.2">
      <c r="A36" s="954" t="s">
        <v>378</v>
      </c>
      <c r="B36" s="2305">
        <v>0</v>
      </c>
      <c r="C36" s="1498">
        <v>0</v>
      </c>
      <c r="D36" s="245">
        <v>0</v>
      </c>
      <c r="E36" s="1064">
        <v>0</v>
      </c>
      <c r="F36" s="958"/>
      <c r="G36" s="965"/>
      <c r="H36" s="2093"/>
      <c r="I36" s="2099"/>
      <c r="J36" s="966"/>
      <c r="K36" s="967"/>
      <c r="L36" s="962">
        <v>0</v>
      </c>
      <c r="M36" s="956">
        <v>0</v>
      </c>
      <c r="N36" s="1498">
        <v>0</v>
      </c>
      <c r="O36" s="1807">
        <v>0</v>
      </c>
      <c r="P36" s="961"/>
      <c r="Q36" s="1616"/>
    </row>
    <row r="37" spans="1:17" ht="14.45" customHeight="1" x14ac:dyDescent="0.2">
      <c r="A37" s="954" t="s">
        <v>379</v>
      </c>
      <c r="B37" s="2305">
        <v>0</v>
      </c>
      <c r="C37" s="1498">
        <v>0</v>
      </c>
      <c r="D37" s="245">
        <v>0</v>
      </c>
      <c r="E37" s="1064">
        <v>0</v>
      </c>
      <c r="F37" s="958"/>
      <c r="G37" s="965"/>
      <c r="H37" s="2093"/>
      <c r="I37" s="2099"/>
      <c r="J37" s="966"/>
      <c r="K37" s="967"/>
      <c r="L37" s="962">
        <v>0</v>
      </c>
      <c r="M37" s="956">
        <v>0</v>
      </c>
      <c r="N37" s="1498">
        <v>0</v>
      </c>
      <c r="O37" s="1807">
        <v>0</v>
      </c>
      <c r="P37" s="961"/>
      <c r="Q37" s="1616"/>
    </row>
    <row r="38" spans="1:17" ht="14.45" customHeight="1" x14ac:dyDescent="0.2">
      <c r="A38" s="954" t="s">
        <v>380</v>
      </c>
      <c r="B38" s="2305">
        <v>0</v>
      </c>
      <c r="C38" s="1498">
        <v>0</v>
      </c>
      <c r="D38" s="245">
        <v>0</v>
      </c>
      <c r="E38" s="1064">
        <v>0</v>
      </c>
      <c r="F38" s="958"/>
      <c r="G38" s="965"/>
      <c r="H38" s="2093"/>
      <c r="I38" s="2099"/>
      <c r="J38" s="966"/>
      <c r="K38" s="967"/>
      <c r="L38" s="962">
        <v>0</v>
      </c>
      <c r="M38" s="956">
        <v>0</v>
      </c>
      <c r="N38" s="1498">
        <v>0</v>
      </c>
      <c r="O38" s="1807">
        <v>0</v>
      </c>
      <c r="P38" s="961"/>
      <c r="Q38" s="1616"/>
    </row>
    <row r="39" spans="1:17" ht="14.45" customHeight="1" x14ac:dyDescent="0.2">
      <c r="A39" s="954" t="s">
        <v>381</v>
      </c>
      <c r="B39" s="2305">
        <v>0</v>
      </c>
      <c r="C39" s="1498">
        <v>0</v>
      </c>
      <c r="D39" s="245">
        <v>0</v>
      </c>
      <c r="E39" s="1064">
        <v>0</v>
      </c>
      <c r="F39" s="958"/>
      <c r="G39" s="965"/>
      <c r="H39" s="2093"/>
      <c r="I39" s="2099"/>
      <c r="J39" s="966"/>
      <c r="K39" s="967"/>
      <c r="L39" s="962">
        <v>0</v>
      </c>
      <c r="M39" s="956">
        <v>0</v>
      </c>
      <c r="N39" s="1498">
        <v>0</v>
      </c>
      <c r="O39" s="1807">
        <v>0</v>
      </c>
      <c r="P39" s="961"/>
      <c r="Q39" s="1616"/>
    </row>
    <row r="40" spans="1:17" ht="14.45" customHeight="1" x14ac:dyDescent="0.2">
      <c r="A40" s="954" t="s">
        <v>382</v>
      </c>
      <c r="B40" s="2305">
        <v>0</v>
      </c>
      <c r="C40" s="1498">
        <v>0</v>
      </c>
      <c r="D40" s="245">
        <v>0</v>
      </c>
      <c r="E40" s="1064">
        <v>0</v>
      </c>
      <c r="F40" s="958"/>
      <c r="G40" s="965"/>
      <c r="H40" s="2093"/>
      <c r="I40" s="2099"/>
      <c r="J40" s="966"/>
      <c r="K40" s="967"/>
      <c r="L40" s="962">
        <v>0</v>
      </c>
      <c r="M40" s="956">
        <v>0</v>
      </c>
      <c r="N40" s="1498">
        <v>0</v>
      </c>
      <c r="O40" s="1807">
        <v>0</v>
      </c>
      <c r="P40" s="961"/>
      <c r="Q40" s="1616"/>
    </row>
    <row r="41" spans="1:17" ht="14.45" customHeight="1" x14ac:dyDescent="0.2">
      <c r="A41" s="983" t="s">
        <v>383</v>
      </c>
      <c r="B41" s="1485">
        <v>0</v>
      </c>
      <c r="C41" s="1485">
        <v>0</v>
      </c>
      <c r="D41" s="1485">
        <v>0</v>
      </c>
      <c r="E41" s="1519"/>
      <c r="F41" s="1003"/>
      <c r="G41" s="1004"/>
      <c r="H41" s="1202"/>
      <c r="I41" s="1639"/>
      <c r="J41" s="1005"/>
      <c r="K41" s="949"/>
      <c r="L41" s="991">
        <v>0</v>
      </c>
      <c r="M41" s="1002">
        <v>0</v>
      </c>
      <c r="N41" s="1002">
        <v>0</v>
      </c>
      <c r="O41" s="1808"/>
      <c r="P41" s="1000"/>
      <c r="Q41" s="1001"/>
    </row>
    <row r="42" spans="1:17" ht="14.45" customHeight="1" x14ac:dyDescent="0.2">
      <c r="A42" s="954" t="s">
        <v>384</v>
      </c>
      <c r="B42" s="2305">
        <v>0</v>
      </c>
      <c r="C42" s="1498">
        <v>0</v>
      </c>
      <c r="D42" s="245">
        <v>0</v>
      </c>
      <c r="E42" s="1064">
        <v>0</v>
      </c>
      <c r="F42" s="958"/>
      <c r="G42" s="965"/>
      <c r="H42" s="2093"/>
      <c r="I42" s="2099"/>
      <c r="J42" s="966"/>
      <c r="K42" s="967"/>
      <c r="L42" s="962">
        <v>0</v>
      </c>
      <c r="M42" s="956">
        <v>0</v>
      </c>
      <c r="N42" s="1498">
        <v>0</v>
      </c>
      <c r="O42" s="1807">
        <v>0</v>
      </c>
      <c r="P42" s="961"/>
      <c r="Q42" s="1616"/>
    </row>
    <row r="43" spans="1:17" ht="14.45" customHeight="1" x14ac:dyDescent="0.2">
      <c r="A43" s="954" t="s">
        <v>385</v>
      </c>
      <c r="B43" s="2305">
        <v>0</v>
      </c>
      <c r="C43" s="1498">
        <v>0</v>
      </c>
      <c r="D43" s="245">
        <v>0</v>
      </c>
      <c r="E43" s="1064">
        <v>0</v>
      </c>
      <c r="F43" s="958"/>
      <c r="G43" s="965"/>
      <c r="H43" s="2093"/>
      <c r="I43" s="2099"/>
      <c r="J43" s="966"/>
      <c r="K43" s="967"/>
      <c r="L43" s="962">
        <v>0</v>
      </c>
      <c r="M43" s="956">
        <v>0</v>
      </c>
      <c r="N43" s="1498">
        <v>0</v>
      </c>
      <c r="O43" s="1807">
        <v>0</v>
      </c>
      <c r="P43" s="961"/>
      <c r="Q43" s="1616"/>
    </row>
    <row r="44" spans="1:17" ht="14.45" customHeight="1" x14ac:dyDescent="0.2">
      <c r="A44" s="954" t="s">
        <v>386</v>
      </c>
      <c r="B44" s="2305">
        <v>0</v>
      </c>
      <c r="C44" s="1498">
        <v>0</v>
      </c>
      <c r="D44" s="245">
        <v>0</v>
      </c>
      <c r="E44" s="1064">
        <v>0</v>
      </c>
      <c r="F44" s="958"/>
      <c r="G44" s="965"/>
      <c r="H44" s="2093"/>
      <c r="I44" s="2099"/>
      <c r="J44" s="966"/>
      <c r="K44" s="967"/>
      <c r="L44" s="962">
        <v>0</v>
      </c>
      <c r="M44" s="956">
        <v>0</v>
      </c>
      <c r="N44" s="1498">
        <v>0</v>
      </c>
      <c r="O44" s="1807">
        <v>0</v>
      </c>
      <c r="P44" s="961"/>
      <c r="Q44" s="1616"/>
    </row>
    <row r="45" spans="1:17" ht="14.45" customHeight="1" x14ac:dyDescent="0.2">
      <c r="A45" s="954" t="s">
        <v>387</v>
      </c>
      <c r="B45" s="2305">
        <v>0</v>
      </c>
      <c r="C45" s="1498">
        <v>0</v>
      </c>
      <c r="D45" s="245">
        <v>0</v>
      </c>
      <c r="E45" s="1064">
        <v>0</v>
      </c>
      <c r="F45" s="958"/>
      <c r="G45" s="965"/>
      <c r="H45" s="2093"/>
      <c r="I45" s="2099"/>
      <c r="J45" s="966"/>
      <c r="K45" s="967"/>
      <c r="L45" s="962">
        <v>0</v>
      </c>
      <c r="M45" s="956">
        <v>0</v>
      </c>
      <c r="N45" s="1498">
        <v>0</v>
      </c>
      <c r="O45" s="1807">
        <v>0</v>
      </c>
      <c r="P45" s="961"/>
      <c r="Q45" s="1616"/>
    </row>
    <row r="46" spans="1:17" ht="14.45" customHeight="1" x14ac:dyDescent="0.2">
      <c r="A46" s="954" t="s">
        <v>388</v>
      </c>
      <c r="B46" s="2305">
        <v>0</v>
      </c>
      <c r="C46" s="1498">
        <v>0</v>
      </c>
      <c r="D46" s="245">
        <v>0</v>
      </c>
      <c r="E46" s="1064">
        <v>0</v>
      </c>
      <c r="F46" s="958"/>
      <c r="G46" s="965"/>
      <c r="H46" s="2093"/>
      <c r="I46" s="2099"/>
      <c r="J46" s="966"/>
      <c r="K46" s="967"/>
      <c r="L46" s="962">
        <v>0</v>
      </c>
      <c r="M46" s="956">
        <v>0</v>
      </c>
      <c r="N46" s="1498">
        <v>0</v>
      </c>
      <c r="O46" s="1807">
        <v>0</v>
      </c>
      <c r="P46" s="961"/>
      <c r="Q46" s="1616"/>
    </row>
    <row r="47" spans="1:17" ht="14.45" customHeight="1" x14ac:dyDescent="0.2">
      <c r="A47" s="954" t="s">
        <v>389</v>
      </c>
      <c r="B47" s="2305">
        <v>0</v>
      </c>
      <c r="C47" s="1498">
        <v>0</v>
      </c>
      <c r="D47" s="245">
        <v>0</v>
      </c>
      <c r="E47" s="1064">
        <v>0</v>
      </c>
      <c r="F47" s="958"/>
      <c r="G47" s="965"/>
      <c r="H47" s="2093"/>
      <c r="I47" s="2099"/>
      <c r="J47" s="966"/>
      <c r="K47" s="967"/>
      <c r="L47" s="962">
        <v>0</v>
      </c>
      <c r="M47" s="956">
        <v>0</v>
      </c>
      <c r="N47" s="1498">
        <v>0</v>
      </c>
      <c r="O47" s="1807">
        <v>0</v>
      </c>
      <c r="P47" s="961"/>
      <c r="Q47" s="1616"/>
    </row>
    <row r="48" spans="1:17" ht="14.45" customHeight="1" x14ac:dyDescent="0.2">
      <c r="A48" s="954" t="s">
        <v>390</v>
      </c>
      <c r="B48" s="2305">
        <v>0</v>
      </c>
      <c r="C48" s="1498">
        <v>0</v>
      </c>
      <c r="D48" s="245">
        <v>0</v>
      </c>
      <c r="E48" s="1064">
        <v>0</v>
      </c>
      <c r="F48" s="958"/>
      <c r="G48" s="965"/>
      <c r="H48" s="2093"/>
      <c r="I48" s="2099"/>
      <c r="J48" s="966"/>
      <c r="K48" s="967"/>
      <c r="L48" s="962">
        <v>0</v>
      </c>
      <c r="M48" s="956">
        <v>0</v>
      </c>
      <c r="N48" s="1498">
        <v>0</v>
      </c>
      <c r="O48" s="1807">
        <v>0</v>
      </c>
      <c r="P48" s="961"/>
      <c r="Q48" s="1616"/>
    </row>
    <row r="49" spans="1:17" ht="14.45" customHeight="1" x14ac:dyDescent="0.2">
      <c r="A49" s="954" t="s">
        <v>391</v>
      </c>
      <c r="B49" s="2305">
        <v>0</v>
      </c>
      <c r="C49" s="1498">
        <v>0</v>
      </c>
      <c r="D49" s="245">
        <v>0</v>
      </c>
      <c r="E49" s="1064">
        <v>0</v>
      </c>
      <c r="F49" s="958"/>
      <c r="G49" s="965"/>
      <c r="H49" s="2093"/>
      <c r="I49" s="2099"/>
      <c r="J49" s="966"/>
      <c r="K49" s="967"/>
      <c r="L49" s="962">
        <v>0</v>
      </c>
      <c r="M49" s="956">
        <v>0</v>
      </c>
      <c r="N49" s="1498">
        <v>0</v>
      </c>
      <c r="O49" s="1807">
        <v>0</v>
      </c>
      <c r="P49" s="961"/>
      <c r="Q49" s="1616"/>
    </row>
    <row r="50" spans="1:17" ht="14.45" customHeight="1" x14ac:dyDescent="0.2">
      <c r="A50" s="953" t="s">
        <v>392</v>
      </c>
      <c r="B50" s="2305">
        <v>0</v>
      </c>
      <c r="C50" s="1498">
        <v>0</v>
      </c>
      <c r="D50" s="245">
        <v>0</v>
      </c>
      <c r="E50" s="1064">
        <v>0</v>
      </c>
      <c r="F50" s="972"/>
      <c r="G50" s="970"/>
      <c r="H50" s="2094"/>
      <c r="I50" s="2100"/>
      <c r="J50" s="973"/>
      <c r="K50" s="974"/>
      <c r="L50" s="962">
        <v>0</v>
      </c>
      <c r="M50" s="956">
        <v>0</v>
      </c>
      <c r="N50" s="1617">
        <v>0</v>
      </c>
      <c r="O50" s="1807">
        <v>0</v>
      </c>
      <c r="P50" s="1503"/>
      <c r="Q50" s="1618"/>
    </row>
    <row r="51" spans="1:17" ht="14.45" customHeight="1" thickBot="1" x14ac:dyDescent="0.25">
      <c r="A51" s="1006" t="s">
        <v>393</v>
      </c>
      <c r="B51" s="1084">
        <v>179</v>
      </c>
      <c r="C51" s="1084">
        <v>179</v>
      </c>
      <c r="D51" s="1007">
        <v>447.7</v>
      </c>
      <c r="E51" s="1482">
        <v>2.501117318435754</v>
      </c>
      <c r="F51" s="1971" t="s">
        <v>982</v>
      </c>
      <c r="G51" s="1085">
        <v>5667200.0000000009</v>
      </c>
      <c r="H51" s="2095">
        <v>12057868.137423173</v>
      </c>
      <c r="I51" s="2101"/>
      <c r="J51" s="1008" t="s">
        <v>983</v>
      </c>
      <c r="K51" s="1011"/>
      <c r="L51" s="1007">
        <v>0</v>
      </c>
      <c r="M51" s="1007">
        <v>0</v>
      </c>
      <c r="N51" s="1007">
        <v>0</v>
      </c>
      <c r="O51" s="1505" t="e">
        <v>#DIV/0!</v>
      </c>
      <c r="P51" s="1012" t="e">
        <v>#DIV/0!</v>
      </c>
      <c r="Q51" s="1013" t="e">
        <v>#DIV/0!</v>
      </c>
    </row>
    <row r="52" spans="1:17" x14ac:dyDescent="0.2">
      <c r="A52" s="7" t="s">
        <v>1934</v>
      </c>
      <c r="B52" s="8"/>
      <c r="C52" s="8"/>
      <c r="D52" s="8"/>
      <c r="E52" s="4"/>
      <c r="F52" s="5"/>
      <c r="G52" s="9"/>
      <c r="H52" s="8"/>
      <c r="I52" s="4"/>
      <c r="J52" s="4"/>
      <c r="K52" s="4"/>
      <c r="L52" s="8"/>
      <c r="M52" s="8"/>
      <c r="N52" s="8"/>
      <c r="O52" s="4"/>
      <c r="P52" s="4"/>
      <c r="Q52" s="8"/>
    </row>
    <row r="53" spans="1:17" x14ac:dyDescent="0.2">
      <c r="A53" s="34" t="s">
        <v>1937</v>
      </c>
      <c r="B53" s="8"/>
      <c r="C53" s="8"/>
      <c r="D53" s="15"/>
      <c r="E53" s="1860"/>
      <c r="F53" s="5"/>
      <c r="G53" s="9"/>
      <c r="H53" s="8"/>
      <c r="I53" s="4"/>
      <c r="J53" s="4"/>
      <c r="K53" s="4"/>
      <c r="L53" s="8"/>
      <c r="M53" s="1510"/>
      <c r="N53" s="8"/>
      <c r="O53" s="4"/>
      <c r="P53" s="4"/>
      <c r="Q53" s="8"/>
    </row>
    <row r="54" spans="1:17" x14ac:dyDescent="0.2">
      <c r="A54" s="242"/>
      <c r="B54" s="8"/>
      <c r="C54" s="8"/>
      <c r="D54" s="15"/>
      <c r="E54" s="1860"/>
      <c r="F54" s="5"/>
      <c r="G54" s="9"/>
      <c r="H54" s="8"/>
      <c r="I54" s="4"/>
      <c r="J54" s="4"/>
      <c r="K54" s="4"/>
      <c r="L54" s="8"/>
      <c r="M54" s="1510"/>
      <c r="N54" s="8"/>
      <c r="O54" s="4"/>
      <c r="P54" s="4"/>
      <c r="Q54" s="8"/>
    </row>
    <row r="55" spans="1:17" x14ac:dyDescent="0.2">
      <c r="A55" s="242"/>
      <c r="B55" s="8"/>
      <c r="C55" s="8"/>
      <c r="D55" s="15"/>
      <c r="E55" s="1860"/>
      <c r="F55" s="5"/>
      <c r="G55" s="9"/>
      <c r="H55" s="8"/>
      <c r="I55" s="2380"/>
      <c r="J55" s="2380"/>
      <c r="K55" s="2380"/>
      <c r="L55" s="8"/>
      <c r="M55" s="1510"/>
      <c r="N55" s="8"/>
      <c r="O55" s="2380"/>
      <c r="P55" s="2380"/>
      <c r="Q55" s="8"/>
    </row>
    <row r="56" spans="1:17" x14ac:dyDescent="0.2">
      <c r="A56" s="6"/>
      <c r="B56" s="8"/>
      <c r="C56" s="8"/>
      <c r="D56" s="8"/>
      <c r="E56" s="4"/>
      <c r="F56" s="5"/>
      <c r="G56" s="9"/>
      <c r="H56" s="8"/>
      <c r="I56" s="4"/>
      <c r="J56" s="4"/>
      <c r="K56" s="4"/>
      <c r="L56" s="8"/>
      <c r="M56" s="8"/>
      <c r="N56" s="8"/>
      <c r="O56" s="1509"/>
      <c r="P56" s="4"/>
      <c r="Q56" s="8"/>
    </row>
    <row r="57" spans="1:17" ht="15.75" customHeight="1" x14ac:dyDescent="0.25">
      <c r="A57" s="2512" t="s">
        <v>1929</v>
      </c>
      <c r="B57" s="2512"/>
      <c r="C57" s="2512"/>
      <c r="D57" s="2512"/>
      <c r="E57" s="2512"/>
      <c r="F57" s="2512"/>
      <c r="G57" s="2512"/>
      <c r="H57" s="2512"/>
      <c r="I57" s="2512"/>
      <c r="J57" s="2512"/>
      <c r="K57" s="2512"/>
      <c r="L57" s="2512"/>
      <c r="M57" s="2512"/>
      <c r="N57" s="2512"/>
      <c r="O57" s="2512"/>
      <c r="P57" s="2512"/>
      <c r="Q57" s="2512"/>
    </row>
    <row r="58" spans="1:17" x14ac:dyDescent="0.2">
      <c r="A58" s="3"/>
      <c r="B58" s="6"/>
      <c r="C58" s="6"/>
      <c r="D58" s="6"/>
      <c r="E58" s="1"/>
      <c r="F58" s="2"/>
      <c r="G58" s="6"/>
      <c r="H58" s="6"/>
      <c r="I58" s="1"/>
      <c r="J58" s="1"/>
      <c r="K58" s="1"/>
      <c r="L58" s="6"/>
      <c r="M58" s="6"/>
      <c r="N58" s="6"/>
      <c r="O58" s="1"/>
      <c r="P58" s="1"/>
      <c r="Q58" s="6"/>
    </row>
    <row r="59" spans="1:17" ht="13.5" thickBot="1" x14ac:dyDescent="0.25">
      <c r="A59" s="3" t="s">
        <v>394</v>
      </c>
      <c r="B59" s="6"/>
      <c r="C59" s="6"/>
      <c r="D59" s="6"/>
      <c r="E59" s="1"/>
      <c r="F59" s="2"/>
      <c r="G59" s="6"/>
      <c r="H59" s="6"/>
      <c r="I59" s="1"/>
      <c r="J59" s="1"/>
      <c r="K59" s="1"/>
      <c r="L59" s="6"/>
      <c r="M59" s="6"/>
      <c r="N59" s="6"/>
      <c r="O59" s="1"/>
      <c r="P59" s="1"/>
      <c r="Q59" s="6"/>
    </row>
    <row r="60" spans="1:17" ht="14.45" customHeight="1" thickBot="1" x14ac:dyDescent="0.25">
      <c r="A60" s="2513" t="s">
        <v>327</v>
      </c>
      <c r="B60" s="2516" t="s">
        <v>1935</v>
      </c>
      <c r="C60" s="2517"/>
      <c r="D60" s="2517"/>
      <c r="E60" s="2517"/>
      <c r="F60" s="2517"/>
      <c r="G60" s="2517"/>
      <c r="H60" s="2517"/>
      <c r="I60" s="2517"/>
      <c r="J60" s="2517"/>
      <c r="K60" s="2517"/>
      <c r="L60" s="2518" t="s">
        <v>1930</v>
      </c>
      <c r="M60" s="2519"/>
      <c r="N60" s="2519"/>
      <c r="O60" s="2519"/>
      <c r="P60" s="2520"/>
      <c r="Q60" s="2521"/>
    </row>
    <row r="61" spans="1:17" ht="14.45" customHeight="1" x14ac:dyDescent="0.2">
      <c r="A61" s="2514"/>
      <c r="B61" s="2522" t="s">
        <v>328</v>
      </c>
      <c r="C61" s="2523"/>
      <c r="D61" s="1014"/>
      <c r="E61" s="1014" t="s">
        <v>904</v>
      </c>
      <c r="F61" s="1014" t="s">
        <v>329</v>
      </c>
      <c r="G61" s="1014"/>
      <c r="H61" s="1014"/>
      <c r="I61" s="2526" t="s">
        <v>330</v>
      </c>
      <c r="J61" s="2527"/>
      <c r="K61" s="2528"/>
      <c r="L61" s="2524" t="s">
        <v>328</v>
      </c>
      <c r="M61" s="2525"/>
      <c r="N61" s="1021" t="s">
        <v>331</v>
      </c>
      <c r="O61" s="1022" t="s">
        <v>332</v>
      </c>
      <c r="P61" s="1023"/>
      <c r="Q61" s="1024"/>
    </row>
    <row r="62" spans="1:17" ht="14.45" customHeight="1" x14ac:dyDescent="0.2">
      <c r="A62" s="2514"/>
      <c r="B62" s="1014" t="s">
        <v>835</v>
      </c>
      <c r="C62" s="1014" t="s">
        <v>335</v>
      </c>
      <c r="D62" s="1014" t="s">
        <v>837</v>
      </c>
      <c r="E62" s="1014" t="s">
        <v>842</v>
      </c>
      <c r="F62" s="1014" t="s">
        <v>336</v>
      </c>
      <c r="G62" s="1014" t="s">
        <v>337</v>
      </c>
      <c r="H62" s="1014" t="s">
        <v>338</v>
      </c>
      <c r="I62" s="2529" t="s">
        <v>839</v>
      </c>
      <c r="J62" s="2530"/>
      <c r="K62" s="2531"/>
      <c r="L62" s="1025" t="s">
        <v>835</v>
      </c>
      <c r="M62" s="1021" t="s">
        <v>335</v>
      </c>
      <c r="N62" s="1021" t="s">
        <v>339</v>
      </c>
      <c r="O62" s="1022"/>
      <c r="P62" s="1021" t="s">
        <v>337</v>
      </c>
      <c r="Q62" s="1024" t="s">
        <v>338</v>
      </c>
    </row>
    <row r="63" spans="1:17" ht="14.45" customHeight="1" x14ac:dyDescent="0.2">
      <c r="A63" s="2514"/>
      <c r="B63" s="1014"/>
      <c r="C63" s="1014"/>
      <c r="D63" s="1014"/>
      <c r="E63" s="1014"/>
      <c r="F63" s="1014" t="s">
        <v>341</v>
      </c>
      <c r="G63" s="1014" t="s">
        <v>342</v>
      </c>
      <c r="H63" s="1014" t="s">
        <v>341</v>
      </c>
      <c r="I63" s="1015"/>
      <c r="J63" s="1016"/>
      <c r="K63" s="1017"/>
      <c r="L63" s="1025"/>
      <c r="M63" s="1021"/>
      <c r="N63" s="1021"/>
      <c r="O63" s="1022" t="s">
        <v>344</v>
      </c>
      <c r="P63" s="1021" t="s">
        <v>342</v>
      </c>
      <c r="Q63" s="1024" t="s">
        <v>341</v>
      </c>
    </row>
    <row r="64" spans="1:17" ht="14.45" customHeight="1" x14ac:dyDescent="0.2">
      <c r="A64" s="2515"/>
      <c r="B64" s="1018" t="s">
        <v>345</v>
      </c>
      <c r="C64" s="1018" t="s">
        <v>345</v>
      </c>
      <c r="D64" s="1018" t="s">
        <v>346</v>
      </c>
      <c r="E64" s="1018" t="s">
        <v>757</v>
      </c>
      <c r="F64" s="1018"/>
      <c r="G64" s="1018" t="s">
        <v>347</v>
      </c>
      <c r="H64" s="1018" t="s">
        <v>348</v>
      </c>
      <c r="I64" s="1019" t="s">
        <v>349</v>
      </c>
      <c r="J64" s="1019" t="s">
        <v>350</v>
      </c>
      <c r="K64" s="1020" t="s">
        <v>351</v>
      </c>
      <c r="L64" s="1026" t="s">
        <v>345</v>
      </c>
      <c r="M64" s="1027" t="s">
        <v>345</v>
      </c>
      <c r="N64" s="1027" t="s">
        <v>346</v>
      </c>
      <c r="O64" s="1028"/>
      <c r="P64" s="1027" t="s">
        <v>347</v>
      </c>
      <c r="Q64" s="1029" t="s">
        <v>348</v>
      </c>
    </row>
    <row r="65" spans="1:17" ht="14.45" customHeight="1" x14ac:dyDescent="0.2">
      <c r="A65" s="975" t="s">
        <v>352</v>
      </c>
      <c r="B65" s="976">
        <v>17565</v>
      </c>
      <c r="C65" s="976">
        <v>17555</v>
      </c>
      <c r="D65" s="977">
        <v>129311.8</v>
      </c>
      <c r="E65" s="1608">
        <v>7.3660951295927086</v>
      </c>
      <c r="F65" s="979"/>
      <c r="G65" s="976"/>
      <c r="H65" s="976"/>
      <c r="I65" s="978"/>
      <c r="J65" s="978"/>
      <c r="K65" s="980"/>
      <c r="L65" s="981">
        <v>15303</v>
      </c>
      <c r="M65" s="977">
        <v>15303</v>
      </c>
      <c r="N65" s="977">
        <v>113099.5</v>
      </c>
      <c r="O65" s="1608">
        <v>7.3906750310396658</v>
      </c>
      <c r="P65" s="980"/>
      <c r="Q65" s="982"/>
    </row>
    <row r="66" spans="1:17" ht="14.45" customHeight="1" x14ac:dyDescent="0.2">
      <c r="A66" s="1481" t="s">
        <v>353</v>
      </c>
      <c r="B66" s="1146">
        <v>25</v>
      </c>
      <c r="C66" s="1146">
        <v>25</v>
      </c>
      <c r="D66" s="957">
        <v>175</v>
      </c>
      <c r="E66" s="2325">
        <v>7</v>
      </c>
      <c r="F66" s="1483" t="s">
        <v>984</v>
      </c>
      <c r="G66" s="1259">
        <v>1885433</v>
      </c>
      <c r="H66" s="959">
        <v>11825809.985510848</v>
      </c>
      <c r="I66" s="1489"/>
      <c r="J66" s="960"/>
      <c r="K66" s="961"/>
      <c r="L66" s="2217">
        <v>10</v>
      </c>
      <c r="M66" s="1146">
        <v>10</v>
      </c>
      <c r="N66" s="1146">
        <v>70</v>
      </c>
      <c r="O66" s="2277">
        <v>7</v>
      </c>
      <c r="P66" s="1235">
        <v>1622000</v>
      </c>
      <c r="Q66" s="1149">
        <v>11825809.985510848</v>
      </c>
    </row>
    <row r="67" spans="1:17" ht="14.45" customHeight="1" x14ac:dyDescent="0.2">
      <c r="A67" s="1481" t="s">
        <v>354</v>
      </c>
      <c r="B67" s="1146">
        <v>1150</v>
      </c>
      <c r="C67" s="1146">
        <v>1150</v>
      </c>
      <c r="D67" s="957">
        <v>8395</v>
      </c>
      <c r="E67" s="2325">
        <v>7.3</v>
      </c>
      <c r="F67" s="1483" t="s">
        <v>984</v>
      </c>
      <c r="G67" s="1259">
        <v>1885433</v>
      </c>
      <c r="H67" s="959">
        <v>11825809.985510848</v>
      </c>
      <c r="I67" s="1489"/>
      <c r="J67" s="960"/>
      <c r="K67" s="961"/>
      <c r="L67" s="2217">
        <v>900</v>
      </c>
      <c r="M67" s="1146">
        <v>900</v>
      </c>
      <c r="N67" s="1146">
        <v>6480</v>
      </c>
      <c r="O67" s="2277">
        <v>7.2</v>
      </c>
      <c r="P67" s="1235">
        <v>1622000</v>
      </c>
      <c r="Q67" s="1149">
        <v>11825809.985510848</v>
      </c>
    </row>
    <row r="68" spans="1:17" ht="14.45" customHeight="1" x14ac:dyDescent="0.2">
      <c r="A68" s="1481" t="s">
        <v>355</v>
      </c>
      <c r="B68" s="1146">
        <v>0</v>
      </c>
      <c r="C68" s="1146">
        <v>0</v>
      </c>
      <c r="D68" s="957">
        <v>0</v>
      </c>
      <c r="E68" s="2325">
        <v>0</v>
      </c>
      <c r="F68" s="1483"/>
      <c r="G68" s="1259"/>
      <c r="H68" s="959"/>
      <c r="I68" s="1489"/>
      <c r="J68" s="960"/>
      <c r="K68" s="961"/>
      <c r="L68" s="2217">
        <v>0</v>
      </c>
      <c r="M68" s="1146">
        <v>0</v>
      </c>
      <c r="N68" s="1146">
        <v>0</v>
      </c>
      <c r="O68" s="2277">
        <v>0</v>
      </c>
      <c r="P68" s="1261"/>
      <c r="Q68" s="1149"/>
    </row>
    <row r="69" spans="1:17" ht="14.45" customHeight="1" x14ac:dyDescent="0.2">
      <c r="A69" s="1481" t="s">
        <v>356</v>
      </c>
      <c r="B69" s="1146">
        <v>220</v>
      </c>
      <c r="C69" s="1146">
        <v>220</v>
      </c>
      <c r="D69" s="957">
        <v>1650</v>
      </c>
      <c r="E69" s="2325">
        <v>7.5</v>
      </c>
      <c r="F69" s="1483" t="s">
        <v>984</v>
      </c>
      <c r="G69" s="1259">
        <v>1885433</v>
      </c>
      <c r="H69" s="959">
        <v>11825809.985510848</v>
      </c>
      <c r="I69" s="1489"/>
      <c r="J69" s="960"/>
      <c r="K69" s="961"/>
      <c r="L69" s="2217">
        <v>170</v>
      </c>
      <c r="M69" s="1146">
        <v>170</v>
      </c>
      <c r="N69" s="1146">
        <v>1275</v>
      </c>
      <c r="O69" s="2277">
        <v>7.5</v>
      </c>
      <c r="P69" s="1235">
        <v>1622000</v>
      </c>
      <c r="Q69" s="1149">
        <v>11825809.985510848</v>
      </c>
    </row>
    <row r="70" spans="1:17" ht="14.45" customHeight="1" x14ac:dyDescent="0.2">
      <c r="A70" s="1481" t="s">
        <v>357</v>
      </c>
      <c r="B70" s="1146">
        <v>6750</v>
      </c>
      <c r="C70" s="1146">
        <v>6750</v>
      </c>
      <c r="D70" s="957">
        <v>49275</v>
      </c>
      <c r="E70" s="2325">
        <v>7.3</v>
      </c>
      <c r="F70" s="1483" t="s">
        <v>984</v>
      </c>
      <c r="G70" s="1259">
        <v>1885433</v>
      </c>
      <c r="H70" s="959">
        <v>11825809.985510848</v>
      </c>
      <c r="I70" s="1489"/>
      <c r="J70" s="960"/>
      <c r="K70" s="961"/>
      <c r="L70" s="2217">
        <v>5800</v>
      </c>
      <c r="M70" s="1146">
        <v>5800</v>
      </c>
      <c r="N70" s="1146">
        <v>42920</v>
      </c>
      <c r="O70" s="2277">
        <v>7.4</v>
      </c>
      <c r="P70" s="1235">
        <v>1622000</v>
      </c>
      <c r="Q70" s="1149">
        <v>11825809.985510848</v>
      </c>
    </row>
    <row r="71" spans="1:17" ht="14.45" customHeight="1" x14ac:dyDescent="0.2">
      <c r="A71" s="1481" t="s">
        <v>358</v>
      </c>
      <c r="B71" s="1146">
        <v>0</v>
      </c>
      <c r="C71" s="1146">
        <v>0</v>
      </c>
      <c r="D71" s="957">
        <v>0</v>
      </c>
      <c r="E71" s="2325">
        <v>0</v>
      </c>
      <c r="F71" s="964"/>
      <c r="G71" s="1259"/>
      <c r="H71" s="959"/>
      <c r="I71" s="1489"/>
      <c r="J71" s="960"/>
      <c r="K71" s="961"/>
      <c r="L71" s="2217">
        <v>0</v>
      </c>
      <c r="M71" s="1146">
        <v>0</v>
      </c>
      <c r="N71" s="1146">
        <v>0</v>
      </c>
      <c r="O71" s="2277">
        <v>0</v>
      </c>
      <c r="P71" s="1235"/>
      <c r="Q71" s="1149"/>
    </row>
    <row r="72" spans="1:17" ht="14.45" customHeight="1" x14ac:dyDescent="0.2">
      <c r="A72" s="1481" t="s">
        <v>359</v>
      </c>
      <c r="B72" s="1146">
        <v>125</v>
      </c>
      <c r="C72" s="1146">
        <v>125</v>
      </c>
      <c r="D72" s="957">
        <v>875</v>
      </c>
      <c r="E72" s="2325">
        <v>7</v>
      </c>
      <c r="F72" s="1483" t="s">
        <v>984</v>
      </c>
      <c r="G72" s="1259">
        <v>1885433</v>
      </c>
      <c r="H72" s="959">
        <v>11825809.985510848</v>
      </c>
      <c r="I72" s="1489"/>
      <c r="J72" s="960"/>
      <c r="K72" s="961"/>
      <c r="L72" s="2217">
        <v>100</v>
      </c>
      <c r="M72" s="1146">
        <v>100</v>
      </c>
      <c r="N72" s="1146">
        <v>700</v>
      </c>
      <c r="O72" s="2277">
        <v>7</v>
      </c>
      <c r="P72" s="1235">
        <v>1622000</v>
      </c>
      <c r="Q72" s="1149">
        <v>11825809.985510848</v>
      </c>
    </row>
    <row r="73" spans="1:17" ht="14.45" customHeight="1" x14ac:dyDescent="0.2">
      <c r="A73" s="1481" t="s">
        <v>360</v>
      </c>
      <c r="B73" s="1146">
        <v>40</v>
      </c>
      <c r="C73" s="1146">
        <v>40</v>
      </c>
      <c r="D73" s="957">
        <v>320</v>
      </c>
      <c r="E73" s="2325">
        <v>8</v>
      </c>
      <c r="F73" s="1483" t="s">
        <v>984</v>
      </c>
      <c r="G73" s="1259">
        <v>1885433</v>
      </c>
      <c r="H73" s="959">
        <v>11825809.985510848</v>
      </c>
      <c r="I73" s="1489"/>
      <c r="J73" s="960"/>
      <c r="K73" s="961"/>
      <c r="L73" s="2217">
        <v>37</v>
      </c>
      <c r="M73" s="1146">
        <v>37</v>
      </c>
      <c r="N73" s="1146">
        <v>277.5</v>
      </c>
      <c r="O73" s="2277">
        <v>7.5</v>
      </c>
      <c r="P73" s="1235">
        <v>1622000</v>
      </c>
      <c r="Q73" s="1149">
        <v>11825809.985510848</v>
      </c>
    </row>
    <row r="74" spans="1:17" ht="14.45" customHeight="1" x14ac:dyDescent="0.2">
      <c r="A74" s="1481" t="s">
        <v>361</v>
      </c>
      <c r="B74" s="1146">
        <v>4350</v>
      </c>
      <c r="C74" s="1146">
        <v>4350</v>
      </c>
      <c r="D74" s="957">
        <v>32625</v>
      </c>
      <c r="E74" s="2325">
        <v>7.5</v>
      </c>
      <c r="F74" s="1483" t="s">
        <v>984</v>
      </c>
      <c r="G74" s="1259">
        <v>1885433</v>
      </c>
      <c r="H74" s="959">
        <v>11825809.985510848</v>
      </c>
      <c r="I74" s="1489"/>
      <c r="J74" s="960"/>
      <c r="K74" s="961"/>
      <c r="L74" s="2217">
        <v>4100</v>
      </c>
      <c r="M74" s="1146">
        <v>4100</v>
      </c>
      <c r="N74" s="1146">
        <v>30750</v>
      </c>
      <c r="O74" s="2277">
        <v>7.5</v>
      </c>
      <c r="P74" s="1235">
        <v>1622000</v>
      </c>
      <c r="Q74" s="1149">
        <v>11825809.985510848</v>
      </c>
    </row>
    <row r="75" spans="1:17" ht="14.45" customHeight="1" x14ac:dyDescent="0.2">
      <c r="A75" s="1481" t="s">
        <v>362</v>
      </c>
      <c r="B75" s="1146">
        <v>370</v>
      </c>
      <c r="C75" s="1146">
        <v>370</v>
      </c>
      <c r="D75" s="957">
        <v>2775</v>
      </c>
      <c r="E75" s="2325">
        <v>7.5</v>
      </c>
      <c r="F75" s="1483" t="s">
        <v>984</v>
      </c>
      <c r="G75" s="1259">
        <v>1885433</v>
      </c>
      <c r="H75" s="959">
        <v>11825809.985510848</v>
      </c>
      <c r="I75" s="1489"/>
      <c r="J75" s="960"/>
      <c r="K75" s="961"/>
      <c r="L75" s="2217">
        <v>250</v>
      </c>
      <c r="M75" s="1146">
        <v>250</v>
      </c>
      <c r="N75" s="1146">
        <v>1850</v>
      </c>
      <c r="O75" s="2277">
        <v>7.4</v>
      </c>
      <c r="P75" s="1235">
        <v>1622000</v>
      </c>
      <c r="Q75" s="1149">
        <v>11825809.985510848</v>
      </c>
    </row>
    <row r="76" spans="1:17" ht="14.45" customHeight="1" x14ac:dyDescent="0.2">
      <c r="A76" s="1481" t="s">
        <v>363</v>
      </c>
      <c r="B76" s="1146">
        <v>0</v>
      </c>
      <c r="C76" s="1146">
        <v>0</v>
      </c>
      <c r="D76" s="957">
        <v>0</v>
      </c>
      <c r="E76" s="2325">
        <v>0</v>
      </c>
      <c r="F76" s="964"/>
      <c r="G76" s="1259"/>
      <c r="H76" s="959"/>
      <c r="I76" s="1489"/>
      <c r="J76" s="960"/>
      <c r="K76" s="961"/>
      <c r="L76" s="2217">
        <v>0</v>
      </c>
      <c r="M76" s="1146">
        <v>0</v>
      </c>
      <c r="N76" s="1146">
        <v>0</v>
      </c>
      <c r="O76" s="2277">
        <v>0</v>
      </c>
      <c r="P76" s="1261"/>
      <c r="Q76" s="1606"/>
    </row>
    <row r="77" spans="1:17" ht="14.45" customHeight="1" x14ac:dyDescent="0.2">
      <c r="A77" s="1481" t="s">
        <v>364</v>
      </c>
      <c r="B77" s="1146">
        <v>1380</v>
      </c>
      <c r="C77" s="1146">
        <v>1380</v>
      </c>
      <c r="D77" s="957">
        <v>10350</v>
      </c>
      <c r="E77" s="2325">
        <v>7.5</v>
      </c>
      <c r="F77" s="1483" t="s">
        <v>984</v>
      </c>
      <c r="G77" s="1259">
        <v>1885433</v>
      </c>
      <c r="H77" s="959">
        <v>11825809.985510848</v>
      </c>
      <c r="I77" s="1489"/>
      <c r="J77" s="960"/>
      <c r="K77" s="961"/>
      <c r="L77" s="2217">
        <v>1100</v>
      </c>
      <c r="M77" s="1146">
        <v>1100</v>
      </c>
      <c r="N77" s="1146">
        <v>8250</v>
      </c>
      <c r="O77" s="2277">
        <v>7.5</v>
      </c>
      <c r="P77" s="1235">
        <v>1622000</v>
      </c>
      <c r="Q77" s="1149">
        <v>11825809.985510848</v>
      </c>
    </row>
    <row r="78" spans="1:17" ht="14.45" customHeight="1" x14ac:dyDescent="0.2">
      <c r="A78" s="1481" t="s">
        <v>365</v>
      </c>
      <c r="B78" s="1146">
        <v>117</v>
      </c>
      <c r="C78" s="1146">
        <v>117</v>
      </c>
      <c r="D78" s="957">
        <v>819</v>
      </c>
      <c r="E78" s="2325">
        <v>7</v>
      </c>
      <c r="F78" s="1483" t="s">
        <v>984</v>
      </c>
      <c r="G78" s="1259">
        <v>1885433</v>
      </c>
      <c r="H78" s="959">
        <v>11825809.985510848</v>
      </c>
      <c r="I78" s="1489"/>
      <c r="J78" s="960"/>
      <c r="K78" s="961"/>
      <c r="L78" s="2217">
        <v>116</v>
      </c>
      <c r="M78" s="1146">
        <v>116</v>
      </c>
      <c r="N78" s="1146">
        <v>812</v>
      </c>
      <c r="O78" s="2277">
        <v>7</v>
      </c>
      <c r="P78" s="1235">
        <v>1622000</v>
      </c>
      <c r="Q78" s="1149">
        <v>11825809.985510848</v>
      </c>
    </row>
    <row r="79" spans="1:17" ht="14.45" customHeight="1" x14ac:dyDescent="0.2">
      <c r="A79" s="1481" t="s">
        <v>366</v>
      </c>
      <c r="B79" s="1146">
        <v>1610</v>
      </c>
      <c r="C79" s="1146">
        <v>1600</v>
      </c>
      <c r="D79" s="957">
        <v>11200</v>
      </c>
      <c r="E79" s="2325">
        <v>7</v>
      </c>
      <c r="F79" s="1483" t="s">
        <v>984</v>
      </c>
      <c r="G79" s="1259">
        <v>1885433</v>
      </c>
      <c r="H79" s="959">
        <v>11825809.985510848</v>
      </c>
      <c r="I79" s="1489"/>
      <c r="J79" s="960"/>
      <c r="K79" s="961"/>
      <c r="L79" s="2217">
        <v>1370</v>
      </c>
      <c r="M79" s="1146">
        <v>1370</v>
      </c>
      <c r="N79" s="1146">
        <v>9590</v>
      </c>
      <c r="O79" s="2277">
        <v>7</v>
      </c>
      <c r="P79" s="1235">
        <v>1622000</v>
      </c>
      <c r="Q79" s="1149">
        <v>11825809.985510848</v>
      </c>
    </row>
    <row r="80" spans="1:17" ht="14.45" customHeight="1" x14ac:dyDescent="0.2">
      <c r="A80" s="1481" t="s">
        <v>367</v>
      </c>
      <c r="B80" s="1146">
        <v>1428</v>
      </c>
      <c r="C80" s="1146">
        <v>1428</v>
      </c>
      <c r="D80" s="957">
        <v>10852.8</v>
      </c>
      <c r="E80" s="2325">
        <v>7.6</v>
      </c>
      <c r="F80" s="1483" t="s">
        <v>984</v>
      </c>
      <c r="G80" s="1259">
        <v>1885433</v>
      </c>
      <c r="H80" s="959">
        <v>11825809.985510848</v>
      </c>
      <c r="I80" s="1489"/>
      <c r="J80" s="960"/>
      <c r="K80" s="961"/>
      <c r="L80" s="2217">
        <v>1350</v>
      </c>
      <c r="M80" s="1146">
        <v>1350</v>
      </c>
      <c r="N80" s="1146">
        <v>10125</v>
      </c>
      <c r="O80" s="2277">
        <v>7.5</v>
      </c>
      <c r="P80" s="1235">
        <v>1622000</v>
      </c>
      <c r="Q80" s="1149">
        <v>11825809.985510848</v>
      </c>
    </row>
    <row r="81" spans="1:17" ht="14.45" customHeight="1" x14ac:dyDescent="0.2">
      <c r="A81" s="1484" t="s">
        <v>368</v>
      </c>
      <c r="B81" s="1002">
        <v>994</v>
      </c>
      <c r="C81" s="984">
        <v>994</v>
      </c>
      <c r="D81" s="2308">
        <v>7455</v>
      </c>
      <c r="E81" s="2353">
        <v>7.5</v>
      </c>
      <c r="F81" s="987"/>
      <c r="G81" s="1486"/>
      <c r="H81" s="988"/>
      <c r="I81" s="1490"/>
      <c r="J81" s="989"/>
      <c r="K81" s="990"/>
      <c r="L81" s="1453">
        <v>750</v>
      </c>
      <c r="M81" s="1002">
        <v>750</v>
      </c>
      <c r="N81" s="1002">
        <v>5625</v>
      </c>
      <c r="O81" s="2216">
        <v>7.5</v>
      </c>
      <c r="P81" s="1604"/>
      <c r="Q81" s="1605"/>
    </row>
    <row r="82" spans="1:17" ht="14.45" customHeight="1" x14ac:dyDescent="0.2">
      <c r="A82" s="1481" t="s">
        <v>369</v>
      </c>
      <c r="B82" s="1146">
        <v>0</v>
      </c>
      <c r="C82" s="1146">
        <v>0</v>
      </c>
      <c r="D82" s="957">
        <v>0</v>
      </c>
      <c r="E82" s="2354">
        <v>0</v>
      </c>
      <c r="F82" s="964"/>
      <c r="G82" s="1259"/>
      <c r="H82" s="959"/>
      <c r="I82" s="1489"/>
      <c r="J82" s="960"/>
      <c r="K82" s="961"/>
      <c r="L82" s="2217">
        <v>0</v>
      </c>
      <c r="M82" s="1146">
        <v>0</v>
      </c>
      <c r="N82" s="1146">
        <v>0</v>
      </c>
      <c r="O82" s="2233">
        <v>0</v>
      </c>
      <c r="P82" s="1261"/>
      <c r="Q82" s="1606"/>
    </row>
    <row r="83" spans="1:17" ht="14.45" customHeight="1" x14ac:dyDescent="0.2">
      <c r="A83" s="1481" t="s">
        <v>370</v>
      </c>
      <c r="B83" s="1146">
        <v>0</v>
      </c>
      <c r="C83" s="1146">
        <v>0</v>
      </c>
      <c r="D83" s="957">
        <v>0</v>
      </c>
      <c r="E83" s="2354">
        <v>0</v>
      </c>
      <c r="F83" s="964"/>
      <c r="G83" s="1259"/>
      <c r="H83" s="959"/>
      <c r="I83" s="1489"/>
      <c r="J83" s="960"/>
      <c r="K83" s="961"/>
      <c r="L83" s="2217">
        <v>0</v>
      </c>
      <c r="M83" s="1146">
        <v>0</v>
      </c>
      <c r="N83" s="1146">
        <v>0</v>
      </c>
      <c r="O83" s="2233">
        <v>0</v>
      </c>
      <c r="P83" s="1261"/>
      <c r="Q83" s="1606"/>
    </row>
    <row r="84" spans="1:17" ht="14.45" customHeight="1" x14ac:dyDescent="0.2">
      <c r="A84" s="1481" t="s">
        <v>371</v>
      </c>
      <c r="B84" s="1146">
        <v>0</v>
      </c>
      <c r="C84" s="1146">
        <v>0</v>
      </c>
      <c r="D84" s="957">
        <v>0</v>
      </c>
      <c r="E84" s="2354">
        <v>0</v>
      </c>
      <c r="F84" s="964"/>
      <c r="G84" s="1259"/>
      <c r="H84" s="959"/>
      <c r="I84" s="1489"/>
      <c r="J84" s="960"/>
      <c r="K84" s="961"/>
      <c r="L84" s="2217">
        <v>0</v>
      </c>
      <c r="M84" s="1146">
        <v>0</v>
      </c>
      <c r="N84" s="1146">
        <v>0</v>
      </c>
      <c r="O84" s="2233">
        <v>0</v>
      </c>
      <c r="P84" s="1261"/>
      <c r="Q84" s="1606"/>
    </row>
    <row r="85" spans="1:17" ht="14.45" customHeight="1" x14ac:dyDescent="0.2">
      <c r="A85" s="1481" t="s">
        <v>372</v>
      </c>
      <c r="B85" s="1146">
        <v>300</v>
      </c>
      <c r="C85" s="1146">
        <v>300</v>
      </c>
      <c r="D85" s="957">
        <v>2250</v>
      </c>
      <c r="E85" s="2325">
        <v>7.5</v>
      </c>
      <c r="F85" s="1483" t="s">
        <v>984</v>
      </c>
      <c r="G85" s="1259">
        <v>1885433</v>
      </c>
      <c r="H85" s="959">
        <v>11825809.985510848</v>
      </c>
      <c r="I85" s="1489"/>
      <c r="J85" s="960"/>
      <c r="K85" s="961"/>
      <c r="L85" s="2217">
        <v>200</v>
      </c>
      <c r="M85" s="1146">
        <v>200</v>
      </c>
      <c r="N85" s="1146">
        <v>1500</v>
      </c>
      <c r="O85" s="2277">
        <v>7.5</v>
      </c>
      <c r="P85" s="1235">
        <v>1622000</v>
      </c>
      <c r="Q85" s="1149">
        <v>11825809.985510848</v>
      </c>
    </row>
    <row r="86" spans="1:17" ht="14.45" customHeight="1" x14ac:dyDescent="0.2">
      <c r="A86" s="1481" t="s">
        <v>373</v>
      </c>
      <c r="B86" s="1146">
        <v>694</v>
      </c>
      <c r="C86" s="1146">
        <v>694</v>
      </c>
      <c r="D86" s="957">
        <v>5205</v>
      </c>
      <c r="E86" s="2325">
        <v>7.5</v>
      </c>
      <c r="F86" s="1483" t="s">
        <v>984</v>
      </c>
      <c r="G86" s="1259">
        <v>1885433</v>
      </c>
      <c r="H86" s="959">
        <v>11825809.985510848</v>
      </c>
      <c r="I86" s="1489"/>
      <c r="J86" s="960"/>
      <c r="K86" s="961"/>
      <c r="L86" s="2217">
        <v>550</v>
      </c>
      <c r="M86" s="1146">
        <v>550</v>
      </c>
      <c r="N86" s="1146">
        <v>4125</v>
      </c>
      <c r="O86" s="2277">
        <v>7.5</v>
      </c>
      <c r="P86" s="1235">
        <v>1622000</v>
      </c>
      <c r="Q86" s="1149">
        <v>11825809.985510848</v>
      </c>
    </row>
    <row r="87" spans="1:17" ht="14.45" customHeight="1" x14ac:dyDescent="0.2">
      <c r="A87" s="1484" t="s">
        <v>374</v>
      </c>
      <c r="B87" s="1002">
        <v>80</v>
      </c>
      <c r="C87" s="984">
        <v>80</v>
      </c>
      <c r="D87" s="984">
        <v>920</v>
      </c>
      <c r="E87" s="2353">
        <v>11.5</v>
      </c>
      <c r="F87" s="987"/>
      <c r="G87" s="1488"/>
      <c r="H87" s="996"/>
      <c r="I87" s="1491"/>
      <c r="J87" s="997"/>
      <c r="K87" s="998"/>
      <c r="L87" s="1453">
        <v>118</v>
      </c>
      <c r="M87" s="1002">
        <v>118</v>
      </c>
      <c r="N87" s="1002">
        <v>829.2</v>
      </c>
      <c r="O87" s="2216">
        <v>7.0271186440677971</v>
      </c>
      <c r="P87" s="1604"/>
      <c r="Q87" s="1605"/>
    </row>
    <row r="88" spans="1:17" ht="14.45" customHeight="1" x14ac:dyDescent="0.2">
      <c r="A88" s="1481" t="s">
        <v>375</v>
      </c>
      <c r="B88" s="1146">
        <v>80</v>
      </c>
      <c r="C88" s="1146">
        <v>80</v>
      </c>
      <c r="D88" s="957">
        <v>560</v>
      </c>
      <c r="E88" s="2355">
        <v>7</v>
      </c>
      <c r="F88" s="1483" t="s">
        <v>984</v>
      </c>
      <c r="G88" s="1259">
        <v>1885433</v>
      </c>
      <c r="H88" s="959">
        <v>11825809.985510848</v>
      </c>
      <c r="I88" s="1489"/>
      <c r="J88" s="960"/>
      <c r="K88" s="961"/>
      <c r="L88" s="2217">
        <v>60</v>
      </c>
      <c r="M88" s="1146">
        <v>60</v>
      </c>
      <c r="N88" s="1146">
        <v>420</v>
      </c>
      <c r="O88" s="2277">
        <v>7</v>
      </c>
      <c r="P88" s="1235">
        <v>1622000</v>
      </c>
      <c r="Q88" s="1149">
        <v>11825809.985510848</v>
      </c>
    </row>
    <row r="89" spans="1:17" ht="14.45" customHeight="1" x14ac:dyDescent="0.2">
      <c r="A89" s="1481" t="s">
        <v>376</v>
      </c>
      <c r="B89" s="1146">
        <v>0</v>
      </c>
      <c r="C89" s="1146">
        <v>0</v>
      </c>
      <c r="D89" s="957">
        <v>0</v>
      </c>
      <c r="E89" s="2355">
        <v>0</v>
      </c>
      <c r="F89" s="1483"/>
      <c r="G89" s="1259"/>
      <c r="H89" s="959"/>
      <c r="I89" s="1489"/>
      <c r="J89" s="960"/>
      <c r="K89" s="961"/>
      <c r="L89" s="2217">
        <v>0</v>
      </c>
      <c r="M89" s="1146">
        <v>0</v>
      </c>
      <c r="N89" s="1146">
        <v>0</v>
      </c>
      <c r="O89" s="2277">
        <v>0</v>
      </c>
      <c r="P89" s="1261"/>
      <c r="Q89" s="1149"/>
    </row>
    <row r="90" spans="1:17" ht="14.45" customHeight="1" x14ac:dyDescent="0.2">
      <c r="A90" s="1481" t="s">
        <v>377</v>
      </c>
      <c r="B90" s="1146">
        <v>50</v>
      </c>
      <c r="C90" s="1146">
        <v>50</v>
      </c>
      <c r="D90" s="957">
        <v>300</v>
      </c>
      <c r="E90" s="2355">
        <v>6</v>
      </c>
      <c r="F90" s="1483" t="s">
        <v>984</v>
      </c>
      <c r="G90" s="1259">
        <v>1885433</v>
      </c>
      <c r="H90" s="959">
        <v>11825809.985510848</v>
      </c>
      <c r="I90" s="1489"/>
      <c r="J90" s="960"/>
      <c r="K90" s="961"/>
      <c r="L90" s="2217">
        <v>50</v>
      </c>
      <c r="M90" s="1146">
        <v>50</v>
      </c>
      <c r="N90" s="1146">
        <v>350</v>
      </c>
      <c r="O90" s="2277">
        <v>7</v>
      </c>
      <c r="P90" s="1235">
        <v>1622000</v>
      </c>
      <c r="Q90" s="1149">
        <v>11825809.985510848</v>
      </c>
    </row>
    <row r="91" spans="1:17" ht="14.45" customHeight="1" x14ac:dyDescent="0.2">
      <c r="A91" s="1481" t="s">
        <v>378</v>
      </c>
      <c r="B91" s="1146">
        <v>8</v>
      </c>
      <c r="C91" s="1146">
        <v>8</v>
      </c>
      <c r="D91" s="957">
        <v>60</v>
      </c>
      <c r="E91" s="2355">
        <v>7.5</v>
      </c>
      <c r="F91" s="1483" t="s">
        <v>984</v>
      </c>
      <c r="G91" s="1259">
        <v>1885433</v>
      </c>
      <c r="H91" s="959">
        <v>11825809.985510848</v>
      </c>
      <c r="I91" s="1492"/>
      <c r="J91" s="960"/>
      <c r="K91" s="967"/>
      <c r="L91" s="2217">
        <v>8</v>
      </c>
      <c r="M91" s="1146">
        <v>8</v>
      </c>
      <c r="N91" s="1146">
        <v>59.2</v>
      </c>
      <c r="O91" s="2277">
        <v>7.4</v>
      </c>
      <c r="P91" s="1235">
        <v>1622000</v>
      </c>
      <c r="Q91" s="1149">
        <v>11825809.985510848</v>
      </c>
    </row>
    <row r="92" spans="1:17" ht="14.45" customHeight="1" x14ac:dyDescent="0.2">
      <c r="A92" s="1481" t="s">
        <v>379</v>
      </c>
      <c r="B92" s="957">
        <v>0</v>
      </c>
      <c r="C92" s="957">
        <v>0</v>
      </c>
      <c r="D92" s="957">
        <v>0</v>
      </c>
      <c r="E92" s="2356">
        <v>0</v>
      </c>
      <c r="F92" s="958"/>
      <c r="G92" s="965"/>
      <c r="H92" s="965"/>
      <c r="I92" s="1492"/>
      <c r="J92" s="966"/>
      <c r="K92" s="967"/>
      <c r="L92" s="2217">
        <v>0</v>
      </c>
      <c r="M92" s="1146">
        <v>0</v>
      </c>
      <c r="N92" s="1146">
        <v>0</v>
      </c>
      <c r="O92" s="2233">
        <v>0</v>
      </c>
      <c r="P92" s="1261"/>
      <c r="Q92" s="1606"/>
    </row>
    <row r="93" spans="1:17" ht="14.45" customHeight="1" x14ac:dyDescent="0.2">
      <c r="A93" s="954" t="s">
        <v>380</v>
      </c>
      <c r="B93" s="957">
        <v>0</v>
      </c>
      <c r="C93" s="957">
        <v>0</v>
      </c>
      <c r="D93" s="957">
        <v>0</v>
      </c>
      <c r="E93" s="2356">
        <v>0</v>
      </c>
      <c r="F93" s="1483"/>
      <c r="G93" s="1259"/>
      <c r="H93" s="959"/>
      <c r="I93" s="1492"/>
      <c r="J93" s="966"/>
      <c r="K93" s="967"/>
      <c r="L93" s="2217">
        <v>0</v>
      </c>
      <c r="M93" s="1146">
        <v>0</v>
      </c>
      <c r="N93" s="1146">
        <v>0</v>
      </c>
      <c r="O93" s="2233">
        <v>0</v>
      </c>
      <c r="P93" s="1261"/>
      <c r="Q93" s="1149"/>
    </row>
    <row r="94" spans="1:17" ht="14.45" customHeight="1" x14ac:dyDescent="0.2">
      <c r="A94" s="954" t="s">
        <v>381</v>
      </c>
      <c r="B94" s="957">
        <v>0</v>
      </c>
      <c r="C94" s="957">
        <v>0</v>
      </c>
      <c r="D94" s="957">
        <v>0</v>
      </c>
      <c r="E94" s="2356">
        <v>0</v>
      </c>
      <c r="F94" s="958"/>
      <c r="G94" s="965"/>
      <c r="H94" s="965"/>
      <c r="I94" s="966"/>
      <c r="J94" s="966"/>
      <c r="K94" s="967"/>
      <c r="L94" s="2217">
        <v>0</v>
      </c>
      <c r="M94" s="1146">
        <v>0</v>
      </c>
      <c r="N94" s="1146">
        <v>0</v>
      </c>
      <c r="O94" s="2233">
        <v>0</v>
      </c>
      <c r="P94" s="1261"/>
      <c r="Q94" s="1606"/>
    </row>
    <row r="95" spans="1:17" ht="14.45" customHeight="1" x14ac:dyDescent="0.2">
      <c r="A95" s="954" t="s">
        <v>382</v>
      </c>
      <c r="B95" s="957">
        <v>0</v>
      </c>
      <c r="C95" s="957">
        <v>0</v>
      </c>
      <c r="D95" s="957">
        <v>0</v>
      </c>
      <c r="E95" s="2356">
        <v>0</v>
      </c>
      <c r="F95" s="958"/>
      <c r="G95" s="965"/>
      <c r="H95" s="965"/>
      <c r="I95" s="966"/>
      <c r="J95" s="966"/>
      <c r="K95" s="967"/>
      <c r="L95" s="2217">
        <v>0</v>
      </c>
      <c r="M95" s="1146">
        <v>0</v>
      </c>
      <c r="N95" s="1146">
        <v>0</v>
      </c>
      <c r="O95" s="2233">
        <v>0</v>
      </c>
      <c r="P95" s="1261"/>
      <c r="Q95" s="1606"/>
    </row>
    <row r="96" spans="1:17" ht="14.45" customHeight="1" x14ac:dyDescent="0.2">
      <c r="A96" s="983" t="s">
        <v>383</v>
      </c>
      <c r="B96" s="1002">
        <v>0</v>
      </c>
      <c r="C96" s="1002">
        <v>0</v>
      </c>
      <c r="D96" s="1002">
        <v>0</v>
      </c>
      <c r="E96" s="2357"/>
      <c r="F96" s="1003"/>
      <c r="G96" s="1004"/>
      <c r="H96" s="1004"/>
      <c r="I96" s="1005"/>
      <c r="J96" s="1005"/>
      <c r="K96" s="949"/>
      <c r="L96" s="1453">
        <v>0</v>
      </c>
      <c r="M96" s="1002">
        <v>0</v>
      </c>
      <c r="N96" s="1002">
        <v>0</v>
      </c>
      <c r="O96" s="2278"/>
      <c r="P96" s="1604"/>
      <c r="Q96" s="1605"/>
    </row>
    <row r="97" spans="1:17" ht="14.45" customHeight="1" x14ac:dyDescent="0.2">
      <c r="A97" s="954" t="s">
        <v>384</v>
      </c>
      <c r="B97" s="957">
        <v>0</v>
      </c>
      <c r="C97" s="957">
        <v>0</v>
      </c>
      <c r="D97" s="957">
        <v>0</v>
      </c>
      <c r="E97" s="2356">
        <v>0</v>
      </c>
      <c r="F97" s="958"/>
      <c r="G97" s="965"/>
      <c r="H97" s="965"/>
      <c r="I97" s="966"/>
      <c r="J97" s="966"/>
      <c r="K97" s="967"/>
      <c r="L97" s="2217">
        <v>0</v>
      </c>
      <c r="M97" s="1146">
        <v>0</v>
      </c>
      <c r="N97" s="1146">
        <v>0</v>
      </c>
      <c r="O97" s="2233">
        <v>0</v>
      </c>
      <c r="P97" s="1261"/>
      <c r="Q97" s="1606"/>
    </row>
    <row r="98" spans="1:17" ht="14.45" customHeight="1" x14ac:dyDescent="0.2">
      <c r="A98" s="954" t="s">
        <v>385</v>
      </c>
      <c r="B98" s="957">
        <v>0</v>
      </c>
      <c r="C98" s="957">
        <v>0</v>
      </c>
      <c r="D98" s="957">
        <v>0</v>
      </c>
      <c r="E98" s="2356">
        <v>0</v>
      </c>
      <c r="F98" s="958"/>
      <c r="G98" s="965"/>
      <c r="H98" s="965"/>
      <c r="I98" s="966"/>
      <c r="J98" s="966"/>
      <c r="K98" s="967"/>
      <c r="L98" s="2217">
        <v>0</v>
      </c>
      <c r="M98" s="1146">
        <v>0</v>
      </c>
      <c r="N98" s="1146">
        <v>0</v>
      </c>
      <c r="O98" s="2233">
        <v>0</v>
      </c>
      <c r="P98" s="1261"/>
      <c r="Q98" s="1606"/>
    </row>
    <row r="99" spans="1:17" ht="14.45" customHeight="1" x14ac:dyDescent="0.2">
      <c r="A99" s="954" t="s">
        <v>386</v>
      </c>
      <c r="B99" s="957">
        <v>0</v>
      </c>
      <c r="C99" s="957">
        <v>0</v>
      </c>
      <c r="D99" s="957">
        <v>0</v>
      </c>
      <c r="E99" s="2356">
        <v>0</v>
      </c>
      <c r="F99" s="958"/>
      <c r="G99" s="965"/>
      <c r="H99" s="965"/>
      <c r="I99" s="966"/>
      <c r="J99" s="966"/>
      <c r="K99" s="967"/>
      <c r="L99" s="2217">
        <v>0</v>
      </c>
      <c r="M99" s="1146">
        <v>0</v>
      </c>
      <c r="N99" s="1146">
        <v>0</v>
      </c>
      <c r="O99" s="2233">
        <v>0</v>
      </c>
      <c r="P99" s="1261"/>
      <c r="Q99" s="1606"/>
    </row>
    <row r="100" spans="1:17" ht="14.45" customHeight="1" x14ac:dyDescent="0.2">
      <c r="A100" s="954" t="s">
        <v>387</v>
      </c>
      <c r="B100" s="957">
        <v>0</v>
      </c>
      <c r="C100" s="957">
        <v>0</v>
      </c>
      <c r="D100" s="957">
        <v>0</v>
      </c>
      <c r="E100" s="2356">
        <v>0</v>
      </c>
      <c r="F100" s="958"/>
      <c r="G100" s="965"/>
      <c r="H100" s="965"/>
      <c r="I100" s="966"/>
      <c r="J100" s="966"/>
      <c r="K100" s="967"/>
      <c r="L100" s="2217">
        <v>0</v>
      </c>
      <c r="M100" s="1146">
        <v>0</v>
      </c>
      <c r="N100" s="1146">
        <v>0</v>
      </c>
      <c r="O100" s="2233">
        <v>0</v>
      </c>
      <c r="P100" s="1261"/>
      <c r="Q100" s="1606"/>
    </row>
    <row r="101" spans="1:17" ht="14.45" customHeight="1" x14ac:dyDescent="0.2">
      <c r="A101" s="954" t="s">
        <v>388</v>
      </c>
      <c r="B101" s="957">
        <v>0</v>
      </c>
      <c r="C101" s="957">
        <v>0</v>
      </c>
      <c r="D101" s="957">
        <v>0</v>
      </c>
      <c r="E101" s="2356">
        <v>0</v>
      </c>
      <c r="F101" s="958"/>
      <c r="G101" s="965"/>
      <c r="H101" s="965"/>
      <c r="I101" s="966"/>
      <c r="J101" s="966"/>
      <c r="K101" s="967"/>
      <c r="L101" s="2217"/>
      <c r="M101" s="1146"/>
      <c r="N101" s="1146">
        <v>0</v>
      </c>
      <c r="O101" s="2233">
        <v>0</v>
      </c>
      <c r="P101" s="1261"/>
      <c r="Q101" s="1606"/>
    </row>
    <row r="102" spans="1:17" ht="14.45" customHeight="1" x14ac:dyDescent="0.2">
      <c r="A102" s="954" t="s">
        <v>389</v>
      </c>
      <c r="B102" s="957">
        <v>0</v>
      </c>
      <c r="C102" s="957">
        <v>0</v>
      </c>
      <c r="D102" s="957">
        <v>0</v>
      </c>
      <c r="E102" s="2356">
        <v>0</v>
      </c>
      <c r="F102" s="958"/>
      <c r="G102" s="965"/>
      <c r="H102" s="965"/>
      <c r="I102" s="966"/>
      <c r="J102" s="966"/>
      <c r="K102" s="967"/>
      <c r="L102" s="2217"/>
      <c r="M102" s="1146"/>
      <c r="N102" s="1146">
        <v>0</v>
      </c>
      <c r="O102" s="2233">
        <v>0</v>
      </c>
      <c r="P102" s="1261"/>
      <c r="Q102" s="1606"/>
    </row>
    <row r="103" spans="1:17" ht="14.45" customHeight="1" x14ac:dyDescent="0.2">
      <c r="A103" s="954" t="s">
        <v>390</v>
      </c>
      <c r="B103" s="957">
        <v>0</v>
      </c>
      <c r="C103" s="957">
        <v>0</v>
      </c>
      <c r="D103" s="957">
        <v>0</v>
      </c>
      <c r="E103" s="2356">
        <v>0</v>
      </c>
      <c r="F103" s="958"/>
      <c r="G103" s="965"/>
      <c r="H103" s="965"/>
      <c r="I103" s="966"/>
      <c r="J103" s="966"/>
      <c r="K103" s="967"/>
      <c r="L103" s="2217">
        <v>0</v>
      </c>
      <c r="M103" s="1146">
        <v>0</v>
      </c>
      <c r="N103" s="1146">
        <v>0</v>
      </c>
      <c r="O103" s="2233">
        <v>0</v>
      </c>
      <c r="P103" s="1261"/>
      <c r="Q103" s="1606"/>
    </row>
    <row r="104" spans="1:17" ht="14.45" customHeight="1" x14ac:dyDescent="0.2">
      <c r="A104" s="954" t="s">
        <v>391</v>
      </c>
      <c r="B104" s="957">
        <v>0</v>
      </c>
      <c r="C104" s="957">
        <v>0</v>
      </c>
      <c r="D104" s="957">
        <v>0</v>
      </c>
      <c r="E104" s="2356">
        <v>0</v>
      </c>
      <c r="F104" s="958"/>
      <c r="G104" s="965"/>
      <c r="H104" s="965"/>
      <c r="I104" s="966"/>
      <c r="J104" s="966"/>
      <c r="K104" s="967"/>
      <c r="L104" s="2217">
        <v>0</v>
      </c>
      <c r="M104" s="1146">
        <v>0</v>
      </c>
      <c r="N104" s="1146">
        <v>0</v>
      </c>
      <c r="O104" s="2233">
        <v>0</v>
      </c>
      <c r="P104" s="1261"/>
      <c r="Q104" s="1606"/>
    </row>
    <row r="105" spans="1:17" ht="14.45" customHeight="1" x14ac:dyDescent="0.2">
      <c r="A105" s="953" t="s">
        <v>392</v>
      </c>
      <c r="B105" s="957">
        <v>0</v>
      </c>
      <c r="C105" s="957">
        <v>0</v>
      </c>
      <c r="D105" s="957">
        <v>0</v>
      </c>
      <c r="E105" s="2356">
        <v>0</v>
      </c>
      <c r="F105" s="972"/>
      <c r="G105" s="970"/>
      <c r="H105" s="970"/>
      <c r="I105" s="973"/>
      <c r="J105" s="973"/>
      <c r="K105" s="974"/>
      <c r="L105" s="2217">
        <v>0</v>
      </c>
      <c r="M105" s="1146">
        <v>0</v>
      </c>
      <c r="N105" s="1141">
        <v>0</v>
      </c>
      <c r="O105" s="2233">
        <v>0</v>
      </c>
      <c r="P105" s="1621"/>
      <c r="Q105" s="1972"/>
    </row>
    <row r="106" spans="1:17" ht="14.45" customHeight="1" thickBot="1" x14ac:dyDescent="0.25">
      <c r="A106" s="1006" t="s">
        <v>393</v>
      </c>
      <c r="B106" s="1007">
        <v>18639</v>
      </c>
      <c r="C106" s="1007">
        <v>18629</v>
      </c>
      <c r="D106" s="1007">
        <v>137686.79999999999</v>
      </c>
      <c r="E106" s="1482">
        <v>7.390992538515218</v>
      </c>
      <c r="F106" s="1883" t="s">
        <v>984</v>
      </c>
      <c r="G106" s="1085">
        <v>1885433.0000000002</v>
      </c>
      <c r="H106" s="1085">
        <v>11862609.007945508</v>
      </c>
      <c r="I106" s="1008"/>
      <c r="J106" s="1008" t="s">
        <v>983</v>
      </c>
      <c r="K106" s="1011"/>
      <c r="L106" s="1007">
        <v>16171</v>
      </c>
      <c r="M106" s="1007">
        <v>16171</v>
      </c>
      <c r="N106" s="1007">
        <v>119553.7</v>
      </c>
      <c r="O106" s="1083">
        <v>7.3930925731247292</v>
      </c>
      <c r="P106" s="1603">
        <v>1622000.0000000002</v>
      </c>
      <c r="Q106" s="1607">
        <v>11825809.985510852</v>
      </c>
    </row>
    <row r="107" spans="1:17" x14ac:dyDescent="0.2">
      <c r="A107" s="7" t="s">
        <v>1934</v>
      </c>
      <c r="B107" s="8"/>
      <c r="C107" s="8"/>
      <c r="D107" s="8"/>
      <c r="E107" s="4"/>
      <c r="F107" s="5"/>
      <c r="G107" s="9"/>
      <c r="H107" s="8"/>
      <c r="I107" s="4"/>
      <c r="J107" s="1"/>
      <c r="K107" s="1"/>
      <c r="L107" s="11"/>
      <c r="M107" s="11"/>
      <c r="N107" s="12"/>
      <c r="O107" s="13"/>
      <c r="P107" s="13"/>
      <c r="Q107" s="12"/>
    </row>
    <row r="108" spans="1:17" x14ac:dyDescent="0.2">
      <c r="A108" s="7"/>
      <c r="B108" s="8"/>
      <c r="C108" s="8"/>
      <c r="D108" s="8"/>
      <c r="E108" s="4"/>
      <c r="F108" s="5"/>
      <c r="G108" s="9"/>
      <c r="H108" s="8"/>
      <c r="I108" s="4"/>
      <c r="J108" s="1"/>
      <c r="K108" s="1"/>
      <c r="L108" s="176"/>
      <c r="M108" s="176"/>
      <c r="O108" s="1"/>
      <c r="P108" s="1"/>
    </row>
    <row r="109" spans="1:17" x14ac:dyDescent="0.2">
      <c r="A109" s="7"/>
      <c r="B109" s="8"/>
      <c r="C109" s="8"/>
      <c r="D109" s="8"/>
      <c r="E109" s="4"/>
      <c r="F109" s="5"/>
      <c r="G109" s="9"/>
      <c r="H109" s="8"/>
      <c r="I109" s="4"/>
      <c r="J109" s="1"/>
      <c r="K109" s="1"/>
      <c r="L109" s="176"/>
      <c r="N109" s="176"/>
      <c r="O109" s="22"/>
      <c r="P109" s="1"/>
      <c r="Q109" s="10"/>
    </row>
    <row r="110" spans="1:17" x14ac:dyDescent="0.2">
      <c r="A110" s="7"/>
      <c r="B110" s="15"/>
      <c r="C110" s="8"/>
      <c r="D110" s="8"/>
      <c r="E110" s="4"/>
      <c r="F110" s="5"/>
      <c r="G110" s="9"/>
      <c r="H110" s="8"/>
      <c r="I110" s="4"/>
      <c r="J110" s="1"/>
      <c r="K110" s="1"/>
      <c r="L110" s="176"/>
      <c r="M110" s="176"/>
      <c r="O110" s="22"/>
      <c r="P110" s="1"/>
      <c r="Q110" s="10"/>
    </row>
    <row r="111" spans="1:17" x14ac:dyDescent="0.2">
      <c r="A111" s="7"/>
      <c r="B111" s="15"/>
      <c r="C111" s="8"/>
      <c r="D111" s="8"/>
      <c r="E111" s="2380"/>
      <c r="F111" s="5"/>
      <c r="G111" s="9"/>
      <c r="H111" s="8"/>
      <c r="I111" s="2380"/>
      <c r="J111" s="2381"/>
      <c r="K111" s="2381"/>
      <c r="L111" s="176"/>
      <c r="M111" s="176"/>
      <c r="O111" s="22"/>
      <c r="P111" s="2381"/>
      <c r="Q111" s="10"/>
    </row>
    <row r="112" spans="1:17" x14ac:dyDescent="0.2">
      <c r="A112" s="7"/>
      <c r="B112" s="15"/>
      <c r="C112" s="8"/>
      <c r="D112" s="8"/>
      <c r="E112" s="2380"/>
      <c r="F112" s="5"/>
      <c r="G112" s="9"/>
      <c r="H112" s="8"/>
      <c r="I112" s="2380"/>
      <c r="J112" s="2381"/>
      <c r="K112" s="2381"/>
      <c r="L112" s="176"/>
      <c r="M112" s="176"/>
      <c r="O112" s="22"/>
      <c r="P112" s="2381"/>
      <c r="Q112" s="10"/>
    </row>
    <row r="113" spans="1:17" ht="15.75" customHeight="1" x14ac:dyDescent="0.25">
      <c r="A113" s="2512" t="s">
        <v>1929</v>
      </c>
      <c r="B113" s="2512"/>
      <c r="C113" s="2512"/>
      <c r="D113" s="2512"/>
      <c r="E113" s="2512"/>
      <c r="F113" s="2512"/>
      <c r="G113" s="2512"/>
      <c r="H113" s="2512"/>
      <c r="I113" s="2512"/>
      <c r="J113" s="2512"/>
      <c r="K113" s="2512"/>
      <c r="L113" s="2512"/>
      <c r="M113" s="2512"/>
      <c r="N113" s="2512"/>
      <c r="O113" s="2512"/>
      <c r="P113" s="2512"/>
      <c r="Q113" s="2512"/>
    </row>
    <row r="114" spans="1:17" x14ac:dyDescent="0.2">
      <c r="A114" s="3"/>
      <c r="B114" s="6"/>
      <c r="C114" s="6"/>
      <c r="D114" s="6"/>
      <c r="E114" s="1"/>
      <c r="F114" s="14"/>
      <c r="G114" s="6"/>
      <c r="H114" s="6"/>
      <c r="I114" s="1"/>
      <c r="J114" s="1"/>
      <c r="K114" s="1"/>
      <c r="L114" s="6"/>
      <c r="M114" s="6"/>
      <c r="N114" s="6"/>
      <c r="O114" s="1"/>
      <c r="P114" s="1"/>
      <c r="Q114" s="6"/>
    </row>
    <row r="115" spans="1:17" ht="13.5" thickBot="1" x14ac:dyDescent="0.25">
      <c r="A115" s="3" t="s">
        <v>395</v>
      </c>
      <c r="B115" s="6"/>
      <c r="C115" s="6"/>
      <c r="D115" s="6"/>
      <c r="E115" s="1"/>
      <c r="F115" s="2"/>
      <c r="G115" s="6"/>
      <c r="H115" s="6"/>
      <c r="I115" s="1"/>
      <c r="J115" s="1"/>
      <c r="K115" s="1"/>
      <c r="L115" s="6"/>
      <c r="M115" s="6"/>
      <c r="N115" s="6"/>
      <c r="O115" s="1"/>
      <c r="P115" s="1"/>
      <c r="Q115" s="6"/>
    </row>
    <row r="116" spans="1:17" ht="14.45" customHeight="1" thickBot="1" x14ac:dyDescent="0.25">
      <c r="A116" s="2513" t="s">
        <v>327</v>
      </c>
      <c r="B116" s="2516" t="s">
        <v>1935</v>
      </c>
      <c r="C116" s="2517"/>
      <c r="D116" s="2517"/>
      <c r="E116" s="2517"/>
      <c r="F116" s="2517"/>
      <c r="G116" s="2517"/>
      <c r="H116" s="2517"/>
      <c r="I116" s="2517"/>
      <c r="J116" s="2517"/>
      <c r="K116" s="2517"/>
      <c r="L116" s="2518" t="s">
        <v>1930</v>
      </c>
      <c r="M116" s="2519"/>
      <c r="N116" s="2519"/>
      <c r="O116" s="2519"/>
      <c r="P116" s="2520"/>
      <c r="Q116" s="2521"/>
    </row>
    <row r="117" spans="1:17" ht="14.45" customHeight="1" x14ac:dyDescent="0.2">
      <c r="A117" s="2514"/>
      <c r="B117" s="2522" t="s">
        <v>328</v>
      </c>
      <c r="C117" s="2523"/>
      <c r="D117" s="1014"/>
      <c r="E117" s="1014" t="s">
        <v>904</v>
      </c>
      <c r="F117" s="1014" t="s">
        <v>329</v>
      </c>
      <c r="G117" s="1014"/>
      <c r="H117" s="1014"/>
      <c r="I117" s="2526" t="s">
        <v>330</v>
      </c>
      <c r="J117" s="2527"/>
      <c r="K117" s="2528"/>
      <c r="L117" s="2524" t="s">
        <v>328</v>
      </c>
      <c r="M117" s="2525"/>
      <c r="N117" s="1021" t="s">
        <v>331</v>
      </c>
      <c r="O117" s="1022" t="s">
        <v>332</v>
      </c>
      <c r="P117" s="1023"/>
      <c r="Q117" s="1024"/>
    </row>
    <row r="118" spans="1:17" ht="14.45" customHeight="1" x14ac:dyDescent="0.2">
      <c r="A118" s="2514"/>
      <c r="B118" s="1014" t="s">
        <v>835</v>
      </c>
      <c r="C118" s="1014" t="s">
        <v>335</v>
      </c>
      <c r="D118" s="1014" t="s">
        <v>837</v>
      </c>
      <c r="E118" s="1014" t="s">
        <v>842</v>
      </c>
      <c r="F118" s="1014" t="s">
        <v>336</v>
      </c>
      <c r="G118" s="1014" t="s">
        <v>337</v>
      </c>
      <c r="H118" s="1014" t="s">
        <v>338</v>
      </c>
      <c r="I118" s="2529" t="s">
        <v>839</v>
      </c>
      <c r="J118" s="2530"/>
      <c r="K118" s="2531"/>
      <c r="L118" s="1025" t="s">
        <v>835</v>
      </c>
      <c r="M118" s="1021" t="s">
        <v>335</v>
      </c>
      <c r="N118" s="1021" t="s">
        <v>339</v>
      </c>
      <c r="O118" s="1022"/>
      <c r="P118" s="1021" t="s">
        <v>337</v>
      </c>
      <c r="Q118" s="1024" t="s">
        <v>338</v>
      </c>
    </row>
    <row r="119" spans="1:17" ht="14.45" customHeight="1" x14ac:dyDescent="0.2">
      <c r="A119" s="2514"/>
      <c r="B119" s="1014"/>
      <c r="C119" s="1014"/>
      <c r="D119" s="1014"/>
      <c r="E119" s="1014"/>
      <c r="F119" s="1014" t="s">
        <v>341</v>
      </c>
      <c r="G119" s="1014" t="s">
        <v>342</v>
      </c>
      <c r="H119" s="1014" t="s">
        <v>341</v>
      </c>
      <c r="I119" s="1015"/>
      <c r="J119" s="1016"/>
      <c r="K119" s="1017"/>
      <c r="L119" s="1025"/>
      <c r="M119" s="1021"/>
      <c r="N119" s="1021"/>
      <c r="O119" s="1022" t="s">
        <v>344</v>
      </c>
      <c r="P119" s="1021" t="s">
        <v>342</v>
      </c>
      <c r="Q119" s="1024" t="s">
        <v>341</v>
      </c>
    </row>
    <row r="120" spans="1:17" ht="14.45" customHeight="1" x14ac:dyDescent="0.2">
      <c r="A120" s="2515"/>
      <c r="B120" s="1018" t="s">
        <v>345</v>
      </c>
      <c r="C120" s="1018" t="s">
        <v>345</v>
      </c>
      <c r="D120" s="1018" t="s">
        <v>346</v>
      </c>
      <c r="E120" s="1018" t="s">
        <v>757</v>
      </c>
      <c r="F120" s="1018"/>
      <c r="G120" s="1018" t="s">
        <v>347</v>
      </c>
      <c r="H120" s="1018" t="s">
        <v>348</v>
      </c>
      <c r="I120" s="1019" t="s">
        <v>349</v>
      </c>
      <c r="J120" s="1019" t="s">
        <v>350</v>
      </c>
      <c r="K120" s="1020" t="s">
        <v>351</v>
      </c>
      <c r="L120" s="1026" t="s">
        <v>345</v>
      </c>
      <c r="M120" s="1027" t="s">
        <v>345</v>
      </c>
      <c r="N120" s="1027" t="s">
        <v>346</v>
      </c>
      <c r="O120" s="1028"/>
      <c r="P120" s="1027" t="s">
        <v>347</v>
      </c>
      <c r="Q120" s="1029" t="s">
        <v>348</v>
      </c>
    </row>
    <row r="121" spans="1:17" ht="14.45" customHeight="1" x14ac:dyDescent="0.2">
      <c r="A121" s="975" t="s">
        <v>352</v>
      </c>
      <c r="B121" s="976">
        <v>184</v>
      </c>
      <c r="C121" s="976">
        <v>183</v>
      </c>
      <c r="D121" s="977">
        <v>1587</v>
      </c>
      <c r="E121" s="977">
        <v>8.6721311475409841</v>
      </c>
      <c r="F121" s="979"/>
      <c r="G121" s="976"/>
      <c r="H121" s="976"/>
      <c r="I121" s="978"/>
      <c r="J121" s="978"/>
      <c r="K121" s="980"/>
      <c r="L121" s="981">
        <v>184</v>
      </c>
      <c r="M121" s="977">
        <v>183</v>
      </c>
      <c r="N121" s="977">
        <v>1065.5</v>
      </c>
      <c r="O121" s="1608">
        <v>5.8224043715846996</v>
      </c>
      <c r="P121" s="1609"/>
      <c r="Q121" s="1610"/>
    </row>
    <row r="122" spans="1:17" ht="14.45" customHeight="1" x14ac:dyDescent="0.2">
      <c r="A122" s="1481" t="s">
        <v>353</v>
      </c>
      <c r="B122" s="1498">
        <v>10</v>
      </c>
      <c r="C122" s="1498">
        <v>10</v>
      </c>
      <c r="D122" s="245">
        <v>120</v>
      </c>
      <c r="E122" s="1147">
        <v>12</v>
      </c>
      <c r="F122" s="1342" t="s">
        <v>988</v>
      </c>
      <c r="G122" s="1259">
        <v>1145000</v>
      </c>
      <c r="H122" s="1149">
        <v>6722457.4441947732</v>
      </c>
      <c r="I122" s="960"/>
      <c r="J122" s="960"/>
      <c r="K122" s="961"/>
      <c r="L122" s="2217">
        <v>6</v>
      </c>
      <c r="M122" s="1146">
        <v>6</v>
      </c>
      <c r="N122" s="2310">
        <v>72</v>
      </c>
      <c r="O122" s="1147">
        <v>12</v>
      </c>
      <c r="P122" s="1261">
        <v>1255000</v>
      </c>
      <c r="Q122" s="1149">
        <v>6722457.4441947732</v>
      </c>
    </row>
    <row r="123" spans="1:17" ht="14.45" customHeight="1" x14ac:dyDescent="0.2">
      <c r="A123" s="1481" t="s">
        <v>354</v>
      </c>
      <c r="B123" s="1498">
        <v>0</v>
      </c>
      <c r="C123" s="1498">
        <v>0</v>
      </c>
      <c r="D123" s="245">
        <v>0</v>
      </c>
      <c r="E123" s="1147">
        <v>0</v>
      </c>
      <c r="F123" s="1342"/>
      <c r="G123" s="1259"/>
      <c r="H123" s="1149"/>
      <c r="I123" s="960"/>
      <c r="J123" s="960"/>
      <c r="K123" s="961"/>
      <c r="L123" s="2217">
        <v>0</v>
      </c>
      <c r="M123" s="1146">
        <v>0</v>
      </c>
      <c r="N123" s="2310">
        <v>0</v>
      </c>
      <c r="O123" s="1147">
        <v>0</v>
      </c>
      <c r="P123" s="1261"/>
      <c r="Q123" s="1149"/>
    </row>
    <row r="124" spans="1:17" ht="14.45" customHeight="1" x14ac:dyDescent="0.2">
      <c r="A124" s="1481" t="s">
        <v>355</v>
      </c>
      <c r="B124" s="1498">
        <v>4</v>
      </c>
      <c r="C124" s="1498">
        <v>4</v>
      </c>
      <c r="D124" s="245">
        <v>40</v>
      </c>
      <c r="E124" s="1147">
        <v>10</v>
      </c>
      <c r="F124" s="1342" t="s">
        <v>988</v>
      </c>
      <c r="G124" s="1259">
        <v>1145000</v>
      </c>
      <c r="H124" s="1149">
        <v>6722457.4441947732</v>
      </c>
      <c r="I124" s="960"/>
      <c r="J124" s="960"/>
      <c r="K124" s="961"/>
      <c r="L124" s="2217">
        <v>4</v>
      </c>
      <c r="M124" s="1146">
        <v>3</v>
      </c>
      <c r="N124" s="2310">
        <v>27</v>
      </c>
      <c r="O124" s="1147">
        <v>9</v>
      </c>
      <c r="P124" s="1261">
        <v>1255000</v>
      </c>
      <c r="Q124" s="1149">
        <v>6722457.4441947732</v>
      </c>
    </row>
    <row r="125" spans="1:17" ht="14.45" customHeight="1" x14ac:dyDescent="0.2">
      <c r="A125" s="1481" t="s">
        <v>356</v>
      </c>
      <c r="B125" s="1498"/>
      <c r="C125" s="1498"/>
      <c r="D125" s="245">
        <v>0</v>
      </c>
      <c r="E125" s="1147"/>
      <c r="F125" s="1342" t="s">
        <v>988</v>
      </c>
      <c r="G125" s="1259">
        <v>1145000</v>
      </c>
      <c r="H125" s="1149">
        <v>6722457.4441947732</v>
      </c>
      <c r="I125" s="960"/>
      <c r="J125" s="960"/>
      <c r="K125" s="961"/>
      <c r="L125" s="2217"/>
      <c r="M125" s="1146"/>
      <c r="N125" s="2310">
        <v>0</v>
      </c>
      <c r="O125" s="1147"/>
      <c r="P125" s="1261"/>
      <c r="Q125" s="1149"/>
    </row>
    <row r="126" spans="1:17" ht="14.45" customHeight="1" x14ac:dyDescent="0.2">
      <c r="A126" s="1481" t="s">
        <v>357</v>
      </c>
      <c r="B126" s="1498">
        <v>150</v>
      </c>
      <c r="C126" s="1498">
        <v>150</v>
      </c>
      <c r="D126" s="245">
        <v>1200</v>
      </c>
      <c r="E126" s="1147">
        <v>8</v>
      </c>
      <c r="F126" s="1342" t="s">
        <v>988</v>
      </c>
      <c r="G126" s="1259">
        <v>1145000</v>
      </c>
      <c r="H126" s="1149">
        <v>6722457.4441947732</v>
      </c>
      <c r="I126" s="960"/>
      <c r="J126" s="960"/>
      <c r="K126" s="961"/>
      <c r="L126" s="2217">
        <v>157</v>
      </c>
      <c r="M126" s="1146">
        <v>157</v>
      </c>
      <c r="N126" s="2310">
        <v>785</v>
      </c>
      <c r="O126" s="1147">
        <v>5</v>
      </c>
      <c r="P126" s="1261">
        <v>1255000</v>
      </c>
      <c r="Q126" s="1149">
        <v>6722457.4441947732</v>
      </c>
    </row>
    <row r="127" spans="1:17" ht="14.45" customHeight="1" x14ac:dyDescent="0.2">
      <c r="A127" s="1481" t="s">
        <v>358</v>
      </c>
      <c r="B127" s="1498">
        <v>5</v>
      </c>
      <c r="C127" s="1498">
        <v>4</v>
      </c>
      <c r="D127" s="245">
        <v>48</v>
      </c>
      <c r="E127" s="1147">
        <v>12</v>
      </c>
      <c r="F127" s="1342" t="s">
        <v>988</v>
      </c>
      <c r="G127" s="1259">
        <v>1145000</v>
      </c>
      <c r="H127" s="1149">
        <v>6722457.4441947732</v>
      </c>
      <c r="I127" s="960"/>
      <c r="J127" s="960"/>
      <c r="K127" s="961"/>
      <c r="L127" s="2217">
        <v>4</v>
      </c>
      <c r="M127" s="1146">
        <v>4</v>
      </c>
      <c r="N127" s="2310">
        <v>48</v>
      </c>
      <c r="O127" s="1147">
        <v>12</v>
      </c>
      <c r="P127" s="1261">
        <v>1255000</v>
      </c>
      <c r="Q127" s="1149">
        <v>6722457.4441947732</v>
      </c>
    </row>
    <row r="128" spans="1:17" ht="14.45" customHeight="1" x14ac:dyDescent="0.2">
      <c r="A128" s="1481" t="s">
        <v>359</v>
      </c>
      <c r="B128" s="1498">
        <v>3</v>
      </c>
      <c r="C128" s="1498">
        <v>3</v>
      </c>
      <c r="D128" s="245">
        <v>21</v>
      </c>
      <c r="E128" s="1147">
        <v>7</v>
      </c>
      <c r="F128" s="1342" t="s">
        <v>988</v>
      </c>
      <c r="G128" s="1259">
        <v>1145000</v>
      </c>
      <c r="H128" s="1149">
        <v>6722457.4441947732</v>
      </c>
      <c r="I128" s="960"/>
      <c r="J128" s="960"/>
      <c r="K128" s="961"/>
      <c r="L128" s="2217">
        <v>3</v>
      </c>
      <c r="M128" s="1146">
        <v>3</v>
      </c>
      <c r="N128" s="2310">
        <v>7.5</v>
      </c>
      <c r="O128" s="1147">
        <v>2.5</v>
      </c>
      <c r="P128" s="1261">
        <v>1255000</v>
      </c>
      <c r="Q128" s="1149">
        <v>6722457.4441947732</v>
      </c>
    </row>
    <row r="129" spans="1:17" ht="14.45" customHeight="1" x14ac:dyDescent="0.2">
      <c r="A129" s="1481" t="s">
        <v>360</v>
      </c>
      <c r="B129" s="1498">
        <v>0</v>
      </c>
      <c r="C129" s="1498">
        <v>0</v>
      </c>
      <c r="D129" s="245">
        <v>0</v>
      </c>
      <c r="E129" s="1147">
        <v>0</v>
      </c>
      <c r="F129" s="964"/>
      <c r="G129" s="1259"/>
      <c r="H129" s="1149"/>
      <c r="I129" s="960"/>
      <c r="J129" s="960"/>
      <c r="K129" s="961"/>
      <c r="L129" s="2217">
        <v>0</v>
      </c>
      <c r="M129" s="1146">
        <v>0</v>
      </c>
      <c r="N129" s="2310">
        <v>0</v>
      </c>
      <c r="O129" s="1147">
        <v>0</v>
      </c>
      <c r="P129" s="1261"/>
      <c r="Q129" s="1606"/>
    </row>
    <row r="130" spans="1:17" ht="14.45" customHeight="1" x14ac:dyDescent="0.2">
      <c r="A130" s="1481" t="s">
        <v>361</v>
      </c>
      <c r="B130" s="1498">
        <v>4</v>
      </c>
      <c r="C130" s="1498">
        <v>4</v>
      </c>
      <c r="D130" s="245">
        <v>56</v>
      </c>
      <c r="E130" s="1147">
        <v>14</v>
      </c>
      <c r="F130" s="1342" t="s">
        <v>988</v>
      </c>
      <c r="G130" s="1259">
        <v>1145000</v>
      </c>
      <c r="H130" s="1149">
        <v>6722457.4441947732</v>
      </c>
      <c r="I130" s="960"/>
      <c r="J130" s="960"/>
      <c r="K130" s="961"/>
      <c r="L130" s="2217">
        <v>0</v>
      </c>
      <c r="M130" s="1146">
        <v>0</v>
      </c>
      <c r="N130" s="2310">
        <v>0</v>
      </c>
      <c r="O130" s="1147">
        <v>0</v>
      </c>
      <c r="P130" s="1261"/>
      <c r="Q130" s="1149"/>
    </row>
    <row r="131" spans="1:17" ht="14.45" customHeight="1" x14ac:dyDescent="0.2">
      <c r="A131" s="1481" t="s">
        <v>362</v>
      </c>
      <c r="B131" s="1498">
        <v>3</v>
      </c>
      <c r="C131" s="1498">
        <v>3</v>
      </c>
      <c r="D131" s="245">
        <v>24</v>
      </c>
      <c r="E131" s="1147">
        <v>8</v>
      </c>
      <c r="F131" s="1342" t="s">
        <v>988</v>
      </c>
      <c r="G131" s="1259">
        <v>1145000</v>
      </c>
      <c r="H131" s="1149">
        <v>6722457.4441947732</v>
      </c>
      <c r="I131" s="960"/>
      <c r="J131" s="960"/>
      <c r="K131" s="961"/>
      <c r="L131" s="2217">
        <v>3</v>
      </c>
      <c r="M131" s="1146">
        <v>3</v>
      </c>
      <c r="N131" s="2310">
        <v>24</v>
      </c>
      <c r="O131" s="1147">
        <v>8</v>
      </c>
      <c r="P131" s="1261">
        <v>1255000</v>
      </c>
      <c r="Q131" s="1149">
        <v>6722457.4441947732</v>
      </c>
    </row>
    <row r="132" spans="1:17" ht="14.45" customHeight="1" x14ac:dyDescent="0.2">
      <c r="A132" s="1481" t="s">
        <v>363</v>
      </c>
      <c r="B132" s="1498">
        <v>0</v>
      </c>
      <c r="C132" s="1498">
        <v>0</v>
      </c>
      <c r="D132" s="245">
        <v>0</v>
      </c>
      <c r="E132" s="1147">
        <v>0</v>
      </c>
      <c r="F132" s="964"/>
      <c r="G132" s="1259"/>
      <c r="H132" s="1149"/>
      <c r="I132" s="1489"/>
      <c r="J132" s="960"/>
      <c r="K132" s="961"/>
      <c r="L132" s="2217">
        <v>0</v>
      </c>
      <c r="M132" s="1146">
        <v>0</v>
      </c>
      <c r="N132" s="2310">
        <v>0</v>
      </c>
      <c r="O132" s="1147">
        <v>0</v>
      </c>
      <c r="P132" s="1261"/>
      <c r="Q132" s="1606"/>
    </row>
    <row r="133" spans="1:17" ht="14.45" customHeight="1" x14ac:dyDescent="0.2">
      <c r="A133" s="1481" t="s">
        <v>364</v>
      </c>
      <c r="B133" s="1498">
        <v>1</v>
      </c>
      <c r="C133" s="1498">
        <v>1</v>
      </c>
      <c r="D133" s="245">
        <v>30</v>
      </c>
      <c r="E133" s="1147">
        <v>30</v>
      </c>
      <c r="F133" s="1342" t="s">
        <v>988</v>
      </c>
      <c r="G133" s="1259">
        <v>1145000</v>
      </c>
      <c r="H133" s="1149">
        <v>6722457.4441947732</v>
      </c>
      <c r="I133" s="1489"/>
      <c r="J133" s="960"/>
      <c r="K133" s="961"/>
      <c r="L133" s="2217">
        <v>1</v>
      </c>
      <c r="M133" s="1146">
        <v>1</v>
      </c>
      <c r="N133" s="2310">
        <v>30</v>
      </c>
      <c r="O133" s="1147">
        <v>30</v>
      </c>
      <c r="P133" s="1261">
        <v>1255000</v>
      </c>
      <c r="Q133" s="1149">
        <v>6722457.4441947732</v>
      </c>
    </row>
    <row r="134" spans="1:17" ht="14.45" customHeight="1" x14ac:dyDescent="0.2">
      <c r="A134" s="1481" t="s">
        <v>365</v>
      </c>
      <c r="B134" s="1498"/>
      <c r="C134" s="1498"/>
      <c r="D134" s="245">
        <v>0</v>
      </c>
      <c r="E134" s="1147"/>
      <c r="F134" s="1342"/>
      <c r="G134" s="1259"/>
      <c r="H134" s="1149"/>
      <c r="I134" s="1489"/>
      <c r="J134" s="960"/>
      <c r="K134" s="961"/>
      <c r="L134" s="2217"/>
      <c r="M134" s="1146"/>
      <c r="N134" s="2310">
        <v>0</v>
      </c>
      <c r="O134" s="1147"/>
      <c r="P134" s="1261"/>
      <c r="Q134" s="1149"/>
    </row>
    <row r="135" spans="1:17" ht="14.45" customHeight="1" x14ac:dyDescent="0.2">
      <c r="A135" s="1481" t="s">
        <v>366</v>
      </c>
      <c r="B135" s="1498">
        <v>4</v>
      </c>
      <c r="C135" s="1498">
        <v>4</v>
      </c>
      <c r="D135" s="245">
        <v>48</v>
      </c>
      <c r="E135" s="1147">
        <v>12</v>
      </c>
      <c r="F135" s="1342" t="s">
        <v>988</v>
      </c>
      <c r="G135" s="1259">
        <v>1145000</v>
      </c>
      <c r="H135" s="1149">
        <v>6722457.4441947732</v>
      </c>
      <c r="I135" s="1489"/>
      <c r="J135" s="960"/>
      <c r="K135" s="961"/>
      <c r="L135" s="2217">
        <v>6</v>
      </c>
      <c r="M135" s="1146">
        <v>6</v>
      </c>
      <c r="N135" s="2310">
        <v>72</v>
      </c>
      <c r="O135" s="1147">
        <v>12</v>
      </c>
      <c r="P135" s="1261">
        <v>1255000</v>
      </c>
      <c r="Q135" s="1149">
        <v>6722457.4441947732</v>
      </c>
    </row>
    <row r="136" spans="1:17" ht="14.45" customHeight="1" x14ac:dyDescent="0.2">
      <c r="A136" s="1481" t="s">
        <v>367</v>
      </c>
      <c r="B136" s="1498">
        <v>0</v>
      </c>
      <c r="C136" s="1498">
        <v>0</v>
      </c>
      <c r="D136" s="245">
        <v>0</v>
      </c>
      <c r="E136" s="1147">
        <v>0</v>
      </c>
      <c r="F136" s="1342"/>
      <c r="G136" s="1259"/>
      <c r="H136" s="1149"/>
      <c r="I136" s="1489"/>
      <c r="J136" s="960"/>
      <c r="K136" s="961"/>
      <c r="L136" s="2217">
        <v>0</v>
      </c>
      <c r="M136" s="1146">
        <v>0</v>
      </c>
      <c r="N136" s="2310">
        <v>0</v>
      </c>
      <c r="O136" s="1147">
        <v>0</v>
      </c>
      <c r="P136" s="1261"/>
      <c r="Q136" s="1149"/>
    </row>
    <row r="137" spans="1:17" ht="14.45" customHeight="1" x14ac:dyDescent="0.2">
      <c r="A137" s="1484" t="s">
        <v>368</v>
      </c>
      <c r="B137" s="1485">
        <v>56</v>
      </c>
      <c r="C137" s="994">
        <v>54</v>
      </c>
      <c r="D137" s="2311">
        <v>746</v>
      </c>
      <c r="E137" s="2350"/>
      <c r="F137" s="987"/>
      <c r="G137" s="988"/>
      <c r="H137" s="1487"/>
      <c r="I137" s="1490"/>
      <c r="J137" s="989"/>
      <c r="K137" s="990"/>
      <c r="L137" s="1453">
        <v>57</v>
      </c>
      <c r="M137" s="1002">
        <v>35</v>
      </c>
      <c r="N137" s="917">
        <v>330</v>
      </c>
      <c r="O137" s="1519"/>
      <c r="P137" s="1604"/>
      <c r="Q137" s="1605"/>
    </row>
    <row r="138" spans="1:17" ht="14.45" customHeight="1" x14ac:dyDescent="0.2">
      <c r="A138" s="1481" t="s">
        <v>369</v>
      </c>
      <c r="B138" s="1498">
        <v>52</v>
      </c>
      <c r="C138" s="1498">
        <v>52</v>
      </c>
      <c r="D138" s="245">
        <v>728</v>
      </c>
      <c r="E138" s="1623">
        <v>14</v>
      </c>
      <c r="F138" s="1342" t="s">
        <v>988</v>
      </c>
      <c r="G138" s="1259">
        <v>1145000</v>
      </c>
      <c r="H138" s="1149">
        <v>6722457.4441947732</v>
      </c>
      <c r="I138" s="1489"/>
      <c r="J138" s="960"/>
      <c r="K138" s="961"/>
      <c r="L138" s="2217">
        <v>50</v>
      </c>
      <c r="M138" s="1146">
        <v>30</v>
      </c>
      <c r="N138" s="2310">
        <v>300</v>
      </c>
      <c r="O138" s="1147">
        <v>10</v>
      </c>
      <c r="P138" s="1261">
        <v>1255000</v>
      </c>
      <c r="Q138" s="1149">
        <v>6722457.4441947732</v>
      </c>
    </row>
    <row r="139" spans="1:17" ht="14.45" customHeight="1" x14ac:dyDescent="0.2">
      <c r="A139" s="1481" t="s">
        <v>370</v>
      </c>
      <c r="B139" s="1498">
        <v>3</v>
      </c>
      <c r="C139" s="1498">
        <v>1</v>
      </c>
      <c r="D139" s="245">
        <v>4</v>
      </c>
      <c r="E139" s="1623">
        <v>4</v>
      </c>
      <c r="F139" s="1342" t="s">
        <v>988</v>
      </c>
      <c r="G139" s="1259">
        <v>1145000</v>
      </c>
      <c r="H139" s="1149">
        <v>6722457.4441947732</v>
      </c>
      <c r="I139" s="1489"/>
      <c r="J139" s="960"/>
      <c r="K139" s="961"/>
      <c r="L139" s="2217">
        <v>6</v>
      </c>
      <c r="M139" s="1146">
        <v>4</v>
      </c>
      <c r="N139" s="2310">
        <v>16</v>
      </c>
      <c r="O139" s="1147">
        <v>4</v>
      </c>
      <c r="P139" s="1261">
        <v>1255000</v>
      </c>
      <c r="Q139" s="1149">
        <v>6722457.4441947732</v>
      </c>
    </row>
    <row r="140" spans="1:17" ht="14.45" customHeight="1" x14ac:dyDescent="0.2">
      <c r="A140" s="1481" t="s">
        <v>371</v>
      </c>
      <c r="B140" s="1498">
        <v>0</v>
      </c>
      <c r="C140" s="1498">
        <v>0</v>
      </c>
      <c r="D140" s="245">
        <v>0</v>
      </c>
      <c r="E140" s="1623">
        <v>0</v>
      </c>
      <c r="F140" s="964"/>
      <c r="G140" s="959"/>
      <c r="H140" s="1149"/>
      <c r="I140" s="1489"/>
      <c r="J140" s="960"/>
      <c r="K140" s="961"/>
      <c r="L140" s="2217">
        <v>0</v>
      </c>
      <c r="M140" s="1146">
        <v>0</v>
      </c>
      <c r="N140" s="2310">
        <v>0</v>
      </c>
      <c r="O140" s="1147">
        <v>0</v>
      </c>
      <c r="P140" s="1261"/>
      <c r="Q140" s="1606"/>
    </row>
    <row r="141" spans="1:17" ht="14.45" customHeight="1" x14ac:dyDescent="0.2">
      <c r="A141" s="1481" t="s">
        <v>372</v>
      </c>
      <c r="B141" s="1498">
        <v>1</v>
      </c>
      <c r="C141" s="1498">
        <v>1</v>
      </c>
      <c r="D141" s="245">
        <v>14</v>
      </c>
      <c r="E141" s="1623">
        <v>14</v>
      </c>
      <c r="F141" s="1342" t="s">
        <v>988</v>
      </c>
      <c r="G141" s="1259">
        <v>1145000</v>
      </c>
      <c r="H141" s="1149">
        <v>6722457.4441947732</v>
      </c>
      <c r="I141" s="1489"/>
      <c r="J141" s="960"/>
      <c r="K141" s="961"/>
      <c r="L141" s="2217">
        <v>1</v>
      </c>
      <c r="M141" s="1146">
        <v>1</v>
      </c>
      <c r="N141" s="2310">
        <v>14</v>
      </c>
      <c r="O141" s="1147">
        <v>14</v>
      </c>
      <c r="P141" s="1261">
        <v>1255000</v>
      </c>
      <c r="Q141" s="1149">
        <v>6722457.4441947732</v>
      </c>
    </row>
    <row r="142" spans="1:17" ht="14.45" customHeight="1" x14ac:dyDescent="0.2">
      <c r="A142" s="1481" t="s">
        <v>373</v>
      </c>
      <c r="B142" s="1498">
        <v>0</v>
      </c>
      <c r="C142" s="1498">
        <v>0</v>
      </c>
      <c r="D142" s="245">
        <v>0</v>
      </c>
      <c r="E142" s="1518">
        <v>0</v>
      </c>
      <c r="F142" s="958"/>
      <c r="G142" s="959"/>
      <c r="H142" s="1149"/>
      <c r="I142" s="1489"/>
      <c r="J142" s="960"/>
      <c r="K142" s="961"/>
      <c r="L142" s="2217">
        <v>0</v>
      </c>
      <c r="M142" s="1146">
        <v>0</v>
      </c>
      <c r="N142" s="2310">
        <v>0</v>
      </c>
      <c r="O142" s="1623">
        <v>0</v>
      </c>
      <c r="P142" s="1261"/>
      <c r="Q142" s="1606"/>
    </row>
    <row r="143" spans="1:17" ht="14.45" customHeight="1" x14ac:dyDescent="0.2">
      <c r="A143" s="1484" t="s">
        <v>374</v>
      </c>
      <c r="B143" s="1485">
        <v>158</v>
      </c>
      <c r="C143" s="994">
        <v>150</v>
      </c>
      <c r="D143" s="994">
        <v>1988</v>
      </c>
      <c r="E143" s="1608">
        <v>13.253333333333334</v>
      </c>
      <c r="F143" s="987"/>
      <c r="G143" s="996"/>
      <c r="H143" s="1153"/>
      <c r="I143" s="1491"/>
      <c r="J143" s="997"/>
      <c r="K143" s="998"/>
      <c r="L143" s="1453">
        <v>143</v>
      </c>
      <c r="M143" s="1002">
        <v>140.5</v>
      </c>
      <c r="N143" s="917">
        <v>1905.5</v>
      </c>
      <c r="O143" s="1608">
        <v>13.562277580071175</v>
      </c>
      <c r="P143" s="1604"/>
      <c r="Q143" s="1605"/>
    </row>
    <row r="144" spans="1:17" ht="14.45" customHeight="1" x14ac:dyDescent="0.2">
      <c r="A144" s="1481" t="s">
        <v>375</v>
      </c>
      <c r="B144" s="1498">
        <v>30</v>
      </c>
      <c r="C144" s="1498">
        <v>25</v>
      </c>
      <c r="D144" s="245">
        <v>325</v>
      </c>
      <c r="E144" s="1147">
        <v>13</v>
      </c>
      <c r="F144" s="1342" t="s">
        <v>988</v>
      </c>
      <c r="G144" s="1259">
        <v>1145000</v>
      </c>
      <c r="H144" s="1149">
        <v>6722457.4441947732</v>
      </c>
      <c r="I144" s="1489"/>
      <c r="J144" s="960"/>
      <c r="K144" s="961"/>
      <c r="L144" s="2217">
        <v>16</v>
      </c>
      <c r="M144" s="1146">
        <v>15.5</v>
      </c>
      <c r="N144" s="2310">
        <v>232.5</v>
      </c>
      <c r="O144" s="1147">
        <v>15</v>
      </c>
      <c r="P144" s="1261">
        <v>1255000</v>
      </c>
      <c r="Q144" s="1149">
        <v>6722457.4441947732</v>
      </c>
    </row>
    <row r="145" spans="1:17" ht="14.45" customHeight="1" x14ac:dyDescent="0.2">
      <c r="A145" s="1481" t="s">
        <v>376</v>
      </c>
      <c r="B145" s="1498">
        <v>24</v>
      </c>
      <c r="C145" s="1498">
        <v>23</v>
      </c>
      <c r="D145" s="245">
        <v>414</v>
      </c>
      <c r="E145" s="1147">
        <v>18</v>
      </c>
      <c r="F145" s="1342" t="s">
        <v>988</v>
      </c>
      <c r="G145" s="1259">
        <v>1145000</v>
      </c>
      <c r="H145" s="1149">
        <v>6722457.4441947732</v>
      </c>
      <c r="I145" s="1489"/>
      <c r="J145" s="960"/>
      <c r="K145" s="961"/>
      <c r="L145" s="2217">
        <v>25</v>
      </c>
      <c r="M145" s="1146">
        <v>24</v>
      </c>
      <c r="N145" s="2310">
        <v>432</v>
      </c>
      <c r="O145" s="1147">
        <v>18</v>
      </c>
      <c r="P145" s="1261">
        <v>1255000</v>
      </c>
      <c r="Q145" s="1149">
        <v>6722457.4441947732</v>
      </c>
    </row>
    <row r="146" spans="1:17" ht="14.45" customHeight="1" x14ac:dyDescent="0.2">
      <c r="A146" s="1481" t="s">
        <v>377</v>
      </c>
      <c r="B146" s="1498">
        <v>10</v>
      </c>
      <c r="C146" s="1498">
        <v>10</v>
      </c>
      <c r="D146" s="245">
        <v>120</v>
      </c>
      <c r="E146" s="1147">
        <v>12</v>
      </c>
      <c r="F146" s="1342" t="s">
        <v>988</v>
      </c>
      <c r="G146" s="1259">
        <v>1145000</v>
      </c>
      <c r="H146" s="1149">
        <v>6722457.4441947732</v>
      </c>
      <c r="I146" s="1489"/>
      <c r="J146" s="960"/>
      <c r="K146" s="961"/>
      <c r="L146" s="2217">
        <v>6</v>
      </c>
      <c r="M146" s="1146">
        <v>6</v>
      </c>
      <c r="N146" s="2310">
        <v>72</v>
      </c>
      <c r="O146" s="1147">
        <v>12</v>
      </c>
      <c r="P146" s="1261">
        <v>1255000</v>
      </c>
      <c r="Q146" s="1149">
        <v>6722457.4441947732</v>
      </c>
    </row>
    <row r="147" spans="1:17" ht="14.45" customHeight="1" x14ac:dyDescent="0.2">
      <c r="A147" s="1481" t="s">
        <v>378</v>
      </c>
      <c r="B147" s="1498">
        <v>5</v>
      </c>
      <c r="C147" s="1498">
        <v>5</v>
      </c>
      <c r="D147" s="245">
        <v>65</v>
      </c>
      <c r="E147" s="1147">
        <v>13</v>
      </c>
      <c r="F147" s="1342" t="s">
        <v>988</v>
      </c>
      <c r="G147" s="1259">
        <v>1145000</v>
      </c>
      <c r="H147" s="1149">
        <v>6722457.4441947732</v>
      </c>
      <c r="I147" s="1492"/>
      <c r="J147" s="960"/>
      <c r="K147" s="967"/>
      <c r="L147" s="2217">
        <v>5</v>
      </c>
      <c r="M147" s="1146">
        <v>5</v>
      </c>
      <c r="N147" s="2310">
        <v>65</v>
      </c>
      <c r="O147" s="1147">
        <v>13</v>
      </c>
      <c r="P147" s="1261">
        <v>1255000</v>
      </c>
      <c r="Q147" s="1149">
        <v>6722457.4441947732</v>
      </c>
    </row>
    <row r="148" spans="1:17" ht="14.45" customHeight="1" x14ac:dyDescent="0.2">
      <c r="A148" s="1481" t="s">
        <v>379</v>
      </c>
      <c r="B148" s="1498">
        <v>22</v>
      </c>
      <c r="C148" s="1498">
        <v>22</v>
      </c>
      <c r="D148" s="245">
        <v>264</v>
      </c>
      <c r="E148" s="1147">
        <v>12</v>
      </c>
      <c r="F148" s="1342" t="s">
        <v>988</v>
      </c>
      <c r="G148" s="1259">
        <v>1145000</v>
      </c>
      <c r="H148" s="1149">
        <v>6722457.4441947732</v>
      </c>
      <c r="I148" s="1492"/>
      <c r="J148" s="960"/>
      <c r="K148" s="967"/>
      <c r="L148" s="2217">
        <v>23</v>
      </c>
      <c r="M148" s="1146">
        <v>22</v>
      </c>
      <c r="N148" s="2310">
        <v>264</v>
      </c>
      <c r="O148" s="1147">
        <v>12</v>
      </c>
      <c r="P148" s="1261">
        <v>1255000</v>
      </c>
      <c r="Q148" s="1149">
        <v>6722457.4441947732</v>
      </c>
    </row>
    <row r="149" spans="1:17" ht="14.45" customHeight="1" x14ac:dyDescent="0.2">
      <c r="A149" s="1481" t="s">
        <v>380</v>
      </c>
      <c r="B149" s="1498">
        <v>15</v>
      </c>
      <c r="C149" s="1498">
        <v>15</v>
      </c>
      <c r="D149" s="245">
        <v>180</v>
      </c>
      <c r="E149" s="1147">
        <v>12</v>
      </c>
      <c r="F149" s="1342" t="s">
        <v>988</v>
      </c>
      <c r="G149" s="1259">
        <v>1145000</v>
      </c>
      <c r="H149" s="1149">
        <v>6722457.4441947732</v>
      </c>
      <c r="I149" s="1492"/>
      <c r="J149" s="960"/>
      <c r="K149" s="967"/>
      <c r="L149" s="2217">
        <v>14</v>
      </c>
      <c r="M149" s="1146">
        <v>14</v>
      </c>
      <c r="N149" s="2310">
        <v>168</v>
      </c>
      <c r="O149" s="1147">
        <v>12</v>
      </c>
      <c r="P149" s="1261">
        <v>1255000</v>
      </c>
      <c r="Q149" s="1149">
        <v>6722457.4441947732</v>
      </c>
    </row>
    <row r="150" spans="1:17" ht="14.45" customHeight="1" x14ac:dyDescent="0.2">
      <c r="A150" s="1481" t="s">
        <v>381</v>
      </c>
      <c r="B150" s="1498">
        <v>42</v>
      </c>
      <c r="C150" s="1498">
        <v>40</v>
      </c>
      <c r="D150" s="245">
        <v>480</v>
      </c>
      <c r="E150" s="1147">
        <v>12</v>
      </c>
      <c r="F150" s="1342" t="s">
        <v>988</v>
      </c>
      <c r="G150" s="1259">
        <v>1145000</v>
      </c>
      <c r="H150" s="1149">
        <v>6722457.4441947732</v>
      </c>
      <c r="I150" s="1492"/>
      <c r="J150" s="960"/>
      <c r="K150" s="967"/>
      <c r="L150" s="2217">
        <v>42</v>
      </c>
      <c r="M150" s="1146">
        <v>42</v>
      </c>
      <c r="N150" s="2310">
        <v>504</v>
      </c>
      <c r="O150" s="1147">
        <v>12</v>
      </c>
      <c r="P150" s="1261">
        <v>1255000</v>
      </c>
      <c r="Q150" s="1149">
        <v>6722457.4441947732</v>
      </c>
    </row>
    <row r="151" spans="1:17" ht="14.45" customHeight="1" x14ac:dyDescent="0.2">
      <c r="A151" s="1481" t="s">
        <v>382</v>
      </c>
      <c r="B151" s="1498">
        <v>10</v>
      </c>
      <c r="C151" s="1498">
        <v>10</v>
      </c>
      <c r="D151" s="245">
        <v>140</v>
      </c>
      <c r="E151" s="1147">
        <v>14</v>
      </c>
      <c r="F151" s="1342" t="s">
        <v>988</v>
      </c>
      <c r="G151" s="1259">
        <v>1145000</v>
      </c>
      <c r="H151" s="1149">
        <v>6722457.4441947732</v>
      </c>
      <c r="I151" s="1492"/>
      <c r="J151" s="960"/>
      <c r="K151" s="967"/>
      <c r="L151" s="2217">
        <v>12</v>
      </c>
      <c r="M151" s="1146">
        <v>12</v>
      </c>
      <c r="N151" s="2310">
        <v>168</v>
      </c>
      <c r="O151" s="1147">
        <v>14</v>
      </c>
      <c r="P151" s="1261">
        <v>1255000</v>
      </c>
      <c r="Q151" s="1149">
        <v>6722457.4441947732</v>
      </c>
    </row>
    <row r="152" spans="1:17" ht="14.45" customHeight="1" x14ac:dyDescent="0.2">
      <c r="A152" s="1484" t="s">
        <v>383</v>
      </c>
      <c r="B152" s="1485">
        <v>55</v>
      </c>
      <c r="C152" s="1485">
        <v>52</v>
      </c>
      <c r="D152" s="1485">
        <v>761</v>
      </c>
      <c r="E152" s="1608">
        <v>14.634615384615385</v>
      </c>
      <c r="F152" s="1003"/>
      <c r="G152" s="1004"/>
      <c r="H152" s="1204"/>
      <c r="I152" s="1501"/>
      <c r="J152" s="1005"/>
      <c r="K152" s="949"/>
      <c r="L152" s="1453">
        <v>33</v>
      </c>
      <c r="M152" s="1002">
        <v>29</v>
      </c>
      <c r="N152" s="2351">
        <v>397</v>
      </c>
      <c r="O152" s="1608">
        <v>13.689655172413794</v>
      </c>
      <c r="P152" s="1604"/>
      <c r="Q152" s="1605"/>
    </row>
    <row r="153" spans="1:17" ht="14.45" customHeight="1" x14ac:dyDescent="0.2">
      <c r="A153" s="1481" t="s">
        <v>384</v>
      </c>
      <c r="B153" s="1498">
        <v>25</v>
      </c>
      <c r="C153" s="1498">
        <v>22</v>
      </c>
      <c r="D153" s="245">
        <v>330</v>
      </c>
      <c r="E153" s="1147">
        <v>15</v>
      </c>
      <c r="F153" s="1342" t="s">
        <v>988</v>
      </c>
      <c r="G153" s="1259">
        <v>1145000</v>
      </c>
      <c r="H153" s="1149">
        <v>6722457.4441947732</v>
      </c>
      <c r="I153" s="1492"/>
      <c r="J153" s="960"/>
      <c r="K153" s="967"/>
      <c r="L153" s="2217">
        <v>10</v>
      </c>
      <c r="M153" s="1146">
        <v>7</v>
      </c>
      <c r="N153" s="2310">
        <v>84</v>
      </c>
      <c r="O153" s="1147">
        <v>12</v>
      </c>
      <c r="P153" s="1261">
        <v>1255000</v>
      </c>
      <c r="Q153" s="1149">
        <v>6722457.4441947732</v>
      </c>
    </row>
    <row r="154" spans="1:17" ht="14.45" customHeight="1" x14ac:dyDescent="0.2">
      <c r="A154" s="1481" t="s">
        <v>385</v>
      </c>
      <c r="B154" s="1498">
        <v>3</v>
      </c>
      <c r="C154" s="1498">
        <v>3</v>
      </c>
      <c r="D154" s="245">
        <v>27</v>
      </c>
      <c r="E154" s="1147">
        <v>9</v>
      </c>
      <c r="F154" s="1342" t="s">
        <v>988</v>
      </c>
      <c r="G154" s="1259">
        <v>1145000</v>
      </c>
      <c r="H154" s="1149">
        <v>6722457.4441947732</v>
      </c>
      <c r="I154" s="1492"/>
      <c r="J154" s="960"/>
      <c r="K154" s="967"/>
      <c r="L154" s="2217">
        <v>1</v>
      </c>
      <c r="M154" s="1146">
        <v>1</v>
      </c>
      <c r="N154" s="2310">
        <v>9</v>
      </c>
      <c r="O154" s="1147">
        <v>9</v>
      </c>
      <c r="P154" s="1261">
        <v>1255000</v>
      </c>
      <c r="Q154" s="1149">
        <v>6722457.4441947732</v>
      </c>
    </row>
    <row r="155" spans="1:17" ht="14.45" customHeight="1" x14ac:dyDescent="0.2">
      <c r="A155" s="1481" t="s">
        <v>386</v>
      </c>
      <c r="B155" s="1498">
        <v>8</v>
      </c>
      <c r="C155" s="1498">
        <v>8</v>
      </c>
      <c r="D155" s="245">
        <v>112</v>
      </c>
      <c r="E155" s="1147">
        <v>14</v>
      </c>
      <c r="F155" s="1342" t="s">
        <v>988</v>
      </c>
      <c r="G155" s="1259">
        <v>1145000</v>
      </c>
      <c r="H155" s="1149">
        <v>6722457.4441947732</v>
      </c>
      <c r="I155" s="1492"/>
      <c r="J155" s="960"/>
      <c r="K155" s="967"/>
      <c r="L155" s="2217">
        <v>6</v>
      </c>
      <c r="M155" s="1146">
        <v>6</v>
      </c>
      <c r="N155" s="2310">
        <v>84</v>
      </c>
      <c r="O155" s="1147">
        <v>14</v>
      </c>
      <c r="P155" s="1261">
        <v>1255000</v>
      </c>
      <c r="Q155" s="1149">
        <v>6722457.4441947732</v>
      </c>
    </row>
    <row r="156" spans="1:17" ht="14.45" customHeight="1" x14ac:dyDescent="0.2">
      <c r="A156" s="1481" t="s">
        <v>387</v>
      </c>
      <c r="B156" s="1498">
        <v>7</v>
      </c>
      <c r="C156" s="1498">
        <v>7</v>
      </c>
      <c r="D156" s="245">
        <v>91</v>
      </c>
      <c r="E156" s="1147">
        <v>13</v>
      </c>
      <c r="F156" s="1342" t="s">
        <v>988</v>
      </c>
      <c r="G156" s="1259">
        <v>1145000</v>
      </c>
      <c r="H156" s="1149">
        <v>6722457.4441947732</v>
      </c>
      <c r="I156" s="1492"/>
      <c r="J156" s="966"/>
      <c r="K156" s="967"/>
      <c r="L156" s="2217">
        <v>5</v>
      </c>
      <c r="M156" s="1146">
        <v>5</v>
      </c>
      <c r="N156" s="2310">
        <v>65</v>
      </c>
      <c r="O156" s="1147">
        <v>13</v>
      </c>
      <c r="P156" s="1261">
        <v>1255000</v>
      </c>
      <c r="Q156" s="1149">
        <v>6722457.4441947732</v>
      </c>
    </row>
    <row r="157" spans="1:17" ht="14.45" customHeight="1" x14ac:dyDescent="0.2">
      <c r="A157" s="1481" t="s">
        <v>388</v>
      </c>
      <c r="B157" s="1498">
        <v>2</v>
      </c>
      <c r="C157" s="1498">
        <v>2</v>
      </c>
      <c r="D157" s="245">
        <v>28</v>
      </c>
      <c r="E157" s="1147">
        <v>14</v>
      </c>
      <c r="F157" s="1342" t="s">
        <v>988</v>
      </c>
      <c r="G157" s="1259">
        <v>1145000</v>
      </c>
      <c r="H157" s="1149">
        <v>6722457.4441947732</v>
      </c>
      <c r="I157" s="1492"/>
      <c r="J157" s="966"/>
      <c r="K157" s="967"/>
      <c r="L157" s="2217">
        <v>3</v>
      </c>
      <c r="M157" s="1146">
        <v>3</v>
      </c>
      <c r="N157" s="2310">
        <v>42</v>
      </c>
      <c r="O157" s="1147">
        <v>14</v>
      </c>
      <c r="P157" s="1261">
        <v>1255000</v>
      </c>
      <c r="Q157" s="1149">
        <v>6722457.4441947732</v>
      </c>
    </row>
    <row r="158" spans="1:17" ht="14.45" customHeight="1" x14ac:dyDescent="0.2">
      <c r="A158" s="1481" t="s">
        <v>389</v>
      </c>
      <c r="B158" s="1498"/>
      <c r="C158" s="1498"/>
      <c r="D158" s="245">
        <v>0</v>
      </c>
      <c r="E158" s="1147"/>
      <c r="F158" s="1342" t="s">
        <v>988</v>
      </c>
      <c r="G158" s="1259">
        <v>1145000</v>
      </c>
      <c r="H158" s="1149">
        <v>6722457.4441947732</v>
      </c>
      <c r="I158" s="1492"/>
      <c r="J158" s="966"/>
      <c r="K158" s="967"/>
      <c r="L158" s="2217"/>
      <c r="M158" s="1146"/>
      <c r="N158" s="2310">
        <v>0</v>
      </c>
      <c r="O158" s="1147"/>
      <c r="P158" s="1261"/>
      <c r="Q158" s="1149">
        <v>6722457.4441947732</v>
      </c>
    </row>
    <row r="159" spans="1:17" ht="14.45" customHeight="1" x14ac:dyDescent="0.2">
      <c r="A159" s="1481" t="s">
        <v>390</v>
      </c>
      <c r="B159" s="1498">
        <v>3</v>
      </c>
      <c r="C159" s="1498">
        <v>3</v>
      </c>
      <c r="D159" s="245">
        <v>33</v>
      </c>
      <c r="E159" s="1147">
        <v>11</v>
      </c>
      <c r="F159" s="1342" t="s">
        <v>988</v>
      </c>
      <c r="G159" s="1259">
        <v>1145000</v>
      </c>
      <c r="H159" s="1149">
        <v>6722457.4441947732</v>
      </c>
      <c r="I159" s="1492"/>
      <c r="J159" s="966"/>
      <c r="K159" s="967"/>
      <c r="L159" s="2217">
        <v>3</v>
      </c>
      <c r="M159" s="1146">
        <v>3</v>
      </c>
      <c r="N159" s="2310">
        <v>33</v>
      </c>
      <c r="O159" s="1147">
        <v>11</v>
      </c>
      <c r="P159" s="1261">
        <v>1255000</v>
      </c>
      <c r="Q159" s="1149">
        <v>6722457.4441947732</v>
      </c>
    </row>
    <row r="160" spans="1:17" ht="14.45" customHeight="1" x14ac:dyDescent="0.2">
      <c r="A160" s="1481" t="s">
        <v>391</v>
      </c>
      <c r="B160" s="1498">
        <v>0</v>
      </c>
      <c r="C160" s="1498">
        <v>0</v>
      </c>
      <c r="D160" s="245">
        <v>0</v>
      </c>
      <c r="E160" s="1147">
        <v>0</v>
      </c>
      <c r="F160" s="1342"/>
      <c r="G160" s="1259"/>
      <c r="H160" s="1149"/>
      <c r="I160" s="1492"/>
      <c r="J160" s="966"/>
      <c r="K160" s="967"/>
      <c r="L160" s="2217">
        <v>0</v>
      </c>
      <c r="M160" s="1146">
        <v>0</v>
      </c>
      <c r="N160" s="2310">
        <v>0</v>
      </c>
      <c r="O160" s="1623">
        <v>0</v>
      </c>
      <c r="P160" s="1261"/>
      <c r="Q160" s="1606"/>
    </row>
    <row r="161" spans="1:17" ht="14.45" customHeight="1" x14ac:dyDescent="0.2">
      <c r="A161" s="1493" t="s">
        <v>392</v>
      </c>
      <c r="B161" s="1498">
        <v>7</v>
      </c>
      <c r="C161" s="1498">
        <v>7</v>
      </c>
      <c r="D161" s="245">
        <v>140</v>
      </c>
      <c r="E161" s="1147">
        <v>20</v>
      </c>
      <c r="F161" s="1342" t="s">
        <v>988</v>
      </c>
      <c r="G161" s="1259">
        <v>1145000</v>
      </c>
      <c r="H161" s="1149">
        <v>6722457.4441947732</v>
      </c>
      <c r="I161" s="1496"/>
      <c r="J161" s="973"/>
      <c r="K161" s="974"/>
      <c r="L161" s="2219">
        <v>5</v>
      </c>
      <c r="M161" s="1529">
        <v>4</v>
      </c>
      <c r="N161" s="1546">
        <v>80</v>
      </c>
      <c r="O161" s="1624">
        <v>20</v>
      </c>
      <c r="P161" s="1261">
        <v>1255000</v>
      </c>
      <c r="Q161" s="1149">
        <v>6722457.4441947732</v>
      </c>
    </row>
    <row r="162" spans="1:17" ht="14.45" customHeight="1" thickBot="1" x14ac:dyDescent="0.25">
      <c r="A162" s="1006" t="s">
        <v>393</v>
      </c>
      <c r="B162" s="1007">
        <v>453</v>
      </c>
      <c r="C162" s="1007">
        <v>439</v>
      </c>
      <c r="D162" s="1007">
        <v>5082</v>
      </c>
      <c r="E162" s="1482">
        <v>11.57630979498861</v>
      </c>
      <c r="F162" s="1480" t="s">
        <v>988</v>
      </c>
      <c r="G162" s="1085">
        <v>1145000</v>
      </c>
      <c r="H162" s="2210">
        <v>6722457.4441947704</v>
      </c>
      <c r="I162" s="2209"/>
      <c r="J162" s="1008" t="s">
        <v>983</v>
      </c>
      <c r="K162" s="1011"/>
      <c r="L162" s="1007">
        <v>417</v>
      </c>
      <c r="M162" s="1007">
        <v>387.5</v>
      </c>
      <c r="N162" s="2352">
        <v>3698</v>
      </c>
      <c r="O162" s="1083">
        <v>9.5432258064516127</v>
      </c>
      <c r="P162" s="1603">
        <v>1255000</v>
      </c>
      <c r="Q162" s="1607">
        <v>6722457.4441947723</v>
      </c>
    </row>
    <row r="163" spans="1:17" x14ac:dyDescent="0.2">
      <c r="A163" s="7" t="s">
        <v>1934</v>
      </c>
      <c r="B163" s="8"/>
      <c r="C163" s="8"/>
      <c r="D163" s="8"/>
      <c r="E163" s="4"/>
      <c r="F163" s="5"/>
      <c r="G163" s="9"/>
      <c r="H163" s="8"/>
      <c r="I163" s="4"/>
      <c r="J163" s="1"/>
      <c r="K163" s="1"/>
      <c r="O163" s="1"/>
      <c r="P163" s="1"/>
    </row>
    <row r="164" spans="1:17" x14ac:dyDescent="0.2">
      <c r="A164" s="6"/>
      <c r="B164" s="8"/>
      <c r="C164" s="8"/>
      <c r="D164" s="8"/>
      <c r="E164" s="4"/>
      <c r="F164" s="5"/>
      <c r="G164" s="9"/>
      <c r="H164" s="8"/>
      <c r="I164" s="4"/>
      <c r="J164" s="1"/>
      <c r="K164" s="1"/>
      <c r="O164" s="1"/>
      <c r="P164" s="1"/>
    </row>
    <row r="165" spans="1:17" x14ac:dyDescent="0.2">
      <c r="A165" s="6"/>
      <c r="B165" s="8"/>
      <c r="C165" s="8"/>
      <c r="D165" s="8"/>
      <c r="E165" s="4"/>
      <c r="F165" s="5"/>
      <c r="G165" s="9"/>
      <c r="H165" s="8"/>
      <c r="I165" s="4"/>
      <c r="J165" s="1"/>
      <c r="K165" s="1"/>
      <c r="O165" s="1"/>
      <c r="P165" s="1"/>
    </row>
    <row r="166" spans="1:17" x14ac:dyDescent="0.2">
      <c r="A166" s="6"/>
      <c r="B166" s="8"/>
      <c r="C166" s="8"/>
      <c r="D166" s="8"/>
      <c r="E166" s="4"/>
      <c r="F166" s="5"/>
      <c r="G166" s="9"/>
      <c r="H166" s="8"/>
      <c r="I166" s="4"/>
      <c r="J166" s="1"/>
      <c r="K166" s="1"/>
      <c r="O166" s="1"/>
      <c r="P166" s="1"/>
    </row>
    <row r="167" spans="1:17" x14ac:dyDescent="0.2">
      <c r="A167" s="6"/>
      <c r="B167" s="8"/>
      <c r="C167" s="8"/>
      <c r="D167" s="8"/>
      <c r="E167" s="2380"/>
      <c r="F167" s="5"/>
      <c r="G167" s="9"/>
      <c r="H167" s="8"/>
      <c r="I167" s="2380"/>
      <c r="J167" s="2381"/>
      <c r="K167" s="2381"/>
      <c r="O167" s="2381"/>
      <c r="P167" s="2381"/>
    </row>
    <row r="168" spans="1:17" x14ac:dyDescent="0.2">
      <c r="A168" s="6"/>
      <c r="B168" s="8"/>
      <c r="C168" s="8"/>
      <c r="D168" s="8"/>
      <c r="E168" s="2380"/>
      <c r="F168" s="5"/>
      <c r="G168" s="9"/>
      <c r="H168" s="8"/>
      <c r="I168" s="2380"/>
      <c r="J168" s="2381"/>
      <c r="K168" s="2381"/>
      <c r="O168" s="2381"/>
      <c r="P168" s="2381"/>
    </row>
    <row r="169" spans="1:17" ht="15.75" customHeight="1" x14ac:dyDescent="0.25">
      <c r="A169" s="2512" t="s">
        <v>1929</v>
      </c>
      <c r="B169" s="2512"/>
      <c r="C169" s="2512"/>
      <c r="D169" s="2512"/>
      <c r="E169" s="2512"/>
      <c r="F169" s="2512"/>
      <c r="G169" s="2512"/>
      <c r="H169" s="2512"/>
      <c r="I169" s="2512"/>
      <c r="J169" s="2512"/>
      <c r="K169" s="2512"/>
      <c r="L169" s="2512"/>
      <c r="M169" s="2512"/>
      <c r="N169" s="2512"/>
      <c r="O169" s="2512"/>
      <c r="P169" s="2512"/>
      <c r="Q169" s="2512"/>
    </row>
    <row r="170" spans="1:17" x14ac:dyDescent="0.2">
      <c r="A170" s="3"/>
      <c r="B170" s="6"/>
      <c r="C170" s="6"/>
      <c r="D170" s="6"/>
      <c r="E170" s="1"/>
      <c r="F170" s="2"/>
      <c r="G170" s="6"/>
      <c r="H170" s="6"/>
      <c r="I170" s="1"/>
      <c r="J170" s="1"/>
      <c r="K170" s="1"/>
      <c r="L170" s="6"/>
      <c r="M170" s="6"/>
      <c r="N170" s="6"/>
      <c r="O170" s="1"/>
      <c r="P170" s="1"/>
      <c r="Q170" s="6"/>
    </row>
    <row r="171" spans="1:17" ht="13.5" thickBot="1" x14ac:dyDescent="0.25">
      <c r="A171" s="3" t="s">
        <v>396</v>
      </c>
      <c r="B171" s="6"/>
      <c r="C171" s="6"/>
      <c r="D171" s="6"/>
      <c r="E171" s="1"/>
      <c r="F171" s="2"/>
      <c r="G171" s="6"/>
      <c r="H171" s="6"/>
      <c r="I171" s="1"/>
      <c r="J171" s="1"/>
      <c r="K171" s="1"/>
      <c r="L171" s="6"/>
      <c r="M171" s="6"/>
      <c r="N171" s="6"/>
      <c r="O171" s="1"/>
      <c r="P171" s="1"/>
      <c r="Q171" s="6"/>
    </row>
    <row r="172" spans="1:17" ht="14.45" customHeight="1" thickBot="1" x14ac:dyDescent="0.25">
      <c r="A172" s="2513" t="s">
        <v>327</v>
      </c>
      <c r="B172" s="2516" t="s">
        <v>1935</v>
      </c>
      <c r="C172" s="2517"/>
      <c r="D172" s="2517"/>
      <c r="E172" s="2517"/>
      <c r="F172" s="2517"/>
      <c r="G172" s="2517"/>
      <c r="H172" s="2517"/>
      <c r="I172" s="2517"/>
      <c r="J172" s="2517"/>
      <c r="K172" s="2517"/>
      <c r="L172" s="2518" t="s">
        <v>1930</v>
      </c>
      <c r="M172" s="2519"/>
      <c r="N172" s="2519"/>
      <c r="O172" s="2519"/>
      <c r="P172" s="2520"/>
      <c r="Q172" s="2521"/>
    </row>
    <row r="173" spans="1:17" ht="14.45" customHeight="1" x14ac:dyDescent="0.2">
      <c r="A173" s="2514"/>
      <c r="B173" s="2522" t="s">
        <v>328</v>
      </c>
      <c r="C173" s="2523"/>
      <c r="D173" s="1014"/>
      <c r="E173" s="1014" t="s">
        <v>904</v>
      </c>
      <c r="F173" s="1014" t="s">
        <v>329</v>
      </c>
      <c r="G173" s="1014"/>
      <c r="H173" s="1014"/>
      <c r="I173" s="2526" t="s">
        <v>330</v>
      </c>
      <c r="J173" s="2527"/>
      <c r="K173" s="2528"/>
      <c r="L173" s="2524" t="s">
        <v>328</v>
      </c>
      <c r="M173" s="2525"/>
      <c r="N173" s="1021" t="s">
        <v>331</v>
      </c>
      <c r="O173" s="1022" t="s">
        <v>332</v>
      </c>
      <c r="P173" s="1023"/>
      <c r="Q173" s="1024"/>
    </row>
    <row r="174" spans="1:17" ht="14.45" customHeight="1" x14ac:dyDescent="0.2">
      <c r="A174" s="2514"/>
      <c r="B174" s="1014" t="s">
        <v>835</v>
      </c>
      <c r="C174" s="1014" t="s">
        <v>335</v>
      </c>
      <c r="D174" s="1014" t="s">
        <v>837</v>
      </c>
      <c r="E174" s="1014" t="s">
        <v>842</v>
      </c>
      <c r="F174" s="1014" t="s">
        <v>336</v>
      </c>
      <c r="G174" s="1014" t="s">
        <v>337</v>
      </c>
      <c r="H174" s="1014" t="s">
        <v>338</v>
      </c>
      <c r="I174" s="2529" t="s">
        <v>839</v>
      </c>
      <c r="J174" s="2530"/>
      <c r="K174" s="2531"/>
      <c r="L174" s="1025" t="s">
        <v>835</v>
      </c>
      <c r="M174" s="1021" t="s">
        <v>335</v>
      </c>
      <c r="N174" s="1021" t="s">
        <v>339</v>
      </c>
      <c r="O174" s="1022"/>
      <c r="P174" s="1021" t="s">
        <v>337</v>
      </c>
      <c r="Q174" s="1024" t="s">
        <v>338</v>
      </c>
    </row>
    <row r="175" spans="1:17" ht="14.45" customHeight="1" x14ac:dyDescent="0.2">
      <c r="A175" s="2514"/>
      <c r="B175" s="1014"/>
      <c r="C175" s="1014"/>
      <c r="D175" s="1014"/>
      <c r="E175" s="1014"/>
      <c r="F175" s="1014" t="s">
        <v>341</v>
      </c>
      <c r="G175" s="1014" t="s">
        <v>342</v>
      </c>
      <c r="H175" s="1014" t="s">
        <v>341</v>
      </c>
      <c r="I175" s="1015"/>
      <c r="J175" s="1016"/>
      <c r="K175" s="1017"/>
      <c r="L175" s="1025"/>
      <c r="M175" s="1021"/>
      <c r="N175" s="1021"/>
      <c r="O175" s="1022" t="s">
        <v>344</v>
      </c>
      <c r="P175" s="1021" t="s">
        <v>342</v>
      </c>
      <c r="Q175" s="1024" t="s">
        <v>341</v>
      </c>
    </row>
    <row r="176" spans="1:17" ht="14.45" customHeight="1" x14ac:dyDescent="0.2">
      <c r="A176" s="2515"/>
      <c r="B176" s="1018" t="s">
        <v>345</v>
      </c>
      <c r="C176" s="1018" t="s">
        <v>345</v>
      </c>
      <c r="D176" s="1018" t="s">
        <v>346</v>
      </c>
      <c r="E176" s="1018" t="s">
        <v>757</v>
      </c>
      <c r="F176" s="1018"/>
      <c r="G176" s="1018" t="s">
        <v>347</v>
      </c>
      <c r="H176" s="1018" t="s">
        <v>348</v>
      </c>
      <c r="I176" s="1019" t="s">
        <v>349</v>
      </c>
      <c r="J176" s="1019" t="s">
        <v>350</v>
      </c>
      <c r="K176" s="1020" t="s">
        <v>351</v>
      </c>
      <c r="L176" s="1026" t="s">
        <v>345</v>
      </c>
      <c r="M176" s="1027" t="s">
        <v>345</v>
      </c>
      <c r="N176" s="1027" t="s">
        <v>346</v>
      </c>
      <c r="O176" s="1028"/>
      <c r="P176" s="1027" t="s">
        <v>347</v>
      </c>
      <c r="Q176" s="1029" t="s">
        <v>348</v>
      </c>
    </row>
    <row r="177" spans="1:17" ht="14.45" customHeight="1" x14ac:dyDescent="0.2">
      <c r="A177" s="975" t="s">
        <v>352</v>
      </c>
      <c r="B177" s="976">
        <v>161.25</v>
      </c>
      <c r="C177" s="976">
        <v>156.25</v>
      </c>
      <c r="D177" s="977">
        <v>622.5625</v>
      </c>
      <c r="E177" s="1608">
        <v>3.9843999999999999</v>
      </c>
      <c r="F177" s="979"/>
      <c r="G177" s="976"/>
      <c r="H177" s="976"/>
      <c r="I177" s="978"/>
      <c r="J177" s="978"/>
      <c r="K177" s="980"/>
      <c r="L177" s="981">
        <v>193</v>
      </c>
      <c r="M177" s="977">
        <v>191</v>
      </c>
      <c r="N177" s="977">
        <v>797</v>
      </c>
      <c r="O177" s="1608">
        <v>4.172774869109948</v>
      </c>
      <c r="P177" s="1609"/>
      <c r="Q177" s="1610"/>
    </row>
    <row r="178" spans="1:17" ht="14.45" customHeight="1" x14ac:dyDescent="0.2">
      <c r="A178" s="1481" t="s">
        <v>353</v>
      </c>
      <c r="B178" s="1146">
        <v>59</v>
      </c>
      <c r="C178" s="1146">
        <v>58</v>
      </c>
      <c r="D178" s="957">
        <v>232</v>
      </c>
      <c r="E178" s="1147">
        <v>4</v>
      </c>
      <c r="F178" s="1342" t="s">
        <v>985</v>
      </c>
      <c r="G178" s="1259">
        <v>4475000</v>
      </c>
      <c r="H178" s="1149">
        <v>16092075.706608001</v>
      </c>
      <c r="I178" s="960"/>
      <c r="J178" s="960"/>
      <c r="K178" s="961"/>
      <c r="L178" s="2217">
        <v>60</v>
      </c>
      <c r="M178" s="1146">
        <v>60</v>
      </c>
      <c r="N178" s="2310">
        <v>252</v>
      </c>
      <c r="O178" s="1147">
        <v>4.2</v>
      </c>
      <c r="P178" s="1261">
        <v>3784000</v>
      </c>
      <c r="Q178" s="1149">
        <v>16092075.706608001</v>
      </c>
    </row>
    <row r="179" spans="1:17" ht="14.45" customHeight="1" x14ac:dyDescent="0.2">
      <c r="A179" s="1481" t="s">
        <v>354</v>
      </c>
      <c r="B179" s="1146">
        <v>0</v>
      </c>
      <c r="C179" s="1146">
        <v>0</v>
      </c>
      <c r="D179" s="957">
        <v>0</v>
      </c>
      <c r="E179" s="1147">
        <v>0</v>
      </c>
      <c r="F179" s="1342"/>
      <c r="G179" s="1259"/>
      <c r="H179" s="1149"/>
      <c r="I179" s="960"/>
      <c r="J179" s="960"/>
      <c r="K179" s="961"/>
      <c r="L179" s="2217">
        <v>6</v>
      </c>
      <c r="M179" s="1146">
        <v>6</v>
      </c>
      <c r="N179" s="2310">
        <v>24</v>
      </c>
      <c r="O179" s="1147">
        <v>4</v>
      </c>
      <c r="P179" s="1261">
        <v>3784000</v>
      </c>
      <c r="Q179" s="1149">
        <v>16092075.706608001</v>
      </c>
    </row>
    <row r="180" spans="1:17" ht="14.45" customHeight="1" x14ac:dyDescent="0.2">
      <c r="A180" s="1481" t="s">
        <v>355</v>
      </c>
      <c r="B180" s="1146">
        <v>8</v>
      </c>
      <c r="C180" s="1146">
        <v>8</v>
      </c>
      <c r="D180" s="957">
        <v>36</v>
      </c>
      <c r="E180" s="1147">
        <v>4.5</v>
      </c>
      <c r="F180" s="1342" t="s">
        <v>985</v>
      </c>
      <c r="G180" s="1259">
        <v>4475000</v>
      </c>
      <c r="H180" s="1149">
        <v>16092075.706608001</v>
      </c>
      <c r="I180" s="960"/>
      <c r="J180" s="960"/>
      <c r="K180" s="961"/>
      <c r="L180" s="2217">
        <v>12</v>
      </c>
      <c r="M180" s="1146">
        <v>12</v>
      </c>
      <c r="N180" s="2310">
        <v>54</v>
      </c>
      <c r="O180" s="1147">
        <v>4.5</v>
      </c>
      <c r="P180" s="1261">
        <v>3784000</v>
      </c>
      <c r="Q180" s="1149">
        <v>16092075.706608001</v>
      </c>
    </row>
    <row r="181" spans="1:17" ht="14.45" customHeight="1" x14ac:dyDescent="0.2">
      <c r="A181" s="1481" t="s">
        <v>356</v>
      </c>
      <c r="B181" s="1146">
        <v>7</v>
      </c>
      <c r="C181" s="1146">
        <v>6</v>
      </c>
      <c r="D181" s="957">
        <v>36</v>
      </c>
      <c r="E181" s="1147">
        <v>6</v>
      </c>
      <c r="F181" s="1342" t="s">
        <v>985</v>
      </c>
      <c r="G181" s="1259">
        <v>4475000</v>
      </c>
      <c r="H181" s="1149">
        <v>16092075.706608001</v>
      </c>
      <c r="I181" s="960"/>
      <c r="J181" s="960"/>
      <c r="K181" s="961"/>
      <c r="L181" s="2217">
        <v>8</v>
      </c>
      <c r="M181" s="1146">
        <v>8</v>
      </c>
      <c r="N181" s="2310">
        <v>48</v>
      </c>
      <c r="O181" s="1147">
        <v>6</v>
      </c>
      <c r="P181" s="1261">
        <v>3784000</v>
      </c>
      <c r="Q181" s="1149">
        <v>16092075.706608001</v>
      </c>
    </row>
    <row r="182" spans="1:17" ht="14.45" customHeight="1" x14ac:dyDescent="0.2">
      <c r="A182" s="1481" t="s">
        <v>357</v>
      </c>
      <c r="B182" s="1146">
        <v>13</v>
      </c>
      <c r="C182" s="1146">
        <v>13</v>
      </c>
      <c r="D182" s="957">
        <v>52</v>
      </c>
      <c r="E182" s="1147">
        <v>4</v>
      </c>
      <c r="F182" s="1342" t="s">
        <v>985</v>
      </c>
      <c r="G182" s="1259">
        <v>4475000</v>
      </c>
      <c r="H182" s="1149">
        <v>16092075.706608001</v>
      </c>
      <c r="I182" s="960"/>
      <c r="J182" s="960"/>
      <c r="K182" s="961"/>
      <c r="L182" s="2217">
        <v>4</v>
      </c>
      <c r="M182" s="1146">
        <v>4</v>
      </c>
      <c r="N182" s="2310">
        <v>16</v>
      </c>
      <c r="O182" s="1147">
        <v>4</v>
      </c>
      <c r="P182" s="1261">
        <v>3784000</v>
      </c>
      <c r="Q182" s="1149">
        <v>16092075.706608001</v>
      </c>
    </row>
    <row r="183" spans="1:17" ht="14.45" customHeight="1" x14ac:dyDescent="0.2">
      <c r="A183" s="1481" t="s">
        <v>358</v>
      </c>
      <c r="B183" s="1146">
        <v>50</v>
      </c>
      <c r="C183" s="1146">
        <v>47</v>
      </c>
      <c r="D183" s="957">
        <v>164.5</v>
      </c>
      <c r="E183" s="1147">
        <v>3.5</v>
      </c>
      <c r="F183" s="1342" t="s">
        <v>985</v>
      </c>
      <c r="G183" s="1259">
        <v>4475000</v>
      </c>
      <c r="H183" s="1149">
        <v>16092075.706608001</v>
      </c>
      <c r="I183" s="960"/>
      <c r="J183" s="960"/>
      <c r="K183" s="961"/>
      <c r="L183" s="2217">
        <v>50</v>
      </c>
      <c r="M183" s="1146">
        <v>50</v>
      </c>
      <c r="N183" s="2310">
        <v>200</v>
      </c>
      <c r="O183" s="1147">
        <v>4</v>
      </c>
      <c r="P183" s="1261">
        <v>3784000</v>
      </c>
      <c r="Q183" s="1149">
        <v>16092075.706608001</v>
      </c>
    </row>
    <row r="184" spans="1:17" ht="14.45" customHeight="1" x14ac:dyDescent="0.2">
      <c r="A184" s="1481" t="s">
        <v>359</v>
      </c>
      <c r="B184" s="1146">
        <v>0</v>
      </c>
      <c r="C184" s="1146">
        <v>0</v>
      </c>
      <c r="D184" s="957">
        <v>0</v>
      </c>
      <c r="E184" s="1147">
        <v>0</v>
      </c>
      <c r="F184" s="964"/>
      <c r="G184" s="1259"/>
      <c r="H184" s="1149"/>
      <c r="I184" s="960"/>
      <c r="J184" s="960"/>
      <c r="K184" s="961"/>
      <c r="L184" s="2217">
        <v>0</v>
      </c>
      <c r="M184" s="1146">
        <v>0</v>
      </c>
      <c r="N184" s="2310">
        <v>0</v>
      </c>
      <c r="O184" s="1147">
        <v>0</v>
      </c>
      <c r="P184" s="1261"/>
      <c r="Q184" s="1606"/>
    </row>
    <row r="185" spans="1:17" ht="14.45" customHeight="1" x14ac:dyDescent="0.2">
      <c r="A185" s="1481" t="s">
        <v>360</v>
      </c>
      <c r="B185" s="1146">
        <v>2.25</v>
      </c>
      <c r="C185" s="1146">
        <v>2.25</v>
      </c>
      <c r="D185" s="957">
        <v>5.0625</v>
      </c>
      <c r="E185" s="1147">
        <v>2.25</v>
      </c>
      <c r="F185" s="1342" t="s">
        <v>985</v>
      </c>
      <c r="G185" s="1259">
        <v>4475000</v>
      </c>
      <c r="H185" s="1149">
        <v>16092075.706608001</v>
      </c>
      <c r="I185" s="960"/>
      <c r="J185" s="960"/>
      <c r="K185" s="961"/>
      <c r="L185" s="2217">
        <v>16</v>
      </c>
      <c r="M185" s="1146">
        <v>16</v>
      </c>
      <c r="N185" s="2310">
        <v>48</v>
      </c>
      <c r="O185" s="1147">
        <v>3</v>
      </c>
      <c r="P185" s="1261">
        <v>3784000</v>
      </c>
      <c r="Q185" s="1149">
        <v>16092075.706608001</v>
      </c>
    </row>
    <row r="186" spans="1:17" ht="14.45" customHeight="1" x14ac:dyDescent="0.2">
      <c r="A186" s="1481" t="s">
        <v>361</v>
      </c>
      <c r="B186" s="1146">
        <v>0</v>
      </c>
      <c r="C186" s="1146">
        <v>0</v>
      </c>
      <c r="D186" s="957">
        <v>0</v>
      </c>
      <c r="E186" s="1147">
        <v>0</v>
      </c>
      <c r="F186" s="958"/>
      <c r="G186" s="1259"/>
      <c r="H186" s="1149"/>
      <c r="I186" s="960"/>
      <c r="J186" s="960"/>
      <c r="K186" s="961"/>
      <c r="L186" s="2217">
        <v>0</v>
      </c>
      <c r="M186" s="1146">
        <v>0</v>
      </c>
      <c r="N186" s="2310">
        <v>0</v>
      </c>
      <c r="O186" s="1147">
        <v>0</v>
      </c>
      <c r="P186" s="1261"/>
      <c r="Q186" s="1606"/>
    </row>
    <row r="187" spans="1:17" ht="14.45" customHeight="1" x14ac:dyDescent="0.2">
      <c r="A187" s="1481" t="s">
        <v>362</v>
      </c>
      <c r="B187" s="1146">
        <v>5</v>
      </c>
      <c r="C187" s="1146">
        <v>5</v>
      </c>
      <c r="D187" s="957">
        <v>30</v>
      </c>
      <c r="E187" s="1147">
        <v>6</v>
      </c>
      <c r="F187" s="1342" t="s">
        <v>985</v>
      </c>
      <c r="G187" s="1259">
        <v>4475000</v>
      </c>
      <c r="H187" s="1149">
        <v>16092075.706608001</v>
      </c>
      <c r="I187" s="960"/>
      <c r="J187" s="960"/>
      <c r="K187" s="961"/>
      <c r="L187" s="2217">
        <v>4</v>
      </c>
      <c r="M187" s="1146">
        <v>4</v>
      </c>
      <c r="N187" s="2310">
        <v>24</v>
      </c>
      <c r="O187" s="1147">
        <v>6</v>
      </c>
      <c r="P187" s="1261">
        <v>3784000</v>
      </c>
      <c r="Q187" s="1149">
        <v>16092075.706608001</v>
      </c>
    </row>
    <row r="188" spans="1:17" ht="14.45" customHeight="1" x14ac:dyDescent="0.2">
      <c r="A188" s="1481" t="s">
        <v>363</v>
      </c>
      <c r="B188" s="1146">
        <v>8</v>
      </c>
      <c r="C188" s="1146">
        <v>8</v>
      </c>
      <c r="D188" s="957">
        <v>40</v>
      </c>
      <c r="E188" s="1147">
        <v>5</v>
      </c>
      <c r="F188" s="1342" t="s">
        <v>985</v>
      </c>
      <c r="G188" s="1259">
        <v>4475000</v>
      </c>
      <c r="H188" s="1149">
        <v>16092075.706608001</v>
      </c>
      <c r="I188" s="960"/>
      <c r="J188" s="960"/>
      <c r="K188" s="961"/>
      <c r="L188" s="2217">
        <v>17</v>
      </c>
      <c r="M188" s="1146">
        <v>15</v>
      </c>
      <c r="N188" s="2310">
        <v>75</v>
      </c>
      <c r="O188" s="1147">
        <v>5</v>
      </c>
      <c r="P188" s="1261">
        <v>3784000</v>
      </c>
      <c r="Q188" s="1149">
        <v>16092075.706608001</v>
      </c>
    </row>
    <row r="189" spans="1:17" ht="14.45" customHeight="1" x14ac:dyDescent="0.2">
      <c r="A189" s="1481" t="s">
        <v>364</v>
      </c>
      <c r="B189" s="1146">
        <v>9</v>
      </c>
      <c r="C189" s="1146">
        <v>9</v>
      </c>
      <c r="D189" s="957">
        <v>27</v>
      </c>
      <c r="E189" s="1147">
        <v>3</v>
      </c>
      <c r="F189" s="1342" t="s">
        <v>985</v>
      </c>
      <c r="G189" s="1259">
        <v>4475000</v>
      </c>
      <c r="H189" s="1149">
        <v>16092075.706608001</v>
      </c>
      <c r="I189" s="960"/>
      <c r="J189" s="960"/>
      <c r="K189" s="961"/>
      <c r="L189" s="2217">
        <v>16</v>
      </c>
      <c r="M189" s="1146">
        <v>16</v>
      </c>
      <c r="N189" s="2310">
        <v>56</v>
      </c>
      <c r="O189" s="1147">
        <v>3.5</v>
      </c>
      <c r="P189" s="1261">
        <v>3784000</v>
      </c>
      <c r="Q189" s="1149">
        <v>16092075.706608001</v>
      </c>
    </row>
    <row r="190" spans="1:17" ht="14.45" customHeight="1" x14ac:dyDescent="0.2">
      <c r="A190" s="1481" t="s">
        <v>365</v>
      </c>
      <c r="B190" s="1146"/>
      <c r="C190" s="1146"/>
      <c r="D190" s="957">
        <v>0</v>
      </c>
      <c r="E190" s="1147"/>
      <c r="F190" s="1342"/>
      <c r="G190" s="1259"/>
      <c r="H190" s="1149"/>
      <c r="I190" s="960"/>
      <c r="J190" s="960"/>
      <c r="K190" s="961"/>
      <c r="L190" s="2217"/>
      <c r="M190" s="1146"/>
      <c r="N190" s="2310">
        <v>0</v>
      </c>
      <c r="O190" s="1147"/>
      <c r="P190" s="1261"/>
      <c r="Q190" s="1149"/>
    </row>
    <row r="191" spans="1:17" ht="14.45" customHeight="1" x14ac:dyDescent="0.2">
      <c r="A191" s="1481" t="s">
        <v>366</v>
      </c>
      <c r="B191" s="1146"/>
      <c r="C191" s="1146"/>
      <c r="D191" s="957">
        <v>0</v>
      </c>
      <c r="E191" s="1494"/>
      <c r="F191" s="958"/>
      <c r="G191" s="1259"/>
      <c r="H191" s="1149"/>
      <c r="I191" s="960"/>
      <c r="J191" s="960"/>
      <c r="K191" s="961"/>
      <c r="L191" s="2217"/>
      <c r="M191" s="1146"/>
      <c r="N191" s="2310">
        <v>0</v>
      </c>
      <c r="O191" s="1147"/>
      <c r="P191" s="1261"/>
      <c r="Q191" s="1606"/>
    </row>
    <row r="192" spans="1:17" ht="14.45" customHeight="1" x14ac:dyDescent="0.2">
      <c r="A192" s="1481" t="s">
        <v>367</v>
      </c>
      <c r="B192" s="1146">
        <v>0</v>
      </c>
      <c r="C192" s="1146">
        <v>0</v>
      </c>
      <c r="D192" s="957">
        <v>0</v>
      </c>
      <c r="E192" s="1494">
        <v>0</v>
      </c>
      <c r="F192" s="964"/>
      <c r="G192" s="1259"/>
      <c r="H192" s="1149"/>
      <c r="I192" s="960"/>
      <c r="J192" s="960"/>
      <c r="K192" s="961"/>
      <c r="L192" s="2217">
        <v>0</v>
      </c>
      <c r="M192" s="1146">
        <v>0</v>
      </c>
      <c r="N192" s="1146">
        <v>0</v>
      </c>
      <c r="O192" s="1623">
        <v>0</v>
      </c>
      <c r="P192" s="1261"/>
      <c r="Q192" s="1606"/>
    </row>
    <row r="193" spans="1:17" ht="14.45" customHeight="1" x14ac:dyDescent="0.2">
      <c r="A193" s="1484" t="s">
        <v>368</v>
      </c>
      <c r="B193" s="1002">
        <v>155</v>
      </c>
      <c r="C193" s="984">
        <v>157</v>
      </c>
      <c r="D193" s="2308">
        <v>749</v>
      </c>
      <c r="E193" s="1608">
        <v>4.7707006369426752</v>
      </c>
      <c r="F193" s="987"/>
      <c r="G193" s="1486"/>
      <c r="H193" s="1487"/>
      <c r="I193" s="989"/>
      <c r="J193" s="989"/>
      <c r="K193" s="990"/>
      <c r="L193" s="1453">
        <v>108</v>
      </c>
      <c r="M193" s="1002">
        <v>108</v>
      </c>
      <c r="N193" s="984">
        <v>566.5</v>
      </c>
      <c r="O193" s="1608">
        <v>5.2453703703703702</v>
      </c>
      <c r="P193" s="1604"/>
      <c r="Q193" s="1605"/>
    </row>
    <row r="194" spans="1:17" ht="14.45" customHeight="1" x14ac:dyDescent="0.2">
      <c r="A194" s="1481" t="s">
        <v>369</v>
      </c>
      <c r="B194" s="1146">
        <v>133</v>
      </c>
      <c r="C194" s="1146">
        <v>133</v>
      </c>
      <c r="D194" s="957">
        <v>665</v>
      </c>
      <c r="E194" s="1147">
        <v>5</v>
      </c>
      <c r="F194" s="1342" t="s">
        <v>985</v>
      </c>
      <c r="G194" s="1259">
        <v>4475000</v>
      </c>
      <c r="H194" s="1149">
        <v>16092075.706608001</v>
      </c>
      <c r="I194" s="960"/>
      <c r="J194" s="960"/>
      <c r="K194" s="961"/>
      <c r="L194" s="2217">
        <v>93</v>
      </c>
      <c r="M194" s="1146">
        <v>93</v>
      </c>
      <c r="N194" s="2310">
        <v>511.5</v>
      </c>
      <c r="O194" s="1147">
        <v>5.5</v>
      </c>
      <c r="P194" s="1261">
        <v>3784000</v>
      </c>
      <c r="Q194" s="1149">
        <v>16092075.706608001</v>
      </c>
    </row>
    <row r="195" spans="1:17" ht="14.45" customHeight="1" x14ac:dyDescent="0.2">
      <c r="A195" s="1481" t="s">
        <v>370</v>
      </c>
      <c r="B195" s="1146">
        <v>18</v>
      </c>
      <c r="C195" s="1146">
        <v>18</v>
      </c>
      <c r="D195" s="957">
        <v>54</v>
      </c>
      <c r="E195" s="1147">
        <v>3</v>
      </c>
      <c r="F195" s="1342" t="s">
        <v>985</v>
      </c>
      <c r="G195" s="1259">
        <v>4475000</v>
      </c>
      <c r="H195" s="1149">
        <v>16092075.706608001</v>
      </c>
      <c r="I195" s="960"/>
      <c r="J195" s="960"/>
      <c r="K195" s="961"/>
      <c r="L195" s="2217">
        <v>11</v>
      </c>
      <c r="M195" s="1146">
        <v>11</v>
      </c>
      <c r="N195" s="2310">
        <v>33</v>
      </c>
      <c r="O195" s="1147">
        <v>3</v>
      </c>
      <c r="P195" s="1261">
        <v>3784000</v>
      </c>
      <c r="Q195" s="1149">
        <v>16092075.706608001</v>
      </c>
    </row>
    <row r="196" spans="1:17" ht="14.45" customHeight="1" x14ac:dyDescent="0.2">
      <c r="A196" s="1481" t="s">
        <v>371</v>
      </c>
      <c r="B196" s="1146">
        <v>4</v>
      </c>
      <c r="C196" s="1146">
        <v>6</v>
      </c>
      <c r="D196" s="957">
        <v>30</v>
      </c>
      <c r="E196" s="1147">
        <v>5</v>
      </c>
      <c r="F196" s="1342" t="s">
        <v>985</v>
      </c>
      <c r="G196" s="1259">
        <v>4475000</v>
      </c>
      <c r="H196" s="1149">
        <v>16092075.706608001</v>
      </c>
      <c r="I196" s="960"/>
      <c r="J196" s="960"/>
      <c r="K196" s="961"/>
      <c r="L196" s="2217">
        <v>4</v>
      </c>
      <c r="M196" s="1146">
        <v>4</v>
      </c>
      <c r="N196" s="2310">
        <v>22</v>
      </c>
      <c r="O196" s="1147">
        <v>5.5</v>
      </c>
      <c r="P196" s="1261">
        <v>3784000</v>
      </c>
      <c r="Q196" s="1149">
        <v>16092075.706608001</v>
      </c>
    </row>
    <row r="197" spans="1:17" ht="14.45" customHeight="1" x14ac:dyDescent="0.2">
      <c r="A197" s="1481" t="s">
        <v>372</v>
      </c>
      <c r="B197" s="1146">
        <v>0</v>
      </c>
      <c r="C197" s="1146">
        <v>0</v>
      </c>
      <c r="D197" s="957">
        <v>0</v>
      </c>
      <c r="E197" s="1494">
        <v>0</v>
      </c>
      <c r="F197" s="964"/>
      <c r="G197" s="1259"/>
      <c r="H197" s="1149"/>
      <c r="I197" s="960"/>
      <c r="J197" s="960"/>
      <c r="K197" s="961"/>
      <c r="L197" s="2217">
        <v>0</v>
      </c>
      <c r="M197" s="1146">
        <v>0</v>
      </c>
      <c r="N197" s="1146">
        <v>0</v>
      </c>
      <c r="O197" s="1623">
        <v>0</v>
      </c>
      <c r="P197" s="1261"/>
      <c r="Q197" s="1606"/>
    </row>
    <row r="198" spans="1:17" ht="14.45" customHeight="1" x14ac:dyDescent="0.2">
      <c r="A198" s="1481" t="s">
        <v>373</v>
      </c>
      <c r="B198" s="1146">
        <v>0</v>
      </c>
      <c r="C198" s="1146">
        <v>0</v>
      </c>
      <c r="D198" s="957">
        <v>0</v>
      </c>
      <c r="E198" s="1494">
        <v>0</v>
      </c>
      <c r="F198" s="958"/>
      <c r="G198" s="1259"/>
      <c r="H198" s="1149"/>
      <c r="I198" s="960"/>
      <c r="J198" s="960"/>
      <c r="K198" s="961"/>
      <c r="L198" s="2217">
        <v>0</v>
      </c>
      <c r="M198" s="1146">
        <v>0</v>
      </c>
      <c r="N198" s="1146">
        <v>0</v>
      </c>
      <c r="O198" s="1623">
        <v>0</v>
      </c>
      <c r="P198" s="1261"/>
      <c r="Q198" s="1606"/>
    </row>
    <row r="199" spans="1:17" ht="14.45" customHeight="1" x14ac:dyDescent="0.2">
      <c r="A199" s="1484" t="s">
        <v>374</v>
      </c>
      <c r="B199" s="1002">
        <v>80</v>
      </c>
      <c r="C199" s="984">
        <v>78</v>
      </c>
      <c r="D199" s="984">
        <v>291.39999999999998</v>
      </c>
      <c r="E199" s="1608">
        <v>3.7358974358974355</v>
      </c>
      <c r="F199" s="987"/>
      <c r="G199" s="1488"/>
      <c r="H199" s="1153"/>
      <c r="I199" s="997"/>
      <c r="J199" s="997"/>
      <c r="K199" s="998"/>
      <c r="L199" s="1453">
        <v>88.5</v>
      </c>
      <c r="M199" s="1002">
        <v>88.5</v>
      </c>
      <c r="N199" s="984">
        <v>348.9</v>
      </c>
      <c r="O199" s="1608">
        <v>3.942372881355932</v>
      </c>
      <c r="P199" s="1604"/>
      <c r="Q199" s="1605"/>
    </row>
    <row r="200" spans="1:17" ht="14.45" customHeight="1" x14ac:dyDescent="0.2">
      <c r="A200" s="1481" t="s">
        <v>375</v>
      </c>
      <c r="B200" s="1146">
        <v>22</v>
      </c>
      <c r="C200" s="1146">
        <v>22</v>
      </c>
      <c r="D200" s="957">
        <v>114.4</v>
      </c>
      <c r="E200" s="1147">
        <v>5.2</v>
      </c>
      <c r="F200" s="1342" t="s">
        <v>985</v>
      </c>
      <c r="G200" s="1259">
        <v>4475000</v>
      </c>
      <c r="H200" s="1149">
        <v>16092075.706608001</v>
      </c>
      <c r="I200" s="960"/>
      <c r="J200" s="960"/>
      <c r="K200" s="961"/>
      <c r="L200" s="2217">
        <v>27</v>
      </c>
      <c r="M200" s="1146">
        <v>27</v>
      </c>
      <c r="N200" s="2310">
        <v>140.4</v>
      </c>
      <c r="O200" s="1147">
        <v>5.2</v>
      </c>
      <c r="P200" s="1261">
        <v>3784000</v>
      </c>
      <c r="Q200" s="1149">
        <v>16092075.706608001</v>
      </c>
    </row>
    <row r="201" spans="1:17" ht="14.45" customHeight="1" x14ac:dyDescent="0.2">
      <c r="A201" s="1481" t="s">
        <v>376</v>
      </c>
      <c r="B201" s="1146">
        <v>3</v>
      </c>
      <c r="C201" s="1146">
        <v>3</v>
      </c>
      <c r="D201" s="957">
        <v>12</v>
      </c>
      <c r="E201" s="1147">
        <v>4</v>
      </c>
      <c r="F201" s="1342" t="s">
        <v>985</v>
      </c>
      <c r="G201" s="1259">
        <v>4475000</v>
      </c>
      <c r="H201" s="1149">
        <v>16092075.706608001</v>
      </c>
      <c r="I201" s="960"/>
      <c r="J201" s="960"/>
      <c r="K201" s="961"/>
      <c r="L201" s="2217">
        <v>5</v>
      </c>
      <c r="M201" s="1146">
        <v>5</v>
      </c>
      <c r="N201" s="2310">
        <v>20</v>
      </c>
      <c r="O201" s="1147">
        <v>4</v>
      </c>
      <c r="P201" s="1261">
        <v>3784000</v>
      </c>
      <c r="Q201" s="1149">
        <v>16092075.706608001</v>
      </c>
    </row>
    <row r="202" spans="1:17" ht="14.45" customHeight="1" x14ac:dyDescent="0.2">
      <c r="A202" s="1481" t="s">
        <v>377</v>
      </c>
      <c r="B202" s="1146">
        <v>0</v>
      </c>
      <c r="C202" s="1146">
        <v>0</v>
      </c>
      <c r="D202" s="957">
        <v>0</v>
      </c>
      <c r="E202" s="1147">
        <v>0</v>
      </c>
      <c r="F202" s="958"/>
      <c r="G202" s="1259"/>
      <c r="H202" s="1149"/>
      <c r="I202" s="960"/>
      <c r="J202" s="960"/>
      <c r="K202" s="961"/>
      <c r="L202" s="2217">
        <v>0</v>
      </c>
      <c r="M202" s="1146">
        <v>0</v>
      </c>
      <c r="N202" s="2310">
        <v>0</v>
      </c>
      <c r="O202" s="1147">
        <v>0</v>
      </c>
      <c r="P202" s="1261"/>
      <c r="Q202" s="1606"/>
    </row>
    <row r="203" spans="1:17" ht="14.45" customHeight="1" x14ac:dyDescent="0.2">
      <c r="A203" s="1481" t="s">
        <v>378</v>
      </c>
      <c r="B203" s="1146">
        <v>23</v>
      </c>
      <c r="C203" s="1146">
        <v>23</v>
      </c>
      <c r="D203" s="957">
        <v>80.5</v>
      </c>
      <c r="E203" s="1147">
        <v>3.5</v>
      </c>
      <c r="F203" s="1342" t="s">
        <v>985</v>
      </c>
      <c r="G203" s="1259">
        <v>4475000</v>
      </c>
      <c r="H203" s="1149">
        <v>16092075.706608001</v>
      </c>
      <c r="I203" s="966"/>
      <c r="J203" s="960"/>
      <c r="K203" s="967"/>
      <c r="L203" s="2217">
        <v>22</v>
      </c>
      <c r="M203" s="1146">
        <v>22</v>
      </c>
      <c r="N203" s="2310">
        <v>77</v>
      </c>
      <c r="O203" s="1147">
        <v>3.5</v>
      </c>
      <c r="P203" s="1261">
        <v>3784000</v>
      </c>
      <c r="Q203" s="1149">
        <v>16092075.706608001</v>
      </c>
    </row>
    <row r="204" spans="1:17" ht="14.45" customHeight="1" x14ac:dyDescent="0.2">
      <c r="A204" s="1481" t="s">
        <v>379</v>
      </c>
      <c r="B204" s="1146">
        <v>13</v>
      </c>
      <c r="C204" s="1146">
        <v>11</v>
      </c>
      <c r="D204" s="957">
        <v>33</v>
      </c>
      <c r="E204" s="1147">
        <v>3</v>
      </c>
      <c r="F204" s="1342" t="s">
        <v>985</v>
      </c>
      <c r="G204" s="1259">
        <v>4475000</v>
      </c>
      <c r="H204" s="1149">
        <v>16092075.706608001</v>
      </c>
      <c r="I204" s="966"/>
      <c r="J204" s="960"/>
      <c r="K204" s="967"/>
      <c r="L204" s="2217">
        <v>7.5</v>
      </c>
      <c r="M204" s="1146">
        <v>7.5</v>
      </c>
      <c r="N204" s="2310">
        <v>22.5</v>
      </c>
      <c r="O204" s="1147">
        <v>3</v>
      </c>
      <c r="P204" s="1261">
        <v>3784000</v>
      </c>
      <c r="Q204" s="1149">
        <v>16092075.706608001</v>
      </c>
    </row>
    <row r="205" spans="1:17" ht="14.45" customHeight="1" x14ac:dyDescent="0.2">
      <c r="A205" s="1481" t="s">
        <v>380</v>
      </c>
      <c r="B205" s="1146">
        <v>4</v>
      </c>
      <c r="C205" s="1146">
        <v>4</v>
      </c>
      <c r="D205" s="957">
        <v>20</v>
      </c>
      <c r="E205" s="1147">
        <v>5</v>
      </c>
      <c r="F205" s="1342" t="s">
        <v>985</v>
      </c>
      <c r="G205" s="1259">
        <v>4475000</v>
      </c>
      <c r="H205" s="1149">
        <v>16092075.706608001</v>
      </c>
      <c r="I205" s="966"/>
      <c r="J205" s="960"/>
      <c r="K205" s="967"/>
      <c r="L205" s="2217">
        <v>4</v>
      </c>
      <c r="M205" s="1146">
        <v>4</v>
      </c>
      <c r="N205" s="2310">
        <v>20</v>
      </c>
      <c r="O205" s="1147">
        <v>5</v>
      </c>
      <c r="P205" s="1261">
        <v>3784000</v>
      </c>
      <c r="Q205" s="1149">
        <v>16092075.706608001</v>
      </c>
    </row>
    <row r="206" spans="1:17" ht="14.45" customHeight="1" x14ac:dyDescent="0.2">
      <c r="A206" s="1481" t="s">
        <v>381</v>
      </c>
      <c r="B206" s="1146">
        <v>3</v>
      </c>
      <c r="C206" s="1146">
        <v>3</v>
      </c>
      <c r="D206" s="957">
        <v>7.5</v>
      </c>
      <c r="E206" s="1147">
        <v>2.5</v>
      </c>
      <c r="F206" s="1342" t="s">
        <v>985</v>
      </c>
      <c r="G206" s="1259">
        <v>4475000</v>
      </c>
      <c r="H206" s="1149">
        <v>16092075.706608001</v>
      </c>
      <c r="I206" s="966"/>
      <c r="J206" s="960"/>
      <c r="K206" s="967"/>
      <c r="L206" s="2217">
        <v>5</v>
      </c>
      <c r="M206" s="1146">
        <v>5</v>
      </c>
      <c r="N206" s="2310">
        <v>15</v>
      </c>
      <c r="O206" s="1147">
        <v>3</v>
      </c>
      <c r="P206" s="1261">
        <v>3784000</v>
      </c>
      <c r="Q206" s="1149">
        <v>16092075.706608001</v>
      </c>
    </row>
    <row r="207" spans="1:17" ht="14.45" customHeight="1" x14ac:dyDescent="0.2">
      <c r="A207" s="1481" t="s">
        <v>382</v>
      </c>
      <c r="B207" s="1146">
        <v>12</v>
      </c>
      <c r="C207" s="1146">
        <v>12</v>
      </c>
      <c r="D207" s="957">
        <v>24</v>
      </c>
      <c r="E207" s="1147">
        <v>2</v>
      </c>
      <c r="F207" s="1342" t="s">
        <v>985</v>
      </c>
      <c r="G207" s="1259">
        <v>4475000</v>
      </c>
      <c r="H207" s="1149">
        <v>16092075.706608001</v>
      </c>
      <c r="I207" s="966"/>
      <c r="J207" s="960"/>
      <c r="K207" s="967"/>
      <c r="L207" s="2217">
        <v>18</v>
      </c>
      <c r="M207" s="1146">
        <v>18</v>
      </c>
      <c r="N207" s="2310">
        <v>54</v>
      </c>
      <c r="O207" s="1147">
        <v>3</v>
      </c>
      <c r="P207" s="1261">
        <v>3784000</v>
      </c>
      <c r="Q207" s="1149">
        <v>16092075.706608001</v>
      </c>
    </row>
    <row r="208" spans="1:17" ht="14.45" customHeight="1" x14ac:dyDescent="0.2">
      <c r="A208" s="1484" t="s">
        <v>383</v>
      </c>
      <c r="B208" s="1002">
        <v>178</v>
      </c>
      <c r="C208" s="1002">
        <v>169</v>
      </c>
      <c r="D208" s="1002">
        <v>693.14</v>
      </c>
      <c r="E208" s="1608">
        <v>4.1014201183431949</v>
      </c>
      <c r="F208" s="1003"/>
      <c r="G208" s="1488"/>
      <c r="H208" s="1153"/>
      <c r="I208" s="1005"/>
      <c r="J208" s="997"/>
      <c r="K208" s="949"/>
      <c r="L208" s="1453">
        <v>159</v>
      </c>
      <c r="M208" s="1002">
        <v>157</v>
      </c>
      <c r="N208" s="1002">
        <v>627.5</v>
      </c>
      <c r="O208" s="1608">
        <v>3.9968152866242037</v>
      </c>
      <c r="P208" s="1604"/>
      <c r="Q208" s="1605"/>
    </row>
    <row r="209" spans="1:17" ht="14.45" customHeight="1" x14ac:dyDescent="0.2">
      <c r="A209" s="1481" t="s">
        <v>384</v>
      </c>
      <c r="B209" s="1146">
        <v>85</v>
      </c>
      <c r="C209" s="1146">
        <v>85</v>
      </c>
      <c r="D209" s="957">
        <v>399.5</v>
      </c>
      <c r="E209" s="1147">
        <v>4.7</v>
      </c>
      <c r="F209" s="1342" t="s">
        <v>985</v>
      </c>
      <c r="G209" s="1259">
        <v>4475000</v>
      </c>
      <c r="H209" s="1149">
        <v>16092075.706608001</v>
      </c>
      <c r="I209" s="966"/>
      <c r="J209" s="960"/>
      <c r="K209" s="967"/>
      <c r="L209" s="2217">
        <v>62</v>
      </c>
      <c r="M209" s="1146">
        <v>62</v>
      </c>
      <c r="N209" s="2310">
        <v>279</v>
      </c>
      <c r="O209" s="1147">
        <v>4.5</v>
      </c>
      <c r="P209" s="1261">
        <v>3784000</v>
      </c>
      <c r="Q209" s="1149">
        <v>16092075.706608001</v>
      </c>
    </row>
    <row r="210" spans="1:17" ht="14.45" customHeight="1" x14ac:dyDescent="0.2">
      <c r="A210" s="1481" t="s">
        <v>385</v>
      </c>
      <c r="B210" s="1146">
        <v>6</v>
      </c>
      <c r="C210" s="1146">
        <v>6</v>
      </c>
      <c r="D210" s="957">
        <v>18</v>
      </c>
      <c r="E210" s="1147">
        <v>3</v>
      </c>
      <c r="F210" s="1342" t="s">
        <v>985</v>
      </c>
      <c r="G210" s="1259">
        <v>4475000</v>
      </c>
      <c r="H210" s="1149">
        <v>16092075.706608001</v>
      </c>
      <c r="I210" s="966"/>
      <c r="J210" s="960"/>
      <c r="K210" s="967"/>
      <c r="L210" s="2217">
        <v>7</v>
      </c>
      <c r="M210" s="1146">
        <v>7</v>
      </c>
      <c r="N210" s="2310">
        <v>21</v>
      </c>
      <c r="O210" s="1147">
        <v>3</v>
      </c>
      <c r="P210" s="1261">
        <v>3784000</v>
      </c>
      <c r="Q210" s="1149">
        <v>16092075.706608001</v>
      </c>
    </row>
    <row r="211" spans="1:17" ht="14.45" customHeight="1" x14ac:dyDescent="0.2">
      <c r="A211" s="1481" t="s">
        <v>386</v>
      </c>
      <c r="B211" s="1146">
        <v>6</v>
      </c>
      <c r="C211" s="1146">
        <v>6</v>
      </c>
      <c r="D211" s="957">
        <v>19.14</v>
      </c>
      <c r="E211" s="1147">
        <v>3.19</v>
      </c>
      <c r="F211" s="1342" t="s">
        <v>985</v>
      </c>
      <c r="G211" s="1259">
        <v>4475000</v>
      </c>
      <c r="H211" s="1149">
        <v>16092075.706608001</v>
      </c>
      <c r="I211" s="966"/>
      <c r="J211" s="960"/>
      <c r="K211" s="967"/>
      <c r="L211" s="2217">
        <v>5</v>
      </c>
      <c r="M211" s="1146">
        <v>5</v>
      </c>
      <c r="N211" s="2310">
        <v>17.5</v>
      </c>
      <c r="O211" s="1147">
        <v>3.5</v>
      </c>
      <c r="P211" s="1261">
        <v>3784000</v>
      </c>
      <c r="Q211" s="1149">
        <v>16092075.706608001</v>
      </c>
    </row>
    <row r="212" spans="1:17" ht="14.45" customHeight="1" x14ac:dyDescent="0.2">
      <c r="A212" s="1481" t="s">
        <v>387</v>
      </c>
      <c r="B212" s="1146">
        <v>12</v>
      </c>
      <c r="C212" s="1146">
        <v>12</v>
      </c>
      <c r="D212" s="957">
        <v>36</v>
      </c>
      <c r="E212" s="1147">
        <v>3</v>
      </c>
      <c r="F212" s="1342" t="s">
        <v>985</v>
      </c>
      <c r="G212" s="1259">
        <v>4475000</v>
      </c>
      <c r="H212" s="1149">
        <v>16092075.706608001</v>
      </c>
      <c r="I212" s="966"/>
      <c r="J212" s="960"/>
      <c r="K212" s="967"/>
      <c r="L212" s="2217">
        <v>15</v>
      </c>
      <c r="M212" s="1146">
        <v>13</v>
      </c>
      <c r="N212" s="2310">
        <v>39</v>
      </c>
      <c r="O212" s="1147">
        <v>3</v>
      </c>
      <c r="P212" s="1261">
        <v>3784000</v>
      </c>
      <c r="Q212" s="1149">
        <v>16092075.706608001</v>
      </c>
    </row>
    <row r="213" spans="1:17" ht="14.45" customHeight="1" x14ac:dyDescent="0.2">
      <c r="A213" s="1481" t="s">
        <v>388</v>
      </c>
      <c r="B213" s="1146">
        <v>3</v>
      </c>
      <c r="C213" s="1146">
        <v>3</v>
      </c>
      <c r="D213" s="957">
        <v>7.5</v>
      </c>
      <c r="E213" s="1147">
        <v>2.5</v>
      </c>
      <c r="F213" s="1342" t="s">
        <v>985</v>
      </c>
      <c r="G213" s="1259">
        <v>4475000</v>
      </c>
      <c r="H213" s="1149">
        <v>16092075.706608001</v>
      </c>
      <c r="I213" s="966"/>
      <c r="J213" s="960"/>
      <c r="K213" s="967"/>
      <c r="L213" s="2217">
        <v>6</v>
      </c>
      <c r="M213" s="1146">
        <v>6</v>
      </c>
      <c r="N213" s="2310">
        <v>18</v>
      </c>
      <c r="O213" s="1147">
        <v>3</v>
      </c>
      <c r="P213" s="1261">
        <v>3784000</v>
      </c>
      <c r="Q213" s="1149">
        <v>16092075.706608001</v>
      </c>
    </row>
    <row r="214" spans="1:17" ht="14.45" customHeight="1" x14ac:dyDescent="0.2">
      <c r="A214" s="1481" t="s">
        <v>389</v>
      </c>
      <c r="B214" s="1146">
        <v>12</v>
      </c>
      <c r="C214" s="1146">
        <v>10</v>
      </c>
      <c r="D214" s="957">
        <v>25</v>
      </c>
      <c r="E214" s="1147">
        <v>2.5</v>
      </c>
      <c r="F214" s="1342" t="s">
        <v>985</v>
      </c>
      <c r="G214" s="1259">
        <v>4475000</v>
      </c>
      <c r="H214" s="1149">
        <v>16092075.706608001</v>
      </c>
      <c r="I214" s="966"/>
      <c r="J214" s="960"/>
      <c r="K214" s="967"/>
      <c r="L214" s="2217">
        <v>12</v>
      </c>
      <c r="M214" s="1146">
        <v>12</v>
      </c>
      <c r="N214" s="2310">
        <v>36</v>
      </c>
      <c r="O214" s="1147">
        <v>3</v>
      </c>
      <c r="P214" s="1261">
        <v>3784000</v>
      </c>
      <c r="Q214" s="1149">
        <v>16092075.706608001</v>
      </c>
    </row>
    <row r="215" spans="1:17" ht="14.45" customHeight="1" x14ac:dyDescent="0.2">
      <c r="A215" s="1481" t="s">
        <v>390</v>
      </c>
      <c r="B215" s="1146">
        <v>3</v>
      </c>
      <c r="C215" s="1146">
        <v>3</v>
      </c>
      <c r="D215" s="957">
        <v>12</v>
      </c>
      <c r="E215" s="1147">
        <v>4</v>
      </c>
      <c r="F215" s="1342" t="s">
        <v>985</v>
      </c>
      <c r="G215" s="1259">
        <v>4475000</v>
      </c>
      <c r="H215" s="1149">
        <v>16092075.706608001</v>
      </c>
      <c r="I215" s="966"/>
      <c r="J215" s="960"/>
      <c r="K215" s="967"/>
      <c r="L215" s="2217">
        <v>4</v>
      </c>
      <c r="M215" s="1146">
        <v>4</v>
      </c>
      <c r="N215" s="2310">
        <v>16</v>
      </c>
      <c r="O215" s="1147">
        <v>4</v>
      </c>
      <c r="P215" s="1261">
        <v>3784000</v>
      </c>
      <c r="Q215" s="1149">
        <v>16092075.706608001</v>
      </c>
    </row>
    <row r="216" spans="1:17" ht="14.45" customHeight="1" x14ac:dyDescent="0.2">
      <c r="A216" s="1481" t="s">
        <v>391</v>
      </c>
      <c r="B216" s="1146">
        <v>45</v>
      </c>
      <c r="C216" s="1146">
        <v>38</v>
      </c>
      <c r="D216" s="957">
        <v>152</v>
      </c>
      <c r="E216" s="1147">
        <v>4</v>
      </c>
      <c r="F216" s="1342" t="s">
        <v>985</v>
      </c>
      <c r="G216" s="1259">
        <v>4475000</v>
      </c>
      <c r="H216" s="1149">
        <v>16092075.706608001</v>
      </c>
      <c r="I216" s="966"/>
      <c r="J216" s="960"/>
      <c r="K216" s="967"/>
      <c r="L216" s="2217">
        <v>45</v>
      </c>
      <c r="M216" s="1146">
        <v>45</v>
      </c>
      <c r="N216" s="2310">
        <v>189</v>
      </c>
      <c r="O216" s="1147">
        <v>4.2</v>
      </c>
      <c r="P216" s="1261">
        <v>3784000</v>
      </c>
      <c r="Q216" s="1149">
        <v>16092075.706608001</v>
      </c>
    </row>
    <row r="217" spans="1:17" ht="14.45" customHeight="1" x14ac:dyDescent="0.2">
      <c r="A217" s="1493" t="s">
        <v>392</v>
      </c>
      <c r="B217" s="1146">
        <v>6</v>
      </c>
      <c r="C217" s="1146">
        <v>6</v>
      </c>
      <c r="D217" s="957">
        <v>24</v>
      </c>
      <c r="E217" s="1147">
        <v>4</v>
      </c>
      <c r="F217" s="1342" t="s">
        <v>985</v>
      </c>
      <c r="G217" s="1259">
        <v>4475000</v>
      </c>
      <c r="H217" s="1149">
        <v>16092075.706608001</v>
      </c>
      <c r="I217" s="973"/>
      <c r="J217" s="1496"/>
      <c r="K217" s="974"/>
      <c r="L217" s="2273">
        <v>3</v>
      </c>
      <c r="M217" s="1529">
        <v>3</v>
      </c>
      <c r="N217" s="1546">
        <v>12</v>
      </c>
      <c r="O217" s="1526">
        <v>4</v>
      </c>
      <c r="P217" s="1261">
        <v>3784000</v>
      </c>
      <c r="Q217" s="1149">
        <v>16092075.706608001</v>
      </c>
    </row>
    <row r="218" spans="1:17" ht="14.45" customHeight="1" thickBot="1" x14ac:dyDescent="0.25">
      <c r="A218" s="1006" t="s">
        <v>393</v>
      </c>
      <c r="B218" s="1007">
        <v>574.25</v>
      </c>
      <c r="C218" s="1007">
        <v>560.25</v>
      </c>
      <c r="D218" s="1007">
        <v>2356.1025</v>
      </c>
      <c r="E218" s="1482">
        <v>4.205448460508701</v>
      </c>
      <c r="F218" s="1480" t="s">
        <v>985</v>
      </c>
      <c r="G218" s="1085">
        <v>4475000</v>
      </c>
      <c r="H218" s="1085">
        <v>16092075.706607997</v>
      </c>
      <c r="I218" s="1008"/>
      <c r="J218" s="1008" t="s">
        <v>983</v>
      </c>
      <c r="K218" s="1011"/>
      <c r="L218" s="1007">
        <v>548.5</v>
      </c>
      <c r="M218" s="1007">
        <v>544.5</v>
      </c>
      <c r="N218" s="1007">
        <v>2339.9</v>
      </c>
      <c r="O218" s="1083">
        <v>4.2973370064279157</v>
      </c>
      <c r="P218" s="1603">
        <v>3783999.9999999991</v>
      </c>
      <c r="Q218" s="1607">
        <v>16092075.706608001</v>
      </c>
    </row>
    <row r="219" spans="1:17" x14ac:dyDescent="0.2">
      <c r="A219" s="7" t="s">
        <v>1934</v>
      </c>
      <c r="B219" s="8"/>
      <c r="C219" s="8"/>
      <c r="D219" s="8"/>
      <c r="E219" s="4"/>
      <c r="F219" s="5"/>
      <c r="G219" s="9"/>
      <c r="H219" s="8"/>
      <c r="I219" s="4"/>
      <c r="J219" s="1"/>
      <c r="K219" s="1"/>
      <c r="O219" s="1"/>
      <c r="P219" s="1"/>
    </row>
    <row r="220" spans="1:17" x14ac:dyDescent="0.2">
      <c r="A220" s="34"/>
      <c r="B220" s="8"/>
      <c r="C220" s="8"/>
      <c r="D220" s="8"/>
      <c r="E220" s="4"/>
      <c r="F220" s="5"/>
      <c r="G220" s="9"/>
      <c r="H220" s="15"/>
      <c r="I220" s="4"/>
      <c r="J220" s="1"/>
      <c r="K220" s="1"/>
      <c r="O220" s="1"/>
      <c r="P220" s="1"/>
    </row>
    <row r="221" spans="1:17" x14ac:dyDescent="0.2">
      <c r="A221" s="6"/>
      <c r="B221" s="8"/>
      <c r="C221" s="8"/>
      <c r="D221" s="8"/>
      <c r="E221" s="4"/>
      <c r="F221" s="5"/>
      <c r="G221" s="9"/>
      <c r="H221" s="15"/>
      <c r="I221" s="4"/>
      <c r="J221" s="1"/>
      <c r="K221" s="1"/>
      <c r="O221" s="1"/>
      <c r="P221" s="1"/>
    </row>
    <row r="222" spans="1:17" x14ac:dyDescent="0.2">
      <c r="A222" s="6"/>
      <c r="B222" s="8"/>
      <c r="C222" s="8"/>
      <c r="D222" s="8"/>
      <c r="E222" s="4"/>
      <c r="F222" s="5"/>
      <c r="G222" s="9"/>
      <c r="H222" s="15"/>
      <c r="I222" s="4"/>
      <c r="J222" s="1"/>
      <c r="K222" s="1"/>
      <c r="O222" s="1"/>
      <c r="P222" s="1"/>
    </row>
    <row r="223" spans="1:17" x14ac:dyDescent="0.2">
      <c r="A223" s="6"/>
      <c r="B223" s="8"/>
      <c r="C223" s="8"/>
      <c r="D223" s="8"/>
      <c r="E223" s="2380"/>
      <c r="F223" s="5"/>
      <c r="G223" s="9"/>
      <c r="H223" s="15"/>
      <c r="I223" s="2380"/>
      <c r="J223" s="2381"/>
      <c r="K223" s="2381"/>
      <c r="O223" s="2381"/>
      <c r="P223" s="2381"/>
    </row>
    <row r="224" spans="1:17" x14ac:dyDescent="0.2">
      <c r="A224" s="6"/>
      <c r="B224" s="8"/>
      <c r="C224" s="8"/>
      <c r="D224" s="8"/>
      <c r="E224" s="2380"/>
      <c r="F224" s="5"/>
      <c r="G224" s="9"/>
      <c r="H224" s="15"/>
      <c r="I224" s="2380"/>
      <c r="J224" s="2381"/>
      <c r="K224" s="2381"/>
      <c r="O224" s="2381"/>
      <c r="P224" s="2381"/>
    </row>
    <row r="225" spans="1:17" ht="15.75" customHeight="1" x14ac:dyDescent="0.25">
      <c r="A225" s="2512" t="s">
        <v>1929</v>
      </c>
      <c r="B225" s="2512"/>
      <c r="C225" s="2512"/>
      <c r="D225" s="2512"/>
      <c r="E225" s="2512"/>
      <c r="F225" s="2512"/>
      <c r="G225" s="2512"/>
      <c r="H225" s="2512"/>
      <c r="I225" s="2512"/>
      <c r="J225" s="2512"/>
      <c r="K225" s="2512"/>
      <c r="L225" s="2512"/>
      <c r="M225" s="2512"/>
      <c r="N225" s="2512"/>
      <c r="O225" s="2512"/>
      <c r="P225" s="2512"/>
      <c r="Q225" s="2512"/>
    </row>
    <row r="226" spans="1:17" x14ac:dyDescent="0.2">
      <c r="A226" s="3"/>
      <c r="B226" s="6"/>
      <c r="C226" s="6"/>
      <c r="D226" s="6"/>
      <c r="E226" s="1"/>
      <c r="F226" s="2"/>
      <c r="G226" s="6"/>
      <c r="H226" s="6"/>
      <c r="I226" s="1"/>
      <c r="J226" s="1"/>
      <c r="K226" s="1"/>
      <c r="L226" s="6"/>
      <c r="M226" s="6"/>
      <c r="N226" s="6"/>
      <c r="O226" s="1"/>
      <c r="P226" s="1"/>
      <c r="Q226" s="6"/>
    </row>
    <row r="227" spans="1:17" ht="13.5" thickBot="1" x14ac:dyDescent="0.25">
      <c r="A227" s="3" t="s">
        <v>397</v>
      </c>
      <c r="B227" s="6"/>
      <c r="C227" s="6"/>
      <c r="D227" s="6"/>
      <c r="E227" s="1"/>
      <c r="F227" s="2"/>
      <c r="G227" s="6"/>
      <c r="H227" s="6"/>
      <c r="I227" s="1"/>
      <c r="J227" s="1"/>
      <c r="K227" s="1"/>
      <c r="L227" s="6"/>
      <c r="M227" s="6"/>
      <c r="N227" s="6"/>
      <c r="O227" s="1"/>
      <c r="P227" s="1"/>
      <c r="Q227" s="6"/>
    </row>
    <row r="228" spans="1:17" ht="14.45" customHeight="1" thickBot="1" x14ac:dyDescent="0.25">
      <c r="A228" s="2513" t="s">
        <v>327</v>
      </c>
      <c r="B228" s="2516" t="s">
        <v>1935</v>
      </c>
      <c r="C228" s="2517"/>
      <c r="D228" s="2517"/>
      <c r="E228" s="2517"/>
      <c r="F228" s="2517"/>
      <c r="G228" s="2517"/>
      <c r="H228" s="2517"/>
      <c r="I228" s="2517"/>
      <c r="J228" s="2517"/>
      <c r="K228" s="2517"/>
      <c r="L228" s="2518" t="s">
        <v>1930</v>
      </c>
      <c r="M228" s="2519"/>
      <c r="N228" s="2519"/>
      <c r="O228" s="2519"/>
      <c r="P228" s="2520"/>
      <c r="Q228" s="2521"/>
    </row>
    <row r="229" spans="1:17" ht="14.45" customHeight="1" x14ac:dyDescent="0.2">
      <c r="A229" s="2514"/>
      <c r="B229" s="2522" t="s">
        <v>328</v>
      </c>
      <c r="C229" s="2523"/>
      <c r="D229" s="1014"/>
      <c r="E229" s="1014" t="s">
        <v>904</v>
      </c>
      <c r="F229" s="1014" t="s">
        <v>329</v>
      </c>
      <c r="G229" s="1014"/>
      <c r="H229" s="1014"/>
      <c r="I229" s="2526" t="s">
        <v>330</v>
      </c>
      <c r="J229" s="2527"/>
      <c r="K229" s="2528"/>
      <c r="L229" s="2524" t="s">
        <v>328</v>
      </c>
      <c r="M229" s="2525"/>
      <c r="N229" s="1021" t="s">
        <v>331</v>
      </c>
      <c r="O229" s="1022" t="s">
        <v>332</v>
      </c>
      <c r="P229" s="1023"/>
      <c r="Q229" s="1024"/>
    </row>
    <row r="230" spans="1:17" ht="14.45" customHeight="1" x14ac:dyDescent="0.2">
      <c r="A230" s="2514"/>
      <c r="B230" s="1014" t="s">
        <v>835</v>
      </c>
      <c r="C230" s="1014" t="s">
        <v>335</v>
      </c>
      <c r="D230" s="1014" t="s">
        <v>837</v>
      </c>
      <c r="E230" s="1014" t="s">
        <v>842</v>
      </c>
      <c r="F230" s="1014" t="s">
        <v>336</v>
      </c>
      <c r="G230" s="1014" t="s">
        <v>337</v>
      </c>
      <c r="H230" s="1014" t="s">
        <v>338</v>
      </c>
      <c r="I230" s="2529" t="s">
        <v>839</v>
      </c>
      <c r="J230" s="2530"/>
      <c r="K230" s="2531"/>
      <c r="L230" s="1025" t="s">
        <v>835</v>
      </c>
      <c r="M230" s="1021" t="s">
        <v>335</v>
      </c>
      <c r="N230" s="1021" t="s">
        <v>339</v>
      </c>
      <c r="O230" s="1022"/>
      <c r="P230" s="1021" t="s">
        <v>337</v>
      </c>
      <c r="Q230" s="1024" t="s">
        <v>338</v>
      </c>
    </row>
    <row r="231" spans="1:17" ht="14.45" customHeight="1" x14ac:dyDescent="0.2">
      <c r="A231" s="2514"/>
      <c r="B231" s="1014"/>
      <c r="C231" s="1014"/>
      <c r="D231" s="1014"/>
      <c r="E231" s="1014"/>
      <c r="F231" s="1014" t="s">
        <v>341</v>
      </c>
      <c r="G231" s="1014" t="s">
        <v>342</v>
      </c>
      <c r="H231" s="1014" t="s">
        <v>341</v>
      </c>
      <c r="I231" s="1015"/>
      <c r="J231" s="1016"/>
      <c r="K231" s="1017"/>
      <c r="L231" s="1025"/>
      <c r="M231" s="1021"/>
      <c r="N231" s="1021"/>
      <c r="O231" s="1022" t="s">
        <v>344</v>
      </c>
      <c r="P231" s="1021" t="s">
        <v>342</v>
      </c>
      <c r="Q231" s="1024" t="s">
        <v>341</v>
      </c>
    </row>
    <row r="232" spans="1:17" ht="14.45" customHeight="1" x14ac:dyDescent="0.2">
      <c r="A232" s="2515"/>
      <c r="B232" s="1018" t="s">
        <v>345</v>
      </c>
      <c r="C232" s="1018" t="s">
        <v>345</v>
      </c>
      <c r="D232" s="1018" t="s">
        <v>346</v>
      </c>
      <c r="E232" s="1018" t="s">
        <v>757</v>
      </c>
      <c r="F232" s="1018"/>
      <c r="G232" s="1018" t="s">
        <v>347</v>
      </c>
      <c r="H232" s="1018" t="s">
        <v>348</v>
      </c>
      <c r="I232" s="1019" t="s">
        <v>349</v>
      </c>
      <c r="J232" s="1019" t="s">
        <v>350</v>
      </c>
      <c r="K232" s="1020" t="s">
        <v>351</v>
      </c>
      <c r="L232" s="1026" t="s">
        <v>345</v>
      </c>
      <c r="M232" s="1027" t="s">
        <v>345</v>
      </c>
      <c r="N232" s="1027" t="s">
        <v>346</v>
      </c>
      <c r="O232" s="1028"/>
      <c r="P232" s="1027" t="s">
        <v>347</v>
      </c>
      <c r="Q232" s="1029" t="s">
        <v>348</v>
      </c>
    </row>
    <row r="233" spans="1:17" ht="14.45" customHeight="1" x14ac:dyDescent="0.2">
      <c r="A233" s="975" t="s">
        <v>352</v>
      </c>
      <c r="B233" s="976">
        <v>15.5</v>
      </c>
      <c r="C233" s="976">
        <v>15.5</v>
      </c>
      <c r="D233" s="977">
        <v>115.5</v>
      </c>
      <c r="E233" s="2353">
        <v>7.4516129032258061</v>
      </c>
      <c r="F233" s="979"/>
      <c r="G233" s="976"/>
      <c r="H233" s="976"/>
      <c r="I233" s="978"/>
      <c r="J233" s="978"/>
      <c r="K233" s="980"/>
      <c r="L233" s="981">
        <v>15.5</v>
      </c>
      <c r="M233" s="977">
        <v>15.5</v>
      </c>
      <c r="N233" s="977">
        <v>121</v>
      </c>
      <c r="O233" s="2216">
        <v>7.806451612903226</v>
      </c>
      <c r="P233" s="1609"/>
      <c r="Q233" s="1610"/>
    </row>
    <row r="234" spans="1:17" ht="14.45" customHeight="1" x14ac:dyDescent="0.2">
      <c r="A234" s="954" t="s">
        <v>353</v>
      </c>
      <c r="B234" s="2214">
        <v>11</v>
      </c>
      <c r="C234" s="1146">
        <v>11</v>
      </c>
      <c r="D234" s="957">
        <v>77</v>
      </c>
      <c r="E234" s="2356">
        <v>7</v>
      </c>
      <c r="F234" s="958" t="s">
        <v>986</v>
      </c>
      <c r="G234" s="959">
        <v>1781000</v>
      </c>
      <c r="H234" s="959">
        <v>10450000</v>
      </c>
      <c r="I234" s="960"/>
      <c r="J234" s="960"/>
      <c r="K234" s="961"/>
      <c r="L234" s="2304">
        <v>10</v>
      </c>
      <c r="M234" s="1498">
        <v>10</v>
      </c>
      <c r="N234" s="1498">
        <v>70</v>
      </c>
      <c r="O234" s="1623">
        <v>7</v>
      </c>
      <c r="P234" s="1261">
        <v>1705000</v>
      </c>
      <c r="Q234" s="1149">
        <v>10450000</v>
      </c>
    </row>
    <row r="235" spans="1:17" ht="14.45" customHeight="1" x14ac:dyDescent="0.2">
      <c r="A235" s="954" t="s">
        <v>354</v>
      </c>
      <c r="B235" s="2214">
        <v>0</v>
      </c>
      <c r="C235" s="1146">
        <v>0</v>
      </c>
      <c r="D235" s="957">
        <v>0</v>
      </c>
      <c r="E235" s="2356">
        <v>0</v>
      </c>
      <c r="F235" s="958"/>
      <c r="G235" s="959"/>
      <c r="H235" s="959"/>
      <c r="I235" s="960"/>
      <c r="J235" s="960"/>
      <c r="K235" s="961"/>
      <c r="L235" s="2304">
        <v>0</v>
      </c>
      <c r="M235" s="2305">
        <v>0</v>
      </c>
      <c r="N235" s="1498">
        <v>0</v>
      </c>
      <c r="O235" s="1623">
        <v>0</v>
      </c>
      <c r="P235" s="1261"/>
      <c r="Q235" s="1606"/>
    </row>
    <row r="236" spans="1:17" ht="14.45" customHeight="1" x14ac:dyDescent="0.2">
      <c r="A236" s="1481" t="s">
        <v>355</v>
      </c>
      <c r="B236" s="1146">
        <v>2</v>
      </c>
      <c r="C236" s="1146">
        <v>2</v>
      </c>
      <c r="D236" s="957">
        <v>20</v>
      </c>
      <c r="E236" s="2355">
        <v>10</v>
      </c>
      <c r="F236" s="958" t="s">
        <v>986</v>
      </c>
      <c r="G236" s="959">
        <v>1781000</v>
      </c>
      <c r="H236" s="959">
        <v>10450000</v>
      </c>
      <c r="I236" s="1489"/>
      <c r="J236" s="960"/>
      <c r="K236" s="961"/>
      <c r="L236" s="2234">
        <v>3</v>
      </c>
      <c r="M236" s="1498">
        <v>3</v>
      </c>
      <c r="N236" s="1498">
        <v>33</v>
      </c>
      <c r="O236" s="1630">
        <v>11</v>
      </c>
      <c r="P236" s="1261">
        <v>1705000</v>
      </c>
      <c r="Q236" s="1149">
        <v>10450000</v>
      </c>
    </row>
    <row r="237" spans="1:17" ht="14.45" customHeight="1" x14ac:dyDescent="0.2">
      <c r="A237" s="1481" t="s">
        <v>356</v>
      </c>
      <c r="B237" s="1146">
        <v>0</v>
      </c>
      <c r="C237" s="1146">
        <v>0</v>
      </c>
      <c r="D237" s="957">
        <v>0</v>
      </c>
      <c r="E237" s="2355">
        <v>0</v>
      </c>
      <c r="F237" s="958"/>
      <c r="G237" s="959"/>
      <c r="H237" s="959"/>
      <c r="I237" s="1489"/>
      <c r="J237" s="960"/>
      <c r="K237" s="961"/>
      <c r="L237" s="2234">
        <v>0</v>
      </c>
      <c r="M237" s="1498">
        <v>0</v>
      </c>
      <c r="N237" s="1498">
        <v>0</v>
      </c>
      <c r="O237" s="1630">
        <v>0</v>
      </c>
      <c r="P237" s="1261"/>
      <c r="Q237" s="1149"/>
    </row>
    <row r="238" spans="1:17" ht="14.45" customHeight="1" x14ac:dyDescent="0.2">
      <c r="A238" s="1481" t="s">
        <v>357</v>
      </c>
      <c r="B238" s="1146">
        <v>0.5</v>
      </c>
      <c r="C238" s="1146">
        <v>0.5</v>
      </c>
      <c r="D238" s="957">
        <v>2.5</v>
      </c>
      <c r="E238" s="2355">
        <v>5</v>
      </c>
      <c r="F238" s="958" t="s">
        <v>986</v>
      </c>
      <c r="G238" s="959">
        <v>1781000</v>
      </c>
      <c r="H238" s="959">
        <v>10450000</v>
      </c>
      <c r="I238" s="1489"/>
      <c r="J238" s="960"/>
      <c r="K238" s="961"/>
      <c r="L238" s="2234">
        <v>0.5</v>
      </c>
      <c r="M238" s="1498">
        <v>0.5</v>
      </c>
      <c r="N238" s="1498">
        <v>2</v>
      </c>
      <c r="O238" s="1630">
        <v>4</v>
      </c>
      <c r="P238" s="1261">
        <v>1705000</v>
      </c>
      <c r="Q238" s="1149">
        <v>10450000</v>
      </c>
    </row>
    <row r="239" spans="1:17" ht="14.45" customHeight="1" x14ac:dyDescent="0.2">
      <c r="A239" s="1481" t="s">
        <v>358</v>
      </c>
      <c r="B239" s="1146">
        <v>2</v>
      </c>
      <c r="C239" s="1146">
        <v>2</v>
      </c>
      <c r="D239" s="957">
        <v>16</v>
      </c>
      <c r="E239" s="2355">
        <v>8</v>
      </c>
      <c r="F239" s="958" t="s">
        <v>986</v>
      </c>
      <c r="G239" s="959">
        <v>1781000</v>
      </c>
      <c r="H239" s="959">
        <v>10450000</v>
      </c>
      <c r="I239" s="1489"/>
      <c r="J239" s="960"/>
      <c r="K239" s="961"/>
      <c r="L239" s="2234">
        <v>2</v>
      </c>
      <c r="M239" s="1498">
        <v>2</v>
      </c>
      <c r="N239" s="1498">
        <v>16</v>
      </c>
      <c r="O239" s="1630">
        <v>8</v>
      </c>
      <c r="P239" s="1261">
        <v>1705000</v>
      </c>
      <c r="Q239" s="1149">
        <v>10450000</v>
      </c>
    </row>
    <row r="240" spans="1:17" ht="14.45" customHeight="1" x14ac:dyDescent="0.2">
      <c r="A240" s="1481" t="s">
        <v>359</v>
      </c>
      <c r="B240" s="1146">
        <v>0</v>
      </c>
      <c r="C240" s="1146">
        <v>0</v>
      </c>
      <c r="D240" s="957">
        <v>0</v>
      </c>
      <c r="E240" s="2355">
        <v>0</v>
      </c>
      <c r="F240" s="964"/>
      <c r="G240" s="1259"/>
      <c r="H240" s="959"/>
      <c r="I240" s="1489"/>
      <c r="J240" s="960"/>
      <c r="K240" s="961"/>
      <c r="L240" s="2234">
        <v>0</v>
      </c>
      <c r="M240" s="1498">
        <v>0</v>
      </c>
      <c r="N240" s="1498">
        <v>0</v>
      </c>
      <c r="O240" s="2233">
        <v>0</v>
      </c>
      <c r="P240" s="1261"/>
      <c r="Q240" s="1606"/>
    </row>
    <row r="241" spans="1:17" ht="14.45" customHeight="1" x14ac:dyDescent="0.2">
      <c r="A241" s="1481" t="s">
        <v>360</v>
      </c>
      <c r="B241" s="1146">
        <v>0</v>
      </c>
      <c r="C241" s="1146">
        <v>0</v>
      </c>
      <c r="D241" s="957">
        <v>0</v>
      </c>
      <c r="E241" s="2355">
        <v>0</v>
      </c>
      <c r="F241" s="964"/>
      <c r="G241" s="1259"/>
      <c r="H241" s="959"/>
      <c r="I241" s="1489"/>
      <c r="J241" s="960"/>
      <c r="K241" s="961"/>
      <c r="L241" s="2234">
        <v>0</v>
      </c>
      <c r="M241" s="1498">
        <v>0</v>
      </c>
      <c r="N241" s="1498">
        <v>0</v>
      </c>
      <c r="O241" s="2233">
        <v>0</v>
      </c>
      <c r="P241" s="1261"/>
      <c r="Q241" s="1606"/>
    </row>
    <row r="242" spans="1:17" ht="14.45" customHeight="1" x14ac:dyDescent="0.2">
      <c r="A242" s="1481" t="s">
        <v>361</v>
      </c>
      <c r="B242" s="1146">
        <v>0</v>
      </c>
      <c r="C242" s="1146">
        <v>0</v>
      </c>
      <c r="D242" s="957">
        <v>0</v>
      </c>
      <c r="E242" s="2355">
        <v>0</v>
      </c>
      <c r="F242" s="958"/>
      <c r="G242" s="1259"/>
      <c r="H242" s="959"/>
      <c r="I242" s="1489"/>
      <c r="J242" s="960"/>
      <c r="K242" s="961"/>
      <c r="L242" s="2234">
        <v>0</v>
      </c>
      <c r="M242" s="1498">
        <v>0</v>
      </c>
      <c r="N242" s="1498">
        <v>0</v>
      </c>
      <c r="O242" s="2233">
        <v>0</v>
      </c>
      <c r="P242" s="1261"/>
      <c r="Q242" s="1606"/>
    </row>
    <row r="243" spans="1:17" ht="14.45" customHeight="1" x14ac:dyDescent="0.2">
      <c r="A243" s="1481" t="s">
        <v>362</v>
      </c>
      <c r="B243" s="1146">
        <v>0</v>
      </c>
      <c r="C243" s="1146">
        <v>0</v>
      </c>
      <c r="D243" s="957">
        <v>0</v>
      </c>
      <c r="E243" s="2355">
        <v>0</v>
      </c>
      <c r="F243" s="958"/>
      <c r="G243" s="1259"/>
      <c r="H243" s="959"/>
      <c r="I243" s="1489"/>
      <c r="J243" s="960"/>
      <c r="K243" s="961"/>
      <c r="L243" s="2234">
        <v>0</v>
      </c>
      <c r="M243" s="1498">
        <v>0</v>
      </c>
      <c r="N243" s="1498">
        <v>0</v>
      </c>
      <c r="O243" s="2233">
        <v>0</v>
      </c>
      <c r="P243" s="1261"/>
      <c r="Q243" s="1606"/>
    </row>
    <row r="244" spans="1:17" ht="14.45" customHeight="1" x14ac:dyDescent="0.2">
      <c r="A244" s="1481" t="s">
        <v>363</v>
      </c>
      <c r="B244" s="1146">
        <v>0</v>
      </c>
      <c r="C244" s="1146">
        <v>0</v>
      </c>
      <c r="D244" s="957">
        <v>0</v>
      </c>
      <c r="E244" s="2355">
        <v>0</v>
      </c>
      <c r="F244" s="964"/>
      <c r="G244" s="1259"/>
      <c r="H244" s="959"/>
      <c r="I244" s="1489"/>
      <c r="J244" s="960"/>
      <c r="K244" s="961"/>
      <c r="L244" s="2234">
        <v>0</v>
      </c>
      <c r="M244" s="1498">
        <v>0</v>
      </c>
      <c r="N244" s="1498">
        <v>0</v>
      </c>
      <c r="O244" s="2233">
        <v>0</v>
      </c>
      <c r="P244" s="1261"/>
      <c r="Q244" s="1606"/>
    </row>
    <row r="245" spans="1:17" ht="14.45" customHeight="1" x14ac:dyDescent="0.2">
      <c r="A245" s="1481" t="s">
        <v>364</v>
      </c>
      <c r="B245" s="1146">
        <v>0</v>
      </c>
      <c r="C245" s="1146">
        <v>0</v>
      </c>
      <c r="D245" s="957">
        <v>0</v>
      </c>
      <c r="E245" s="2355">
        <v>0</v>
      </c>
      <c r="F245" s="958"/>
      <c r="G245" s="1259"/>
      <c r="H245" s="959"/>
      <c r="I245" s="1489"/>
      <c r="J245" s="960"/>
      <c r="K245" s="961"/>
      <c r="L245" s="2234">
        <v>0</v>
      </c>
      <c r="M245" s="1498">
        <v>0</v>
      </c>
      <c r="N245" s="1498">
        <v>0</v>
      </c>
      <c r="O245" s="2233">
        <v>0</v>
      </c>
      <c r="P245" s="1261"/>
      <c r="Q245" s="1606"/>
    </row>
    <row r="246" spans="1:17" ht="14.45" customHeight="1" x14ac:dyDescent="0.2">
      <c r="A246" s="1481" t="s">
        <v>365</v>
      </c>
      <c r="B246" s="1146">
        <v>0</v>
      </c>
      <c r="C246" s="1146">
        <v>0</v>
      </c>
      <c r="D246" s="957">
        <v>0</v>
      </c>
      <c r="E246" s="2355">
        <v>0</v>
      </c>
      <c r="F246" s="964"/>
      <c r="G246" s="1259"/>
      <c r="H246" s="959"/>
      <c r="I246" s="1489"/>
      <c r="J246" s="960"/>
      <c r="K246" s="961"/>
      <c r="L246" s="2234">
        <v>0</v>
      </c>
      <c r="M246" s="1498">
        <v>0</v>
      </c>
      <c r="N246" s="1498">
        <v>0</v>
      </c>
      <c r="O246" s="2233">
        <v>0</v>
      </c>
      <c r="P246" s="1261"/>
      <c r="Q246" s="1606"/>
    </row>
    <row r="247" spans="1:17" ht="14.45" customHeight="1" x14ac:dyDescent="0.2">
      <c r="A247" s="1481" t="s">
        <v>366</v>
      </c>
      <c r="B247" s="1146">
        <v>0</v>
      </c>
      <c r="C247" s="1146">
        <v>0</v>
      </c>
      <c r="D247" s="957">
        <v>0</v>
      </c>
      <c r="E247" s="2355">
        <v>0</v>
      </c>
      <c r="F247" s="958"/>
      <c r="G247" s="1259"/>
      <c r="H247" s="959"/>
      <c r="I247" s="1489"/>
      <c r="J247" s="960"/>
      <c r="K247" s="961"/>
      <c r="L247" s="2234">
        <v>0</v>
      </c>
      <c r="M247" s="1498">
        <v>0</v>
      </c>
      <c r="N247" s="1498">
        <v>0</v>
      </c>
      <c r="O247" s="2233">
        <v>0</v>
      </c>
      <c r="P247" s="1261"/>
      <c r="Q247" s="1606"/>
    </row>
    <row r="248" spans="1:17" ht="14.45" customHeight="1" x14ac:dyDescent="0.2">
      <c r="A248" s="1481" t="s">
        <v>367</v>
      </c>
      <c r="B248" s="1146">
        <v>0</v>
      </c>
      <c r="C248" s="1146">
        <v>0</v>
      </c>
      <c r="D248" s="957">
        <v>0</v>
      </c>
      <c r="E248" s="2355">
        <v>0</v>
      </c>
      <c r="F248" s="964"/>
      <c r="G248" s="1259"/>
      <c r="H248" s="959"/>
      <c r="I248" s="1489"/>
      <c r="J248" s="960"/>
      <c r="K248" s="961"/>
      <c r="L248" s="2234">
        <v>0</v>
      </c>
      <c r="M248" s="1498">
        <v>0</v>
      </c>
      <c r="N248" s="1498">
        <v>0</v>
      </c>
      <c r="O248" s="2233">
        <v>0</v>
      </c>
      <c r="P248" s="1261"/>
      <c r="Q248" s="1606"/>
    </row>
    <row r="249" spans="1:17" ht="14.45" customHeight="1" x14ac:dyDescent="0.2">
      <c r="A249" s="1484" t="s">
        <v>368</v>
      </c>
      <c r="B249" s="1002">
        <v>14</v>
      </c>
      <c r="C249" s="984">
        <v>14</v>
      </c>
      <c r="D249" s="2308">
        <v>182</v>
      </c>
      <c r="E249" s="2353">
        <v>13</v>
      </c>
      <c r="F249" s="987"/>
      <c r="G249" s="1486"/>
      <c r="H249" s="988"/>
      <c r="I249" s="1490"/>
      <c r="J249" s="989"/>
      <c r="K249" s="990"/>
      <c r="L249" s="2218">
        <v>13</v>
      </c>
      <c r="M249" s="1485">
        <v>12</v>
      </c>
      <c r="N249" s="1485">
        <v>132</v>
      </c>
      <c r="O249" s="2216">
        <v>11</v>
      </c>
      <c r="P249" s="1604"/>
      <c r="Q249" s="1605"/>
    </row>
    <row r="250" spans="1:17" ht="14.45" customHeight="1" x14ac:dyDescent="0.2">
      <c r="A250" s="1481" t="s">
        <v>369</v>
      </c>
      <c r="B250" s="1146">
        <v>14</v>
      </c>
      <c r="C250" s="1146">
        <v>14</v>
      </c>
      <c r="D250" s="957">
        <v>182</v>
      </c>
      <c r="E250" s="2325">
        <v>13</v>
      </c>
      <c r="F250" s="1499" t="s">
        <v>986</v>
      </c>
      <c r="G250" s="959">
        <v>1781000</v>
      </c>
      <c r="H250" s="959">
        <v>10450000</v>
      </c>
      <c r="I250" s="1489"/>
      <c r="J250" s="960"/>
      <c r="K250" s="961"/>
      <c r="L250" s="2234">
        <v>13</v>
      </c>
      <c r="M250" s="1498">
        <v>12</v>
      </c>
      <c r="N250" s="1498">
        <v>132</v>
      </c>
      <c r="O250" s="1630">
        <v>11</v>
      </c>
      <c r="P250" s="1261">
        <v>1705000</v>
      </c>
      <c r="Q250" s="1149">
        <v>10450000</v>
      </c>
    </row>
    <row r="251" spans="1:17" ht="14.45" customHeight="1" x14ac:dyDescent="0.2">
      <c r="A251" s="1481" t="s">
        <v>370</v>
      </c>
      <c r="B251" s="1146">
        <v>0</v>
      </c>
      <c r="C251" s="1146">
        <v>0</v>
      </c>
      <c r="D251" s="957">
        <v>0</v>
      </c>
      <c r="E251" s="2325">
        <v>0</v>
      </c>
      <c r="F251" s="964"/>
      <c r="G251" s="1259"/>
      <c r="H251" s="959"/>
      <c r="I251" s="1489"/>
      <c r="J251" s="960"/>
      <c r="K251" s="961"/>
      <c r="L251" s="2234">
        <v>0</v>
      </c>
      <c r="M251" s="1498">
        <v>0</v>
      </c>
      <c r="N251" s="1498">
        <v>0</v>
      </c>
      <c r="O251" s="2233">
        <v>0</v>
      </c>
      <c r="P251" s="1261"/>
      <c r="Q251" s="1606"/>
    </row>
    <row r="252" spans="1:17" ht="14.45" customHeight="1" x14ac:dyDescent="0.2">
      <c r="A252" s="1481" t="s">
        <v>371</v>
      </c>
      <c r="B252" s="1146">
        <v>0</v>
      </c>
      <c r="C252" s="1146">
        <v>0</v>
      </c>
      <c r="D252" s="957">
        <v>0</v>
      </c>
      <c r="E252" s="2325">
        <v>0</v>
      </c>
      <c r="F252" s="964"/>
      <c r="G252" s="1259"/>
      <c r="H252" s="959"/>
      <c r="I252" s="1489"/>
      <c r="J252" s="960"/>
      <c r="K252" s="961"/>
      <c r="L252" s="2234">
        <v>0</v>
      </c>
      <c r="M252" s="1498">
        <v>0</v>
      </c>
      <c r="N252" s="1498">
        <v>0</v>
      </c>
      <c r="O252" s="2233">
        <v>0</v>
      </c>
      <c r="P252" s="1261"/>
      <c r="Q252" s="1606"/>
    </row>
    <row r="253" spans="1:17" ht="14.45" customHeight="1" x14ac:dyDescent="0.2">
      <c r="A253" s="1481" t="s">
        <v>372</v>
      </c>
      <c r="B253" s="1146">
        <v>0</v>
      </c>
      <c r="C253" s="1146">
        <v>0</v>
      </c>
      <c r="D253" s="957">
        <v>0</v>
      </c>
      <c r="E253" s="2325">
        <v>0</v>
      </c>
      <c r="F253" s="964"/>
      <c r="G253" s="1259"/>
      <c r="H253" s="959"/>
      <c r="I253" s="1489"/>
      <c r="J253" s="960"/>
      <c r="K253" s="961"/>
      <c r="L253" s="2234">
        <v>0</v>
      </c>
      <c r="M253" s="1498">
        <v>0</v>
      </c>
      <c r="N253" s="1498">
        <v>0</v>
      </c>
      <c r="O253" s="2233">
        <v>0</v>
      </c>
      <c r="P253" s="1261"/>
      <c r="Q253" s="1606"/>
    </row>
    <row r="254" spans="1:17" ht="14.45" customHeight="1" x14ac:dyDescent="0.2">
      <c r="A254" s="1481" t="s">
        <v>373</v>
      </c>
      <c r="B254" s="1146">
        <v>0</v>
      </c>
      <c r="C254" s="1146">
        <v>0</v>
      </c>
      <c r="D254" s="957">
        <v>0</v>
      </c>
      <c r="E254" s="2325">
        <v>0</v>
      </c>
      <c r="F254" s="958"/>
      <c r="G254" s="1259"/>
      <c r="H254" s="959"/>
      <c r="I254" s="1489"/>
      <c r="J254" s="960"/>
      <c r="K254" s="961"/>
      <c r="L254" s="2234">
        <v>0</v>
      </c>
      <c r="M254" s="1498">
        <v>0</v>
      </c>
      <c r="N254" s="1498">
        <v>0</v>
      </c>
      <c r="O254" s="2233">
        <v>0</v>
      </c>
      <c r="P254" s="1261"/>
      <c r="Q254" s="1606"/>
    </row>
    <row r="255" spans="1:17" ht="14.45" customHeight="1" x14ac:dyDescent="0.2">
      <c r="A255" s="1484" t="s">
        <v>374</v>
      </c>
      <c r="B255" s="1002">
        <v>6</v>
      </c>
      <c r="C255" s="984">
        <v>6</v>
      </c>
      <c r="D255" s="984">
        <v>43</v>
      </c>
      <c r="E255" s="2353">
        <v>7.166666666666667</v>
      </c>
      <c r="F255" s="987"/>
      <c r="G255" s="1488"/>
      <c r="H255" s="996"/>
      <c r="I255" s="1491"/>
      <c r="J255" s="997"/>
      <c r="K255" s="998"/>
      <c r="L255" s="2218">
        <v>7</v>
      </c>
      <c r="M255" s="1485">
        <v>7</v>
      </c>
      <c r="N255" s="1485">
        <v>46</v>
      </c>
      <c r="O255" s="2216">
        <v>6.5714285714285712</v>
      </c>
      <c r="P255" s="1604"/>
      <c r="Q255" s="1605"/>
    </row>
    <row r="256" spans="1:17" ht="14.45" customHeight="1" x14ac:dyDescent="0.2">
      <c r="A256" s="1481" t="s">
        <v>375</v>
      </c>
      <c r="B256" s="1146">
        <v>5</v>
      </c>
      <c r="C256" s="1146">
        <v>5</v>
      </c>
      <c r="D256" s="957">
        <v>35</v>
      </c>
      <c r="E256" s="2355">
        <v>7</v>
      </c>
      <c r="F256" s="1499" t="s">
        <v>986</v>
      </c>
      <c r="G256" s="959">
        <v>1781000</v>
      </c>
      <c r="H256" s="959">
        <v>10450000</v>
      </c>
      <c r="I256" s="1489"/>
      <c r="J256" s="960"/>
      <c r="K256" s="961"/>
      <c r="L256" s="2234">
        <v>5</v>
      </c>
      <c r="M256" s="1498">
        <v>5</v>
      </c>
      <c r="N256" s="1498">
        <v>30</v>
      </c>
      <c r="O256" s="1630">
        <v>6</v>
      </c>
      <c r="P256" s="1261">
        <v>1705000</v>
      </c>
      <c r="Q256" s="1149">
        <v>10450000</v>
      </c>
    </row>
    <row r="257" spans="1:17" ht="14.45" customHeight="1" x14ac:dyDescent="0.2">
      <c r="A257" s="1481" t="s">
        <v>376</v>
      </c>
      <c r="B257" s="1146">
        <v>1</v>
      </c>
      <c r="C257" s="1146">
        <v>1</v>
      </c>
      <c r="D257" s="957">
        <v>8</v>
      </c>
      <c r="E257" s="2355">
        <v>8</v>
      </c>
      <c r="F257" s="1499" t="s">
        <v>986</v>
      </c>
      <c r="G257" s="959">
        <v>1781000</v>
      </c>
      <c r="H257" s="959">
        <v>10450000</v>
      </c>
      <c r="I257" s="1489"/>
      <c r="J257" s="960"/>
      <c r="K257" s="961"/>
      <c r="L257" s="2234">
        <v>2</v>
      </c>
      <c r="M257" s="1498">
        <v>2</v>
      </c>
      <c r="N257" s="1498">
        <v>16</v>
      </c>
      <c r="O257" s="1630">
        <v>8</v>
      </c>
      <c r="P257" s="1261">
        <v>1705000</v>
      </c>
      <c r="Q257" s="1149">
        <v>10450000</v>
      </c>
    </row>
    <row r="258" spans="1:17" ht="14.45" customHeight="1" x14ac:dyDescent="0.2">
      <c r="A258" s="1481" t="s">
        <v>377</v>
      </c>
      <c r="B258" s="1146">
        <v>0</v>
      </c>
      <c r="C258" s="1146">
        <v>0</v>
      </c>
      <c r="D258" s="957">
        <v>0</v>
      </c>
      <c r="E258" s="2355">
        <v>0</v>
      </c>
      <c r="F258" s="958"/>
      <c r="G258" s="1259"/>
      <c r="H258" s="959"/>
      <c r="I258" s="1489"/>
      <c r="J258" s="960"/>
      <c r="K258" s="961"/>
      <c r="L258" s="2234">
        <v>0</v>
      </c>
      <c r="M258" s="1498">
        <v>0</v>
      </c>
      <c r="N258" s="1498">
        <v>0</v>
      </c>
      <c r="O258" s="1630">
        <v>0</v>
      </c>
      <c r="P258" s="1261"/>
      <c r="Q258" s="1606"/>
    </row>
    <row r="259" spans="1:17" ht="14.45" customHeight="1" x14ac:dyDescent="0.2">
      <c r="A259" s="1481" t="s">
        <v>378</v>
      </c>
      <c r="B259" s="1146">
        <v>0</v>
      </c>
      <c r="C259" s="1146">
        <v>0</v>
      </c>
      <c r="D259" s="957">
        <v>0</v>
      </c>
      <c r="E259" s="2355">
        <v>0</v>
      </c>
      <c r="F259" s="1499"/>
      <c r="G259" s="1259"/>
      <c r="H259" s="959"/>
      <c r="I259" s="1492"/>
      <c r="J259" s="960"/>
      <c r="K259" s="967"/>
      <c r="L259" s="2234">
        <v>0</v>
      </c>
      <c r="M259" s="1498">
        <v>0</v>
      </c>
      <c r="N259" s="1498">
        <v>0</v>
      </c>
      <c r="O259" s="1630">
        <v>0</v>
      </c>
      <c r="P259" s="1261"/>
      <c r="Q259" s="1149"/>
    </row>
    <row r="260" spans="1:17" ht="14.45" customHeight="1" x14ac:dyDescent="0.2">
      <c r="A260" s="1481" t="s">
        <v>379</v>
      </c>
      <c r="B260" s="1146">
        <v>0</v>
      </c>
      <c r="C260" s="1146">
        <v>0</v>
      </c>
      <c r="D260" s="957">
        <v>0</v>
      </c>
      <c r="E260" s="2355">
        <v>0</v>
      </c>
      <c r="F260" s="1499"/>
      <c r="G260" s="1259"/>
      <c r="H260" s="959"/>
      <c r="I260" s="1492"/>
      <c r="J260" s="960"/>
      <c r="K260" s="967"/>
      <c r="L260" s="2234">
        <v>0</v>
      </c>
      <c r="M260" s="1498">
        <v>0</v>
      </c>
      <c r="N260" s="1498">
        <v>0</v>
      </c>
      <c r="O260" s="1630">
        <v>0</v>
      </c>
      <c r="P260" s="1261"/>
      <c r="Q260" s="1606"/>
    </row>
    <row r="261" spans="1:17" ht="14.45" customHeight="1" x14ac:dyDescent="0.2">
      <c r="A261" s="1481" t="s">
        <v>380</v>
      </c>
      <c r="B261" s="957">
        <v>0</v>
      </c>
      <c r="C261" s="957">
        <v>0</v>
      </c>
      <c r="D261" s="957">
        <v>0</v>
      </c>
      <c r="E261" s="2356">
        <v>0</v>
      </c>
      <c r="F261" s="958"/>
      <c r="G261" s="965"/>
      <c r="H261" s="965"/>
      <c r="I261" s="1492"/>
      <c r="J261" s="966"/>
      <c r="K261" s="967"/>
      <c r="L261" s="2234">
        <v>0</v>
      </c>
      <c r="M261" s="1498">
        <v>0</v>
      </c>
      <c r="N261" s="1498">
        <v>0</v>
      </c>
      <c r="O261" s="2233">
        <v>0</v>
      </c>
      <c r="P261" s="1261"/>
      <c r="Q261" s="1606"/>
    </row>
    <row r="262" spans="1:17" ht="14.45" customHeight="1" x14ac:dyDescent="0.2">
      <c r="A262" s="1481" t="s">
        <v>381</v>
      </c>
      <c r="B262" s="957">
        <v>0</v>
      </c>
      <c r="C262" s="957">
        <v>0</v>
      </c>
      <c r="D262" s="957">
        <v>0</v>
      </c>
      <c r="E262" s="2356">
        <v>0</v>
      </c>
      <c r="F262" s="958"/>
      <c r="G262" s="965"/>
      <c r="H262" s="965"/>
      <c r="I262" s="1492"/>
      <c r="J262" s="966"/>
      <c r="K262" s="967"/>
      <c r="L262" s="2234">
        <v>0</v>
      </c>
      <c r="M262" s="1498">
        <v>0</v>
      </c>
      <c r="N262" s="1498">
        <v>0</v>
      </c>
      <c r="O262" s="2233">
        <v>0</v>
      </c>
      <c r="P262" s="1261"/>
      <c r="Q262" s="1606"/>
    </row>
    <row r="263" spans="1:17" ht="14.45" customHeight="1" x14ac:dyDescent="0.2">
      <c r="A263" s="1481" t="s">
        <v>382</v>
      </c>
      <c r="B263" s="957">
        <v>0</v>
      </c>
      <c r="C263" s="957">
        <v>0</v>
      </c>
      <c r="D263" s="957">
        <v>0</v>
      </c>
      <c r="E263" s="2356">
        <v>0</v>
      </c>
      <c r="F263" s="958"/>
      <c r="G263" s="965"/>
      <c r="H263" s="965"/>
      <c r="I263" s="966"/>
      <c r="J263" s="966"/>
      <c r="K263" s="967"/>
      <c r="L263" s="2234">
        <v>0</v>
      </c>
      <c r="M263" s="1498">
        <v>0</v>
      </c>
      <c r="N263" s="1498">
        <v>0</v>
      </c>
      <c r="O263" s="2233">
        <v>0</v>
      </c>
      <c r="P263" s="1261"/>
      <c r="Q263" s="1606"/>
    </row>
    <row r="264" spans="1:17" ht="14.45" customHeight="1" x14ac:dyDescent="0.2">
      <c r="A264" s="983" t="s">
        <v>383</v>
      </c>
      <c r="B264" s="1002">
        <v>13</v>
      </c>
      <c r="C264" s="1002">
        <v>12</v>
      </c>
      <c r="D264" s="1002">
        <v>78.5</v>
      </c>
      <c r="E264" s="2353">
        <v>6.541666666666667</v>
      </c>
      <c r="F264" s="1003"/>
      <c r="G264" s="1004"/>
      <c r="H264" s="1004"/>
      <c r="I264" s="1005"/>
      <c r="J264" s="1005"/>
      <c r="K264" s="949"/>
      <c r="L264" s="2218">
        <v>8.5</v>
      </c>
      <c r="M264" s="1485">
        <v>8.5</v>
      </c>
      <c r="N264" s="1485">
        <v>57</v>
      </c>
      <c r="O264" s="2216">
        <v>6.7058823529411766</v>
      </c>
      <c r="P264" s="1604"/>
      <c r="Q264" s="1605"/>
    </row>
    <row r="265" spans="1:17" ht="14.45" customHeight="1" x14ac:dyDescent="0.2">
      <c r="A265" s="954" t="s">
        <v>384</v>
      </c>
      <c r="B265" s="957">
        <v>1</v>
      </c>
      <c r="C265" s="957">
        <v>1</v>
      </c>
      <c r="D265" s="957">
        <v>5.5</v>
      </c>
      <c r="E265" s="2356">
        <v>5.5</v>
      </c>
      <c r="F265" s="1499" t="s">
        <v>986</v>
      </c>
      <c r="G265" s="959">
        <v>1781000</v>
      </c>
      <c r="H265" s="959">
        <v>10450000</v>
      </c>
      <c r="I265" s="966"/>
      <c r="J265" s="966"/>
      <c r="K265" s="967"/>
      <c r="L265" s="2234">
        <v>2</v>
      </c>
      <c r="M265" s="1498">
        <v>2</v>
      </c>
      <c r="N265" s="1498">
        <v>16</v>
      </c>
      <c r="O265" s="1630">
        <v>8</v>
      </c>
      <c r="P265" s="1261">
        <v>1705000</v>
      </c>
      <c r="Q265" s="1149">
        <v>10450000</v>
      </c>
    </row>
    <row r="266" spans="1:17" ht="14.45" customHeight="1" x14ac:dyDescent="0.2">
      <c r="A266" s="954" t="s">
        <v>385</v>
      </c>
      <c r="B266" s="957">
        <v>2</v>
      </c>
      <c r="C266" s="957">
        <v>1</v>
      </c>
      <c r="D266" s="957">
        <v>6</v>
      </c>
      <c r="E266" s="2356">
        <v>6</v>
      </c>
      <c r="F266" s="958" t="s">
        <v>986</v>
      </c>
      <c r="G266" s="959">
        <v>1781000</v>
      </c>
      <c r="H266" s="959">
        <v>10450000</v>
      </c>
      <c r="I266" s="966"/>
      <c r="J266" s="966"/>
      <c r="K266" s="967"/>
      <c r="L266" s="2234">
        <v>2</v>
      </c>
      <c r="M266" s="1498">
        <v>2</v>
      </c>
      <c r="N266" s="1498">
        <v>12</v>
      </c>
      <c r="O266" s="1630">
        <v>6</v>
      </c>
      <c r="P266" s="1261">
        <v>1705000</v>
      </c>
      <c r="Q266" s="1149">
        <v>10450000</v>
      </c>
    </row>
    <row r="267" spans="1:17" ht="14.45" customHeight="1" x14ac:dyDescent="0.2">
      <c r="A267" s="954" t="s">
        <v>386</v>
      </c>
      <c r="B267" s="957">
        <v>0</v>
      </c>
      <c r="C267" s="957">
        <v>0</v>
      </c>
      <c r="D267" s="957">
        <v>0</v>
      </c>
      <c r="E267" s="2355">
        <v>0</v>
      </c>
      <c r="F267" s="958"/>
      <c r="G267" s="965"/>
      <c r="H267" s="965"/>
      <c r="I267" s="966"/>
      <c r="J267" s="966"/>
      <c r="K267" s="967"/>
      <c r="L267" s="2234">
        <v>0</v>
      </c>
      <c r="M267" s="1498">
        <v>0</v>
      </c>
      <c r="N267" s="1498">
        <v>0</v>
      </c>
      <c r="O267" s="1630">
        <v>0</v>
      </c>
      <c r="P267" s="1261"/>
      <c r="Q267" s="1606"/>
    </row>
    <row r="268" spans="1:17" ht="14.45" customHeight="1" x14ac:dyDescent="0.2">
      <c r="A268" s="954" t="s">
        <v>387</v>
      </c>
      <c r="B268" s="957">
        <v>1</v>
      </c>
      <c r="C268" s="957">
        <v>1</v>
      </c>
      <c r="D268" s="957">
        <v>6</v>
      </c>
      <c r="E268" s="2356">
        <v>6</v>
      </c>
      <c r="F268" s="1499" t="s">
        <v>986</v>
      </c>
      <c r="G268" s="959">
        <v>1781000</v>
      </c>
      <c r="H268" s="959">
        <v>10450000</v>
      </c>
      <c r="I268" s="966"/>
      <c r="J268" s="966"/>
      <c r="K268" s="967"/>
      <c r="L268" s="2234">
        <v>1</v>
      </c>
      <c r="M268" s="1498">
        <v>1</v>
      </c>
      <c r="N268" s="1498">
        <v>5</v>
      </c>
      <c r="O268" s="1630">
        <v>5</v>
      </c>
      <c r="P268" s="1261">
        <v>1705000</v>
      </c>
      <c r="Q268" s="1149">
        <v>10450000</v>
      </c>
    </row>
    <row r="269" spans="1:17" ht="14.45" customHeight="1" x14ac:dyDescent="0.2">
      <c r="A269" s="954" t="s">
        <v>388</v>
      </c>
      <c r="B269" s="1146">
        <v>0</v>
      </c>
      <c r="C269" s="1146">
        <v>0</v>
      </c>
      <c r="D269" s="957">
        <v>0</v>
      </c>
      <c r="E269" s="2355">
        <v>0</v>
      </c>
      <c r="F269" s="958"/>
      <c r="G269" s="965"/>
      <c r="H269" s="965"/>
      <c r="I269" s="966"/>
      <c r="J269" s="966"/>
      <c r="K269" s="967"/>
      <c r="L269" s="2234">
        <v>0</v>
      </c>
      <c r="M269" s="1498">
        <v>0</v>
      </c>
      <c r="N269" s="1498">
        <v>0</v>
      </c>
      <c r="O269" s="2233">
        <v>0</v>
      </c>
      <c r="P269" s="1261"/>
      <c r="Q269" s="1606"/>
    </row>
    <row r="270" spans="1:17" ht="14.45" customHeight="1" x14ac:dyDescent="0.2">
      <c r="A270" s="954" t="s">
        <v>389</v>
      </c>
      <c r="B270" s="957">
        <v>8</v>
      </c>
      <c r="C270" s="957">
        <v>8</v>
      </c>
      <c r="D270" s="957">
        <v>56</v>
      </c>
      <c r="E270" s="2356">
        <v>7</v>
      </c>
      <c r="F270" s="958" t="s">
        <v>986</v>
      </c>
      <c r="G270" s="959">
        <v>1781000</v>
      </c>
      <c r="H270" s="959">
        <v>10450000</v>
      </c>
      <c r="I270" s="966"/>
      <c r="J270" s="966"/>
      <c r="K270" s="967"/>
      <c r="L270" s="2234">
        <v>3</v>
      </c>
      <c r="M270" s="1498">
        <v>3</v>
      </c>
      <c r="N270" s="1498">
        <v>21</v>
      </c>
      <c r="O270" s="2233">
        <v>7</v>
      </c>
      <c r="P270" s="1261">
        <v>1705000</v>
      </c>
      <c r="Q270" s="1149">
        <v>10450000</v>
      </c>
    </row>
    <row r="271" spans="1:17" ht="14.45" customHeight="1" x14ac:dyDescent="0.2">
      <c r="A271" s="954" t="s">
        <v>390</v>
      </c>
      <c r="B271" s="957">
        <v>1</v>
      </c>
      <c r="C271" s="957">
        <v>1</v>
      </c>
      <c r="D271" s="957">
        <v>5</v>
      </c>
      <c r="E271" s="2356">
        <v>5</v>
      </c>
      <c r="F271" s="958" t="s">
        <v>986</v>
      </c>
      <c r="G271" s="959">
        <v>1781000</v>
      </c>
      <c r="H271" s="959">
        <v>10450000</v>
      </c>
      <c r="I271" s="966"/>
      <c r="J271" s="966"/>
      <c r="K271" s="967"/>
      <c r="L271" s="2234">
        <v>0.5</v>
      </c>
      <c r="M271" s="1498">
        <v>0.5</v>
      </c>
      <c r="N271" s="1498">
        <v>3</v>
      </c>
      <c r="O271" s="2233">
        <v>6</v>
      </c>
      <c r="P271" s="1261">
        <v>1705000</v>
      </c>
      <c r="Q271" s="1149">
        <v>10450000</v>
      </c>
    </row>
    <row r="272" spans="1:17" ht="14.45" customHeight="1" x14ac:dyDescent="0.2">
      <c r="A272" s="954" t="s">
        <v>391</v>
      </c>
      <c r="B272" s="957">
        <v>0</v>
      </c>
      <c r="C272" s="957">
        <v>0</v>
      </c>
      <c r="D272" s="957">
        <v>0</v>
      </c>
      <c r="E272" s="2356">
        <v>0</v>
      </c>
      <c r="F272" s="958"/>
      <c r="G272" s="965"/>
      <c r="H272" s="965"/>
      <c r="I272" s="966"/>
      <c r="J272" s="966"/>
      <c r="K272" s="967"/>
      <c r="L272" s="2234">
        <v>0</v>
      </c>
      <c r="M272" s="1498">
        <v>0</v>
      </c>
      <c r="N272" s="1498">
        <v>0</v>
      </c>
      <c r="O272" s="2233">
        <v>0</v>
      </c>
      <c r="P272" s="1261"/>
      <c r="Q272" s="1606"/>
    </row>
    <row r="273" spans="1:17" ht="14.45" customHeight="1" x14ac:dyDescent="0.2">
      <c r="A273" s="953" t="s">
        <v>392</v>
      </c>
      <c r="B273" s="2309">
        <v>0</v>
      </c>
      <c r="C273" s="2309">
        <v>0</v>
      </c>
      <c r="D273" s="957">
        <v>0</v>
      </c>
      <c r="E273" s="2358">
        <v>0</v>
      </c>
      <c r="F273" s="972"/>
      <c r="G273" s="970"/>
      <c r="H273" s="970"/>
      <c r="I273" s="973"/>
      <c r="J273" s="973"/>
      <c r="K273" s="974"/>
      <c r="L273" s="2306">
        <v>0</v>
      </c>
      <c r="M273" s="2307">
        <v>0</v>
      </c>
      <c r="N273" s="1617">
        <v>0</v>
      </c>
      <c r="O273" s="1624">
        <v>0</v>
      </c>
      <c r="P273" s="1621"/>
      <c r="Q273" s="1622"/>
    </row>
    <row r="274" spans="1:17" ht="14.45" customHeight="1" thickBot="1" x14ac:dyDescent="0.25">
      <c r="A274" s="1006" t="s">
        <v>393</v>
      </c>
      <c r="B274" s="1007">
        <v>48.5</v>
      </c>
      <c r="C274" s="1007">
        <v>47.5</v>
      </c>
      <c r="D274" s="1007">
        <v>419</v>
      </c>
      <c r="E274" s="1482">
        <v>8.8210526315789473</v>
      </c>
      <c r="F274" s="1009" t="s">
        <v>986</v>
      </c>
      <c r="G274" s="1085">
        <v>1781000</v>
      </c>
      <c r="H274" s="1085">
        <v>10450000</v>
      </c>
      <c r="I274" s="1008"/>
      <c r="J274" s="1008" t="s">
        <v>983</v>
      </c>
      <c r="K274" s="1011"/>
      <c r="L274" s="1007">
        <v>44</v>
      </c>
      <c r="M274" s="1007">
        <v>43</v>
      </c>
      <c r="N274" s="1007">
        <v>356</v>
      </c>
      <c r="O274" s="1083">
        <v>8.279069767441861</v>
      </c>
      <c r="P274" s="1603">
        <v>1705000.0000000002</v>
      </c>
      <c r="Q274" s="1607">
        <v>10450000</v>
      </c>
    </row>
    <row r="275" spans="1:17" x14ac:dyDescent="0.2">
      <c r="A275" s="7" t="s">
        <v>1934</v>
      </c>
      <c r="B275" s="8"/>
      <c r="C275" s="8"/>
      <c r="D275" s="8"/>
      <c r="E275" s="4"/>
      <c r="F275" s="5"/>
      <c r="G275" s="9"/>
      <c r="H275" s="8"/>
      <c r="I275" s="4"/>
      <c r="J275" s="13"/>
      <c r="K275" s="13"/>
      <c r="L275" s="12"/>
      <c r="M275" s="12"/>
      <c r="N275" s="12"/>
      <c r="O275" s="13"/>
      <c r="P275" s="13"/>
      <c r="Q275" s="12"/>
    </row>
    <row r="276" spans="1:17" x14ac:dyDescent="0.2">
      <c r="A276" s="6"/>
      <c r="B276" s="8"/>
      <c r="C276" s="8"/>
      <c r="D276" s="8"/>
      <c r="E276" s="4"/>
      <c r="F276" s="5"/>
      <c r="G276" s="9"/>
      <c r="H276" s="8"/>
      <c r="I276" s="4"/>
      <c r="J276" s="1"/>
      <c r="K276" s="1"/>
      <c r="O276" s="1"/>
      <c r="P276" s="1"/>
    </row>
    <row r="277" spans="1:17" x14ac:dyDescent="0.2">
      <c r="A277" s="6"/>
      <c r="B277" s="8"/>
      <c r="C277" s="8"/>
      <c r="D277" s="8"/>
      <c r="E277" s="4"/>
      <c r="F277" s="5"/>
      <c r="G277" s="9"/>
      <c r="H277" s="8"/>
      <c r="I277" s="4"/>
      <c r="J277" s="1"/>
      <c r="K277" s="1"/>
      <c r="O277" s="1"/>
      <c r="P277" s="1"/>
    </row>
    <row r="278" spans="1:17" x14ac:dyDescent="0.2">
      <c r="A278" s="6"/>
      <c r="B278" s="8"/>
      <c r="C278" s="8"/>
      <c r="D278" s="8"/>
      <c r="E278" s="4"/>
      <c r="F278" s="5"/>
      <c r="G278" s="9"/>
      <c r="H278" s="8"/>
      <c r="I278" s="4"/>
      <c r="J278" s="1"/>
      <c r="K278" s="1"/>
      <c r="O278" s="1"/>
      <c r="P278" s="1"/>
    </row>
    <row r="279" spans="1:17" x14ac:dyDescent="0.2">
      <c r="A279" s="6"/>
      <c r="B279" s="8"/>
      <c r="C279" s="8"/>
      <c r="D279" s="8"/>
      <c r="E279" s="2380"/>
      <c r="F279" s="5"/>
      <c r="G279" s="9"/>
      <c r="H279" s="8"/>
      <c r="I279" s="2380"/>
      <c r="J279" s="2381"/>
      <c r="K279" s="2381"/>
      <c r="O279" s="2381"/>
      <c r="P279" s="2381"/>
    </row>
    <row r="280" spans="1:17" x14ac:dyDescent="0.2">
      <c r="A280" s="6"/>
      <c r="B280" s="8"/>
      <c r="C280" s="8"/>
      <c r="D280" s="8"/>
      <c r="E280" s="2380"/>
      <c r="F280" s="5"/>
      <c r="G280" s="9"/>
      <c r="H280" s="8"/>
      <c r="I280" s="2380"/>
      <c r="J280" s="2381"/>
      <c r="K280" s="2381"/>
      <c r="O280" s="2381"/>
      <c r="P280" s="2381"/>
    </row>
    <row r="281" spans="1:17" ht="15.75" customHeight="1" x14ac:dyDescent="0.25">
      <c r="A281" s="2512" t="s">
        <v>1929</v>
      </c>
      <c r="B281" s="2512"/>
      <c r="C281" s="2512"/>
      <c r="D281" s="2512"/>
      <c r="E281" s="2512"/>
      <c r="F281" s="2512"/>
      <c r="G281" s="2512"/>
      <c r="H281" s="2512"/>
      <c r="I281" s="2512"/>
      <c r="J281" s="2512"/>
      <c r="K281" s="2512"/>
      <c r="L281" s="2512"/>
      <c r="M281" s="2512"/>
      <c r="N281" s="2512"/>
      <c r="O281" s="2512"/>
      <c r="P281" s="2512"/>
      <c r="Q281" s="2512"/>
    </row>
    <row r="282" spans="1:17" x14ac:dyDescent="0.2">
      <c r="A282" s="3"/>
      <c r="B282" s="6"/>
      <c r="C282" s="6"/>
      <c r="D282" s="6"/>
      <c r="E282" s="1"/>
      <c r="F282" s="2"/>
      <c r="G282" s="6"/>
      <c r="H282" s="6"/>
      <c r="I282" s="1"/>
      <c r="J282" s="1"/>
      <c r="K282" s="1"/>
      <c r="L282" s="6"/>
      <c r="M282" s="6"/>
      <c r="N282" s="6"/>
      <c r="O282" s="1"/>
      <c r="P282" s="1"/>
      <c r="Q282" s="6"/>
    </row>
    <row r="283" spans="1:17" ht="13.5" thickBot="1" x14ac:dyDescent="0.25">
      <c r="A283" s="3" t="s">
        <v>1887</v>
      </c>
      <c r="B283" s="242"/>
      <c r="C283" s="242"/>
      <c r="D283" s="242"/>
      <c r="E283" s="280"/>
      <c r="F283" s="2146"/>
      <c r="G283" s="242"/>
      <c r="H283" s="242"/>
      <c r="I283" s="280"/>
      <c r="J283" s="280"/>
      <c r="K283" s="280"/>
      <c r="L283" s="242"/>
      <c r="M283" s="242"/>
      <c r="N283" s="242"/>
      <c r="O283" s="280"/>
      <c r="P283" s="280"/>
      <c r="Q283" s="242"/>
    </row>
    <row r="284" spans="1:17" ht="14.45" customHeight="1" thickBot="1" x14ac:dyDescent="0.25">
      <c r="A284" s="2513" t="s">
        <v>327</v>
      </c>
      <c r="B284" s="2516" t="s">
        <v>1935</v>
      </c>
      <c r="C284" s="2517"/>
      <c r="D284" s="2517"/>
      <c r="E284" s="2517"/>
      <c r="F284" s="2517"/>
      <c r="G284" s="2517"/>
      <c r="H284" s="2517"/>
      <c r="I284" s="2517"/>
      <c r="J284" s="2517"/>
      <c r="K284" s="2517"/>
      <c r="L284" s="2518" t="s">
        <v>1930</v>
      </c>
      <c r="M284" s="2519"/>
      <c r="N284" s="2519"/>
      <c r="O284" s="2519"/>
      <c r="P284" s="2520"/>
      <c r="Q284" s="2521"/>
    </row>
    <row r="285" spans="1:17" ht="14.45" customHeight="1" x14ac:dyDescent="0.2">
      <c r="A285" s="2514"/>
      <c r="B285" s="2522" t="s">
        <v>328</v>
      </c>
      <c r="C285" s="2523"/>
      <c r="D285" s="1014"/>
      <c r="E285" s="1014" t="s">
        <v>904</v>
      </c>
      <c r="F285" s="1014" t="s">
        <v>329</v>
      </c>
      <c r="G285" s="1014"/>
      <c r="H285" s="1014"/>
      <c r="I285" s="2526" t="s">
        <v>330</v>
      </c>
      <c r="J285" s="2527"/>
      <c r="K285" s="2528"/>
      <c r="L285" s="2524" t="s">
        <v>328</v>
      </c>
      <c r="M285" s="2525"/>
      <c r="N285" s="1021" t="s">
        <v>331</v>
      </c>
      <c r="O285" s="1022" t="s">
        <v>332</v>
      </c>
      <c r="P285" s="1023"/>
      <c r="Q285" s="1024"/>
    </row>
    <row r="286" spans="1:17" ht="14.45" customHeight="1" x14ac:dyDescent="0.2">
      <c r="A286" s="2514"/>
      <c r="B286" s="1014" t="s">
        <v>835</v>
      </c>
      <c r="C286" s="1014" t="s">
        <v>335</v>
      </c>
      <c r="D286" s="1014" t="s">
        <v>837</v>
      </c>
      <c r="E286" s="1014" t="s">
        <v>842</v>
      </c>
      <c r="F286" s="1014" t="s">
        <v>336</v>
      </c>
      <c r="G286" s="1014" t="s">
        <v>337</v>
      </c>
      <c r="H286" s="1014" t="s">
        <v>338</v>
      </c>
      <c r="I286" s="2529" t="s">
        <v>839</v>
      </c>
      <c r="J286" s="2530"/>
      <c r="K286" s="2531"/>
      <c r="L286" s="1025" t="s">
        <v>835</v>
      </c>
      <c r="M286" s="1021" t="s">
        <v>335</v>
      </c>
      <c r="N286" s="1021" t="s">
        <v>339</v>
      </c>
      <c r="O286" s="1022"/>
      <c r="P286" s="1021" t="s">
        <v>337</v>
      </c>
      <c r="Q286" s="1024" t="s">
        <v>338</v>
      </c>
    </row>
    <row r="287" spans="1:17" ht="14.45" customHeight="1" x14ac:dyDescent="0.2">
      <c r="A287" s="2514"/>
      <c r="B287" s="1014"/>
      <c r="C287" s="1014"/>
      <c r="D287" s="1014"/>
      <c r="E287" s="1014"/>
      <c r="F287" s="1014" t="s">
        <v>341</v>
      </c>
      <c r="G287" s="1014" t="s">
        <v>342</v>
      </c>
      <c r="H287" s="1014" t="s">
        <v>341</v>
      </c>
      <c r="I287" s="1015"/>
      <c r="J287" s="1016"/>
      <c r="K287" s="1017"/>
      <c r="L287" s="1025"/>
      <c r="M287" s="1021"/>
      <c r="N287" s="1021"/>
      <c r="O287" s="1022" t="s">
        <v>344</v>
      </c>
      <c r="P287" s="1021" t="s">
        <v>342</v>
      </c>
      <c r="Q287" s="1024" t="s">
        <v>341</v>
      </c>
    </row>
    <row r="288" spans="1:17" ht="14.45" customHeight="1" x14ac:dyDescent="0.2">
      <c r="A288" s="2515"/>
      <c r="B288" s="1018" t="s">
        <v>345</v>
      </c>
      <c r="C288" s="1018" t="s">
        <v>345</v>
      </c>
      <c r="D288" s="1018" t="s">
        <v>346</v>
      </c>
      <c r="E288" s="1018" t="s">
        <v>757</v>
      </c>
      <c r="F288" s="1018"/>
      <c r="G288" s="1018" t="s">
        <v>347</v>
      </c>
      <c r="H288" s="1018" t="s">
        <v>348</v>
      </c>
      <c r="I288" s="1019" t="s">
        <v>349</v>
      </c>
      <c r="J288" s="1019" t="s">
        <v>350</v>
      </c>
      <c r="K288" s="1020" t="s">
        <v>351</v>
      </c>
      <c r="L288" s="1026" t="s">
        <v>345</v>
      </c>
      <c r="M288" s="1027" t="s">
        <v>345</v>
      </c>
      <c r="N288" s="1027" t="s">
        <v>346</v>
      </c>
      <c r="O288" s="1028"/>
      <c r="P288" s="1027" t="s">
        <v>347</v>
      </c>
      <c r="Q288" s="1029" t="s">
        <v>348</v>
      </c>
    </row>
    <row r="289" spans="1:17" ht="14.45" customHeight="1" x14ac:dyDescent="0.2">
      <c r="A289" s="975" t="s">
        <v>352</v>
      </c>
      <c r="B289" s="976">
        <v>2981</v>
      </c>
      <c r="C289" s="976">
        <v>2812</v>
      </c>
      <c r="D289" s="977">
        <v>3166.7999999999997</v>
      </c>
      <c r="E289" s="1608">
        <v>1.1261735419630154</v>
      </c>
      <c r="F289" s="979"/>
      <c r="G289" s="976"/>
      <c r="H289" s="976"/>
      <c r="I289" s="978"/>
      <c r="J289" s="978"/>
      <c r="K289" s="980"/>
      <c r="L289" s="981">
        <v>2646</v>
      </c>
      <c r="M289" s="977">
        <v>2641</v>
      </c>
      <c r="N289" s="977">
        <v>2834.4</v>
      </c>
      <c r="O289" s="1608">
        <v>1.0732298371828852</v>
      </c>
      <c r="P289" s="1609"/>
      <c r="Q289" s="1610"/>
    </row>
    <row r="290" spans="1:17" ht="14.45" customHeight="1" x14ac:dyDescent="0.2">
      <c r="A290" s="1481" t="s">
        <v>353</v>
      </c>
      <c r="B290" s="957">
        <v>340</v>
      </c>
      <c r="C290" s="957">
        <v>340</v>
      </c>
      <c r="D290" s="957">
        <v>442</v>
      </c>
      <c r="E290" s="248">
        <v>1.3</v>
      </c>
      <c r="F290" s="1342" t="s">
        <v>987</v>
      </c>
      <c r="G290" s="1201">
        <v>10041458</v>
      </c>
      <c r="H290" s="968">
        <v>12054596.552708669</v>
      </c>
      <c r="I290" s="1633"/>
      <c r="J290" s="431"/>
      <c r="K290" s="963"/>
      <c r="L290" s="2237">
        <v>300</v>
      </c>
      <c r="M290" s="957">
        <v>300</v>
      </c>
      <c r="N290" s="957">
        <v>390</v>
      </c>
      <c r="O290" s="1524">
        <v>1.3</v>
      </c>
      <c r="P290" s="1235">
        <v>6615000</v>
      </c>
      <c r="Q290" s="1199">
        <v>12054596.552708669</v>
      </c>
    </row>
    <row r="291" spans="1:17" ht="14.45" customHeight="1" x14ac:dyDescent="0.2">
      <c r="A291" s="1481" t="s">
        <v>354</v>
      </c>
      <c r="B291" s="957">
        <v>40</v>
      </c>
      <c r="C291" s="957">
        <v>40</v>
      </c>
      <c r="D291" s="957">
        <v>48</v>
      </c>
      <c r="E291" s="248">
        <v>1.2</v>
      </c>
      <c r="F291" s="1342" t="s">
        <v>987</v>
      </c>
      <c r="G291" s="1201">
        <v>10041458</v>
      </c>
      <c r="H291" s="968">
        <v>12054596.552708669</v>
      </c>
      <c r="I291" s="1633"/>
      <c r="J291" s="431"/>
      <c r="K291" s="963"/>
      <c r="L291" s="2237">
        <v>40</v>
      </c>
      <c r="M291" s="957">
        <v>40</v>
      </c>
      <c r="N291" s="957">
        <v>48</v>
      </c>
      <c r="O291" s="1524">
        <v>1.2</v>
      </c>
      <c r="P291" s="1235">
        <v>6615000</v>
      </c>
      <c r="Q291" s="1199">
        <v>12054596.552708669</v>
      </c>
    </row>
    <row r="292" spans="1:17" ht="14.45" customHeight="1" x14ac:dyDescent="0.2">
      <c r="A292" s="1481" t="s">
        <v>355</v>
      </c>
      <c r="B292" s="957">
        <v>20</v>
      </c>
      <c r="C292" s="957">
        <v>20</v>
      </c>
      <c r="D292" s="957">
        <v>24</v>
      </c>
      <c r="E292" s="248">
        <v>1.2</v>
      </c>
      <c r="F292" s="1342" t="s">
        <v>987</v>
      </c>
      <c r="G292" s="1201">
        <v>10041458</v>
      </c>
      <c r="H292" s="968">
        <v>12054596.552708669</v>
      </c>
      <c r="I292" s="1633"/>
      <c r="J292" s="431"/>
      <c r="K292" s="963"/>
      <c r="L292" s="2237">
        <v>15</v>
      </c>
      <c r="M292" s="957">
        <v>12</v>
      </c>
      <c r="N292" s="957">
        <v>14.399999999999999</v>
      </c>
      <c r="O292" s="1524">
        <v>1.2</v>
      </c>
      <c r="P292" s="1235">
        <v>6615000</v>
      </c>
      <c r="Q292" s="1199">
        <v>12054596.552708669</v>
      </c>
    </row>
    <row r="293" spans="1:17" ht="14.45" customHeight="1" x14ac:dyDescent="0.2">
      <c r="A293" s="1481" t="s">
        <v>356</v>
      </c>
      <c r="B293" s="957">
        <v>50</v>
      </c>
      <c r="C293" s="957">
        <v>50</v>
      </c>
      <c r="D293" s="957">
        <v>50</v>
      </c>
      <c r="E293" s="248">
        <v>1</v>
      </c>
      <c r="F293" s="1342" t="s">
        <v>987</v>
      </c>
      <c r="G293" s="1201">
        <v>10041458</v>
      </c>
      <c r="H293" s="968">
        <v>12054596.552708669</v>
      </c>
      <c r="I293" s="1633"/>
      <c r="J293" s="431"/>
      <c r="K293" s="963"/>
      <c r="L293" s="2237">
        <v>70</v>
      </c>
      <c r="M293" s="957">
        <v>70</v>
      </c>
      <c r="N293" s="957">
        <v>70</v>
      </c>
      <c r="O293" s="1524">
        <v>1</v>
      </c>
      <c r="P293" s="1235">
        <v>6615000</v>
      </c>
      <c r="Q293" s="1199">
        <v>12054596.552708669</v>
      </c>
    </row>
    <row r="294" spans="1:17" ht="14.45" customHeight="1" x14ac:dyDescent="0.2">
      <c r="A294" s="1481" t="s">
        <v>357</v>
      </c>
      <c r="B294" s="957">
        <v>250</v>
      </c>
      <c r="C294" s="957">
        <v>250</v>
      </c>
      <c r="D294" s="957">
        <v>450</v>
      </c>
      <c r="E294" s="248">
        <v>1.8</v>
      </c>
      <c r="F294" s="1342" t="s">
        <v>987</v>
      </c>
      <c r="G294" s="1201">
        <v>10041458</v>
      </c>
      <c r="H294" s="968">
        <v>12054596.552708669</v>
      </c>
      <c r="I294" s="1633"/>
      <c r="J294" s="431"/>
      <c r="K294" s="963"/>
      <c r="L294" s="2237">
        <v>35</v>
      </c>
      <c r="M294" s="957">
        <v>35</v>
      </c>
      <c r="N294" s="957">
        <v>70</v>
      </c>
      <c r="O294" s="1524">
        <v>2</v>
      </c>
      <c r="P294" s="1235">
        <v>6615000</v>
      </c>
      <c r="Q294" s="1199">
        <v>12054596.552708669</v>
      </c>
    </row>
    <row r="295" spans="1:17" ht="14.45" customHeight="1" x14ac:dyDescent="0.2">
      <c r="A295" s="1481" t="s">
        <v>358</v>
      </c>
      <c r="B295" s="957">
        <v>1300</v>
      </c>
      <c r="C295" s="957">
        <v>1200</v>
      </c>
      <c r="D295" s="957">
        <v>1200</v>
      </c>
      <c r="E295" s="248">
        <v>1</v>
      </c>
      <c r="F295" s="1342" t="s">
        <v>987</v>
      </c>
      <c r="G295" s="1201">
        <v>10041458</v>
      </c>
      <c r="H295" s="968">
        <v>12054596.552708669</v>
      </c>
      <c r="I295" s="1633"/>
      <c r="J295" s="431"/>
      <c r="K295" s="963"/>
      <c r="L295" s="2237">
        <v>1200</v>
      </c>
      <c r="M295" s="957">
        <v>1200</v>
      </c>
      <c r="N295" s="957">
        <v>1200</v>
      </c>
      <c r="O295" s="1524">
        <v>1</v>
      </c>
      <c r="P295" s="1235">
        <v>6615000</v>
      </c>
      <c r="Q295" s="1199">
        <v>12054596.552708669</v>
      </c>
    </row>
    <row r="296" spans="1:17" ht="14.45" customHeight="1" x14ac:dyDescent="0.2">
      <c r="A296" s="1481" t="s">
        <v>359</v>
      </c>
      <c r="B296" s="957">
        <v>3</v>
      </c>
      <c r="C296" s="957">
        <v>3</v>
      </c>
      <c r="D296" s="957">
        <v>3</v>
      </c>
      <c r="E296" s="248">
        <v>1</v>
      </c>
      <c r="F296" s="1342" t="s">
        <v>987</v>
      </c>
      <c r="G296" s="1201">
        <v>10041458</v>
      </c>
      <c r="H296" s="968">
        <v>12054596.552708669</v>
      </c>
      <c r="I296" s="1633"/>
      <c r="J296" s="431"/>
      <c r="K296" s="963"/>
      <c r="L296" s="2237">
        <v>4</v>
      </c>
      <c r="M296" s="957">
        <v>4</v>
      </c>
      <c r="N296" s="957">
        <v>4</v>
      </c>
      <c r="O296" s="1524">
        <v>1</v>
      </c>
      <c r="P296" s="1235">
        <v>6615000</v>
      </c>
      <c r="Q296" s="1199">
        <v>12054596.552708669</v>
      </c>
    </row>
    <row r="297" spans="1:17" ht="14.45" customHeight="1" x14ac:dyDescent="0.2">
      <c r="A297" s="1481" t="s">
        <v>360</v>
      </c>
      <c r="B297" s="957">
        <v>76</v>
      </c>
      <c r="C297" s="957">
        <v>76</v>
      </c>
      <c r="D297" s="957">
        <v>91.2</v>
      </c>
      <c r="E297" s="248">
        <v>1.2</v>
      </c>
      <c r="F297" s="1342" t="s">
        <v>987</v>
      </c>
      <c r="G297" s="1201">
        <v>10041458</v>
      </c>
      <c r="H297" s="968">
        <v>12054596.552708669</v>
      </c>
      <c r="I297" s="1633"/>
      <c r="J297" s="431"/>
      <c r="K297" s="963"/>
      <c r="L297" s="2237">
        <v>165</v>
      </c>
      <c r="M297" s="957">
        <v>165</v>
      </c>
      <c r="N297" s="957">
        <v>198</v>
      </c>
      <c r="O297" s="1524">
        <v>1.2</v>
      </c>
      <c r="P297" s="1235">
        <v>6615000</v>
      </c>
      <c r="Q297" s="1199">
        <v>12054596.552708669</v>
      </c>
    </row>
    <row r="298" spans="1:17" ht="14.45" customHeight="1" x14ac:dyDescent="0.2">
      <c r="A298" s="1481" t="s">
        <v>361</v>
      </c>
      <c r="B298" s="957">
        <v>45</v>
      </c>
      <c r="C298" s="957">
        <v>43</v>
      </c>
      <c r="D298" s="957">
        <v>34.4</v>
      </c>
      <c r="E298" s="248">
        <v>0.8</v>
      </c>
      <c r="F298" s="1342" t="s">
        <v>987</v>
      </c>
      <c r="G298" s="1201">
        <v>10041458</v>
      </c>
      <c r="H298" s="968">
        <v>12054596.552708669</v>
      </c>
      <c r="I298" s="1633"/>
      <c r="J298" s="431"/>
      <c r="K298" s="963"/>
      <c r="L298" s="2237">
        <v>70</v>
      </c>
      <c r="M298" s="957">
        <v>70</v>
      </c>
      <c r="N298" s="957">
        <v>42</v>
      </c>
      <c r="O298" s="1524">
        <v>0.6</v>
      </c>
      <c r="P298" s="1235">
        <v>6615000</v>
      </c>
      <c r="Q298" s="1199">
        <v>12054596.552708669</v>
      </c>
    </row>
    <row r="299" spans="1:17" ht="14.45" customHeight="1" x14ac:dyDescent="0.2">
      <c r="A299" s="1481" t="s">
        <v>362</v>
      </c>
      <c r="B299" s="957">
        <v>102</v>
      </c>
      <c r="C299" s="957">
        <v>100</v>
      </c>
      <c r="D299" s="957">
        <v>150</v>
      </c>
      <c r="E299" s="248">
        <v>1.5</v>
      </c>
      <c r="F299" s="1342" t="s">
        <v>987</v>
      </c>
      <c r="G299" s="1201">
        <v>10041458</v>
      </c>
      <c r="H299" s="968">
        <v>12054596.552708669</v>
      </c>
      <c r="I299" s="1633"/>
      <c r="J299" s="431"/>
      <c r="K299" s="963"/>
      <c r="L299" s="2237">
        <v>107</v>
      </c>
      <c r="M299" s="957">
        <v>106</v>
      </c>
      <c r="N299" s="957">
        <v>159</v>
      </c>
      <c r="O299" s="1524">
        <v>1.5</v>
      </c>
      <c r="P299" s="1235">
        <v>6615000</v>
      </c>
      <c r="Q299" s="1199">
        <v>12054596.552708669</v>
      </c>
    </row>
    <row r="300" spans="1:17" ht="14.45" customHeight="1" x14ac:dyDescent="0.2">
      <c r="A300" s="1481" t="s">
        <v>363</v>
      </c>
      <c r="B300" s="957">
        <v>580</v>
      </c>
      <c r="C300" s="957">
        <v>520</v>
      </c>
      <c r="D300" s="957">
        <v>499.2</v>
      </c>
      <c r="E300" s="248">
        <v>0.96</v>
      </c>
      <c r="F300" s="1342" t="s">
        <v>987</v>
      </c>
      <c r="G300" s="1201">
        <v>10041458</v>
      </c>
      <c r="H300" s="968">
        <v>12054596.552708669</v>
      </c>
      <c r="I300" s="1633"/>
      <c r="J300" s="431"/>
      <c r="K300" s="963"/>
      <c r="L300" s="2237">
        <v>510</v>
      </c>
      <c r="M300" s="957">
        <v>510</v>
      </c>
      <c r="N300" s="957">
        <v>510</v>
      </c>
      <c r="O300" s="1524">
        <v>1</v>
      </c>
      <c r="P300" s="1235">
        <v>6615000</v>
      </c>
      <c r="Q300" s="1199">
        <v>12054596.552708669</v>
      </c>
    </row>
    <row r="301" spans="1:17" ht="14.45" customHeight="1" x14ac:dyDescent="0.2">
      <c r="A301" s="1481" t="s">
        <v>364</v>
      </c>
      <c r="B301" s="957">
        <v>170</v>
      </c>
      <c r="C301" s="957">
        <v>165</v>
      </c>
      <c r="D301" s="957">
        <v>165</v>
      </c>
      <c r="E301" s="248">
        <v>1</v>
      </c>
      <c r="F301" s="1342" t="s">
        <v>987</v>
      </c>
      <c r="G301" s="1201">
        <v>10041458</v>
      </c>
      <c r="H301" s="968">
        <v>12054596.552708669</v>
      </c>
      <c r="I301" s="1633"/>
      <c r="J301" s="431"/>
      <c r="K301" s="963"/>
      <c r="L301" s="2237">
        <v>130</v>
      </c>
      <c r="M301" s="957">
        <v>129</v>
      </c>
      <c r="N301" s="957">
        <v>129</v>
      </c>
      <c r="O301" s="1524">
        <v>1</v>
      </c>
      <c r="P301" s="1235">
        <v>6615000</v>
      </c>
      <c r="Q301" s="1199">
        <v>12054596.552708669</v>
      </c>
    </row>
    <row r="302" spans="1:17" ht="14.45" customHeight="1" x14ac:dyDescent="0.2">
      <c r="A302" s="1481" t="s">
        <v>365</v>
      </c>
      <c r="B302" s="957">
        <v>5</v>
      </c>
      <c r="C302" s="957">
        <v>5</v>
      </c>
      <c r="D302" s="957">
        <v>10</v>
      </c>
      <c r="E302" s="248">
        <v>2</v>
      </c>
      <c r="F302" s="1342" t="s">
        <v>987</v>
      </c>
      <c r="G302" s="1201">
        <v>10041458</v>
      </c>
      <c r="H302" s="968">
        <v>12054596.552708669</v>
      </c>
      <c r="I302" s="1633"/>
      <c r="J302" s="431"/>
      <c r="K302" s="963"/>
      <c r="L302" s="2237"/>
      <c r="M302" s="957"/>
      <c r="N302" s="957">
        <v>0</v>
      </c>
      <c r="O302" s="1524"/>
      <c r="P302" s="1235"/>
      <c r="Q302" s="1199"/>
    </row>
    <row r="303" spans="1:17" ht="14.45" customHeight="1" x14ac:dyDescent="0.2">
      <c r="A303" s="1481" t="s">
        <v>366</v>
      </c>
      <c r="B303" s="957"/>
      <c r="C303" s="957"/>
      <c r="D303" s="957">
        <v>0</v>
      </c>
      <c r="E303" s="1518"/>
      <c r="F303" s="958"/>
      <c r="G303" s="1201"/>
      <c r="H303" s="968"/>
      <c r="I303" s="1633"/>
      <c r="J303" s="431"/>
      <c r="K303" s="963"/>
      <c r="L303" s="2237"/>
      <c r="M303" s="957"/>
      <c r="N303" s="957">
        <v>0</v>
      </c>
      <c r="O303" s="2240"/>
      <c r="P303" s="1235"/>
      <c r="Q303" s="1236"/>
    </row>
    <row r="304" spans="1:17" ht="14.45" customHeight="1" x14ac:dyDescent="0.2">
      <c r="A304" s="1481" t="s">
        <v>367</v>
      </c>
      <c r="B304" s="957">
        <v>0</v>
      </c>
      <c r="C304" s="957">
        <v>0</v>
      </c>
      <c r="D304" s="957">
        <v>0</v>
      </c>
      <c r="E304" s="1518">
        <v>0</v>
      </c>
      <c r="F304" s="1342"/>
      <c r="G304" s="1201"/>
      <c r="H304" s="968"/>
      <c r="I304" s="1633"/>
      <c r="J304" s="431"/>
      <c r="K304" s="963"/>
      <c r="L304" s="2237">
        <v>0</v>
      </c>
      <c r="M304" s="957">
        <v>0</v>
      </c>
      <c r="N304" s="957">
        <v>0</v>
      </c>
      <c r="O304" s="2240">
        <v>0</v>
      </c>
      <c r="P304" s="1235"/>
      <c r="Q304" s="1199"/>
    </row>
    <row r="305" spans="1:17" ht="14.45" customHeight="1" x14ac:dyDescent="0.2">
      <c r="A305" s="1484" t="s">
        <v>368</v>
      </c>
      <c r="B305" s="1506">
        <v>1690</v>
      </c>
      <c r="C305" s="2147">
        <v>1690</v>
      </c>
      <c r="D305" s="2303">
        <v>3018.3</v>
      </c>
      <c r="E305" s="1608">
        <v>1.7859763313609469</v>
      </c>
      <c r="F305" s="987"/>
      <c r="G305" s="2148"/>
      <c r="H305" s="2149"/>
      <c r="I305" s="2150"/>
      <c r="J305" s="986"/>
      <c r="K305" s="992"/>
      <c r="L305" s="2238">
        <v>1775</v>
      </c>
      <c r="M305" s="1506">
        <v>1762</v>
      </c>
      <c r="N305" s="1506">
        <v>3140.7999999999997</v>
      </c>
      <c r="O305" s="2216">
        <v>1.7825198637911464</v>
      </c>
      <c r="P305" s="1604"/>
      <c r="Q305" s="1605"/>
    </row>
    <row r="306" spans="1:17" ht="14.45" customHeight="1" x14ac:dyDescent="0.2">
      <c r="A306" s="1481" t="s">
        <v>369</v>
      </c>
      <c r="B306" s="957">
        <v>1553</v>
      </c>
      <c r="C306" s="957">
        <v>1553</v>
      </c>
      <c r="D306" s="957">
        <v>2795.4</v>
      </c>
      <c r="E306" s="248">
        <v>1.8</v>
      </c>
      <c r="F306" s="1342" t="s">
        <v>987</v>
      </c>
      <c r="G306" s="1201">
        <v>10041458</v>
      </c>
      <c r="H306" s="968">
        <v>12054596.552708669</v>
      </c>
      <c r="I306" s="1633"/>
      <c r="J306" s="431"/>
      <c r="K306" s="963"/>
      <c r="L306" s="2237">
        <v>1610</v>
      </c>
      <c r="M306" s="957">
        <v>1610</v>
      </c>
      <c r="N306" s="957">
        <v>2898</v>
      </c>
      <c r="O306" s="1524">
        <v>1.8</v>
      </c>
      <c r="P306" s="1235">
        <v>6615000</v>
      </c>
      <c r="Q306" s="1199">
        <v>12054596.552708669</v>
      </c>
    </row>
    <row r="307" spans="1:17" ht="14.45" customHeight="1" x14ac:dyDescent="0.2">
      <c r="A307" s="1481" t="s">
        <v>370</v>
      </c>
      <c r="B307" s="957">
        <v>80</v>
      </c>
      <c r="C307" s="957">
        <v>80</v>
      </c>
      <c r="D307" s="957">
        <v>144</v>
      </c>
      <c r="E307" s="248">
        <v>1.8</v>
      </c>
      <c r="F307" s="1342" t="s">
        <v>987</v>
      </c>
      <c r="G307" s="1201">
        <v>10041458</v>
      </c>
      <c r="H307" s="968">
        <v>12054596.552708669</v>
      </c>
      <c r="I307" s="1633"/>
      <c r="J307" s="431"/>
      <c r="K307" s="963"/>
      <c r="L307" s="2237">
        <v>80</v>
      </c>
      <c r="M307" s="957">
        <v>80</v>
      </c>
      <c r="N307" s="957">
        <v>144</v>
      </c>
      <c r="O307" s="1524">
        <v>1.8</v>
      </c>
      <c r="P307" s="1235">
        <v>6615000</v>
      </c>
      <c r="Q307" s="1199">
        <v>12054596.552708669</v>
      </c>
    </row>
    <row r="308" spans="1:17" ht="14.45" customHeight="1" x14ac:dyDescent="0.2">
      <c r="A308" s="1481" t="s">
        <v>371</v>
      </c>
      <c r="B308" s="957">
        <v>17</v>
      </c>
      <c r="C308" s="957">
        <v>17</v>
      </c>
      <c r="D308" s="957">
        <v>22.1</v>
      </c>
      <c r="E308" s="248">
        <v>1.3</v>
      </c>
      <c r="F308" s="1342" t="s">
        <v>987</v>
      </c>
      <c r="G308" s="1201">
        <v>10041458</v>
      </c>
      <c r="H308" s="968">
        <v>12054596.552708669</v>
      </c>
      <c r="I308" s="1633"/>
      <c r="J308" s="431"/>
      <c r="K308" s="963"/>
      <c r="L308" s="2237">
        <v>34</v>
      </c>
      <c r="M308" s="957">
        <v>34</v>
      </c>
      <c r="N308" s="957">
        <v>44.2</v>
      </c>
      <c r="O308" s="1524">
        <v>1.3</v>
      </c>
      <c r="P308" s="1235">
        <v>6615000</v>
      </c>
      <c r="Q308" s="1199">
        <v>12054596.552708669</v>
      </c>
    </row>
    <row r="309" spans="1:17" ht="14.45" customHeight="1" x14ac:dyDescent="0.2">
      <c r="A309" s="1481" t="s">
        <v>372</v>
      </c>
      <c r="B309" s="957">
        <v>8</v>
      </c>
      <c r="C309" s="957">
        <v>8</v>
      </c>
      <c r="D309" s="957">
        <v>8.8000000000000007</v>
      </c>
      <c r="E309" s="248">
        <v>1.1000000000000001</v>
      </c>
      <c r="F309" s="1342" t="s">
        <v>987</v>
      </c>
      <c r="G309" s="1201">
        <v>10041458</v>
      </c>
      <c r="H309" s="968">
        <v>12054596.552708669</v>
      </c>
      <c r="I309" s="1633"/>
      <c r="J309" s="431"/>
      <c r="K309" s="963"/>
      <c r="L309" s="2237">
        <v>6</v>
      </c>
      <c r="M309" s="957">
        <v>6</v>
      </c>
      <c r="N309" s="957">
        <v>6.6000000000000005</v>
      </c>
      <c r="O309" s="1524">
        <v>1.1000000000000001</v>
      </c>
      <c r="P309" s="1235">
        <v>6615000</v>
      </c>
      <c r="Q309" s="1199">
        <v>12054596.552708669</v>
      </c>
    </row>
    <row r="310" spans="1:17" ht="14.45" customHeight="1" x14ac:dyDescent="0.2">
      <c r="A310" s="1481" t="s">
        <v>373</v>
      </c>
      <c r="B310" s="957">
        <v>32</v>
      </c>
      <c r="C310" s="957">
        <v>32</v>
      </c>
      <c r="D310" s="957">
        <v>48</v>
      </c>
      <c r="E310" s="248">
        <v>1.5</v>
      </c>
      <c r="F310" s="1342" t="s">
        <v>987</v>
      </c>
      <c r="G310" s="1201">
        <v>10041458</v>
      </c>
      <c r="H310" s="968">
        <v>12054596.552708669</v>
      </c>
      <c r="I310" s="1633"/>
      <c r="J310" s="431"/>
      <c r="K310" s="963"/>
      <c r="L310" s="2237">
        <v>45</v>
      </c>
      <c r="M310" s="957">
        <v>32</v>
      </c>
      <c r="N310" s="957">
        <v>48</v>
      </c>
      <c r="O310" s="1524">
        <v>1.5</v>
      </c>
      <c r="P310" s="1235">
        <v>6615000</v>
      </c>
      <c r="Q310" s="1199">
        <v>12054596.552708669</v>
      </c>
    </row>
    <row r="311" spans="1:17" ht="14.45" customHeight="1" x14ac:dyDescent="0.2">
      <c r="A311" s="1484" t="s">
        <v>374</v>
      </c>
      <c r="B311" s="1506">
        <v>839</v>
      </c>
      <c r="C311" s="2147">
        <v>794</v>
      </c>
      <c r="D311" s="2147">
        <v>1511.7</v>
      </c>
      <c r="E311" s="1608">
        <v>1.9039042821158692</v>
      </c>
      <c r="F311" s="987"/>
      <c r="G311" s="2151"/>
      <c r="H311" s="1078"/>
      <c r="I311" s="2152"/>
      <c r="J311" s="995"/>
      <c r="K311" s="1000"/>
      <c r="L311" s="2238">
        <v>710</v>
      </c>
      <c r="M311" s="1506">
        <v>686</v>
      </c>
      <c r="N311" s="1506">
        <v>1275.7</v>
      </c>
      <c r="O311" s="2216">
        <v>1.8596209912536443</v>
      </c>
      <c r="P311" s="1604"/>
      <c r="Q311" s="1605"/>
    </row>
    <row r="312" spans="1:17" ht="14.45" customHeight="1" x14ac:dyDescent="0.2">
      <c r="A312" s="1481" t="s">
        <v>375</v>
      </c>
      <c r="B312" s="957">
        <v>230</v>
      </c>
      <c r="C312" s="957">
        <v>200</v>
      </c>
      <c r="D312" s="957">
        <v>360</v>
      </c>
      <c r="E312" s="248">
        <v>1.8</v>
      </c>
      <c r="F312" s="1342" t="s">
        <v>987</v>
      </c>
      <c r="G312" s="1201">
        <v>10041458</v>
      </c>
      <c r="H312" s="968">
        <v>12054596.552708669</v>
      </c>
      <c r="I312" s="1633"/>
      <c r="J312" s="431"/>
      <c r="K312" s="963"/>
      <c r="L312" s="2237">
        <v>52</v>
      </c>
      <c r="M312" s="957">
        <v>52</v>
      </c>
      <c r="N312" s="957">
        <v>67.600000000000009</v>
      </c>
      <c r="O312" s="1524">
        <v>1.3</v>
      </c>
      <c r="P312" s="1235">
        <v>6615000</v>
      </c>
      <c r="Q312" s="1199">
        <v>12054596.552708669</v>
      </c>
    </row>
    <row r="313" spans="1:17" ht="14.45" customHeight="1" x14ac:dyDescent="0.2">
      <c r="A313" s="1481" t="s">
        <v>376</v>
      </c>
      <c r="B313" s="957">
        <v>9</v>
      </c>
      <c r="C313" s="957">
        <v>9</v>
      </c>
      <c r="D313" s="957">
        <v>9.9</v>
      </c>
      <c r="E313" s="248">
        <v>1.1000000000000001</v>
      </c>
      <c r="F313" s="1342" t="s">
        <v>987</v>
      </c>
      <c r="G313" s="1201">
        <v>10041458</v>
      </c>
      <c r="H313" s="968">
        <v>12054596.552708669</v>
      </c>
      <c r="I313" s="1633"/>
      <c r="J313" s="431"/>
      <c r="K313" s="963"/>
      <c r="L313" s="2237">
        <v>12</v>
      </c>
      <c r="M313" s="957">
        <v>12</v>
      </c>
      <c r="N313" s="957">
        <v>14.399999999999999</v>
      </c>
      <c r="O313" s="1524">
        <v>1.2</v>
      </c>
      <c r="P313" s="1235">
        <v>6615000</v>
      </c>
      <c r="Q313" s="1199">
        <v>12054596.552708669</v>
      </c>
    </row>
    <row r="314" spans="1:17" ht="14.45" customHeight="1" x14ac:dyDescent="0.2">
      <c r="A314" s="1481" t="s">
        <v>377</v>
      </c>
      <c r="B314" s="957">
        <v>0</v>
      </c>
      <c r="C314" s="957">
        <v>0</v>
      </c>
      <c r="D314" s="957">
        <v>0</v>
      </c>
      <c r="E314" s="248">
        <v>0</v>
      </c>
      <c r="F314" s="1342"/>
      <c r="G314" s="1201"/>
      <c r="H314" s="968"/>
      <c r="I314" s="1633"/>
      <c r="J314" s="431"/>
      <c r="K314" s="963"/>
      <c r="L314" s="2237">
        <v>0</v>
      </c>
      <c r="M314" s="957">
        <v>0</v>
      </c>
      <c r="N314" s="957">
        <v>0</v>
      </c>
      <c r="O314" s="1524">
        <v>0</v>
      </c>
      <c r="P314" s="1235"/>
      <c r="Q314" s="1199"/>
    </row>
    <row r="315" spans="1:17" ht="14.45" customHeight="1" x14ac:dyDescent="0.2">
      <c r="A315" s="1481" t="s">
        <v>378</v>
      </c>
      <c r="B315" s="957">
        <v>235</v>
      </c>
      <c r="C315" s="957">
        <v>235</v>
      </c>
      <c r="D315" s="957">
        <v>470</v>
      </c>
      <c r="E315" s="248">
        <v>2</v>
      </c>
      <c r="F315" s="1342" t="s">
        <v>987</v>
      </c>
      <c r="G315" s="1201">
        <v>10041458</v>
      </c>
      <c r="H315" s="968">
        <v>12054596.552708669</v>
      </c>
      <c r="I315" s="1492"/>
      <c r="J315" s="431"/>
      <c r="K315" s="967"/>
      <c r="L315" s="2237">
        <v>235</v>
      </c>
      <c r="M315" s="957">
        <v>235</v>
      </c>
      <c r="N315" s="957">
        <v>470</v>
      </c>
      <c r="O315" s="1524">
        <v>2</v>
      </c>
      <c r="P315" s="1235">
        <v>6615000</v>
      </c>
      <c r="Q315" s="1199">
        <v>12054596.552708669</v>
      </c>
    </row>
    <row r="316" spans="1:17" ht="14.45" customHeight="1" x14ac:dyDescent="0.2">
      <c r="A316" s="1481" t="s">
        <v>379</v>
      </c>
      <c r="B316" s="957">
        <v>40</v>
      </c>
      <c r="C316" s="957">
        <v>25</v>
      </c>
      <c r="D316" s="957">
        <v>42.5</v>
      </c>
      <c r="E316" s="248">
        <v>1.7</v>
      </c>
      <c r="F316" s="1342" t="s">
        <v>987</v>
      </c>
      <c r="G316" s="1201">
        <v>10041458</v>
      </c>
      <c r="H316" s="968">
        <v>12054596.552708669</v>
      </c>
      <c r="I316" s="1492"/>
      <c r="J316" s="431"/>
      <c r="K316" s="967"/>
      <c r="L316" s="2237">
        <v>40</v>
      </c>
      <c r="M316" s="957">
        <v>35</v>
      </c>
      <c r="N316" s="957">
        <v>49</v>
      </c>
      <c r="O316" s="1524">
        <v>1.4</v>
      </c>
      <c r="P316" s="1235">
        <v>6615000</v>
      </c>
      <c r="Q316" s="1199">
        <v>12054596.552708669</v>
      </c>
    </row>
    <row r="317" spans="1:17" ht="14.45" customHeight="1" x14ac:dyDescent="0.2">
      <c r="A317" s="1481" t="s">
        <v>380</v>
      </c>
      <c r="B317" s="957">
        <v>285</v>
      </c>
      <c r="C317" s="957">
        <v>285</v>
      </c>
      <c r="D317" s="957">
        <v>570</v>
      </c>
      <c r="E317" s="248">
        <v>2</v>
      </c>
      <c r="F317" s="1342" t="s">
        <v>987</v>
      </c>
      <c r="G317" s="1201">
        <v>10041458</v>
      </c>
      <c r="H317" s="968">
        <v>12054596.552708669</v>
      </c>
      <c r="I317" s="1492"/>
      <c r="J317" s="431"/>
      <c r="K317" s="967"/>
      <c r="L317" s="2237">
        <v>310</v>
      </c>
      <c r="M317" s="957">
        <v>298</v>
      </c>
      <c r="N317" s="957">
        <v>596</v>
      </c>
      <c r="O317" s="1524">
        <v>2</v>
      </c>
      <c r="P317" s="1235">
        <v>6615000</v>
      </c>
      <c r="Q317" s="1199">
        <v>12054596.552708669</v>
      </c>
    </row>
    <row r="318" spans="1:17" ht="14.45" customHeight="1" x14ac:dyDescent="0.2">
      <c r="A318" s="1481" t="s">
        <v>381</v>
      </c>
      <c r="B318" s="957">
        <v>7</v>
      </c>
      <c r="C318" s="957">
        <v>7</v>
      </c>
      <c r="D318" s="957">
        <v>9.7999999999999989</v>
      </c>
      <c r="E318" s="248">
        <v>1.4</v>
      </c>
      <c r="F318" s="1342" t="s">
        <v>987</v>
      </c>
      <c r="G318" s="1201">
        <v>10041458</v>
      </c>
      <c r="H318" s="968">
        <v>12054596.552708669</v>
      </c>
      <c r="I318" s="1492"/>
      <c r="J318" s="431"/>
      <c r="K318" s="967"/>
      <c r="L318" s="2237">
        <v>23</v>
      </c>
      <c r="M318" s="957">
        <v>23</v>
      </c>
      <c r="N318" s="957">
        <v>32.199999999999996</v>
      </c>
      <c r="O318" s="1524">
        <v>1.4</v>
      </c>
      <c r="P318" s="1235">
        <v>6615000</v>
      </c>
      <c r="Q318" s="1199">
        <v>12054596.552708669</v>
      </c>
    </row>
    <row r="319" spans="1:17" ht="14.45" customHeight="1" x14ac:dyDescent="0.2">
      <c r="A319" s="1481" t="s">
        <v>382</v>
      </c>
      <c r="B319" s="957">
        <v>33</v>
      </c>
      <c r="C319" s="957">
        <v>33</v>
      </c>
      <c r="D319" s="957">
        <v>49.5</v>
      </c>
      <c r="E319" s="248">
        <v>1.5</v>
      </c>
      <c r="F319" s="1342" t="s">
        <v>987</v>
      </c>
      <c r="G319" s="1201">
        <v>10041458</v>
      </c>
      <c r="H319" s="968">
        <v>12054596.552708669</v>
      </c>
      <c r="I319" s="1492"/>
      <c r="J319" s="431"/>
      <c r="K319" s="967"/>
      <c r="L319" s="2237">
        <v>38</v>
      </c>
      <c r="M319" s="957">
        <v>31</v>
      </c>
      <c r="N319" s="957">
        <v>46.5</v>
      </c>
      <c r="O319" s="1524">
        <v>1.5</v>
      </c>
      <c r="P319" s="1235">
        <v>6615000</v>
      </c>
      <c r="Q319" s="1199">
        <v>12054596.552708669</v>
      </c>
    </row>
    <row r="320" spans="1:17" ht="14.45" customHeight="1" x14ac:dyDescent="0.2">
      <c r="A320" s="1484" t="s">
        <v>383</v>
      </c>
      <c r="B320" s="1506">
        <v>1724</v>
      </c>
      <c r="C320" s="1506">
        <v>1609</v>
      </c>
      <c r="D320" s="1506">
        <v>2359.7000000000003</v>
      </c>
      <c r="E320" s="1608">
        <v>1.4665630826600375</v>
      </c>
      <c r="F320" s="1003"/>
      <c r="G320" s="1206"/>
      <c r="H320" s="1004"/>
      <c r="I320" s="1501"/>
      <c r="J320" s="995"/>
      <c r="K320" s="949"/>
      <c r="L320" s="2238">
        <v>1186</v>
      </c>
      <c r="M320" s="1506">
        <v>1065</v>
      </c>
      <c r="N320" s="1506">
        <v>1472.4</v>
      </c>
      <c r="O320" s="2216">
        <v>1.3825352112676057</v>
      </c>
      <c r="P320" s="1604"/>
      <c r="Q320" s="1605"/>
    </row>
    <row r="321" spans="1:17" ht="14.45" customHeight="1" x14ac:dyDescent="0.2">
      <c r="A321" s="1481" t="s">
        <v>384</v>
      </c>
      <c r="B321" s="957">
        <v>770</v>
      </c>
      <c r="C321" s="957">
        <v>755</v>
      </c>
      <c r="D321" s="957">
        <v>1132.5</v>
      </c>
      <c r="E321" s="248">
        <v>1.5</v>
      </c>
      <c r="F321" s="1342" t="s">
        <v>987</v>
      </c>
      <c r="G321" s="1201">
        <v>10041458</v>
      </c>
      <c r="H321" s="968">
        <v>12054596.552708669</v>
      </c>
      <c r="I321" s="1492"/>
      <c r="J321" s="431"/>
      <c r="K321" s="967"/>
      <c r="L321" s="2237">
        <v>390</v>
      </c>
      <c r="M321" s="957">
        <v>345</v>
      </c>
      <c r="N321" s="957">
        <v>448.5</v>
      </c>
      <c r="O321" s="1524">
        <v>1.3</v>
      </c>
      <c r="P321" s="1235">
        <v>6615000</v>
      </c>
      <c r="Q321" s="1199">
        <v>12054596.552708669</v>
      </c>
    </row>
    <row r="322" spans="1:17" ht="14.45" customHeight="1" x14ac:dyDescent="0.2">
      <c r="A322" s="1481" t="s">
        <v>385</v>
      </c>
      <c r="B322" s="957">
        <v>92</v>
      </c>
      <c r="C322" s="957">
        <v>92</v>
      </c>
      <c r="D322" s="957">
        <v>128.79999999999998</v>
      </c>
      <c r="E322" s="248">
        <v>1.4</v>
      </c>
      <c r="F322" s="1342" t="s">
        <v>987</v>
      </c>
      <c r="G322" s="1201">
        <v>10041458</v>
      </c>
      <c r="H322" s="968">
        <v>12054596.552708669</v>
      </c>
      <c r="I322" s="1492"/>
      <c r="J322" s="431"/>
      <c r="K322" s="967"/>
      <c r="L322" s="2237">
        <v>80</v>
      </c>
      <c r="M322" s="957">
        <v>50</v>
      </c>
      <c r="N322" s="957">
        <v>55.000000000000007</v>
      </c>
      <c r="O322" s="1524">
        <v>1.1000000000000001</v>
      </c>
      <c r="P322" s="1235">
        <v>6615000</v>
      </c>
      <c r="Q322" s="1199">
        <v>12054596.552708669</v>
      </c>
    </row>
    <row r="323" spans="1:17" ht="14.45" customHeight="1" x14ac:dyDescent="0.2">
      <c r="A323" s="1481" t="s">
        <v>386</v>
      </c>
      <c r="B323" s="957">
        <v>30</v>
      </c>
      <c r="C323" s="957">
        <v>30</v>
      </c>
      <c r="D323" s="957">
        <v>30</v>
      </c>
      <c r="E323" s="248">
        <v>1</v>
      </c>
      <c r="F323" s="1342" t="s">
        <v>987</v>
      </c>
      <c r="G323" s="1201">
        <v>10041458</v>
      </c>
      <c r="H323" s="968">
        <v>12054596.552708669</v>
      </c>
      <c r="I323" s="1492"/>
      <c r="J323" s="431"/>
      <c r="K323" s="967"/>
      <c r="L323" s="2237">
        <v>32</v>
      </c>
      <c r="M323" s="957">
        <v>32</v>
      </c>
      <c r="N323" s="957">
        <v>28.8</v>
      </c>
      <c r="O323" s="1524">
        <v>0.9</v>
      </c>
      <c r="P323" s="1235">
        <v>6615000</v>
      </c>
      <c r="Q323" s="1199">
        <v>12054596.552708669</v>
      </c>
    </row>
    <row r="324" spans="1:17" ht="14.45" customHeight="1" x14ac:dyDescent="0.2">
      <c r="A324" s="1481" t="s">
        <v>387</v>
      </c>
      <c r="B324" s="957">
        <v>70</v>
      </c>
      <c r="C324" s="957">
        <v>70</v>
      </c>
      <c r="D324" s="957">
        <v>126</v>
      </c>
      <c r="E324" s="248">
        <v>1.8</v>
      </c>
      <c r="F324" s="1342" t="s">
        <v>987</v>
      </c>
      <c r="G324" s="1201">
        <v>10041458</v>
      </c>
      <c r="H324" s="968">
        <v>12054596.552708669</v>
      </c>
      <c r="I324" s="1492"/>
      <c r="J324" s="431"/>
      <c r="K324" s="967"/>
      <c r="L324" s="2237">
        <v>55</v>
      </c>
      <c r="M324" s="957">
        <v>50</v>
      </c>
      <c r="N324" s="957">
        <v>90</v>
      </c>
      <c r="O324" s="1524">
        <v>1.8</v>
      </c>
      <c r="P324" s="1235">
        <v>6615000</v>
      </c>
      <c r="Q324" s="1199">
        <v>12054596.552708669</v>
      </c>
    </row>
    <row r="325" spans="1:17" ht="14.45" customHeight="1" x14ac:dyDescent="0.2">
      <c r="A325" s="1481" t="s">
        <v>388</v>
      </c>
      <c r="B325" s="957">
        <v>20</v>
      </c>
      <c r="C325" s="957">
        <v>20</v>
      </c>
      <c r="D325" s="957">
        <v>30</v>
      </c>
      <c r="E325" s="248">
        <v>1.5</v>
      </c>
      <c r="F325" s="1342" t="s">
        <v>987</v>
      </c>
      <c r="G325" s="1201">
        <v>10041458</v>
      </c>
      <c r="H325" s="968">
        <v>12054596.552708669</v>
      </c>
      <c r="I325" s="1492"/>
      <c r="J325" s="431"/>
      <c r="K325" s="967"/>
      <c r="L325" s="2237">
        <v>10</v>
      </c>
      <c r="M325" s="957">
        <v>9</v>
      </c>
      <c r="N325" s="957">
        <v>11.700000000000001</v>
      </c>
      <c r="O325" s="1524">
        <v>1.3</v>
      </c>
      <c r="P325" s="1235">
        <v>6615000</v>
      </c>
      <c r="Q325" s="1199">
        <v>12054596.552708669</v>
      </c>
    </row>
    <row r="326" spans="1:17" ht="14.45" customHeight="1" x14ac:dyDescent="0.2">
      <c r="A326" s="1481" t="s">
        <v>389</v>
      </c>
      <c r="B326" s="957">
        <v>70</v>
      </c>
      <c r="C326" s="957">
        <v>70</v>
      </c>
      <c r="D326" s="957">
        <v>126</v>
      </c>
      <c r="E326" s="248">
        <v>1.8</v>
      </c>
      <c r="F326" s="1342" t="s">
        <v>987</v>
      </c>
      <c r="G326" s="1201">
        <v>10041458</v>
      </c>
      <c r="H326" s="968">
        <v>12054596.552708669</v>
      </c>
      <c r="I326" s="1492"/>
      <c r="J326" s="431"/>
      <c r="K326" s="967"/>
      <c r="L326" s="2237">
        <v>37</v>
      </c>
      <c r="M326" s="957">
        <v>37</v>
      </c>
      <c r="N326" s="957">
        <v>74</v>
      </c>
      <c r="O326" s="1524">
        <v>2</v>
      </c>
      <c r="P326" s="1235">
        <v>6615000</v>
      </c>
      <c r="Q326" s="1199">
        <v>12054596.552708669</v>
      </c>
    </row>
    <row r="327" spans="1:17" ht="14.45" customHeight="1" x14ac:dyDescent="0.2">
      <c r="A327" s="1481" t="s">
        <v>390</v>
      </c>
      <c r="B327" s="957">
        <v>10</v>
      </c>
      <c r="C327" s="957">
        <v>10</v>
      </c>
      <c r="D327" s="957">
        <v>12</v>
      </c>
      <c r="E327" s="248">
        <v>1.2</v>
      </c>
      <c r="F327" s="1342" t="s">
        <v>987</v>
      </c>
      <c r="G327" s="1201">
        <v>10041458</v>
      </c>
      <c r="H327" s="968">
        <v>12054596.552708669</v>
      </c>
      <c r="I327" s="1492"/>
      <c r="J327" s="431"/>
      <c r="K327" s="967"/>
      <c r="L327" s="2237">
        <v>9</v>
      </c>
      <c r="M327" s="957">
        <v>9</v>
      </c>
      <c r="N327" s="957">
        <v>9</v>
      </c>
      <c r="O327" s="1524">
        <v>1</v>
      </c>
      <c r="P327" s="1235">
        <v>6615000</v>
      </c>
      <c r="Q327" s="1199">
        <v>12054596.552708669</v>
      </c>
    </row>
    <row r="328" spans="1:17" ht="14.45" customHeight="1" x14ac:dyDescent="0.2">
      <c r="A328" s="1481" t="s">
        <v>391</v>
      </c>
      <c r="B328" s="957">
        <v>600</v>
      </c>
      <c r="C328" s="957">
        <v>500</v>
      </c>
      <c r="D328" s="957">
        <v>700</v>
      </c>
      <c r="E328" s="248">
        <v>1.4</v>
      </c>
      <c r="F328" s="1342" t="s">
        <v>987</v>
      </c>
      <c r="G328" s="1201">
        <v>10041458</v>
      </c>
      <c r="H328" s="968">
        <v>12054596.552708669</v>
      </c>
      <c r="I328" s="1492"/>
      <c r="J328" s="431"/>
      <c r="K328" s="967"/>
      <c r="L328" s="2237">
        <v>550</v>
      </c>
      <c r="M328" s="957">
        <v>510</v>
      </c>
      <c r="N328" s="957">
        <v>714</v>
      </c>
      <c r="O328" s="1524">
        <v>1.4</v>
      </c>
      <c r="P328" s="1235">
        <v>6615000</v>
      </c>
      <c r="Q328" s="1199">
        <v>12054596.552708669</v>
      </c>
    </row>
    <row r="329" spans="1:17" ht="14.45" customHeight="1" x14ac:dyDescent="0.2">
      <c r="A329" s="1493" t="s">
        <v>392</v>
      </c>
      <c r="B329" s="957">
        <v>62</v>
      </c>
      <c r="C329" s="957">
        <v>62</v>
      </c>
      <c r="D329" s="957">
        <v>74.399999999999991</v>
      </c>
      <c r="E329" s="248">
        <v>1.2</v>
      </c>
      <c r="F329" s="1342" t="s">
        <v>987</v>
      </c>
      <c r="G329" s="1201">
        <v>10041458</v>
      </c>
      <c r="H329" s="968">
        <v>12054596.552708669</v>
      </c>
      <c r="I329" s="1502"/>
      <c r="J329" s="971"/>
      <c r="K329" s="974"/>
      <c r="L329" s="2239">
        <v>23</v>
      </c>
      <c r="M329" s="2236">
        <v>23</v>
      </c>
      <c r="N329" s="2236">
        <v>41.4</v>
      </c>
      <c r="O329" s="2301">
        <v>1.8</v>
      </c>
      <c r="P329" s="1235">
        <v>6615000</v>
      </c>
      <c r="Q329" s="1199">
        <v>12054596.552708669</v>
      </c>
    </row>
    <row r="330" spans="1:17" ht="14.45" customHeight="1" thickBot="1" x14ac:dyDescent="0.25">
      <c r="A330" s="1006" t="s">
        <v>393</v>
      </c>
      <c r="B330" s="1007">
        <v>7234</v>
      </c>
      <c r="C330" s="1007">
        <v>6905</v>
      </c>
      <c r="D330" s="1007">
        <v>10056.5</v>
      </c>
      <c r="E330" s="1482">
        <v>1.4564083997103547</v>
      </c>
      <c r="F330" s="1480" t="s">
        <v>987</v>
      </c>
      <c r="G330" s="1085">
        <v>10041458</v>
      </c>
      <c r="H330" s="1085">
        <v>12054596.552708667</v>
      </c>
      <c r="I330" s="1008"/>
      <c r="J330" s="1008"/>
      <c r="K330" s="1011"/>
      <c r="L330" s="1007">
        <v>6317</v>
      </c>
      <c r="M330" s="1007">
        <v>6154</v>
      </c>
      <c r="N330" s="1007">
        <v>8723.2999999999993</v>
      </c>
      <c r="O330" s="1083">
        <v>1.417500812479688</v>
      </c>
      <c r="P330" s="1603">
        <v>6615000.0000000019</v>
      </c>
      <c r="Q330" s="1607">
        <v>12054596.552708667</v>
      </c>
    </row>
    <row r="331" spans="1:17" x14ac:dyDescent="0.2">
      <c r="A331" s="7" t="s">
        <v>1934</v>
      </c>
      <c r="B331" s="8"/>
      <c r="C331" s="8"/>
      <c r="D331" s="8"/>
      <c r="E331" s="4"/>
      <c r="F331" s="5"/>
      <c r="G331" s="9"/>
      <c r="H331" s="8"/>
      <c r="I331" s="4"/>
      <c r="J331" s="280"/>
      <c r="K331" s="280"/>
      <c r="L331" s="9"/>
      <c r="M331" s="9"/>
      <c r="N331" s="9"/>
      <c r="O331" s="280"/>
      <c r="P331" s="280"/>
      <c r="Q331" s="9"/>
    </row>
    <row r="332" spans="1:17" x14ac:dyDescent="0.2">
      <c r="A332" s="34"/>
      <c r="B332" s="8"/>
      <c r="C332" s="8"/>
      <c r="D332" s="8"/>
      <c r="E332" s="4"/>
      <c r="F332" s="5"/>
      <c r="G332" s="9"/>
      <c r="H332" s="8"/>
      <c r="I332" s="4"/>
      <c r="J332" s="280"/>
      <c r="K332" s="280"/>
      <c r="L332" s="2372"/>
      <c r="M332" s="9"/>
      <c r="N332" s="9"/>
      <c r="O332" s="280"/>
      <c r="P332" s="280"/>
      <c r="Q332" s="9"/>
    </row>
    <row r="333" spans="1:17" x14ac:dyDescent="0.2">
      <c r="A333" s="2140"/>
      <c r="B333" s="2141"/>
      <c r="C333" s="2141"/>
      <c r="D333" s="2141"/>
      <c r="E333" s="2142"/>
      <c r="F333" s="2143"/>
      <c r="G333" s="2144"/>
      <c r="H333" s="2141"/>
      <c r="I333" s="2142"/>
      <c r="J333" s="2145"/>
      <c r="K333" s="2145"/>
      <c r="L333" s="2144"/>
      <c r="M333" s="2144"/>
      <c r="N333" s="2144"/>
      <c r="O333" s="2145"/>
      <c r="P333" s="2145"/>
      <c r="Q333" s="2144"/>
    </row>
    <row r="334" spans="1:17" x14ac:dyDescent="0.2">
      <c r="A334" s="2140"/>
      <c r="B334" s="2141"/>
      <c r="C334" s="2141"/>
      <c r="D334" s="2141"/>
      <c r="E334" s="2142"/>
      <c r="F334" s="2143"/>
      <c r="G334" s="2144"/>
      <c r="H334" s="2141"/>
      <c r="I334" s="2142"/>
      <c r="J334" s="2145"/>
      <c r="K334" s="2145"/>
      <c r="L334" s="2144"/>
      <c r="M334" s="2144"/>
      <c r="N334" s="2144"/>
      <c r="O334" s="2145"/>
      <c r="P334" s="2145"/>
      <c r="Q334" s="2144"/>
    </row>
    <row r="335" spans="1:17" x14ac:dyDescent="0.2">
      <c r="A335" s="2140"/>
      <c r="B335" s="2141"/>
      <c r="C335" s="2141"/>
      <c r="D335" s="2141"/>
      <c r="E335" s="2142"/>
      <c r="F335" s="2143"/>
      <c r="G335" s="2144"/>
      <c r="H335" s="2141"/>
      <c r="I335" s="2142"/>
      <c r="J335" s="2145"/>
      <c r="K335" s="2145"/>
      <c r="L335" s="2144"/>
      <c r="M335" s="2144"/>
      <c r="N335" s="2144"/>
      <c r="O335" s="2145"/>
      <c r="P335" s="2145"/>
      <c r="Q335" s="2144"/>
    </row>
    <row r="336" spans="1:17" x14ac:dyDescent="0.2">
      <c r="A336" s="2140"/>
      <c r="B336" s="2141"/>
      <c r="C336" s="2141"/>
      <c r="D336" s="2141"/>
      <c r="E336" s="2142"/>
      <c r="F336" s="2143"/>
      <c r="G336" s="2144"/>
      <c r="H336" s="2141"/>
      <c r="I336" s="2142"/>
      <c r="J336" s="2145"/>
      <c r="K336" s="2145"/>
      <c r="L336" s="2144"/>
      <c r="M336" s="2144"/>
      <c r="N336" s="2144"/>
      <c r="O336" s="2145"/>
      <c r="P336" s="2145"/>
      <c r="Q336" s="2144"/>
    </row>
    <row r="337" spans="1:17" ht="15.75" customHeight="1" x14ac:dyDescent="0.25">
      <c r="A337" s="2512" t="s">
        <v>1929</v>
      </c>
      <c r="B337" s="2512"/>
      <c r="C337" s="2512"/>
      <c r="D337" s="2512"/>
      <c r="E337" s="2512"/>
      <c r="F337" s="2512"/>
      <c r="G337" s="2512"/>
      <c r="H337" s="2512"/>
      <c r="I337" s="2512"/>
      <c r="J337" s="2512"/>
      <c r="K337" s="2512"/>
      <c r="L337" s="2512"/>
      <c r="M337" s="2512"/>
      <c r="N337" s="2512"/>
      <c r="O337" s="2512"/>
      <c r="P337" s="2512"/>
      <c r="Q337" s="2512"/>
    </row>
    <row r="338" spans="1:17" x14ac:dyDescent="0.2">
      <c r="A338" s="3"/>
      <c r="B338" s="242"/>
      <c r="C338" s="242"/>
      <c r="D338" s="242"/>
      <c r="E338" s="280"/>
      <c r="F338" s="2146"/>
      <c r="G338" s="242"/>
      <c r="H338" s="242"/>
      <c r="I338" s="280"/>
      <c r="J338" s="280"/>
      <c r="K338" s="280"/>
      <c r="L338" s="242"/>
      <c r="M338" s="242"/>
      <c r="N338" s="242"/>
      <c r="O338" s="280"/>
      <c r="P338" s="280"/>
      <c r="Q338" s="242"/>
    </row>
    <row r="339" spans="1:17" ht="13.5" thickBot="1" x14ac:dyDescent="0.25">
      <c r="A339" s="3" t="s">
        <v>1686</v>
      </c>
      <c r="B339" s="242"/>
      <c r="C339" s="242"/>
      <c r="D339" s="242"/>
      <c r="E339" s="280"/>
      <c r="F339" s="2146"/>
      <c r="G339" s="242"/>
      <c r="H339" s="242"/>
      <c r="I339" s="280"/>
      <c r="J339" s="280"/>
      <c r="K339" s="280"/>
      <c r="L339" s="242"/>
      <c r="M339" s="242"/>
      <c r="N339" s="242"/>
      <c r="O339" s="280"/>
      <c r="P339" s="280"/>
      <c r="Q339" s="242"/>
    </row>
    <row r="340" spans="1:17" ht="14.45" customHeight="1" thickBot="1" x14ac:dyDescent="0.25">
      <c r="A340" s="2513" t="s">
        <v>327</v>
      </c>
      <c r="B340" s="2516" t="s">
        <v>1935</v>
      </c>
      <c r="C340" s="2517"/>
      <c r="D340" s="2517"/>
      <c r="E340" s="2517"/>
      <c r="F340" s="2517"/>
      <c r="G340" s="2517"/>
      <c r="H340" s="2517"/>
      <c r="I340" s="2517"/>
      <c r="J340" s="2517"/>
      <c r="K340" s="2517"/>
      <c r="L340" s="2518" t="s">
        <v>1930</v>
      </c>
      <c r="M340" s="2519"/>
      <c r="N340" s="2519"/>
      <c r="O340" s="2519"/>
      <c r="P340" s="2520"/>
      <c r="Q340" s="2521"/>
    </row>
    <row r="341" spans="1:17" ht="14.45" customHeight="1" x14ac:dyDescent="0.2">
      <c r="A341" s="2514"/>
      <c r="B341" s="2522" t="s">
        <v>328</v>
      </c>
      <c r="C341" s="2523"/>
      <c r="D341" s="1014"/>
      <c r="E341" s="1014" t="s">
        <v>904</v>
      </c>
      <c r="F341" s="1014" t="s">
        <v>329</v>
      </c>
      <c r="G341" s="1014"/>
      <c r="H341" s="1014"/>
      <c r="I341" s="2526" t="s">
        <v>330</v>
      </c>
      <c r="J341" s="2527"/>
      <c r="K341" s="2528"/>
      <c r="L341" s="2524" t="s">
        <v>328</v>
      </c>
      <c r="M341" s="2525"/>
      <c r="N341" s="1021" t="s">
        <v>331</v>
      </c>
      <c r="O341" s="1022" t="s">
        <v>332</v>
      </c>
      <c r="P341" s="1023"/>
      <c r="Q341" s="1024"/>
    </row>
    <row r="342" spans="1:17" ht="14.45" customHeight="1" x14ac:dyDescent="0.2">
      <c r="A342" s="2514"/>
      <c r="B342" s="1014" t="s">
        <v>835</v>
      </c>
      <c r="C342" s="1014" t="s">
        <v>335</v>
      </c>
      <c r="D342" s="1014" t="s">
        <v>837</v>
      </c>
      <c r="E342" s="1014" t="s">
        <v>842</v>
      </c>
      <c r="F342" s="1014" t="s">
        <v>336</v>
      </c>
      <c r="G342" s="1014" t="s">
        <v>337</v>
      </c>
      <c r="H342" s="1014" t="s">
        <v>338</v>
      </c>
      <c r="I342" s="2529" t="s">
        <v>839</v>
      </c>
      <c r="J342" s="2530"/>
      <c r="K342" s="2531"/>
      <c r="L342" s="1025" t="s">
        <v>835</v>
      </c>
      <c r="M342" s="1021" t="s">
        <v>335</v>
      </c>
      <c r="N342" s="1021" t="s">
        <v>339</v>
      </c>
      <c r="O342" s="1022"/>
      <c r="P342" s="1021" t="s">
        <v>337</v>
      </c>
      <c r="Q342" s="1024" t="s">
        <v>338</v>
      </c>
    </row>
    <row r="343" spans="1:17" ht="14.45" customHeight="1" x14ac:dyDescent="0.2">
      <c r="A343" s="2514"/>
      <c r="B343" s="1014"/>
      <c r="C343" s="1014"/>
      <c r="D343" s="1014"/>
      <c r="E343" s="1014"/>
      <c r="F343" s="1014" t="s">
        <v>341</v>
      </c>
      <c r="G343" s="1014" t="s">
        <v>342</v>
      </c>
      <c r="H343" s="1014" t="s">
        <v>341</v>
      </c>
      <c r="I343" s="1015"/>
      <c r="J343" s="1016"/>
      <c r="K343" s="1017"/>
      <c r="L343" s="1025"/>
      <c r="M343" s="1021"/>
      <c r="N343" s="1021"/>
      <c r="O343" s="1022" t="s">
        <v>344</v>
      </c>
      <c r="P343" s="1021" t="s">
        <v>342</v>
      </c>
      <c r="Q343" s="1024" t="s">
        <v>341</v>
      </c>
    </row>
    <row r="344" spans="1:17" ht="14.45" customHeight="1" x14ac:dyDescent="0.2">
      <c r="A344" s="2515"/>
      <c r="B344" s="1018" t="s">
        <v>345</v>
      </c>
      <c r="C344" s="1018" t="s">
        <v>345</v>
      </c>
      <c r="D344" s="1018" t="s">
        <v>346</v>
      </c>
      <c r="E344" s="1018" t="s">
        <v>757</v>
      </c>
      <c r="F344" s="1018"/>
      <c r="G344" s="1018" t="s">
        <v>347</v>
      </c>
      <c r="H344" s="1018" t="s">
        <v>348</v>
      </c>
      <c r="I344" s="1019" t="s">
        <v>349</v>
      </c>
      <c r="J344" s="1019" t="s">
        <v>350</v>
      </c>
      <c r="K344" s="1020" t="s">
        <v>351</v>
      </c>
      <c r="L344" s="1026" t="s">
        <v>345</v>
      </c>
      <c r="M344" s="1027" t="s">
        <v>345</v>
      </c>
      <c r="N344" s="1027" t="s">
        <v>346</v>
      </c>
      <c r="O344" s="1028"/>
      <c r="P344" s="1027" t="s">
        <v>347</v>
      </c>
      <c r="Q344" s="1029" t="s">
        <v>348</v>
      </c>
    </row>
    <row r="345" spans="1:17" ht="14.45" customHeight="1" x14ac:dyDescent="0.2">
      <c r="A345" s="975" t="s">
        <v>352</v>
      </c>
      <c r="B345" s="976">
        <v>874</v>
      </c>
      <c r="C345" s="976">
        <v>812.5</v>
      </c>
      <c r="D345" s="977">
        <v>635.69999999999993</v>
      </c>
      <c r="E345" s="1608">
        <v>0.78239999999999987</v>
      </c>
      <c r="F345" s="979"/>
      <c r="G345" s="976"/>
      <c r="H345" s="976"/>
      <c r="I345" s="978"/>
      <c r="J345" s="978"/>
      <c r="K345" s="980"/>
      <c r="L345" s="981">
        <v>664</v>
      </c>
      <c r="M345" s="977">
        <v>655</v>
      </c>
      <c r="N345" s="977">
        <v>524.5</v>
      </c>
      <c r="O345" s="1608">
        <v>0.80076335877862592</v>
      </c>
      <c r="P345" s="1611"/>
      <c r="Q345" s="1227"/>
    </row>
    <row r="346" spans="1:17" ht="14.45" customHeight="1" x14ac:dyDescent="0.2">
      <c r="A346" s="1481" t="s">
        <v>353</v>
      </c>
      <c r="B346" s="957">
        <v>245</v>
      </c>
      <c r="C346" s="957">
        <v>245</v>
      </c>
      <c r="D346" s="957">
        <v>196</v>
      </c>
      <c r="E346" s="1524">
        <v>0.8</v>
      </c>
      <c r="F346" s="1342" t="s">
        <v>987</v>
      </c>
      <c r="G346" s="1201">
        <v>8900000</v>
      </c>
      <c r="H346" s="1199">
        <v>3408823.8108000001</v>
      </c>
      <c r="I346" s="431"/>
      <c r="J346" s="431"/>
      <c r="K346" s="963"/>
      <c r="L346" s="2237">
        <v>230</v>
      </c>
      <c r="M346" s="957">
        <v>230</v>
      </c>
      <c r="N346" s="957">
        <v>184</v>
      </c>
      <c r="O346" s="1524">
        <v>0.8</v>
      </c>
      <c r="P346" s="1235">
        <v>5280000</v>
      </c>
      <c r="Q346" s="1199">
        <v>3408823.8108000001</v>
      </c>
    </row>
    <row r="347" spans="1:17" ht="14.45" customHeight="1" x14ac:dyDescent="0.2">
      <c r="A347" s="1481" t="s">
        <v>354</v>
      </c>
      <c r="B347" s="957">
        <v>39</v>
      </c>
      <c r="C347" s="957">
        <v>39</v>
      </c>
      <c r="D347" s="957">
        <v>25.35</v>
      </c>
      <c r="E347" s="1524">
        <v>0.65</v>
      </c>
      <c r="F347" s="1342" t="s">
        <v>987</v>
      </c>
      <c r="G347" s="1201">
        <v>8900000</v>
      </c>
      <c r="H347" s="1199">
        <v>3408823.8108000001</v>
      </c>
      <c r="I347" s="431"/>
      <c r="J347" s="431"/>
      <c r="K347" s="963"/>
      <c r="L347" s="2237">
        <v>37</v>
      </c>
      <c r="M347" s="957">
        <v>37</v>
      </c>
      <c r="N347" s="957">
        <v>24.05</v>
      </c>
      <c r="O347" s="1524">
        <v>0.65</v>
      </c>
      <c r="P347" s="1235">
        <v>5280000</v>
      </c>
      <c r="Q347" s="1199">
        <v>3408823.8108000001</v>
      </c>
    </row>
    <row r="348" spans="1:17" ht="14.45" customHeight="1" x14ac:dyDescent="0.2">
      <c r="A348" s="1481" t="s">
        <v>355</v>
      </c>
      <c r="B348" s="957">
        <v>14</v>
      </c>
      <c r="C348" s="957">
        <v>9</v>
      </c>
      <c r="D348" s="957">
        <v>9</v>
      </c>
      <c r="E348" s="1524">
        <v>1</v>
      </c>
      <c r="F348" s="1342" t="s">
        <v>987</v>
      </c>
      <c r="G348" s="1201">
        <v>8900000</v>
      </c>
      <c r="H348" s="1199">
        <v>3408823.8108000001</v>
      </c>
      <c r="I348" s="431"/>
      <c r="J348" s="431"/>
      <c r="K348" s="963"/>
      <c r="L348" s="2237">
        <v>16</v>
      </c>
      <c r="M348" s="957">
        <v>16</v>
      </c>
      <c r="N348" s="957">
        <v>16</v>
      </c>
      <c r="O348" s="1524">
        <v>1</v>
      </c>
      <c r="P348" s="1235">
        <v>5280000</v>
      </c>
      <c r="Q348" s="1199">
        <v>3408823.8108000001</v>
      </c>
    </row>
    <row r="349" spans="1:17" ht="14.45" customHeight="1" x14ac:dyDescent="0.2">
      <c r="A349" s="1481" t="s">
        <v>356</v>
      </c>
      <c r="B349" s="957">
        <v>50</v>
      </c>
      <c r="C349" s="957">
        <v>50</v>
      </c>
      <c r="D349" s="957">
        <v>45</v>
      </c>
      <c r="E349" s="1524">
        <v>0.9</v>
      </c>
      <c r="F349" s="1342" t="s">
        <v>987</v>
      </c>
      <c r="G349" s="1201">
        <v>8900000</v>
      </c>
      <c r="H349" s="1199">
        <v>3408823.8108000001</v>
      </c>
      <c r="I349" s="431"/>
      <c r="J349" s="431"/>
      <c r="K349" s="963"/>
      <c r="L349" s="2237">
        <v>70</v>
      </c>
      <c r="M349" s="957">
        <v>70</v>
      </c>
      <c r="N349" s="957">
        <v>63</v>
      </c>
      <c r="O349" s="1524">
        <v>0.9</v>
      </c>
      <c r="P349" s="1235">
        <v>5280000</v>
      </c>
      <c r="Q349" s="1199">
        <v>3408823.8108000001</v>
      </c>
    </row>
    <row r="350" spans="1:17" ht="14.45" customHeight="1" x14ac:dyDescent="0.2">
      <c r="A350" s="1481" t="s">
        <v>357</v>
      </c>
      <c r="B350" s="957">
        <v>50</v>
      </c>
      <c r="C350" s="957">
        <v>50</v>
      </c>
      <c r="D350" s="957">
        <v>35</v>
      </c>
      <c r="E350" s="1524">
        <v>0.7</v>
      </c>
      <c r="F350" s="1342" t="s">
        <v>987</v>
      </c>
      <c r="G350" s="1201">
        <v>8900000</v>
      </c>
      <c r="H350" s="1199">
        <v>3408823.8108000001</v>
      </c>
      <c r="I350" s="431"/>
      <c r="J350" s="431"/>
      <c r="K350" s="963"/>
      <c r="L350" s="2237">
        <v>35</v>
      </c>
      <c r="M350" s="957">
        <v>35</v>
      </c>
      <c r="N350" s="957">
        <v>29.75</v>
      </c>
      <c r="O350" s="1524">
        <v>0.85</v>
      </c>
      <c r="P350" s="1235">
        <v>5280000</v>
      </c>
      <c r="Q350" s="1199">
        <v>3408823.8108000001</v>
      </c>
    </row>
    <row r="351" spans="1:17" ht="14.45" customHeight="1" x14ac:dyDescent="0.2">
      <c r="A351" s="1481" t="s">
        <v>358</v>
      </c>
      <c r="B351" s="957">
        <v>250</v>
      </c>
      <c r="C351" s="957">
        <v>200</v>
      </c>
      <c r="D351" s="957">
        <v>160</v>
      </c>
      <c r="E351" s="1524">
        <v>0.8</v>
      </c>
      <c r="F351" s="1342" t="s">
        <v>987</v>
      </c>
      <c r="G351" s="1201">
        <v>8900000</v>
      </c>
      <c r="H351" s="1199">
        <v>3408823.8108000001</v>
      </c>
      <c r="I351" s="431"/>
      <c r="J351" s="431"/>
      <c r="K351" s="963"/>
      <c r="L351" s="2237">
        <v>100</v>
      </c>
      <c r="M351" s="957">
        <v>100</v>
      </c>
      <c r="N351" s="957">
        <v>80</v>
      </c>
      <c r="O351" s="1524">
        <v>0.8</v>
      </c>
      <c r="P351" s="1235">
        <v>5280000</v>
      </c>
      <c r="Q351" s="1199">
        <v>3408823.8108000001</v>
      </c>
    </row>
    <row r="352" spans="1:17" ht="14.45" customHeight="1" x14ac:dyDescent="0.2">
      <c r="A352" s="1481" t="s">
        <v>359</v>
      </c>
      <c r="B352" s="957">
        <v>48</v>
      </c>
      <c r="C352" s="957">
        <v>48</v>
      </c>
      <c r="D352" s="957">
        <v>28.799999999999997</v>
      </c>
      <c r="E352" s="1524">
        <v>0.6</v>
      </c>
      <c r="F352" s="1342" t="s">
        <v>987</v>
      </c>
      <c r="G352" s="1201">
        <v>8900000</v>
      </c>
      <c r="H352" s="1199">
        <v>3408823.8108000001</v>
      </c>
      <c r="I352" s="431"/>
      <c r="J352" s="431"/>
      <c r="K352" s="963"/>
      <c r="L352" s="2237">
        <v>33</v>
      </c>
      <c r="M352" s="957">
        <v>33</v>
      </c>
      <c r="N352" s="957">
        <v>23.099999999999998</v>
      </c>
      <c r="O352" s="1524">
        <v>0.7</v>
      </c>
      <c r="P352" s="1235">
        <v>5280000</v>
      </c>
      <c r="Q352" s="1199">
        <v>3408823.8108000001</v>
      </c>
    </row>
    <row r="353" spans="1:17" ht="14.45" customHeight="1" x14ac:dyDescent="0.2">
      <c r="A353" s="1481" t="s">
        <v>360</v>
      </c>
      <c r="B353" s="957">
        <v>12</v>
      </c>
      <c r="C353" s="957">
        <v>12</v>
      </c>
      <c r="D353" s="957">
        <v>9.6000000000000014</v>
      </c>
      <c r="E353" s="1524">
        <v>0.8</v>
      </c>
      <c r="F353" s="1342"/>
      <c r="G353" s="1201">
        <v>8900000</v>
      </c>
      <c r="H353" s="1199">
        <v>3408823.8108000001</v>
      </c>
      <c r="I353" s="431"/>
      <c r="J353" s="431"/>
      <c r="K353" s="963"/>
      <c r="L353" s="2237">
        <v>8</v>
      </c>
      <c r="M353" s="957">
        <v>8</v>
      </c>
      <c r="N353" s="957">
        <v>6.4</v>
      </c>
      <c r="O353" s="1524">
        <v>0.8</v>
      </c>
      <c r="P353" s="1235">
        <v>5280000</v>
      </c>
      <c r="Q353" s="1199">
        <v>3408823.8108000001</v>
      </c>
    </row>
    <row r="354" spans="1:17" ht="14.45" customHeight="1" x14ac:dyDescent="0.2">
      <c r="A354" s="1481" t="s">
        <v>361</v>
      </c>
      <c r="B354" s="957">
        <v>20</v>
      </c>
      <c r="C354" s="957">
        <v>17</v>
      </c>
      <c r="D354" s="957">
        <v>13.600000000000001</v>
      </c>
      <c r="E354" s="1524">
        <v>0.8</v>
      </c>
      <c r="F354" s="1342" t="s">
        <v>987</v>
      </c>
      <c r="G354" s="1201">
        <v>8900000</v>
      </c>
      <c r="H354" s="1199">
        <v>3408823.8108000001</v>
      </c>
      <c r="I354" s="431"/>
      <c r="J354" s="431"/>
      <c r="K354" s="963"/>
      <c r="L354" s="2237">
        <v>18</v>
      </c>
      <c r="M354" s="957">
        <v>10</v>
      </c>
      <c r="N354" s="957">
        <v>6</v>
      </c>
      <c r="O354" s="1524">
        <v>0.6</v>
      </c>
      <c r="P354" s="1235">
        <v>5280000</v>
      </c>
      <c r="Q354" s="1199">
        <v>3408823.8108000001</v>
      </c>
    </row>
    <row r="355" spans="1:17" ht="14.45" customHeight="1" x14ac:dyDescent="0.2">
      <c r="A355" s="1481" t="s">
        <v>362</v>
      </c>
      <c r="B355" s="957">
        <v>8</v>
      </c>
      <c r="C355" s="957">
        <v>6.5</v>
      </c>
      <c r="D355" s="957">
        <v>4.55</v>
      </c>
      <c r="E355" s="1524">
        <v>0.7</v>
      </c>
      <c r="F355" s="1342"/>
      <c r="G355" s="1201">
        <v>8900000</v>
      </c>
      <c r="H355" s="1199">
        <v>3408823.8108000001</v>
      </c>
      <c r="I355" s="431"/>
      <c r="J355" s="431"/>
      <c r="K355" s="963"/>
      <c r="L355" s="2237">
        <v>7</v>
      </c>
      <c r="M355" s="957">
        <v>6</v>
      </c>
      <c r="N355" s="957">
        <v>4.1999999999999993</v>
      </c>
      <c r="O355" s="1524">
        <v>0.7</v>
      </c>
      <c r="P355" s="1235">
        <v>5280000</v>
      </c>
      <c r="Q355" s="1199">
        <v>3408823.8108000001</v>
      </c>
    </row>
    <row r="356" spans="1:17" ht="14.45" customHeight="1" x14ac:dyDescent="0.2">
      <c r="A356" s="1481" t="s">
        <v>363</v>
      </c>
      <c r="B356" s="957">
        <v>0</v>
      </c>
      <c r="C356" s="957">
        <v>0</v>
      </c>
      <c r="D356" s="957">
        <v>0</v>
      </c>
      <c r="E356" s="1524">
        <v>0</v>
      </c>
      <c r="F356" s="1342"/>
      <c r="G356" s="1201"/>
      <c r="H356" s="1199"/>
      <c r="I356" s="431"/>
      <c r="J356" s="431"/>
      <c r="K356" s="963"/>
      <c r="L356" s="2237">
        <v>0</v>
      </c>
      <c r="M356" s="957">
        <v>0</v>
      </c>
      <c r="N356" s="957">
        <v>0</v>
      </c>
      <c r="O356" s="1524">
        <v>0</v>
      </c>
      <c r="P356" s="1235"/>
      <c r="Q356" s="1199"/>
    </row>
    <row r="357" spans="1:17" ht="14.45" customHeight="1" x14ac:dyDescent="0.2">
      <c r="A357" s="1481" t="s">
        <v>364</v>
      </c>
      <c r="B357" s="957">
        <v>130</v>
      </c>
      <c r="C357" s="957">
        <v>128</v>
      </c>
      <c r="D357" s="957">
        <v>102.4</v>
      </c>
      <c r="E357" s="1524">
        <v>0.8</v>
      </c>
      <c r="F357" s="1342" t="s">
        <v>987</v>
      </c>
      <c r="G357" s="1201">
        <v>8900000</v>
      </c>
      <c r="H357" s="1199">
        <v>3408823.8108000001</v>
      </c>
      <c r="I357" s="431"/>
      <c r="J357" s="431"/>
      <c r="K357" s="963"/>
      <c r="L357" s="2237">
        <v>100</v>
      </c>
      <c r="M357" s="957">
        <v>100</v>
      </c>
      <c r="N357" s="957">
        <v>80</v>
      </c>
      <c r="O357" s="1524">
        <v>0.8</v>
      </c>
      <c r="P357" s="1235">
        <v>5280000</v>
      </c>
      <c r="Q357" s="1199">
        <v>3408823.8108000001</v>
      </c>
    </row>
    <row r="358" spans="1:17" ht="14.45" customHeight="1" x14ac:dyDescent="0.2">
      <c r="A358" s="1481" t="s">
        <v>365</v>
      </c>
      <c r="B358" s="957">
        <v>8</v>
      </c>
      <c r="C358" s="957">
        <v>8</v>
      </c>
      <c r="D358" s="957">
        <v>6.4</v>
      </c>
      <c r="E358" s="1524">
        <v>0.8</v>
      </c>
      <c r="F358" s="1342" t="s">
        <v>987</v>
      </c>
      <c r="G358" s="1201">
        <v>8900000</v>
      </c>
      <c r="H358" s="1199">
        <v>3408823.8108000001</v>
      </c>
      <c r="I358" s="431"/>
      <c r="J358" s="431"/>
      <c r="K358" s="963"/>
      <c r="L358" s="2237">
        <v>10</v>
      </c>
      <c r="M358" s="957">
        <v>10</v>
      </c>
      <c r="N358" s="957">
        <v>8</v>
      </c>
      <c r="O358" s="1524">
        <v>0.8</v>
      </c>
      <c r="P358" s="1235">
        <v>5280000</v>
      </c>
      <c r="Q358" s="1199">
        <v>3408823.8108000001</v>
      </c>
    </row>
    <row r="359" spans="1:17" ht="14.45" customHeight="1" x14ac:dyDescent="0.2">
      <c r="A359" s="1481" t="s">
        <v>366</v>
      </c>
      <c r="B359" s="957"/>
      <c r="C359" s="957"/>
      <c r="D359" s="957">
        <v>0</v>
      </c>
      <c r="E359" s="2235"/>
      <c r="F359" s="958"/>
      <c r="G359" s="1201"/>
      <c r="H359" s="1199"/>
      <c r="I359" s="431"/>
      <c r="J359" s="431"/>
      <c r="K359" s="963"/>
      <c r="L359" s="2237"/>
      <c r="M359" s="957"/>
      <c r="N359" s="957">
        <v>0</v>
      </c>
      <c r="O359" s="2240"/>
      <c r="P359" s="1260"/>
      <c r="Q359" s="1199"/>
    </row>
    <row r="360" spans="1:17" ht="14.45" customHeight="1" x14ac:dyDescent="0.2">
      <c r="A360" s="1481" t="s">
        <v>367</v>
      </c>
      <c r="B360" s="957">
        <v>0</v>
      </c>
      <c r="C360" s="957">
        <v>0</v>
      </c>
      <c r="D360" s="957">
        <v>0</v>
      </c>
      <c r="E360" s="2235">
        <v>0</v>
      </c>
      <c r="F360" s="964"/>
      <c r="G360" s="1201"/>
      <c r="H360" s="1199"/>
      <c r="I360" s="431"/>
      <c r="J360" s="431"/>
      <c r="K360" s="963"/>
      <c r="L360" s="2237">
        <v>0</v>
      </c>
      <c r="M360" s="957">
        <v>0</v>
      </c>
      <c r="N360" s="957">
        <v>0</v>
      </c>
      <c r="O360" s="2240">
        <v>0</v>
      </c>
      <c r="P360" s="1260"/>
      <c r="Q360" s="1199"/>
    </row>
    <row r="361" spans="1:17" ht="14.45" customHeight="1" x14ac:dyDescent="0.2">
      <c r="A361" s="1484" t="s">
        <v>368</v>
      </c>
      <c r="B361" s="1506">
        <v>116</v>
      </c>
      <c r="C361" s="1506">
        <v>116</v>
      </c>
      <c r="D361" s="2302">
        <v>116.8</v>
      </c>
      <c r="E361" s="2216">
        <v>1.0068965517241379</v>
      </c>
      <c r="F361" s="987"/>
      <c r="G361" s="2148"/>
      <c r="H361" s="2153"/>
      <c r="I361" s="986"/>
      <c r="J361" s="986"/>
      <c r="K361" s="992"/>
      <c r="L361" s="2238">
        <v>105</v>
      </c>
      <c r="M361" s="1506">
        <v>105</v>
      </c>
      <c r="N361" s="1506">
        <v>105</v>
      </c>
      <c r="O361" s="2216">
        <v>1</v>
      </c>
      <c r="P361" s="1612"/>
      <c r="Q361" s="1204"/>
    </row>
    <row r="362" spans="1:17" ht="14.45" customHeight="1" x14ac:dyDescent="0.2">
      <c r="A362" s="1481" t="s">
        <v>369</v>
      </c>
      <c r="B362" s="957">
        <v>0</v>
      </c>
      <c r="C362" s="957">
        <v>0</v>
      </c>
      <c r="D362" s="957">
        <v>0</v>
      </c>
      <c r="E362" s="1524">
        <v>0</v>
      </c>
      <c r="F362" s="1342"/>
      <c r="G362" s="1201"/>
      <c r="H362" s="1199"/>
      <c r="I362" s="431"/>
      <c r="J362" s="431"/>
      <c r="K362" s="963"/>
      <c r="L362" s="2237">
        <v>0</v>
      </c>
      <c r="M362" s="957">
        <v>0</v>
      </c>
      <c r="N362" s="957">
        <v>0</v>
      </c>
      <c r="O362" s="1524">
        <v>0</v>
      </c>
      <c r="P362" s="1235"/>
      <c r="Q362" s="1199"/>
    </row>
    <row r="363" spans="1:17" ht="14.45" customHeight="1" x14ac:dyDescent="0.2">
      <c r="A363" s="1481" t="s">
        <v>370</v>
      </c>
      <c r="B363" s="957">
        <v>80</v>
      </c>
      <c r="C363" s="957">
        <v>80</v>
      </c>
      <c r="D363" s="957">
        <v>80</v>
      </c>
      <c r="E363" s="1524">
        <v>1</v>
      </c>
      <c r="F363" s="1342" t="s">
        <v>987</v>
      </c>
      <c r="G363" s="1201">
        <v>8900000</v>
      </c>
      <c r="H363" s="1199">
        <v>3408823.8108000001</v>
      </c>
      <c r="I363" s="431"/>
      <c r="J363" s="431"/>
      <c r="K363" s="963"/>
      <c r="L363" s="2237">
        <v>80</v>
      </c>
      <c r="M363" s="957">
        <v>80</v>
      </c>
      <c r="N363" s="957">
        <v>80</v>
      </c>
      <c r="O363" s="1524">
        <v>1</v>
      </c>
      <c r="P363" s="1235">
        <v>5280000</v>
      </c>
      <c r="Q363" s="1199">
        <v>3408823.8108000001</v>
      </c>
    </row>
    <row r="364" spans="1:17" ht="14.45" customHeight="1" x14ac:dyDescent="0.2">
      <c r="A364" s="1481" t="s">
        <v>371</v>
      </c>
      <c r="B364" s="957">
        <v>17</v>
      </c>
      <c r="C364" s="957">
        <v>17</v>
      </c>
      <c r="D364" s="957">
        <v>17</v>
      </c>
      <c r="E364" s="1524">
        <v>1</v>
      </c>
      <c r="F364" s="1342" t="s">
        <v>987</v>
      </c>
      <c r="G364" s="1201">
        <v>8900000</v>
      </c>
      <c r="H364" s="1199">
        <v>3408823.8108000001</v>
      </c>
      <c r="I364" s="431"/>
      <c r="J364" s="431"/>
      <c r="K364" s="963"/>
      <c r="L364" s="2237">
        <v>11</v>
      </c>
      <c r="M364" s="957">
        <v>11</v>
      </c>
      <c r="N364" s="957">
        <v>11</v>
      </c>
      <c r="O364" s="1524">
        <v>1</v>
      </c>
      <c r="P364" s="1235">
        <v>5280000</v>
      </c>
      <c r="Q364" s="1199">
        <v>3408823.8108000001</v>
      </c>
    </row>
    <row r="365" spans="1:17" ht="14.45" customHeight="1" x14ac:dyDescent="0.2">
      <c r="A365" s="1481" t="s">
        <v>372</v>
      </c>
      <c r="B365" s="957">
        <v>8</v>
      </c>
      <c r="C365" s="957">
        <v>8</v>
      </c>
      <c r="D365" s="957">
        <v>8.8000000000000007</v>
      </c>
      <c r="E365" s="1524">
        <v>1.1000000000000001</v>
      </c>
      <c r="F365" s="1342" t="s">
        <v>987</v>
      </c>
      <c r="G365" s="1201">
        <v>8900000</v>
      </c>
      <c r="H365" s="1199">
        <v>3408823.8108000001</v>
      </c>
      <c r="I365" s="431"/>
      <c r="J365" s="431"/>
      <c r="K365" s="963"/>
      <c r="L365" s="2237">
        <v>6</v>
      </c>
      <c r="M365" s="957">
        <v>6</v>
      </c>
      <c r="N365" s="957">
        <v>6</v>
      </c>
      <c r="O365" s="1524">
        <v>1</v>
      </c>
      <c r="P365" s="1235">
        <v>5280000</v>
      </c>
      <c r="Q365" s="1199">
        <v>3408823.8108000001</v>
      </c>
    </row>
    <row r="366" spans="1:17" ht="14.45" customHeight="1" x14ac:dyDescent="0.2">
      <c r="A366" s="1481" t="s">
        <v>373</v>
      </c>
      <c r="B366" s="957">
        <v>11</v>
      </c>
      <c r="C366" s="957">
        <v>11</v>
      </c>
      <c r="D366" s="957">
        <v>11</v>
      </c>
      <c r="E366" s="1524">
        <v>1</v>
      </c>
      <c r="F366" s="1342" t="s">
        <v>987</v>
      </c>
      <c r="G366" s="1201">
        <v>8900000</v>
      </c>
      <c r="H366" s="1199">
        <v>3408823.8108000001</v>
      </c>
      <c r="I366" s="431"/>
      <c r="J366" s="431"/>
      <c r="K366" s="963"/>
      <c r="L366" s="2237">
        <v>8</v>
      </c>
      <c r="M366" s="957">
        <v>8</v>
      </c>
      <c r="N366" s="957">
        <v>8</v>
      </c>
      <c r="O366" s="1524">
        <v>1</v>
      </c>
      <c r="P366" s="1235">
        <v>5280000</v>
      </c>
      <c r="Q366" s="1199">
        <v>3408823.8108000001</v>
      </c>
    </row>
    <row r="367" spans="1:17" ht="14.45" customHeight="1" x14ac:dyDescent="0.2">
      <c r="A367" s="1484" t="s">
        <v>374</v>
      </c>
      <c r="B367" s="1506">
        <v>136.69999999999999</v>
      </c>
      <c r="C367" s="1506">
        <v>118.7</v>
      </c>
      <c r="D367" s="1506">
        <v>116.7</v>
      </c>
      <c r="E367" s="2216">
        <v>0.98315080033698399</v>
      </c>
      <c r="F367" s="987"/>
      <c r="G367" s="2151"/>
      <c r="H367" s="2154"/>
      <c r="I367" s="995"/>
      <c r="J367" s="995"/>
      <c r="K367" s="1000"/>
      <c r="L367" s="2238">
        <v>162</v>
      </c>
      <c r="M367" s="1506">
        <v>150</v>
      </c>
      <c r="N367" s="1506">
        <v>148</v>
      </c>
      <c r="O367" s="2216">
        <v>0.98666666666666669</v>
      </c>
      <c r="P367" s="1612"/>
      <c r="Q367" s="1204"/>
    </row>
    <row r="368" spans="1:17" ht="14.45" customHeight="1" x14ac:dyDescent="0.2">
      <c r="A368" s="1481" t="s">
        <v>375</v>
      </c>
      <c r="B368" s="957">
        <v>17</v>
      </c>
      <c r="C368" s="957">
        <v>16</v>
      </c>
      <c r="D368" s="957">
        <v>16</v>
      </c>
      <c r="E368" s="1524">
        <v>1</v>
      </c>
      <c r="F368" s="1342" t="s">
        <v>987</v>
      </c>
      <c r="G368" s="1201">
        <v>8900000</v>
      </c>
      <c r="H368" s="1199">
        <v>3408823.8108000001</v>
      </c>
      <c r="I368" s="431"/>
      <c r="J368" s="431"/>
      <c r="K368" s="963"/>
      <c r="L368" s="2237">
        <v>15</v>
      </c>
      <c r="M368" s="957">
        <v>15</v>
      </c>
      <c r="N368" s="957">
        <v>15</v>
      </c>
      <c r="O368" s="1524">
        <v>1</v>
      </c>
      <c r="P368" s="1235">
        <v>5280000</v>
      </c>
      <c r="Q368" s="1199">
        <v>3408823.8108000001</v>
      </c>
    </row>
    <row r="369" spans="1:17" ht="14.45" customHeight="1" x14ac:dyDescent="0.2">
      <c r="A369" s="1481" t="s">
        <v>376</v>
      </c>
      <c r="B369" s="957">
        <v>8.6999999999999993</v>
      </c>
      <c r="C369" s="957">
        <v>8.6999999999999993</v>
      </c>
      <c r="D369" s="957">
        <v>8.6999999999999993</v>
      </c>
      <c r="E369" s="1524">
        <v>1</v>
      </c>
      <c r="F369" s="1342" t="s">
        <v>987</v>
      </c>
      <c r="G369" s="1201">
        <v>8900000</v>
      </c>
      <c r="H369" s="1199">
        <v>3408823.8108000001</v>
      </c>
      <c r="I369" s="431"/>
      <c r="J369" s="431"/>
      <c r="K369" s="963"/>
      <c r="L369" s="2237">
        <v>12</v>
      </c>
      <c r="M369" s="957">
        <v>12</v>
      </c>
      <c r="N369" s="957">
        <v>12</v>
      </c>
      <c r="O369" s="1524">
        <v>1</v>
      </c>
      <c r="P369" s="1235">
        <v>5280000</v>
      </c>
      <c r="Q369" s="1199">
        <v>3408823.8108000001</v>
      </c>
    </row>
    <row r="370" spans="1:17" ht="14.45" customHeight="1" x14ac:dyDescent="0.2">
      <c r="A370" s="1481" t="s">
        <v>377</v>
      </c>
      <c r="B370" s="957">
        <v>0</v>
      </c>
      <c r="C370" s="957">
        <v>0</v>
      </c>
      <c r="D370" s="957">
        <v>0</v>
      </c>
      <c r="E370" s="1524">
        <v>0</v>
      </c>
      <c r="F370" s="1342"/>
      <c r="G370" s="1201"/>
      <c r="H370" s="1199"/>
      <c r="I370" s="431"/>
      <c r="J370" s="431"/>
      <c r="K370" s="963"/>
      <c r="L370" s="2237">
        <v>0</v>
      </c>
      <c r="M370" s="957">
        <v>0</v>
      </c>
      <c r="N370" s="957">
        <v>0</v>
      </c>
      <c r="O370" s="1524">
        <v>0</v>
      </c>
      <c r="P370" s="1235"/>
      <c r="Q370" s="1199"/>
    </row>
    <row r="371" spans="1:17" ht="14.45" customHeight="1" x14ac:dyDescent="0.2">
      <c r="A371" s="1481" t="s">
        <v>378</v>
      </c>
      <c r="B371" s="957">
        <v>45</v>
      </c>
      <c r="C371" s="957">
        <v>45</v>
      </c>
      <c r="D371" s="957">
        <v>45</v>
      </c>
      <c r="E371" s="1524">
        <v>1</v>
      </c>
      <c r="F371" s="1342" t="s">
        <v>987</v>
      </c>
      <c r="G371" s="1201">
        <v>8900000</v>
      </c>
      <c r="H371" s="1199">
        <v>3408823.8108000001</v>
      </c>
      <c r="I371" s="966"/>
      <c r="J371" s="431"/>
      <c r="K371" s="967"/>
      <c r="L371" s="2237">
        <v>55</v>
      </c>
      <c r="M371" s="957">
        <v>55</v>
      </c>
      <c r="N371" s="957">
        <v>55</v>
      </c>
      <c r="O371" s="1524">
        <v>1</v>
      </c>
      <c r="P371" s="1235">
        <v>5280000</v>
      </c>
      <c r="Q371" s="1199">
        <v>3408823.8108000001</v>
      </c>
    </row>
    <row r="372" spans="1:17" ht="14.45" customHeight="1" x14ac:dyDescent="0.2">
      <c r="A372" s="1481" t="s">
        <v>379</v>
      </c>
      <c r="B372" s="957">
        <v>32</v>
      </c>
      <c r="C372" s="957">
        <v>20</v>
      </c>
      <c r="D372" s="957">
        <v>20</v>
      </c>
      <c r="E372" s="1524">
        <v>1</v>
      </c>
      <c r="F372" s="1342" t="s">
        <v>987</v>
      </c>
      <c r="G372" s="1201">
        <v>8900000</v>
      </c>
      <c r="H372" s="1199">
        <v>3408823.8108000001</v>
      </c>
      <c r="I372" s="966"/>
      <c r="J372" s="431"/>
      <c r="K372" s="967"/>
      <c r="L372" s="2237">
        <v>32</v>
      </c>
      <c r="M372" s="957">
        <v>25</v>
      </c>
      <c r="N372" s="957">
        <v>25</v>
      </c>
      <c r="O372" s="1524">
        <v>1</v>
      </c>
      <c r="P372" s="1235">
        <v>5280000</v>
      </c>
      <c r="Q372" s="1199">
        <v>3408823.8108000001</v>
      </c>
    </row>
    <row r="373" spans="1:17" ht="14.45" customHeight="1" x14ac:dyDescent="0.2">
      <c r="A373" s="1481" t="s">
        <v>380</v>
      </c>
      <c r="B373" s="957">
        <v>10</v>
      </c>
      <c r="C373" s="957">
        <v>10</v>
      </c>
      <c r="D373" s="957">
        <v>8</v>
      </c>
      <c r="E373" s="1524">
        <v>0.8</v>
      </c>
      <c r="F373" s="1342" t="s">
        <v>987</v>
      </c>
      <c r="G373" s="1201">
        <v>8900000</v>
      </c>
      <c r="H373" s="1199">
        <v>3408823.8108000001</v>
      </c>
      <c r="I373" s="966"/>
      <c r="J373" s="431"/>
      <c r="K373" s="967"/>
      <c r="L373" s="2237">
        <v>10</v>
      </c>
      <c r="M373" s="957">
        <v>10</v>
      </c>
      <c r="N373" s="957">
        <v>8</v>
      </c>
      <c r="O373" s="1524">
        <v>0.8</v>
      </c>
      <c r="P373" s="1235">
        <v>5280000</v>
      </c>
      <c r="Q373" s="1199">
        <v>3408823.8108000001</v>
      </c>
    </row>
    <row r="374" spans="1:17" ht="14.45" customHeight="1" x14ac:dyDescent="0.2">
      <c r="A374" s="1481" t="s">
        <v>381</v>
      </c>
      <c r="B374" s="957">
        <v>9</v>
      </c>
      <c r="C374" s="957">
        <v>9</v>
      </c>
      <c r="D374" s="957">
        <v>9</v>
      </c>
      <c r="E374" s="1524">
        <v>1</v>
      </c>
      <c r="F374" s="1342" t="s">
        <v>987</v>
      </c>
      <c r="G374" s="1201">
        <v>8900000</v>
      </c>
      <c r="H374" s="1199">
        <v>3408823.8108000001</v>
      </c>
      <c r="I374" s="431"/>
      <c r="J374" s="431"/>
      <c r="K374" s="967"/>
      <c r="L374" s="2237">
        <v>22</v>
      </c>
      <c r="M374" s="957">
        <v>22</v>
      </c>
      <c r="N374" s="957">
        <v>22</v>
      </c>
      <c r="O374" s="1524">
        <v>1</v>
      </c>
      <c r="P374" s="1235">
        <v>5280000</v>
      </c>
      <c r="Q374" s="1199">
        <v>3408823.8108000001</v>
      </c>
    </row>
    <row r="375" spans="1:17" ht="14.45" customHeight="1" x14ac:dyDescent="0.2">
      <c r="A375" s="1481" t="s">
        <v>382</v>
      </c>
      <c r="B375" s="957">
        <v>15</v>
      </c>
      <c r="C375" s="957">
        <v>10</v>
      </c>
      <c r="D375" s="957">
        <v>10</v>
      </c>
      <c r="E375" s="1524">
        <v>1</v>
      </c>
      <c r="F375" s="1342" t="s">
        <v>987</v>
      </c>
      <c r="G375" s="1201">
        <v>8900000</v>
      </c>
      <c r="H375" s="1199">
        <v>3408823.8108000001</v>
      </c>
      <c r="I375" s="431"/>
      <c r="J375" s="431"/>
      <c r="K375" s="967"/>
      <c r="L375" s="2237">
        <v>16</v>
      </c>
      <c r="M375" s="957">
        <v>11</v>
      </c>
      <c r="N375" s="957">
        <v>11</v>
      </c>
      <c r="O375" s="1524">
        <v>1</v>
      </c>
      <c r="P375" s="1235">
        <v>5280000</v>
      </c>
      <c r="Q375" s="1199">
        <v>3408823.8108000001</v>
      </c>
    </row>
    <row r="376" spans="1:17" ht="14.45" customHeight="1" x14ac:dyDescent="0.2">
      <c r="A376" s="1484" t="s">
        <v>383</v>
      </c>
      <c r="B376" s="1506">
        <v>494</v>
      </c>
      <c r="C376" s="1506">
        <v>474</v>
      </c>
      <c r="D376" s="1506">
        <v>389.8</v>
      </c>
      <c r="E376" s="2216">
        <v>0.82236286919831225</v>
      </c>
      <c r="F376" s="1003"/>
      <c r="G376" s="1206"/>
      <c r="H376" s="1204"/>
      <c r="I376" s="1005"/>
      <c r="J376" s="995"/>
      <c r="K376" s="949"/>
      <c r="L376" s="2238">
        <v>399</v>
      </c>
      <c r="M376" s="1506">
        <v>358</v>
      </c>
      <c r="N376" s="1506">
        <v>299.7</v>
      </c>
      <c r="O376" s="2216">
        <v>0.83715083798882683</v>
      </c>
      <c r="P376" s="1612"/>
      <c r="Q376" s="1204"/>
    </row>
    <row r="377" spans="1:17" ht="14.45" customHeight="1" x14ac:dyDescent="0.2">
      <c r="A377" s="1481" t="s">
        <v>384</v>
      </c>
      <c r="B377" s="957">
        <v>235</v>
      </c>
      <c r="C377" s="957">
        <v>228</v>
      </c>
      <c r="D377" s="957">
        <v>182.4</v>
      </c>
      <c r="E377" s="1524">
        <v>0.8</v>
      </c>
      <c r="F377" s="1342" t="s">
        <v>987</v>
      </c>
      <c r="G377" s="1201">
        <v>8900000</v>
      </c>
      <c r="H377" s="1199">
        <v>3408823.8108000001</v>
      </c>
      <c r="I377" s="966"/>
      <c r="J377" s="431"/>
      <c r="K377" s="967"/>
      <c r="L377" s="2237">
        <v>160</v>
      </c>
      <c r="M377" s="957">
        <v>135</v>
      </c>
      <c r="N377" s="957">
        <v>121.5</v>
      </c>
      <c r="O377" s="1524">
        <v>0.9</v>
      </c>
      <c r="P377" s="1235">
        <v>5280000</v>
      </c>
      <c r="Q377" s="1199">
        <v>3408823.8108000001</v>
      </c>
    </row>
    <row r="378" spans="1:17" ht="14.45" customHeight="1" x14ac:dyDescent="0.2">
      <c r="A378" s="1481" t="s">
        <v>385</v>
      </c>
      <c r="B378" s="957">
        <v>30</v>
      </c>
      <c r="C378" s="957">
        <v>20</v>
      </c>
      <c r="D378" s="957">
        <v>20</v>
      </c>
      <c r="E378" s="1524">
        <v>1</v>
      </c>
      <c r="F378" s="1342" t="s">
        <v>987</v>
      </c>
      <c r="G378" s="1201">
        <v>8900000</v>
      </c>
      <c r="H378" s="1199">
        <v>3408823.8108000001</v>
      </c>
      <c r="I378" s="966"/>
      <c r="J378" s="431"/>
      <c r="K378" s="967"/>
      <c r="L378" s="2237">
        <v>30</v>
      </c>
      <c r="M378" s="957">
        <v>20</v>
      </c>
      <c r="N378" s="957">
        <v>20</v>
      </c>
      <c r="O378" s="1524">
        <v>1</v>
      </c>
      <c r="P378" s="1235">
        <v>5280000</v>
      </c>
      <c r="Q378" s="1199">
        <v>3408823.8108000001</v>
      </c>
    </row>
    <row r="379" spans="1:17" ht="14.45" customHeight="1" x14ac:dyDescent="0.2">
      <c r="A379" s="1481" t="s">
        <v>386</v>
      </c>
      <c r="B379" s="957">
        <v>8</v>
      </c>
      <c r="C379" s="957">
        <v>8</v>
      </c>
      <c r="D379" s="957">
        <v>7.2</v>
      </c>
      <c r="E379" s="1524">
        <v>0.9</v>
      </c>
      <c r="F379" s="1342" t="s">
        <v>987</v>
      </c>
      <c r="G379" s="1201">
        <v>8900000</v>
      </c>
      <c r="H379" s="1199">
        <v>3408823.8108000001</v>
      </c>
      <c r="I379" s="966"/>
      <c r="J379" s="431"/>
      <c r="K379" s="967"/>
      <c r="L379" s="2237">
        <v>8</v>
      </c>
      <c r="M379" s="957">
        <v>8</v>
      </c>
      <c r="N379" s="957">
        <v>7.2</v>
      </c>
      <c r="O379" s="1524">
        <v>0.9</v>
      </c>
      <c r="P379" s="1235">
        <v>5280000</v>
      </c>
      <c r="Q379" s="1199">
        <v>3408823.8108000001</v>
      </c>
    </row>
    <row r="380" spans="1:17" ht="14.45" customHeight="1" x14ac:dyDescent="0.2">
      <c r="A380" s="1481" t="s">
        <v>387</v>
      </c>
      <c r="B380" s="957">
        <v>62</v>
      </c>
      <c r="C380" s="957">
        <v>60</v>
      </c>
      <c r="D380" s="957">
        <v>60</v>
      </c>
      <c r="E380" s="1524">
        <v>1</v>
      </c>
      <c r="F380" s="1342" t="s">
        <v>987</v>
      </c>
      <c r="G380" s="1201">
        <v>8900000</v>
      </c>
      <c r="H380" s="1199">
        <v>3408823.8108000001</v>
      </c>
      <c r="I380" s="966"/>
      <c r="J380" s="431"/>
      <c r="K380" s="967"/>
      <c r="L380" s="2237">
        <v>25</v>
      </c>
      <c r="M380" s="957">
        <v>20</v>
      </c>
      <c r="N380" s="957">
        <v>20</v>
      </c>
      <c r="O380" s="1524">
        <v>1</v>
      </c>
      <c r="P380" s="1235">
        <v>5280000</v>
      </c>
      <c r="Q380" s="1199">
        <v>3408823.8108000001</v>
      </c>
    </row>
    <row r="381" spans="1:17" ht="14.45" customHeight="1" x14ac:dyDescent="0.2">
      <c r="A381" s="1481" t="s">
        <v>388</v>
      </c>
      <c r="B381" s="957">
        <v>2</v>
      </c>
      <c r="C381" s="957">
        <v>2</v>
      </c>
      <c r="D381" s="957">
        <v>1.4</v>
      </c>
      <c r="E381" s="1524">
        <v>0.7</v>
      </c>
      <c r="F381" s="1342" t="s">
        <v>987</v>
      </c>
      <c r="G381" s="1201">
        <v>8900000</v>
      </c>
      <c r="H381" s="1199">
        <v>3408823.8108000001</v>
      </c>
      <c r="I381" s="966"/>
      <c r="J381" s="431"/>
      <c r="K381" s="967"/>
      <c r="L381" s="2237">
        <v>3</v>
      </c>
      <c r="M381" s="957">
        <v>3</v>
      </c>
      <c r="N381" s="957">
        <v>2.4000000000000004</v>
      </c>
      <c r="O381" s="1524">
        <v>0.8</v>
      </c>
      <c r="P381" s="1235">
        <v>5280000</v>
      </c>
      <c r="Q381" s="1199">
        <v>3408823.8108000001</v>
      </c>
    </row>
    <row r="382" spans="1:17" ht="14.45" customHeight="1" x14ac:dyDescent="0.2">
      <c r="A382" s="1481" t="s">
        <v>389</v>
      </c>
      <c r="B382" s="957">
        <v>70</v>
      </c>
      <c r="C382" s="957">
        <v>70</v>
      </c>
      <c r="D382" s="957">
        <v>56</v>
      </c>
      <c r="E382" s="1524">
        <v>0.8</v>
      </c>
      <c r="F382" s="1342" t="s">
        <v>987</v>
      </c>
      <c r="G382" s="1201">
        <v>8900000</v>
      </c>
      <c r="H382" s="1199">
        <v>3408823.8108000001</v>
      </c>
      <c r="I382" s="966"/>
      <c r="J382" s="431"/>
      <c r="K382" s="967"/>
      <c r="L382" s="2237">
        <v>37</v>
      </c>
      <c r="M382" s="957">
        <v>37</v>
      </c>
      <c r="N382" s="957">
        <v>29.6</v>
      </c>
      <c r="O382" s="1524">
        <v>0.8</v>
      </c>
      <c r="P382" s="1235">
        <v>5280000</v>
      </c>
      <c r="Q382" s="1199">
        <v>3408823.8108000001</v>
      </c>
    </row>
    <row r="383" spans="1:17" ht="14.45" customHeight="1" x14ac:dyDescent="0.2">
      <c r="A383" s="1481" t="s">
        <v>390</v>
      </c>
      <c r="B383" s="957">
        <v>11</v>
      </c>
      <c r="C383" s="957">
        <v>11</v>
      </c>
      <c r="D383" s="957">
        <v>8.8000000000000007</v>
      </c>
      <c r="E383" s="1524">
        <v>0.8</v>
      </c>
      <c r="F383" s="1342" t="s">
        <v>987</v>
      </c>
      <c r="G383" s="1201">
        <v>8900000</v>
      </c>
      <c r="H383" s="1199">
        <v>3408823.8108000001</v>
      </c>
      <c r="I383" s="966"/>
      <c r="J383" s="431"/>
      <c r="K383" s="967"/>
      <c r="L383" s="2237">
        <v>10</v>
      </c>
      <c r="M383" s="957">
        <v>10</v>
      </c>
      <c r="N383" s="957">
        <v>10</v>
      </c>
      <c r="O383" s="1524">
        <v>1</v>
      </c>
      <c r="P383" s="1235">
        <v>5280000</v>
      </c>
      <c r="Q383" s="1199">
        <v>3408823.8108000001</v>
      </c>
    </row>
    <row r="384" spans="1:17" ht="14.45" customHeight="1" x14ac:dyDescent="0.2">
      <c r="A384" s="1481" t="s">
        <v>391</v>
      </c>
      <c r="B384" s="957">
        <v>70</v>
      </c>
      <c r="C384" s="957">
        <v>70</v>
      </c>
      <c r="D384" s="957">
        <v>49</v>
      </c>
      <c r="E384" s="1524">
        <v>0.7</v>
      </c>
      <c r="F384" s="1342" t="s">
        <v>987</v>
      </c>
      <c r="G384" s="1201">
        <v>8900000</v>
      </c>
      <c r="H384" s="1199">
        <v>3408823.8108000001</v>
      </c>
      <c r="I384" s="966"/>
      <c r="J384" s="431"/>
      <c r="K384" s="967"/>
      <c r="L384" s="2237">
        <v>120</v>
      </c>
      <c r="M384" s="957">
        <v>120</v>
      </c>
      <c r="N384" s="957">
        <v>84</v>
      </c>
      <c r="O384" s="1524">
        <v>0.7</v>
      </c>
      <c r="P384" s="1235">
        <v>5280000</v>
      </c>
      <c r="Q384" s="1199">
        <v>3408823.8108000001</v>
      </c>
    </row>
    <row r="385" spans="1:17" ht="14.45" customHeight="1" x14ac:dyDescent="0.2">
      <c r="A385" s="1493" t="s">
        <v>392</v>
      </c>
      <c r="B385" s="2236">
        <v>6</v>
      </c>
      <c r="C385" s="2236">
        <v>5</v>
      </c>
      <c r="D385" s="957">
        <v>5</v>
      </c>
      <c r="E385" s="2301">
        <v>1</v>
      </c>
      <c r="F385" s="1342" t="s">
        <v>987</v>
      </c>
      <c r="G385" s="1201">
        <v>8900000</v>
      </c>
      <c r="H385" s="1199">
        <v>3408823.8108000001</v>
      </c>
      <c r="I385" s="973"/>
      <c r="J385" s="971"/>
      <c r="K385" s="974"/>
      <c r="L385" s="2239">
        <v>6</v>
      </c>
      <c r="M385" s="2236">
        <v>5</v>
      </c>
      <c r="N385" s="2236">
        <v>5</v>
      </c>
      <c r="O385" s="2301">
        <v>1</v>
      </c>
      <c r="P385" s="1235">
        <v>5280000</v>
      </c>
      <c r="Q385" s="1199">
        <v>3408823.8108000001</v>
      </c>
    </row>
    <row r="386" spans="1:17" ht="14.45" customHeight="1" thickBot="1" x14ac:dyDescent="0.25">
      <c r="A386" s="1006" t="s">
        <v>393</v>
      </c>
      <c r="B386" s="1007">
        <v>1620.7</v>
      </c>
      <c r="C386" s="1007">
        <v>1521.2</v>
      </c>
      <c r="D386" s="1007">
        <v>1259</v>
      </c>
      <c r="E386" s="1482">
        <v>0.82763607678148832</v>
      </c>
      <c r="F386" s="1480" t="s">
        <v>987</v>
      </c>
      <c r="G386" s="1085">
        <v>8900000.0000000019</v>
      </c>
      <c r="H386" s="1085">
        <v>3408823.810800001</v>
      </c>
      <c r="I386" s="1008"/>
      <c r="J386" s="1008" t="s">
        <v>983</v>
      </c>
      <c r="K386" s="1011"/>
      <c r="L386" s="1007">
        <v>1330</v>
      </c>
      <c r="M386" s="1007">
        <v>1268</v>
      </c>
      <c r="N386" s="1007">
        <v>1077.2</v>
      </c>
      <c r="O386" s="1083">
        <v>0.84952681388012619</v>
      </c>
      <c r="P386" s="1603">
        <v>5279999.9999999991</v>
      </c>
      <c r="Q386" s="1613">
        <v>3408823.8108000001</v>
      </c>
    </row>
    <row r="387" spans="1:17" x14ac:dyDescent="0.2">
      <c r="A387" s="7" t="s">
        <v>1934</v>
      </c>
      <c r="B387" s="8"/>
      <c r="C387" s="8"/>
      <c r="D387" s="8"/>
      <c r="E387" s="4"/>
      <c r="F387" s="5"/>
      <c r="G387" s="9"/>
      <c r="H387" s="8"/>
      <c r="I387" s="4"/>
      <c r="J387" s="280"/>
      <c r="K387" s="280"/>
      <c r="L387" s="9"/>
      <c r="M387" s="9"/>
      <c r="N387" s="9"/>
      <c r="O387" s="280"/>
      <c r="P387" s="280"/>
      <c r="Q387" s="9"/>
    </row>
    <row r="388" spans="1:17" x14ac:dyDescent="0.2">
      <c r="A388" s="242"/>
      <c r="B388" s="8"/>
      <c r="C388" s="8"/>
      <c r="D388" s="8"/>
      <c r="E388" s="4"/>
      <c r="F388" s="5"/>
      <c r="G388" s="9"/>
      <c r="H388" s="8"/>
      <c r="I388" s="4"/>
      <c r="J388" s="280"/>
      <c r="K388" s="280"/>
      <c r="L388" s="9"/>
      <c r="M388" s="9"/>
      <c r="N388" s="9"/>
      <c r="O388" s="280"/>
      <c r="P388" s="280"/>
      <c r="Q388" s="9"/>
    </row>
    <row r="389" spans="1:17" x14ac:dyDescent="0.2">
      <c r="A389" s="242"/>
      <c r="B389" s="8"/>
      <c r="C389" s="8"/>
      <c r="D389" s="8"/>
      <c r="E389" s="4"/>
      <c r="F389" s="5"/>
      <c r="G389" s="9"/>
      <c r="H389" s="8"/>
      <c r="I389" s="4"/>
      <c r="J389" s="280"/>
      <c r="K389" s="280"/>
      <c r="L389" s="9"/>
      <c r="M389" s="9"/>
      <c r="N389" s="9"/>
      <c r="O389" s="280"/>
      <c r="P389" s="280"/>
      <c r="Q389" s="9"/>
    </row>
    <row r="390" spans="1:17" x14ac:dyDescent="0.2">
      <c r="A390" s="242"/>
      <c r="B390" s="8"/>
      <c r="C390" s="8"/>
      <c r="D390" s="8"/>
      <c r="E390" s="4"/>
      <c r="F390" s="5"/>
      <c r="G390" s="9"/>
      <c r="H390" s="8"/>
      <c r="I390" s="4"/>
      <c r="J390" s="280"/>
      <c r="K390" s="280"/>
      <c r="L390" s="9"/>
      <c r="M390" s="9"/>
      <c r="N390" s="9"/>
      <c r="O390" s="280"/>
      <c r="P390" s="280"/>
      <c r="Q390" s="9"/>
    </row>
    <row r="391" spans="1:17" x14ac:dyDescent="0.2">
      <c r="A391" s="242"/>
      <c r="B391" s="8"/>
      <c r="C391" s="8"/>
      <c r="D391" s="8"/>
      <c r="E391" s="2380"/>
      <c r="F391" s="5"/>
      <c r="G391" s="9"/>
      <c r="H391" s="8"/>
      <c r="I391" s="2380"/>
      <c r="J391" s="280"/>
      <c r="K391" s="280"/>
      <c r="L391" s="9"/>
      <c r="M391" s="9"/>
      <c r="N391" s="9"/>
      <c r="O391" s="280"/>
      <c r="P391" s="280"/>
      <c r="Q391" s="9"/>
    </row>
    <row r="392" spans="1:17" x14ac:dyDescent="0.2">
      <c r="A392" s="242"/>
      <c r="B392" s="8"/>
      <c r="C392" s="8"/>
      <c r="D392" s="8"/>
      <c r="E392" s="2380"/>
      <c r="F392" s="5"/>
      <c r="G392" s="9"/>
      <c r="H392" s="8"/>
      <c r="I392" s="2380"/>
      <c r="J392" s="280"/>
      <c r="K392" s="280"/>
      <c r="L392" s="9"/>
      <c r="M392" s="9"/>
      <c r="N392" s="9"/>
      <c r="O392" s="280"/>
      <c r="P392" s="280"/>
      <c r="Q392" s="9"/>
    </row>
    <row r="393" spans="1:17" ht="15.75" customHeight="1" x14ac:dyDescent="0.25">
      <c r="A393" s="2512" t="s">
        <v>1929</v>
      </c>
      <c r="B393" s="2512"/>
      <c r="C393" s="2512"/>
      <c r="D393" s="2512"/>
      <c r="E393" s="2512"/>
      <c r="F393" s="2512"/>
      <c r="G393" s="2512"/>
      <c r="H393" s="2512"/>
      <c r="I393" s="2512"/>
      <c r="J393" s="2512"/>
      <c r="K393" s="2512"/>
      <c r="L393" s="2512"/>
      <c r="M393" s="2512"/>
      <c r="N393" s="2512"/>
      <c r="O393" s="2512"/>
      <c r="P393" s="2512"/>
      <c r="Q393" s="2512"/>
    </row>
    <row r="394" spans="1:17" x14ac:dyDescent="0.2">
      <c r="A394" s="3"/>
      <c r="B394" s="6"/>
      <c r="C394" s="6"/>
      <c r="D394" s="6"/>
      <c r="E394" s="1"/>
      <c r="F394" s="2"/>
      <c r="G394" s="6"/>
      <c r="H394" s="6"/>
      <c r="I394" s="1"/>
      <c r="J394" s="1"/>
      <c r="K394" s="1"/>
      <c r="L394" s="6"/>
      <c r="M394" s="6"/>
      <c r="N394" s="6"/>
      <c r="O394" s="1"/>
      <c r="P394" s="1"/>
      <c r="Q394" s="6"/>
    </row>
    <row r="395" spans="1:17" ht="13.5" thickBot="1" x14ac:dyDescent="0.25">
      <c r="A395" s="3" t="s">
        <v>1821</v>
      </c>
      <c r="B395" s="6"/>
      <c r="C395" s="6"/>
      <c r="D395" s="6"/>
      <c r="E395" s="1"/>
      <c r="F395" s="2"/>
      <c r="G395" s="6"/>
      <c r="H395" s="6"/>
      <c r="I395" s="1"/>
      <c r="J395" s="1"/>
      <c r="K395" s="1"/>
      <c r="L395" s="6"/>
      <c r="M395" s="6"/>
      <c r="N395" s="6"/>
      <c r="O395" s="1"/>
      <c r="P395" s="1"/>
      <c r="Q395" s="6"/>
    </row>
    <row r="396" spans="1:17" ht="14.45" customHeight="1" thickBot="1" x14ac:dyDescent="0.25">
      <c r="A396" s="2513" t="s">
        <v>327</v>
      </c>
      <c r="B396" s="2516" t="s">
        <v>1935</v>
      </c>
      <c r="C396" s="2517"/>
      <c r="D396" s="2517"/>
      <c r="E396" s="2517"/>
      <c r="F396" s="2517"/>
      <c r="G396" s="2517"/>
      <c r="H396" s="2517"/>
      <c r="I396" s="2517"/>
      <c r="J396" s="2517"/>
      <c r="K396" s="2517"/>
      <c r="L396" s="2518" t="s">
        <v>1930</v>
      </c>
      <c r="M396" s="2519"/>
      <c r="N396" s="2519"/>
      <c r="O396" s="2519"/>
      <c r="P396" s="2520"/>
      <c r="Q396" s="2521"/>
    </row>
    <row r="397" spans="1:17" ht="14.45" customHeight="1" x14ac:dyDescent="0.2">
      <c r="A397" s="2514"/>
      <c r="B397" s="2522" t="s">
        <v>328</v>
      </c>
      <c r="C397" s="2523"/>
      <c r="D397" s="1014"/>
      <c r="E397" s="1014" t="s">
        <v>904</v>
      </c>
      <c r="F397" s="1014" t="s">
        <v>329</v>
      </c>
      <c r="G397" s="1014"/>
      <c r="H397" s="1014"/>
      <c r="I397" s="2526" t="s">
        <v>330</v>
      </c>
      <c r="J397" s="2527"/>
      <c r="K397" s="2528"/>
      <c r="L397" s="2524" t="s">
        <v>328</v>
      </c>
      <c r="M397" s="2525"/>
      <c r="N397" s="1021" t="s">
        <v>331</v>
      </c>
      <c r="O397" s="1022" t="s">
        <v>332</v>
      </c>
      <c r="P397" s="1023"/>
      <c r="Q397" s="1024"/>
    </row>
    <row r="398" spans="1:17" ht="14.45" customHeight="1" x14ac:dyDescent="0.2">
      <c r="A398" s="2514"/>
      <c r="B398" s="1014" t="s">
        <v>835</v>
      </c>
      <c r="C398" s="1014" t="s">
        <v>335</v>
      </c>
      <c r="D398" s="1014" t="s">
        <v>837</v>
      </c>
      <c r="E398" s="1014" t="s">
        <v>842</v>
      </c>
      <c r="F398" s="1014" t="s">
        <v>336</v>
      </c>
      <c r="G398" s="1014" t="s">
        <v>337</v>
      </c>
      <c r="H398" s="1014" t="s">
        <v>338</v>
      </c>
      <c r="I398" s="2529" t="s">
        <v>839</v>
      </c>
      <c r="J398" s="2530"/>
      <c r="K398" s="2531"/>
      <c r="L398" s="1025" t="s">
        <v>835</v>
      </c>
      <c r="M398" s="1021" t="s">
        <v>335</v>
      </c>
      <c r="N398" s="1021" t="s">
        <v>339</v>
      </c>
      <c r="O398" s="1022"/>
      <c r="P398" s="1021" t="s">
        <v>337</v>
      </c>
      <c r="Q398" s="1024" t="s">
        <v>338</v>
      </c>
    </row>
    <row r="399" spans="1:17" ht="14.45" customHeight="1" x14ac:dyDescent="0.2">
      <c r="A399" s="2514"/>
      <c r="B399" s="1014"/>
      <c r="C399" s="1014"/>
      <c r="D399" s="1014"/>
      <c r="E399" s="1014"/>
      <c r="F399" s="1014" t="s">
        <v>341</v>
      </c>
      <c r="G399" s="1014" t="s">
        <v>342</v>
      </c>
      <c r="H399" s="1014" t="s">
        <v>341</v>
      </c>
      <c r="I399" s="1015"/>
      <c r="J399" s="1016"/>
      <c r="K399" s="1017"/>
      <c r="L399" s="1025"/>
      <c r="M399" s="1021"/>
      <c r="N399" s="1021"/>
      <c r="O399" s="1022" t="s">
        <v>344</v>
      </c>
      <c r="P399" s="1021" t="s">
        <v>342</v>
      </c>
      <c r="Q399" s="1024" t="s">
        <v>341</v>
      </c>
    </row>
    <row r="400" spans="1:17" ht="14.45" customHeight="1" x14ac:dyDescent="0.2">
      <c r="A400" s="2515"/>
      <c r="B400" s="1018" t="s">
        <v>345</v>
      </c>
      <c r="C400" s="1018" t="s">
        <v>345</v>
      </c>
      <c r="D400" s="1018" t="s">
        <v>346</v>
      </c>
      <c r="E400" s="1018" t="s">
        <v>757</v>
      </c>
      <c r="F400" s="1018"/>
      <c r="G400" s="1018" t="s">
        <v>347</v>
      </c>
      <c r="H400" s="1018" t="s">
        <v>348</v>
      </c>
      <c r="I400" s="1019" t="s">
        <v>349</v>
      </c>
      <c r="J400" s="1019" t="s">
        <v>350</v>
      </c>
      <c r="K400" s="1020" t="s">
        <v>351</v>
      </c>
      <c r="L400" s="1026" t="s">
        <v>345</v>
      </c>
      <c r="M400" s="1027" t="s">
        <v>345</v>
      </c>
      <c r="N400" s="1027" t="s">
        <v>346</v>
      </c>
      <c r="O400" s="1028"/>
      <c r="P400" s="1027" t="s">
        <v>347</v>
      </c>
      <c r="Q400" s="1029" t="s">
        <v>348</v>
      </c>
    </row>
    <row r="401" spans="1:17" ht="14.45" customHeight="1" x14ac:dyDescent="0.2">
      <c r="A401" s="975" t="s">
        <v>352</v>
      </c>
      <c r="B401" s="976">
        <v>81</v>
      </c>
      <c r="C401" s="976">
        <v>77.5</v>
      </c>
      <c r="D401" s="977">
        <v>543.5</v>
      </c>
      <c r="E401" s="1608">
        <v>7.0129032258064514</v>
      </c>
      <c r="F401" s="979"/>
      <c r="G401" s="976"/>
      <c r="H401" s="976"/>
      <c r="I401" s="978"/>
      <c r="J401" s="978"/>
      <c r="K401" s="980"/>
      <c r="L401" s="981">
        <v>70.5</v>
      </c>
      <c r="M401" s="977">
        <v>67.5</v>
      </c>
      <c r="N401" s="977">
        <v>406</v>
      </c>
      <c r="O401" s="1608">
        <v>6.0148148148148151</v>
      </c>
      <c r="P401" s="1609"/>
      <c r="Q401" s="1610"/>
    </row>
    <row r="402" spans="1:17" ht="14.45" customHeight="1" x14ac:dyDescent="0.2">
      <c r="A402" s="1481" t="s">
        <v>353</v>
      </c>
      <c r="B402" s="1146">
        <v>15</v>
      </c>
      <c r="C402" s="1146">
        <v>15</v>
      </c>
      <c r="D402" s="957">
        <v>90</v>
      </c>
      <c r="E402" s="1147">
        <v>6</v>
      </c>
      <c r="F402" s="1342" t="s">
        <v>985</v>
      </c>
      <c r="G402" s="1259">
        <v>2622000</v>
      </c>
      <c r="H402" s="959">
        <v>15431638.262649499</v>
      </c>
      <c r="I402" s="1489"/>
      <c r="J402" s="960"/>
      <c r="K402" s="961"/>
      <c r="L402" s="2213">
        <v>21</v>
      </c>
      <c r="M402" s="1146">
        <v>21</v>
      </c>
      <c r="N402" s="1146">
        <v>126</v>
      </c>
      <c r="O402" s="1630">
        <v>6</v>
      </c>
      <c r="P402" s="1261">
        <v>2506000</v>
      </c>
      <c r="Q402" s="1149">
        <v>15431638.262649499</v>
      </c>
    </row>
    <row r="403" spans="1:17" ht="14.45" customHeight="1" x14ac:dyDescent="0.2">
      <c r="A403" s="1481" t="s">
        <v>354</v>
      </c>
      <c r="B403" s="1146">
        <v>0</v>
      </c>
      <c r="C403" s="1146">
        <v>0</v>
      </c>
      <c r="D403" s="957">
        <v>0</v>
      </c>
      <c r="E403" s="1147">
        <v>0</v>
      </c>
      <c r="F403" s="958"/>
      <c r="G403" s="1259"/>
      <c r="H403" s="959"/>
      <c r="I403" s="1489"/>
      <c r="J403" s="960"/>
      <c r="K403" s="961"/>
      <c r="L403" s="2213">
        <v>0</v>
      </c>
      <c r="M403" s="1146">
        <v>0</v>
      </c>
      <c r="N403" s="1146">
        <v>0</v>
      </c>
      <c r="O403" s="1630">
        <v>0</v>
      </c>
      <c r="P403" s="1261"/>
      <c r="Q403" s="1606"/>
    </row>
    <row r="404" spans="1:17" ht="14.45" customHeight="1" x14ac:dyDescent="0.2">
      <c r="A404" s="1481" t="s">
        <v>355</v>
      </c>
      <c r="B404" s="1146">
        <v>22</v>
      </c>
      <c r="C404" s="1146">
        <v>20</v>
      </c>
      <c r="D404" s="957">
        <v>160</v>
      </c>
      <c r="E404" s="1147">
        <v>8</v>
      </c>
      <c r="F404" s="1342" t="s">
        <v>985</v>
      </c>
      <c r="G404" s="1259">
        <v>2622000</v>
      </c>
      <c r="H404" s="959">
        <v>15431638.262649499</v>
      </c>
      <c r="I404" s="1489"/>
      <c r="J404" s="960"/>
      <c r="K404" s="961"/>
      <c r="L404" s="2213">
        <v>23</v>
      </c>
      <c r="M404" s="1146">
        <v>20</v>
      </c>
      <c r="N404" s="1146">
        <v>140</v>
      </c>
      <c r="O404" s="1630">
        <v>7</v>
      </c>
      <c r="P404" s="1261">
        <v>2506000</v>
      </c>
      <c r="Q404" s="1149">
        <v>15431638.262649499</v>
      </c>
    </row>
    <row r="405" spans="1:17" ht="14.45" customHeight="1" x14ac:dyDescent="0.2">
      <c r="A405" s="1481" t="s">
        <v>356</v>
      </c>
      <c r="B405" s="1146">
        <v>0</v>
      </c>
      <c r="C405" s="1146">
        <v>0</v>
      </c>
      <c r="D405" s="957">
        <v>0</v>
      </c>
      <c r="E405" s="1147">
        <v>0</v>
      </c>
      <c r="F405" s="1342"/>
      <c r="G405" s="1259"/>
      <c r="H405" s="959"/>
      <c r="I405" s="1489"/>
      <c r="J405" s="960"/>
      <c r="K405" s="961"/>
      <c r="L405" s="2213">
        <v>0</v>
      </c>
      <c r="M405" s="1146">
        <v>0</v>
      </c>
      <c r="N405" s="1146">
        <v>0</v>
      </c>
      <c r="O405" s="1630">
        <v>0</v>
      </c>
      <c r="P405" s="1261"/>
      <c r="Q405" s="1149"/>
    </row>
    <row r="406" spans="1:17" ht="14.45" customHeight="1" x14ac:dyDescent="0.2">
      <c r="A406" s="1481" t="s">
        <v>357</v>
      </c>
      <c r="B406" s="1146">
        <v>25</v>
      </c>
      <c r="C406" s="1146">
        <v>25</v>
      </c>
      <c r="D406" s="957">
        <v>150</v>
      </c>
      <c r="E406" s="1147">
        <v>6</v>
      </c>
      <c r="F406" s="1342" t="s">
        <v>985</v>
      </c>
      <c r="G406" s="1259">
        <v>2622000</v>
      </c>
      <c r="H406" s="959">
        <v>15431638.262649499</v>
      </c>
      <c r="I406" s="1489"/>
      <c r="J406" s="960"/>
      <c r="K406" s="961"/>
      <c r="L406" s="2213">
        <v>15</v>
      </c>
      <c r="M406" s="1146">
        <v>15</v>
      </c>
      <c r="N406" s="1146">
        <v>60</v>
      </c>
      <c r="O406" s="1630">
        <v>4</v>
      </c>
      <c r="P406" s="1261">
        <v>2506000</v>
      </c>
      <c r="Q406" s="1149">
        <v>15431638.262649499</v>
      </c>
    </row>
    <row r="407" spans="1:17" ht="14.45" customHeight="1" x14ac:dyDescent="0.2">
      <c r="A407" s="1481" t="s">
        <v>358</v>
      </c>
      <c r="B407" s="1146">
        <v>10</v>
      </c>
      <c r="C407" s="1146">
        <v>9</v>
      </c>
      <c r="D407" s="957">
        <v>90</v>
      </c>
      <c r="E407" s="1147">
        <v>10</v>
      </c>
      <c r="F407" s="1342" t="s">
        <v>985</v>
      </c>
      <c r="G407" s="1259">
        <v>2622000</v>
      </c>
      <c r="H407" s="959">
        <v>15431638.262649499</v>
      </c>
      <c r="I407" s="1489"/>
      <c r="J407" s="960"/>
      <c r="K407" s="961"/>
      <c r="L407" s="2213">
        <v>4</v>
      </c>
      <c r="M407" s="1146">
        <v>4</v>
      </c>
      <c r="N407" s="1146">
        <v>32</v>
      </c>
      <c r="O407" s="1630">
        <v>8</v>
      </c>
      <c r="P407" s="1261">
        <v>2506000</v>
      </c>
      <c r="Q407" s="1149">
        <v>15431638.262649499</v>
      </c>
    </row>
    <row r="408" spans="1:17" ht="14.45" customHeight="1" x14ac:dyDescent="0.2">
      <c r="A408" s="1481" t="s">
        <v>359</v>
      </c>
      <c r="B408" s="1146">
        <v>0</v>
      </c>
      <c r="C408" s="1146">
        <v>0</v>
      </c>
      <c r="D408" s="957">
        <v>0</v>
      </c>
      <c r="E408" s="1147">
        <v>0</v>
      </c>
      <c r="F408" s="964"/>
      <c r="G408" s="1259"/>
      <c r="H408" s="959"/>
      <c r="I408" s="1489"/>
      <c r="J408" s="960"/>
      <c r="K408" s="961"/>
      <c r="L408" s="2213">
        <v>0</v>
      </c>
      <c r="M408" s="1146">
        <v>0</v>
      </c>
      <c r="N408" s="1146">
        <v>0</v>
      </c>
      <c r="O408" s="1630">
        <v>0</v>
      </c>
      <c r="P408" s="1261"/>
      <c r="Q408" s="1606"/>
    </row>
    <row r="409" spans="1:17" ht="14.45" customHeight="1" x14ac:dyDescent="0.2">
      <c r="A409" s="1481" t="s">
        <v>360</v>
      </c>
      <c r="B409" s="1146">
        <v>2</v>
      </c>
      <c r="C409" s="1146">
        <v>2</v>
      </c>
      <c r="D409" s="957">
        <v>12</v>
      </c>
      <c r="E409" s="1147">
        <v>6</v>
      </c>
      <c r="F409" s="1342" t="s">
        <v>985</v>
      </c>
      <c r="G409" s="1259">
        <v>2622000</v>
      </c>
      <c r="H409" s="959">
        <v>15431638.262649499</v>
      </c>
      <c r="I409" s="1489"/>
      <c r="J409" s="960"/>
      <c r="K409" s="961"/>
      <c r="L409" s="2213">
        <v>2.5</v>
      </c>
      <c r="M409" s="1146">
        <v>2.5</v>
      </c>
      <c r="N409" s="1146">
        <v>15</v>
      </c>
      <c r="O409" s="1630">
        <v>6</v>
      </c>
      <c r="P409" s="1261">
        <v>2506000</v>
      </c>
      <c r="Q409" s="1149">
        <v>15431638.262649499</v>
      </c>
    </row>
    <row r="410" spans="1:17" ht="14.45" customHeight="1" x14ac:dyDescent="0.2">
      <c r="A410" s="1481" t="s">
        <v>361</v>
      </c>
      <c r="B410" s="1146">
        <v>3</v>
      </c>
      <c r="C410" s="1146">
        <v>3</v>
      </c>
      <c r="D410" s="957">
        <v>16.5</v>
      </c>
      <c r="E410" s="1147">
        <v>5.5</v>
      </c>
      <c r="F410" s="1342" t="s">
        <v>985</v>
      </c>
      <c r="G410" s="1259">
        <v>2622000</v>
      </c>
      <c r="H410" s="959">
        <v>15431638.262649499</v>
      </c>
      <c r="I410" s="1489"/>
      <c r="J410" s="960"/>
      <c r="K410" s="961"/>
      <c r="L410" s="2213">
        <v>2</v>
      </c>
      <c r="M410" s="1146">
        <v>2</v>
      </c>
      <c r="N410" s="1146">
        <v>11</v>
      </c>
      <c r="O410" s="1630">
        <v>5.5</v>
      </c>
      <c r="P410" s="1261">
        <v>2506000</v>
      </c>
      <c r="Q410" s="1149">
        <v>15431638.262649499</v>
      </c>
    </row>
    <row r="411" spans="1:17" ht="14.45" customHeight="1" x14ac:dyDescent="0.2">
      <c r="A411" s="1481" t="s">
        <v>362</v>
      </c>
      <c r="B411" s="1146">
        <v>3</v>
      </c>
      <c r="C411" s="1146">
        <v>2.5</v>
      </c>
      <c r="D411" s="957">
        <v>15</v>
      </c>
      <c r="E411" s="1147">
        <v>6</v>
      </c>
      <c r="F411" s="1342" t="s">
        <v>985</v>
      </c>
      <c r="G411" s="1259">
        <v>2622000</v>
      </c>
      <c r="H411" s="959">
        <v>15431638.262649499</v>
      </c>
      <c r="I411" s="1489"/>
      <c r="J411" s="960"/>
      <c r="K411" s="961"/>
      <c r="L411" s="2213">
        <v>2</v>
      </c>
      <c r="M411" s="1146">
        <v>2</v>
      </c>
      <c r="N411" s="1146">
        <v>12</v>
      </c>
      <c r="O411" s="1630">
        <v>6</v>
      </c>
      <c r="P411" s="1261">
        <v>2506000</v>
      </c>
      <c r="Q411" s="1149">
        <v>15431638.262649499</v>
      </c>
    </row>
    <row r="412" spans="1:17" ht="14.45" customHeight="1" x14ac:dyDescent="0.2">
      <c r="A412" s="1481" t="s">
        <v>363</v>
      </c>
      <c r="B412" s="1146">
        <v>0</v>
      </c>
      <c r="C412" s="2214">
        <v>0</v>
      </c>
      <c r="D412" s="957">
        <v>0</v>
      </c>
      <c r="E412" s="1630">
        <v>0</v>
      </c>
      <c r="F412" s="1342"/>
      <c r="G412" s="1259"/>
      <c r="H412" s="959"/>
      <c r="I412" s="1489"/>
      <c r="J412" s="960"/>
      <c r="K412" s="961"/>
      <c r="L412" s="2213">
        <v>0</v>
      </c>
      <c r="M412" s="1146">
        <v>0</v>
      </c>
      <c r="N412" s="1146">
        <v>0</v>
      </c>
      <c r="O412" s="1630">
        <v>0</v>
      </c>
      <c r="P412" s="1261"/>
      <c r="Q412" s="1149"/>
    </row>
    <row r="413" spans="1:17" ht="14.45" customHeight="1" x14ac:dyDescent="0.2">
      <c r="A413" s="1481" t="s">
        <v>364</v>
      </c>
      <c r="B413" s="1146">
        <v>1</v>
      </c>
      <c r="C413" s="2214">
        <v>1</v>
      </c>
      <c r="D413" s="957">
        <v>10</v>
      </c>
      <c r="E413" s="2215">
        <v>10</v>
      </c>
      <c r="F413" s="1342" t="s">
        <v>985</v>
      </c>
      <c r="G413" s="1259">
        <v>2622000</v>
      </c>
      <c r="H413" s="959">
        <v>15431638.262649499</v>
      </c>
      <c r="I413" s="1489"/>
      <c r="J413" s="960"/>
      <c r="K413" s="961"/>
      <c r="L413" s="2213">
        <v>1</v>
      </c>
      <c r="M413" s="1146">
        <v>1</v>
      </c>
      <c r="N413" s="1146">
        <v>10</v>
      </c>
      <c r="O413" s="2233">
        <v>10</v>
      </c>
      <c r="P413" s="1261">
        <v>2506000</v>
      </c>
      <c r="Q413" s="1149">
        <v>15431638.262649499</v>
      </c>
    </row>
    <row r="414" spans="1:17" ht="14.45" customHeight="1" x14ac:dyDescent="0.2">
      <c r="A414" s="1481" t="s">
        <v>365</v>
      </c>
      <c r="B414" s="1146">
        <v>0</v>
      </c>
      <c r="C414" s="1146">
        <v>0</v>
      </c>
      <c r="D414" s="957">
        <v>0</v>
      </c>
      <c r="E414" s="2215">
        <v>0</v>
      </c>
      <c r="F414" s="1342"/>
      <c r="G414" s="1259"/>
      <c r="H414" s="959"/>
      <c r="I414" s="1489"/>
      <c r="J414" s="960"/>
      <c r="K414" s="961"/>
      <c r="L414" s="2213">
        <v>0</v>
      </c>
      <c r="M414" s="1146">
        <v>0</v>
      </c>
      <c r="N414" s="1146">
        <v>0</v>
      </c>
      <c r="O414" s="2233">
        <v>0</v>
      </c>
      <c r="P414" s="1261"/>
      <c r="Q414" s="1149"/>
    </row>
    <row r="415" spans="1:17" ht="14.45" customHeight="1" x14ac:dyDescent="0.2">
      <c r="A415" s="1481" t="s">
        <v>366</v>
      </c>
      <c r="B415" s="1146">
        <v>0</v>
      </c>
      <c r="C415" s="1146">
        <v>0</v>
      </c>
      <c r="D415" s="957">
        <v>0</v>
      </c>
      <c r="E415" s="1494">
        <v>0</v>
      </c>
      <c r="F415" s="958"/>
      <c r="G415" s="1259"/>
      <c r="H415" s="959"/>
      <c r="I415" s="1489"/>
      <c r="J415" s="960"/>
      <c r="K415" s="961"/>
      <c r="L415" s="2213">
        <v>0</v>
      </c>
      <c r="M415" s="1146">
        <v>0</v>
      </c>
      <c r="N415" s="1146">
        <v>0</v>
      </c>
      <c r="O415" s="2233">
        <v>0</v>
      </c>
      <c r="P415" s="1261"/>
      <c r="Q415" s="1606"/>
    </row>
    <row r="416" spans="1:17" ht="14.45" customHeight="1" x14ac:dyDescent="0.2">
      <c r="A416" s="1481" t="s">
        <v>367</v>
      </c>
      <c r="B416" s="1146">
        <v>0</v>
      </c>
      <c r="C416" s="1146">
        <v>0</v>
      </c>
      <c r="D416" s="957">
        <v>0</v>
      </c>
      <c r="E416" s="1494">
        <v>0</v>
      </c>
      <c r="F416" s="964"/>
      <c r="G416" s="1259"/>
      <c r="H416" s="959"/>
      <c r="I416" s="1489"/>
      <c r="J416" s="960"/>
      <c r="K416" s="961"/>
      <c r="L416" s="2213">
        <v>0</v>
      </c>
      <c r="M416" s="1146">
        <v>0</v>
      </c>
      <c r="N416" s="1146">
        <v>0</v>
      </c>
      <c r="O416" s="2233">
        <v>0</v>
      </c>
      <c r="P416" s="1261"/>
      <c r="Q416" s="1606"/>
    </row>
    <row r="417" spans="1:17" ht="14.45" customHeight="1" x14ac:dyDescent="0.2">
      <c r="A417" s="1484" t="s">
        <v>368</v>
      </c>
      <c r="B417" s="1002">
        <v>69</v>
      </c>
      <c r="C417" s="984">
        <v>69</v>
      </c>
      <c r="D417" s="2308">
        <v>463</v>
      </c>
      <c r="E417" s="1608">
        <v>6.7101449275362315</v>
      </c>
      <c r="F417" s="987"/>
      <c r="G417" s="1486"/>
      <c r="H417" s="988"/>
      <c r="I417" s="1490"/>
      <c r="J417" s="989"/>
      <c r="K417" s="990"/>
      <c r="L417" s="991">
        <v>54</v>
      </c>
      <c r="M417" s="1002">
        <v>54</v>
      </c>
      <c r="N417" s="1002">
        <v>316</v>
      </c>
      <c r="O417" s="2216">
        <v>5.8518518518518521</v>
      </c>
      <c r="P417" s="1604"/>
      <c r="Q417" s="1605"/>
    </row>
    <row r="418" spans="1:17" ht="14.45" customHeight="1" x14ac:dyDescent="0.2">
      <c r="A418" s="1481" t="s">
        <v>369</v>
      </c>
      <c r="B418" s="1146">
        <v>61</v>
      </c>
      <c r="C418" s="1146">
        <v>61</v>
      </c>
      <c r="D418" s="957">
        <v>427</v>
      </c>
      <c r="E418" s="1147">
        <v>7</v>
      </c>
      <c r="F418" s="1342" t="s">
        <v>985</v>
      </c>
      <c r="G418" s="1259">
        <v>2622000</v>
      </c>
      <c r="H418" s="959">
        <v>15431638.262649499</v>
      </c>
      <c r="I418" s="1489"/>
      <c r="J418" s="960"/>
      <c r="K418" s="961"/>
      <c r="L418" s="2217">
        <v>46</v>
      </c>
      <c r="M418" s="1146">
        <v>46</v>
      </c>
      <c r="N418" s="1146">
        <v>276</v>
      </c>
      <c r="O418" s="1630">
        <v>6</v>
      </c>
      <c r="P418" s="1261">
        <v>2506000</v>
      </c>
      <c r="Q418" s="1149">
        <v>15431638.262649499</v>
      </c>
    </row>
    <row r="419" spans="1:17" ht="14.45" customHeight="1" x14ac:dyDescent="0.2">
      <c r="A419" s="1481" t="s">
        <v>370</v>
      </c>
      <c r="B419" s="1146">
        <v>4</v>
      </c>
      <c r="C419" s="1146">
        <v>4</v>
      </c>
      <c r="D419" s="957">
        <v>16</v>
      </c>
      <c r="E419" s="1147">
        <v>4</v>
      </c>
      <c r="F419" s="1342" t="s">
        <v>985</v>
      </c>
      <c r="G419" s="1259">
        <v>2622000</v>
      </c>
      <c r="H419" s="959">
        <v>15431638.262649499</v>
      </c>
      <c r="I419" s="1489"/>
      <c r="J419" s="960"/>
      <c r="K419" s="961"/>
      <c r="L419" s="2217">
        <v>4</v>
      </c>
      <c r="M419" s="1146">
        <v>4</v>
      </c>
      <c r="N419" s="1146">
        <v>20</v>
      </c>
      <c r="O419" s="1630">
        <v>5</v>
      </c>
      <c r="P419" s="1261">
        <v>2506000</v>
      </c>
      <c r="Q419" s="1149">
        <v>15431638.262649499</v>
      </c>
    </row>
    <row r="420" spans="1:17" ht="14.45" customHeight="1" x14ac:dyDescent="0.2">
      <c r="A420" s="1481" t="s">
        <v>371</v>
      </c>
      <c r="B420" s="1146">
        <v>0</v>
      </c>
      <c r="C420" s="1146">
        <v>0</v>
      </c>
      <c r="D420" s="957">
        <v>0</v>
      </c>
      <c r="E420" s="1147">
        <v>0</v>
      </c>
      <c r="F420" s="1342"/>
      <c r="G420" s="1259"/>
      <c r="H420" s="959"/>
      <c r="I420" s="1489"/>
      <c r="J420" s="960"/>
      <c r="K420" s="961"/>
      <c r="L420" s="2217">
        <v>0</v>
      </c>
      <c r="M420" s="1146">
        <v>0</v>
      </c>
      <c r="N420" s="1146">
        <v>0</v>
      </c>
      <c r="O420" s="1630">
        <v>0</v>
      </c>
      <c r="P420" s="1261"/>
      <c r="Q420" s="1149"/>
    </row>
    <row r="421" spans="1:17" ht="14.45" customHeight="1" x14ac:dyDescent="0.2">
      <c r="A421" s="1481" t="s">
        <v>372</v>
      </c>
      <c r="B421" s="1146">
        <v>2</v>
      </c>
      <c r="C421" s="1146">
        <v>2</v>
      </c>
      <c r="D421" s="957">
        <v>10</v>
      </c>
      <c r="E421" s="1147">
        <v>5</v>
      </c>
      <c r="F421" s="1342" t="s">
        <v>985</v>
      </c>
      <c r="G421" s="1259">
        <v>2622000</v>
      </c>
      <c r="H421" s="959">
        <v>15431638.262649499</v>
      </c>
      <c r="I421" s="1489"/>
      <c r="J421" s="960"/>
      <c r="K421" s="961"/>
      <c r="L421" s="2217">
        <v>2</v>
      </c>
      <c r="M421" s="1146">
        <v>2</v>
      </c>
      <c r="N421" s="1146">
        <v>10</v>
      </c>
      <c r="O421" s="1630">
        <v>5</v>
      </c>
      <c r="P421" s="1261">
        <v>2506000</v>
      </c>
      <c r="Q421" s="1149">
        <v>15431638.262649499</v>
      </c>
    </row>
    <row r="422" spans="1:17" ht="14.45" customHeight="1" x14ac:dyDescent="0.2">
      <c r="A422" s="1481" t="s">
        <v>373</v>
      </c>
      <c r="B422" s="1146">
        <v>2</v>
      </c>
      <c r="C422" s="1146">
        <v>2</v>
      </c>
      <c r="D422" s="957">
        <v>10</v>
      </c>
      <c r="E422" s="1147">
        <v>5</v>
      </c>
      <c r="F422" s="1342" t="s">
        <v>985</v>
      </c>
      <c r="G422" s="1259">
        <v>2622000</v>
      </c>
      <c r="H422" s="959">
        <v>15431638.262649499</v>
      </c>
      <c r="I422" s="1489"/>
      <c r="J422" s="960"/>
      <c r="K422" s="961"/>
      <c r="L422" s="2217">
        <v>2</v>
      </c>
      <c r="M422" s="1146">
        <v>2</v>
      </c>
      <c r="N422" s="1146">
        <v>10</v>
      </c>
      <c r="O422" s="1630">
        <v>5</v>
      </c>
      <c r="P422" s="1261">
        <v>2506000</v>
      </c>
      <c r="Q422" s="1149">
        <v>15431638.262649499</v>
      </c>
    </row>
    <row r="423" spans="1:17" ht="14.45" customHeight="1" x14ac:dyDescent="0.2">
      <c r="A423" s="1484" t="s">
        <v>374</v>
      </c>
      <c r="B423" s="1002">
        <v>98</v>
      </c>
      <c r="C423" s="1002">
        <v>96</v>
      </c>
      <c r="D423" s="1002">
        <v>669.5</v>
      </c>
      <c r="E423" s="2216">
        <v>6.973958333333333</v>
      </c>
      <c r="F423" s="987"/>
      <c r="G423" s="1488"/>
      <c r="H423" s="996"/>
      <c r="I423" s="1491"/>
      <c r="J423" s="997"/>
      <c r="K423" s="998"/>
      <c r="L423" s="1453">
        <v>76</v>
      </c>
      <c r="M423" s="1002">
        <v>73.5</v>
      </c>
      <c r="N423" s="1002">
        <v>474.5</v>
      </c>
      <c r="O423" s="2216">
        <v>6.4557823129251704</v>
      </c>
      <c r="P423" s="1604"/>
      <c r="Q423" s="1605"/>
    </row>
    <row r="424" spans="1:17" ht="14.45" customHeight="1" x14ac:dyDescent="0.2">
      <c r="A424" s="1481" t="s">
        <v>375</v>
      </c>
      <c r="B424" s="1146">
        <v>35</v>
      </c>
      <c r="C424" s="1146">
        <v>34</v>
      </c>
      <c r="D424" s="957">
        <v>340</v>
      </c>
      <c r="E424" s="1147">
        <v>10</v>
      </c>
      <c r="F424" s="1342" t="s">
        <v>985</v>
      </c>
      <c r="G424" s="1259">
        <v>2622000</v>
      </c>
      <c r="H424" s="959">
        <v>15431638.262649499</v>
      </c>
      <c r="I424" s="1489"/>
      <c r="J424" s="960"/>
      <c r="K424" s="961"/>
      <c r="L424" s="2217">
        <v>18</v>
      </c>
      <c r="M424" s="1146">
        <v>17.5</v>
      </c>
      <c r="N424" s="1146">
        <v>157.5</v>
      </c>
      <c r="O424" s="1630">
        <v>9</v>
      </c>
      <c r="P424" s="1261">
        <v>2506000</v>
      </c>
      <c r="Q424" s="1149">
        <v>15431638.262649499</v>
      </c>
    </row>
    <row r="425" spans="1:17" ht="14.45" customHeight="1" x14ac:dyDescent="0.2">
      <c r="A425" s="1481" t="s">
        <v>376</v>
      </c>
      <c r="B425" s="1146">
        <v>4</v>
      </c>
      <c r="C425" s="1146">
        <v>4</v>
      </c>
      <c r="D425" s="957">
        <v>20</v>
      </c>
      <c r="E425" s="1147">
        <v>5</v>
      </c>
      <c r="F425" s="1342" t="s">
        <v>985</v>
      </c>
      <c r="G425" s="1259">
        <v>2622000</v>
      </c>
      <c r="H425" s="959">
        <v>15431638.262649499</v>
      </c>
      <c r="I425" s="1489"/>
      <c r="J425" s="960"/>
      <c r="K425" s="961"/>
      <c r="L425" s="2217">
        <v>4</v>
      </c>
      <c r="M425" s="1146">
        <v>4</v>
      </c>
      <c r="N425" s="1146">
        <v>20</v>
      </c>
      <c r="O425" s="1630">
        <v>5</v>
      </c>
      <c r="P425" s="1261">
        <v>2506000</v>
      </c>
      <c r="Q425" s="1149">
        <v>15431638.262649499</v>
      </c>
    </row>
    <row r="426" spans="1:17" ht="14.45" customHeight="1" x14ac:dyDescent="0.2">
      <c r="A426" s="1481" t="s">
        <v>377</v>
      </c>
      <c r="B426" s="1146">
        <v>0</v>
      </c>
      <c r="C426" s="1146">
        <v>0</v>
      </c>
      <c r="D426" s="957">
        <v>0</v>
      </c>
      <c r="E426" s="1147">
        <v>0</v>
      </c>
      <c r="F426" s="958"/>
      <c r="G426" s="1259"/>
      <c r="H426" s="959"/>
      <c r="I426" s="1489"/>
      <c r="J426" s="960"/>
      <c r="K426" s="961"/>
      <c r="L426" s="2217">
        <v>0</v>
      </c>
      <c r="M426" s="1146">
        <v>0</v>
      </c>
      <c r="N426" s="1146">
        <v>0</v>
      </c>
      <c r="O426" s="1630">
        <v>0</v>
      </c>
      <c r="P426" s="1261"/>
      <c r="Q426" s="1606"/>
    </row>
    <row r="427" spans="1:17" ht="14.45" customHeight="1" x14ac:dyDescent="0.2">
      <c r="A427" s="1481" t="s">
        <v>378</v>
      </c>
      <c r="B427" s="1146">
        <v>23</v>
      </c>
      <c r="C427" s="1146">
        <v>23</v>
      </c>
      <c r="D427" s="957">
        <v>92</v>
      </c>
      <c r="E427" s="1147">
        <v>4</v>
      </c>
      <c r="F427" s="1342" t="s">
        <v>985</v>
      </c>
      <c r="G427" s="1259">
        <v>2622000</v>
      </c>
      <c r="H427" s="959">
        <v>15431638.262649499</v>
      </c>
      <c r="I427" s="1492"/>
      <c r="J427" s="960"/>
      <c r="K427" s="961"/>
      <c r="L427" s="2217">
        <v>22</v>
      </c>
      <c r="M427" s="1146">
        <v>22</v>
      </c>
      <c r="N427" s="1146">
        <v>110</v>
      </c>
      <c r="O427" s="1630">
        <v>5</v>
      </c>
      <c r="P427" s="1261">
        <v>2506000</v>
      </c>
      <c r="Q427" s="1149">
        <v>15431638.262649499</v>
      </c>
    </row>
    <row r="428" spans="1:17" ht="14.45" customHeight="1" x14ac:dyDescent="0.2">
      <c r="A428" s="1481" t="s">
        <v>379</v>
      </c>
      <c r="B428" s="1146">
        <v>10</v>
      </c>
      <c r="C428" s="1146">
        <v>10</v>
      </c>
      <c r="D428" s="957">
        <v>65</v>
      </c>
      <c r="E428" s="1147">
        <v>6.5</v>
      </c>
      <c r="F428" s="1342" t="s">
        <v>985</v>
      </c>
      <c r="G428" s="1259">
        <v>2622000</v>
      </c>
      <c r="H428" s="959">
        <v>15431638.262649499</v>
      </c>
      <c r="I428" s="1492"/>
      <c r="J428" s="960"/>
      <c r="K428" s="961"/>
      <c r="L428" s="2217">
        <v>13</v>
      </c>
      <c r="M428" s="1146">
        <v>13</v>
      </c>
      <c r="N428" s="1146">
        <v>84.5</v>
      </c>
      <c r="O428" s="1630">
        <v>6.5</v>
      </c>
      <c r="P428" s="1261">
        <v>2506000</v>
      </c>
      <c r="Q428" s="1149">
        <v>15431638.262649499</v>
      </c>
    </row>
    <row r="429" spans="1:17" ht="14.45" customHeight="1" x14ac:dyDescent="0.2">
      <c r="A429" s="1481" t="s">
        <v>380</v>
      </c>
      <c r="B429" s="1146">
        <v>6</v>
      </c>
      <c r="C429" s="1146">
        <v>5</v>
      </c>
      <c r="D429" s="957">
        <v>37.5</v>
      </c>
      <c r="E429" s="1147">
        <v>7.5</v>
      </c>
      <c r="F429" s="1342" t="s">
        <v>985</v>
      </c>
      <c r="G429" s="1259">
        <v>2622000</v>
      </c>
      <c r="H429" s="959">
        <v>15431638.262649499</v>
      </c>
      <c r="I429" s="1492"/>
      <c r="J429" s="960"/>
      <c r="K429" s="961"/>
      <c r="L429" s="2217">
        <v>5</v>
      </c>
      <c r="M429" s="1146">
        <v>5</v>
      </c>
      <c r="N429" s="1146">
        <v>38</v>
      </c>
      <c r="O429" s="1630">
        <v>7.6</v>
      </c>
      <c r="P429" s="1261">
        <v>2506000</v>
      </c>
      <c r="Q429" s="1149">
        <v>15431638.262649499</v>
      </c>
    </row>
    <row r="430" spans="1:17" ht="14.45" customHeight="1" x14ac:dyDescent="0.2">
      <c r="A430" s="1481" t="s">
        <v>381</v>
      </c>
      <c r="B430" s="1146">
        <v>10</v>
      </c>
      <c r="C430" s="1146">
        <v>10</v>
      </c>
      <c r="D430" s="957">
        <v>45</v>
      </c>
      <c r="E430" s="1147">
        <v>4.5</v>
      </c>
      <c r="F430" s="1342" t="s">
        <v>985</v>
      </c>
      <c r="G430" s="1259">
        <v>2622000</v>
      </c>
      <c r="H430" s="959">
        <v>15431638.262649499</v>
      </c>
      <c r="I430" s="1492"/>
      <c r="J430" s="960"/>
      <c r="K430" s="961"/>
      <c r="L430" s="2217">
        <v>5</v>
      </c>
      <c r="M430" s="1146">
        <v>5</v>
      </c>
      <c r="N430" s="1146">
        <v>22.5</v>
      </c>
      <c r="O430" s="1630">
        <v>4.5</v>
      </c>
      <c r="P430" s="1261">
        <v>2506000</v>
      </c>
      <c r="Q430" s="1149">
        <v>15431638.262649499</v>
      </c>
    </row>
    <row r="431" spans="1:17" ht="14.45" customHeight="1" x14ac:dyDescent="0.2">
      <c r="A431" s="1481" t="s">
        <v>382</v>
      </c>
      <c r="B431" s="1146">
        <v>10</v>
      </c>
      <c r="C431" s="1146">
        <v>10</v>
      </c>
      <c r="D431" s="957">
        <v>70</v>
      </c>
      <c r="E431" s="1147">
        <v>7</v>
      </c>
      <c r="F431" s="1342" t="s">
        <v>985</v>
      </c>
      <c r="G431" s="1259">
        <v>2622000</v>
      </c>
      <c r="H431" s="959">
        <v>15431638.262649499</v>
      </c>
      <c r="I431" s="1492"/>
      <c r="J431" s="960"/>
      <c r="K431" s="961"/>
      <c r="L431" s="2217">
        <v>9</v>
      </c>
      <c r="M431" s="1146">
        <v>7</v>
      </c>
      <c r="N431" s="1146">
        <v>42</v>
      </c>
      <c r="O431" s="1630">
        <v>6</v>
      </c>
      <c r="P431" s="1261">
        <v>2506000</v>
      </c>
      <c r="Q431" s="1149">
        <v>15431638.262649499</v>
      </c>
    </row>
    <row r="432" spans="1:17" ht="14.45" customHeight="1" x14ac:dyDescent="0.2">
      <c r="A432" s="1484" t="s">
        <v>383</v>
      </c>
      <c r="B432" s="1002">
        <v>71.5</v>
      </c>
      <c r="C432" s="1002">
        <v>66.5</v>
      </c>
      <c r="D432" s="1002">
        <v>452</v>
      </c>
      <c r="E432" s="2216">
        <v>6.7969924812030076</v>
      </c>
      <c r="F432" s="1003"/>
      <c r="G432" s="1488"/>
      <c r="H432" s="996"/>
      <c r="I432" s="1501"/>
      <c r="J432" s="997"/>
      <c r="K432" s="998"/>
      <c r="L432" s="1453">
        <v>81.5</v>
      </c>
      <c r="M432" s="1002">
        <v>72</v>
      </c>
      <c r="N432" s="1002">
        <v>442</v>
      </c>
      <c r="O432" s="2216">
        <v>6.1388888888888893</v>
      </c>
      <c r="P432" s="1604"/>
      <c r="Q432" s="1605"/>
    </row>
    <row r="433" spans="1:17" ht="14.45" customHeight="1" x14ac:dyDescent="0.2">
      <c r="A433" s="1481" t="s">
        <v>384</v>
      </c>
      <c r="B433" s="1146">
        <v>35</v>
      </c>
      <c r="C433" s="1146">
        <v>33</v>
      </c>
      <c r="D433" s="957">
        <v>231</v>
      </c>
      <c r="E433" s="1147">
        <v>7</v>
      </c>
      <c r="F433" s="1342" t="s">
        <v>985</v>
      </c>
      <c r="G433" s="1259">
        <v>2622000</v>
      </c>
      <c r="H433" s="959">
        <v>15431638.262649499</v>
      </c>
      <c r="I433" s="1492"/>
      <c r="J433" s="960"/>
      <c r="K433" s="961"/>
      <c r="L433" s="2217">
        <v>45</v>
      </c>
      <c r="M433" s="1146">
        <v>37</v>
      </c>
      <c r="N433" s="1146">
        <v>222</v>
      </c>
      <c r="O433" s="1630">
        <v>6</v>
      </c>
      <c r="P433" s="1261">
        <v>2506000</v>
      </c>
      <c r="Q433" s="1149">
        <v>15431638.262649499</v>
      </c>
    </row>
    <row r="434" spans="1:17" ht="14.45" customHeight="1" x14ac:dyDescent="0.2">
      <c r="A434" s="1481" t="s">
        <v>385</v>
      </c>
      <c r="B434" s="1146">
        <v>2</v>
      </c>
      <c r="C434" s="1146">
        <v>1</v>
      </c>
      <c r="D434" s="957">
        <v>4</v>
      </c>
      <c r="E434" s="1147">
        <v>4</v>
      </c>
      <c r="F434" s="1342" t="s">
        <v>985</v>
      </c>
      <c r="G434" s="1259">
        <v>2622000</v>
      </c>
      <c r="H434" s="959">
        <v>15431638.262649499</v>
      </c>
      <c r="I434" s="1492"/>
      <c r="J434" s="960"/>
      <c r="K434" s="961"/>
      <c r="L434" s="2217">
        <v>2</v>
      </c>
      <c r="M434" s="1146">
        <v>1</v>
      </c>
      <c r="N434" s="1146">
        <v>5</v>
      </c>
      <c r="O434" s="1630">
        <v>5</v>
      </c>
      <c r="P434" s="1261">
        <v>2506000</v>
      </c>
      <c r="Q434" s="1149">
        <v>15431638.262649499</v>
      </c>
    </row>
    <row r="435" spans="1:17" ht="14.45" customHeight="1" x14ac:dyDescent="0.2">
      <c r="A435" s="1481" t="s">
        <v>386</v>
      </c>
      <c r="B435" s="1146">
        <v>4</v>
      </c>
      <c r="C435" s="1146">
        <v>4</v>
      </c>
      <c r="D435" s="957">
        <v>28</v>
      </c>
      <c r="E435" s="1147">
        <v>7</v>
      </c>
      <c r="F435" s="1342" t="s">
        <v>985</v>
      </c>
      <c r="G435" s="1259">
        <v>2622000</v>
      </c>
      <c r="H435" s="959">
        <v>15431638.262649499</v>
      </c>
      <c r="I435" s="1492"/>
      <c r="J435" s="960"/>
      <c r="K435" s="961"/>
      <c r="L435" s="2217">
        <v>4</v>
      </c>
      <c r="M435" s="1146">
        <v>4</v>
      </c>
      <c r="N435" s="1146">
        <v>28</v>
      </c>
      <c r="O435" s="1630">
        <v>7</v>
      </c>
      <c r="P435" s="1261">
        <v>2506000</v>
      </c>
      <c r="Q435" s="1149">
        <v>15431638.262649499</v>
      </c>
    </row>
    <row r="436" spans="1:17" ht="14.45" customHeight="1" x14ac:dyDescent="0.2">
      <c r="A436" s="1481" t="s">
        <v>387</v>
      </c>
      <c r="B436" s="1146">
        <v>7</v>
      </c>
      <c r="C436" s="1146">
        <v>6</v>
      </c>
      <c r="D436" s="957">
        <v>36</v>
      </c>
      <c r="E436" s="1147">
        <v>6</v>
      </c>
      <c r="F436" s="1342" t="s">
        <v>985</v>
      </c>
      <c r="G436" s="1259">
        <v>2622000</v>
      </c>
      <c r="H436" s="959">
        <v>15431638.262649499</v>
      </c>
      <c r="I436" s="1492"/>
      <c r="J436" s="960"/>
      <c r="K436" s="961"/>
      <c r="L436" s="2217">
        <v>8</v>
      </c>
      <c r="M436" s="1146">
        <v>8</v>
      </c>
      <c r="N436" s="1146">
        <v>48</v>
      </c>
      <c r="O436" s="1630">
        <v>6</v>
      </c>
      <c r="P436" s="1261">
        <v>2506000</v>
      </c>
      <c r="Q436" s="1149">
        <v>15431638.262649499</v>
      </c>
    </row>
    <row r="437" spans="1:17" ht="14.45" customHeight="1" x14ac:dyDescent="0.2">
      <c r="A437" s="1481" t="s">
        <v>388</v>
      </c>
      <c r="B437" s="1146">
        <v>5</v>
      </c>
      <c r="C437" s="1146">
        <v>4</v>
      </c>
      <c r="D437" s="957">
        <v>24</v>
      </c>
      <c r="E437" s="1147">
        <v>6</v>
      </c>
      <c r="F437" s="1342" t="s">
        <v>985</v>
      </c>
      <c r="G437" s="1259">
        <v>2622000</v>
      </c>
      <c r="H437" s="959">
        <v>15431638.262649499</v>
      </c>
      <c r="I437" s="1492"/>
      <c r="J437" s="960"/>
      <c r="K437" s="961"/>
      <c r="L437" s="2217">
        <v>3</v>
      </c>
      <c r="M437" s="1146">
        <v>3</v>
      </c>
      <c r="N437" s="1146">
        <v>18</v>
      </c>
      <c r="O437" s="1630">
        <v>6</v>
      </c>
      <c r="P437" s="1261">
        <v>2506000</v>
      </c>
      <c r="Q437" s="1149">
        <v>15431638.262649499</v>
      </c>
    </row>
    <row r="438" spans="1:17" ht="14.45" customHeight="1" x14ac:dyDescent="0.2">
      <c r="A438" s="1481" t="s">
        <v>389</v>
      </c>
      <c r="B438" s="1146">
        <v>0</v>
      </c>
      <c r="C438" s="1146">
        <v>0</v>
      </c>
      <c r="D438" s="957">
        <v>0</v>
      </c>
      <c r="E438" s="1147">
        <v>0</v>
      </c>
      <c r="F438" s="1342"/>
      <c r="G438" s="1259"/>
      <c r="H438" s="959"/>
      <c r="I438" s="1492"/>
      <c r="J438" s="960"/>
      <c r="K438" s="961"/>
      <c r="L438" s="2217">
        <v>0</v>
      </c>
      <c r="M438" s="1146">
        <v>0</v>
      </c>
      <c r="N438" s="1146">
        <v>0</v>
      </c>
      <c r="O438" s="1630">
        <v>0</v>
      </c>
      <c r="P438" s="1261"/>
      <c r="Q438" s="1149"/>
    </row>
    <row r="439" spans="1:17" ht="14.45" customHeight="1" x14ac:dyDescent="0.2">
      <c r="A439" s="1481" t="s">
        <v>390</v>
      </c>
      <c r="B439" s="1146">
        <v>0.5</v>
      </c>
      <c r="C439" s="1146">
        <v>0.5</v>
      </c>
      <c r="D439" s="957">
        <v>3</v>
      </c>
      <c r="E439" s="1147">
        <v>6</v>
      </c>
      <c r="F439" s="1342" t="s">
        <v>985</v>
      </c>
      <c r="G439" s="1259">
        <v>2622000</v>
      </c>
      <c r="H439" s="959">
        <v>15431638.262649499</v>
      </c>
      <c r="I439" s="1492"/>
      <c r="J439" s="960"/>
      <c r="K439" s="961"/>
      <c r="L439" s="2217">
        <v>0.5</v>
      </c>
      <c r="M439" s="1146">
        <v>0.5</v>
      </c>
      <c r="N439" s="1146">
        <v>3</v>
      </c>
      <c r="O439" s="1630">
        <v>6</v>
      </c>
      <c r="P439" s="1261">
        <v>2506000</v>
      </c>
      <c r="Q439" s="1149">
        <v>15431638.262649499</v>
      </c>
    </row>
    <row r="440" spans="1:17" ht="14.45" customHeight="1" x14ac:dyDescent="0.2">
      <c r="A440" s="1481" t="s">
        <v>391</v>
      </c>
      <c r="B440" s="1146">
        <v>10</v>
      </c>
      <c r="C440" s="1146">
        <v>10</v>
      </c>
      <c r="D440" s="957">
        <v>70</v>
      </c>
      <c r="E440" s="1147">
        <v>7</v>
      </c>
      <c r="F440" s="1342" t="s">
        <v>985</v>
      </c>
      <c r="G440" s="1259">
        <v>2622000</v>
      </c>
      <c r="H440" s="959">
        <v>15431638.262649499</v>
      </c>
      <c r="I440" s="1492"/>
      <c r="J440" s="960"/>
      <c r="K440" s="961"/>
      <c r="L440" s="2217">
        <v>15</v>
      </c>
      <c r="M440" s="1146">
        <v>15</v>
      </c>
      <c r="N440" s="1146">
        <v>90</v>
      </c>
      <c r="O440" s="1630">
        <v>6</v>
      </c>
      <c r="P440" s="1261">
        <v>2506000</v>
      </c>
      <c r="Q440" s="1149">
        <v>15431638.262649499</v>
      </c>
    </row>
    <row r="441" spans="1:17" ht="14.45" customHeight="1" x14ac:dyDescent="0.2">
      <c r="A441" s="1493" t="s">
        <v>392</v>
      </c>
      <c r="B441" s="1529">
        <v>8</v>
      </c>
      <c r="C441" s="1529">
        <v>8</v>
      </c>
      <c r="D441" s="957">
        <v>56</v>
      </c>
      <c r="E441" s="1526">
        <v>7</v>
      </c>
      <c r="F441" s="1342" t="s">
        <v>985</v>
      </c>
      <c r="G441" s="1259">
        <v>2622000</v>
      </c>
      <c r="H441" s="959">
        <v>15431638.262649499</v>
      </c>
      <c r="I441" s="1502"/>
      <c r="J441" s="1496"/>
      <c r="K441" s="1503"/>
      <c r="L441" s="2273">
        <v>4</v>
      </c>
      <c r="M441" s="1529">
        <v>3.5</v>
      </c>
      <c r="N441" s="1529">
        <v>28</v>
      </c>
      <c r="O441" s="2312">
        <v>8</v>
      </c>
      <c r="P441" s="1261">
        <v>2506000</v>
      </c>
      <c r="Q441" s="1149">
        <v>15431638.262649499</v>
      </c>
    </row>
    <row r="442" spans="1:17" ht="14.45" customHeight="1" thickBot="1" x14ac:dyDescent="0.25">
      <c r="A442" s="1006" t="s">
        <v>393</v>
      </c>
      <c r="B442" s="1007">
        <v>319.5</v>
      </c>
      <c r="C442" s="1007">
        <v>309</v>
      </c>
      <c r="D442" s="1007">
        <v>2128</v>
      </c>
      <c r="E442" s="1482">
        <v>6.8867313915857604</v>
      </c>
      <c r="F442" s="1480" t="s">
        <v>985</v>
      </c>
      <c r="G442" s="1085">
        <v>2621999.9999999995</v>
      </c>
      <c r="H442" s="1085">
        <v>15431638.262649499</v>
      </c>
      <c r="I442" s="1008"/>
      <c r="J442" s="1008" t="s">
        <v>983</v>
      </c>
      <c r="K442" s="1011"/>
      <c r="L442" s="1007">
        <v>282</v>
      </c>
      <c r="M442" s="1007">
        <v>267</v>
      </c>
      <c r="N442" s="1007">
        <v>1638.5</v>
      </c>
      <c r="O442" s="1083">
        <v>6.1367041198501875</v>
      </c>
      <c r="P442" s="1603">
        <v>2505999.9999999995</v>
      </c>
      <c r="Q442" s="1607">
        <v>15431638.262649501</v>
      </c>
    </row>
    <row r="443" spans="1:17" x14ac:dyDescent="0.2">
      <c r="A443" s="7" t="s">
        <v>1934</v>
      </c>
      <c r="B443" s="8"/>
      <c r="C443" s="8"/>
      <c r="D443" s="8"/>
      <c r="E443" s="4"/>
      <c r="F443" s="5"/>
      <c r="G443" s="9"/>
      <c r="H443" s="8"/>
      <c r="I443" s="4"/>
      <c r="J443" s="1"/>
      <c r="K443" s="1"/>
      <c r="O443" s="1"/>
      <c r="P443" s="1"/>
    </row>
    <row r="444" spans="1:17" x14ac:dyDescent="0.2">
      <c r="A444" s="6"/>
      <c r="B444" s="8"/>
      <c r="C444" s="8"/>
      <c r="D444" s="8"/>
      <c r="E444" s="4"/>
      <c r="F444" s="5"/>
      <c r="G444" s="9"/>
      <c r="H444" s="8"/>
      <c r="I444" s="4"/>
      <c r="J444" s="1"/>
      <c r="K444" s="1"/>
      <c r="O444" s="1"/>
      <c r="P444" s="1"/>
    </row>
    <row r="445" spans="1:17" x14ac:dyDescent="0.2">
      <c r="A445" s="6"/>
      <c r="B445" s="8"/>
      <c r="C445" s="8"/>
      <c r="D445" s="8"/>
      <c r="E445" s="4"/>
      <c r="F445" s="5"/>
      <c r="G445" s="9"/>
      <c r="H445" s="8"/>
      <c r="I445" s="4"/>
      <c r="J445" s="1"/>
      <c r="K445" s="1"/>
      <c r="O445" s="1"/>
      <c r="P445" s="1"/>
    </row>
    <row r="446" spans="1:17" x14ac:dyDescent="0.2">
      <c r="A446" s="6"/>
      <c r="B446" s="8"/>
      <c r="C446" s="8"/>
      <c r="D446" s="8"/>
      <c r="E446" s="4"/>
      <c r="F446" s="5"/>
      <c r="G446" s="9"/>
      <c r="H446" s="8"/>
      <c r="I446" s="4"/>
      <c r="J446" s="1"/>
      <c r="K446" s="1"/>
      <c r="O446" s="1"/>
      <c r="P446" s="1"/>
    </row>
    <row r="447" spans="1:17" x14ac:dyDescent="0.2">
      <c r="A447" s="6"/>
      <c r="B447" s="8"/>
      <c r="C447" s="8"/>
      <c r="D447" s="8"/>
      <c r="E447" s="2380"/>
      <c r="F447" s="5"/>
      <c r="G447" s="9"/>
      <c r="H447" s="8"/>
      <c r="I447" s="2380"/>
      <c r="J447" s="2381"/>
      <c r="K447" s="2381"/>
      <c r="O447" s="2381"/>
      <c r="P447" s="2381"/>
    </row>
    <row r="448" spans="1:17" x14ac:dyDescent="0.2">
      <c r="A448" s="6"/>
      <c r="B448" s="8"/>
      <c r="C448" s="8"/>
      <c r="D448" s="8"/>
      <c r="E448" s="2380"/>
      <c r="F448" s="5"/>
      <c r="G448" s="9"/>
      <c r="H448" s="8"/>
      <c r="I448" s="2380"/>
      <c r="J448" s="2381"/>
      <c r="K448" s="2381"/>
      <c r="O448" s="2381"/>
      <c r="P448" s="2381"/>
    </row>
    <row r="449" spans="1:17" ht="15.75" customHeight="1" x14ac:dyDescent="0.25">
      <c r="A449" s="2512" t="s">
        <v>1929</v>
      </c>
      <c r="B449" s="2512"/>
      <c r="C449" s="2512"/>
      <c r="D449" s="2512"/>
      <c r="E449" s="2512"/>
      <c r="F449" s="2512"/>
      <c r="G449" s="2512"/>
      <c r="H449" s="2512"/>
      <c r="I449" s="2512"/>
      <c r="J449" s="2512"/>
      <c r="K449" s="2512"/>
      <c r="L449" s="2512"/>
      <c r="M449" s="2512"/>
      <c r="N449" s="2512"/>
      <c r="O449" s="2512"/>
      <c r="P449" s="2512"/>
      <c r="Q449" s="2512"/>
    </row>
    <row r="450" spans="1:17" x14ac:dyDescent="0.2">
      <c r="A450" s="3"/>
      <c r="B450" s="6"/>
      <c r="C450" s="6"/>
      <c r="D450" s="6"/>
      <c r="E450" s="1"/>
      <c r="F450" s="2"/>
      <c r="G450" s="6"/>
      <c r="H450" s="6"/>
      <c r="I450" s="1"/>
      <c r="J450" s="1"/>
      <c r="K450" s="1"/>
      <c r="L450" s="6"/>
      <c r="M450" s="6"/>
      <c r="N450" s="6"/>
      <c r="O450" s="1"/>
      <c r="P450" s="1"/>
      <c r="Q450" s="6"/>
    </row>
    <row r="451" spans="1:17" ht="13.5" thickBot="1" x14ac:dyDescent="0.25">
      <c r="A451" s="3" t="s">
        <v>303</v>
      </c>
      <c r="B451" s="6"/>
      <c r="C451" s="6"/>
      <c r="D451" s="6"/>
      <c r="E451" s="1"/>
      <c r="F451" s="2"/>
      <c r="G451" s="6"/>
      <c r="H451" s="6"/>
      <c r="I451" s="1"/>
      <c r="J451" s="1"/>
      <c r="K451" s="1"/>
      <c r="L451" s="6"/>
      <c r="M451" s="6"/>
      <c r="N451" s="6"/>
      <c r="O451" s="1"/>
      <c r="P451" s="1"/>
      <c r="Q451" s="6"/>
    </row>
    <row r="452" spans="1:17" ht="14.45" customHeight="1" thickBot="1" x14ac:dyDescent="0.25">
      <c r="A452" s="2513" t="s">
        <v>327</v>
      </c>
      <c r="B452" s="2516" t="s">
        <v>1935</v>
      </c>
      <c r="C452" s="2517"/>
      <c r="D452" s="2517"/>
      <c r="E452" s="2517"/>
      <c r="F452" s="2517"/>
      <c r="G452" s="2517"/>
      <c r="H452" s="2517"/>
      <c r="I452" s="2517"/>
      <c r="J452" s="2517"/>
      <c r="K452" s="2517"/>
      <c r="L452" s="2518" t="s">
        <v>1930</v>
      </c>
      <c r="M452" s="2519"/>
      <c r="N452" s="2519"/>
      <c r="O452" s="2519"/>
      <c r="P452" s="2520"/>
      <c r="Q452" s="2521"/>
    </row>
    <row r="453" spans="1:17" ht="14.45" customHeight="1" x14ac:dyDescent="0.2">
      <c r="A453" s="2514"/>
      <c r="B453" s="2522" t="s">
        <v>328</v>
      </c>
      <c r="C453" s="2523"/>
      <c r="D453" s="1014"/>
      <c r="E453" s="1014" t="s">
        <v>904</v>
      </c>
      <c r="F453" s="1014" t="s">
        <v>329</v>
      </c>
      <c r="G453" s="1014"/>
      <c r="H453" s="1014"/>
      <c r="I453" s="2526" t="s">
        <v>330</v>
      </c>
      <c r="J453" s="2527"/>
      <c r="K453" s="2528"/>
      <c r="L453" s="2524" t="s">
        <v>328</v>
      </c>
      <c r="M453" s="2525"/>
      <c r="N453" s="1021" t="s">
        <v>331</v>
      </c>
      <c r="O453" s="1022" t="s">
        <v>332</v>
      </c>
      <c r="P453" s="1023"/>
      <c r="Q453" s="1024"/>
    </row>
    <row r="454" spans="1:17" ht="14.45" customHeight="1" x14ac:dyDescent="0.2">
      <c r="A454" s="2514"/>
      <c r="B454" s="1014" t="s">
        <v>835</v>
      </c>
      <c r="C454" s="1014" t="s">
        <v>335</v>
      </c>
      <c r="D454" s="1014" t="s">
        <v>837</v>
      </c>
      <c r="E454" s="1014" t="s">
        <v>842</v>
      </c>
      <c r="F454" s="1014" t="s">
        <v>336</v>
      </c>
      <c r="G454" s="1014" t="s">
        <v>337</v>
      </c>
      <c r="H454" s="1014" t="s">
        <v>338</v>
      </c>
      <c r="I454" s="2529" t="s">
        <v>839</v>
      </c>
      <c r="J454" s="2530"/>
      <c r="K454" s="2531"/>
      <c r="L454" s="1025" t="s">
        <v>835</v>
      </c>
      <c r="M454" s="1021" t="s">
        <v>335</v>
      </c>
      <c r="N454" s="1021" t="s">
        <v>339</v>
      </c>
      <c r="O454" s="1022"/>
      <c r="P454" s="1021" t="s">
        <v>337</v>
      </c>
      <c r="Q454" s="1024" t="s">
        <v>338</v>
      </c>
    </row>
    <row r="455" spans="1:17" ht="14.45" customHeight="1" x14ac:dyDescent="0.2">
      <c r="A455" s="2514"/>
      <c r="B455" s="1014"/>
      <c r="C455" s="1014"/>
      <c r="D455" s="1014"/>
      <c r="E455" s="1014"/>
      <c r="F455" s="1014" t="s">
        <v>341</v>
      </c>
      <c r="G455" s="1014" t="s">
        <v>342</v>
      </c>
      <c r="H455" s="1014" t="s">
        <v>341</v>
      </c>
      <c r="I455" s="1015"/>
      <c r="J455" s="1016"/>
      <c r="K455" s="1017"/>
      <c r="L455" s="1025"/>
      <c r="M455" s="1021"/>
      <c r="N455" s="1021"/>
      <c r="O455" s="1022" t="s">
        <v>344</v>
      </c>
      <c r="P455" s="1021" t="s">
        <v>342</v>
      </c>
      <c r="Q455" s="1024" t="s">
        <v>341</v>
      </c>
    </row>
    <row r="456" spans="1:17" ht="14.45" customHeight="1" x14ac:dyDescent="0.2">
      <c r="A456" s="2515"/>
      <c r="B456" s="1018" t="s">
        <v>345</v>
      </c>
      <c r="C456" s="1018" t="s">
        <v>345</v>
      </c>
      <c r="D456" s="1018" t="s">
        <v>346</v>
      </c>
      <c r="E456" s="1018" t="s">
        <v>757</v>
      </c>
      <c r="F456" s="1018"/>
      <c r="G456" s="1018" t="s">
        <v>347</v>
      </c>
      <c r="H456" s="1018" t="s">
        <v>348</v>
      </c>
      <c r="I456" s="1019" t="s">
        <v>349</v>
      </c>
      <c r="J456" s="1019" t="s">
        <v>350</v>
      </c>
      <c r="K456" s="1020" t="s">
        <v>351</v>
      </c>
      <c r="L456" s="1026" t="s">
        <v>345</v>
      </c>
      <c r="M456" s="1027" t="s">
        <v>345</v>
      </c>
      <c r="N456" s="1027" t="s">
        <v>346</v>
      </c>
      <c r="O456" s="1028"/>
      <c r="P456" s="1027" t="s">
        <v>347</v>
      </c>
      <c r="Q456" s="1029" t="s">
        <v>348</v>
      </c>
    </row>
    <row r="457" spans="1:17" ht="14.45" customHeight="1" x14ac:dyDescent="0.2">
      <c r="A457" s="975" t="s">
        <v>352</v>
      </c>
      <c r="B457" s="976">
        <v>261</v>
      </c>
      <c r="C457" s="976">
        <v>235</v>
      </c>
      <c r="D457" s="977">
        <v>1182.99</v>
      </c>
      <c r="E457" s="1608">
        <v>5.0339999999999998</v>
      </c>
      <c r="F457" s="979"/>
      <c r="G457" s="976"/>
      <c r="H457" s="976"/>
      <c r="I457" s="978"/>
      <c r="J457" s="978"/>
      <c r="K457" s="980"/>
      <c r="L457" s="981">
        <v>183</v>
      </c>
      <c r="M457" s="977">
        <v>180</v>
      </c>
      <c r="N457" s="977">
        <v>873.53</v>
      </c>
      <c r="O457" s="1608">
        <v>4.8529444444444447</v>
      </c>
      <c r="P457" s="1609"/>
      <c r="Q457" s="1610"/>
    </row>
    <row r="458" spans="1:17" ht="14.45" customHeight="1" x14ac:dyDescent="0.2">
      <c r="A458" s="1481" t="s">
        <v>353</v>
      </c>
      <c r="B458" s="1146">
        <v>30</v>
      </c>
      <c r="C458" s="1146">
        <v>30</v>
      </c>
      <c r="D458" s="957">
        <v>150</v>
      </c>
      <c r="E458" s="1147">
        <v>5</v>
      </c>
      <c r="F458" s="1342" t="s">
        <v>985</v>
      </c>
      <c r="G458" s="1259">
        <v>2145000</v>
      </c>
      <c r="H458" s="1149">
        <v>6500000</v>
      </c>
      <c r="I458" s="960"/>
      <c r="J458" s="960"/>
      <c r="K458" s="961"/>
      <c r="L458" s="2217">
        <v>30</v>
      </c>
      <c r="M458" s="1146">
        <v>30</v>
      </c>
      <c r="N458" s="1146">
        <v>150</v>
      </c>
      <c r="O458" s="1147">
        <v>5</v>
      </c>
      <c r="P458" s="1259">
        <v>2300000</v>
      </c>
      <c r="Q458" s="1149">
        <v>6500000</v>
      </c>
    </row>
    <row r="459" spans="1:17" ht="14.45" customHeight="1" x14ac:dyDescent="0.2">
      <c r="A459" s="1481" t="s">
        <v>354</v>
      </c>
      <c r="B459" s="1146">
        <v>11</v>
      </c>
      <c r="C459" s="1146">
        <v>11</v>
      </c>
      <c r="D459" s="957">
        <v>52.69</v>
      </c>
      <c r="E459" s="1147">
        <v>4.79</v>
      </c>
      <c r="F459" s="1342" t="s">
        <v>985</v>
      </c>
      <c r="G459" s="1259">
        <v>2145000</v>
      </c>
      <c r="H459" s="1149">
        <v>6500000</v>
      </c>
      <c r="I459" s="960"/>
      <c r="J459" s="960"/>
      <c r="K459" s="961"/>
      <c r="L459" s="2217">
        <v>7</v>
      </c>
      <c r="M459" s="1146">
        <v>7</v>
      </c>
      <c r="N459" s="1146">
        <v>33.53</v>
      </c>
      <c r="O459" s="1147">
        <v>4.79</v>
      </c>
      <c r="P459" s="1259">
        <v>2300000</v>
      </c>
      <c r="Q459" s="1149">
        <v>6500000</v>
      </c>
    </row>
    <row r="460" spans="1:17" ht="14.45" customHeight="1" x14ac:dyDescent="0.2">
      <c r="A460" s="1481" t="s">
        <v>355</v>
      </c>
      <c r="B460" s="1146">
        <v>13</v>
      </c>
      <c r="C460" s="1146">
        <v>12</v>
      </c>
      <c r="D460" s="957">
        <v>84</v>
      </c>
      <c r="E460" s="1147">
        <v>7</v>
      </c>
      <c r="F460" s="1342" t="s">
        <v>985</v>
      </c>
      <c r="G460" s="1259">
        <v>2145000</v>
      </c>
      <c r="H460" s="1149">
        <v>6500000</v>
      </c>
      <c r="I460" s="960"/>
      <c r="J460" s="960"/>
      <c r="K460" s="961"/>
      <c r="L460" s="2217">
        <v>18</v>
      </c>
      <c r="M460" s="1146">
        <v>15</v>
      </c>
      <c r="N460" s="1146">
        <v>105</v>
      </c>
      <c r="O460" s="1147">
        <v>7</v>
      </c>
      <c r="P460" s="1259">
        <v>2300000</v>
      </c>
      <c r="Q460" s="1149">
        <v>6500000</v>
      </c>
    </row>
    <row r="461" spans="1:17" ht="14.45" customHeight="1" x14ac:dyDescent="0.2">
      <c r="A461" s="1481" t="s">
        <v>356</v>
      </c>
      <c r="B461" s="1146">
        <v>15</v>
      </c>
      <c r="C461" s="1146">
        <v>15</v>
      </c>
      <c r="D461" s="957">
        <v>67.5</v>
      </c>
      <c r="E461" s="1147">
        <v>4.5</v>
      </c>
      <c r="F461" s="1342" t="s">
        <v>985</v>
      </c>
      <c r="G461" s="1259">
        <v>2145000</v>
      </c>
      <c r="H461" s="1149">
        <v>6500000</v>
      </c>
      <c r="I461" s="960"/>
      <c r="J461" s="960"/>
      <c r="K461" s="961"/>
      <c r="L461" s="2217">
        <v>30</v>
      </c>
      <c r="M461" s="1146">
        <v>30</v>
      </c>
      <c r="N461" s="1146">
        <v>135</v>
      </c>
      <c r="O461" s="1147">
        <v>4.5</v>
      </c>
      <c r="P461" s="1259">
        <v>2300000</v>
      </c>
      <c r="Q461" s="1149">
        <v>6500000</v>
      </c>
    </row>
    <row r="462" spans="1:17" ht="14.45" customHeight="1" x14ac:dyDescent="0.2">
      <c r="A462" s="1481" t="s">
        <v>357</v>
      </c>
      <c r="B462" s="1146">
        <v>40</v>
      </c>
      <c r="C462" s="1146">
        <v>40</v>
      </c>
      <c r="D462" s="957">
        <v>200</v>
      </c>
      <c r="E462" s="1147">
        <v>5</v>
      </c>
      <c r="F462" s="1342" t="s">
        <v>985</v>
      </c>
      <c r="G462" s="1259">
        <v>2145000</v>
      </c>
      <c r="H462" s="1149">
        <v>6500000</v>
      </c>
      <c r="I462" s="960"/>
      <c r="J462" s="960"/>
      <c r="K462" s="961"/>
      <c r="L462" s="2217">
        <v>10</v>
      </c>
      <c r="M462" s="1146">
        <v>10</v>
      </c>
      <c r="N462" s="1146">
        <v>50</v>
      </c>
      <c r="O462" s="1147">
        <v>5</v>
      </c>
      <c r="P462" s="1259">
        <v>2300000</v>
      </c>
      <c r="Q462" s="1149">
        <v>6500000</v>
      </c>
    </row>
    <row r="463" spans="1:17" ht="14.45" customHeight="1" x14ac:dyDescent="0.2">
      <c r="A463" s="1481" t="s">
        <v>358</v>
      </c>
      <c r="B463" s="1146">
        <v>70</v>
      </c>
      <c r="C463" s="1146">
        <v>50</v>
      </c>
      <c r="D463" s="957">
        <v>225</v>
      </c>
      <c r="E463" s="1147">
        <v>4.5</v>
      </c>
      <c r="F463" s="1342" t="s">
        <v>985</v>
      </c>
      <c r="G463" s="1259">
        <v>2145000</v>
      </c>
      <c r="H463" s="1149">
        <v>6500000</v>
      </c>
      <c r="I463" s="960"/>
      <c r="J463" s="960"/>
      <c r="K463" s="961"/>
      <c r="L463" s="2217">
        <v>20</v>
      </c>
      <c r="M463" s="1146">
        <v>20</v>
      </c>
      <c r="N463" s="1146">
        <v>88</v>
      </c>
      <c r="O463" s="1147">
        <v>4.4000000000000004</v>
      </c>
      <c r="P463" s="1259">
        <v>2300000</v>
      </c>
      <c r="Q463" s="1149">
        <v>6500000</v>
      </c>
    </row>
    <row r="464" spans="1:17" ht="14.45" customHeight="1" x14ac:dyDescent="0.2">
      <c r="A464" s="1481" t="s">
        <v>359</v>
      </c>
      <c r="B464" s="1146">
        <v>9</v>
      </c>
      <c r="C464" s="1146">
        <v>9</v>
      </c>
      <c r="D464" s="957">
        <v>81</v>
      </c>
      <c r="E464" s="1147">
        <v>9</v>
      </c>
      <c r="F464" s="1342" t="s">
        <v>985</v>
      </c>
      <c r="G464" s="1259">
        <v>2145000</v>
      </c>
      <c r="H464" s="1149">
        <v>6500000</v>
      </c>
      <c r="I464" s="960"/>
      <c r="J464" s="960"/>
      <c r="K464" s="961"/>
      <c r="L464" s="2217">
        <v>14</v>
      </c>
      <c r="M464" s="1146">
        <v>14</v>
      </c>
      <c r="N464" s="1146">
        <v>70</v>
      </c>
      <c r="O464" s="1147">
        <v>5</v>
      </c>
      <c r="P464" s="1259">
        <v>2300000</v>
      </c>
      <c r="Q464" s="1149">
        <v>6500000</v>
      </c>
    </row>
    <row r="465" spans="1:17" ht="14.45" customHeight="1" x14ac:dyDescent="0.2">
      <c r="A465" s="1481" t="s">
        <v>360</v>
      </c>
      <c r="B465" s="1146">
        <v>15</v>
      </c>
      <c r="C465" s="1146">
        <v>15</v>
      </c>
      <c r="D465" s="957">
        <v>75</v>
      </c>
      <c r="E465" s="1147">
        <v>5</v>
      </c>
      <c r="F465" s="1342" t="s">
        <v>985</v>
      </c>
      <c r="G465" s="1259">
        <v>2145000</v>
      </c>
      <c r="H465" s="1149">
        <v>6500000</v>
      </c>
      <c r="I465" s="960"/>
      <c r="J465" s="960"/>
      <c r="K465" s="961"/>
      <c r="L465" s="2217">
        <v>13</v>
      </c>
      <c r="M465" s="1146">
        <v>13</v>
      </c>
      <c r="N465" s="1146">
        <v>65</v>
      </c>
      <c r="O465" s="1147">
        <v>5</v>
      </c>
      <c r="P465" s="1259">
        <v>2300000</v>
      </c>
      <c r="Q465" s="1149">
        <v>6500000</v>
      </c>
    </row>
    <row r="466" spans="1:17" ht="14.45" customHeight="1" x14ac:dyDescent="0.2">
      <c r="A466" s="1481" t="s">
        <v>361</v>
      </c>
      <c r="B466" s="1146">
        <v>35</v>
      </c>
      <c r="C466" s="1146">
        <v>31</v>
      </c>
      <c r="D466" s="957">
        <v>155</v>
      </c>
      <c r="E466" s="1147">
        <v>5</v>
      </c>
      <c r="F466" s="1342" t="s">
        <v>985</v>
      </c>
      <c r="G466" s="1259">
        <v>2145000</v>
      </c>
      <c r="H466" s="1149">
        <v>6500000</v>
      </c>
      <c r="I466" s="960"/>
      <c r="J466" s="960"/>
      <c r="K466" s="961"/>
      <c r="L466" s="2217">
        <v>18</v>
      </c>
      <c r="M466" s="1146">
        <v>18</v>
      </c>
      <c r="N466" s="1146">
        <v>81</v>
      </c>
      <c r="O466" s="1147">
        <v>4.5</v>
      </c>
      <c r="P466" s="1259">
        <v>2300000</v>
      </c>
      <c r="Q466" s="1149">
        <v>6500000</v>
      </c>
    </row>
    <row r="467" spans="1:17" ht="14.45" customHeight="1" x14ac:dyDescent="0.2">
      <c r="A467" s="1481" t="s">
        <v>362</v>
      </c>
      <c r="B467" s="1146">
        <v>2</v>
      </c>
      <c r="C467" s="1146">
        <v>2</v>
      </c>
      <c r="D467" s="957">
        <v>10</v>
      </c>
      <c r="E467" s="1147">
        <v>5</v>
      </c>
      <c r="F467" s="1342" t="s">
        <v>985</v>
      </c>
      <c r="G467" s="1259">
        <v>2145000</v>
      </c>
      <c r="H467" s="1149">
        <v>6500000</v>
      </c>
      <c r="I467" s="960"/>
      <c r="J467" s="960"/>
      <c r="K467" s="961"/>
      <c r="L467" s="2217">
        <v>1</v>
      </c>
      <c r="M467" s="1146">
        <v>1</v>
      </c>
      <c r="N467" s="1146">
        <v>5</v>
      </c>
      <c r="O467" s="1147">
        <v>5</v>
      </c>
      <c r="P467" s="1259">
        <v>2300000</v>
      </c>
      <c r="Q467" s="1149">
        <v>6500000</v>
      </c>
    </row>
    <row r="468" spans="1:17" ht="14.45" customHeight="1" x14ac:dyDescent="0.2">
      <c r="A468" s="1481" t="s">
        <v>363</v>
      </c>
      <c r="B468" s="1146">
        <v>2</v>
      </c>
      <c r="C468" s="1146">
        <v>2</v>
      </c>
      <c r="D468" s="957">
        <v>8</v>
      </c>
      <c r="E468" s="1147">
        <v>4</v>
      </c>
      <c r="F468" s="1342" t="s">
        <v>985</v>
      </c>
      <c r="G468" s="1259">
        <v>2145000</v>
      </c>
      <c r="H468" s="1149">
        <v>6500000</v>
      </c>
      <c r="I468" s="960"/>
      <c r="J468" s="960"/>
      <c r="K468" s="961"/>
      <c r="L468" s="2217">
        <v>2</v>
      </c>
      <c r="M468" s="1146">
        <v>2</v>
      </c>
      <c r="N468" s="1146">
        <v>8</v>
      </c>
      <c r="O468" s="1147">
        <v>4</v>
      </c>
      <c r="P468" s="1259">
        <v>2300000</v>
      </c>
      <c r="Q468" s="1149">
        <v>6500000</v>
      </c>
    </row>
    <row r="469" spans="1:17" ht="14.45" customHeight="1" x14ac:dyDescent="0.2">
      <c r="A469" s="1481" t="s">
        <v>364</v>
      </c>
      <c r="B469" s="1146">
        <v>15</v>
      </c>
      <c r="C469" s="1146">
        <v>14</v>
      </c>
      <c r="D469" s="957">
        <v>58.800000000000004</v>
      </c>
      <c r="E469" s="1147">
        <v>4.2</v>
      </c>
      <c r="F469" s="1342" t="s">
        <v>985</v>
      </c>
      <c r="G469" s="1259">
        <v>2145000</v>
      </c>
      <c r="H469" s="1149">
        <v>6500000</v>
      </c>
      <c r="I469" s="960"/>
      <c r="J469" s="960"/>
      <c r="K469" s="961"/>
      <c r="L469" s="2217">
        <v>15</v>
      </c>
      <c r="M469" s="1146">
        <v>15</v>
      </c>
      <c r="N469" s="1146">
        <v>63</v>
      </c>
      <c r="O469" s="1147">
        <v>4.2</v>
      </c>
      <c r="P469" s="1259">
        <v>2300000</v>
      </c>
      <c r="Q469" s="1149">
        <v>6500000</v>
      </c>
    </row>
    <row r="470" spans="1:17" ht="14.45" customHeight="1" x14ac:dyDescent="0.2">
      <c r="A470" s="1481" t="s">
        <v>365</v>
      </c>
      <c r="B470" s="1146">
        <v>4</v>
      </c>
      <c r="C470" s="1146">
        <v>4</v>
      </c>
      <c r="D470" s="957">
        <v>16</v>
      </c>
      <c r="E470" s="1147">
        <v>4</v>
      </c>
      <c r="F470" s="1342" t="s">
        <v>985</v>
      </c>
      <c r="G470" s="1259">
        <v>2145000</v>
      </c>
      <c r="H470" s="1149">
        <v>6500000</v>
      </c>
      <c r="I470" s="960"/>
      <c r="J470" s="960"/>
      <c r="K470" s="961"/>
      <c r="L470" s="2217">
        <v>5</v>
      </c>
      <c r="M470" s="1146">
        <v>5</v>
      </c>
      <c r="N470" s="1146">
        <v>20</v>
      </c>
      <c r="O470" s="1147">
        <v>4</v>
      </c>
      <c r="P470" s="1259">
        <v>2300000</v>
      </c>
      <c r="Q470" s="1149">
        <v>6500000</v>
      </c>
    </row>
    <row r="471" spans="1:17" ht="14.45" customHeight="1" x14ac:dyDescent="0.2">
      <c r="A471" s="1481" t="s">
        <v>366</v>
      </c>
      <c r="B471" s="1146"/>
      <c r="C471" s="1146"/>
      <c r="D471" s="957">
        <v>0</v>
      </c>
      <c r="E471" s="1147"/>
      <c r="F471" s="1342"/>
      <c r="G471" s="1259"/>
      <c r="H471" s="1149"/>
      <c r="I471" s="960"/>
      <c r="J471" s="960"/>
      <c r="K471" s="961"/>
      <c r="L471" s="2213"/>
      <c r="M471" s="1146"/>
      <c r="N471" s="1146">
        <v>0</v>
      </c>
      <c r="O471" s="1147"/>
      <c r="P471" s="1259"/>
      <c r="Q471" s="1149"/>
    </row>
    <row r="472" spans="1:17" ht="14.45" customHeight="1" x14ac:dyDescent="0.2">
      <c r="A472" s="1481" t="s">
        <v>367</v>
      </c>
      <c r="B472" s="1146">
        <v>0</v>
      </c>
      <c r="C472" s="1146">
        <v>0</v>
      </c>
      <c r="D472" s="957">
        <v>0</v>
      </c>
      <c r="E472" s="2215">
        <v>0</v>
      </c>
      <c r="F472" s="964"/>
      <c r="G472" s="1259"/>
      <c r="H472" s="1149"/>
      <c r="I472" s="960"/>
      <c r="J472" s="960"/>
      <c r="K472" s="961"/>
      <c r="L472" s="2217">
        <v>0</v>
      </c>
      <c r="M472" s="1146">
        <v>0</v>
      </c>
      <c r="N472" s="1146">
        <v>0</v>
      </c>
      <c r="O472" s="1623">
        <v>0</v>
      </c>
      <c r="P472" s="1259"/>
      <c r="Q472" s="1149"/>
    </row>
    <row r="473" spans="1:17" ht="14.45" customHeight="1" x14ac:dyDescent="0.2">
      <c r="A473" s="1484" t="s">
        <v>368</v>
      </c>
      <c r="B473" s="1002">
        <v>123</v>
      </c>
      <c r="C473" s="1002">
        <v>123</v>
      </c>
      <c r="D473" s="1075">
        <v>1071.75</v>
      </c>
      <c r="E473" s="2216">
        <v>8.713414634146341</v>
      </c>
      <c r="F473" s="987"/>
      <c r="G473" s="1486"/>
      <c r="H473" s="1487"/>
      <c r="I473" s="989"/>
      <c r="J473" s="989"/>
      <c r="K473" s="990"/>
      <c r="L473" s="1453">
        <v>106</v>
      </c>
      <c r="M473" s="1002">
        <v>105</v>
      </c>
      <c r="N473" s="1002">
        <v>746.75</v>
      </c>
      <c r="O473" s="1608">
        <v>7.1119047619047615</v>
      </c>
      <c r="P473" s="2275"/>
      <c r="Q473" s="1605"/>
    </row>
    <row r="474" spans="1:17" ht="14.45" customHeight="1" x14ac:dyDescent="0.2">
      <c r="A474" s="1481" t="s">
        <v>369</v>
      </c>
      <c r="B474" s="1146">
        <v>82</v>
      </c>
      <c r="C474" s="1146">
        <v>82</v>
      </c>
      <c r="D474" s="957">
        <v>820</v>
      </c>
      <c r="E474" s="1147">
        <v>10</v>
      </c>
      <c r="F474" s="1342" t="s">
        <v>985</v>
      </c>
      <c r="G474" s="1259">
        <v>2145000</v>
      </c>
      <c r="H474" s="1149">
        <v>6500000</v>
      </c>
      <c r="I474" s="960"/>
      <c r="J474" s="960"/>
      <c r="K474" s="961"/>
      <c r="L474" s="2217">
        <v>61</v>
      </c>
      <c r="M474" s="1146">
        <v>60</v>
      </c>
      <c r="N474" s="1146">
        <v>480</v>
      </c>
      <c r="O474" s="1147">
        <v>8</v>
      </c>
      <c r="P474" s="1259">
        <v>2300000</v>
      </c>
      <c r="Q474" s="1149">
        <v>6500000</v>
      </c>
    </row>
    <row r="475" spans="1:17" ht="14.45" customHeight="1" x14ac:dyDescent="0.2">
      <c r="A475" s="1481" t="s">
        <v>370</v>
      </c>
      <c r="B475" s="1146">
        <v>25</v>
      </c>
      <c r="C475" s="1146">
        <v>25</v>
      </c>
      <c r="D475" s="957">
        <v>158.75</v>
      </c>
      <c r="E475" s="1147">
        <v>6.35</v>
      </c>
      <c r="F475" s="1342" t="s">
        <v>985</v>
      </c>
      <c r="G475" s="1259">
        <v>2145000</v>
      </c>
      <c r="H475" s="1149">
        <v>6500000</v>
      </c>
      <c r="I475" s="960"/>
      <c r="J475" s="960"/>
      <c r="K475" s="961"/>
      <c r="L475" s="2217">
        <v>25</v>
      </c>
      <c r="M475" s="1146">
        <v>25</v>
      </c>
      <c r="N475" s="1146">
        <v>158.75</v>
      </c>
      <c r="O475" s="1147">
        <v>6.35</v>
      </c>
      <c r="P475" s="1259">
        <v>2300000</v>
      </c>
      <c r="Q475" s="1149">
        <v>6500000</v>
      </c>
    </row>
    <row r="476" spans="1:17" ht="14.45" customHeight="1" x14ac:dyDescent="0.2">
      <c r="A476" s="1481" t="s">
        <v>371</v>
      </c>
      <c r="B476" s="1146">
        <v>7</v>
      </c>
      <c r="C476" s="1146">
        <v>7</v>
      </c>
      <c r="D476" s="957">
        <v>42</v>
      </c>
      <c r="E476" s="1147">
        <v>6</v>
      </c>
      <c r="F476" s="1342" t="s">
        <v>985</v>
      </c>
      <c r="G476" s="1259">
        <v>2145000</v>
      </c>
      <c r="H476" s="1149">
        <v>6500000</v>
      </c>
      <c r="I476" s="960"/>
      <c r="J476" s="960"/>
      <c r="K476" s="961"/>
      <c r="L476" s="2217">
        <v>10</v>
      </c>
      <c r="M476" s="1146">
        <v>10</v>
      </c>
      <c r="N476" s="1146">
        <v>60</v>
      </c>
      <c r="O476" s="1147">
        <v>6</v>
      </c>
      <c r="P476" s="1259">
        <v>2300000</v>
      </c>
      <c r="Q476" s="1149">
        <v>6500000</v>
      </c>
    </row>
    <row r="477" spans="1:17" ht="14.45" customHeight="1" x14ac:dyDescent="0.2">
      <c r="A477" s="1481" t="s">
        <v>372</v>
      </c>
      <c r="B477" s="1146">
        <v>6</v>
      </c>
      <c r="C477" s="1146">
        <v>6</v>
      </c>
      <c r="D477" s="957">
        <v>30</v>
      </c>
      <c r="E477" s="1147">
        <v>5</v>
      </c>
      <c r="F477" s="1342" t="s">
        <v>985</v>
      </c>
      <c r="G477" s="1259">
        <v>2145000</v>
      </c>
      <c r="H477" s="1149">
        <v>6500000</v>
      </c>
      <c r="I477" s="960"/>
      <c r="J477" s="960"/>
      <c r="K477" s="961"/>
      <c r="L477" s="2217">
        <v>8</v>
      </c>
      <c r="M477" s="1146">
        <v>8</v>
      </c>
      <c r="N477" s="1146">
        <v>40</v>
      </c>
      <c r="O477" s="1147">
        <v>5</v>
      </c>
      <c r="P477" s="1259">
        <v>2300000</v>
      </c>
      <c r="Q477" s="1149">
        <v>6500000</v>
      </c>
    </row>
    <row r="478" spans="1:17" ht="14.45" customHeight="1" x14ac:dyDescent="0.2">
      <c r="A478" s="1481" t="s">
        <v>373</v>
      </c>
      <c r="B478" s="1146">
        <v>3</v>
      </c>
      <c r="C478" s="1146">
        <v>3</v>
      </c>
      <c r="D478" s="957">
        <v>21</v>
      </c>
      <c r="E478" s="1147">
        <v>7</v>
      </c>
      <c r="F478" s="1342" t="s">
        <v>985</v>
      </c>
      <c r="G478" s="1259">
        <v>2145000</v>
      </c>
      <c r="H478" s="1149">
        <v>6500000</v>
      </c>
      <c r="I478" s="960"/>
      <c r="J478" s="960"/>
      <c r="K478" s="961"/>
      <c r="L478" s="2217">
        <v>2</v>
      </c>
      <c r="M478" s="1146">
        <v>2</v>
      </c>
      <c r="N478" s="1146">
        <v>8</v>
      </c>
      <c r="O478" s="1147">
        <v>4</v>
      </c>
      <c r="P478" s="1259">
        <v>2300000</v>
      </c>
      <c r="Q478" s="1149">
        <v>6500000</v>
      </c>
    </row>
    <row r="479" spans="1:17" ht="14.45" customHeight="1" x14ac:dyDescent="0.2">
      <c r="A479" s="1484" t="s">
        <v>374</v>
      </c>
      <c r="B479" s="1002">
        <v>91.5</v>
      </c>
      <c r="C479" s="1002">
        <v>89.5</v>
      </c>
      <c r="D479" s="1002">
        <v>497.75</v>
      </c>
      <c r="E479" s="2216">
        <v>5.5614525139664801</v>
      </c>
      <c r="F479" s="987"/>
      <c r="G479" s="1488"/>
      <c r="H479" s="1153"/>
      <c r="I479" s="997"/>
      <c r="J479" s="997"/>
      <c r="K479" s="998"/>
      <c r="L479" s="1453">
        <v>84.5</v>
      </c>
      <c r="M479" s="1002">
        <v>82</v>
      </c>
      <c r="N479" s="1002">
        <v>441</v>
      </c>
      <c r="O479" s="1608">
        <v>5.3780487804878048</v>
      </c>
      <c r="P479" s="2275"/>
      <c r="Q479" s="1605"/>
    </row>
    <row r="480" spans="1:17" ht="14.45" customHeight="1" x14ac:dyDescent="0.2">
      <c r="A480" s="1481" t="s">
        <v>375</v>
      </c>
      <c r="B480" s="1146">
        <v>20</v>
      </c>
      <c r="C480" s="1146">
        <v>20</v>
      </c>
      <c r="D480" s="957">
        <v>140</v>
      </c>
      <c r="E480" s="1147">
        <v>7</v>
      </c>
      <c r="F480" s="1342" t="s">
        <v>985</v>
      </c>
      <c r="G480" s="1259">
        <v>2145000</v>
      </c>
      <c r="H480" s="1149">
        <v>6500000</v>
      </c>
      <c r="I480" s="960"/>
      <c r="J480" s="960"/>
      <c r="K480" s="961"/>
      <c r="L480" s="2217">
        <v>18</v>
      </c>
      <c r="M480" s="1146">
        <v>18</v>
      </c>
      <c r="N480" s="1146">
        <v>126</v>
      </c>
      <c r="O480" s="1147">
        <v>7</v>
      </c>
      <c r="P480" s="1259">
        <v>2300000</v>
      </c>
      <c r="Q480" s="1149">
        <v>6500000</v>
      </c>
    </row>
    <row r="481" spans="1:17" ht="14.45" customHeight="1" x14ac:dyDescent="0.2">
      <c r="A481" s="1481" t="s">
        <v>376</v>
      </c>
      <c r="B481" s="1146">
        <v>7.5</v>
      </c>
      <c r="C481" s="1146">
        <v>7.5</v>
      </c>
      <c r="D481" s="957">
        <v>33.75</v>
      </c>
      <c r="E481" s="1147">
        <v>4.5</v>
      </c>
      <c r="F481" s="1342" t="s">
        <v>985</v>
      </c>
      <c r="G481" s="1259">
        <v>2145000</v>
      </c>
      <c r="H481" s="1149">
        <v>6500000</v>
      </c>
      <c r="I481" s="960"/>
      <c r="J481" s="960"/>
      <c r="K481" s="961"/>
      <c r="L481" s="2217">
        <v>9.5</v>
      </c>
      <c r="M481" s="1146">
        <v>9.5</v>
      </c>
      <c r="N481" s="1146">
        <v>42.75</v>
      </c>
      <c r="O481" s="1147">
        <v>4.5</v>
      </c>
      <c r="P481" s="1259">
        <v>2300000</v>
      </c>
      <c r="Q481" s="1149">
        <v>6500000</v>
      </c>
    </row>
    <row r="482" spans="1:17" ht="14.45" customHeight="1" x14ac:dyDescent="0.2">
      <c r="A482" s="1481" t="s">
        <v>377</v>
      </c>
      <c r="B482" s="1146">
        <v>4</v>
      </c>
      <c r="C482" s="1146">
        <v>4</v>
      </c>
      <c r="D482" s="957">
        <v>8</v>
      </c>
      <c r="E482" s="1147">
        <v>2</v>
      </c>
      <c r="F482" s="1342" t="s">
        <v>985</v>
      </c>
      <c r="G482" s="1259">
        <v>2145000</v>
      </c>
      <c r="H482" s="1149">
        <v>6500000</v>
      </c>
      <c r="I482" s="960"/>
      <c r="J482" s="960"/>
      <c r="K482" s="961"/>
      <c r="L482" s="2217">
        <v>3</v>
      </c>
      <c r="M482" s="1146">
        <v>2.5</v>
      </c>
      <c r="N482" s="1146">
        <v>6.25</v>
      </c>
      <c r="O482" s="1147">
        <v>2.5</v>
      </c>
      <c r="P482" s="1259">
        <v>2300000</v>
      </c>
      <c r="Q482" s="1149">
        <v>6500000</v>
      </c>
    </row>
    <row r="483" spans="1:17" ht="14.45" customHeight="1" x14ac:dyDescent="0.2">
      <c r="A483" s="1481" t="s">
        <v>378</v>
      </c>
      <c r="B483" s="1146">
        <v>16</v>
      </c>
      <c r="C483" s="1146">
        <v>16</v>
      </c>
      <c r="D483" s="957">
        <v>88</v>
      </c>
      <c r="E483" s="1147">
        <v>5.5</v>
      </c>
      <c r="F483" s="1342" t="s">
        <v>985</v>
      </c>
      <c r="G483" s="1259">
        <v>2145000</v>
      </c>
      <c r="H483" s="1149">
        <v>6500000</v>
      </c>
      <c r="I483" s="966"/>
      <c r="J483" s="960"/>
      <c r="K483" s="961"/>
      <c r="L483" s="2217">
        <v>12</v>
      </c>
      <c r="M483" s="1146">
        <v>12</v>
      </c>
      <c r="N483" s="1146">
        <v>66</v>
      </c>
      <c r="O483" s="1147">
        <v>5.5</v>
      </c>
      <c r="P483" s="1259">
        <v>2300000</v>
      </c>
      <c r="Q483" s="1149">
        <v>6500000</v>
      </c>
    </row>
    <row r="484" spans="1:17" ht="14.45" customHeight="1" x14ac:dyDescent="0.2">
      <c r="A484" s="1481" t="s">
        <v>379</v>
      </c>
      <c r="B484" s="1146">
        <v>9</v>
      </c>
      <c r="C484" s="1146">
        <v>9</v>
      </c>
      <c r="D484" s="957">
        <v>36</v>
      </c>
      <c r="E484" s="1147">
        <v>4</v>
      </c>
      <c r="F484" s="1342" t="s">
        <v>985</v>
      </c>
      <c r="G484" s="1259">
        <v>2145000</v>
      </c>
      <c r="H484" s="1149">
        <v>6500000</v>
      </c>
      <c r="I484" s="966"/>
      <c r="J484" s="960"/>
      <c r="K484" s="961"/>
      <c r="L484" s="2217">
        <v>17</v>
      </c>
      <c r="M484" s="1146">
        <v>17</v>
      </c>
      <c r="N484" s="1146">
        <v>68</v>
      </c>
      <c r="O484" s="1147">
        <v>4</v>
      </c>
      <c r="P484" s="1259">
        <v>2300000</v>
      </c>
      <c r="Q484" s="1149">
        <v>6500000</v>
      </c>
    </row>
    <row r="485" spans="1:17" ht="14.45" customHeight="1" x14ac:dyDescent="0.2">
      <c r="A485" s="1481" t="s">
        <v>380</v>
      </c>
      <c r="B485" s="1146">
        <v>16</v>
      </c>
      <c r="C485" s="1146">
        <v>16</v>
      </c>
      <c r="D485" s="957">
        <v>112</v>
      </c>
      <c r="E485" s="1147">
        <v>7</v>
      </c>
      <c r="F485" s="1342" t="s">
        <v>985</v>
      </c>
      <c r="G485" s="1259">
        <v>2145000</v>
      </c>
      <c r="H485" s="1149">
        <v>6500000</v>
      </c>
      <c r="I485" s="966"/>
      <c r="J485" s="960"/>
      <c r="K485" s="961"/>
      <c r="L485" s="2217">
        <v>12</v>
      </c>
      <c r="M485" s="1146">
        <v>12</v>
      </c>
      <c r="N485" s="1146">
        <v>84</v>
      </c>
      <c r="O485" s="1147">
        <v>7</v>
      </c>
      <c r="P485" s="1259">
        <v>2300000</v>
      </c>
      <c r="Q485" s="1149">
        <v>6500000</v>
      </c>
    </row>
    <row r="486" spans="1:17" ht="14.45" customHeight="1" x14ac:dyDescent="0.2">
      <c r="A486" s="1481" t="s">
        <v>381</v>
      </c>
      <c r="B486" s="1146">
        <v>12</v>
      </c>
      <c r="C486" s="1146">
        <v>12</v>
      </c>
      <c r="D486" s="957">
        <v>60</v>
      </c>
      <c r="E486" s="1147">
        <v>5</v>
      </c>
      <c r="F486" s="1342" t="s">
        <v>985</v>
      </c>
      <c r="G486" s="1259">
        <v>2145000</v>
      </c>
      <c r="H486" s="1149">
        <v>6500000</v>
      </c>
      <c r="I486" s="966"/>
      <c r="J486" s="960"/>
      <c r="K486" s="961"/>
      <c r="L486" s="2217">
        <v>8</v>
      </c>
      <c r="M486" s="1146">
        <v>8</v>
      </c>
      <c r="N486" s="1146">
        <v>36</v>
      </c>
      <c r="O486" s="1147">
        <v>4.5</v>
      </c>
      <c r="P486" s="1259">
        <v>2300000</v>
      </c>
      <c r="Q486" s="1149">
        <v>6500000</v>
      </c>
    </row>
    <row r="487" spans="1:17" ht="14.45" customHeight="1" x14ac:dyDescent="0.2">
      <c r="A487" s="1481" t="s">
        <v>382</v>
      </c>
      <c r="B487" s="1146">
        <v>7</v>
      </c>
      <c r="C487" s="1146">
        <v>5</v>
      </c>
      <c r="D487" s="957">
        <v>20</v>
      </c>
      <c r="E487" s="1147">
        <v>4</v>
      </c>
      <c r="F487" s="1342" t="s">
        <v>985</v>
      </c>
      <c r="G487" s="1259">
        <v>2145000</v>
      </c>
      <c r="H487" s="1149">
        <v>6500000</v>
      </c>
      <c r="I487" s="966"/>
      <c r="J487" s="960"/>
      <c r="K487" s="961"/>
      <c r="L487" s="2217">
        <v>5</v>
      </c>
      <c r="M487" s="1146">
        <v>3</v>
      </c>
      <c r="N487" s="1146">
        <v>12</v>
      </c>
      <c r="O487" s="1147">
        <v>4</v>
      </c>
      <c r="P487" s="1259">
        <v>2300000</v>
      </c>
      <c r="Q487" s="1149">
        <v>6500000</v>
      </c>
    </row>
    <row r="488" spans="1:17" ht="14.45" customHeight="1" x14ac:dyDescent="0.2">
      <c r="A488" s="1484" t="s">
        <v>383</v>
      </c>
      <c r="B488" s="1002">
        <v>109</v>
      </c>
      <c r="C488" s="1002">
        <v>101</v>
      </c>
      <c r="D488" s="1002">
        <v>511.4</v>
      </c>
      <c r="E488" s="2216">
        <v>5.0633663366336634</v>
      </c>
      <c r="F488" s="1003"/>
      <c r="G488" s="1488"/>
      <c r="H488" s="1204"/>
      <c r="I488" s="1005"/>
      <c r="J488" s="997"/>
      <c r="K488" s="998"/>
      <c r="L488" s="1453">
        <v>113</v>
      </c>
      <c r="M488" s="1002">
        <v>101</v>
      </c>
      <c r="N488" s="1002">
        <v>509.8</v>
      </c>
      <c r="O488" s="1608">
        <v>5.0475247524752476</v>
      </c>
      <c r="P488" s="2275"/>
      <c r="Q488" s="1605"/>
    </row>
    <row r="489" spans="1:17" ht="14.45" customHeight="1" x14ac:dyDescent="0.2">
      <c r="A489" s="1481" t="s">
        <v>384</v>
      </c>
      <c r="B489" s="1146">
        <v>35</v>
      </c>
      <c r="C489" s="1146">
        <v>30</v>
      </c>
      <c r="D489" s="957">
        <v>129</v>
      </c>
      <c r="E489" s="1147">
        <v>4.3</v>
      </c>
      <c r="F489" s="1342" t="s">
        <v>985</v>
      </c>
      <c r="G489" s="1259">
        <v>2145000</v>
      </c>
      <c r="H489" s="1149">
        <v>6500000</v>
      </c>
      <c r="I489" s="966"/>
      <c r="J489" s="960"/>
      <c r="K489" s="961"/>
      <c r="L489" s="2217">
        <v>35</v>
      </c>
      <c r="M489" s="1146">
        <v>28</v>
      </c>
      <c r="N489" s="1146">
        <v>112</v>
      </c>
      <c r="O489" s="1147">
        <v>4</v>
      </c>
      <c r="P489" s="1259">
        <v>2300000</v>
      </c>
      <c r="Q489" s="1149">
        <v>6500000</v>
      </c>
    </row>
    <row r="490" spans="1:17" ht="14.45" customHeight="1" x14ac:dyDescent="0.2">
      <c r="A490" s="1481" t="s">
        <v>385</v>
      </c>
      <c r="B490" s="1146">
        <v>10</v>
      </c>
      <c r="C490" s="1146">
        <v>10</v>
      </c>
      <c r="D490" s="957">
        <v>70</v>
      </c>
      <c r="E490" s="1147">
        <v>7</v>
      </c>
      <c r="F490" s="1342" t="s">
        <v>985</v>
      </c>
      <c r="G490" s="1259">
        <v>2145000</v>
      </c>
      <c r="H490" s="1149">
        <v>6500000</v>
      </c>
      <c r="I490" s="966"/>
      <c r="J490" s="960"/>
      <c r="K490" s="961"/>
      <c r="L490" s="2217">
        <v>12</v>
      </c>
      <c r="M490" s="1146">
        <v>12</v>
      </c>
      <c r="N490" s="1146">
        <v>84</v>
      </c>
      <c r="O490" s="1147">
        <v>7</v>
      </c>
      <c r="P490" s="1259">
        <v>2300000</v>
      </c>
      <c r="Q490" s="1149">
        <v>6500000</v>
      </c>
    </row>
    <row r="491" spans="1:17" ht="14.45" customHeight="1" x14ac:dyDescent="0.2">
      <c r="A491" s="1481" t="s">
        <v>386</v>
      </c>
      <c r="B491" s="1146">
        <v>5</v>
      </c>
      <c r="C491" s="1146">
        <v>5</v>
      </c>
      <c r="D491" s="957">
        <v>20</v>
      </c>
      <c r="E491" s="1147">
        <v>4</v>
      </c>
      <c r="F491" s="1342" t="s">
        <v>985</v>
      </c>
      <c r="G491" s="1259">
        <v>2145000</v>
      </c>
      <c r="H491" s="1149">
        <v>6500000</v>
      </c>
      <c r="I491" s="966"/>
      <c r="J491" s="960"/>
      <c r="K491" s="961"/>
      <c r="L491" s="2217">
        <v>6</v>
      </c>
      <c r="M491" s="1146">
        <v>6</v>
      </c>
      <c r="N491" s="1146">
        <v>21.6</v>
      </c>
      <c r="O491" s="1147">
        <v>3.6</v>
      </c>
      <c r="P491" s="1259">
        <v>2300000</v>
      </c>
      <c r="Q491" s="1149">
        <v>6500000</v>
      </c>
    </row>
    <row r="492" spans="1:17" ht="14.45" customHeight="1" x14ac:dyDescent="0.2">
      <c r="A492" s="1481" t="s">
        <v>387</v>
      </c>
      <c r="B492" s="1146">
        <v>12</v>
      </c>
      <c r="C492" s="1146">
        <v>11</v>
      </c>
      <c r="D492" s="957">
        <v>44</v>
      </c>
      <c r="E492" s="1147">
        <v>4</v>
      </c>
      <c r="F492" s="1342" t="s">
        <v>985</v>
      </c>
      <c r="G492" s="1259">
        <v>2145000</v>
      </c>
      <c r="H492" s="1149">
        <v>6500000</v>
      </c>
      <c r="I492" s="966"/>
      <c r="J492" s="960"/>
      <c r="K492" s="961"/>
      <c r="L492" s="2217">
        <v>11</v>
      </c>
      <c r="M492" s="1146">
        <v>8</v>
      </c>
      <c r="N492" s="1146">
        <v>36</v>
      </c>
      <c r="O492" s="1147">
        <v>4.5</v>
      </c>
      <c r="P492" s="1259">
        <v>2300000</v>
      </c>
      <c r="Q492" s="1149">
        <v>6500000</v>
      </c>
    </row>
    <row r="493" spans="1:17" ht="14.45" customHeight="1" x14ac:dyDescent="0.2">
      <c r="A493" s="1481" t="s">
        <v>388</v>
      </c>
      <c r="B493" s="1146">
        <v>5</v>
      </c>
      <c r="C493" s="1146">
        <v>5</v>
      </c>
      <c r="D493" s="957">
        <v>40</v>
      </c>
      <c r="E493" s="1147">
        <v>8</v>
      </c>
      <c r="F493" s="1342" t="s">
        <v>985</v>
      </c>
      <c r="G493" s="1259">
        <v>2145000</v>
      </c>
      <c r="H493" s="1149">
        <v>6500000</v>
      </c>
      <c r="I493" s="966"/>
      <c r="J493" s="960"/>
      <c r="K493" s="961"/>
      <c r="L493" s="2217">
        <v>5</v>
      </c>
      <c r="M493" s="1146">
        <v>5</v>
      </c>
      <c r="N493" s="1146">
        <v>40</v>
      </c>
      <c r="O493" s="1147">
        <v>8</v>
      </c>
      <c r="P493" s="1259">
        <v>2300000</v>
      </c>
      <c r="Q493" s="1149">
        <v>6500000</v>
      </c>
    </row>
    <row r="494" spans="1:17" ht="14.45" customHeight="1" x14ac:dyDescent="0.2">
      <c r="A494" s="1481" t="s">
        <v>389</v>
      </c>
      <c r="B494" s="1146">
        <v>12</v>
      </c>
      <c r="C494" s="1146">
        <v>12</v>
      </c>
      <c r="D494" s="957">
        <v>60</v>
      </c>
      <c r="E494" s="1147">
        <v>5</v>
      </c>
      <c r="F494" s="1342" t="s">
        <v>985</v>
      </c>
      <c r="G494" s="1259">
        <v>2145000</v>
      </c>
      <c r="H494" s="1149">
        <v>6500000</v>
      </c>
      <c r="I494" s="966"/>
      <c r="J494" s="960"/>
      <c r="K494" s="961"/>
      <c r="L494" s="2217">
        <v>14</v>
      </c>
      <c r="M494" s="1146">
        <v>14</v>
      </c>
      <c r="N494" s="1146">
        <v>70</v>
      </c>
      <c r="O494" s="1147">
        <v>5</v>
      </c>
      <c r="P494" s="1259">
        <v>2300000</v>
      </c>
      <c r="Q494" s="1149">
        <v>6500000</v>
      </c>
    </row>
    <row r="495" spans="1:17" ht="14.45" customHeight="1" x14ac:dyDescent="0.2">
      <c r="A495" s="1481" t="s">
        <v>390</v>
      </c>
      <c r="B495" s="1146">
        <v>2</v>
      </c>
      <c r="C495" s="1146">
        <v>2</v>
      </c>
      <c r="D495" s="957">
        <v>8</v>
      </c>
      <c r="E495" s="1147">
        <v>4</v>
      </c>
      <c r="F495" s="1342" t="s">
        <v>985</v>
      </c>
      <c r="G495" s="1259">
        <v>2145000</v>
      </c>
      <c r="H495" s="1149">
        <v>6500000</v>
      </c>
      <c r="I495" s="966"/>
      <c r="J495" s="960"/>
      <c r="K495" s="961"/>
      <c r="L495" s="2217">
        <v>2</v>
      </c>
      <c r="M495" s="1146">
        <v>2</v>
      </c>
      <c r="N495" s="1146">
        <v>8</v>
      </c>
      <c r="O495" s="1147">
        <v>4</v>
      </c>
      <c r="P495" s="1259">
        <v>2300000</v>
      </c>
      <c r="Q495" s="1149">
        <v>6500000</v>
      </c>
    </row>
    <row r="496" spans="1:17" ht="14.45" customHeight="1" x14ac:dyDescent="0.2">
      <c r="A496" s="1481" t="s">
        <v>391</v>
      </c>
      <c r="B496" s="1146">
        <v>23</v>
      </c>
      <c r="C496" s="1146">
        <v>22</v>
      </c>
      <c r="D496" s="957">
        <v>92.4</v>
      </c>
      <c r="E496" s="1147">
        <v>4.2</v>
      </c>
      <c r="F496" s="1342" t="s">
        <v>985</v>
      </c>
      <c r="G496" s="1259">
        <v>2145000</v>
      </c>
      <c r="H496" s="1149">
        <v>6500000</v>
      </c>
      <c r="I496" s="966"/>
      <c r="J496" s="960"/>
      <c r="K496" s="961"/>
      <c r="L496" s="2217">
        <v>23</v>
      </c>
      <c r="M496" s="1146">
        <v>22</v>
      </c>
      <c r="N496" s="1146">
        <v>90.199999999999989</v>
      </c>
      <c r="O496" s="1147">
        <v>4.0999999999999996</v>
      </c>
      <c r="P496" s="1259">
        <v>2300000</v>
      </c>
      <c r="Q496" s="1149">
        <v>6500000</v>
      </c>
    </row>
    <row r="497" spans="1:17" ht="14.45" customHeight="1" x14ac:dyDescent="0.2">
      <c r="A497" s="1493" t="s">
        <v>392</v>
      </c>
      <c r="B497" s="1529">
        <v>5</v>
      </c>
      <c r="C497" s="1529">
        <v>4</v>
      </c>
      <c r="D497" s="957">
        <v>48</v>
      </c>
      <c r="E497" s="1526">
        <v>12</v>
      </c>
      <c r="F497" s="1342" t="s">
        <v>985</v>
      </c>
      <c r="G497" s="1259">
        <v>2145000</v>
      </c>
      <c r="H497" s="1149">
        <v>6500000</v>
      </c>
      <c r="I497" s="973"/>
      <c r="J497" s="1496"/>
      <c r="K497" s="1503"/>
      <c r="L497" s="2219">
        <v>5</v>
      </c>
      <c r="M497" s="1529">
        <v>4</v>
      </c>
      <c r="N497" s="1529">
        <v>48</v>
      </c>
      <c r="O497" s="1142">
        <v>12</v>
      </c>
      <c r="P497" s="1259">
        <v>2300000</v>
      </c>
      <c r="Q497" s="1149">
        <v>6500000</v>
      </c>
    </row>
    <row r="498" spans="1:17" ht="14.45" customHeight="1" thickBot="1" x14ac:dyDescent="0.25">
      <c r="A498" s="1006" t="s">
        <v>393</v>
      </c>
      <c r="B498" s="1007">
        <v>584.5</v>
      </c>
      <c r="C498" s="1007">
        <v>548.5</v>
      </c>
      <c r="D498" s="1007">
        <v>3263.89</v>
      </c>
      <c r="E498" s="1482">
        <v>5.9505742935278025</v>
      </c>
      <c r="F498" s="1480" t="s">
        <v>985</v>
      </c>
      <c r="G498" s="1085">
        <v>2145000</v>
      </c>
      <c r="H498" s="1085">
        <v>6500000.0000000028</v>
      </c>
      <c r="I498" s="1008"/>
      <c r="J498" s="1008" t="s">
        <v>983</v>
      </c>
      <c r="K498" s="1011"/>
      <c r="L498" s="1007">
        <v>486.5</v>
      </c>
      <c r="M498" s="1007">
        <v>468</v>
      </c>
      <c r="N498" s="1007">
        <v>2571.08</v>
      </c>
      <c r="O498" s="1083">
        <v>5.4937606837606836</v>
      </c>
      <c r="P498" s="2276">
        <v>2300000</v>
      </c>
      <c r="Q498" s="1607">
        <v>6499999.9999999981</v>
      </c>
    </row>
    <row r="499" spans="1:17" x14ac:dyDescent="0.2">
      <c r="A499" s="7" t="s">
        <v>1934</v>
      </c>
      <c r="B499" s="8"/>
      <c r="C499" s="8"/>
      <c r="D499" s="8"/>
      <c r="E499" s="4"/>
      <c r="F499" s="5"/>
      <c r="G499" s="9"/>
      <c r="H499" s="8"/>
      <c r="I499" s="4"/>
      <c r="J499" s="1"/>
      <c r="K499" s="1"/>
      <c r="O499" s="1"/>
      <c r="P499" s="1"/>
    </row>
    <row r="500" spans="1:17" x14ac:dyDescent="0.2">
      <c r="A500" s="6"/>
      <c r="B500" s="8"/>
      <c r="C500" s="8"/>
      <c r="D500" s="8"/>
      <c r="E500" s="4"/>
      <c r="F500" s="5"/>
      <c r="G500" s="9"/>
      <c r="H500" s="8"/>
      <c r="I500" s="4"/>
      <c r="J500" s="1"/>
      <c r="K500" s="1"/>
      <c r="O500" s="1"/>
      <c r="P500" s="1"/>
    </row>
    <row r="501" spans="1:17" x14ac:dyDescent="0.2">
      <c r="A501" s="6"/>
      <c r="B501" s="8"/>
      <c r="C501" s="8"/>
      <c r="D501" s="8"/>
      <c r="E501" s="4"/>
      <c r="F501" s="5"/>
      <c r="G501" s="9"/>
      <c r="H501" s="8"/>
      <c r="I501" s="4"/>
      <c r="J501" s="1"/>
      <c r="K501" s="1"/>
      <c r="O501" s="1"/>
      <c r="P501" s="1"/>
    </row>
    <row r="502" spans="1:17" x14ac:dyDescent="0.2">
      <c r="A502" s="6"/>
      <c r="B502" s="8"/>
      <c r="C502" s="8"/>
      <c r="D502" s="8"/>
      <c r="E502" s="4"/>
      <c r="F502" s="5"/>
      <c r="G502" s="9"/>
      <c r="H502" s="8"/>
      <c r="I502" s="4"/>
      <c r="J502" s="1"/>
      <c r="K502" s="1"/>
      <c r="O502" s="1"/>
      <c r="P502" s="1"/>
    </row>
    <row r="503" spans="1:17" x14ac:dyDescent="0.2">
      <c r="A503" s="6"/>
      <c r="B503" s="8"/>
      <c r="C503" s="8"/>
      <c r="D503" s="8"/>
      <c r="E503" s="2380"/>
      <c r="F503" s="5"/>
      <c r="G503" s="9"/>
      <c r="H503" s="8"/>
      <c r="I503" s="2380"/>
      <c r="J503" s="2381"/>
      <c r="K503" s="2381"/>
      <c r="O503" s="2381"/>
      <c r="P503" s="2381"/>
    </row>
    <row r="504" spans="1:17" x14ac:dyDescent="0.2">
      <c r="A504" s="6"/>
      <c r="B504" s="8"/>
      <c r="C504" s="8"/>
      <c r="D504" s="8"/>
      <c r="E504" s="2380"/>
      <c r="F504" s="5"/>
      <c r="G504" s="9"/>
      <c r="H504" s="8"/>
      <c r="I504" s="2380"/>
      <c r="J504" s="2381"/>
      <c r="K504" s="2381"/>
      <c r="O504" s="2381"/>
      <c r="P504" s="2381"/>
    </row>
    <row r="505" spans="1:17" ht="15.75" customHeight="1" x14ac:dyDescent="0.25">
      <c r="A505" s="2512" t="s">
        <v>1929</v>
      </c>
      <c r="B505" s="2512"/>
      <c r="C505" s="2512"/>
      <c r="D505" s="2512"/>
      <c r="E505" s="2512"/>
      <c r="F505" s="2512"/>
      <c r="G505" s="2512"/>
      <c r="H505" s="2512"/>
      <c r="I505" s="2512"/>
      <c r="J505" s="2512"/>
      <c r="K505" s="2512"/>
      <c r="L505" s="2512"/>
      <c r="M505" s="2512"/>
      <c r="N505" s="2512"/>
      <c r="O505" s="2512"/>
      <c r="P505" s="2512"/>
      <c r="Q505" s="2512"/>
    </row>
    <row r="506" spans="1:17" x14ac:dyDescent="0.2">
      <c r="A506" s="3"/>
      <c r="B506" s="6"/>
      <c r="C506" s="6"/>
      <c r="D506" s="6"/>
      <c r="E506" s="1"/>
      <c r="F506" s="2"/>
      <c r="G506" s="17"/>
      <c r="H506" s="6"/>
      <c r="I506" s="1"/>
      <c r="J506" s="1"/>
      <c r="K506" s="1"/>
      <c r="L506" s="6"/>
      <c r="M506" s="6"/>
      <c r="N506" s="6"/>
      <c r="O506" s="1"/>
      <c r="P506" s="1"/>
      <c r="Q506" s="6"/>
    </row>
    <row r="507" spans="1:17" ht="13.5" thickBot="1" x14ac:dyDescent="0.25">
      <c r="A507" s="3" t="s">
        <v>1687</v>
      </c>
      <c r="B507" s="6"/>
      <c r="C507" s="6"/>
      <c r="D507" s="6"/>
      <c r="E507" s="1"/>
      <c r="F507" s="2"/>
      <c r="G507" s="6"/>
      <c r="H507" s="6"/>
      <c r="I507" s="1"/>
      <c r="J507" s="1"/>
      <c r="K507" s="1"/>
      <c r="L507" s="6"/>
      <c r="M507" s="6"/>
      <c r="N507" s="6"/>
      <c r="O507" s="1"/>
      <c r="P507" s="1"/>
      <c r="Q507" s="6"/>
    </row>
    <row r="508" spans="1:17" ht="14.45" customHeight="1" thickBot="1" x14ac:dyDescent="0.25">
      <c r="A508" s="2513" t="s">
        <v>327</v>
      </c>
      <c r="B508" s="2516" t="s">
        <v>1935</v>
      </c>
      <c r="C508" s="2517"/>
      <c r="D508" s="2517"/>
      <c r="E508" s="2517"/>
      <c r="F508" s="2517"/>
      <c r="G508" s="2517"/>
      <c r="H508" s="2517"/>
      <c r="I508" s="2517"/>
      <c r="J508" s="2517"/>
      <c r="K508" s="2517"/>
      <c r="L508" s="2518" t="s">
        <v>1930</v>
      </c>
      <c r="M508" s="2519"/>
      <c r="N508" s="2519"/>
      <c r="O508" s="2519"/>
      <c r="P508" s="2520"/>
      <c r="Q508" s="2521"/>
    </row>
    <row r="509" spans="1:17" ht="14.45" customHeight="1" x14ac:dyDescent="0.2">
      <c r="A509" s="2514"/>
      <c r="B509" s="2522" t="s">
        <v>328</v>
      </c>
      <c r="C509" s="2523"/>
      <c r="D509" s="1014"/>
      <c r="E509" s="1014" t="s">
        <v>904</v>
      </c>
      <c r="F509" s="1014" t="s">
        <v>329</v>
      </c>
      <c r="G509" s="1014"/>
      <c r="H509" s="1014"/>
      <c r="I509" s="2526" t="s">
        <v>330</v>
      </c>
      <c r="J509" s="2527"/>
      <c r="K509" s="2528"/>
      <c r="L509" s="2524" t="s">
        <v>328</v>
      </c>
      <c r="M509" s="2525"/>
      <c r="N509" s="1021" t="s">
        <v>331</v>
      </c>
      <c r="O509" s="1022" t="s">
        <v>332</v>
      </c>
      <c r="P509" s="1023"/>
      <c r="Q509" s="1024"/>
    </row>
    <row r="510" spans="1:17" ht="14.45" customHeight="1" x14ac:dyDescent="0.2">
      <c r="A510" s="2514"/>
      <c r="B510" s="1014" t="s">
        <v>835</v>
      </c>
      <c r="C510" s="1014" t="s">
        <v>335</v>
      </c>
      <c r="D510" s="1014" t="s">
        <v>837</v>
      </c>
      <c r="E510" s="1014" t="s">
        <v>842</v>
      </c>
      <c r="F510" s="1014" t="s">
        <v>336</v>
      </c>
      <c r="G510" s="1014" t="s">
        <v>337</v>
      </c>
      <c r="H510" s="1014" t="s">
        <v>338</v>
      </c>
      <c r="I510" s="2529" t="s">
        <v>839</v>
      </c>
      <c r="J510" s="2530"/>
      <c r="K510" s="2531"/>
      <c r="L510" s="1025" t="s">
        <v>835</v>
      </c>
      <c r="M510" s="1021" t="s">
        <v>335</v>
      </c>
      <c r="N510" s="1021" t="s">
        <v>339</v>
      </c>
      <c r="O510" s="1022"/>
      <c r="P510" s="1021" t="s">
        <v>337</v>
      </c>
      <c r="Q510" s="1024" t="s">
        <v>338</v>
      </c>
    </row>
    <row r="511" spans="1:17" ht="14.45" customHeight="1" x14ac:dyDescent="0.2">
      <c r="A511" s="2514"/>
      <c r="B511" s="1014"/>
      <c r="C511" s="1014"/>
      <c r="D511" s="1014"/>
      <c r="E511" s="1014"/>
      <c r="F511" s="1014" t="s">
        <v>341</v>
      </c>
      <c r="G511" s="1014" t="s">
        <v>342</v>
      </c>
      <c r="H511" s="1014" t="s">
        <v>341</v>
      </c>
      <c r="I511" s="1015"/>
      <c r="J511" s="1016"/>
      <c r="K511" s="1017"/>
      <c r="L511" s="1025"/>
      <c r="M511" s="1021"/>
      <c r="N511" s="1021"/>
      <c r="O511" s="1022" t="s">
        <v>344</v>
      </c>
      <c r="P511" s="1021" t="s">
        <v>342</v>
      </c>
      <c r="Q511" s="1024" t="s">
        <v>341</v>
      </c>
    </row>
    <row r="512" spans="1:17" ht="14.45" customHeight="1" x14ac:dyDescent="0.2">
      <c r="A512" s="2515"/>
      <c r="B512" s="1018" t="s">
        <v>345</v>
      </c>
      <c r="C512" s="1018" t="s">
        <v>345</v>
      </c>
      <c r="D512" s="1018" t="s">
        <v>346</v>
      </c>
      <c r="E512" s="1018" t="s">
        <v>757</v>
      </c>
      <c r="F512" s="1018"/>
      <c r="G512" s="1018" t="s">
        <v>347</v>
      </c>
      <c r="H512" s="1018" t="s">
        <v>348</v>
      </c>
      <c r="I512" s="1019" t="s">
        <v>349</v>
      </c>
      <c r="J512" s="1019" t="s">
        <v>350</v>
      </c>
      <c r="K512" s="1020" t="s">
        <v>351</v>
      </c>
      <c r="L512" s="1026" t="s">
        <v>345</v>
      </c>
      <c r="M512" s="1027" t="s">
        <v>345</v>
      </c>
      <c r="N512" s="1027" t="s">
        <v>346</v>
      </c>
      <c r="O512" s="1028"/>
      <c r="P512" s="1027" t="s">
        <v>347</v>
      </c>
      <c r="Q512" s="1029" t="s">
        <v>348</v>
      </c>
    </row>
    <row r="513" spans="1:17" ht="14.45" customHeight="1" x14ac:dyDescent="0.2">
      <c r="A513" s="975" t="s">
        <v>352</v>
      </c>
      <c r="B513" s="976">
        <v>789</v>
      </c>
      <c r="C513" s="976">
        <v>784</v>
      </c>
      <c r="D513" s="977">
        <v>3700.3</v>
      </c>
      <c r="E513" s="1608">
        <v>4.7197704081632654</v>
      </c>
      <c r="F513" s="979"/>
      <c r="G513" s="976"/>
      <c r="H513" s="976"/>
      <c r="I513" s="978"/>
      <c r="J513" s="978"/>
      <c r="K513" s="980"/>
      <c r="L513" s="981">
        <v>581</v>
      </c>
      <c r="M513" s="977">
        <v>574</v>
      </c>
      <c r="N513" s="977">
        <v>2747</v>
      </c>
      <c r="O513" s="1608">
        <v>4.7857142857142856</v>
      </c>
      <c r="P513" s="1609"/>
      <c r="Q513" s="1610"/>
    </row>
    <row r="514" spans="1:17" ht="14.45" customHeight="1" x14ac:dyDescent="0.2">
      <c r="A514" s="1481" t="s">
        <v>353</v>
      </c>
      <c r="B514" s="1146">
        <v>185</v>
      </c>
      <c r="C514" s="1146">
        <v>185</v>
      </c>
      <c r="D514" s="957">
        <v>925</v>
      </c>
      <c r="E514" s="1147">
        <v>5</v>
      </c>
      <c r="F514" s="1342" t="s">
        <v>987</v>
      </c>
      <c r="G514" s="1259">
        <v>1929167</v>
      </c>
      <c r="H514" s="1149">
        <v>6624516.3329927325</v>
      </c>
      <c r="I514" s="960"/>
      <c r="J514" s="960"/>
      <c r="K514" s="961"/>
      <c r="L514" s="2217">
        <v>145</v>
      </c>
      <c r="M514" s="1146">
        <v>145</v>
      </c>
      <c r="N514" s="1146">
        <v>725</v>
      </c>
      <c r="O514" s="2277">
        <v>5</v>
      </c>
      <c r="P514" s="1261">
        <v>1458333</v>
      </c>
      <c r="Q514" s="1149">
        <v>6624516.3329927325</v>
      </c>
    </row>
    <row r="515" spans="1:17" ht="14.45" customHeight="1" x14ac:dyDescent="0.2">
      <c r="A515" s="1481" t="s">
        <v>354</v>
      </c>
      <c r="B515" s="1146">
        <v>65</v>
      </c>
      <c r="C515" s="1146">
        <v>65</v>
      </c>
      <c r="D515" s="957">
        <v>292.5</v>
      </c>
      <c r="E515" s="1147">
        <v>4.5</v>
      </c>
      <c r="F515" s="1342" t="s">
        <v>987</v>
      </c>
      <c r="G515" s="1259">
        <v>1929167</v>
      </c>
      <c r="H515" s="1149">
        <v>6624516.3329927325</v>
      </c>
      <c r="I515" s="960"/>
      <c r="J515" s="960"/>
      <c r="K515" s="961"/>
      <c r="L515" s="2217">
        <v>50</v>
      </c>
      <c r="M515" s="1146">
        <v>50</v>
      </c>
      <c r="N515" s="1146">
        <v>233.5</v>
      </c>
      <c r="O515" s="2277">
        <v>4.67</v>
      </c>
      <c r="P515" s="1261">
        <v>1458333</v>
      </c>
      <c r="Q515" s="1149">
        <v>6624516.3329927325</v>
      </c>
    </row>
    <row r="516" spans="1:17" ht="14.45" customHeight="1" x14ac:dyDescent="0.2">
      <c r="A516" s="1481" t="s">
        <v>355</v>
      </c>
      <c r="B516" s="1146">
        <v>35</v>
      </c>
      <c r="C516" s="1146">
        <v>35</v>
      </c>
      <c r="D516" s="957">
        <v>175</v>
      </c>
      <c r="E516" s="1147">
        <v>5</v>
      </c>
      <c r="F516" s="1342" t="s">
        <v>987</v>
      </c>
      <c r="G516" s="1259">
        <v>1929167</v>
      </c>
      <c r="H516" s="1149">
        <v>6624516.3329927325</v>
      </c>
      <c r="I516" s="960"/>
      <c r="J516" s="960"/>
      <c r="K516" s="961"/>
      <c r="L516" s="2217">
        <v>23</v>
      </c>
      <c r="M516" s="1146">
        <v>21</v>
      </c>
      <c r="N516" s="1146">
        <v>105</v>
      </c>
      <c r="O516" s="2277">
        <v>5</v>
      </c>
      <c r="P516" s="1261">
        <v>1458333</v>
      </c>
      <c r="Q516" s="1149">
        <v>6624516.3329927325</v>
      </c>
    </row>
    <row r="517" spans="1:17" ht="14.45" customHeight="1" x14ac:dyDescent="0.2">
      <c r="A517" s="1481" t="s">
        <v>356</v>
      </c>
      <c r="B517" s="1146"/>
      <c r="C517" s="1146"/>
      <c r="D517" s="957">
        <v>0</v>
      </c>
      <c r="E517" s="1147"/>
      <c r="F517" s="1342"/>
      <c r="G517" s="1259"/>
      <c r="H517" s="1149"/>
      <c r="I517" s="960"/>
      <c r="J517" s="960"/>
      <c r="K517" s="961"/>
      <c r="L517" s="2217"/>
      <c r="M517" s="1146"/>
      <c r="N517" s="1146">
        <v>0</v>
      </c>
      <c r="O517" s="2277"/>
      <c r="P517" s="1261"/>
      <c r="Q517" s="1149"/>
    </row>
    <row r="518" spans="1:17" ht="14.45" customHeight="1" x14ac:dyDescent="0.2">
      <c r="A518" s="1481" t="s">
        <v>357</v>
      </c>
      <c r="B518" s="1146">
        <v>336</v>
      </c>
      <c r="C518" s="1146">
        <v>336</v>
      </c>
      <c r="D518" s="957">
        <v>1612.8</v>
      </c>
      <c r="E518" s="1147">
        <v>4.8</v>
      </c>
      <c r="F518" s="1342" t="s">
        <v>987</v>
      </c>
      <c r="G518" s="1259">
        <v>1929167</v>
      </c>
      <c r="H518" s="1149">
        <v>6624516.3329927325</v>
      </c>
      <c r="I518" s="960"/>
      <c r="J518" s="960"/>
      <c r="K518" s="961"/>
      <c r="L518" s="2217">
        <v>200</v>
      </c>
      <c r="M518" s="1146">
        <v>200</v>
      </c>
      <c r="N518" s="1146">
        <v>960</v>
      </c>
      <c r="O518" s="2277">
        <v>4.8</v>
      </c>
      <c r="P518" s="1261">
        <v>1458333</v>
      </c>
      <c r="Q518" s="1149">
        <v>6624516.3329927325</v>
      </c>
    </row>
    <row r="519" spans="1:17" ht="14.45" customHeight="1" x14ac:dyDescent="0.2">
      <c r="A519" s="1481" t="s">
        <v>358</v>
      </c>
      <c r="B519" s="1146">
        <v>21</v>
      </c>
      <c r="C519" s="1146">
        <v>21</v>
      </c>
      <c r="D519" s="957">
        <v>84</v>
      </c>
      <c r="E519" s="1147">
        <v>4</v>
      </c>
      <c r="F519" s="1342" t="s">
        <v>987</v>
      </c>
      <c r="G519" s="1259">
        <v>1929167</v>
      </c>
      <c r="H519" s="1149">
        <v>6624516.3329927325</v>
      </c>
      <c r="I519" s="960"/>
      <c r="J519" s="960"/>
      <c r="K519" s="961"/>
      <c r="L519" s="2217">
        <v>30</v>
      </c>
      <c r="M519" s="1146">
        <v>30</v>
      </c>
      <c r="N519" s="1146">
        <v>120</v>
      </c>
      <c r="O519" s="2277">
        <v>4</v>
      </c>
      <c r="P519" s="1261">
        <v>1458333</v>
      </c>
      <c r="Q519" s="1149">
        <v>6624516.3329927325</v>
      </c>
    </row>
    <row r="520" spans="1:17" ht="14.45" customHeight="1" x14ac:dyDescent="0.2">
      <c r="A520" s="1481" t="s">
        <v>359</v>
      </c>
      <c r="B520" s="1146">
        <v>7</v>
      </c>
      <c r="C520" s="1146">
        <v>7</v>
      </c>
      <c r="D520" s="957">
        <v>31.5</v>
      </c>
      <c r="E520" s="1147">
        <v>4.5</v>
      </c>
      <c r="F520" s="1342"/>
      <c r="G520" s="1259">
        <v>1929167</v>
      </c>
      <c r="H520" s="1149">
        <v>6624516.3329927325</v>
      </c>
      <c r="I520" s="960"/>
      <c r="J520" s="960"/>
      <c r="K520" s="961"/>
      <c r="L520" s="2217">
        <v>15</v>
      </c>
      <c r="M520" s="1146">
        <v>15</v>
      </c>
      <c r="N520" s="1146">
        <v>67.5</v>
      </c>
      <c r="O520" s="2277">
        <v>4.5</v>
      </c>
      <c r="P520" s="1261">
        <v>1458333</v>
      </c>
      <c r="Q520" s="1149">
        <v>6624516.3329927325</v>
      </c>
    </row>
    <row r="521" spans="1:17" ht="14.45" customHeight="1" x14ac:dyDescent="0.2">
      <c r="A521" s="1481" t="s">
        <v>360</v>
      </c>
      <c r="B521" s="1146">
        <v>0</v>
      </c>
      <c r="C521" s="1146">
        <v>0</v>
      </c>
      <c r="D521" s="957">
        <v>0</v>
      </c>
      <c r="E521" s="1147">
        <v>0</v>
      </c>
      <c r="F521" s="1342"/>
      <c r="G521" s="1259"/>
      <c r="H521" s="1149"/>
      <c r="I521" s="960"/>
      <c r="J521" s="960"/>
      <c r="K521" s="961"/>
      <c r="L521" s="2217">
        <v>0</v>
      </c>
      <c r="M521" s="1146">
        <v>0</v>
      </c>
      <c r="N521" s="1146">
        <v>0</v>
      </c>
      <c r="O521" s="2277">
        <v>0</v>
      </c>
      <c r="P521" s="1261"/>
      <c r="Q521" s="1149"/>
    </row>
    <row r="522" spans="1:17" ht="14.45" customHeight="1" x14ac:dyDescent="0.2">
      <c r="A522" s="1481" t="s">
        <v>361</v>
      </c>
      <c r="B522" s="1146">
        <v>78</v>
      </c>
      <c r="C522" s="1146">
        <v>73</v>
      </c>
      <c r="D522" s="957">
        <v>328.5</v>
      </c>
      <c r="E522" s="1147">
        <v>4.5</v>
      </c>
      <c r="F522" s="1342" t="s">
        <v>987</v>
      </c>
      <c r="G522" s="1259">
        <v>1929167</v>
      </c>
      <c r="H522" s="1149">
        <v>6624516.3329927325</v>
      </c>
      <c r="I522" s="960"/>
      <c r="J522" s="960"/>
      <c r="K522" s="961"/>
      <c r="L522" s="2217">
        <v>58</v>
      </c>
      <c r="M522" s="1146">
        <v>55</v>
      </c>
      <c r="N522" s="1146">
        <v>247.5</v>
      </c>
      <c r="O522" s="2277">
        <v>4.5</v>
      </c>
      <c r="P522" s="1261">
        <v>1458333</v>
      </c>
      <c r="Q522" s="1149">
        <v>6624516.3329927325</v>
      </c>
    </row>
    <row r="523" spans="1:17" ht="14.45" customHeight="1" x14ac:dyDescent="0.2">
      <c r="A523" s="1481" t="s">
        <v>362</v>
      </c>
      <c r="B523" s="1146">
        <v>0</v>
      </c>
      <c r="C523" s="1146">
        <v>0</v>
      </c>
      <c r="D523" s="957">
        <v>0</v>
      </c>
      <c r="E523" s="1147">
        <v>0</v>
      </c>
      <c r="F523" s="1342"/>
      <c r="G523" s="1259"/>
      <c r="H523" s="1149"/>
      <c r="I523" s="960"/>
      <c r="J523" s="960"/>
      <c r="K523" s="961"/>
      <c r="L523" s="2217">
        <v>0</v>
      </c>
      <c r="M523" s="1146">
        <v>0</v>
      </c>
      <c r="N523" s="1146">
        <v>0</v>
      </c>
      <c r="O523" s="2277">
        <v>0</v>
      </c>
      <c r="P523" s="1261"/>
      <c r="Q523" s="1149"/>
    </row>
    <row r="524" spans="1:17" ht="14.45" customHeight="1" x14ac:dyDescent="0.2">
      <c r="A524" s="1481" t="s">
        <v>363</v>
      </c>
      <c r="B524" s="1146">
        <v>0</v>
      </c>
      <c r="C524" s="1146">
        <v>0</v>
      </c>
      <c r="D524" s="957">
        <v>0</v>
      </c>
      <c r="E524" s="1147">
        <v>0</v>
      </c>
      <c r="F524" s="1342"/>
      <c r="G524" s="1259"/>
      <c r="H524" s="1149"/>
      <c r="I524" s="960"/>
      <c r="J524" s="960"/>
      <c r="K524" s="961"/>
      <c r="L524" s="2217">
        <v>2</v>
      </c>
      <c r="M524" s="1146">
        <v>2</v>
      </c>
      <c r="N524" s="1146">
        <v>8</v>
      </c>
      <c r="O524" s="2277">
        <v>4</v>
      </c>
      <c r="P524" s="1261">
        <v>1458333</v>
      </c>
      <c r="Q524" s="1149">
        <v>6624516.3329927325</v>
      </c>
    </row>
    <row r="525" spans="1:17" ht="14.45" customHeight="1" x14ac:dyDescent="0.2">
      <c r="A525" s="1481" t="s">
        <v>364</v>
      </c>
      <c r="B525" s="1146">
        <v>60</v>
      </c>
      <c r="C525" s="1146">
        <v>60</v>
      </c>
      <c r="D525" s="957">
        <v>240</v>
      </c>
      <c r="E525" s="1147">
        <v>4</v>
      </c>
      <c r="F525" s="1342" t="s">
        <v>987</v>
      </c>
      <c r="G525" s="1259">
        <v>1929167</v>
      </c>
      <c r="H525" s="1149">
        <v>6624516.3329927325</v>
      </c>
      <c r="I525" s="960"/>
      <c r="J525" s="960"/>
      <c r="K525" s="961"/>
      <c r="L525" s="2217">
        <v>55</v>
      </c>
      <c r="M525" s="1146">
        <v>55</v>
      </c>
      <c r="N525" s="1146">
        <v>275</v>
      </c>
      <c r="O525" s="2277">
        <v>5</v>
      </c>
      <c r="P525" s="1261">
        <v>1458333</v>
      </c>
      <c r="Q525" s="1149">
        <v>6624516.3329927325</v>
      </c>
    </row>
    <row r="526" spans="1:17" ht="14.45" customHeight="1" x14ac:dyDescent="0.2">
      <c r="A526" s="1481" t="s">
        <v>365</v>
      </c>
      <c r="B526" s="1146"/>
      <c r="C526" s="1146"/>
      <c r="D526" s="957">
        <v>0</v>
      </c>
      <c r="E526" s="1147"/>
      <c r="F526" s="1342"/>
      <c r="G526" s="1259"/>
      <c r="H526" s="1149"/>
      <c r="I526" s="960"/>
      <c r="J526" s="960"/>
      <c r="K526" s="961"/>
      <c r="L526" s="2217"/>
      <c r="M526" s="1146"/>
      <c r="N526" s="1146">
        <v>0</v>
      </c>
      <c r="O526" s="2277"/>
      <c r="P526" s="1261"/>
      <c r="Q526" s="1606"/>
    </row>
    <row r="527" spans="1:17" ht="14.45" customHeight="1" x14ac:dyDescent="0.2">
      <c r="A527" s="1481" t="s">
        <v>366</v>
      </c>
      <c r="B527" s="1146">
        <v>2</v>
      </c>
      <c r="C527" s="1146">
        <v>2</v>
      </c>
      <c r="D527" s="957">
        <v>11</v>
      </c>
      <c r="E527" s="1147">
        <v>5.5</v>
      </c>
      <c r="F527" s="1342" t="s">
        <v>987</v>
      </c>
      <c r="G527" s="1259">
        <v>1929167</v>
      </c>
      <c r="H527" s="1149">
        <v>6624516.3329927325</v>
      </c>
      <c r="I527" s="960"/>
      <c r="J527" s="960"/>
      <c r="K527" s="961"/>
      <c r="L527" s="2217">
        <v>3</v>
      </c>
      <c r="M527" s="1146">
        <v>1</v>
      </c>
      <c r="N527" s="1146">
        <v>5.5</v>
      </c>
      <c r="O527" s="2277">
        <v>5.5</v>
      </c>
      <c r="P527" s="1261">
        <v>1458333</v>
      </c>
      <c r="Q527" s="1149">
        <v>6624516.3329927325</v>
      </c>
    </row>
    <row r="528" spans="1:17" ht="14.45" customHeight="1" x14ac:dyDescent="0.2">
      <c r="A528" s="1481" t="s">
        <v>367</v>
      </c>
      <c r="B528" s="1146">
        <v>0</v>
      </c>
      <c r="C528" s="1146">
        <v>0</v>
      </c>
      <c r="D528" s="957">
        <v>0</v>
      </c>
      <c r="E528" s="1147">
        <v>0</v>
      </c>
      <c r="F528" s="1342"/>
      <c r="G528" s="1259"/>
      <c r="H528" s="1149"/>
      <c r="I528" s="960"/>
      <c r="J528" s="960"/>
      <c r="K528" s="961"/>
      <c r="L528" s="2217">
        <v>0</v>
      </c>
      <c r="M528" s="1146">
        <v>0</v>
      </c>
      <c r="N528" s="1146">
        <v>0</v>
      </c>
      <c r="O528" s="2277">
        <v>0</v>
      </c>
      <c r="P528" s="1261"/>
      <c r="Q528" s="1149"/>
    </row>
    <row r="529" spans="1:17" ht="14.45" customHeight="1" x14ac:dyDescent="0.2">
      <c r="A529" s="1484" t="s">
        <v>368</v>
      </c>
      <c r="B529" s="1002">
        <v>240.5</v>
      </c>
      <c r="C529" s="984">
        <v>240.5</v>
      </c>
      <c r="D529" s="2308">
        <v>1199.8</v>
      </c>
      <c r="E529" s="1608">
        <v>4.9887733887733887</v>
      </c>
      <c r="F529" s="987"/>
      <c r="G529" s="1486"/>
      <c r="H529" s="1487"/>
      <c r="I529" s="989"/>
      <c r="J529" s="989"/>
      <c r="K529" s="990"/>
      <c r="L529" s="1453">
        <v>178</v>
      </c>
      <c r="M529" s="1002">
        <v>178</v>
      </c>
      <c r="N529" s="1002">
        <v>882.4</v>
      </c>
      <c r="O529" s="2216">
        <v>4.9573033707865166</v>
      </c>
      <c r="P529" s="1604"/>
      <c r="Q529" s="1605"/>
    </row>
    <row r="530" spans="1:17" ht="14.45" customHeight="1" x14ac:dyDescent="0.2">
      <c r="A530" s="1481" t="s">
        <v>369</v>
      </c>
      <c r="B530" s="1146">
        <v>210</v>
      </c>
      <c r="C530" s="1146">
        <v>210</v>
      </c>
      <c r="D530" s="957">
        <v>1050</v>
      </c>
      <c r="E530" s="1147">
        <v>5</v>
      </c>
      <c r="F530" s="1342" t="s">
        <v>987</v>
      </c>
      <c r="G530" s="1259">
        <v>1929167</v>
      </c>
      <c r="H530" s="1149">
        <v>6624516.3329927325</v>
      </c>
      <c r="I530" s="960"/>
      <c r="J530" s="960"/>
      <c r="K530" s="961"/>
      <c r="L530" s="2217">
        <v>141</v>
      </c>
      <c r="M530" s="1146">
        <v>141</v>
      </c>
      <c r="N530" s="1146">
        <v>705</v>
      </c>
      <c r="O530" s="2277">
        <v>5</v>
      </c>
      <c r="P530" s="1261">
        <v>1458333</v>
      </c>
      <c r="Q530" s="1149">
        <v>6624516.3329927325</v>
      </c>
    </row>
    <row r="531" spans="1:17" ht="14.45" customHeight="1" x14ac:dyDescent="0.2">
      <c r="A531" s="1481" t="s">
        <v>370</v>
      </c>
      <c r="B531" s="1146">
        <v>0</v>
      </c>
      <c r="C531" s="1146">
        <v>0</v>
      </c>
      <c r="D531" s="957">
        <v>0</v>
      </c>
      <c r="E531" s="1147">
        <v>0</v>
      </c>
      <c r="F531" s="1342"/>
      <c r="G531" s="1259"/>
      <c r="H531" s="1149"/>
      <c r="I531" s="960"/>
      <c r="J531" s="960"/>
      <c r="K531" s="961"/>
      <c r="L531" s="2217">
        <v>0</v>
      </c>
      <c r="M531" s="1146">
        <v>0</v>
      </c>
      <c r="N531" s="1146">
        <v>0</v>
      </c>
      <c r="O531" s="2277">
        <v>0</v>
      </c>
      <c r="P531" s="1261"/>
      <c r="Q531" s="1149"/>
    </row>
    <row r="532" spans="1:17" ht="14.45" customHeight="1" x14ac:dyDescent="0.2">
      <c r="A532" s="1481" t="s">
        <v>371</v>
      </c>
      <c r="B532" s="1146">
        <v>3.5</v>
      </c>
      <c r="C532" s="1146">
        <v>3.5</v>
      </c>
      <c r="D532" s="957">
        <v>16.8</v>
      </c>
      <c r="E532" s="1147">
        <v>4.8</v>
      </c>
      <c r="F532" s="1342"/>
      <c r="G532" s="1259">
        <v>1929167</v>
      </c>
      <c r="H532" s="1149">
        <v>6624516.3329927325</v>
      </c>
      <c r="I532" s="960"/>
      <c r="J532" s="960"/>
      <c r="K532" s="961"/>
      <c r="L532" s="2217">
        <v>3</v>
      </c>
      <c r="M532" s="1146">
        <v>3</v>
      </c>
      <c r="N532" s="1146">
        <v>14.399999999999999</v>
      </c>
      <c r="O532" s="2277">
        <v>4.8</v>
      </c>
      <c r="P532" s="1261">
        <v>1458333</v>
      </c>
      <c r="Q532" s="1149">
        <v>6624516.3329927325</v>
      </c>
    </row>
    <row r="533" spans="1:17" ht="14.45" customHeight="1" x14ac:dyDescent="0.2">
      <c r="A533" s="1481" t="s">
        <v>372</v>
      </c>
      <c r="B533" s="1146">
        <v>4</v>
      </c>
      <c r="C533" s="1146">
        <v>4</v>
      </c>
      <c r="D533" s="957">
        <v>18</v>
      </c>
      <c r="E533" s="1147">
        <v>4.5</v>
      </c>
      <c r="F533" s="1342" t="s">
        <v>987</v>
      </c>
      <c r="G533" s="1259">
        <v>1929167</v>
      </c>
      <c r="H533" s="1149">
        <v>6624516.3329927325</v>
      </c>
      <c r="I533" s="960"/>
      <c r="J533" s="960"/>
      <c r="K533" s="961"/>
      <c r="L533" s="2217">
        <v>10</v>
      </c>
      <c r="M533" s="1146">
        <v>10</v>
      </c>
      <c r="N533" s="1146">
        <v>43</v>
      </c>
      <c r="O533" s="2277">
        <v>4.3</v>
      </c>
      <c r="P533" s="1261">
        <v>1458333</v>
      </c>
      <c r="Q533" s="1149">
        <v>6624516.3329927325</v>
      </c>
    </row>
    <row r="534" spans="1:17" ht="14.45" customHeight="1" x14ac:dyDescent="0.2">
      <c r="A534" s="1481" t="s">
        <v>373</v>
      </c>
      <c r="B534" s="1146">
        <v>23</v>
      </c>
      <c r="C534" s="1146">
        <v>23</v>
      </c>
      <c r="D534" s="957">
        <v>115</v>
      </c>
      <c r="E534" s="1147">
        <v>5</v>
      </c>
      <c r="F534" s="1342" t="s">
        <v>987</v>
      </c>
      <c r="G534" s="1259">
        <v>1929167</v>
      </c>
      <c r="H534" s="1149">
        <v>6624516.3329927325</v>
      </c>
      <c r="I534" s="960"/>
      <c r="J534" s="960"/>
      <c r="K534" s="961"/>
      <c r="L534" s="2217">
        <v>24</v>
      </c>
      <c r="M534" s="1146">
        <v>24</v>
      </c>
      <c r="N534" s="1146">
        <v>120</v>
      </c>
      <c r="O534" s="2277">
        <v>5</v>
      </c>
      <c r="P534" s="1261">
        <v>1458333</v>
      </c>
      <c r="Q534" s="1149">
        <v>6624516.3329927325</v>
      </c>
    </row>
    <row r="535" spans="1:17" ht="14.45" customHeight="1" x14ac:dyDescent="0.2">
      <c r="A535" s="1484" t="s">
        <v>374</v>
      </c>
      <c r="B535" s="1002">
        <v>327</v>
      </c>
      <c r="C535" s="984">
        <v>327</v>
      </c>
      <c r="D535" s="984">
        <v>1612</v>
      </c>
      <c r="E535" s="1608">
        <v>4.9296636085626915</v>
      </c>
      <c r="F535" s="987"/>
      <c r="G535" s="1488"/>
      <c r="H535" s="1153"/>
      <c r="I535" s="997"/>
      <c r="J535" s="997"/>
      <c r="K535" s="998"/>
      <c r="L535" s="1453">
        <v>268</v>
      </c>
      <c r="M535" s="1002">
        <v>267</v>
      </c>
      <c r="N535" s="1002">
        <v>1288.8</v>
      </c>
      <c r="O535" s="2216">
        <v>4.8269662921348315</v>
      </c>
      <c r="P535" s="1604"/>
      <c r="Q535" s="1605"/>
    </row>
    <row r="536" spans="1:17" ht="14.45" customHeight="1" x14ac:dyDescent="0.2">
      <c r="A536" s="1481" t="s">
        <v>375</v>
      </c>
      <c r="B536" s="1146">
        <v>185</v>
      </c>
      <c r="C536" s="1146">
        <v>185</v>
      </c>
      <c r="D536" s="957">
        <v>962</v>
      </c>
      <c r="E536" s="1147">
        <v>5.2</v>
      </c>
      <c r="F536" s="1342" t="s">
        <v>987</v>
      </c>
      <c r="G536" s="1259">
        <v>1929167</v>
      </c>
      <c r="H536" s="1149">
        <v>6624516.3329927325</v>
      </c>
      <c r="I536" s="960"/>
      <c r="J536" s="960"/>
      <c r="K536" s="961"/>
      <c r="L536" s="2217">
        <v>150</v>
      </c>
      <c r="M536" s="1146">
        <v>150</v>
      </c>
      <c r="N536" s="1146">
        <v>750</v>
      </c>
      <c r="O536" s="2277">
        <v>5</v>
      </c>
      <c r="P536" s="1261">
        <v>1458333</v>
      </c>
      <c r="Q536" s="1149">
        <v>6624516.3329927325</v>
      </c>
    </row>
    <row r="537" spans="1:17" ht="14.45" customHeight="1" x14ac:dyDescent="0.2">
      <c r="A537" s="1481" t="s">
        <v>376</v>
      </c>
      <c r="B537" s="1146">
        <v>0</v>
      </c>
      <c r="C537" s="1146">
        <v>0</v>
      </c>
      <c r="D537" s="957">
        <v>0</v>
      </c>
      <c r="E537" s="1147">
        <v>0</v>
      </c>
      <c r="F537" s="1342"/>
      <c r="G537" s="1259"/>
      <c r="H537" s="1149"/>
      <c r="I537" s="960"/>
      <c r="J537" s="960"/>
      <c r="K537" s="961"/>
      <c r="L537" s="2217">
        <v>0</v>
      </c>
      <c r="M537" s="1146">
        <v>0</v>
      </c>
      <c r="N537" s="1146">
        <v>0</v>
      </c>
      <c r="O537" s="2277">
        <v>0</v>
      </c>
      <c r="P537" s="1261"/>
      <c r="Q537" s="1149"/>
    </row>
    <row r="538" spans="1:17" ht="14.45" customHeight="1" x14ac:dyDescent="0.2">
      <c r="A538" s="1481" t="s">
        <v>377</v>
      </c>
      <c r="B538" s="1146">
        <v>0</v>
      </c>
      <c r="C538" s="1146">
        <v>0</v>
      </c>
      <c r="D538" s="957">
        <v>0</v>
      </c>
      <c r="E538" s="1147">
        <v>0</v>
      </c>
      <c r="F538" s="1342"/>
      <c r="G538" s="1259"/>
      <c r="H538" s="1149"/>
      <c r="I538" s="960"/>
      <c r="J538" s="960"/>
      <c r="K538" s="961"/>
      <c r="L538" s="2217">
        <v>0</v>
      </c>
      <c r="M538" s="1146">
        <v>0</v>
      </c>
      <c r="N538" s="1146">
        <v>0</v>
      </c>
      <c r="O538" s="2277">
        <v>0</v>
      </c>
      <c r="P538" s="1261"/>
      <c r="Q538" s="1149"/>
    </row>
    <row r="539" spans="1:17" ht="14.45" customHeight="1" x14ac:dyDescent="0.2">
      <c r="A539" s="1481" t="s">
        <v>378</v>
      </c>
      <c r="B539" s="1146">
        <v>45</v>
      </c>
      <c r="C539" s="1146">
        <v>45</v>
      </c>
      <c r="D539" s="957">
        <v>206.99999999999997</v>
      </c>
      <c r="E539" s="1147">
        <v>4.5999999999999996</v>
      </c>
      <c r="F539" s="1342" t="s">
        <v>987</v>
      </c>
      <c r="G539" s="1259">
        <v>1929167</v>
      </c>
      <c r="H539" s="1149">
        <v>6624516.3329927325</v>
      </c>
      <c r="I539" s="966"/>
      <c r="J539" s="960"/>
      <c r="K539" s="967"/>
      <c r="L539" s="2217">
        <v>38</v>
      </c>
      <c r="M539" s="1146">
        <v>38</v>
      </c>
      <c r="N539" s="1146">
        <v>174.79999999999998</v>
      </c>
      <c r="O539" s="2277">
        <v>4.5999999999999996</v>
      </c>
      <c r="P539" s="1261">
        <v>1458333</v>
      </c>
      <c r="Q539" s="1149">
        <v>6624516.3329927325</v>
      </c>
    </row>
    <row r="540" spans="1:17" ht="14.45" customHeight="1" x14ac:dyDescent="0.2">
      <c r="A540" s="1481" t="s">
        <v>379</v>
      </c>
      <c r="B540" s="1146">
        <v>60</v>
      </c>
      <c r="C540" s="1146">
        <v>60</v>
      </c>
      <c r="D540" s="957">
        <v>270</v>
      </c>
      <c r="E540" s="1147">
        <v>4.5</v>
      </c>
      <c r="F540" s="1342" t="s">
        <v>987</v>
      </c>
      <c r="G540" s="1259">
        <v>1929167</v>
      </c>
      <c r="H540" s="1149">
        <v>6624516.3329927325</v>
      </c>
      <c r="I540" s="966"/>
      <c r="J540" s="960"/>
      <c r="K540" s="967"/>
      <c r="L540" s="2217">
        <v>50</v>
      </c>
      <c r="M540" s="1146">
        <v>50</v>
      </c>
      <c r="N540" s="1146">
        <v>225</v>
      </c>
      <c r="O540" s="2277">
        <v>4.5</v>
      </c>
      <c r="P540" s="1261">
        <v>1458333</v>
      </c>
      <c r="Q540" s="1149">
        <v>6624516.3329927325</v>
      </c>
    </row>
    <row r="541" spans="1:17" ht="14.45" customHeight="1" x14ac:dyDescent="0.2">
      <c r="A541" s="1481" t="s">
        <v>380</v>
      </c>
      <c r="B541" s="1146">
        <v>20</v>
      </c>
      <c r="C541" s="1146">
        <v>20</v>
      </c>
      <c r="D541" s="957">
        <v>90</v>
      </c>
      <c r="E541" s="1147">
        <v>4.5</v>
      </c>
      <c r="F541" s="1342" t="s">
        <v>987</v>
      </c>
      <c r="G541" s="1259">
        <v>1929167</v>
      </c>
      <c r="H541" s="1149">
        <v>6624516.3329927325</v>
      </c>
      <c r="I541" s="966"/>
      <c r="J541" s="960"/>
      <c r="K541" s="967"/>
      <c r="L541" s="2217">
        <v>20</v>
      </c>
      <c r="M541" s="1146">
        <v>20</v>
      </c>
      <c r="N541" s="1146">
        <v>100</v>
      </c>
      <c r="O541" s="2277">
        <v>5</v>
      </c>
      <c r="P541" s="1261">
        <v>1458333</v>
      </c>
      <c r="Q541" s="1149">
        <v>6624516.3329927325</v>
      </c>
    </row>
    <row r="542" spans="1:17" ht="14.45" customHeight="1" x14ac:dyDescent="0.2">
      <c r="A542" s="1481" t="s">
        <v>381</v>
      </c>
      <c r="B542" s="1146">
        <v>4</v>
      </c>
      <c r="C542" s="1146">
        <v>4</v>
      </c>
      <c r="D542" s="957">
        <v>18</v>
      </c>
      <c r="E542" s="1147">
        <v>4.5</v>
      </c>
      <c r="F542" s="1342" t="s">
        <v>987</v>
      </c>
      <c r="G542" s="1259">
        <v>1929167</v>
      </c>
      <c r="H542" s="1149">
        <v>6624516.3329927325</v>
      </c>
      <c r="I542" s="966"/>
      <c r="J542" s="960"/>
      <c r="K542" s="967"/>
      <c r="L542" s="2217">
        <v>6</v>
      </c>
      <c r="M542" s="1146">
        <v>6</v>
      </c>
      <c r="N542" s="1146">
        <v>27</v>
      </c>
      <c r="O542" s="2277">
        <v>4.5</v>
      </c>
      <c r="P542" s="1261">
        <v>1458333</v>
      </c>
      <c r="Q542" s="1149">
        <v>6624516.3329927325</v>
      </c>
    </row>
    <row r="543" spans="1:17" ht="14.45" customHeight="1" x14ac:dyDescent="0.2">
      <c r="A543" s="1481" t="s">
        <v>382</v>
      </c>
      <c r="B543" s="1146">
        <v>13</v>
      </c>
      <c r="C543" s="1146">
        <v>13</v>
      </c>
      <c r="D543" s="957">
        <v>65</v>
      </c>
      <c r="E543" s="1147">
        <v>5</v>
      </c>
      <c r="F543" s="1342" t="s">
        <v>987</v>
      </c>
      <c r="G543" s="1259">
        <v>1929167</v>
      </c>
      <c r="H543" s="1149">
        <v>6624516.3329927325</v>
      </c>
      <c r="I543" s="966"/>
      <c r="J543" s="960"/>
      <c r="K543" s="967"/>
      <c r="L543" s="2217">
        <v>4</v>
      </c>
      <c r="M543" s="1146">
        <v>3</v>
      </c>
      <c r="N543" s="1146">
        <v>12</v>
      </c>
      <c r="O543" s="2277">
        <v>4</v>
      </c>
      <c r="P543" s="1261">
        <v>1458333</v>
      </c>
      <c r="Q543" s="1149">
        <v>6624516.3329927325</v>
      </c>
    </row>
    <row r="544" spans="1:17" ht="14.45" customHeight="1" x14ac:dyDescent="0.2">
      <c r="A544" s="1484" t="s">
        <v>383</v>
      </c>
      <c r="B544" s="1002">
        <v>488</v>
      </c>
      <c r="C544" s="1002">
        <v>455</v>
      </c>
      <c r="D544" s="1002">
        <v>2248.1</v>
      </c>
      <c r="E544" s="1608">
        <v>4.9408791208791207</v>
      </c>
      <c r="F544" s="1003"/>
      <c r="G544" s="1206"/>
      <c r="H544" s="1204"/>
      <c r="I544" s="1005"/>
      <c r="J544" s="997"/>
      <c r="K544" s="949"/>
      <c r="L544" s="1453">
        <v>521</v>
      </c>
      <c r="M544" s="1002">
        <v>489</v>
      </c>
      <c r="N544" s="1002">
        <v>2293</v>
      </c>
      <c r="O544" s="2216">
        <v>4.6891615541922294</v>
      </c>
      <c r="P544" s="1604"/>
      <c r="Q544" s="1605"/>
    </row>
    <row r="545" spans="1:17" ht="14.45" customHeight="1" x14ac:dyDescent="0.2">
      <c r="A545" s="1481" t="s">
        <v>384</v>
      </c>
      <c r="B545" s="1146">
        <v>215</v>
      </c>
      <c r="C545" s="1146">
        <v>186</v>
      </c>
      <c r="D545" s="957">
        <v>967.2</v>
      </c>
      <c r="E545" s="1147">
        <v>5.2</v>
      </c>
      <c r="F545" s="1342" t="s">
        <v>987</v>
      </c>
      <c r="G545" s="1259">
        <v>1929167</v>
      </c>
      <c r="H545" s="1149">
        <v>6624516.3329927325</v>
      </c>
      <c r="I545" s="966"/>
      <c r="J545" s="960"/>
      <c r="K545" s="967"/>
      <c r="L545" s="2217">
        <v>280</v>
      </c>
      <c r="M545" s="1146">
        <v>255</v>
      </c>
      <c r="N545" s="1146">
        <v>1275</v>
      </c>
      <c r="O545" s="2277">
        <v>5</v>
      </c>
      <c r="P545" s="1261">
        <v>1458333</v>
      </c>
      <c r="Q545" s="1149">
        <v>6624516.3329927325</v>
      </c>
    </row>
    <row r="546" spans="1:17" ht="14.45" customHeight="1" x14ac:dyDescent="0.2">
      <c r="A546" s="1481" t="s">
        <v>385</v>
      </c>
      <c r="B546" s="1146">
        <v>20</v>
      </c>
      <c r="C546" s="1146">
        <v>18</v>
      </c>
      <c r="D546" s="957">
        <v>75.600000000000009</v>
      </c>
      <c r="E546" s="1147">
        <v>4.2</v>
      </c>
      <c r="F546" s="1342" t="s">
        <v>987</v>
      </c>
      <c r="G546" s="1259">
        <v>1929167</v>
      </c>
      <c r="H546" s="1149">
        <v>6624516.3329927325</v>
      </c>
      <c r="I546" s="966"/>
      <c r="J546" s="960"/>
      <c r="K546" s="967"/>
      <c r="L546" s="2217">
        <v>20</v>
      </c>
      <c r="M546" s="1146">
        <v>18</v>
      </c>
      <c r="N546" s="1146">
        <v>63</v>
      </c>
      <c r="O546" s="2277">
        <v>3.5</v>
      </c>
      <c r="P546" s="1261">
        <v>1458333</v>
      </c>
      <c r="Q546" s="1149">
        <v>6624516.3329927325</v>
      </c>
    </row>
    <row r="547" spans="1:17" ht="14.45" customHeight="1" x14ac:dyDescent="0.2">
      <c r="A547" s="1481" t="s">
        <v>386</v>
      </c>
      <c r="B547" s="1146">
        <v>20</v>
      </c>
      <c r="C547" s="1146">
        <v>20</v>
      </c>
      <c r="D547" s="957">
        <v>90</v>
      </c>
      <c r="E547" s="1147">
        <v>4.5</v>
      </c>
      <c r="F547" s="1342" t="s">
        <v>987</v>
      </c>
      <c r="G547" s="1259">
        <v>1929167</v>
      </c>
      <c r="H547" s="1149">
        <v>6624516.3329927325</v>
      </c>
      <c r="I547" s="966"/>
      <c r="J547" s="960"/>
      <c r="K547" s="967"/>
      <c r="L547" s="2217">
        <v>9</v>
      </c>
      <c r="M547" s="1146">
        <v>9</v>
      </c>
      <c r="N547" s="1146">
        <v>36</v>
      </c>
      <c r="O547" s="2277">
        <v>4</v>
      </c>
      <c r="P547" s="1261">
        <v>1458333</v>
      </c>
      <c r="Q547" s="1149">
        <v>6624516.3329927325</v>
      </c>
    </row>
    <row r="548" spans="1:17" ht="14.45" customHeight="1" x14ac:dyDescent="0.2">
      <c r="A548" s="1481" t="s">
        <v>387</v>
      </c>
      <c r="B548" s="1146">
        <v>20</v>
      </c>
      <c r="C548" s="1146">
        <v>19</v>
      </c>
      <c r="D548" s="957">
        <v>79.8</v>
      </c>
      <c r="E548" s="1147">
        <v>4.2</v>
      </c>
      <c r="F548" s="1342" t="s">
        <v>987</v>
      </c>
      <c r="G548" s="1259">
        <v>1929167</v>
      </c>
      <c r="H548" s="1149">
        <v>6624516.3329927325</v>
      </c>
      <c r="I548" s="966"/>
      <c r="J548" s="960"/>
      <c r="K548" s="967"/>
      <c r="L548" s="2217">
        <v>30</v>
      </c>
      <c r="M548" s="1146">
        <v>25</v>
      </c>
      <c r="N548" s="1146">
        <v>100</v>
      </c>
      <c r="O548" s="2277">
        <v>4</v>
      </c>
      <c r="P548" s="1261">
        <v>1458333</v>
      </c>
      <c r="Q548" s="1149">
        <v>6624516.3329927325</v>
      </c>
    </row>
    <row r="549" spans="1:17" ht="14.45" customHeight="1" x14ac:dyDescent="0.2">
      <c r="A549" s="1481" t="s">
        <v>388</v>
      </c>
      <c r="B549" s="1146"/>
      <c r="C549" s="1146"/>
      <c r="D549" s="957">
        <v>0</v>
      </c>
      <c r="E549" s="1147"/>
      <c r="F549" s="1342"/>
      <c r="G549" s="1259"/>
      <c r="H549" s="1149"/>
      <c r="I549" s="966"/>
      <c r="J549" s="960"/>
      <c r="K549" s="967"/>
      <c r="L549" s="2217"/>
      <c r="M549" s="1146"/>
      <c r="N549" s="1146">
        <v>0</v>
      </c>
      <c r="O549" s="2277"/>
      <c r="P549" s="1261"/>
      <c r="Q549" s="1149"/>
    </row>
    <row r="550" spans="1:17" ht="14.45" customHeight="1" x14ac:dyDescent="0.2">
      <c r="A550" s="1481" t="s">
        <v>389</v>
      </c>
      <c r="B550" s="1146">
        <v>5</v>
      </c>
      <c r="C550" s="1146">
        <v>5</v>
      </c>
      <c r="D550" s="957">
        <v>22.5</v>
      </c>
      <c r="E550" s="1147">
        <v>4.5</v>
      </c>
      <c r="F550" s="1342" t="s">
        <v>987</v>
      </c>
      <c r="G550" s="1259">
        <v>1929167</v>
      </c>
      <c r="H550" s="1149">
        <v>6624516.3329927325</v>
      </c>
      <c r="I550" s="966"/>
      <c r="J550" s="960"/>
      <c r="K550" s="967"/>
      <c r="L550" s="2217">
        <v>4</v>
      </c>
      <c r="M550" s="1146">
        <v>4</v>
      </c>
      <c r="N550" s="1146">
        <v>16</v>
      </c>
      <c r="O550" s="2277">
        <v>4</v>
      </c>
      <c r="P550" s="1261">
        <v>1458333</v>
      </c>
      <c r="Q550" s="1149">
        <v>6624516.3329927325</v>
      </c>
    </row>
    <row r="551" spans="1:17" ht="14.45" customHeight="1" x14ac:dyDescent="0.2">
      <c r="A551" s="1481" t="s">
        <v>390</v>
      </c>
      <c r="B551" s="1146">
        <v>2</v>
      </c>
      <c r="C551" s="1146">
        <v>2</v>
      </c>
      <c r="D551" s="957">
        <v>8</v>
      </c>
      <c r="E551" s="1147">
        <v>4</v>
      </c>
      <c r="F551" s="1342" t="s">
        <v>987</v>
      </c>
      <c r="G551" s="1259">
        <v>1929167</v>
      </c>
      <c r="H551" s="1149">
        <v>6624516.3329927325</v>
      </c>
      <c r="I551" s="966"/>
      <c r="J551" s="960"/>
      <c r="K551" s="967"/>
      <c r="L551" s="2217">
        <v>2</v>
      </c>
      <c r="M551" s="1146">
        <v>2</v>
      </c>
      <c r="N551" s="1146">
        <v>8</v>
      </c>
      <c r="O551" s="2277">
        <v>4</v>
      </c>
      <c r="P551" s="1261">
        <v>1458333</v>
      </c>
      <c r="Q551" s="1149">
        <v>6624516.3329927325</v>
      </c>
    </row>
    <row r="552" spans="1:17" ht="14.45" customHeight="1" x14ac:dyDescent="0.2">
      <c r="A552" s="1481" t="s">
        <v>391</v>
      </c>
      <c r="B552" s="1146">
        <v>200</v>
      </c>
      <c r="C552" s="1146">
        <v>200</v>
      </c>
      <c r="D552" s="957">
        <v>980.00000000000011</v>
      </c>
      <c r="E552" s="1147">
        <v>4.9000000000000004</v>
      </c>
      <c r="F552" s="1342" t="s">
        <v>987</v>
      </c>
      <c r="G552" s="1259">
        <v>1929167</v>
      </c>
      <c r="H552" s="1149">
        <v>6624516.3329927325</v>
      </c>
      <c r="I552" s="966"/>
      <c r="J552" s="960"/>
      <c r="K552" s="967"/>
      <c r="L552" s="2217">
        <v>170</v>
      </c>
      <c r="M552" s="1146">
        <v>170</v>
      </c>
      <c r="N552" s="1146">
        <v>765</v>
      </c>
      <c r="O552" s="2277">
        <v>4.5</v>
      </c>
      <c r="P552" s="1261">
        <v>1458333</v>
      </c>
      <c r="Q552" s="1149">
        <v>6624516.3329927325</v>
      </c>
    </row>
    <row r="553" spans="1:17" ht="14.45" customHeight="1" x14ac:dyDescent="0.2">
      <c r="A553" s="1493" t="s">
        <v>392</v>
      </c>
      <c r="B553" s="1146">
        <v>6</v>
      </c>
      <c r="C553" s="1146">
        <v>5</v>
      </c>
      <c r="D553" s="957">
        <v>25</v>
      </c>
      <c r="E553" s="1147">
        <v>5</v>
      </c>
      <c r="F553" s="1342" t="s">
        <v>987</v>
      </c>
      <c r="G553" s="1259">
        <v>1929167</v>
      </c>
      <c r="H553" s="1149">
        <v>6624516.3329927325</v>
      </c>
      <c r="I553" s="973"/>
      <c r="J553" s="1496"/>
      <c r="K553" s="974"/>
      <c r="L553" s="2219">
        <v>6</v>
      </c>
      <c r="M553" s="1529">
        <v>6</v>
      </c>
      <c r="N553" s="1529">
        <v>30</v>
      </c>
      <c r="O553" s="247">
        <v>5</v>
      </c>
      <c r="P553" s="1261">
        <v>1458333</v>
      </c>
      <c r="Q553" s="1149">
        <v>6624516.3329927325</v>
      </c>
    </row>
    <row r="554" spans="1:17" ht="14.45" customHeight="1" thickBot="1" x14ac:dyDescent="0.25">
      <c r="A554" s="1006" t="s">
        <v>393</v>
      </c>
      <c r="B554" s="1007">
        <v>1844.5</v>
      </c>
      <c r="C554" s="1007">
        <v>1806.5</v>
      </c>
      <c r="D554" s="1007">
        <v>8760.2000000000007</v>
      </c>
      <c r="E554" s="1482">
        <v>4.8492665375034605</v>
      </c>
      <c r="F554" s="1480" t="s">
        <v>987</v>
      </c>
      <c r="G554" s="1085">
        <v>1929167.0000000002</v>
      </c>
      <c r="H554" s="1085">
        <v>6624516.3329927335</v>
      </c>
      <c r="I554" s="1008"/>
      <c r="J554" s="1008" t="s">
        <v>983</v>
      </c>
      <c r="K554" s="1011"/>
      <c r="L554" s="1007">
        <v>1548</v>
      </c>
      <c r="M554" s="1007">
        <v>1508</v>
      </c>
      <c r="N554" s="1007">
        <v>7211.2</v>
      </c>
      <c r="O554" s="1083">
        <v>4.7819628647214856</v>
      </c>
      <c r="P554" s="1603">
        <v>1458333</v>
      </c>
      <c r="Q554" s="1607">
        <v>6624516.3329927344</v>
      </c>
    </row>
    <row r="555" spans="1:17" x14ac:dyDescent="0.2">
      <c r="A555" s="7" t="s">
        <v>1934</v>
      </c>
      <c r="B555" s="8"/>
      <c r="C555" s="8"/>
      <c r="D555" s="8"/>
      <c r="E555" s="4"/>
      <c r="F555" s="5"/>
      <c r="G555" s="9"/>
      <c r="H555" s="8"/>
      <c r="I555" s="4"/>
      <c r="J555" s="1"/>
      <c r="K555" s="1"/>
      <c r="O555" s="1"/>
      <c r="P555" s="1"/>
    </row>
    <row r="556" spans="1:17" x14ac:dyDescent="0.2">
      <c r="A556" s="34"/>
      <c r="B556" s="8"/>
      <c r="C556" s="8"/>
      <c r="D556" s="8"/>
      <c r="E556" s="4"/>
      <c r="F556" s="5"/>
      <c r="G556" s="9"/>
      <c r="H556" s="8"/>
      <c r="I556" s="4"/>
      <c r="J556" s="1"/>
      <c r="K556" s="1"/>
      <c r="O556" s="1"/>
      <c r="P556" s="1"/>
    </row>
    <row r="557" spans="1:17" x14ac:dyDescent="0.2">
      <c r="A557" s="6"/>
      <c r="B557" s="8"/>
      <c r="D557" s="8"/>
      <c r="E557" s="8"/>
      <c r="F557" s="5"/>
      <c r="G557" s="9"/>
      <c r="H557" s="8"/>
      <c r="I557" s="4"/>
      <c r="J557" s="1"/>
      <c r="K557" s="1"/>
      <c r="P557" s="1"/>
    </row>
    <row r="558" spans="1:17" x14ac:dyDescent="0.2">
      <c r="A558" s="6"/>
      <c r="B558" s="8"/>
      <c r="C558" s="8"/>
      <c r="D558" s="8"/>
      <c r="E558" s="4"/>
      <c r="F558" s="5"/>
      <c r="G558" s="9"/>
      <c r="H558" s="8"/>
      <c r="I558" s="4"/>
      <c r="J558" s="1"/>
      <c r="K558" s="1"/>
      <c r="O558" s="1"/>
      <c r="P558" s="1"/>
    </row>
    <row r="559" spans="1:17" x14ac:dyDescent="0.2">
      <c r="A559" s="6"/>
      <c r="B559" s="8"/>
      <c r="C559" s="8"/>
      <c r="D559" s="8"/>
      <c r="E559" s="2380"/>
      <c r="F559" s="5"/>
      <c r="G559" s="9"/>
      <c r="H559" s="8"/>
      <c r="I559" s="2380"/>
      <c r="J559" s="2381"/>
      <c r="K559" s="2381"/>
      <c r="O559" s="2381"/>
      <c r="P559" s="2381"/>
    </row>
    <row r="560" spans="1:17" x14ac:dyDescent="0.2">
      <c r="A560" s="6"/>
      <c r="B560" s="8"/>
      <c r="C560" s="8"/>
      <c r="D560" s="8"/>
      <c r="E560" s="2380"/>
      <c r="F560" s="5"/>
      <c r="G560" s="9"/>
      <c r="H560" s="8"/>
      <c r="I560" s="2380"/>
      <c r="J560" s="2381"/>
      <c r="K560" s="2381"/>
      <c r="O560" s="2381"/>
      <c r="P560" s="2381"/>
    </row>
    <row r="561" spans="1:17" ht="15.75" customHeight="1" x14ac:dyDescent="0.25">
      <c r="A561" s="2512" t="s">
        <v>1929</v>
      </c>
      <c r="B561" s="2512"/>
      <c r="C561" s="2512"/>
      <c r="D561" s="2512"/>
      <c r="E561" s="2512"/>
      <c r="F561" s="2512"/>
      <c r="G561" s="2512"/>
      <c r="H561" s="2512"/>
      <c r="I561" s="2512"/>
      <c r="J561" s="2512"/>
      <c r="K561" s="2512"/>
      <c r="L561" s="2512"/>
      <c r="M561" s="2512"/>
      <c r="N561" s="2512"/>
      <c r="O561" s="2512"/>
      <c r="P561" s="2512"/>
      <c r="Q561" s="2512"/>
    </row>
    <row r="562" spans="1:17" x14ac:dyDescent="0.2">
      <c r="A562" s="3"/>
      <c r="B562" s="6"/>
      <c r="C562" s="6"/>
      <c r="D562" s="6"/>
      <c r="E562" s="1"/>
      <c r="F562" s="14"/>
      <c r="G562" s="17"/>
      <c r="H562" s="17"/>
      <c r="I562" s="1"/>
      <c r="J562" s="1"/>
      <c r="K562" s="1"/>
      <c r="L562" s="17"/>
      <c r="M562" s="17"/>
      <c r="N562" s="17"/>
      <c r="O562" s="1"/>
      <c r="P562" s="1"/>
      <c r="Q562" s="6"/>
    </row>
    <row r="563" spans="1:17" ht="13.5" thickBot="1" x14ac:dyDescent="0.25">
      <c r="A563" s="3" t="s">
        <v>398</v>
      </c>
      <c r="B563" s="6"/>
      <c r="C563" s="6"/>
      <c r="D563" s="6"/>
      <c r="E563" s="1"/>
      <c r="F563" s="19"/>
      <c r="G563" s="20"/>
      <c r="H563" s="20"/>
      <c r="I563" s="1"/>
      <c r="J563" s="1"/>
      <c r="K563" s="1"/>
      <c r="L563" s="6"/>
      <c r="M563" s="6"/>
      <c r="N563" s="6"/>
      <c r="O563" s="1"/>
      <c r="P563" s="1"/>
      <c r="Q563" s="6"/>
    </row>
    <row r="564" spans="1:17" ht="14.45" customHeight="1" thickBot="1" x14ac:dyDescent="0.25">
      <c r="A564" s="2513" t="s">
        <v>327</v>
      </c>
      <c r="B564" s="2516" t="s">
        <v>1935</v>
      </c>
      <c r="C564" s="2517"/>
      <c r="D564" s="2517"/>
      <c r="E564" s="2517"/>
      <c r="F564" s="2517"/>
      <c r="G564" s="2517"/>
      <c r="H564" s="2517"/>
      <c r="I564" s="2517"/>
      <c r="J564" s="2517"/>
      <c r="K564" s="2517"/>
      <c r="L564" s="2518" t="s">
        <v>1930</v>
      </c>
      <c r="M564" s="2519"/>
      <c r="N564" s="2519"/>
      <c r="O564" s="2519"/>
      <c r="P564" s="2520"/>
      <c r="Q564" s="2521"/>
    </row>
    <row r="565" spans="1:17" ht="14.45" customHeight="1" x14ac:dyDescent="0.2">
      <c r="A565" s="2514"/>
      <c r="B565" s="2522" t="s">
        <v>328</v>
      </c>
      <c r="C565" s="2523"/>
      <c r="D565" s="1014"/>
      <c r="E565" s="1014" t="s">
        <v>904</v>
      </c>
      <c r="F565" s="1014" t="s">
        <v>329</v>
      </c>
      <c r="G565" s="1014"/>
      <c r="H565" s="1014"/>
      <c r="I565" s="2526" t="s">
        <v>330</v>
      </c>
      <c r="J565" s="2527"/>
      <c r="K565" s="2528"/>
      <c r="L565" s="2524" t="s">
        <v>328</v>
      </c>
      <c r="M565" s="2525"/>
      <c r="N565" s="1021" t="s">
        <v>331</v>
      </c>
      <c r="O565" s="1022" t="s">
        <v>332</v>
      </c>
      <c r="P565" s="1023"/>
      <c r="Q565" s="1024"/>
    </row>
    <row r="566" spans="1:17" ht="14.45" customHeight="1" x14ac:dyDescent="0.2">
      <c r="A566" s="2514"/>
      <c r="B566" s="1014" t="s">
        <v>835</v>
      </c>
      <c r="C566" s="1014" t="s">
        <v>335</v>
      </c>
      <c r="D566" s="1014" t="s">
        <v>837</v>
      </c>
      <c r="E566" s="1014" t="s">
        <v>842</v>
      </c>
      <c r="F566" s="1014" t="s">
        <v>336</v>
      </c>
      <c r="G566" s="1014" t="s">
        <v>337</v>
      </c>
      <c r="H566" s="1014" t="s">
        <v>338</v>
      </c>
      <c r="I566" s="2529" t="s">
        <v>839</v>
      </c>
      <c r="J566" s="2530"/>
      <c r="K566" s="2531"/>
      <c r="L566" s="1025" t="s">
        <v>835</v>
      </c>
      <c r="M566" s="1021" t="s">
        <v>335</v>
      </c>
      <c r="N566" s="1021" t="s">
        <v>339</v>
      </c>
      <c r="O566" s="1022"/>
      <c r="P566" s="1021" t="s">
        <v>337</v>
      </c>
      <c r="Q566" s="1024" t="s">
        <v>338</v>
      </c>
    </row>
    <row r="567" spans="1:17" ht="14.45" customHeight="1" x14ac:dyDescent="0.2">
      <c r="A567" s="2514"/>
      <c r="B567" s="1014"/>
      <c r="C567" s="1014"/>
      <c r="D567" s="1014"/>
      <c r="E567" s="1014"/>
      <c r="F567" s="1014" t="s">
        <v>341</v>
      </c>
      <c r="G567" s="1014" t="s">
        <v>342</v>
      </c>
      <c r="H567" s="1014" t="s">
        <v>341</v>
      </c>
      <c r="I567" s="1015"/>
      <c r="J567" s="1016"/>
      <c r="K567" s="1017"/>
      <c r="L567" s="1025"/>
      <c r="M567" s="1021"/>
      <c r="N567" s="1021"/>
      <c r="O567" s="1022" t="s">
        <v>344</v>
      </c>
      <c r="P567" s="1021" t="s">
        <v>342</v>
      </c>
      <c r="Q567" s="1024" t="s">
        <v>341</v>
      </c>
    </row>
    <row r="568" spans="1:17" ht="14.45" customHeight="1" x14ac:dyDescent="0.2">
      <c r="A568" s="2515"/>
      <c r="B568" s="1018" t="s">
        <v>345</v>
      </c>
      <c r="C568" s="1018" t="s">
        <v>345</v>
      </c>
      <c r="D568" s="1018" t="s">
        <v>346</v>
      </c>
      <c r="E568" s="1018" t="s">
        <v>757</v>
      </c>
      <c r="F568" s="1018"/>
      <c r="G568" s="1018" t="s">
        <v>347</v>
      </c>
      <c r="H568" s="1018" t="s">
        <v>348</v>
      </c>
      <c r="I568" s="1019" t="s">
        <v>349</v>
      </c>
      <c r="J568" s="1019" t="s">
        <v>350</v>
      </c>
      <c r="K568" s="1020" t="s">
        <v>351</v>
      </c>
      <c r="L568" s="1026" t="s">
        <v>345</v>
      </c>
      <c r="M568" s="1027" t="s">
        <v>345</v>
      </c>
      <c r="N568" s="1027" t="s">
        <v>346</v>
      </c>
      <c r="O568" s="1028"/>
      <c r="P568" s="1027" t="s">
        <v>347</v>
      </c>
      <c r="Q568" s="1029" t="s">
        <v>348</v>
      </c>
    </row>
    <row r="569" spans="1:17" ht="14.45" customHeight="1" x14ac:dyDescent="0.2">
      <c r="A569" s="975" t="s">
        <v>352</v>
      </c>
      <c r="B569" s="976">
        <v>1719</v>
      </c>
      <c r="C569" s="976">
        <v>1714</v>
      </c>
      <c r="D569" s="977">
        <v>8567.7000000000007</v>
      </c>
      <c r="E569" s="1608">
        <v>4.9986581096849481</v>
      </c>
      <c r="F569" s="979"/>
      <c r="G569" s="976"/>
      <c r="H569" s="976"/>
      <c r="I569" s="978"/>
      <c r="J569" s="978"/>
      <c r="K569" s="980"/>
      <c r="L569" s="981">
        <v>1367</v>
      </c>
      <c r="M569" s="977">
        <v>1356</v>
      </c>
      <c r="N569" s="977">
        <v>6742.32</v>
      </c>
      <c r="O569" s="1608">
        <v>4.9722123893805303</v>
      </c>
      <c r="P569" s="1609"/>
      <c r="Q569" s="1610"/>
    </row>
    <row r="570" spans="1:17" ht="14.45" customHeight="1" x14ac:dyDescent="0.2">
      <c r="A570" s="1481" t="s">
        <v>353</v>
      </c>
      <c r="B570" s="957">
        <v>425</v>
      </c>
      <c r="C570" s="957">
        <v>420</v>
      </c>
      <c r="D570" s="957">
        <v>2352</v>
      </c>
      <c r="E570" s="248">
        <v>5.6</v>
      </c>
      <c r="F570" s="1342" t="s">
        <v>987</v>
      </c>
      <c r="G570" s="1259">
        <v>1764000</v>
      </c>
      <c r="H570" s="1149">
        <v>6624516.3329927325</v>
      </c>
      <c r="I570" s="1489"/>
      <c r="J570" s="960"/>
      <c r="K570" s="961"/>
      <c r="L570" s="2237">
        <v>320</v>
      </c>
      <c r="M570" s="957">
        <v>320</v>
      </c>
      <c r="N570" s="1146">
        <v>1760</v>
      </c>
      <c r="O570" s="1228">
        <v>5.5</v>
      </c>
      <c r="P570" s="1261">
        <v>1400000</v>
      </c>
      <c r="Q570" s="1149">
        <v>6624516.3329927325</v>
      </c>
    </row>
    <row r="571" spans="1:17" ht="14.45" customHeight="1" x14ac:dyDescent="0.2">
      <c r="A571" s="1481" t="s">
        <v>354</v>
      </c>
      <c r="B571" s="1146">
        <v>120</v>
      </c>
      <c r="C571" s="1146">
        <v>120</v>
      </c>
      <c r="D571" s="957">
        <v>564</v>
      </c>
      <c r="E571" s="1147">
        <v>4.7</v>
      </c>
      <c r="F571" s="1342" t="s">
        <v>987</v>
      </c>
      <c r="G571" s="1259">
        <v>1764000</v>
      </c>
      <c r="H571" s="1149">
        <v>6624516.3329927325</v>
      </c>
      <c r="I571" s="1489"/>
      <c r="J571" s="960"/>
      <c r="K571" s="961"/>
      <c r="L571" s="2217">
        <v>106</v>
      </c>
      <c r="M571" s="1146">
        <v>106</v>
      </c>
      <c r="N571" s="1146">
        <v>500.32</v>
      </c>
      <c r="O571" s="2277">
        <v>4.72</v>
      </c>
      <c r="P571" s="1261">
        <v>1400000</v>
      </c>
      <c r="Q571" s="1149">
        <v>6624516.3329927325</v>
      </c>
    </row>
    <row r="572" spans="1:17" ht="14.45" customHeight="1" x14ac:dyDescent="0.2">
      <c r="A572" s="1481" t="s">
        <v>355</v>
      </c>
      <c r="B572" s="1146">
        <v>190</v>
      </c>
      <c r="C572" s="1146">
        <v>190</v>
      </c>
      <c r="D572" s="957">
        <v>988</v>
      </c>
      <c r="E572" s="1147">
        <v>5.2</v>
      </c>
      <c r="F572" s="1342" t="s">
        <v>987</v>
      </c>
      <c r="G572" s="1259">
        <v>1764000</v>
      </c>
      <c r="H572" s="1149">
        <v>6624516.3329927325</v>
      </c>
      <c r="I572" s="1489"/>
      <c r="J572" s="960"/>
      <c r="K572" s="961"/>
      <c r="L572" s="2217">
        <v>120</v>
      </c>
      <c r="M572" s="1146">
        <v>120</v>
      </c>
      <c r="N572" s="1146">
        <v>600</v>
      </c>
      <c r="O572" s="2277">
        <v>5</v>
      </c>
      <c r="P572" s="1261">
        <v>1400000</v>
      </c>
      <c r="Q572" s="1149">
        <v>6624516.3329927325</v>
      </c>
    </row>
    <row r="573" spans="1:17" ht="14.45" customHeight="1" x14ac:dyDescent="0.2">
      <c r="A573" s="1481" t="s">
        <v>356</v>
      </c>
      <c r="B573" s="1146">
        <v>45</v>
      </c>
      <c r="C573" s="1146">
        <v>45</v>
      </c>
      <c r="D573" s="957">
        <v>225</v>
      </c>
      <c r="E573" s="1147">
        <v>5</v>
      </c>
      <c r="F573" s="1342" t="s">
        <v>987</v>
      </c>
      <c r="G573" s="1259">
        <v>1764000</v>
      </c>
      <c r="H573" s="1149">
        <v>6624516.3329927325</v>
      </c>
      <c r="I573" s="1489"/>
      <c r="J573" s="960"/>
      <c r="K573" s="961"/>
      <c r="L573" s="2217">
        <v>35</v>
      </c>
      <c r="M573" s="1146">
        <v>35</v>
      </c>
      <c r="N573" s="1146">
        <v>168</v>
      </c>
      <c r="O573" s="2277">
        <v>4.8</v>
      </c>
      <c r="P573" s="1261">
        <v>1400000</v>
      </c>
      <c r="Q573" s="1149">
        <v>6624516.3329927325</v>
      </c>
    </row>
    <row r="574" spans="1:17" ht="14.45" customHeight="1" x14ac:dyDescent="0.2">
      <c r="A574" s="1481" t="s">
        <v>357</v>
      </c>
      <c r="B574" s="1146">
        <v>220</v>
      </c>
      <c r="C574" s="1146">
        <v>220</v>
      </c>
      <c r="D574" s="957">
        <v>1100</v>
      </c>
      <c r="E574" s="1147">
        <v>5</v>
      </c>
      <c r="F574" s="1342" t="s">
        <v>987</v>
      </c>
      <c r="G574" s="1259">
        <v>1764000</v>
      </c>
      <c r="H574" s="1149">
        <v>6624516.3329927325</v>
      </c>
      <c r="I574" s="1489"/>
      <c r="J574" s="960"/>
      <c r="K574" s="961"/>
      <c r="L574" s="2217">
        <v>200</v>
      </c>
      <c r="M574" s="1146">
        <v>200</v>
      </c>
      <c r="N574" s="1146">
        <v>900</v>
      </c>
      <c r="O574" s="2277">
        <v>4.5</v>
      </c>
      <c r="P574" s="1261">
        <v>1400000</v>
      </c>
      <c r="Q574" s="1149">
        <v>6624516.3329927325</v>
      </c>
    </row>
    <row r="575" spans="1:17" ht="14.45" customHeight="1" x14ac:dyDescent="0.2">
      <c r="A575" s="1481" t="s">
        <v>358</v>
      </c>
      <c r="B575" s="1146">
        <v>56</v>
      </c>
      <c r="C575" s="1146">
        <v>56</v>
      </c>
      <c r="D575" s="957">
        <v>235.20000000000002</v>
      </c>
      <c r="E575" s="1147">
        <v>4.2</v>
      </c>
      <c r="F575" s="1342" t="s">
        <v>987</v>
      </c>
      <c r="G575" s="1259">
        <v>1764000</v>
      </c>
      <c r="H575" s="1149">
        <v>6624516.3329927325</v>
      </c>
      <c r="I575" s="1489"/>
      <c r="J575" s="960"/>
      <c r="K575" s="961"/>
      <c r="L575" s="2217">
        <v>48</v>
      </c>
      <c r="M575" s="1146">
        <v>48</v>
      </c>
      <c r="N575" s="1146">
        <v>192</v>
      </c>
      <c r="O575" s="2277">
        <v>4</v>
      </c>
      <c r="P575" s="1261">
        <v>1400000</v>
      </c>
      <c r="Q575" s="1149">
        <v>6624516.3329927325</v>
      </c>
    </row>
    <row r="576" spans="1:17" ht="14.45" customHeight="1" x14ac:dyDescent="0.2">
      <c r="A576" s="1481" t="s">
        <v>359</v>
      </c>
      <c r="B576" s="1146">
        <v>18</v>
      </c>
      <c r="C576" s="1146">
        <v>18</v>
      </c>
      <c r="D576" s="957">
        <v>81</v>
      </c>
      <c r="E576" s="1147">
        <v>4.5</v>
      </c>
      <c r="F576" s="1342" t="s">
        <v>987</v>
      </c>
      <c r="G576" s="1259">
        <v>1764000</v>
      </c>
      <c r="H576" s="1149">
        <v>6624516.3329927325</v>
      </c>
      <c r="I576" s="1489"/>
      <c r="J576" s="960"/>
      <c r="K576" s="961"/>
      <c r="L576" s="2217">
        <v>26</v>
      </c>
      <c r="M576" s="1146">
        <v>26</v>
      </c>
      <c r="N576" s="1146">
        <v>117</v>
      </c>
      <c r="O576" s="2277">
        <v>4.5</v>
      </c>
      <c r="P576" s="1261">
        <v>1400000</v>
      </c>
      <c r="Q576" s="1149">
        <v>6624516.3329927325</v>
      </c>
    </row>
    <row r="577" spans="1:17" ht="14.45" customHeight="1" x14ac:dyDescent="0.2">
      <c r="A577" s="1481" t="s">
        <v>360</v>
      </c>
      <c r="B577" s="1146">
        <v>0</v>
      </c>
      <c r="C577" s="1146">
        <v>0</v>
      </c>
      <c r="D577" s="957">
        <v>0</v>
      </c>
      <c r="E577" s="1147">
        <v>0</v>
      </c>
      <c r="F577" s="1342"/>
      <c r="G577" s="1259"/>
      <c r="H577" s="1149"/>
      <c r="I577" s="1489"/>
      <c r="J577" s="960"/>
      <c r="K577" s="961"/>
      <c r="L577" s="2217">
        <v>0</v>
      </c>
      <c r="M577" s="1146">
        <v>0</v>
      </c>
      <c r="N577" s="1146">
        <v>0</v>
      </c>
      <c r="O577" s="2277">
        <v>0</v>
      </c>
      <c r="P577" s="1261"/>
      <c r="Q577" s="1149"/>
    </row>
    <row r="578" spans="1:17" ht="14.45" customHeight="1" x14ac:dyDescent="0.2">
      <c r="A578" s="1481" t="s">
        <v>361</v>
      </c>
      <c r="B578" s="1146">
        <v>105</v>
      </c>
      <c r="C578" s="1146">
        <v>105</v>
      </c>
      <c r="D578" s="957">
        <v>472.5</v>
      </c>
      <c r="E578" s="1147">
        <v>4.5</v>
      </c>
      <c r="F578" s="1342" t="s">
        <v>987</v>
      </c>
      <c r="G578" s="1259">
        <v>1764000</v>
      </c>
      <c r="H578" s="1149">
        <v>6624516.3329927325</v>
      </c>
      <c r="I578" s="1489"/>
      <c r="J578" s="960"/>
      <c r="K578" s="961"/>
      <c r="L578" s="2217">
        <v>90</v>
      </c>
      <c r="M578" s="1146">
        <v>90</v>
      </c>
      <c r="N578" s="1146">
        <v>378</v>
      </c>
      <c r="O578" s="2277">
        <v>4.2</v>
      </c>
      <c r="P578" s="1261">
        <v>1400000</v>
      </c>
      <c r="Q578" s="1149">
        <v>6624516.3329927325</v>
      </c>
    </row>
    <row r="579" spans="1:17" ht="14.45" customHeight="1" x14ac:dyDescent="0.2">
      <c r="A579" s="1481" t="s">
        <v>362</v>
      </c>
      <c r="B579" s="1146">
        <v>360</v>
      </c>
      <c r="C579" s="1146">
        <v>360</v>
      </c>
      <c r="D579" s="957">
        <v>1620</v>
      </c>
      <c r="E579" s="1147">
        <v>4.5</v>
      </c>
      <c r="F579" s="1342" t="s">
        <v>987</v>
      </c>
      <c r="G579" s="1259">
        <v>1764000</v>
      </c>
      <c r="H579" s="1149">
        <v>6624516.3329927325</v>
      </c>
      <c r="I579" s="1489"/>
      <c r="J579" s="960"/>
      <c r="K579" s="961"/>
      <c r="L579" s="2217">
        <v>300</v>
      </c>
      <c r="M579" s="1146">
        <v>300</v>
      </c>
      <c r="N579" s="1146">
        <v>1500</v>
      </c>
      <c r="O579" s="2277">
        <v>5</v>
      </c>
      <c r="P579" s="1261">
        <v>1400000</v>
      </c>
      <c r="Q579" s="1149">
        <v>6624516.3329927325</v>
      </c>
    </row>
    <row r="580" spans="1:17" ht="14.45" customHeight="1" x14ac:dyDescent="0.2">
      <c r="A580" s="1481" t="s">
        <v>363</v>
      </c>
      <c r="B580" s="1146">
        <v>0</v>
      </c>
      <c r="C580" s="1146">
        <v>0</v>
      </c>
      <c r="D580" s="957">
        <v>0</v>
      </c>
      <c r="E580" s="1147">
        <v>0</v>
      </c>
      <c r="F580" s="1342"/>
      <c r="G580" s="1259"/>
      <c r="H580" s="1149"/>
      <c r="I580" s="1489"/>
      <c r="J580" s="960"/>
      <c r="K580" s="961"/>
      <c r="L580" s="2217">
        <v>3</v>
      </c>
      <c r="M580" s="1146">
        <v>3</v>
      </c>
      <c r="N580" s="1146">
        <v>15</v>
      </c>
      <c r="O580" s="2277">
        <v>5</v>
      </c>
      <c r="P580" s="1261">
        <v>1400000</v>
      </c>
      <c r="Q580" s="1149">
        <v>6624516.3329927325</v>
      </c>
    </row>
    <row r="581" spans="1:17" ht="14.45" customHeight="1" x14ac:dyDescent="0.2">
      <c r="A581" s="1481" t="s">
        <v>364</v>
      </c>
      <c r="B581" s="1146">
        <v>120</v>
      </c>
      <c r="C581" s="1146">
        <v>120</v>
      </c>
      <c r="D581" s="957">
        <v>600</v>
      </c>
      <c r="E581" s="1147">
        <v>5</v>
      </c>
      <c r="F581" s="1342" t="s">
        <v>987</v>
      </c>
      <c r="G581" s="1259">
        <v>1764000</v>
      </c>
      <c r="H581" s="1149">
        <v>6624516.3329927325</v>
      </c>
      <c r="I581" s="1489"/>
      <c r="J581" s="960"/>
      <c r="K581" s="961"/>
      <c r="L581" s="2217">
        <v>75</v>
      </c>
      <c r="M581" s="1146">
        <v>70</v>
      </c>
      <c r="N581" s="1146">
        <v>420</v>
      </c>
      <c r="O581" s="2277">
        <v>6</v>
      </c>
      <c r="P581" s="1261">
        <v>1400000</v>
      </c>
      <c r="Q581" s="1149">
        <v>6624516.3329927325</v>
      </c>
    </row>
    <row r="582" spans="1:17" ht="14.45" customHeight="1" x14ac:dyDescent="0.2">
      <c r="A582" s="1481" t="s">
        <v>365</v>
      </c>
      <c r="B582" s="1146">
        <v>45</v>
      </c>
      <c r="C582" s="1146">
        <v>45</v>
      </c>
      <c r="D582" s="957">
        <v>225</v>
      </c>
      <c r="E582" s="1147">
        <v>5</v>
      </c>
      <c r="F582" s="1342" t="s">
        <v>987</v>
      </c>
      <c r="G582" s="1259">
        <v>1764000</v>
      </c>
      <c r="H582" s="1149">
        <v>6624516.3329927325</v>
      </c>
      <c r="I582" s="1489"/>
      <c r="J582" s="960"/>
      <c r="K582" s="961"/>
      <c r="L582" s="2217">
        <v>36</v>
      </c>
      <c r="M582" s="1146">
        <v>36</v>
      </c>
      <c r="N582" s="1146">
        <v>180</v>
      </c>
      <c r="O582" s="2277">
        <v>5</v>
      </c>
      <c r="P582" s="1261">
        <v>1400000</v>
      </c>
      <c r="Q582" s="1149">
        <v>6624516.3329927325</v>
      </c>
    </row>
    <row r="583" spans="1:17" ht="14.45" customHeight="1" x14ac:dyDescent="0.2">
      <c r="A583" s="1481" t="s">
        <v>366</v>
      </c>
      <c r="B583" s="1146">
        <v>15</v>
      </c>
      <c r="C583" s="1146">
        <v>15</v>
      </c>
      <c r="D583" s="957">
        <v>105</v>
      </c>
      <c r="E583" s="1147">
        <v>7</v>
      </c>
      <c r="F583" s="1342" t="s">
        <v>987</v>
      </c>
      <c r="G583" s="1259">
        <v>1764000</v>
      </c>
      <c r="H583" s="1149">
        <v>6624516.3329927325</v>
      </c>
      <c r="I583" s="1489"/>
      <c r="J583" s="960"/>
      <c r="K583" s="961"/>
      <c r="L583" s="2217">
        <v>8</v>
      </c>
      <c r="M583" s="1146">
        <v>2</v>
      </c>
      <c r="N583" s="1146">
        <v>12</v>
      </c>
      <c r="O583" s="2277">
        <v>6</v>
      </c>
      <c r="P583" s="1261">
        <v>1400000</v>
      </c>
      <c r="Q583" s="1149">
        <v>6624516.3329927325</v>
      </c>
    </row>
    <row r="584" spans="1:17" ht="14.45" customHeight="1" x14ac:dyDescent="0.2">
      <c r="A584" s="1481" t="s">
        <v>367</v>
      </c>
      <c r="B584" s="1146">
        <v>0</v>
      </c>
      <c r="C584" s="1146">
        <v>0</v>
      </c>
      <c r="D584" s="957">
        <v>0</v>
      </c>
      <c r="E584" s="1147">
        <v>0</v>
      </c>
      <c r="F584" s="1342"/>
      <c r="G584" s="1259"/>
      <c r="H584" s="1149"/>
      <c r="I584" s="1489"/>
      <c r="J584" s="960"/>
      <c r="K584" s="961"/>
      <c r="L584" s="2217">
        <v>0</v>
      </c>
      <c r="M584" s="1146">
        <v>0</v>
      </c>
      <c r="N584" s="1146">
        <v>0</v>
      </c>
      <c r="O584" s="2277">
        <v>0</v>
      </c>
      <c r="P584" s="1261"/>
      <c r="Q584" s="1149"/>
    </row>
    <row r="585" spans="1:17" ht="14.45" customHeight="1" x14ac:dyDescent="0.2">
      <c r="A585" s="1484" t="s">
        <v>368</v>
      </c>
      <c r="B585" s="1002">
        <v>539</v>
      </c>
      <c r="C585" s="984">
        <v>539</v>
      </c>
      <c r="D585" s="2308">
        <v>2665.8</v>
      </c>
      <c r="E585" s="1608">
        <v>4.9458256029684602</v>
      </c>
      <c r="F585" s="987"/>
      <c r="G585" s="1486"/>
      <c r="H585" s="988"/>
      <c r="I585" s="1490"/>
      <c r="J585" s="989"/>
      <c r="K585" s="990"/>
      <c r="L585" s="1453">
        <v>512</v>
      </c>
      <c r="M585" s="1002">
        <v>507</v>
      </c>
      <c r="N585" s="1002">
        <v>2320.3000000000002</v>
      </c>
      <c r="O585" s="2216">
        <v>4.5765285996055232</v>
      </c>
      <c r="P585" s="1604"/>
      <c r="Q585" s="1605"/>
    </row>
    <row r="586" spans="1:17" ht="14.45" customHeight="1" x14ac:dyDescent="0.2">
      <c r="A586" s="1481" t="s">
        <v>369</v>
      </c>
      <c r="B586" s="1146">
        <v>425</v>
      </c>
      <c r="C586" s="1146">
        <v>425</v>
      </c>
      <c r="D586" s="957">
        <v>2125</v>
      </c>
      <c r="E586" s="1147">
        <v>5</v>
      </c>
      <c r="F586" s="1342" t="s">
        <v>987</v>
      </c>
      <c r="G586" s="1259">
        <v>1764000</v>
      </c>
      <c r="H586" s="1149">
        <v>6624516.3329927325</v>
      </c>
      <c r="I586" s="1489"/>
      <c r="J586" s="960"/>
      <c r="K586" s="961"/>
      <c r="L586" s="2217">
        <v>385</v>
      </c>
      <c r="M586" s="1146">
        <v>380</v>
      </c>
      <c r="N586" s="1146">
        <v>1710</v>
      </c>
      <c r="O586" s="2277">
        <v>4.5</v>
      </c>
      <c r="P586" s="1261">
        <v>1400000</v>
      </c>
      <c r="Q586" s="1149">
        <v>6624516.3329927325</v>
      </c>
    </row>
    <row r="587" spans="1:17" ht="14.45" customHeight="1" x14ac:dyDescent="0.2">
      <c r="A587" s="1481" t="s">
        <v>370</v>
      </c>
      <c r="B587" s="1146">
        <v>25</v>
      </c>
      <c r="C587" s="1146">
        <v>25</v>
      </c>
      <c r="D587" s="957">
        <v>100</v>
      </c>
      <c r="E587" s="1147">
        <v>4</v>
      </c>
      <c r="F587" s="1342" t="s">
        <v>987</v>
      </c>
      <c r="G587" s="1259">
        <v>1764000</v>
      </c>
      <c r="H587" s="1149">
        <v>6624516.3329927325</v>
      </c>
      <c r="I587" s="1489"/>
      <c r="J587" s="960"/>
      <c r="K587" s="961"/>
      <c r="L587" s="2217">
        <v>20</v>
      </c>
      <c r="M587" s="1146">
        <v>20</v>
      </c>
      <c r="N587" s="1146">
        <v>90</v>
      </c>
      <c r="O587" s="2277">
        <v>4.5</v>
      </c>
      <c r="P587" s="1261">
        <v>1400000</v>
      </c>
      <c r="Q587" s="1149">
        <v>6624516.3329927325</v>
      </c>
    </row>
    <row r="588" spans="1:17" ht="14.45" customHeight="1" x14ac:dyDescent="0.2">
      <c r="A588" s="1481" t="s">
        <v>371</v>
      </c>
      <c r="B588" s="1146">
        <v>6</v>
      </c>
      <c r="C588" s="1146">
        <v>6</v>
      </c>
      <c r="D588" s="957">
        <v>28.799999999999997</v>
      </c>
      <c r="E588" s="1147">
        <v>4.8</v>
      </c>
      <c r="F588" s="1342" t="s">
        <v>987</v>
      </c>
      <c r="G588" s="1259">
        <v>1764000</v>
      </c>
      <c r="H588" s="1149">
        <v>6624516.3329927325</v>
      </c>
      <c r="I588" s="1489"/>
      <c r="J588" s="960"/>
      <c r="K588" s="961"/>
      <c r="L588" s="2217">
        <v>6</v>
      </c>
      <c r="M588" s="1146">
        <v>6</v>
      </c>
      <c r="N588" s="1146">
        <v>28.799999999999997</v>
      </c>
      <c r="O588" s="2277">
        <v>4.8</v>
      </c>
      <c r="P588" s="1261">
        <v>1400000</v>
      </c>
      <c r="Q588" s="1149">
        <v>6624516.3329927325</v>
      </c>
    </row>
    <row r="589" spans="1:17" ht="14.45" customHeight="1" x14ac:dyDescent="0.2">
      <c r="A589" s="1481" t="s">
        <v>372</v>
      </c>
      <c r="B589" s="1146">
        <v>6</v>
      </c>
      <c r="C589" s="1146">
        <v>6</v>
      </c>
      <c r="D589" s="957">
        <v>27</v>
      </c>
      <c r="E589" s="1147">
        <v>4.5</v>
      </c>
      <c r="F589" s="1342" t="s">
        <v>987</v>
      </c>
      <c r="G589" s="1259">
        <v>1764000</v>
      </c>
      <c r="H589" s="1149">
        <v>6624516.3329927325</v>
      </c>
      <c r="I589" s="1489"/>
      <c r="J589" s="960"/>
      <c r="K589" s="961"/>
      <c r="L589" s="2217">
        <v>27</v>
      </c>
      <c r="M589" s="1146">
        <v>27</v>
      </c>
      <c r="N589" s="1146">
        <v>121.5</v>
      </c>
      <c r="O589" s="2277">
        <v>4.5</v>
      </c>
      <c r="P589" s="1261">
        <v>1400000</v>
      </c>
      <c r="Q589" s="1149">
        <v>6624516.3329927325</v>
      </c>
    </row>
    <row r="590" spans="1:17" ht="14.45" customHeight="1" x14ac:dyDescent="0.2">
      <c r="A590" s="1481" t="s">
        <v>373</v>
      </c>
      <c r="B590" s="1146">
        <v>77</v>
      </c>
      <c r="C590" s="1146">
        <v>77</v>
      </c>
      <c r="D590" s="957">
        <v>385</v>
      </c>
      <c r="E590" s="1147">
        <v>5</v>
      </c>
      <c r="F590" s="1342" t="s">
        <v>987</v>
      </c>
      <c r="G590" s="1259">
        <v>1764000</v>
      </c>
      <c r="H590" s="1149">
        <v>6624516.3329927325</v>
      </c>
      <c r="I590" s="1489"/>
      <c r="J590" s="960"/>
      <c r="K590" s="961"/>
      <c r="L590" s="2217">
        <v>74</v>
      </c>
      <c r="M590" s="1146">
        <v>74</v>
      </c>
      <c r="N590" s="1146">
        <v>370</v>
      </c>
      <c r="O590" s="2277">
        <v>5</v>
      </c>
      <c r="P590" s="1261">
        <v>1400000</v>
      </c>
      <c r="Q590" s="1149">
        <v>6624516.3329927325</v>
      </c>
    </row>
    <row r="591" spans="1:17" ht="14.45" customHeight="1" x14ac:dyDescent="0.2">
      <c r="A591" s="1484" t="s">
        <v>374</v>
      </c>
      <c r="B591" s="1002">
        <v>834</v>
      </c>
      <c r="C591" s="984">
        <v>820</v>
      </c>
      <c r="D591" s="984">
        <v>3899</v>
      </c>
      <c r="E591" s="1608">
        <v>4.7548780487804878</v>
      </c>
      <c r="F591" s="987"/>
      <c r="G591" s="1488"/>
      <c r="H591" s="996"/>
      <c r="I591" s="1491"/>
      <c r="J591" s="997"/>
      <c r="K591" s="998"/>
      <c r="L591" s="1453">
        <v>504.5</v>
      </c>
      <c r="M591" s="1002">
        <v>499.5</v>
      </c>
      <c r="N591" s="1002">
        <v>2410.5</v>
      </c>
      <c r="O591" s="2216">
        <v>4.8258258258258255</v>
      </c>
      <c r="P591" s="1604"/>
      <c r="Q591" s="1605"/>
    </row>
    <row r="592" spans="1:17" ht="14.45" customHeight="1" x14ac:dyDescent="0.2">
      <c r="A592" s="1481" t="s">
        <v>375</v>
      </c>
      <c r="B592" s="1146">
        <v>356</v>
      </c>
      <c r="C592" s="1146">
        <v>350</v>
      </c>
      <c r="D592" s="957">
        <v>1750</v>
      </c>
      <c r="E592" s="1147">
        <v>5</v>
      </c>
      <c r="F592" s="1342" t="s">
        <v>987</v>
      </c>
      <c r="G592" s="1259">
        <v>1764000</v>
      </c>
      <c r="H592" s="1149">
        <v>6624516.3329927325</v>
      </c>
      <c r="I592" s="1489"/>
      <c r="J592" s="960"/>
      <c r="K592" s="961"/>
      <c r="L592" s="2217">
        <v>250</v>
      </c>
      <c r="M592" s="1146">
        <v>250</v>
      </c>
      <c r="N592" s="1146">
        <v>1250</v>
      </c>
      <c r="O592" s="2277">
        <v>5</v>
      </c>
      <c r="P592" s="1261">
        <v>1400000</v>
      </c>
      <c r="Q592" s="1149">
        <v>6624516.3329927325</v>
      </c>
    </row>
    <row r="593" spans="1:17" ht="14.45" customHeight="1" x14ac:dyDescent="0.2">
      <c r="A593" s="1481" t="s">
        <v>376</v>
      </c>
      <c r="B593" s="1146">
        <v>35</v>
      </c>
      <c r="C593" s="1146">
        <v>35</v>
      </c>
      <c r="D593" s="957">
        <v>140</v>
      </c>
      <c r="E593" s="1147">
        <v>4</v>
      </c>
      <c r="F593" s="1342" t="s">
        <v>987</v>
      </c>
      <c r="G593" s="1259">
        <v>1764000</v>
      </c>
      <c r="H593" s="1149">
        <v>6624516.3329927325</v>
      </c>
      <c r="I593" s="1489"/>
      <c r="J593" s="960"/>
      <c r="K593" s="961"/>
      <c r="L593" s="2217">
        <v>28</v>
      </c>
      <c r="M593" s="1146">
        <v>28</v>
      </c>
      <c r="N593" s="1146">
        <v>126</v>
      </c>
      <c r="O593" s="2277">
        <v>4.5</v>
      </c>
      <c r="P593" s="1261">
        <v>1400000</v>
      </c>
      <c r="Q593" s="1149">
        <v>6624516.3329927325</v>
      </c>
    </row>
    <row r="594" spans="1:17" ht="14.45" customHeight="1" x14ac:dyDescent="0.2">
      <c r="A594" s="1481" t="s">
        <v>377</v>
      </c>
      <c r="B594" s="1146">
        <v>35</v>
      </c>
      <c r="C594" s="1146">
        <v>35</v>
      </c>
      <c r="D594" s="957">
        <v>168</v>
      </c>
      <c r="E594" s="1147">
        <v>4.8</v>
      </c>
      <c r="F594" s="1342" t="s">
        <v>987</v>
      </c>
      <c r="G594" s="1259">
        <v>1764000</v>
      </c>
      <c r="H594" s="1149">
        <v>6624516.3329927325</v>
      </c>
      <c r="I594" s="1489"/>
      <c r="J594" s="960"/>
      <c r="K594" s="961"/>
      <c r="L594" s="2217">
        <v>40</v>
      </c>
      <c r="M594" s="1146">
        <v>36</v>
      </c>
      <c r="N594" s="1146">
        <v>180</v>
      </c>
      <c r="O594" s="2277">
        <v>5</v>
      </c>
      <c r="P594" s="1261">
        <v>1400000</v>
      </c>
      <c r="Q594" s="1149">
        <v>6624516.3329927325</v>
      </c>
    </row>
    <row r="595" spans="1:17" ht="14.45" customHeight="1" x14ac:dyDescent="0.2">
      <c r="A595" s="1481" t="s">
        <v>378</v>
      </c>
      <c r="B595" s="1146">
        <v>85</v>
      </c>
      <c r="C595" s="1146">
        <v>85</v>
      </c>
      <c r="D595" s="957">
        <v>390.99999999999994</v>
      </c>
      <c r="E595" s="1147">
        <v>4.5999999999999996</v>
      </c>
      <c r="F595" s="1342" t="s">
        <v>987</v>
      </c>
      <c r="G595" s="1259">
        <v>1764000</v>
      </c>
      <c r="H595" s="1149">
        <v>6624516.3329927325</v>
      </c>
      <c r="I595" s="1489"/>
      <c r="J595" s="960"/>
      <c r="K595" s="967"/>
      <c r="L595" s="2217">
        <v>52.5</v>
      </c>
      <c r="M595" s="1146">
        <v>52.5</v>
      </c>
      <c r="N595" s="1146">
        <v>241.49999999999997</v>
      </c>
      <c r="O595" s="2277">
        <v>4.5999999999999996</v>
      </c>
      <c r="P595" s="1261">
        <v>1400000</v>
      </c>
      <c r="Q595" s="1149">
        <v>6624516.3329927325</v>
      </c>
    </row>
    <row r="596" spans="1:17" ht="14.45" customHeight="1" x14ac:dyDescent="0.2">
      <c r="A596" s="1481" t="s">
        <v>379</v>
      </c>
      <c r="B596" s="1146">
        <v>175</v>
      </c>
      <c r="C596" s="1146">
        <v>175</v>
      </c>
      <c r="D596" s="957">
        <v>787.5</v>
      </c>
      <c r="E596" s="1147">
        <v>4.5</v>
      </c>
      <c r="F596" s="1342" t="s">
        <v>987</v>
      </c>
      <c r="G596" s="1259">
        <v>1764000</v>
      </c>
      <c r="H596" s="1149">
        <v>6624516.3329927325</v>
      </c>
      <c r="I596" s="1489"/>
      <c r="J596" s="960"/>
      <c r="K596" s="967"/>
      <c r="L596" s="2217">
        <v>50</v>
      </c>
      <c r="M596" s="1146">
        <v>50</v>
      </c>
      <c r="N596" s="1146">
        <v>225</v>
      </c>
      <c r="O596" s="2277">
        <v>4.5</v>
      </c>
      <c r="P596" s="1261">
        <v>1400000</v>
      </c>
      <c r="Q596" s="1149">
        <v>6624516.3329927325</v>
      </c>
    </row>
    <row r="597" spans="1:17" ht="14.45" customHeight="1" x14ac:dyDescent="0.2">
      <c r="A597" s="1481" t="s">
        <v>380</v>
      </c>
      <c r="B597" s="1146">
        <v>80</v>
      </c>
      <c r="C597" s="1146">
        <v>80</v>
      </c>
      <c r="D597" s="957">
        <v>400</v>
      </c>
      <c r="E597" s="1147">
        <v>5</v>
      </c>
      <c r="F597" s="1342" t="s">
        <v>987</v>
      </c>
      <c r="G597" s="1259">
        <v>1764000</v>
      </c>
      <c r="H597" s="1149">
        <v>6624516.3329927325</v>
      </c>
      <c r="I597" s="1489"/>
      <c r="J597" s="960"/>
      <c r="K597" s="967"/>
      <c r="L597" s="2217">
        <v>70</v>
      </c>
      <c r="M597" s="1146">
        <v>70</v>
      </c>
      <c r="N597" s="1146">
        <v>329</v>
      </c>
      <c r="O597" s="2277">
        <v>4.7</v>
      </c>
      <c r="P597" s="1261">
        <v>1400000</v>
      </c>
      <c r="Q597" s="1149">
        <v>6624516.3329927325</v>
      </c>
    </row>
    <row r="598" spans="1:17" ht="14.45" customHeight="1" x14ac:dyDescent="0.2">
      <c r="A598" s="1481" t="s">
        <v>381</v>
      </c>
      <c r="B598" s="1146">
        <v>55</v>
      </c>
      <c r="C598" s="1146">
        <v>55</v>
      </c>
      <c r="D598" s="957">
        <v>247.5</v>
      </c>
      <c r="E598" s="1147">
        <v>4.5</v>
      </c>
      <c r="F598" s="1342" t="s">
        <v>987</v>
      </c>
      <c r="G598" s="1259">
        <v>1764000</v>
      </c>
      <c r="H598" s="1149">
        <v>6624516.3329927325</v>
      </c>
      <c r="I598" s="1489"/>
      <c r="J598" s="960"/>
      <c r="K598" s="967"/>
      <c r="L598" s="2217">
        <v>10</v>
      </c>
      <c r="M598" s="1146">
        <v>10</v>
      </c>
      <c r="N598" s="1146">
        <v>50</v>
      </c>
      <c r="O598" s="2277">
        <v>5</v>
      </c>
      <c r="P598" s="1261">
        <v>1400000</v>
      </c>
      <c r="Q598" s="1149">
        <v>6624516.3329927325</v>
      </c>
    </row>
    <row r="599" spans="1:17" ht="14.45" customHeight="1" x14ac:dyDescent="0.2">
      <c r="A599" s="1481" t="s">
        <v>382</v>
      </c>
      <c r="B599" s="1146">
        <v>13</v>
      </c>
      <c r="C599" s="1146">
        <v>5</v>
      </c>
      <c r="D599" s="957">
        <v>15</v>
      </c>
      <c r="E599" s="1147">
        <v>3</v>
      </c>
      <c r="F599" s="1342" t="s">
        <v>987</v>
      </c>
      <c r="G599" s="1259">
        <v>1764000</v>
      </c>
      <c r="H599" s="1149">
        <v>6624516.3329927325</v>
      </c>
      <c r="I599" s="1489"/>
      <c r="J599" s="960"/>
      <c r="K599" s="967"/>
      <c r="L599" s="2217">
        <v>4</v>
      </c>
      <c r="M599" s="1146">
        <v>3</v>
      </c>
      <c r="N599" s="1146">
        <v>9</v>
      </c>
      <c r="O599" s="2277">
        <v>3</v>
      </c>
      <c r="P599" s="1261">
        <v>1400000</v>
      </c>
      <c r="Q599" s="1149">
        <v>6624516.3329927325</v>
      </c>
    </row>
    <row r="600" spans="1:17" ht="14.45" customHeight="1" x14ac:dyDescent="0.2">
      <c r="A600" s="1484" t="s">
        <v>383</v>
      </c>
      <c r="B600" s="1002">
        <v>1026</v>
      </c>
      <c r="C600" s="1002">
        <v>1001</v>
      </c>
      <c r="D600" s="1002">
        <v>4948</v>
      </c>
      <c r="E600" s="1608">
        <v>4.9430569430569431</v>
      </c>
      <c r="F600" s="1003"/>
      <c r="G600" s="1206"/>
      <c r="H600" s="1204"/>
      <c r="I600" s="1491"/>
      <c r="J600" s="997"/>
      <c r="K600" s="949"/>
      <c r="L600" s="1453">
        <v>790</v>
      </c>
      <c r="M600" s="1002">
        <v>771</v>
      </c>
      <c r="N600" s="1002">
        <v>3694</v>
      </c>
      <c r="O600" s="2216">
        <v>4.7911802853437093</v>
      </c>
      <c r="P600" s="1604"/>
      <c r="Q600" s="1605"/>
    </row>
    <row r="601" spans="1:17" ht="14.45" customHeight="1" x14ac:dyDescent="0.2">
      <c r="A601" s="1481" t="s">
        <v>384</v>
      </c>
      <c r="B601" s="1146">
        <v>385</v>
      </c>
      <c r="C601" s="1146">
        <v>385</v>
      </c>
      <c r="D601" s="957">
        <v>1925</v>
      </c>
      <c r="E601" s="1147">
        <v>5</v>
      </c>
      <c r="F601" s="1342" t="s">
        <v>987</v>
      </c>
      <c r="G601" s="1259">
        <v>1764000</v>
      </c>
      <c r="H601" s="1149">
        <v>6624516.3329927325</v>
      </c>
      <c r="I601" s="1489"/>
      <c r="J601" s="960"/>
      <c r="K601" s="967"/>
      <c r="L601" s="2217">
        <v>310</v>
      </c>
      <c r="M601" s="1146">
        <v>310</v>
      </c>
      <c r="N601" s="1146">
        <v>1457</v>
      </c>
      <c r="O601" s="2277">
        <v>4.7</v>
      </c>
      <c r="P601" s="1261">
        <v>1400000</v>
      </c>
      <c r="Q601" s="1149">
        <v>6624516.3329927325</v>
      </c>
    </row>
    <row r="602" spans="1:17" ht="14.45" customHeight="1" x14ac:dyDescent="0.2">
      <c r="A602" s="1481" t="s">
        <v>385</v>
      </c>
      <c r="B602" s="1146">
        <v>100</v>
      </c>
      <c r="C602" s="1146">
        <v>90</v>
      </c>
      <c r="D602" s="957">
        <v>477</v>
      </c>
      <c r="E602" s="1147">
        <v>5.3</v>
      </c>
      <c r="F602" s="1342" t="s">
        <v>987</v>
      </c>
      <c r="G602" s="1259">
        <v>1764000</v>
      </c>
      <c r="H602" s="1149">
        <v>6624516.3329927325</v>
      </c>
      <c r="I602" s="1489"/>
      <c r="J602" s="960"/>
      <c r="K602" s="967"/>
      <c r="L602" s="2217">
        <v>100</v>
      </c>
      <c r="M602" s="1146">
        <v>95</v>
      </c>
      <c r="N602" s="1146">
        <v>494</v>
      </c>
      <c r="O602" s="2277">
        <v>5.2</v>
      </c>
      <c r="P602" s="1261">
        <v>1400000</v>
      </c>
      <c r="Q602" s="1149">
        <v>6624516.3329927325</v>
      </c>
    </row>
    <row r="603" spans="1:17" ht="14.45" customHeight="1" x14ac:dyDescent="0.2">
      <c r="A603" s="1481" t="s">
        <v>386</v>
      </c>
      <c r="B603" s="1146">
        <v>44</v>
      </c>
      <c r="C603" s="1146">
        <v>44</v>
      </c>
      <c r="D603" s="957">
        <v>220</v>
      </c>
      <c r="E603" s="1147">
        <v>5</v>
      </c>
      <c r="F603" s="1342" t="s">
        <v>987</v>
      </c>
      <c r="G603" s="1259">
        <v>1764000</v>
      </c>
      <c r="H603" s="1149">
        <v>6624516.3329927325</v>
      </c>
      <c r="I603" s="1489"/>
      <c r="J603" s="960"/>
      <c r="K603" s="967"/>
      <c r="L603" s="2217">
        <v>17</v>
      </c>
      <c r="M603" s="1146">
        <v>17</v>
      </c>
      <c r="N603" s="1146">
        <v>68</v>
      </c>
      <c r="O603" s="2277">
        <v>4</v>
      </c>
      <c r="P603" s="1261">
        <v>1400000</v>
      </c>
      <c r="Q603" s="1149">
        <v>6624516.3329927325</v>
      </c>
    </row>
    <row r="604" spans="1:17" ht="14.45" customHeight="1" x14ac:dyDescent="0.2">
      <c r="A604" s="1481" t="s">
        <v>387</v>
      </c>
      <c r="B604" s="1146">
        <v>80</v>
      </c>
      <c r="C604" s="1146">
        <v>75</v>
      </c>
      <c r="D604" s="957">
        <v>375</v>
      </c>
      <c r="E604" s="1147">
        <v>5</v>
      </c>
      <c r="F604" s="1342" t="s">
        <v>987</v>
      </c>
      <c r="G604" s="1259">
        <v>1764000</v>
      </c>
      <c r="H604" s="1149">
        <v>6624516.3329927325</v>
      </c>
      <c r="I604" s="1489"/>
      <c r="J604" s="960"/>
      <c r="K604" s="967"/>
      <c r="L604" s="2217">
        <v>70</v>
      </c>
      <c r="M604" s="1146">
        <v>60</v>
      </c>
      <c r="N604" s="1146">
        <v>240</v>
      </c>
      <c r="O604" s="2277">
        <v>4</v>
      </c>
      <c r="P604" s="1261">
        <v>1400000</v>
      </c>
      <c r="Q604" s="1149">
        <v>6624516.3329927325</v>
      </c>
    </row>
    <row r="605" spans="1:17" ht="14.45" customHeight="1" x14ac:dyDescent="0.2">
      <c r="A605" s="1481" t="s">
        <v>388</v>
      </c>
      <c r="B605" s="1146">
        <v>50</v>
      </c>
      <c r="C605" s="1146">
        <v>40</v>
      </c>
      <c r="D605" s="957">
        <v>160</v>
      </c>
      <c r="E605" s="1147">
        <v>4</v>
      </c>
      <c r="F605" s="1342" t="s">
        <v>987</v>
      </c>
      <c r="G605" s="1259">
        <v>1764000</v>
      </c>
      <c r="H605" s="1149">
        <v>6624516.3329927325</v>
      </c>
      <c r="I605" s="1489"/>
      <c r="J605" s="960"/>
      <c r="K605" s="967"/>
      <c r="L605" s="2217">
        <v>30</v>
      </c>
      <c r="M605" s="1146">
        <v>30</v>
      </c>
      <c r="N605" s="1146">
        <v>120</v>
      </c>
      <c r="O605" s="2277">
        <v>4</v>
      </c>
      <c r="P605" s="1261">
        <v>1400000</v>
      </c>
      <c r="Q605" s="1149">
        <v>6624516.3329927325</v>
      </c>
    </row>
    <row r="606" spans="1:17" ht="14.45" customHeight="1" x14ac:dyDescent="0.2">
      <c r="A606" s="1481" t="s">
        <v>389</v>
      </c>
      <c r="B606" s="1146">
        <v>12</v>
      </c>
      <c r="C606" s="1146">
        <v>12</v>
      </c>
      <c r="D606" s="957">
        <v>60</v>
      </c>
      <c r="E606" s="1147">
        <v>5</v>
      </c>
      <c r="F606" s="1342" t="s">
        <v>987</v>
      </c>
      <c r="G606" s="1259">
        <v>1764000</v>
      </c>
      <c r="H606" s="1149">
        <v>6624516.3329927325</v>
      </c>
      <c r="I606" s="1489"/>
      <c r="J606" s="960"/>
      <c r="K606" s="967"/>
      <c r="L606" s="2217">
        <v>4</v>
      </c>
      <c r="M606" s="1146">
        <v>4</v>
      </c>
      <c r="N606" s="1146">
        <v>20</v>
      </c>
      <c r="O606" s="2277">
        <v>5</v>
      </c>
      <c r="P606" s="1261">
        <v>1400000</v>
      </c>
      <c r="Q606" s="1149">
        <v>6624516.3329927325</v>
      </c>
    </row>
    <row r="607" spans="1:17" ht="14.45" customHeight="1" x14ac:dyDescent="0.2">
      <c r="A607" s="1481" t="s">
        <v>390</v>
      </c>
      <c r="B607" s="1146">
        <v>10</v>
      </c>
      <c r="C607" s="1146">
        <v>10</v>
      </c>
      <c r="D607" s="957">
        <v>70</v>
      </c>
      <c r="E607" s="1147">
        <v>7</v>
      </c>
      <c r="F607" s="1342" t="s">
        <v>987</v>
      </c>
      <c r="G607" s="1259">
        <v>1764000</v>
      </c>
      <c r="H607" s="1149">
        <v>6624516.3329927325</v>
      </c>
      <c r="I607" s="1489"/>
      <c r="J607" s="960"/>
      <c r="K607" s="967"/>
      <c r="L607" s="2217">
        <v>10</v>
      </c>
      <c r="M607" s="1146">
        <v>10</v>
      </c>
      <c r="N607" s="1146">
        <v>70</v>
      </c>
      <c r="O607" s="2277">
        <v>7</v>
      </c>
      <c r="P607" s="1261">
        <v>1400000</v>
      </c>
      <c r="Q607" s="1149">
        <v>6624516.3329927325</v>
      </c>
    </row>
    <row r="608" spans="1:17" ht="14.45" customHeight="1" x14ac:dyDescent="0.2">
      <c r="A608" s="1481" t="s">
        <v>391</v>
      </c>
      <c r="B608" s="1146">
        <v>320</v>
      </c>
      <c r="C608" s="1146">
        <v>320</v>
      </c>
      <c r="D608" s="957">
        <v>1536</v>
      </c>
      <c r="E608" s="1147">
        <v>4.8</v>
      </c>
      <c r="F608" s="1342" t="s">
        <v>987</v>
      </c>
      <c r="G608" s="1259">
        <v>1764000</v>
      </c>
      <c r="H608" s="1149">
        <v>6624516.3329927325</v>
      </c>
      <c r="I608" s="1489"/>
      <c r="J608" s="960"/>
      <c r="K608" s="967"/>
      <c r="L608" s="2217">
        <v>235</v>
      </c>
      <c r="M608" s="1146">
        <v>232</v>
      </c>
      <c r="N608" s="1146">
        <v>1160</v>
      </c>
      <c r="O608" s="2277">
        <v>5</v>
      </c>
      <c r="P608" s="1261">
        <v>1400000</v>
      </c>
      <c r="Q608" s="1149">
        <v>6624516.3329927325</v>
      </c>
    </row>
    <row r="609" spans="1:17" ht="14.45" customHeight="1" x14ac:dyDescent="0.2">
      <c r="A609" s="1493" t="s">
        <v>392</v>
      </c>
      <c r="B609" s="1146">
        <v>25</v>
      </c>
      <c r="C609" s="1146">
        <v>25</v>
      </c>
      <c r="D609" s="957">
        <v>125</v>
      </c>
      <c r="E609" s="1147">
        <v>5</v>
      </c>
      <c r="F609" s="1342" t="s">
        <v>987</v>
      </c>
      <c r="G609" s="1259">
        <v>1764000</v>
      </c>
      <c r="H609" s="1149">
        <v>6624516.3329927325</v>
      </c>
      <c r="I609" s="1504"/>
      <c r="J609" s="1496"/>
      <c r="K609" s="974"/>
      <c r="L609" s="2219">
        <v>14</v>
      </c>
      <c r="M609" s="1529">
        <v>13</v>
      </c>
      <c r="N609" s="1529">
        <v>65</v>
      </c>
      <c r="O609" s="247">
        <v>5</v>
      </c>
      <c r="P609" s="1261">
        <v>1400000</v>
      </c>
      <c r="Q609" s="1149">
        <v>6624516.3329927325</v>
      </c>
    </row>
    <row r="610" spans="1:17" ht="14.45" customHeight="1" thickBot="1" x14ac:dyDescent="0.25">
      <c r="A610" s="1006" t="s">
        <v>393</v>
      </c>
      <c r="B610" s="1007">
        <v>4118</v>
      </c>
      <c r="C610" s="1007">
        <v>4074</v>
      </c>
      <c r="D610" s="1007">
        <v>20080.5</v>
      </c>
      <c r="E610" s="1482">
        <v>4.9289396170839472</v>
      </c>
      <c r="F610" s="1480" t="s">
        <v>987</v>
      </c>
      <c r="G610" s="1085">
        <v>1764000</v>
      </c>
      <c r="H610" s="1085">
        <v>6624516.3329927307</v>
      </c>
      <c r="I610" s="1008"/>
      <c r="J610" s="1008" t="s">
        <v>983</v>
      </c>
      <c r="K610" s="1011"/>
      <c r="L610" s="1007">
        <v>3173.5</v>
      </c>
      <c r="M610" s="1007">
        <v>3133.5</v>
      </c>
      <c r="N610" s="1007">
        <v>15167.119999999999</v>
      </c>
      <c r="O610" s="1083">
        <v>4.8403127493218445</v>
      </c>
      <c r="P610" s="1603">
        <v>1400000</v>
      </c>
      <c r="Q610" s="1607">
        <v>6624516.3329927297</v>
      </c>
    </row>
    <row r="611" spans="1:17" x14ac:dyDescent="0.2">
      <c r="A611" s="7" t="s">
        <v>1934</v>
      </c>
      <c r="B611" s="8"/>
      <c r="C611" s="8"/>
      <c r="D611" s="8"/>
      <c r="E611" s="4"/>
      <c r="F611" s="5"/>
      <c r="G611" s="9"/>
      <c r="H611" s="8"/>
      <c r="I611" s="4"/>
      <c r="J611" s="1"/>
      <c r="K611" s="1"/>
      <c r="O611" s="1"/>
      <c r="P611" s="1"/>
    </row>
    <row r="612" spans="1:17" x14ac:dyDescent="0.2">
      <c r="A612" s="7"/>
      <c r="B612" s="8"/>
      <c r="C612" s="8"/>
      <c r="D612" s="15"/>
      <c r="E612" s="15"/>
      <c r="F612" s="5"/>
      <c r="G612" s="9"/>
      <c r="H612" s="8"/>
      <c r="I612" s="4"/>
      <c r="J612" s="1"/>
      <c r="K612" s="1"/>
      <c r="O612" s="1"/>
      <c r="P612" s="1"/>
    </row>
    <row r="613" spans="1:17" x14ac:dyDescent="0.2">
      <c r="A613" s="34"/>
      <c r="B613" s="8"/>
      <c r="D613" s="15"/>
      <c r="E613" s="15"/>
      <c r="I613" s="4"/>
      <c r="J613" s="1"/>
      <c r="K613" s="1"/>
      <c r="L613" s="15"/>
      <c r="N613" s="5"/>
      <c r="O613" s="9"/>
      <c r="P613" s="1"/>
    </row>
    <row r="614" spans="1:17" x14ac:dyDescent="0.2">
      <c r="A614" s="34"/>
      <c r="B614" s="15"/>
      <c r="C614" s="15"/>
      <c r="D614" s="15"/>
      <c r="E614" s="15"/>
      <c r="F614" s="5"/>
      <c r="G614" s="9"/>
      <c r="H614" s="8"/>
      <c r="I614" s="4"/>
      <c r="J614" s="1"/>
      <c r="K614" s="1"/>
      <c r="O614" s="1"/>
      <c r="P614" s="1"/>
    </row>
    <row r="615" spans="1:17" x14ac:dyDescent="0.2">
      <c r="A615" s="34"/>
      <c r="B615" s="15"/>
      <c r="C615" s="15"/>
      <c r="D615" s="15"/>
      <c r="E615" s="15"/>
      <c r="F615" s="5"/>
      <c r="G615" s="9"/>
      <c r="H615" s="8"/>
      <c r="I615" s="2380"/>
      <c r="J615" s="2381"/>
      <c r="K615" s="2381"/>
      <c r="O615" s="2381"/>
      <c r="P615" s="2381"/>
    </row>
    <row r="616" spans="1:17" x14ac:dyDescent="0.2">
      <c r="A616" s="34"/>
      <c r="B616" s="15"/>
      <c r="C616" s="15"/>
      <c r="D616" s="15"/>
      <c r="E616" s="15"/>
      <c r="F616" s="5"/>
      <c r="G616" s="9"/>
      <c r="H616" s="8"/>
      <c r="I616" s="2380"/>
      <c r="J616" s="2381"/>
      <c r="K616" s="2381"/>
      <c r="O616" s="2381"/>
      <c r="P616" s="2381"/>
    </row>
    <row r="617" spans="1:17" ht="15.75" customHeight="1" x14ac:dyDescent="0.25">
      <c r="A617" s="2512" t="s">
        <v>1929</v>
      </c>
      <c r="B617" s="2512"/>
      <c r="C617" s="2512"/>
      <c r="D617" s="2512"/>
      <c r="E617" s="2512"/>
      <c r="F617" s="2512"/>
      <c r="G617" s="2512"/>
      <c r="H617" s="2512"/>
      <c r="I617" s="2512"/>
      <c r="J617" s="2512"/>
      <c r="K617" s="2512"/>
      <c r="L617" s="2512"/>
      <c r="M617" s="2512"/>
      <c r="N617" s="2512"/>
      <c r="O617" s="2512"/>
      <c r="P617" s="2512"/>
      <c r="Q617" s="2512"/>
    </row>
    <row r="618" spans="1:17" x14ac:dyDescent="0.2">
      <c r="A618" s="3"/>
      <c r="B618" s="6"/>
      <c r="C618" s="6"/>
      <c r="D618" s="6"/>
      <c r="E618" s="1"/>
      <c r="F618" s="2"/>
      <c r="G618" s="6"/>
      <c r="H618" s="6"/>
      <c r="I618" s="1"/>
      <c r="J618" s="1"/>
      <c r="K618" s="1"/>
      <c r="L618" s="6"/>
      <c r="M618" s="6"/>
      <c r="N618" s="6"/>
      <c r="O618" s="1"/>
      <c r="P618" s="1"/>
      <c r="Q618" s="6"/>
    </row>
    <row r="619" spans="1:17" ht="15.75" thickBot="1" x14ac:dyDescent="0.3">
      <c r="A619" s="3" t="s">
        <v>1737</v>
      </c>
      <c r="B619" s="21"/>
      <c r="C619" s="6"/>
      <c r="D619" s="6"/>
      <c r="E619" s="1"/>
      <c r="F619" s="2"/>
      <c r="G619" s="6"/>
      <c r="H619" s="6"/>
      <c r="I619" s="1"/>
      <c r="J619" s="1"/>
      <c r="K619" s="1"/>
      <c r="L619" s="6"/>
      <c r="M619" s="6"/>
      <c r="N619" s="6"/>
      <c r="O619" s="1"/>
      <c r="P619" s="1"/>
      <c r="Q619" s="6"/>
    </row>
    <row r="620" spans="1:17" ht="14.45" customHeight="1" thickBot="1" x14ac:dyDescent="0.25">
      <c r="A620" s="2513" t="s">
        <v>327</v>
      </c>
      <c r="B620" s="2516" t="s">
        <v>1935</v>
      </c>
      <c r="C620" s="2517"/>
      <c r="D620" s="2517"/>
      <c r="E620" s="2517"/>
      <c r="F620" s="2517"/>
      <c r="G620" s="2517"/>
      <c r="H620" s="2517"/>
      <c r="I620" s="2517"/>
      <c r="J620" s="2517"/>
      <c r="K620" s="2517"/>
      <c r="L620" s="2518" t="s">
        <v>1930</v>
      </c>
      <c r="M620" s="2519"/>
      <c r="N620" s="2519"/>
      <c r="O620" s="2519"/>
      <c r="P620" s="2520"/>
      <c r="Q620" s="2521"/>
    </row>
    <row r="621" spans="1:17" ht="14.45" customHeight="1" x14ac:dyDescent="0.2">
      <c r="A621" s="2514"/>
      <c r="B621" s="2522" t="s">
        <v>328</v>
      </c>
      <c r="C621" s="2523"/>
      <c r="D621" s="1014"/>
      <c r="E621" s="1014" t="s">
        <v>904</v>
      </c>
      <c r="F621" s="1014" t="s">
        <v>329</v>
      </c>
      <c r="G621" s="1014"/>
      <c r="H621" s="1014"/>
      <c r="I621" s="2526" t="s">
        <v>330</v>
      </c>
      <c r="J621" s="2527"/>
      <c r="K621" s="2528"/>
      <c r="L621" s="2524" t="s">
        <v>328</v>
      </c>
      <c r="M621" s="2525"/>
      <c r="N621" s="1021" t="s">
        <v>331</v>
      </c>
      <c r="O621" s="1022" t="s">
        <v>332</v>
      </c>
      <c r="P621" s="1023"/>
      <c r="Q621" s="1024"/>
    </row>
    <row r="622" spans="1:17" ht="14.45" customHeight="1" x14ac:dyDescent="0.2">
      <c r="A622" s="2514"/>
      <c r="B622" s="1014" t="s">
        <v>835</v>
      </c>
      <c r="C622" s="1014" t="s">
        <v>335</v>
      </c>
      <c r="D622" s="1014" t="s">
        <v>837</v>
      </c>
      <c r="E622" s="1014" t="s">
        <v>842</v>
      </c>
      <c r="F622" s="1014" t="s">
        <v>336</v>
      </c>
      <c r="G622" s="1014" t="s">
        <v>337</v>
      </c>
      <c r="H622" s="1014" t="s">
        <v>338</v>
      </c>
      <c r="I622" s="2529" t="s">
        <v>839</v>
      </c>
      <c r="J622" s="2530"/>
      <c r="K622" s="2531"/>
      <c r="L622" s="1025" t="s">
        <v>835</v>
      </c>
      <c r="M622" s="1021" t="s">
        <v>335</v>
      </c>
      <c r="N622" s="1021" t="s">
        <v>339</v>
      </c>
      <c r="O622" s="1022"/>
      <c r="P622" s="1021" t="s">
        <v>337</v>
      </c>
      <c r="Q622" s="1024" t="s">
        <v>338</v>
      </c>
    </row>
    <row r="623" spans="1:17" ht="14.45" customHeight="1" x14ac:dyDescent="0.2">
      <c r="A623" s="2514"/>
      <c r="B623" s="1014"/>
      <c r="C623" s="1014"/>
      <c r="D623" s="1014"/>
      <c r="E623" s="1014"/>
      <c r="F623" s="1014" t="s">
        <v>341</v>
      </c>
      <c r="G623" s="1014" t="s">
        <v>342</v>
      </c>
      <c r="H623" s="1014" t="s">
        <v>341</v>
      </c>
      <c r="I623" s="1015"/>
      <c r="J623" s="1016"/>
      <c r="K623" s="1017"/>
      <c r="L623" s="1025"/>
      <c r="M623" s="1021"/>
      <c r="N623" s="1021"/>
      <c r="O623" s="1022" t="s">
        <v>344</v>
      </c>
      <c r="P623" s="1021" t="s">
        <v>342</v>
      </c>
      <c r="Q623" s="1024" t="s">
        <v>341</v>
      </c>
    </row>
    <row r="624" spans="1:17" ht="14.45" customHeight="1" x14ac:dyDescent="0.2">
      <c r="A624" s="2515"/>
      <c r="B624" s="1018" t="s">
        <v>345</v>
      </c>
      <c r="C624" s="1018" t="s">
        <v>345</v>
      </c>
      <c r="D624" s="1018" t="s">
        <v>346</v>
      </c>
      <c r="E624" s="1018" t="s">
        <v>757</v>
      </c>
      <c r="F624" s="1018"/>
      <c r="G624" s="1018" t="s">
        <v>347</v>
      </c>
      <c r="H624" s="1018" t="s">
        <v>348</v>
      </c>
      <c r="I624" s="1019" t="s">
        <v>349</v>
      </c>
      <c r="J624" s="1019" t="s">
        <v>350</v>
      </c>
      <c r="K624" s="1020" t="s">
        <v>351</v>
      </c>
      <c r="L624" s="1026" t="s">
        <v>345</v>
      </c>
      <c r="M624" s="1027" t="s">
        <v>345</v>
      </c>
      <c r="N624" s="1027" t="s">
        <v>346</v>
      </c>
      <c r="O624" s="1028"/>
      <c r="P624" s="1027" t="s">
        <v>347</v>
      </c>
      <c r="Q624" s="1029" t="s">
        <v>348</v>
      </c>
    </row>
    <row r="625" spans="1:17" ht="14.45" customHeight="1" x14ac:dyDescent="0.2">
      <c r="A625" s="975" t="s">
        <v>352</v>
      </c>
      <c r="B625" s="976">
        <v>558</v>
      </c>
      <c r="C625" s="976">
        <v>533</v>
      </c>
      <c r="D625" s="977">
        <v>856.40000000000009</v>
      </c>
      <c r="E625" s="1608">
        <v>1.6067542213883679</v>
      </c>
      <c r="F625" s="979"/>
      <c r="G625" s="976"/>
      <c r="H625" s="976"/>
      <c r="I625" s="978"/>
      <c r="J625" s="978"/>
      <c r="K625" s="980"/>
      <c r="L625" s="981">
        <v>489</v>
      </c>
      <c r="M625" s="977">
        <v>485</v>
      </c>
      <c r="N625" s="977">
        <v>768.45000000000016</v>
      </c>
      <c r="O625" s="1608">
        <v>1.5844329896907219</v>
      </c>
      <c r="P625" s="1609"/>
      <c r="Q625" s="1610"/>
    </row>
    <row r="626" spans="1:17" ht="14.45" customHeight="1" x14ac:dyDescent="0.2">
      <c r="A626" s="1481" t="s">
        <v>353</v>
      </c>
      <c r="B626" s="1146">
        <v>110</v>
      </c>
      <c r="C626" s="1146">
        <v>100</v>
      </c>
      <c r="D626" s="957">
        <v>179</v>
      </c>
      <c r="E626" s="1147">
        <v>1.79</v>
      </c>
      <c r="F626" s="1342" t="s">
        <v>987</v>
      </c>
      <c r="G626" s="1259">
        <v>1929167</v>
      </c>
      <c r="H626" s="959">
        <v>3130853.107751254</v>
      </c>
      <c r="I626" s="1489"/>
      <c r="J626" s="960"/>
      <c r="K626" s="961"/>
      <c r="L626" s="2217">
        <v>85</v>
      </c>
      <c r="M626" s="1146">
        <v>80</v>
      </c>
      <c r="N626" s="1146">
        <v>143.19999999999999</v>
      </c>
      <c r="O626" s="2277">
        <v>1.79</v>
      </c>
      <c r="P626" s="1261">
        <v>1458333</v>
      </c>
      <c r="Q626" s="1149">
        <v>3130853.107751254</v>
      </c>
    </row>
    <row r="627" spans="1:17" ht="14.45" customHeight="1" x14ac:dyDescent="0.2">
      <c r="A627" s="1481" t="s">
        <v>354</v>
      </c>
      <c r="B627" s="1146">
        <v>70</v>
      </c>
      <c r="C627" s="1146">
        <v>70</v>
      </c>
      <c r="D627" s="957">
        <v>108.5</v>
      </c>
      <c r="E627" s="1147">
        <v>1.55</v>
      </c>
      <c r="F627" s="1342" t="s">
        <v>987</v>
      </c>
      <c r="G627" s="1259">
        <v>1929167</v>
      </c>
      <c r="H627" s="959">
        <v>3130853.107751254</v>
      </c>
      <c r="I627" s="1489"/>
      <c r="J627" s="960"/>
      <c r="K627" s="961"/>
      <c r="L627" s="2217">
        <v>55</v>
      </c>
      <c r="M627" s="1146">
        <v>55</v>
      </c>
      <c r="N627" s="1146">
        <v>85.25</v>
      </c>
      <c r="O627" s="2277">
        <v>1.55</v>
      </c>
      <c r="P627" s="1261">
        <v>1458333</v>
      </c>
      <c r="Q627" s="1149">
        <v>3130853.107751254</v>
      </c>
    </row>
    <row r="628" spans="1:17" ht="14.45" customHeight="1" x14ac:dyDescent="0.2">
      <c r="A628" s="1481" t="s">
        <v>355</v>
      </c>
      <c r="B628" s="1146">
        <v>25</v>
      </c>
      <c r="C628" s="1146">
        <v>25</v>
      </c>
      <c r="D628" s="957">
        <v>50</v>
      </c>
      <c r="E628" s="1147">
        <v>2</v>
      </c>
      <c r="F628" s="1342" t="s">
        <v>987</v>
      </c>
      <c r="G628" s="1259">
        <v>1929167</v>
      </c>
      <c r="H628" s="959">
        <v>3130853.107751254</v>
      </c>
      <c r="I628" s="1489"/>
      <c r="J628" s="960"/>
      <c r="K628" s="961"/>
      <c r="L628" s="2217">
        <v>20</v>
      </c>
      <c r="M628" s="1146">
        <v>20</v>
      </c>
      <c r="N628" s="1146">
        <v>40</v>
      </c>
      <c r="O628" s="2277">
        <v>2</v>
      </c>
      <c r="P628" s="1261">
        <v>1458333</v>
      </c>
      <c r="Q628" s="1149">
        <v>3130853.107751254</v>
      </c>
    </row>
    <row r="629" spans="1:17" ht="14.45" customHeight="1" x14ac:dyDescent="0.2">
      <c r="A629" s="1481" t="s">
        <v>356</v>
      </c>
      <c r="B629" s="1146">
        <v>17</v>
      </c>
      <c r="C629" s="1146">
        <v>17</v>
      </c>
      <c r="D629" s="957">
        <v>30.6</v>
      </c>
      <c r="E629" s="1147">
        <v>1.8</v>
      </c>
      <c r="F629" s="1342" t="s">
        <v>987</v>
      </c>
      <c r="G629" s="1259">
        <v>1929167</v>
      </c>
      <c r="H629" s="959">
        <v>3130853.107751254</v>
      </c>
      <c r="I629" s="1489"/>
      <c r="J629" s="960"/>
      <c r="K629" s="961"/>
      <c r="L629" s="2217">
        <v>20</v>
      </c>
      <c r="M629" s="1146">
        <v>20</v>
      </c>
      <c r="N629" s="1146">
        <v>36</v>
      </c>
      <c r="O629" s="2277">
        <v>1.8</v>
      </c>
      <c r="P629" s="1261">
        <v>1458333</v>
      </c>
      <c r="Q629" s="1149">
        <v>3130853.107751254</v>
      </c>
    </row>
    <row r="630" spans="1:17" ht="14.45" customHeight="1" x14ac:dyDescent="0.2">
      <c r="A630" s="1481" t="s">
        <v>357</v>
      </c>
      <c r="B630" s="1146">
        <v>126</v>
      </c>
      <c r="C630" s="1146">
        <v>126</v>
      </c>
      <c r="D630" s="957">
        <v>163.80000000000001</v>
      </c>
      <c r="E630" s="1147">
        <v>1.3</v>
      </c>
      <c r="F630" s="1342" t="s">
        <v>987</v>
      </c>
      <c r="G630" s="1259">
        <v>1929167</v>
      </c>
      <c r="H630" s="959">
        <v>3130853.107751254</v>
      </c>
      <c r="I630" s="1489"/>
      <c r="J630" s="960"/>
      <c r="K630" s="961"/>
      <c r="L630" s="2217">
        <v>100</v>
      </c>
      <c r="M630" s="1146">
        <v>100</v>
      </c>
      <c r="N630" s="1146">
        <v>130</v>
      </c>
      <c r="O630" s="2277">
        <v>1.3</v>
      </c>
      <c r="P630" s="1261">
        <v>1458333</v>
      </c>
      <c r="Q630" s="1149">
        <v>3130853.107751254</v>
      </c>
    </row>
    <row r="631" spans="1:17" ht="14.45" customHeight="1" x14ac:dyDescent="0.2">
      <c r="A631" s="1481" t="s">
        <v>358</v>
      </c>
      <c r="B631" s="1146">
        <v>95</v>
      </c>
      <c r="C631" s="1146">
        <v>80</v>
      </c>
      <c r="D631" s="957">
        <v>120</v>
      </c>
      <c r="E631" s="1147">
        <v>1.5</v>
      </c>
      <c r="F631" s="1342" t="s">
        <v>987</v>
      </c>
      <c r="G631" s="1259">
        <v>1929167</v>
      </c>
      <c r="H631" s="959">
        <v>3130853.107751254</v>
      </c>
      <c r="I631" s="1489"/>
      <c r="J631" s="960"/>
      <c r="K631" s="961"/>
      <c r="L631" s="2217">
        <v>83</v>
      </c>
      <c r="M631" s="1146">
        <v>83</v>
      </c>
      <c r="N631" s="1146">
        <v>124.5</v>
      </c>
      <c r="O631" s="2277">
        <v>1.5</v>
      </c>
      <c r="P631" s="1261">
        <v>1458333</v>
      </c>
      <c r="Q631" s="1149">
        <v>3130853.107751254</v>
      </c>
    </row>
    <row r="632" spans="1:17" ht="14.45" customHeight="1" x14ac:dyDescent="0.2">
      <c r="A632" s="1481" t="s">
        <v>359</v>
      </c>
      <c r="B632" s="1146">
        <v>5</v>
      </c>
      <c r="C632" s="1146">
        <v>5</v>
      </c>
      <c r="D632" s="957">
        <v>10</v>
      </c>
      <c r="E632" s="1147">
        <v>2</v>
      </c>
      <c r="F632" s="1342" t="s">
        <v>987</v>
      </c>
      <c r="G632" s="1259">
        <v>1929167</v>
      </c>
      <c r="H632" s="959">
        <v>3130853.107751254</v>
      </c>
      <c r="I632" s="1489"/>
      <c r="J632" s="960"/>
      <c r="K632" s="961"/>
      <c r="L632" s="2217">
        <v>16</v>
      </c>
      <c r="M632" s="1146">
        <v>16</v>
      </c>
      <c r="N632" s="1146">
        <v>27.2</v>
      </c>
      <c r="O632" s="2277">
        <v>1.7</v>
      </c>
      <c r="P632" s="1261">
        <v>1458333</v>
      </c>
      <c r="Q632" s="1149">
        <v>3130853.107751254</v>
      </c>
    </row>
    <row r="633" spans="1:17" ht="14.45" customHeight="1" x14ac:dyDescent="0.2">
      <c r="A633" s="1481" t="s">
        <v>360</v>
      </c>
      <c r="B633" s="1146">
        <v>12</v>
      </c>
      <c r="C633" s="1146">
        <v>12</v>
      </c>
      <c r="D633" s="957">
        <v>20.399999999999999</v>
      </c>
      <c r="E633" s="1147">
        <v>1.7</v>
      </c>
      <c r="F633" s="1342" t="s">
        <v>987</v>
      </c>
      <c r="G633" s="1259">
        <v>1929167</v>
      </c>
      <c r="H633" s="959">
        <v>3130853.107751254</v>
      </c>
      <c r="I633" s="1489"/>
      <c r="J633" s="960"/>
      <c r="K633" s="961"/>
      <c r="L633" s="2217">
        <v>8</v>
      </c>
      <c r="M633" s="1146">
        <v>8</v>
      </c>
      <c r="N633" s="1146">
        <v>13.6</v>
      </c>
      <c r="O633" s="2277">
        <v>1.7</v>
      </c>
      <c r="P633" s="1261">
        <v>1458333</v>
      </c>
      <c r="Q633" s="1149">
        <v>3130853.107751254</v>
      </c>
    </row>
    <row r="634" spans="1:17" ht="14.45" customHeight="1" x14ac:dyDescent="0.2">
      <c r="A634" s="1481" t="s">
        <v>361</v>
      </c>
      <c r="B634" s="1146">
        <v>60</v>
      </c>
      <c r="C634" s="1146">
        <v>60</v>
      </c>
      <c r="D634" s="957">
        <v>108</v>
      </c>
      <c r="E634" s="1147">
        <v>1.8</v>
      </c>
      <c r="F634" s="1342" t="s">
        <v>987</v>
      </c>
      <c r="G634" s="1259">
        <v>1929167</v>
      </c>
      <c r="H634" s="959">
        <v>3130853.107751254</v>
      </c>
      <c r="I634" s="1489"/>
      <c r="J634" s="960"/>
      <c r="K634" s="961"/>
      <c r="L634" s="2217">
        <v>40</v>
      </c>
      <c r="M634" s="1146">
        <v>41</v>
      </c>
      <c r="N634" s="1146">
        <v>61.5</v>
      </c>
      <c r="O634" s="2277">
        <v>1.5</v>
      </c>
      <c r="P634" s="1261">
        <v>1458333</v>
      </c>
      <c r="Q634" s="1149">
        <v>3130853.107751254</v>
      </c>
    </row>
    <row r="635" spans="1:17" ht="14.45" customHeight="1" x14ac:dyDescent="0.2">
      <c r="A635" s="1481" t="s">
        <v>362</v>
      </c>
      <c r="B635" s="1146">
        <v>0</v>
      </c>
      <c r="C635" s="1146">
        <v>0</v>
      </c>
      <c r="D635" s="957">
        <v>0</v>
      </c>
      <c r="E635" s="1147">
        <v>0</v>
      </c>
      <c r="F635" s="1342"/>
      <c r="G635" s="1259"/>
      <c r="H635" s="959"/>
      <c r="I635" s="1489"/>
      <c r="J635" s="960"/>
      <c r="K635" s="961"/>
      <c r="L635" s="2217">
        <v>0</v>
      </c>
      <c r="M635" s="1146">
        <v>0</v>
      </c>
      <c r="N635" s="1146">
        <v>0</v>
      </c>
      <c r="O635" s="2277">
        <v>0</v>
      </c>
      <c r="P635" s="1261"/>
      <c r="Q635" s="1149"/>
    </row>
    <row r="636" spans="1:17" ht="14.45" customHeight="1" x14ac:dyDescent="0.2">
      <c r="A636" s="1481" t="s">
        <v>363</v>
      </c>
      <c r="B636" s="1146">
        <v>0</v>
      </c>
      <c r="C636" s="1146">
        <v>0</v>
      </c>
      <c r="D636" s="957">
        <v>0</v>
      </c>
      <c r="E636" s="1147">
        <v>0</v>
      </c>
      <c r="F636" s="1342" t="s">
        <v>987</v>
      </c>
      <c r="G636" s="1259">
        <v>1929167</v>
      </c>
      <c r="H636" s="959">
        <v>3130853.107751254</v>
      </c>
      <c r="I636" s="1489"/>
      <c r="J636" s="960"/>
      <c r="K636" s="961"/>
      <c r="L636" s="2217">
        <v>0</v>
      </c>
      <c r="M636" s="1146">
        <v>0</v>
      </c>
      <c r="N636" s="1146">
        <v>0</v>
      </c>
      <c r="O636" s="2277">
        <v>0</v>
      </c>
      <c r="P636" s="1261"/>
      <c r="Q636" s="1149"/>
    </row>
    <row r="637" spans="1:17" ht="14.45" customHeight="1" x14ac:dyDescent="0.2">
      <c r="A637" s="1481" t="s">
        <v>364</v>
      </c>
      <c r="B637" s="1146">
        <v>33</v>
      </c>
      <c r="C637" s="1146">
        <v>33</v>
      </c>
      <c r="D637" s="957">
        <v>56.1</v>
      </c>
      <c r="E637" s="1147">
        <v>1.7</v>
      </c>
      <c r="F637" s="1342" t="s">
        <v>987</v>
      </c>
      <c r="G637" s="1259">
        <v>1929167</v>
      </c>
      <c r="H637" s="959">
        <v>3130853.107751254</v>
      </c>
      <c r="I637" s="1489"/>
      <c r="J637" s="960"/>
      <c r="K637" s="961"/>
      <c r="L637" s="2217">
        <v>56</v>
      </c>
      <c r="M637" s="1146">
        <v>56</v>
      </c>
      <c r="N637" s="1146">
        <v>95.2</v>
      </c>
      <c r="O637" s="2277">
        <v>1.7</v>
      </c>
      <c r="P637" s="1261">
        <v>1458333</v>
      </c>
      <c r="Q637" s="1149">
        <v>3130853.107751254</v>
      </c>
    </row>
    <row r="638" spans="1:17" ht="14.45" customHeight="1" x14ac:dyDescent="0.2">
      <c r="A638" s="1481" t="s">
        <v>365</v>
      </c>
      <c r="B638" s="1146">
        <v>5</v>
      </c>
      <c r="C638" s="1146">
        <v>5</v>
      </c>
      <c r="D638" s="957">
        <v>10</v>
      </c>
      <c r="E638" s="1147">
        <v>2</v>
      </c>
      <c r="F638" s="1342" t="s">
        <v>987</v>
      </c>
      <c r="G638" s="1259">
        <v>1929167</v>
      </c>
      <c r="H638" s="959">
        <v>3130853.107751254</v>
      </c>
      <c r="I638" s="1489"/>
      <c r="J638" s="960"/>
      <c r="K638" s="961"/>
      <c r="L638" s="2217">
        <v>6</v>
      </c>
      <c r="M638" s="1146">
        <v>6</v>
      </c>
      <c r="N638" s="1146">
        <v>12</v>
      </c>
      <c r="O638" s="2277">
        <v>2</v>
      </c>
      <c r="P638" s="1261">
        <v>1458333</v>
      </c>
      <c r="Q638" s="1149">
        <v>3130853.107751254</v>
      </c>
    </row>
    <row r="639" spans="1:17" ht="14.45" customHeight="1" x14ac:dyDescent="0.2">
      <c r="A639" s="1481" t="s">
        <v>366</v>
      </c>
      <c r="B639" s="1146"/>
      <c r="C639" s="1146"/>
      <c r="D639" s="957">
        <v>0</v>
      </c>
      <c r="E639" s="1494"/>
      <c r="F639" s="958"/>
      <c r="G639" s="1259"/>
      <c r="H639" s="959"/>
      <c r="I639" s="1489"/>
      <c r="J639" s="960"/>
      <c r="K639" s="961"/>
      <c r="L639" s="2217"/>
      <c r="M639" s="1146"/>
      <c r="N639" s="1146">
        <v>0</v>
      </c>
      <c r="O639" s="2233"/>
      <c r="P639" s="1261"/>
      <c r="Q639" s="1606"/>
    </row>
    <row r="640" spans="1:17" ht="14.45" customHeight="1" x14ac:dyDescent="0.2">
      <c r="A640" s="1481" t="s">
        <v>367</v>
      </c>
      <c r="B640" s="1146">
        <v>0</v>
      </c>
      <c r="C640" s="1146">
        <v>0</v>
      </c>
      <c r="D640" s="957">
        <v>0</v>
      </c>
      <c r="E640" s="1494">
        <v>0</v>
      </c>
      <c r="F640" s="964"/>
      <c r="G640" s="1259"/>
      <c r="H640" s="959"/>
      <c r="I640" s="1489"/>
      <c r="J640" s="960"/>
      <c r="K640" s="961"/>
      <c r="L640" s="2217">
        <v>0</v>
      </c>
      <c r="M640" s="1146">
        <v>0</v>
      </c>
      <c r="N640" s="1146">
        <v>0</v>
      </c>
      <c r="O640" s="2233">
        <v>0</v>
      </c>
      <c r="P640" s="1261"/>
      <c r="Q640" s="1606"/>
    </row>
    <row r="641" spans="1:17" ht="14.45" customHeight="1" x14ac:dyDescent="0.2">
      <c r="A641" s="1484" t="s">
        <v>368</v>
      </c>
      <c r="B641" s="1002">
        <v>298</v>
      </c>
      <c r="C641" s="984">
        <v>270</v>
      </c>
      <c r="D641" s="2308">
        <v>407.6</v>
      </c>
      <c r="E641" s="1608">
        <v>1.5096296296296297</v>
      </c>
      <c r="F641" s="987"/>
      <c r="G641" s="1486"/>
      <c r="H641" s="988"/>
      <c r="I641" s="1490"/>
      <c r="J641" s="989"/>
      <c r="K641" s="990"/>
      <c r="L641" s="1453">
        <v>255.5</v>
      </c>
      <c r="M641" s="1002">
        <v>255.5</v>
      </c>
      <c r="N641" s="1002">
        <v>386.85</v>
      </c>
      <c r="O641" s="2216">
        <v>1.5140900195694718</v>
      </c>
      <c r="P641" s="1604"/>
      <c r="Q641" s="1605"/>
    </row>
    <row r="642" spans="1:17" ht="14.45" customHeight="1" x14ac:dyDescent="0.2">
      <c r="A642" s="1481" t="s">
        <v>369</v>
      </c>
      <c r="B642" s="1146">
        <v>288</v>
      </c>
      <c r="C642" s="1146">
        <v>260</v>
      </c>
      <c r="D642" s="957">
        <v>390</v>
      </c>
      <c r="E642" s="1147">
        <v>1.5</v>
      </c>
      <c r="F642" s="1342" t="s">
        <v>987</v>
      </c>
      <c r="G642" s="1259">
        <v>1929167</v>
      </c>
      <c r="H642" s="959">
        <v>3130853.107751254</v>
      </c>
      <c r="I642" s="1489"/>
      <c r="J642" s="960"/>
      <c r="K642" s="961"/>
      <c r="L642" s="2217">
        <v>245</v>
      </c>
      <c r="M642" s="1146">
        <v>245</v>
      </c>
      <c r="N642" s="1146">
        <v>367.5</v>
      </c>
      <c r="O642" s="2277">
        <v>1.5</v>
      </c>
      <c r="P642" s="1261">
        <v>1458333</v>
      </c>
      <c r="Q642" s="1149">
        <v>3130853.107751254</v>
      </c>
    </row>
    <row r="643" spans="1:17" ht="14.45" customHeight="1" x14ac:dyDescent="0.2">
      <c r="A643" s="1481" t="s">
        <v>370</v>
      </c>
      <c r="B643" s="1146">
        <v>0</v>
      </c>
      <c r="C643" s="1146">
        <v>0</v>
      </c>
      <c r="D643" s="957">
        <v>0</v>
      </c>
      <c r="E643" s="1147">
        <v>0</v>
      </c>
      <c r="F643" s="1342"/>
      <c r="G643" s="1259"/>
      <c r="H643" s="959"/>
      <c r="I643" s="1489"/>
      <c r="J643" s="960"/>
      <c r="K643" s="961"/>
      <c r="L643" s="2217">
        <v>0</v>
      </c>
      <c r="M643" s="1146">
        <v>0</v>
      </c>
      <c r="N643" s="1146">
        <v>0</v>
      </c>
      <c r="O643" s="2277">
        <v>0</v>
      </c>
      <c r="P643" s="1261"/>
      <c r="Q643" s="1149"/>
    </row>
    <row r="644" spans="1:17" ht="14.45" customHeight="1" x14ac:dyDescent="0.2">
      <c r="A644" s="1481" t="s">
        <v>371</v>
      </c>
      <c r="B644" s="1146">
        <v>8</v>
      </c>
      <c r="C644" s="1146">
        <v>8</v>
      </c>
      <c r="D644" s="957">
        <v>13.6</v>
      </c>
      <c r="E644" s="1147">
        <v>1.7</v>
      </c>
      <c r="F644" s="1342" t="s">
        <v>987</v>
      </c>
      <c r="G644" s="1259">
        <v>1929167</v>
      </c>
      <c r="H644" s="959">
        <v>3130853.107751254</v>
      </c>
      <c r="I644" s="1489"/>
      <c r="J644" s="960"/>
      <c r="K644" s="961"/>
      <c r="L644" s="2217">
        <v>5.5</v>
      </c>
      <c r="M644" s="1146">
        <v>5.5</v>
      </c>
      <c r="N644" s="1146">
        <v>9.35</v>
      </c>
      <c r="O644" s="2277">
        <v>1.7</v>
      </c>
      <c r="P644" s="1261">
        <v>1458333</v>
      </c>
      <c r="Q644" s="1149">
        <v>3130853.107751254</v>
      </c>
    </row>
    <row r="645" spans="1:17" ht="14.45" customHeight="1" x14ac:dyDescent="0.2">
      <c r="A645" s="1481" t="s">
        <v>372</v>
      </c>
      <c r="B645" s="1146">
        <v>2</v>
      </c>
      <c r="C645" s="1146">
        <v>2</v>
      </c>
      <c r="D645" s="957">
        <v>4</v>
      </c>
      <c r="E645" s="1147">
        <v>2</v>
      </c>
      <c r="F645" s="1342" t="s">
        <v>987</v>
      </c>
      <c r="G645" s="1259">
        <v>1929167</v>
      </c>
      <c r="H645" s="959">
        <v>3130853.107751254</v>
      </c>
      <c r="I645" s="1489"/>
      <c r="J645" s="960"/>
      <c r="K645" s="961"/>
      <c r="L645" s="2217">
        <v>5</v>
      </c>
      <c r="M645" s="1146">
        <v>5</v>
      </c>
      <c r="N645" s="1146">
        <v>10</v>
      </c>
      <c r="O645" s="2277">
        <v>2</v>
      </c>
      <c r="P645" s="1261">
        <v>1458333</v>
      </c>
      <c r="Q645" s="1149">
        <v>3130853.107751254</v>
      </c>
    </row>
    <row r="646" spans="1:17" ht="14.45" customHeight="1" x14ac:dyDescent="0.2">
      <c r="A646" s="1481" t="s">
        <v>373</v>
      </c>
      <c r="B646" s="1146">
        <v>0</v>
      </c>
      <c r="C646" s="1146">
        <v>0</v>
      </c>
      <c r="D646" s="957">
        <v>0</v>
      </c>
      <c r="E646" s="1147">
        <v>0</v>
      </c>
      <c r="F646" s="1342"/>
      <c r="G646" s="1259"/>
      <c r="H646" s="959"/>
      <c r="I646" s="1489"/>
      <c r="J646" s="960"/>
      <c r="K646" s="961"/>
      <c r="L646" s="2217">
        <v>0</v>
      </c>
      <c r="M646" s="1146">
        <v>0</v>
      </c>
      <c r="N646" s="1146">
        <v>0</v>
      </c>
      <c r="O646" s="2277">
        <v>0</v>
      </c>
      <c r="P646" s="1261"/>
      <c r="Q646" s="1149"/>
    </row>
    <row r="647" spans="1:17" ht="14.45" customHeight="1" x14ac:dyDescent="0.2">
      <c r="A647" s="1484" t="s">
        <v>374</v>
      </c>
      <c r="B647" s="1002">
        <v>381</v>
      </c>
      <c r="C647" s="984">
        <v>357</v>
      </c>
      <c r="D647" s="984">
        <v>630.9</v>
      </c>
      <c r="E647" s="1608">
        <v>1.7672268907563025</v>
      </c>
      <c r="F647" s="987"/>
      <c r="G647" s="1488"/>
      <c r="H647" s="996"/>
      <c r="I647" s="1491"/>
      <c r="J647" s="997"/>
      <c r="K647" s="998"/>
      <c r="L647" s="1453">
        <v>351</v>
      </c>
      <c r="M647" s="1002">
        <v>343</v>
      </c>
      <c r="N647" s="1002">
        <v>601.1</v>
      </c>
      <c r="O647" s="2216">
        <v>1.7524781341107873</v>
      </c>
      <c r="P647" s="1604"/>
      <c r="Q647" s="1605"/>
    </row>
    <row r="648" spans="1:17" ht="14.45" customHeight="1" x14ac:dyDescent="0.2">
      <c r="A648" s="1481" t="s">
        <v>375</v>
      </c>
      <c r="B648" s="1146">
        <v>250</v>
      </c>
      <c r="C648" s="1146">
        <v>250</v>
      </c>
      <c r="D648" s="957">
        <v>475</v>
      </c>
      <c r="E648" s="1147">
        <v>1.9</v>
      </c>
      <c r="F648" s="1342" t="s">
        <v>987</v>
      </c>
      <c r="G648" s="1259">
        <v>1929167</v>
      </c>
      <c r="H648" s="959">
        <v>3130853.107751254</v>
      </c>
      <c r="I648" s="1489"/>
      <c r="J648" s="960"/>
      <c r="K648" s="961"/>
      <c r="L648" s="2217">
        <v>230</v>
      </c>
      <c r="M648" s="1146">
        <v>228</v>
      </c>
      <c r="N648" s="1146">
        <v>433.2</v>
      </c>
      <c r="O648" s="2277">
        <v>1.9</v>
      </c>
      <c r="P648" s="1261">
        <v>1458333</v>
      </c>
      <c r="Q648" s="1149">
        <v>3130853.107751254</v>
      </c>
    </row>
    <row r="649" spans="1:17" ht="14.45" customHeight="1" x14ac:dyDescent="0.2">
      <c r="A649" s="1481" t="s">
        <v>376</v>
      </c>
      <c r="B649" s="1146">
        <v>13</v>
      </c>
      <c r="C649" s="1146">
        <v>13</v>
      </c>
      <c r="D649" s="957">
        <v>19.5</v>
      </c>
      <c r="E649" s="1147">
        <v>1.5</v>
      </c>
      <c r="F649" s="1342" t="s">
        <v>987</v>
      </c>
      <c r="G649" s="1259">
        <v>1929167</v>
      </c>
      <c r="H649" s="959">
        <v>3130853.107751254</v>
      </c>
      <c r="I649" s="1489"/>
      <c r="J649" s="960"/>
      <c r="K649" s="961"/>
      <c r="L649" s="2217">
        <v>13</v>
      </c>
      <c r="M649" s="1146">
        <v>13</v>
      </c>
      <c r="N649" s="1146">
        <v>19.5</v>
      </c>
      <c r="O649" s="2277">
        <v>1.5</v>
      </c>
      <c r="P649" s="1261">
        <v>1458333</v>
      </c>
      <c r="Q649" s="1149">
        <v>3130853.107751254</v>
      </c>
    </row>
    <row r="650" spans="1:17" ht="14.45" customHeight="1" x14ac:dyDescent="0.2">
      <c r="A650" s="1481" t="s">
        <v>377</v>
      </c>
      <c r="B650" s="1146">
        <v>5</v>
      </c>
      <c r="C650" s="1146">
        <v>5</v>
      </c>
      <c r="D650" s="957">
        <v>5</v>
      </c>
      <c r="E650" s="1147">
        <v>1</v>
      </c>
      <c r="F650" s="1342" t="s">
        <v>987</v>
      </c>
      <c r="G650" s="1259">
        <v>1929167</v>
      </c>
      <c r="H650" s="959">
        <v>3130853.107751254</v>
      </c>
      <c r="I650" s="1489"/>
      <c r="J650" s="960"/>
      <c r="K650" s="961"/>
      <c r="L650" s="2217">
        <v>3</v>
      </c>
      <c r="M650" s="1146">
        <v>2</v>
      </c>
      <c r="N650" s="1146">
        <v>3</v>
      </c>
      <c r="O650" s="2277">
        <v>1.5</v>
      </c>
      <c r="P650" s="1261">
        <v>1458333</v>
      </c>
      <c r="Q650" s="1149">
        <v>3130853.107751254</v>
      </c>
    </row>
    <row r="651" spans="1:17" ht="14.45" customHeight="1" x14ac:dyDescent="0.2">
      <c r="A651" s="1481" t="s">
        <v>378</v>
      </c>
      <c r="B651" s="1146">
        <v>41</v>
      </c>
      <c r="C651" s="1146">
        <v>26</v>
      </c>
      <c r="D651" s="957">
        <v>49.4</v>
      </c>
      <c r="E651" s="1147">
        <v>1.9</v>
      </c>
      <c r="F651" s="1342" t="s">
        <v>987</v>
      </c>
      <c r="G651" s="1259">
        <v>1929167</v>
      </c>
      <c r="H651" s="959">
        <v>3130853.107751254</v>
      </c>
      <c r="I651" s="1492"/>
      <c r="J651" s="960"/>
      <c r="K651" s="967"/>
      <c r="L651" s="2217">
        <v>26</v>
      </c>
      <c r="M651" s="1146">
        <v>26</v>
      </c>
      <c r="N651" s="1146">
        <v>46.800000000000004</v>
      </c>
      <c r="O651" s="2277">
        <v>1.8</v>
      </c>
      <c r="P651" s="1261">
        <v>1458333</v>
      </c>
      <c r="Q651" s="1149">
        <v>3130853.107751254</v>
      </c>
    </row>
    <row r="652" spans="1:17" ht="14.45" customHeight="1" x14ac:dyDescent="0.2">
      <c r="A652" s="1481" t="s">
        <v>379</v>
      </c>
      <c r="B652" s="1146">
        <v>29</v>
      </c>
      <c r="C652" s="1146">
        <v>28</v>
      </c>
      <c r="D652" s="957">
        <v>42</v>
      </c>
      <c r="E652" s="1147">
        <v>1.5</v>
      </c>
      <c r="F652" s="1342" t="s">
        <v>987</v>
      </c>
      <c r="G652" s="1259">
        <v>1929167</v>
      </c>
      <c r="H652" s="959">
        <v>3130853.107751254</v>
      </c>
      <c r="I652" s="1492"/>
      <c r="J652" s="960"/>
      <c r="K652" s="967"/>
      <c r="L652" s="2217">
        <v>29</v>
      </c>
      <c r="M652" s="1146">
        <v>28</v>
      </c>
      <c r="N652" s="1146">
        <v>42</v>
      </c>
      <c r="O652" s="2277">
        <v>1.5</v>
      </c>
      <c r="P652" s="1261">
        <v>1458333</v>
      </c>
      <c r="Q652" s="1149">
        <v>3130853.107751254</v>
      </c>
    </row>
    <row r="653" spans="1:17" ht="14.45" customHeight="1" x14ac:dyDescent="0.2">
      <c r="A653" s="1481" t="s">
        <v>380</v>
      </c>
      <c r="B653" s="1146">
        <v>5</v>
      </c>
      <c r="C653" s="1146">
        <v>5</v>
      </c>
      <c r="D653" s="957">
        <v>8.5</v>
      </c>
      <c r="E653" s="1147">
        <v>1.7</v>
      </c>
      <c r="F653" s="1342" t="s">
        <v>987</v>
      </c>
      <c r="G653" s="1259">
        <v>1929167</v>
      </c>
      <c r="H653" s="959">
        <v>3130853.107751254</v>
      </c>
      <c r="I653" s="1492"/>
      <c r="J653" s="960"/>
      <c r="K653" s="967"/>
      <c r="L653" s="2217">
        <v>5</v>
      </c>
      <c r="M653" s="1146">
        <v>5</v>
      </c>
      <c r="N653" s="1146">
        <v>7</v>
      </c>
      <c r="O653" s="2277">
        <v>1.4</v>
      </c>
      <c r="P653" s="1261">
        <v>1458333</v>
      </c>
      <c r="Q653" s="1149">
        <v>3130853.107751254</v>
      </c>
    </row>
    <row r="654" spans="1:17" ht="14.45" customHeight="1" x14ac:dyDescent="0.2">
      <c r="A654" s="1481" t="s">
        <v>381</v>
      </c>
      <c r="B654" s="1146">
        <v>5</v>
      </c>
      <c r="C654" s="1146">
        <v>5</v>
      </c>
      <c r="D654" s="957">
        <v>6.5</v>
      </c>
      <c r="E654" s="1147">
        <v>1.3</v>
      </c>
      <c r="F654" s="1342" t="s">
        <v>987</v>
      </c>
      <c r="G654" s="1259">
        <v>1929167</v>
      </c>
      <c r="H654" s="959">
        <v>3130853.107751254</v>
      </c>
      <c r="I654" s="1492"/>
      <c r="J654" s="960"/>
      <c r="K654" s="967"/>
      <c r="L654" s="2217">
        <v>4</v>
      </c>
      <c r="M654" s="1146">
        <v>4</v>
      </c>
      <c r="N654" s="1146">
        <v>5.2</v>
      </c>
      <c r="O654" s="2277">
        <v>1.3</v>
      </c>
      <c r="P654" s="1261">
        <v>1458333</v>
      </c>
      <c r="Q654" s="1149">
        <v>3130853.107751254</v>
      </c>
    </row>
    <row r="655" spans="1:17" ht="14.45" customHeight="1" x14ac:dyDescent="0.2">
      <c r="A655" s="1481" t="s">
        <v>382</v>
      </c>
      <c r="B655" s="957">
        <v>33</v>
      </c>
      <c r="C655" s="957">
        <v>25</v>
      </c>
      <c r="D655" s="957">
        <v>25</v>
      </c>
      <c r="E655" s="248">
        <v>1</v>
      </c>
      <c r="F655" s="1342" t="s">
        <v>987</v>
      </c>
      <c r="G655" s="1259">
        <v>1929167</v>
      </c>
      <c r="H655" s="959">
        <v>3130853.107751254</v>
      </c>
      <c r="I655" s="1492"/>
      <c r="J655" s="960"/>
      <c r="K655" s="967"/>
      <c r="L655" s="2217">
        <v>41</v>
      </c>
      <c r="M655" s="1146">
        <v>37</v>
      </c>
      <c r="N655" s="1146">
        <v>44.4</v>
      </c>
      <c r="O655" s="2277">
        <v>1.2</v>
      </c>
      <c r="P655" s="1261">
        <v>1458333</v>
      </c>
      <c r="Q655" s="1149">
        <v>3130853.107751254</v>
      </c>
    </row>
    <row r="656" spans="1:17" ht="14.45" customHeight="1" x14ac:dyDescent="0.2">
      <c r="A656" s="1484" t="s">
        <v>383</v>
      </c>
      <c r="B656" s="1002">
        <v>409.5</v>
      </c>
      <c r="C656" s="1002">
        <v>385.5</v>
      </c>
      <c r="D656" s="1002">
        <v>608.4</v>
      </c>
      <c r="E656" s="1608">
        <v>1.5782101167315175</v>
      </c>
      <c r="F656" s="1003"/>
      <c r="G656" s="1206"/>
      <c r="H656" s="1004"/>
      <c r="I656" s="1501"/>
      <c r="J656" s="997"/>
      <c r="K656" s="949"/>
      <c r="L656" s="1453">
        <v>521.5</v>
      </c>
      <c r="M656" s="1002">
        <v>483.5</v>
      </c>
      <c r="N656" s="1002">
        <v>761.40000000000009</v>
      </c>
      <c r="O656" s="2216">
        <v>1.574767321613237</v>
      </c>
      <c r="P656" s="1604"/>
      <c r="Q656" s="1605"/>
    </row>
    <row r="657" spans="1:17" ht="14.45" customHeight="1" x14ac:dyDescent="0.2">
      <c r="A657" s="1481" t="s">
        <v>384</v>
      </c>
      <c r="B657" s="1146">
        <v>190</v>
      </c>
      <c r="C657" s="1146">
        <v>176</v>
      </c>
      <c r="D657" s="957">
        <v>246.39999999999998</v>
      </c>
      <c r="E657" s="1147">
        <v>1.4</v>
      </c>
      <c r="F657" s="1342" t="s">
        <v>987</v>
      </c>
      <c r="G657" s="1259">
        <v>1929167</v>
      </c>
      <c r="H657" s="959">
        <v>3130853.107751254</v>
      </c>
      <c r="I657" s="1492"/>
      <c r="J657" s="960"/>
      <c r="K657" s="967"/>
      <c r="L657" s="2217">
        <v>345</v>
      </c>
      <c r="M657" s="1146">
        <v>315</v>
      </c>
      <c r="N657" s="1146">
        <v>441</v>
      </c>
      <c r="O657" s="2277">
        <v>1.4</v>
      </c>
      <c r="P657" s="1261">
        <v>1458333</v>
      </c>
      <c r="Q657" s="1149">
        <v>3130853.107751254</v>
      </c>
    </row>
    <row r="658" spans="1:17" ht="14.45" customHeight="1" x14ac:dyDescent="0.2">
      <c r="A658" s="1481" t="s">
        <v>385</v>
      </c>
      <c r="B658" s="1146">
        <v>25</v>
      </c>
      <c r="C658" s="1146">
        <v>24</v>
      </c>
      <c r="D658" s="957">
        <v>36</v>
      </c>
      <c r="E658" s="1147">
        <v>1.5</v>
      </c>
      <c r="F658" s="1342" t="s">
        <v>987</v>
      </c>
      <c r="G658" s="1259">
        <v>1929167</v>
      </c>
      <c r="H658" s="959">
        <v>3130853.107751254</v>
      </c>
      <c r="I658" s="1492"/>
      <c r="J658" s="960"/>
      <c r="K658" s="967"/>
      <c r="L658" s="2217">
        <v>25</v>
      </c>
      <c r="M658" s="1146">
        <v>24</v>
      </c>
      <c r="N658" s="1146">
        <v>36</v>
      </c>
      <c r="O658" s="2277">
        <v>1.5</v>
      </c>
      <c r="P658" s="1261">
        <v>1458333</v>
      </c>
      <c r="Q658" s="1149">
        <v>3130853.107751254</v>
      </c>
    </row>
    <row r="659" spans="1:17" ht="14.45" customHeight="1" x14ac:dyDescent="0.2">
      <c r="A659" s="1481" t="s">
        <v>386</v>
      </c>
      <c r="B659" s="1146">
        <v>15</v>
      </c>
      <c r="C659" s="1146">
        <v>15</v>
      </c>
      <c r="D659" s="957">
        <v>25.5</v>
      </c>
      <c r="E659" s="1147">
        <v>1.7</v>
      </c>
      <c r="F659" s="1342" t="s">
        <v>987</v>
      </c>
      <c r="G659" s="1259">
        <v>1929167</v>
      </c>
      <c r="H659" s="959">
        <v>3130853.107751254</v>
      </c>
      <c r="I659" s="1492"/>
      <c r="J659" s="960"/>
      <c r="K659" s="967"/>
      <c r="L659" s="2217">
        <v>6</v>
      </c>
      <c r="M659" s="1146">
        <v>6</v>
      </c>
      <c r="N659" s="1146">
        <v>10.199999999999999</v>
      </c>
      <c r="O659" s="2277">
        <v>1.7</v>
      </c>
      <c r="P659" s="1261">
        <v>1458333</v>
      </c>
      <c r="Q659" s="1149">
        <v>3130853.107751254</v>
      </c>
    </row>
    <row r="660" spans="1:17" ht="14.45" customHeight="1" x14ac:dyDescent="0.2">
      <c r="A660" s="1481" t="s">
        <v>387</v>
      </c>
      <c r="B660" s="1146">
        <v>8</v>
      </c>
      <c r="C660" s="1146">
        <v>7</v>
      </c>
      <c r="D660" s="957">
        <v>14</v>
      </c>
      <c r="E660" s="1147">
        <v>2</v>
      </c>
      <c r="F660" s="1342" t="s">
        <v>987</v>
      </c>
      <c r="G660" s="1259">
        <v>1929167</v>
      </c>
      <c r="H660" s="959">
        <v>3130853.107751254</v>
      </c>
      <c r="I660" s="1492"/>
      <c r="J660" s="960"/>
      <c r="K660" s="967"/>
      <c r="L660" s="2217">
        <v>12</v>
      </c>
      <c r="M660" s="1146">
        <v>9</v>
      </c>
      <c r="N660" s="1146">
        <v>18</v>
      </c>
      <c r="O660" s="2277">
        <v>2</v>
      </c>
      <c r="P660" s="1261">
        <v>1458333</v>
      </c>
      <c r="Q660" s="1149">
        <v>3130853.107751254</v>
      </c>
    </row>
    <row r="661" spans="1:17" ht="14.45" customHeight="1" x14ac:dyDescent="0.2">
      <c r="A661" s="1481" t="s">
        <v>388</v>
      </c>
      <c r="B661" s="1146"/>
      <c r="C661" s="1146"/>
      <c r="D661" s="957">
        <v>0</v>
      </c>
      <c r="E661" s="1147"/>
      <c r="F661" s="1342"/>
      <c r="G661" s="1259"/>
      <c r="H661" s="959"/>
      <c r="I661" s="1492"/>
      <c r="J661" s="960"/>
      <c r="K661" s="967"/>
      <c r="L661" s="2217"/>
      <c r="M661" s="1146"/>
      <c r="N661" s="1146">
        <v>0</v>
      </c>
      <c r="O661" s="2277"/>
      <c r="P661" s="1261"/>
      <c r="Q661" s="1149"/>
    </row>
    <row r="662" spans="1:17" ht="14.45" customHeight="1" x14ac:dyDescent="0.2">
      <c r="A662" s="1481" t="s">
        <v>389</v>
      </c>
      <c r="B662" s="1146">
        <v>50</v>
      </c>
      <c r="C662" s="1146">
        <v>50</v>
      </c>
      <c r="D662" s="957">
        <v>75</v>
      </c>
      <c r="E662" s="1147">
        <v>1.5</v>
      </c>
      <c r="F662" s="1342" t="s">
        <v>987</v>
      </c>
      <c r="G662" s="1259">
        <v>1929167</v>
      </c>
      <c r="H662" s="959">
        <v>3130853.107751254</v>
      </c>
      <c r="I662" s="1492"/>
      <c r="J662" s="960"/>
      <c r="K662" s="967"/>
      <c r="L662" s="2217">
        <v>17</v>
      </c>
      <c r="M662" s="1146">
        <v>17</v>
      </c>
      <c r="N662" s="1146">
        <v>25.5</v>
      </c>
      <c r="O662" s="2277">
        <v>1.5</v>
      </c>
      <c r="P662" s="1261">
        <v>1458333</v>
      </c>
      <c r="Q662" s="1149">
        <v>3130853.107751254</v>
      </c>
    </row>
    <row r="663" spans="1:17" ht="14.45" customHeight="1" x14ac:dyDescent="0.2">
      <c r="A663" s="1481" t="s">
        <v>390</v>
      </c>
      <c r="B663" s="1146">
        <v>1.5</v>
      </c>
      <c r="C663" s="1146">
        <v>1.5</v>
      </c>
      <c r="D663" s="957">
        <v>1.5</v>
      </c>
      <c r="E663" s="1147">
        <v>1</v>
      </c>
      <c r="F663" s="1342" t="s">
        <v>987</v>
      </c>
      <c r="G663" s="1259">
        <v>1929167</v>
      </c>
      <c r="H663" s="959">
        <v>3130853.107751254</v>
      </c>
      <c r="I663" s="1492"/>
      <c r="J663" s="960"/>
      <c r="K663" s="967"/>
      <c r="L663" s="2217">
        <v>1.5</v>
      </c>
      <c r="M663" s="1146">
        <v>1.5</v>
      </c>
      <c r="N663" s="1146">
        <v>1.5</v>
      </c>
      <c r="O663" s="2277">
        <v>1</v>
      </c>
      <c r="P663" s="1261">
        <v>1458333</v>
      </c>
      <c r="Q663" s="1149">
        <v>3130853.107751254</v>
      </c>
    </row>
    <row r="664" spans="1:17" ht="14.45" customHeight="1" x14ac:dyDescent="0.2">
      <c r="A664" s="1481" t="s">
        <v>391</v>
      </c>
      <c r="B664" s="1146">
        <v>110</v>
      </c>
      <c r="C664" s="1146">
        <v>105</v>
      </c>
      <c r="D664" s="957">
        <v>168</v>
      </c>
      <c r="E664" s="1147">
        <v>1.6</v>
      </c>
      <c r="F664" s="1342" t="s">
        <v>987</v>
      </c>
      <c r="G664" s="1259">
        <v>1929167</v>
      </c>
      <c r="H664" s="959">
        <v>3130853.107751254</v>
      </c>
      <c r="I664" s="1492"/>
      <c r="J664" s="960"/>
      <c r="K664" s="967"/>
      <c r="L664" s="2217">
        <v>105</v>
      </c>
      <c r="M664" s="1146">
        <v>104</v>
      </c>
      <c r="N664" s="1146">
        <v>187.20000000000002</v>
      </c>
      <c r="O664" s="2277">
        <v>1.8</v>
      </c>
      <c r="P664" s="1261">
        <v>1458333</v>
      </c>
      <c r="Q664" s="1149">
        <v>3130853.107751254</v>
      </c>
    </row>
    <row r="665" spans="1:17" ht="14.45" customHeight="1" x14ac:dyDescent="0.2">
      <c r="A665" s="1493" t="s">
        <v>392</v>
      </c>
      <c r="B665" s="1529">
        <v>10</v>
      </c>
      <c r="C665" s="1529">
        <v>7</v>
      </c>
      <c r="D665" s="957">
        <v>42</v>
      </c>
      <c r="E665" s="1526">
        <v>6</v>
      </c>
      <c r="F665" s="1342" t="s">
        <v>987</v>
      </c>
      <c r="G665" s="1259">
        <v>1929167</v>
      </c>
      <c r="H665" s="959">
        <v>3130853.107751254</v>
      </c>
      <c r="I665" s="1502"/>
      <c r="J665" s="1496"/>
      <c r="K665" s="974"/>
      <c r="L665" s="2219">
        <v>10</v>
      </c>
      <c r="M665" s="1529">
        <v>7</v>
      </c>
      <c r="N665" s="1529">
        <v>42</v>
      </c>
      <c r="O665" s="2317">
        <v>6</v>
      </c>
      <c r="P665" s="1261">
        <v>1458333</v>
      </c>
      <c r="Q665" s="1149">
        <v>3130853.107751254</v>
      </c>
    </row>
    <row r="666" spans="1:17" ht="14.45" customHeight="1" thickBot="1" x14ac:dyDescent="0.25">
      <c r="A666" s="1006" t="s">
        <v>393</v>
      </c>
      <c r="B666" s="1007">
        <v>1646.5</v>
      </c>
      <c r="C666" s="1007">
        <v>1545.5</v>
      </c>
      <c r="D666" s="1007">
        <v>2503.3000000000002</v>
      </c>
      <c r="E666" s="1482">
        <v>1.6197347136848916</v>
      </c>
      <c r="F666" s="1480" t="s">
        <v>987</v>
      </c>
      <c r="G666" s="1085">
        <v>1929166.9999999995</v>
      </c>
      <c r="H666" s="1085">
        <v>3130853.1077512531</v>
      </c>
      <c r="I666" s="1008"/>
      <c r="J666" s="1008" t="s">
        <v>983</v>
      </c>
      <c r="K666" s="1011"/>
      <c r="L666" s="1007">
        <v>1617</v>
      </c>
      <c r="M666" s="1007">
        <v>1567</v>
      </c>
      <c r="N666" s="1007">
        <v>2517.8000000000002</v>
      </c>
      <c r="O666" s="1083">
        <v>1.6067645181876198</v>
      </c>
      <c r="P666" s="1603">
        <v>1458332.9999999998</v>
      </c>
      <c r="Q666" s="1607">
        <v>3130853.1077512535</v>
      </c>
    </row>
    <row r="667" spans="1:17" x14ac:dyDescent="0.2">
      <c r="A667" s="7" t="s">
        <v>1934</v>
      </c>
      <c r="B667" s="8"/>
      <c r="C667" s="8"/>
      <c r="D667" s="8"/>
      <c r="E667" s="4"/>
      <c r="F667" s="5"/>
      <c r="G667" s="9"/>
      <c r="H667" s="8"/>
      <c r="I667" s="4"/>
      <c r="J667" s="1"/>
      <c r="K667" s="1"/>
      <c r="O667" s="1"/>
      <c r="P667" s="1"/>
    </row>
    <row r="668" spans="1:17" x14ac:dyDescent="0.2">
      <c r="A668" s="6"/>
      <c r="B668" s="8"/>
      <c r="C668" s="8"/>
      <c r="D668" s="8"/>
      <c r="E668" s="4"/>
      <c r="F668" s="5"/>
      <c r="G668" s="9"/>
      <c r="H668" s="8"/>
      <c r="I668" s="4"/>
      <c r="J668" s="1"/>
      <c r="K668" s="1"/>
      <c r="O668" s="1"/>
      <c r="P668" s="1"/>
    </row>
    <row r="669" spans="1:17" x14ac:dyDescent="0.2">
      <c r="A669" s="6"/>
      <c r="B669" s="8"/>
      <c r="D669" s="8"/>
      <c r="E669" s="8"/>
      <c r="I669" s="4"/>
      <c r="J669" s="1"/>
      <c r="K669" s="1"/>
      <c r="L669" s="4"/>
      <c r="N669" s="5"/>
      <c r="O669" s="9"/>
      <c r="P669" s="1"/>
    </row>
    <row r="670" spans="1:17" x14ac:dyDescent="0.2">
      <c r="A670" s="6"/>
      <c r="B670" s="8"/>
      <c r="C670" s="8"/>
      <c r="D670" s="8"/>
      <c r="E670" s="4"/>
      <c r="F670" s="5"/>
      <c r="G670" s="9"/>
      <c r="H670" s="8"/>
      <c r="I670" s="4"/>
      <c r="J670" s="1"/>
      <c r="K670" s="1"/>
      <c r="O670" s="1"/>
      <c r="P670" s="1"/>
    </row>
    <row r="671" spans="1:17" x14ac:dyDescent="0.2">
      <c r="A671" s="6"/>
      <c r="B671" s="8"/>
      <c r="C671" s="8"/>
      <c r="D671" s="8"/>
      <c r="E671" s="2380"/>
      <c r="F671" s="5"/>
      <c r="G671" s="9"/>
      <c r="H671" s="8"/>
      <c r="I671" s="2380"/>
      <c r="J671" s="2381"/>
      <c r="K671" s="2381"/>
      <c r="O671" s="2381"/>
      <c r="P671" s="2381"/>
    </row>
    <row r="672" spans="1:17" x14ac:dyDescent="0.2">
      <c r="A672" s="6"/>
      <c r="B672" s="8"/>
      <c r="C672" s="8"/>
      <c r="D672" s="8"/>
      <c r="E672" s="2380"/>
      <c r="F672" s="5"/>
      <c r="G672" s="9"/>
      <c r="H672" s="8"/>
      <c r="I672" s="2380"/>
      <c r="J672" s="2381"/>
      <c r="K672" s="2381"/>
      <c r="O672" s="2381"/>
      <c r="P672" s="2381"/>
    </row>
    <row r="673" spans="1:17" ht="15.75" customHeight="1" x14ac:dyDescent="0.25">
      <c r="A673" s="2512" t="s">
        <v>1929</v>
      </c>
      <c r="B673" s="2512"/>
      <c r="C673" s="2512"/>
      <c r="D673" s="2512"/>
      <c r="E673" s="2512"/>
      <c r="F673" s="2512"/>
      <c r="G673" s="2512"/>
      <c r="H673" s="2512"/>
      <c r="I673" s="2512"/>
      <c r="J673" s="2512"/>
      <c r="K673" s="2512"/>
      <c r="L673" s="2512"/>
      <c r="M673" s="2512"/>
      <c r="N673" s="2512"/>
      <c r="O673" s="2512"/>
      <c r="P673" s="2512"/>
      <c r="Q673" s="2512"/>
    </row>
    <row r="674" spans="1:17" x14ac:dyDescent="0.2">
      <c r="A674" s="3"/>
      <c r="B674" s="6"/>
      <c r="C674" s="6"/>
      <c r="D674" s="6"/>
      <c r="E674" s="1"/>
      <c r="F674" s="14"/>
      <c r="G674" s="17"/>
      <c r="H674" s="17"/>
      <c r="I674" s="1"/>
      <c r="J674" s="1"/>
      <c r="K674" s="1"/>
      <c r="L674" s="6"/>
      <c r="M674" s="17"/>
      <c r="N674" s="6"/>
      <c r="O674" s="1"/>
      <c r="P674" s="1"/>
      <c r="Q674" s="6"/>
    </row>
    <row r="675" spans="1:17" ht="15.75" thickBot="1" x14ac:dyDescent="0.3">
      <c r="A675" s="3" t="s">
        <v>399</v>
      </c>
      <c r="B675" s="21"/>
      <c r="C675" s="6"/>
      <c r="D675" s="6"/>
      <c r="E675" s="1"/>
      <c r="F675" s="19"/>
      <c r="G675" s="20"/>
      <c r="H675" s="20"/>
      <c r="I675" s="1"/>
      <c r="J675" s="1"/>
      <c r="K675" s="1"/>
      <c r="L675" s="6"/>
      <c r="M675" s="6"/>
      <c r="N675" s="6"/>
      <c r="O675" s="1"/>
      <c r="P675" s="1"/>
      <c r="Q675" s="6"/>
    </row>
    <row r="676" spans="1:17" ht="14.45" customHeight="1" thickBot="1" x14ac:dyDescent="0.25">
      <c r="A676" s="2513" t="s">
        <v>327</v>
      </c>
      <c r="B676" s="2516" t="s">
        <v>1935</v>
      </c>
      <c r="C676" s="2517"/>
      <c r="D676" s="2517"/>
      <c r="E676" s="2517"/>
      <c r="F676" s="2517"/>
      <c r="G676" s="2517"/>
      <c r="H676" s="2517"/>
      <c r="I676" s="2517"/>
      <c r="J676" s="2517"/>
      <c r="K676" s="2517"/>
      <c r="L676" s="2518" t="s">
        <v>1930</v>
      </c>
      <c r="M676" s="2519"/>
      <c r="N676" s="2519"/>
      <c r="O676" s="2519"/>
      <c r="P676" s="2520"/>
      <c r="Q676" s="2521"/>
    </row>
    <row r="677" spans="1:17" ht="14.45" customHeight="1" x14ac:dyDescent="0.2">
      <c r="A677" s="2514"/>
      <c r="B677" s="2522" t="s">
        <v>328</v>
      </c>
      <c r="C677" s="2523"/>
      <c r="D677" s="1014"/>
      <c r="E677" s="1014" t="s">
        <v>904</v>
      </c>
      <c r="F677" s="1014" t="s">
        <v>329</v>
      </c>
      <c r="G677" s="1014"/>
      <c r="H677" s="1014"/>
      <c r="I677" s="2526" t="s">
        <v>330</v>
      </c>
      <c r="J677" s="2527"/>
      <c r="K677" s="2528"/>
      <c r="L677" s="2524" t="s">
        <v>328</v>
      </c>
      <c r="M677" s="2525"/>
      <c r="N677" s="1021" t="s">
        <v>331</v>
      </c>
      <c r="O677" s="1022" t="s">
        <v>332</v>
      </c>
      <c r="P677" s="1023"/>
      <c r="Q677" s="1024"/>
    </row>
    <row r="678" spans="1:17" ht="14.45" customHeight="1" x14ac:dyDescent="0.2">
      <c r="A678" s="2514"/>
      <c r="B678" s="1014" t="s">
        <v>835</v>
      </c>
      <c r="C678" s="1014" t="s">
        <v>335</v>
      </c>
      <c r="D678" s="1014" t="s">
        <v>837</v>
      </c>
      <c r="E678" s="1014" t="s">
        <v>842</v>
      </c>
      <c r="F678" s="1014" t="s">
        <v>336</v>
      </c>
      <c r="G678" s="1014" t="s">
        <v>337</v>
      </c>
      <c r="H678" s="1014" t="s">
        <v>338</v>
      </c>
      <c r="I678" s="2529" t="s">
        <v>839</v>
      </c>
      <c r="J678" s="2530"/>
      <c r="K678" s="2531"/>
      <c r="L678" s="1025" t="s">
        <v>835</v>
      </c>
      <c r="M678" s="1021" t="s">
        <v>335</v>
      </c>
      <c r="N678" s="1021" t="s">
        <v>339</v>
      </c>
      <c r="O678" s="1022"/>
      <c r="P678" s="1021" t="s">
        <v>337</v>
      </c>
      <c r="Q678" s="1024" t="s">
        <v>338</v>
      </c>
    </row>
    <row r="679" spans="1:17" ht="14.45" customHeight="1" x14ac:dyDescent="0.2">
      <c r="A679" s="2514"/>
      <c r="B679" s="1014"/>
      <c r="C679" s="1014"/>
      <c r="D679" s="1014"/>
      <c r="E679" s="1014"/>
      <c r="F679" s="1014" t="s">
        <v>341</v>
      </c>
      <c r="G679" s="1014" t="s">
        <v>342</v>
      </c>
      <c r="H679" s="1014" t="s">
        <v>341</v>
      </c>
      <c r="I679" s="1015"/>
      <c r="J679" s="1016"/>
      <c r="K679" s="1017"/>
      <c r="L679" s="1025"/>
      <c r="M679" s="1021"/>
      <c r="N679" s="1021"/>
      <c r="O679" s="1022" t="s">
        <v>344</v>
      </c>
      <c r="P679" s="1021" t="s">
        <v>342</v>
      </c>
      <c r="Q679" s="1024" t="s">
        <v>341</v>
      </c>
    </row>
    <row r="680" spans="1:17" ht="14.45" customHeight="1" x14ac:dyDescent="0.2">
      <c r="A680" s="2515"/>
      <c r="B680" s="1018" t="s">
        <v>345</v>
      </c>
      <c r="C680" s="1018" t="s">
        <v>345</v>
      </c>
      <c r="D680" s="1018" t="s">
        <v>346</v>
      </c>
      <c r="E680" s="1018" t="s">
        <v>757</v>
      </c>
      <c r="F680" s="1018"/>
      <c r="G680" s="1018" t="s">
        <v>347</v>
      </c>
      <c r="H680" s="1018" t="s">
        <v>348</v>
      </c>
      <c r="I680" s="1019" t="s">
        <v>349</v>
      </c>
      <c r="J680" s="1019" t="s">
        <v>350</v>
      </c>
      <c r="K680" s="1020" t="s">
        <v>351</v>
      </c>
      <c r="L680" s="1026" t="s">
        <v>345</v>
      </c>
      <c r="M680" s="1027" t="s">
        <v>345</v>
      </c>
      <c r="N680" s="1027" t="s">
        <v>346</v>
      </c>
      <c r="O680" s="1028"/>
      <c r="P680" s="1027" t="s">
        <v>347</v>
      </c>
      <c r="Q680" s="1029" t="s">
        <v>348</v>
      </c>
    </row>
    <row r="681" spans="1:17" ht="14.45" customHeight="1" x14ac:dyDescent="0.2">
      <c r="A681" s="975" t="s">
        <v>352</v>
      </c>
      <c r="B681" s="976">
        <v>1041</v>
      </c>
      <c r="C681" s="976">
        <v>1089</v>
      </c>
      <c r="D681" s="977">
        <v>2066</v>
      </c>
      <c r="E681" s="1608">
        <v>1.8971533516988062</v>
      </c>
      <c r="F681" s="979"/>
      <c r="G681" s="976"/>
      <c r="H681" s="976"/>
      <c r="I681" s="978"/>
      <c r="J681" s="978"/>
      <c r="K681" s="980"/>
      <c r="L681" s="981">
        <v>1110</v>
      </c>
      <c r="M681" s="977">
        <v>1108</v>
      </c>
      <c r="N681" s="977">
        <v>2078.2999999999997</v>
      </c>
      <c r="O681" s="1608">
        <v>1.8757220216606496</v>
      </c>
      <c r="P681" s="1609"/>
      <c r="Q681" s="1610"/>
    </row>
    <row r="682" spans="1:17" ht="14.45" customHeight="1" x14ac:dyDescent="0.2">
      <c r="A682" s="1481" t="s">
        <v>353</v>
      </c>
      <c r="B682" s="1146">
        <v>152</v>
      </c>
      <c r="C682" s="1146">
        <v>150</v>
      </c>
      <c r="D682" s="957">
        <v>274.5</v>
      </c>
      <c r="E682" s="1147">
        <v>1.83</v>
      </c>
      <c r="F682" s="1342" t="s">
        <v>987</v>
      </c>
      <c r="G682" s="1259">
        <v>1764000</v>
      </c>
      <c r="H682" s="959">
        <v>3130853.107751254</v>
      </c>
      <c r="I682" s="1489"/>
      <c r="J682" s="960"/>
      <c r="K682" s="961"/>
      <c r="L682" s="2217">
        <v>120</v>
      </c>
      <c r="M682" s="1146">
        <v>120</v>
      </c>
      <c r="N682" s="1146">
        <v>219.60000000000002</v>
      </c>
      <c r="O682" s="1630">
        <v>1.83</v>
      </c>
      <c r="P682" s="1261">
        <v>1400000</v>
      </c>
      <c r="Q682" s="1149">
        <v>3130853.107751254</v>
      </c>
    </row>
    <row r="683" spans="1:17" ht="14.45" customHeight="1" x14ac:dyDescent="0.2">
      <c r="A683" s="1481" t="s">
        <v>354</v>
      </c>
      <c r="B683" s="1146">
        <v>160</v>
      </c>
      <c r="C683" s="1146">
        <v>160</v>
      </c>
      <c r="D683" s="957">
        <v>256</v>
      </c>
      <c r="E683" s="1147">
        <v>1.6</v>
      </c>
      <c r="F683" s="1342" t="s">
        <v>987</v>
      </c>
      <c r="G683" s="1259">
        <v>1764000</v>
      </c>
      <c r="H683" s="959">
        <v>3130853.107751254</v>
      </c>
      <c r="I683" s="1489"/>
      <c r="J683" s="960"/>
      <c r="K683" s="961"/>
      <c r="L683" s="2217">
        <v>110</v>
      </c>
      <c r="M683" s="1146">
        <v>110</v>
      </c>
      <c r="N683" s="1146">
        <v>176</v>
      </c>
      <c r="O683" s="1630">
        <v>1.6</v>
      </c>
      <c r="P683" s="1261">
        <v>1400000</v>
      </c>
      <c r="Q683" s="1149">
        <v>3130853.107751254</v>
      </c>
    </row>
    <row r="684" spans="1:17" ht="14.45" customHeight="1" x14ac:dyDescent="0.2">
      <c r="A684" s="1481" t="s">
        <v>355</v>
      </c>
      <c r="B684" s="1146">
        <v>145</v>
      </c>
      <c r="C684" s="1146">
        <v>125</v>
      </c>
      <c r="D684" s="957">
        <v>405</v>
      </c>
      <c r="E684" s="1147">
        <v>3.24</v>
      </c>
      <c r="F684" s="1342" t="s">
        <v>987</v>
      </c>
      <c r="G684" s="1259">
        <v>1764000</v>
      </c>
      <c r="H684" s="959">
        <v>3130853.107751254</v>
      </c>
      <c r="I684" s="1489"/>
      <c r="J684" s="960"/>
      <c r="K684" s="961"/>
      <c r="L684" s="2217">
        <v>115</v>
      </c>
      <c r="M684" s="1146">
        <v>115</v>
      </c>
      <c r="N684" s="1146">
        <v>372.6</v>
      </c>
      <c r="O684" s="1630">
        <v>3.24</v>
      </c>
      <c r="P684" s="1261">
        <v>1400000</v>
      </c>
      <c r="Q684" s="1149">
        <v>3130853.107751254</v>
      </c>
    </row>
    <row r="685" spans="1:17" ht="14.45" customHeight="1" x14ac:dyDescent="0.2">
      <c r="A685" s="1481" t="s">
        <v>356</v>
      </c>
      <c r="B685" s="1146">
        <v>30</v>
      </c>
      <c r="C685" s="1146">
        <v>30</v>
      </c>
      <c r="D685" s="957">
        <v>54</v>
      </c>
      <c r="E685" s="1147">
        <v>1.8</v>
      </c>
      <c r="F685" s="1342" t="s">
        <v>987</v>
      </c>
      <c r="G685" s="1259">
        <v>1764000</v>
      </c>
      <c r="H685" s="959">
        <v>3130853.107751254</v>
      </c>
      <c r="I685" s="1489"/>
      <c r="J685" s="960"/>
      <c r="K685" s="961"/>
      <c r="L685" s="2217">
        <v>30</v>
      </c>
      <c r="M685" s="1146">
        <v>30</v>
      </c>
      <c r="N685" s="1146">
        <v>54</v>
      </c>
      <c r="O685" s="1630">
        <v>1.8</v>
      </c>
      <c r="P685" s="1261">
        <v>1400000</v>
      </c>
      <c r="Q685" s="1149">
        <v>3130853.107751254</v>
      </c>
    </row>
    <row r="686" spans="1:17" ht="14.45" customHeight="1" x14ac:dyDescent="0.2">
      <c r="A686" s="1481" t="s">
        <v>357</v>
      </c>
      <c r="B686" s="1146">
        <v>200</v>
      </c>
      <c r="C686" s="1146">
        <v>273</v>
      </c>
      <c r="D686" s="957">
        <v>409.5</v>
      </c>
      <c r="E686" s="1147">
        <v>1.5</v>
      </c>
      <c r="F686" s="1342" t="s">
        <v>987</v>
      </c>
      <c r="G686" s="1259">
        <v>1764000</v>
      </c>
      <c r="H686" s="959">
        <v>3130853.107751254</v>
      </c>
      <c r="I686" s="1489"/>
      <c r="J686" s="960"/>
      <c r="K686" s="961"/>
      <c r="L686" s="2217">
        <v>200</v>
      </c>
      <c r="M686" s="1146">
        <v>200</v>
      </c>
      <c r="N686" s="1146">
        <v>300</v>
      </c>
      <c r="O686" s="1630">
        <v>1.5</v>
      </c>
      <c r="P686" s="1261">
        <v>1400000</v>
      </c>
      <c r="Q686" s="1149">
        <v>3130853.107751254</v>
      </c>
    </row>
    <row r="687" spans="1:17" ht="14.45" customHeight="1" x14ac:dyDescent="0.2">
      <c r="A687" s="1481" t="s">
        <v>358</v>
      </c>
      <c r="B687" s="1146">
        <v>135</v>
      </c>
      <c r="C687" s="1146">
        <v>135</v>
      </c>
      <c r="D687" s="957">
        <v>256.5</v>
      </c>
      <c r="E687" s="1147">
        <v>1.9</v>
      </c>
      <c r="F687" s="1342" t="s">
        <v>987</v>
      </c>
      <c r="G687" s="1259">
        <v>1764000</v>
      </c>
      <c r="H687" s="959">
        <v>3130853.107751254</v>
      </c>
      <c r="I687" s="1489"/>
      <c r="J687" s="960"/>
      <c r="K687" s="961"/>
      <c r="L687" s="2217">
        <v>300</v>
      </c>
      <c r="M687" s="1146">
        <v>300</v>
      </c>
      <c r="N687" s="1146">
        <v>570</v>
      </c>
      <c r="O687" s="1630">
        <v>1.9</v>
      </c>
      <c r="P687" s="1261">
        <v>1400000</v>
      </c>
      <c r="Q687" s="1149">
        <v>3130853.107751254</v>
      </c>
    </row>
    <row r="688" spans="1:17" ht="14.45" customHeight="1" x14ac:dyDescent="0.2">
      <c r="A688" s="1481" t="s">
        <v>359</v>
      </c>
      <c r="B688" s="1146">
        <v>15</v>
      </c>
      <c r="C688" s="1146">
        <v>15</v>
      </c>
      <c r="D688" s="957">
        <v>25.5</v>
      </c>
      <c r="E688" s="1147">
        <v>1.7</v>
      </c>
      <c r="F688" s="1342" t="s">
        <v>987</v>
      </c>
      <c r="G688" s="1259">
        <v>1764000</v>
      </c>
      <c r="H688" s="959">
        <v>3130853.107751254</v>
      </c>
      <c r="I688" s="1489"/>
      <c r="J688" s="960"/>
      <c r="K688" s="961"/>
      <c r="L688" s="2217">
        <v>25</v>
      </c>
      <c r="M688" s="1146">
        <v>25</v>
      </c>
      <c r="N688" s="1146">
        <v>42.5</v>
      </c>
      <c r="O688" s="1630">
        <v>1.7</v>
      </c>
      <c r="P688" s="1261">
        <v>1400000</v>
      </c>
      <c r="Q688" s="1149">
        <v>3130853.107751254</v>
      </c>
    </row>
    <row r="689" spans="1:17" ht="14.45" customHeight="1" x14ac:dyDescent="0.2">
      <c r="A689" s="1481" t="s">
        <v>360</v>
      </c>
      <c r="B689" s="1146">
        <v>32</v>
      </c>
      <c r="C689" s="1146">
        <v>32</v>
      </c>
      <c r="D689" s="957">
        <v>54.4</v>
      </c>
      <c r="E689" s="1147">
        <v>1.7</v>
      </c>
      <c r="F689" s="1342" t="s">
        <v>987</v>
      </c>
      <c r="G689" s="1259">
        <v>1764000</v>
      </c>
      <c r="H689" s="959">
        <v>3130853.107751254</v>
      </c>
      <c r="I689" s="1489"/>
      <c r="J689" s="960"/>
      <c r="K689" s="961"/>
      <c r="L689" s="2217">
        <v>32</v>
      </c>
      <c r="M689" s="1146">
        <v>32</v>
      </c>
      <c r="N689" s="1146">
        <v>54.4</v>
      </c>
      <c r="O689" s="1630">
        <v>1.7</v>
      </c>
      <c r="P689" s="1261">
        <v>1400000</v>
      </c>
      <c r="Q689" s="1149">
        <v>3130853.107751254</v>
      </c>
    </row>
    <row r="690" spans="1:17" ht="14.45" customHeight="1" x14ac:dyDescent="0.2">
      <c r="A690" s="1481" t="s">
        <v>361</v>
      </c>
      <c r="B690" s="1146">
        <v>51</v>
      </c>
      <c r="C690" s="1146">
        <v>48</v>
      </c>
      <c r="D690" s="957">
        <v>96</v>
      </c>
      <c r="E690" s="1147">
        <v>2</v>
      </c>
      <c r="F690" s="1342" t="s">
        <v>987</v>
      </c>
      <c r="G690" s="1259">
        <v>1764000</v>
      </c>
      <c r="H690" s="959">
        <v>3130853.107751254</v>
      </c>
      <c r="I690" s="1489"/>
      <c r="J690" s="960"/>
      <c r="K690" s="961"/>
      <c r="L690" s="2217">
        <v>50</v>
      </c>
      <c r="M690" s="1146">
        <v>48</v>
      </c>
      <c r="N690" s="1146">
        <v>81.599999999999994</v>
      </c>
      <c r="O690" s="1630">
        <v>1.7</v>
      </c>
      <c r="P690" s="1261">
        <v>1400000</v>
      </c>
      <c r="Q690" s="1149">
        <v>3130853.107751254</v>
      </c>
    </row>
    <row r="691" spans="1:17" ht="14.45" customHeight="1" x14ac:dyDescent="0.2">
      <c r="A691" s="1481" t="s">
        <v>362</v>
      </c>
      <c r="B691" s="1146">
        <v>0</v>
      </c>
      <c r="C691" s="1146">
        <v>0</v>
      </c>
      <c r="D691" s="957">
        <v>0</v>
      </c>
      <c r="E691" s="1147">
        <v>0</v>
      </c>
      <c r="F691" s="1342"/>
      <c r="G691" s="1259"/>
      <c r="H691" s="959"/>
      <c r="I691" s="1489"/>
      <c r="J691" s="960"/>
      <c r="K691" s="961"/>
      <c r="L691" s="2217">
        <v>0</v>
      </c>
      <c r="M691" s="1146">
        <v>0</v>
      </c>
      <c r="N691" s="1146">
        <v>0</v>
      </c>
      <c r="O691" s="1630">
        <v>0</v>
      </c>
      <c r="P691" s="1261"/>
      <c r="Q691" s="1149"/>
    </row>
    <row r="692" spans="1:17" ht="14.45" customHeight="1" x14ac:dyDescent="0.2">
      <c r="A692" s="1481" t="s">
        <v>363</v>
      </c>
      <c r="B692" s="1146">
        <v>25</v>
      </c>
      <c r="C692" s="1146">
        <v>25</v>
      </c>
      <c r="D692" s="957">
        <v>45</v>
      </c>
      <c r="E692" s="1147">
        <v>1.8</v>
      </c>
      <c r="F692" s="1342" t="s">
        <v>987</v>
      </c>
      <c r="G692" s="1259">
        <v>1764000</v>
      </c>
      <c r="H692" s="959">
        <v>3130853.107751254</v>
      </c>
      <c r="I692" s="1489"/>
      <c r="J692" s="960"/>
      <c r="K692" s="961"/>
      <c r="L692" s="2217">
        <v>20</v>
      </c>
      <c r="M692" s="1146">
        <v>20</v>
      </c>
      <c r="N692" s="1146">
        <v>34</v>
      </c>
      <c r="O692" s="1630">
        <v>1.7</v>
      </c>
      <c r="P692" s="1261">
        <v>1400000</v>
      </c>
      <c r="Q692" s="1149">
        <v>3130853.107751254</v>
      </c>
    </row>
    <row r="693" spans="1:17" ht="14.45" customHeight="1" x14ac:dyDescent="0.2">
      <c r="A693" s="1481" t="s">
        <v>364</v>
      </c>
      <c r="B693" s="1146">
        <v>88</v>
      </c>
      <c r="C693" s="1146">
        <v>88</v>
      </c>
      <c r="D693" s="957">
        <v>176</v>
      </c>
      <c r="E693" s="1147">
        <v>2</v>
      </c>
      <c r="F693" s="1342" t="s">
        <v>987</v>
      </c>
      <c r="G693" s="1259">
        <v>1764000</v>
      </c>
      <c r="H693" s="959">
        <v>3130853.107751254</v>
      </c>
      <c r="I693" s="1489"/>
      <c r="J693" s="960"/>
      <c r="K693" s="961"/>
      <c r="L693" s="2217">
        <v>100</v>
      </c>
      <c r="M693" s="1146">
        <v>100</v>
      </c>
      <c r="N693" s="1146">
        <v>160</v>
      </c>
      <c r="O693" s="1630">
        <v>1.6</v>
      </c>
      <c r="P693" s="1261">
        <v>1400000</v>
      </c>
      <c r="Q693" s="1149">
        <v>3130853.107751254</v>
      </c>
    </row>
    <row r="694" spans="1:17" ht="14.45" customHeight="1" x14ac:dyDescent="0.2">
      <c r="A694" s="1481" t="s">
        <v>365</v>
      </c>
      <c r="B694" s="1146">
        <v>8</v>
      </c>
      <c r="C694" s="1146">
        <v>8</v>
      </c>
      <c r="D694" s="957">
        <v>13.6</v>
      </c>
      <c r="E694" s="1147">
        <v>1.7</v>
      </c>
      <c r="F694" s="1342" t="s">
        <v>987</v>
      </c>
      <c r="G694" s="1259">
        <v>1764000</v>
      </c>
      <c r="H694" s="959">
        <v>3130853.107751254</v>
      </c>
      <c r="I694" s="1489"/>
      <c r="J694" s="960"/>
      <c r="K694" s="961"/>
      <c r="L694" s="2217">
        <v>8</v>
      </c>
      <c r="M694" s="1146">
        <v>8</v>
      </c>
      <c r="N694" s="1146">
        <v>13.6</v>
      </c>
      <c r="O694" s="1630">
        <v>1.7</v>
      </c>
      <c r="P694" s="1261">
        <v>1400000</v>
      </c>
      <c r="Q694" s="1149">
        <v>3130853.107751254</v>
      </c>
    </row>
    <row r="695" spans="1:17" ht="14.45" customHeight="1" x14ac:dyDescent="0.2">
      <c r="A695" s="1481" t="s">
        <v>366</v>
      </c>
      <c r="B695" s="1146"/>
      <c r="C695" s="1146"/>
      <c r="D695" s="957">
        <v>0</v>
      </c>
      <c r="E695" s="1494"/>
      <c r="F695" s="958"/>
      <c r="G695" s="1259"/>
      <c r="H695" s="959"/>
      <c r="I695" s="1489"/>
      <c r="J695" s="960"/>
      <c r="K695" s="961"/>
      <c r="L695" s="2217"/>
      <c r="M695" s="1146"/>
      <c r="N695" s="1146">
        <v>0</v>
      </c>
      <c r="O695" s="2233"/>
      <c r="P695" s="1261"/>
      <c r="Q695" s="1606"/>
    </row>
    <row r="696" spans="1:17" ht="14.45" customHeight="1" x14ac:dyDescent="0.2">
      <c r="A696" s="1481" t="s">
        <v>367</v>
      </c>
      <c r="B696" s="1146">
        <v>0</v>
      </c>
      <c r="C696" s="1146">
        <v>0</v>
      </c>
      <c r="D696" s="957">
        <v>0</v>
      </c>
      <c r="E696" s="1494">
        <v>0</v>
      </c>
      <c r="F696" s="964"/>
      <c r="G696" s="1259"/>
      <c r="H696" s="959"/>
      <c r="I696" s="1489"/>
      <c r="J696" s="960"/>
      <c r="K696" s="961"/>
      <c r="L696" s="2217">
        <v>0</v>
      </c>
      <c r="M696" s="1146">
        <v>0</v>
      </c>
      <c r="N696" s="1146">
        <v>0</v>
      </c>
      <c r="O696" s="2233">
        <v>0</v>
      </c>
      <c r="P696" s="1261"/>
      <c r="Q696" s="1606"/>
    </row>
    <row r="697" spans="1:17" ht="14.45" customHeight="1" x14ac:dyDescent="0.2">
      <c r="A697" s="1484" t="s">
        <v>368</v>
      </c>
      <c r="B697" s="1002">
        <v>659</v>
      </c>
      <c r="C697" s="984">
        <v>609</v>
      </c>
      <c r="D697" s="2308">
        <v>979.80000000000007</v>
      </c>
      <c r="E697" s="1608">
        <v>1.6088669950738916</v>
      </c>
      <c r="F697" s="987"/>
      <c r="G697" s="1486"/>
      <c r="H697" s="988"/>
      <c r="I697" s="1490"/>
      <c r="J697" s="989"/>
      <c r="K697" s="990"/>
      <c r="L697" s="1453">
        <v>581</v>
      </c>
      <c r="M697" s="1002">
        <v>581</v>
      </c>
      <c r="N697" s="1002">
        <v>884.2</v>
      </c>
      <c r="O697" s="2216">
        <v>1.5218588640275388</v>
      </c>
      <c r="P697" s="1604"/>
      <c r="Q697" s="1605"/>
    </row>
    <row r="698" spans="1:17" ht="14.45" customHeight="1" x14ac:dyDescent="0.2">
      <c r="A698" s="1481" t="s">
        <v>369</v>
      </c>
      <c r="B698" s="1146">
        <v>586</v>
      </c>
      <c r="C698" s="1146">
        <v>537</v>
      </c>
      <c r="D698" s="957">
        <v>859.2</v>
      </c>
      <c r="E698" s="1147">
        <v>1.6</v>
      </c>
      <c r="F698" s="1342" t="s">
        <v>987</v>
      </c>
      <c r="G698" s="1259">
        <v>1764000</v>
      </c>
      <c r="H698" s="959">
        <v>3130853.107751254</v>
      </c>
      <c r="I698" s="1489"/>
      <c r="J698" s="960"/>
      <c r="K698" s="961"/>
      <c r="L698" s="2217">
        <v>510</v>
      </c>
      <c r="M698" s="1146">
        <v>510</v>
      </c>
      <c r="N698" s="1146">
        <v>765</v>
      </c>
      <c r="O698" s="1630">
        <v>1.5</v>
      </c>
      <c r="P698" s="1261">
        <v>1400000</v>
      </c>
      <c r="Q698" s="1149">
        <v>3130853.107751254</v>
      </c>
    </row>
    <row r="699" spans="1:17" ht="14.45" customHeight="1" x14ac:dyDescent="0.2">
      <c r="A699" s="1481" t="s">
        <v>370</v>
      </c>
      <c r="B699" s="1146">
        <v>40</v>
      </c>
      <c r="C699" s="1146">
        <v>40</v>
      </c>
      <c r="D699" s="957">
        <v>68</v>
      </c>
      <c r="E699" s="1147">
        <v>1.7</v>
      </c>
      <c r="F699" s="1342" t="s">
        <v>987</v>
      </c>
      <c r="G699" s="1259">
        <v>1764000</v>
      </c>
      <c r="H699" s="959">
        <v>3130853.107751254</v>
      </c>
      <c r="I699" s="1489"/>
      <c r="J699" s="960"/>
      <c r="K699" s="961"/>
      <c r="L699" s="2217">
        <v>40</v>
      </c>
      <c r="M699" s="1146">
        <v>40</v>
      </c>
      <c r="N699" s="1146">
        <v>68</v>
      </c>
      <c r="O699" s="1630">
        <v>1.7</v>
      </c>
      <c r="P699" s="1261">
        <v>1400000</v>
      </c>
      <c r="Q699" s="1149">
        <v>3130853.107751254</v>
      </c>
    </row>
    <row r="700" spans="1:17" ht="14.45" customHeight="1" x14ac:dyDescent="0.2">
      <c r="A700" s="1481" t="s">
        <v>371</v>
      </c>
      <c r="B700" s="1146">
        <v>17</v>
      </c>
      <c r="C700" s="1146">
        <v>17</v>
      </c>
      <c r="D700" s="957">
        <v>28.9</v>
      </c>
      <c r="E700" s="1147">
        <v>1.7</v>
      </c>
      <c r="F700" s="1342" t="s">
        <v>987</v>
      </c>
      <c r="G700" s="1259">
        <v>1764000</v>
      </c>
      <c r="H700" s="959">
        <v>3130853.107751254</v>
      </c>
      <c r="I700" s="1489"/>
      <c r="J700" s="960"/>
      <c r="K700" s="961"/>
      <c r="L700" s="2217">
        <v>11</v>
      </c>
      <c r="M700" s="1146">
        <v>11</v>
      </c>
      <c r="N700" s="1146">
        <v>18.7</v>
      </c>
      <c r="O700" s="1630">
        <v>1.7</v>
      </c>
      <c r="P700" s="1261">
        <v>1400000</v>
      </c>
      <c r="Q700" s="1149">
        <v>3130853.107751254</v>
      </c>
    </row>
    <row r="701" spans="1:17" ht="14.45" customHeight="1" x14ac:dyDescent="0.2">
      <c r="A701" s="1481" t="s">
        <v>372</v>
      </c>
      <c r="B701" s="1146">
        <v>10</v>
      </c>
      <c r="C701" s="1146">
        <v>9</v>
      </c>
      <c r="D701" s="957">
        <v>13.5</v>
      </c>
      <c r="E701" s="1147">
        <v>1.5</v>
      </c>
      <c r="F701" s="1342" t="s">
        <v>987</v>
      </c>
      <c r="G701" s="1259">
        <v>1764000</v>
      </c>
      <c r="H701" s="959">
        <v>3130853.107751254</v>
      </c>
      <c r="I701" s="1489"/>
      <c r="J701" s="960"/>
      <c r="K701" s="961"/>
      <c r="L701" s="2217">
        <v>15</v>
      </c>
      <c r="M701" s="1146">
        <v>15</v>
      </c>
      <c r="N701" s="1146">
        <v>24</v>
      </c>
      <c r="O701" s="1630">
        <v>1.6</v>
      </c>
      <c r="P701" s="1261">
        <v>1400000</v>
      </c>
      <c r="Q701" s="1149">
        <v>3130853.107751254</v>
      </c>
    </row>
    <row r="702" spans="1:17" ht="14.45" customHeight="1" x14ac:dyDescent="0.2">
      <c r="A702" s="1481" t="s">
        <v>373</v>
      </c>
      <c r="B702" s="1146">
        <v>6</v>
      </c>
      <c r="C702" s="1146">
        <v>6</v>
      </c>
      <c r="D702" s="957">
        <v>10.199999999999999</v>
      </c>
      <c r="E702" s="1147">
        <v>1.7</v>
      </c>
      <c r="F702" s="1342" t="s">
        <v>987</v>
      </c>
      <c r="G702" s="1259">
        <v>1764000</v>
      </c>
      <c r="H702" s="959">
        <v>3130853.107751254</v>
      </c>
      <c r="I702" s="1489"/>
      <c r="J702" s="960"/>
      <c r="K702" s="961"/>
      <c r="L702" s="2217">
        <v>5</v>
      </c>
      <c r="M702" s="1146">
        <v>5</v>
      </c>
      <c r="N702" s="1146">
        <v>8.5</v>
      </c>
      <c r="O702" s="1630">
        <v>1.7</v>
      </c>
      <c r="P702" s="1261">
        <v>1400000</v>
      </c>
      <c r="Q702" s="1149">
        <v>3130853.107751254</v>
      </c>
    </row>
    <row r="703" spans="1:17" ht="14.45" customHeight="1" x14ac:dyDescent="0.2">
      <c r="A703" s="1484" t="s">
        <v>374</v>
      </c>
      <c r="B703" s="1002">
        <v>743.5</v>
      </c>
      <c r="C703" s="984">
        <v>713.5</v>
      </c>
      <c r="D703" s="984">
        <v>1283.2</v>
      </c>
      <c r="E703" s="1608">
        <v>1.7984583041345481</v>
      </c>
      <c r="F703" s="987"/>
      <c r="G703" s="1488"/>
      <c r="H703" s="996"/>
      <c r="I703" s="1491"/>
      <c r="J703" s="997"/>
      <c r="K703" s="998"/>
      <c r="L703" s="1453">
        <v>622.70000000000005</v>
      </c>
      <c r="M703" s="1002">
        <v>616.70000000000005</v>
      </c>
      <c r="N703" s="1002">
        <v>1091.4499999999998</v>
      </c>
      <c r="O703" s="2216">
        <v>1.7698232527971456</v>
      </c>
      <c r="P703" s="1604"/>
      <c r="Q703" s="1605"/>
    </row>
    <row r="704" spans="1:17" ht="14.45" customHeight="1" x14ac:dyDescent="0.2">
      <c r="A704" s="1481" t="s">
        <v>375</v>
      </c>
      <c r="B704" s="1146">
        <v>385</v>
      </c>
      <c r="C704" s="1146">
        <v>385</v>
      </c>
      <c r="D704" s="957">
        <v>770</v>
      </c>
      <c r="E704" s="1147">
        <v>2</v>
      </c>
      <c r="F704" s="1342" t="s">
        <v>987</v>
      </c>
      <c r="G704" s="1259">
        <v>1764000</v>
      </c>
      <c r="H704" s="959">
        <v>3130853.107751254</v>
      </c>
      <c r="I704" s="1489"/>
      <c r="J704" s="960"/>
      <c r="K704" s="961"/>
      <c r="L704" s="2217">
        <v>350</v>
      </c>
      <c r="M704" s="1146">
        <v>347</v>
      </c>
      <c r="N704" s="1146">
        <v>694</v>
      </c>
      <c r="O704" s="1630">
        <v>2</v>
      </c>
      <c r="P704" s="1261">
        <v>1400000</v>
      </c>
      <c r="Q704" s="1149">
        <v>3130853.107751254</v>
      </c>
    </row>
    <row r="705" spans="1:17" ht="14.45" customHeight="1" x14ac:dyDescent="0.2">
      <c r="A705" s="1481" t="s">
        <v>376</v>
      </c>
      <c r="B705" s="1146">
        <v>13</v>
      </c>
      <c r="C705" s="1146">
        <v>13</v>
      </c>
      <c r="D705" s="957">
        <v>19.5</v>
      </c>
      <c r="E705" s="1147">
        <v>1.5</v>
      </c>
      <c r="F705" s="1342" t="s">
        <v>987</v>
      </c>
      <c r="G705" s="1259">
        <v>1764000</v>
      </c>
      <c r="H705" s="959">
        <v>3130853.107751254</v>
      </c>
      <c r="I705" s="1489"/>
      <c r="J705" s="960"/>
      <c r="K705" s="961"/>
      <c r="L705" s="2217">
        <v>12</v>
      </c>
      <c r="M705" s="1146">
        <v>12</v>
      </c>
      <c r="N705" s="1146">
        <v>18</v>
      </c>
      <c r="O705" s="1630">
        <v>1.5</v>
      </c>
      <c r="P705" s="1261">
        <v>1400000</v>
      </c>
      <c r="Q705" s="1149">
        <v>3130853.107751254</v>
      </c>
    </row>
    <row r="706" spans="1:17" ht="14.45" customHeight="1" x14ac:dyDescent="0.2">
      <c r="A706" s="1481" t="s">
        <v>377</v>
      </c>
      <c r="B706" s="1146">
        <v>0</v>
      </c>
      <c r="C706" s="1146">
        <v>0</v>
      </c>
      <c r="D706" s="957">
        <v>0</v>
      </c>
      <c r="E706" s="1147">
        <v>0</v>
      </c>
      <c r="F706" s="1342"/>
      <c r="G706" s="1259"/>
      <c r="H706" s="959"/>
      <c r="I706" s="1489"/>
      <c r="J706" s="960"/>
      <c r="K706" s="961"/>
      <c r="L706" s="2217">
        <v>0</v>
      </c>
      <c r="M706" s="1146">
        <v>0</v>
      </c>
      <c r="N706" s="1146">
        <v>0</v>
      </c>
      <c r="O706" s="1630">
        <v>0</v>
      </c>
      <c r="P706" s="1261"/>
      <c r="Q706" s="1149"/>
    </row>
    <row r="707" spans="1:17" ht="14.45" customHeight="1" x14ac:dyDescent="0.2">
      <c r="A707" s="1481" t="s">
        <v>378</v>
      </c>
      <c r="B707" s="1146">
        <v>102.5</v>
      </c>
      <c r="C707" s="1146">
        <v>85.5</v>
      </c>
      <c r="D707" s="957">
        <v>153.9</v>
      </c>
      <c r="E707" s="1147">
        <v>1.8</v>
      </c>
      <c r="F707" s="1342" t="s">
        <v>987</v>
      </c>
      <c r="G707" s="1259">
        <v>1764000</v>
      </c>
      <c r="H707" s="959">
        <v>3130853.107751254</v>
      </c>
      <c r="I707" s="1492"/>
      <c r="J707" s="966"/>
      <c r="K707" s="967"/>
      <c r="L707" s="2217">
        <v>85.7</v>
      </c>
      <c r="M707" s="1146">
        <v>85.7</v>
      </c>
      <c r="N707" s="1146">
        <v>128.55000000000001</v>
      </c>
      <c r="O707" s="1630">
        <v>1.5</v>
      </c>
      <c r="P707" s="1261">
        <v>1400000</v>
      </c>
      <c r="Q707" s="1149">
        <v>3130853.107751254</v>
      </c>
    </row>
    <row r="708" spans="1:17" ht="14.45" customHeight="1" x14ac:dyDescent="0.2">
      <c r="A708" s="1481" t="s">
        <v>379</v>
      </c>
      <c r="B708" s="1146">
        <v>70</v>
      </c>
      <c r="C708" s="1146">
        <v>68</v>
      </c>
      <c r="D708" s="957">
        <v>81.599999999999994</v>
      </c>
      <c r="E708" s="1147">
        <v>1.2</v>
      </c>
      <c r="F708" s="1342" t="s">
        <v>987</v>
      </c>
      <c r="G708" s="1259">
        <v>1764000</v>
      </c>
      <c r="H708" s="959">
        <v>3130853.107751254</v>
      </c>
      <c r="I708" s="1492"/>
      <c r="J708" s="960"/>
      <c r="K708" s="967"/>
      <c r="L708" s="2217">
        <v>87</v>
      </c>
      <c r="M708" s="1146">
        <v>86</v>
      </c>
      <c r="N708" s="1146">
        <v>120.39999999999999</v>
      </c>
      <c r="O708" s="1630">
        <v>1.4</v>
      </c>
      <c r="P708" s="1261">
        <v>1400000</v>
      </c>
      <c r="Q708" s="1149">
        <v>3130853.107751254</v>
      </c>
    </row>
    <row r="709" spans="1:17" ht="14.45" customHeight="1" x14ac:dyDescent="0.2">
      <c r="A709" s="1481" t="s">
        <v>380</v>
      </c>
      <c r="B709" s="1146">
        <v>25</v>
      </c>
      <c r="C709" s="1146">
        <v>23</v>
      </c>
      <c r="D709" s="957">
        <v>34.5</v>
      </c>
      <c r="E709" s="1147">
        <v>1.5</v>
      </c>
      <c r="F709" s="1342" t="s">
        <v>987</v>
      </c>
      <c r="G709" s="1259">
        <v>1764000</v>
      </c>
      <c r="H709" s="959">
        <v>3130853.107751254</v>
      </c>
      <c r="I709" s="1492"/>
      <c r="J709" s="960"/>
      <c r="K709" s="967"/>
      <c r="L709" s="2217">
        <v>35</v>
      </c>
      <c r="M709" s="1146">
        <v>37</v>
      </c>
      <c r="N709" s="1146">
        <v>62.9</v>
      </c>
      <c r="O709" s="1630">
        <v>1.7</v>
      </c>
      <c r="P709" s="1261">
        <v>1400000</v>
      </c>
      <c r="Q709" s="1149">
        <v>3130853.107751254</v>
      </c>
    </row>
    <row r="710" spans="1:17" ht="14.45" customHeight="1" x14ac:dyDescent="0.2">
      <c r="A710" s="1481" t="s">
        <v>381</v>
      </c>
      <c r="B710" s="1146">
        <v>53</v>
      </c>
      <c r="C710" s="1146">
        <v>53</v>
      </c>
      <c r="D710" s="957">
        <v>68.900000000000006</v>
      </c>
      <c r="E710" s="1147">
        <v>1.3</v>
      </c>
      <c r="F710" s="1342" t="s">
        <v>987</v>
      </c>
      <c r="G710" s="1259">
        <v>1764000</v>
      </c>
      <c r="H710" s="959">
        <v>3130853.107751254</v>
      </c>
      <c r="I710" s="1492"/>
      <c r="J710" s="960"/>
      <c r="K710" s="967"/>
      <c r="L710" s="2217">
        <v>10</v>
      </c>
      <c r="M710" s="1146">
        <v>10</v>
      </c>
      <c r="N710" s="1146">
        <v>13</v>
      </c>
      <c r="O710" s="1630">
        <v>1.3</v>
      </c>
      <c r="P710" s="1261">
        <v>1400000</v>
      </c>
      <c r="Q710" s="1149">
        <v>3130853.107751254</v>
      </c>
    </row>
    <row r="711" spans="1:17" ht="14.45" customHeight="1" x14ac:dyDescent="0.2">
      <c r="A711" s="1481" t="s">
        <v>382</v>
      </c>
      <c r="B711" s="1146">
        <v>95</v>
      </c>
      <c r="C711" s="1146">
        <v>86</v>
      </c>
      <c r="D711" s="957">
        <v>154.80000000000001</v>
      </c>
      <c r="E711" s="1147">
        <v>1.8</v>
      </c>
      <c r="F711" s="1342" t="s">
        <v>987</v>
      </c>
      <c r="G711" s="1259">
        <v>1764000</v>
      </c>
      <c r="H711" s="959">
        <v>3130853.107751254</v>
      </c>
      <c r="I711" s="1492"/>
      <c r="J711" s="960"/>
      <c r="K711" s="967"/>
      <c r="L711" s="2217">
        <v>43</v>
      </c>
      <c r="M711" s="1146">
        <v>39</v>
      </c>
      <c r="N711" s="1146">
        <v>54.599999999999994</v>
      </c>
      <c r="O711" s="1630">
        <v>1.4</v>
      </c>
      <c r="P711" s="1261">
        <v>1400000</v>
      </c>
      <c r="Q711" s="1149">
        <v>3130853.107751254</v>
      </c>
    </row>
    <row r="712" spans="1:17" ht="14.45" customHeight="1" x14ac:dyDescent="0.2">
      <c r="A712" s="1484" t="s">
        <v>383</v>
      </c>
      <c r="B712" s="1002">
        <v>849</v>
      </c>
      <c r="C712" s="1002">
        <v>774</v>
      </c>
      <c r="D712" s="1002">
        <v>1179.5999999999999</v>
      </c>
      <c r="E712" s="1608">
        <v>1.5240310077519379</v>
      </c>
      <c r="F712" s="1003"/>
      <c r="G712" s="1206"/>
      <c r="H712" s="1004"/>
      <c r="I712" s="1501"/>
      <c r="J712" s="997"/>
      <c r="K712" s="949"/>
      <c r="L712" s="1453">
        <v>795</v>
      </c>
      <c r="M712" s="1002">
        <v>753</v>
      </c>
      <c r="N712" s="1002">
        <v>1174.75</v>
      </c>
      <c r="O712" s="2216">
        <v>1.5600929614873837</v>
      </c>
      <c r="P712" s="1604"/>
      <c r="Q712" s="1605"/>
    </row>
    <row r="713" spans="1:17" ht="14.45" customHeight="1" x14ac:dyDescent="0.2">
      <c r="A713" s="1481" t="s">
        <v>384</v>
      </c>
      <c r="B713" s="1146">
        <v>450</v>
      </c>
      <c r="C713" s="1146">
        <v>390</v>
      </c>
      <c r="D713" s="957">
        <v>546</v>
      </c>
      <c r="E713" s="1147">
        <v>1.4</v>
      </c>
      <c r="F713" s="1342" t="s">
        <v>987</v>
      </c>
      <c r="G713" s="1259">
        <v>1764000</v>
      </c>
      <c r="H713" s="959">
        <v>3130853.107751254</v>
      </c>
      <c r="I713" s="1492"/>
      <c r="J713" s="960"/>
      <c r="K713" s="967"/>
      <c r="L713" s="2217">
        <v>350</v>
      </c>
      <c r="M713" s="1146">
        <v>325</v>
      </c>
      <c r="N713" s="1146">
        <v>454.99999999999994</v>
      </c>
      <c r="O713" s="1630">
        <v>1.4</v>
      </c>
      <c r="P713" s="1261">
        <v>1400000</v>
      </c>
      <c r="Q713" s="1149">
        <v>3130853.107751254</v>
      </c>
    </row>
    <row r="714" spans="1:17" ht="14.45" customHeight="1" x14ac:dyDescent="0.2">
      <c r="A714" s="1481" t="s">
        <v>385</v>
      </c>
      <c r="B714" s="1146">
        <v>100</v>
      </c>
      <c r="C714" s="1146">
        <v>90</v>
      </c>
      <c r="D714" s="957">
        <v>135</v>
      </c>
      <c r="E714" s="1147">
        <v>1.5</v>
      </c>
      <c r="F714" s="1342" t="s">
        <v>987</v>
      </c>
      <c r="G714" s="1259">
        <v>1764000</v>
      </c>
      <c r="H714" s="959">
        <v>3130853.107751254</v>
      </c>
      <c r="I714" s="1492"/>
      <c r="J714" s="960"/>
      <c r="K714" s="967"/>
      <c r="L714" s="2217">
        <v>100</v>
      </c>
      <c r="M714" s="1146">
        <v>90</v>
      </c>
      <c r="N714" s="1146">
        <v>135</v>
      </c>
      <c r="O714" s="1630">
        <v>1.5</v>
      </c>
      <c r="P714" s="1261">
        <v>1400000</v>
      </c>
      <c r="Q714" s="1149">
        <v>3130853.107751254</v>
      </c>
    </row>
    <row r="715" spans="1:17" ht="14.45" customHeight="1" x14ac:dyDescent="0.2">
      <c r="A715" s="1481" t="s">
        <v>386</v>
      </c>
      <c r="B715" s="1146">
        <v>18</v>
      </c>
      <c r="C715" s="1146">
        <v>18</v>
      </c>
      <c r="D715" s="957">
        <v>30.599999999999998</v>
      </c>
      <c r="E715" s="1147">
        <v>1.7</v>
      </c>
      <c r="F715" s="1342" t="s">
        <v>987</v>
      </c>
      <c r="G715" s="1259">
        <v>1764000</v>
      </c>
      <c r="H715" s="959">
        <v>3130853.107751254</v>
      </c>
      <c r="I715" s="1492"/>
      <c r="J715" s="960"/>
      <c r="K715" s="967"/>
      <c r="L715" s="2217">
        <v>10</v>
      </c>
      <c r="M715" s="1146">
        <v>10</v>
      </c>
      <c r="N715" s="1146">
        <v>17</v>
      </c>
      <c r="O715" s="1630">
        <v>1.7</v>
      </c>
      <c r="P715" s="1261">
        <v>1400000</v>
      </c>
      <c r="Q715" s="1149">
        <v>3130853.107751254</v>
      </c>
    </row>
    <row r="716" spans="1:17" ht="14.45" customHeight="1" x14ac:dyDescent="0.2">
      <c r="A716" s="1481" t="s">
        <v>387</v>
      </c>
      <c r="B716" s="1146">
        <v>18</v>
      </c>
      <c r="C716" s="1146">
        <v>16</v>
      </c>
      <c r="D716" s="957">
        <v>32</v>
      </c>
      <c r="E716" s="1147">
        <v>2</v>
      </c>
      <c r="F716" s="1342" t="s">
        <v>987</v>
      </c>
      <c r="G716" s="1259">
        <v>1764000</v>
      </c>
      <c r="H716" s="959">
        <v>3130853.107751254</v>
      </c>
      <c r="I716" s="1492"/>
      <c r="J716" s="960"/>
      <c r="K716" s="967"/>
      <c r="L716" s="2217">
        <v>22</v>
      </c>
      <c r="M716" s="1146">
        <v>18</v>
      </c>
      <c r="N716" s="1146">
        <v>36</v>
      </c>
      <c r="O716" s="1630">
        <v>2</v>
      </c>
      <c r="P716" s="1261">
        <v>1400000</v>
      </c>
      <c r="Q716" s="1149">
        <v>3130853.107751254</v>
      </c>
    </row>
    <row r="717" spans="1:17" ht="14.45" customHeight="1" x14ac:dyDescent="0.2">
      <c r="A717" s="1481" t="s">
        <v>388</v>
      </c>
      <c r="B717" s="1146">
        <v>15</v>
      </c>
      <c r="C717" s="1146">
        <v>15</v>
      </c>
      <c r="D717" s="957">
        <v>27</v>
      </c>
      <c r="E717" s="1147">
        <v>1.8</v>
      </c>
      <c r="F717" s="1342" t="s">
        <v>987</v>
      </c>
      <c r="G717" s="1259">
        <v>1764000</v>
      </c>
      <c r="H717" s="959">
        <v>3130853.107751254</v>
      </c>
      <c r="I717" s="1492"/>
      <c r="J717" s="960"/>
      <c r="K717" s="967"/>
      <c r="L717" s="2217">
        <v>15</v>
      </c>
      <c r="M717" s="1146">
        <v>15</v>
      </c>
      <c r="N717" s="1146">
        <v>24</v>
      </c>
      <c r="O717" s="1630">
        <v>1.6</v>
      </c>
      <c r="P717" s="1261">
        <v>1400000</v>
      </c>
      <c r="Q717" s="1149">
        <v>3130853.107751254</v>
      </c>
    </row>
    <row r="718" spans="1:17" ht="14.45" customHeight="1" x14ac:dyDescent="0.2">
      <c r="A718" s="1481" t="s">
        <v>389</v>
      </c>
      <c r="B718" s="1146">
        <v>90</v>
      </c>
      <c r="C718" s="1146">
        <v>90</v>
      </c>
      <c r="D718" s="957">
        <v>135</v>
      </c>
      <c r="E718" s="1147">
        <v>1.5</v>
      </c>
      <c r="F718" s="1342" t="s">
        <v>987</v>
      </c>
      <c r="G718" s="1259">
        <v>1764000</v>
      </c>
      <c r="H718" s="959">
        <v>3130853.107751254</v>
      </c>
      <c r="I718" s="1492"/>
      <c r="J718" s="960"/>
      <c r="K718" s="967"/>
      <c r="L718" s="2217">
        <v>90</v>
      </c>
      <c r="M718" s="1146">
        <v>90</v>
      </c>
      <c r="N718" s="1146">
        <v>135</v>
      </c>
      <c r="O718" s="1630">
        <v>1.5</v>
      </c>
      <c r="P718" s="1261">
        <v>1400000</v>
      </c>
      <c r="Q718" s="1149">
        <v>3130853.107751254</v>
      </c>
    </row>
    <row r="719" spans="1:17" ht="14.45" customHeight="1" x14ac:dyDescent="0.2">
      <c r="A719" s="1481" t="s">
        <v>390</v>
      </c>
      <c r="B719" s="1146">
        <v>13</v>
      </c>
      <c r="C719" s="1146">
        <v>13</v>
      </c>
      <c r="D719" s="957">
        <v>26</v>
      </c>
      <c r="E719" s="1147">
        <v>2</v>
      </c>
      <c r="F719" s="1342" t="s">
        <v>987</v>
      </c>
      <c r="G719" s="1259">
        <v>1764000</v>
      </c>
      <c r="H719" s="959">
        <v>3130853.107751254</v>
      </c>
      <c r="I719" s="1492"/>
      <c r="J719" s="960"/>
      <c r="K719" s="967"/>
      <c r="L719" s="2217">
        <v>13</v>
      </c>
      <c r="M719" s="1146">
        <v>13</v>
      </c>
      <c r="N719" s="1146">
        <v>22.75</v>
      </c>
      <c r="O719" s="1630">
        <v>1.75</v>
      </c>
      <c r="P719" s="1261">
        <v>1400000</v>
      </c>
      <c r="Q719" s="1149">
        <v>3130853.107751254</v>
      </c>
    </row>
    <row r="720" spans="1:17" ht="14.45" customHeight="1" x14ac:dyDescent="0.2">
      <c r="A720" s="1481" t="s">
        <v>391</v>
      </c>
      <c r="B720" s="1146">
        <v>120</v>
      </c>
      <c r="C720" s="1146">
        <v>120</v>
      </c>
      <c r="D720" s="957">
        <v>204</v>
      </c>
      <c r="E720" s="1147">
        <v>1.7</v>
      </c>
      <c r="F720" s="1342" t="s">
        <v>987</v>
      </c>
      <c r="G720" s="1259">
        <v>1764000</v>
      </c>
      <c r="H720" s="959">
        <v>3130853.107751254</v>
      </c>
      <c r="I720" s="1492"/>
      <c r="J720" s="960"/>
      <c r="K720" s="967"/>
      <c r="L720" s="2217">
        <v>170</v>
      </c>
      <c r="M720" s="1146">
        <v>170</v>
      </c>
      <c r="N720" s="1146">
        <v>306</v>
      </c>
      <c r="O720" s="1630">
        <v>1.8</v>
      </c>
      <c r="P720" s="1261">
        <v>1400000</v>
      </c>
      <c r="Q720" s="1149">
        <v>3130853.107751254</v>
      </c>
    </row>
    <row r="721" spans="1:17" ht="14.45" customHeight="1" x14ac:dyDescent="0.2">
      <c r="A721" s="1493" t="s">
        <v>392</v>
      </c>
      <c r="B721" s="1529">
        <v>25</v>
      </c>
      <c r="C721" s="1529">
        <v>22</v>
      </c>
      <c r="D721" s="957">
        <v>44</v>
      </c>
      <c r="E721" s="1526">
        <v>2</v>
      </c>
      <c r="F721" s="1342" t="s">
        <v>987</v>
      </c>
      <c r="G721" s="1259">
        <v>1764000</v>
      </c>
      <c r="H721" s="959">
        <v>3130853.107751254</v>
      </c>
      <c r="I721" s="1502"/>
      <c r="J721" s="973"/>
      <c r="K721" s="974"/>
      <c r="L721" s="2273">
        <v>25</v>
      </c>
      <c r="M721" s="1529">
        <v>22</v>
      </c>
      <c r="N721" s="1529">
        <v>44</v>
      </c>
      <c r="O721" s="2312">
        <v>2</v>
      </c>
      <c r="P721" s="1261">
        <v>1400000</v>
      </c>
      <c r="Q721" s="1149">
        <v>3130853.107751254</v>
      </c>
    </row>
    <row r="722" spans="1:17" ht="14.45" customHeight="1" thickBot="1" x14ac:dyDescent="0.25">
      <c r="A722" s="1006" t="s">
        <v>393</v>
      </c>
      <c r="B722" s="1007">
        <v>3292.5</v>
      </c>
      <c r="C722" s="1007">
        <v>3185.5</v>
      </c>
      <c r="D722" s="1007">
        <v>5508.6</v>
      </c>
      <c r="E722" s="1482">
        <v>1.7292732695024331</v>
      </c>
      <c r="F722" s="1480" t="s">
        <v>987</v>
      </c>
      <c r="G722" s="1085">
        <v>1764000</v>
      </c>
      <c r="H722" s="1085">
        <v>3130853.1077512545</v>
      </c>
      <c r="I722" s="1008"/>
      <c r="J722" s="1008" t="s">
        <v>983</v>
      </c>
      <c r="K722" s="1011"/>
      <c r="L722" s="1007">
        <v>3108.7</v>
      </c>
      <c r="M722" s="1007">
        <v>3058.7</v>
      </c>
      <c r="N722" s="1007">
        <v>5228.7</v>
      </c>
      <c r="O722" s="1083">
        <v>1.7094517278582404</v>
      </c>
      <c r="P722" s="1603">
        <v>1400000.0000000002</v>
      </c>
      <c r="Q722" s="1607">
        <v>3130853.107751254</v>
      </c>
    </row>
    <row r="723" spans="1:17" x14ac:dyDescent="0.2">
      <c r="A723" s="7" t="s">
        <v>1934</v>
      </c>
      <c r="B723" s="8"/>
      <c r="C723" s="8"/>
      <c r="D723" s="8"/>
      <c r="E723" s="4"/>
      <c r="F723" s="5"/>
      <c r="G723" s="9"/>
      <c r="H723" s="8"/>
      <c r="I723" s="4"/>
      <c r="J723" s="1"/>
      <c r="K723" s="1"/>
      <c r="O723" s="1"/>
      <c r="P723" s="1"/>
    </row>
    <row r="724" spans="1:17" x14ac:dyDescent="0.2">
      <c r="A724" s="6"/>
      <c r="B724" s="8"/>
      <c r="C724" s="8"/>
      <c r="D724" s="8"/>
      <c r="E724" s="4"/>
      <c r="F724" s="5"/>
      <c r="G724" s="9"/>
      <c r="H724" s="8"/>
      <c r="I724" s="4"/>
      <c r="J724" s="1"/>
      <c r="K724" s="1"/>
      <c r="O724" s="1"/>
      <c r="P724" s="1"/>
    </row>
    <row r="725" spans="1:17" x14ac:dyDescent="0.2">
      <c r="A725" s="6"/>
      <c r="B725" s="8"/>
      <c r="D725" s="8"/>
      <c r="E725" s="8"/>
      <c r="I725" s="4"/>
      <c r="J725" s="1"/>
      <c r="K725" s="1"/>
      <c r="L725" s="4"/>
      <c r="N725" s="5"/>
      <c r="O725" s="9"/>
      <c r="P725" s="1"/>
    </row>
    <row r="726" spans="1:17" x14ac:dyDescent="0.2">
      <c r="A726" s="6"/>
      <c r="B726" s="8"/>
      <c r="C726" s="8"/>
      <c r="D726" s="8"/>
      <c r="E726" s="4"/>
      <c r="F726" s="5"/>
      <c r="G726" s="9"/>
      <c r="H726" s="8"/>
      <c r="I726" s="4"/>
      <c r="J726" s="1"/>
      <c r="K726" s="1"/>
      <c r="O726" s="1"/>
      <c r="P726" s="1"/>
    </row>
    <row r="727" spans="1:17" x14ac:dyDescent="0.2">
      <c r="A727" s="6"/>
      <c r="B727" s="8"/>
      <c r="C727" s="8"/>
      <c r="D727" s="8"/>
      <c r="E727" s="2380"/>
      <c r="F727" s="5"/>
      <c r="G727" s="9"/>
      <c r="H727" s="8"/>
      <c r="I727" s="2380"/>
      <c r="J727" s="2381"/>
      <c r="K727" s="2381"/>
      <c r="O727" s="2381"/>
      <c r="P727" s="2381"/>
    </row>
    <row r="728" spans="1:17" x14ac:dyDescent="0.2">
      <c r="A728" s="6"/>
      <c r="B728" s="8"/>
      <c r="C728" s="8"/>
      <c r="D728" s="8"/>
      <c r="E728" s="2380"/>
      <c r="F728" s="5"/>
      <c r="G728" s="9"/>
      <c r="H728" s="8"/>
      <c r="I728" s="2380"/>
      <c r="J728" s="2381"/>
      <c r="K728" s="2381"/>
      <c r="O728" s="2381"/>
      <c r="P728" s="2381"/>
    </row>
    <row r="729" spans="1:17" ht="15.75" customHeight="1" x14ac:dyDescent="0.25">
      <c r="A729" s="2512" t="s">
        <v>1929</v>
      </c>
      <c r="B729" s="2512"/>
      <c r="C729" s="2512"/>
      <c r="D729" s="2512"/>
      <c r="E729" s="2512"/>
      <c r="F729" s="2512"/>
      <c r="G729" s="2512"/>
      <c r="H729" s="2512"/>
      <c r="I729" s="2512"/>
      <c r="J729" s="2512"/>
      <c r="K729" s="2512"/>
      <c r="L729" s="2512"/>
      <c r="M729" s="2512"/>
      <c r="N729" s="2512"/>
      <c r="O729" s="2512"/>
      <c r="P729" s="2512"/>
      <c r="Q729" s="2512"/>
    </row>
    <row r="730" spans="1:17" x14ac:dyDescent="0.2">
      <c r="A730" s="3"/>
      <c r="B730" s="6"/>
      <c r="C730" s="6"/>
      <c r="D730" s="6"/>
      <c r="E730" s="22"/>
      <c r="F730" s="2"/>
      <c r="G730" s="6"/>
      <c r="H730" s="6"/>
      <c r="I730" s="1"/>
      <c r="J730" s="1"/>
      <c r="K730" s="1"/>
      <c r="L730" s="6"/>
      <c r="M730" s="6"/>
      <c r="N730" s="6"/>
      <c r="O730" s="1"/>
      <c r="P730" s="1"/>
      <c r="Q730" s="6"/>
    </row>
    <row r="731" spans="1:17" ht="13.5" thickBot="1" x14ac:dyDescent="0.25">
      <c r="A731" s="3" t="s">
        <v>400</v>
      </c>
      <c r="B731" s="6"/>
      <c r="C731" s="6"/>
      <c r="D731" s="6"/>
      <c r="E731" s="1"/>
      <c r="F731" s="2"/>
      <c r="G731" s="6"/>
      <c r="H731" s="6"/>
      <c r="I731" s="1"/>
      <c r="J731" s="1"/>
      <c r="K731" s="1"/>
      <c r="L731" s="6"/>
      <c r="M731" s="6"/>
      <c r="N731" s="6"/>
      <c r="O731" s="1"/>
      <c r="P731" s="1"/>
      <c r="Q731" s="6"/>
    </row>
    <row r="732" spans="1:17" ht="14.45" customHeight="1" thickBot="1" x14ac:dyDescent="0.25">
      <c r="A732" s="2513" t="s">
        <v>327</v>
      </c>
      <c r="B732" s="2516" t="s">
        <v>1935</v>
      </c>
      <c r="C732" s="2517"/>
      <c r="D732" s="2517"/>
      <c r="E732" s="2517"/>
      <c r="F732" s="2517"/>
      <c r="G732" s="2517"/>
      <c r="H732" s="2517"/>
      <c r="I732" s="2517"/>
      <c r="J732" s="2517"/>
      <c r="K732" s="2517"/>
      <c r="L732" s="2518" t="s">
        <v>1930</v>
      </c>
      <c r="M732" s="2519"/>
      <c r="N732" s="2519"/>
      <c r="O732" s="2519"/>
      <c r="P732" s="2520"/>
      <c r="Q732" s="2521"/>
    </row>
    <row r="733" spans="1:17" ht="14.45" customHeight="1" x14ac:dyDescent="0.2">
      <c r="A733" s="2514"/>
      <c r="B733" s="2522" t="s">
        <v>328</v>
      </c>
      <c r="C733" s="2523"/>
      <c r="D733" s="1014"/>
      <c r="E733" s="1014" t="s">
        <v>904</v>
      </c>
      <c r="F733" s="1014" t="s">
        <v>329</v>
      </c>
      <c r="G733" s="1014"/>
      <c r="H733" s="1014"/>
      <c r="I733" s="2526" t="s">
        <v>330</v>
      </c>
      <c r="J733" s="2527"/>
      <c r="K733" s="2528"/>
      <c r="L733" s="2524" t="s">
        <v>328</v>
      </c>
      <c r="M733" s="2525"/>
      <c r="N733" s="1021" t="s">
        <v>331</v>
      </c>
      <c r="O733" s="1022" t="s">
        <v>332</v>
      </c>
      <c r="P733" s="1023"/>
      <c r="Q733" s="1024"/>
    </row>
    <row r="734" spans="1:17" ht="14.45" customHeight="1" x14ac:dyDescent="0.2">
      <c r="A734" s="2514"/>
      <c r="B734" s="1014" t="s">
        <v>835</v>
      </c>
      <c r="C734" s="1014" t="s">
        <v>335</v>
      </c>
      <c r="D734" s="1014" t="s">
        <v>837</v>
      </c>
      <c r="E734" s="1014" t="s">
        <v>842</v>
      </c>
      <c r="F734" s="1014" t="s">
        <v>336</v>
      </c>
      <c r="G734" s="1014" t="s">
        <v>337</v>
      </c>
      <c r="H734" s="1014" t="s">
        <v>338</v>
      </c>
      <c r="I734" s="2529" t="s">
        <v>839</v>
      </c>
      <c r="J734" s="2530"/>
      <c r="K734" s="2531"/>
      <c r="L734" s="1025" t="s">
        <v>835</v>
      </c>
      <c r="M734" s="1021" t="s">
        <v>335</v>
      </c>
      <c r="N734" s="1021" t="s">
        <v>339</v>
      </c>
      <c r="O734" s="1022"/>
      <c r="P734" s="1021" t="s">
        <v>337</v>
      </c>
      <c r="Q734" s="1024" t="s">
        <v>338</v>
      </c>
    </row>
    <row r="735" spans="1:17" ht="14.45" customHeight="1" x14ac:dyDescent="0.2">
      <c r="A735" s="2514"/>
      <c r="B735" s="1014"/>
      <c r="C735" s="1014"/>
      <c r="D735" s="1014"/>
      <c r="E735" s="1014"/>
      <c r="F735" s="1014" t="s">
        <v>341</v>
      </c>
      <c r="G735" s="1014" t="s">
        <v>342</v>
      </c>
      <c r="H735" s="1014" t="s">
        <v>341</v>
      </c>
      <c r="I735" s="1015"/>
      <c r="J735" s="1016"/>
      <c r="K735" s="1017"/>
      <c r="L735" s="1025"/>
      <c r="M735" s="1021"/>
      <c r="N735" s="1021"/>
      <c r="O735" s="1022" t="s">
        <v>344</v>
      </c>
      <c r="P735" s="1021" t="s">
        <v>342</v>
      </c>
      <c r="Q735" s="1024" t="s">
        <v>341</v>
      </c>
    </row>
    <row r="736" spans="1:17" ht="14.45" customHeight="1" x14ac:dyDescent="0.2">
      <c r="A736" s="2515"/>
      <c r="B736" s="1018" t="s">
        <v>345</v>
      </c>
      <c r="C736" s="1018" t="s">
        <v>345</v>
      </c>
      <c r="D736" s="1018" t="s">
        <v>346</v>
      </c>
      <c r="E736" s="1018" t="s">
        <v>757</v>
      </c>
      <c r="F736" s="1018"/>
      <c r="G736" s="1018" t="s">
        <v>347</v>
      </c>
      <c r="H736" s="1018" t="s">
        <v>348</v>
      </c>
      <c r="I736" s="1019" t="s">
        <v>349</v>
      </c>
      <c r="J736" s="1019" t="s">
        <v>350</v>
      </c>
      <c r="K736" s="1020" t="s">
        <v>351</v>
      </c>
      <c r="L736" s="1026" t="s">
        <v>345</v>
      </c>
      <c r="M736" s="1027" t="s">
        <v>345</v>
      </c>
      <c r="N736" s="1027" t="s">
        <v>346</v>
      </c>
      <c r="O736" s="1028"/>
      <c r="P736" s="1027" t="s">
        <v>347</v>
      </c>
      <c r="Q736" s="1029" t="s">
        <v>348</v>
      </c>
    </row>
    <row r="737" spans="1:17" ht="14.45" customHeight="1" x14ac:dyDescent="0.2">
      <c r="A737" s="975" t="s">
        <v>352</v>
      </c>
      <c r="B737" s="976">
        <v>328</v>
      </c>
      <c r="C737" s="976">
        <v>322</v>
      </c>
      <c r="D737" s="977">
        <v>6892</v>
      </c>
      <c r="E737" s="1608">
        <v>21.403726708074533</v>
      </c>
      <c r="F737" s="979"/>
      <c r="G737" s="976"/>
      <c r="H737" s="976"/>
      <c r="I737" s="978"/>
      <c r="J737" s="978"/>
      <c r="K737" s="980"/>
      <c r="L737" s="981">
        <v>282</v>
      </c>
      <c r="M737" s="977">
        <v>281</v>
      </c>
      <c r="N737" s="977">
        <v>6140</v>
      </c>
      <c r="O737" s="1608">
        <v>21.85053380782918</v>
      </c>
      <c r="P737" s="1609"/>
      <c r="Q737" s="1610"/>
    </row>
    <row r="738" spans="1:17" ht="14.45" customHeight="1" x14ac:dyDescent="0.2">
      <c r="A738" s="1481" t="s">
        <v>353</v>
      </c>
      <c r="B738" s="1146">
        <v>35</v>
      </c>
      <c r="C738" s="1146">
        <v>35</v>
      </c>
      <c r="D738" s="957">
        <v>700</v>
      </c>
      <c r="E738" s="2325">
        <v>20</v>
      </c>
      <c r="F738" s="1342" t="s">
        <v>988</v>
      </c>
      <c r="G738" s="959">
        <v>2471000</v>
      </c>
      <c r="H738" s="959">
        <v>26430670.985210001</v>
      </c>
      <c r="I738" s="1489"/>
      <c r="J738" s="960"/>
      <c r="K738" s="961"/>
      <c r="L738" s="2321">
        <v>25</v>
      </c>
      <c r="M738" s="2322">
        <v>25</v>
      </c>
      <c r="N738" s="1498">
        <v>500</v>
      </c>
      <c r="O738" s="2160">
        <v>20</v>
      </c>
      <c r="P738" s="1261">
        <v>2592000</v>
      </c>
      <c r="Q738" s="1149">
        <v>26430670.985210001</v>
      </c>
    </row>
    <row r="739" spans="1:17" ht="14.45" customHeight="1" x14ac:dyDescent="0.2">
      <c r="A739" s="1481" t="s">
        <v>354</v>
      </c>
      <c r="B739" s="1146">
        <v>78</v>
      </c>
      <c r="C739" s="1146">
        <v>78</v>
      </c>
      <c r="D739" s="957">
        <v>1716</v>
      </c>
      <c r="E739" s="2325">
        <v>22</v>
      </c>
      <c r="F739" s="1342" t="s">
        <v>988</v>
      </c>
      <c r="G739" s="959">
        <v>2471000</v>
      </c>
      <c r="H739" s="959">
        <v>26430670.985210001</v>
      </c>
      <c r="I739" s="1489"/>
      <c r="J739" s="960"/>
      <c r="K739" s="961"/>
      <c r="L739" s="2234">
        <v>65</v>
      </c>
      <c r="M739" s="1498">
        <v>65</v>
      </c>
      <c r="N739" s="1498">
        <v>1430</v>
      </c>
      <c r="O739" s="1630">
        <v>22</v>
      </c>
      <c r="P739" s="1261">
        <v>2592000</v>
      </c>
      <c r="Q739" s="1149">
        <v>26430670.985210001</v>
      </c>
    </row>
    <row r="740" spans="1:17" ht="14.45" customHeight="1" x14ac:dyDescent="0.2">
      <c r="A740" s="1481" t="s">
        <v>355</v>
      </c>
      <c r="B740" s="1146">
        <v>0</v>
      </c>
      <c r="C740" s="1146">
        <v>0</v>
      </c>
      <c r="D740" s="957">
        <v>0</v>
      </c>
      <c r="E740" s="2325">
        <v>0</v>
      </c>
      <c r="F740" s="964"/>
      <c r="G740" s="1259"/>
      <c r="H740" s="959"/>
      <c r="I740" s="1489"/>
      <c r="J740" s="960"/>
      <c r="K740" s="961"/>
      <c r="L740" s="2234">
        <v>0</v>
      </c>
      <c r="M740" s="1498">
        <v>0</v>
      </c>
      <c r="N740" s="1498">
        <v>0</v>
      </c>
      <c r="O740" s="1630">
        <v>0</v>
      </c>
      <c r="P740" s="1261"/>
      <c r="Q740" s="1606"/>
    </row>
    <row r="741" spans="1:17" ht="14.45" customHeight="1" x14ac:dyDescent="0.2">
      <c r="A741" s="1481" t="s">
        <v>356</v>
      </c>
      <c r="B741" s="1146">
        <v>38</v>
      </c>
      <c r="C741" s="1146">
        <v>38</v>
      </c>
      <c r="D741" s="957">
        <v>836</v>
      </c>
      <c r="E741" s="2325">
        <v>22</v>
      </c>
      <c r="F741" s="1342" t="s">
        <v>988</v>
      </c>
      <c r="G741" s="959">
        <v>2471000</v>
      </c>
      <c r="H741" s="959">
        <v>26430670.985210001</v>
      </c>
      <c r="I741" s="1489"/>
      <c r="J741" s="960"/>
      <c r="K741" s="961"/>
      <c r="L741" s="2234">
        <v>30</v>
      </c>
      <c r="M741" s="1498">
        <v>30</v>
      </c>
      <c r="N741" s="1498">
        <v>660</v>
      </c>
      <c r="O741" s="1630">
        <v>22</v>
      </c>
      <c r="P741" s="1261">
        <v>2592000</v>
      </c>
      <c r="Q741" s="1149">
        <v>26430670.985210001</v>
      </c>
    </row>
    <row r="742" spans="1:17" ht="14.45" customHeight="1" x14ac:dyDescent="0.2">
      <c r="A742" s="1481" t="s">
        <v>357</v>
      </c>
      <c r="B742" s="1146">
        <v>35</v>
      </c>
      <c r="C742" s="1146">
        <v>35</v>
      </c>
      <c r="D742" s="957">
        <v>735</v>
      </c>
      <c r="E742" s="2325">
        <v>21</v>
      </c>
      <c r="F742" s="1342" t="s">
        <v>988</v>
      </c>
      <c r="G742" s="959">
        <v>2471000</v>
      </c>
      <c r="H742" s="959">
        <v>26430670.985210001</v>
      </c>
      <c r="I742" s="1489"/>
      <c r="J742" s="960"/>
      <c r="K742" s="961"/>
      <c r="L742" s="2234">
        <v>52</v>
      </c>
      <c r="M742" s="1498">
        <v>52</v>
      </c>
      <c r="N742" s="1498">
        <v>1300</v>
      </c>
      <c r="O742" s="1630">
        <v>25</v>
      </c>
      <c r="P742" s="1261">
        <v>2592000</v>
      </c>
      <c r="Q742" s="1149">
        <v>26430670.985210001</v>
      </c>
    </row>
    <row r="743" spans="1:17" ht="14.45" customHeight="1" x14ac:dyDescent="0.2">
      <c r="A743" s="1481" t="s">
        <v>358</v>
      </c>
      <c r="B743" s="1146">
        <v>0</v>
      </c>
      <c r="C743" s="1146">
        <v>0</v>
      </c>
      <c r="D743" s="957">
        <v>0</v>
      </c>
      <c r="E743" s="2325">
        <v>0</v>
      </c>
      <c r="F743" s="964"/>
      <c r="G743" s="1259"/>
      <c r="H743" s="959"/>
      <c r="I743" s="1489"/>
      <c r="J743" s="960"/>
      <c r="K743" s="961"/>
      <c r="L743" s="2234">
        <v>0</v>
      </c>
      <c r="M743" s="1498">
        <v>0</v>
      </c>
      <c r="N743" s="1498">
        <v>0</v>
      </c>
      <c r="O743" s="1630">
        <v>0</v>
      </c>
      <c r="P743" s="1261"/>
      <c r="Q743" s="1606"/>
    </row>
    <row r="744" spans="1:17" ht="14.45" customHeight="1" x14ac:dyDescent="0.2">
      <c r="A744" s="1481" t="s">
        <v>359</v>
      </c>
      <c r="B744" s="1146">
        <v>50</v>
      </c>
      <c r="C744" s="1146">
        <v>50</v>
      </c>
      <c r="D744" s="957">
        <v>1000</v>
      </c>
      <c r="E744" s="2325">
        <v>20</v>
      </c>
      <c r="F744" s="1342" t="s">
        <v>988</v>
      </c>
      <c r="G744" s="959">
        <v>2471000</v>
      </c>
      <c r="H744" s="959">
        <v>26430670.985210001</v>
      </c>
      <c r="I744" s="1489"/>
      <c r="J744" s="960"/>
      <c r="K744" s="961"/>
      <c r="L744" s="2234">
        <v>50</v>
      </c>
      <c r="M744" s="1498">
        <v>50</v>
      </c>
      <c r="N744" s="1498">
        <v>950</v>
      </c>
      <c r="O744" s="1630">
        <v>19</v>
      </c>
      <c r="P744" s="1261">
        <v>2592000</v>
      </c>
      <c r="Q744" s="1149">
        <v>26430670.985210001</v>
      </c>
    </row>
    <row r="745" spans="1:17" ht="14.45" customHeight="1" x14ac:dyDescent="0.2">
      <c r="A745" s="1481" t="s">
        <v>360</v>
      </c>
      <c r="B745" s="1146">
        <v>0</v>
      </c>
      <c r="C745" s="1146">
        <v>0</v>
      </c>
      <c r="D745" s="957">
        <v>0</v>
      </c>
      <c r="E745" s="2325">
        <v>0</v>
      </c>
      <c r="F745" s="964"/>
      <c r="G745" s="1259"/>
      <c r="H745" s="959"/>
      <c r="I745" s="1489"/>
      <c r="J745" s="960"/>
      <c r="K745" s="961"/>
      <c r="L745" s="2234">
        <v>0</v>
      </c>
      <c r="M745" s="1498">
        <v>0</v>
      </c>
      <c r="N745" s="1498">
        <v>0</v>
      </c>
      <c r="O745" s="1630">
        <v>0</v>
      </c>
      <c r="P745" s="1261"/>
      <c r="Q745" s="1606"/>
    </row>
    <row r="746" spans="1:17" ht="14.45" customHeight="1" x14ac:dyDescent="0.2">
      <c r="A746" s="1481" t="s">
        <v>361</v>
      </c>
      <c r="B746" s="1146">
        <v>13</v>
      </c>
      <c r="C746" s="1146">
        <v>8</v>
      </c>
      <c r="D746" s="957">
        <v>136</v>
      </c>
      <c r="E746" s="2325">
        <v>17</v>
      </c>
      <c r="F746" s="1342" t="s">
        <v>988</v>
      </c>
      <c r="G746" s="959">
        <v>2471000</v>
      </c>
      <c r="H746" s="959">
        <v>26430670.985210001</v>
      </c>
      <c r="I746" s="1489"/>
      <c r="J746" s="960"/>
      <c r="K746" s="961"/>
      <c r="L746" s="2234">
        <v>10</v>
      </c>
      <c r="M746" s="1498">
        <v>10</v>
      </c>
      <c r="N746" s="1498">
        <v>160</v>
      </c>
      <c r="O746" s="1630">
        <v>16</v>
      </c>
      <c r="P746" s="1261">
        <v>2592000</v>
      </c>
      <c r="Q746" s="1149">
        <v>26430670.985210001</v>
      </c>
    </row>
    <row r="747" spans="1:17" ht="14.45" customHeight="1" x14ac:dyDescent="0.2">
      <c r="A747" s="1481" t="s">
        <v>362</v>
      </c>
      <c r="B747" s="1146">
        <v>25</v>
      </c>
      <c r="C747" s="1146">
        <v>24</v>
      </c>
      <c r="D747" s="957">
        <v>600</v>
      </c>
      <c r="E747" s="2325">
        <v>25</v>
      </c>
      <c r="F747" s="1342" t="s">
        <v>988</v>
      </c>
      <c r="G747" s="959">
        <v>2471000</v>
      </c>
      <c r="H747" s="959">
        <v>26430670.985210001</v>
      </c>
      <c r="I747" s="1489"/>
      <c r="J747" s="960"/>
      <c r="K747" s="961"/>
      <c r="L747" s="2234">
        <v>28</v>
      </c>
      <c r="M747" s="1498">
        <v>27</v>
      </c>
      <c r="N747" s="1498">
        <v>675</v>
      </c>
      <c r="O747" s="1630">
        <v>25</v>
      </c>
      <c r="P747" s="1261">
        <v>2592000</v>
      </c>
      <c r="Q747" s="1149">
        <v>26430670.985210001</v>
      </c>
    </row>
    <row r="748" spans="1:17" ht="14.45" customHeight="1" x14ac:dyDescent="0.2">
      <c r="A748" s="1481" t="s">
        <v>363</v>
      </c>
      <c r="B748" s="1146">
        <v>0</v>
      </c>
      <c r="C748" s="1146">
        <v>0</v>
      </c>
      <c r="D748" s="957">
        <v>0</v>
      </c>
      <c r="E748" s="2325">
        <v>0</v>
      </c>
      <c r="F748" s="1342"/>
      <c r="G748" s="959"/>
      <c r="H748" s="959"/>
      <c r="I748" s="1489"/>
      <c r="J748" s="960"/>
      <c r="K748" s="961"/>
      <c r="L748" s="2234">
        <v>0</v>
      </c>
      <c r="M748" s="1498">
        <v>0</v>
      </c>
      <c r="N748" s="1498">
        <v>0</v>
      </c>
      <c r="O748" s="1630">
        <v>0</v>
      </c>
      <c r="P748" s="1261"/>
      <c r="Q748" s="1606"/>
    </row>
    <row r="749" spans="1:17" ht="14.45" customHeight="1" x14ac:dyDescent="0.2">
      <c r="A749" s="1481" t="s">
        <v>364</v>
      </c>
      <c r="B749" s="1146">
        <v>43</v>
      </c>
      <c r="C749" s="1146">
        <v>43</v>
      </c>
      <c r="D749" s="957">
        <v>946</v>
      </c>
      <c r="E749" s="2325">
        <v>22</v>
      </c>
      <c r="F749" s="1342" t="s">
        <v>988</v>
      </c>
      <c r="G749" s="959">
        <v>2471000</v>
      </c>
      <c r="H749" s="959">
        <v>26430670.985210001</v>
      </c>
      <c r="I749" s="1489"/>
      <c r="J749" s="960"/>
      <c r="K749" s="961"/>
      <c r="L749" s="2234">
        <v>11</v>
      </c>
      <c r="M749" s="1498">
        <v>11</v>
      </c>
      <c r="N749" s="1498">
        <v>242</v>
      </c>
      <c r="O749" s="1630">
        <v>22</v>
      </c>
      <c r="P749" s="1261">
        <v>2592000</v>
      </c>
      <c r="Q749" s="1149">
        <v>26430670.985210001</v>
      </c>
    </row>
    <row r="750" spans="1:17" ht="14.45" customHeight="1" x14ac:dyDescent="0.2">
      <c r="A750" s="1481" t="s">
        <v>365</v>
      </c>
      <c r="B750" s="1146"/>
      <c r="C750" s="1146"/>
      <c r="D750" s="957">
        <v>0</v>
      </c>
      <c r="E750" s="2325"/>
      <c r="F750" s="964"/>
      <c r="G750" s="1259"/>
      <c r="H750" s="959"/>
      <c r="I750" s="1489"/>
      <c r="J750" s="960"/>
      <c r="K750" s="961"/>
      <c r="L750" s="2234"/>
      <c r="M750" s="1498"/>
      <c r="N750" s="1498">
        <v>0</v>
      </c>
      <c r="O750" s="1630"/>
      <c r="P750" s="1261"/>
      <c r="Q750" s="1606"/>
    </row>
    <row r="751" spans="1:17" ht="14.45" customHeight="1" x14ac:dyDescent="0.2">
      <c r="A751" s="1481" t="s">
        <v>366</v>
      </c>
      <c r="B751" s="1146">
        <v>8</v>
      </c>
      <c r="C751" s="1146">
        <v>8</v>
      </c>
      <c r="D751" s="957">
        <v>160</v>
      </c>
      <c r="E751" s="2325">
        <v>20</v>
      </c>
      <c r="F751" s="1342" t="s">
        <v>988</v>
      </c>
      <c r="G751" s="959">
        <v>2471000</v>
      </c>
      <c r="H751" s="959">
        <v>26430670.985210001</v>
      </c>
      <c r="I751" s="1489"/>
      <c r="J751" s="960"/>
      <c r="K751" s="961"/>
      <c r="L751" s="2234">
        <v>8</v>
      </c>
      <c r="M751" s="1498">
        <v>8</v>
      </c>
      <c r="N751" s="1498">
        <v>160</v>
      </c>
      <c r="O751" s="1630">
        <v>20</v>
      </c>
      <c r="P751" s="1261">
        <v>2592000</v>
      </c>
      <c r="Q751" s="1149">
        <v>26430670.985210001</v>
      </c>
    </row>
    <row r="752" spans="1:17" ht="14.45" customHeight="1" x14ac:dyDescent="0.2">
      <c r="A752" s="1481" t="s">
        <v>367</v>
      </c>
      <c r="B752" s="1146">
        <v>3</v>
      </c>
      <c r="C752" s="1146">
        <v>3</v>
      </c>
      <c r="D752" s="957">
        <v>63</v>
      </c>
      <c r="E752" s="2325">
        <v>21</v>
      </c>
      <c r="F752" s="1342" t="s">
        <v>988</v>
      </c>
      <c r="G752" s="959">
        <v>2471000</v>
      </c>
      <c r="H752" s="959">
        <v>26430670.985210001</v>
      </c>
      <c r="I752" s="1489"/>
      <c r="J752" s="960"/>
      <c r="K752" s="961"/>
      <c r="L752" s="2234">
        <v>3</v>
      </c>
      <c r="M752" s="1498">
        <v>3</v>
      </c>
      <c r="N752" s="1498">
        <v>63</v>
      </c>
      <c r="O752" s="1630">
        <v>21</v>
      </c>
      <c r="P752" s="1261">
        <v>2592000</v>
      </c>
      <c r="Q752" s="1149">
        <v>26430670.985210001</v>
      </c>
    </row>
    <row r="753" spans="1:17" ht="14.45" customHeight="1" x14ac:dyDescent="0.2">
      <c r="A753" s="1484" t="s">
        <v>368</v>
      </c>
      <c r="B753" s="1002">
        <v>5</v>
      </c>
      <c r="C753" s="984">
        <v>5</v>
      </c>
      <c r="D753" s="2308">
        <v>75</v>
      </c>
      <c r="E753" s="2326">
        <v>15</v>
      </c>
      <c r="F753" s="987"/>
      <c r="G753" s="1486"/>
      <c r="H753" s="988"/>
      <c r="I753" s="1490"/>
      <c r="J753" s="989"/>
      <c r="K753" s="990"/>
      <c r="L753" s="2218">
        <v>6</v>
      </c>
      <c r="M753" s="1485">
        <v>6</v>
      </c>
      <c r="N753" s="1485">
        <v>90</v>
      </c>
      <c r="O753" s="2216">
        <v>15</v>
      </c>
      <c r="P753" s="1604"/>
      <c r="Q753" s="1605"/>
    </row>
    <row r="754" spans="1:17" ht="14.45" customHeight="1" x14ac:dyDescent="0.2">
      <c r="A754" s="1481" t="s">
        <v>369</v>
      </c>
      <c r="B754" s="1146">
        <v>0</v>
      </c>
      <c r="C754" s="1146">
        <v>0</v>
      </c>
      <c r="D754" s="957">
        <v>0</v>
      </c>
      <c r="E754" s="2327">
        <v>0</v>
      </c>
      <c r="F754" s="964"/>
      <c r="G754" s="1259"/>
      <c r="H754" s="959"/>
      <c r="I754" s="1489"/>
      <c r="J754" s="960"/>
      <c r="K754" s="961"/>
      <c r="L754" s="2234">
        <v>0</v>
      </c>
      <c r="M754" s="1498">
        <v>0</v>
      </c>
      <c r="N754" s="1498">
        <v>0</v>
      </c>
      <c r="O754" s="2233">
        <v>0</v>
      </c>
      <c r="P754" s="1261"/>
      <c r="Q754" s="1606"/>
    </row>
    <row r="755" spans="1:17" ht="14.45" customHeight="1" x14ac:dyDescent="0.2">
      <c r="A755" s="1481" t="s">
        <v>370</v>
      </c>
      <c r="B755" s="1146">
        <v>0</v>
      </c>
      <c r="C755" s="1146">
        <v>0</v>
      </c>
      <c r="D755" s="957">
        <v>0</v>
      </c>
      <c r="E755" s="2327">
        <v>0</v>
      </c>
      <c r="F755" s="964"/>
      <c r="G755" s="1259"/>
      <c r="H755" s="959"/>
      <c r="I755" s="1489"/>
      <c r="J755" s="960"/>
      <c r="K755" s="961"/>
      <c r="L755" s="2234">
        <v>0</v>
      </c>
      <c r="M755" s="1498">
        <v>0</v>
      </c>
      <c r="N755" s="1498">
        <v>0</v>
      </c>
      <c r="O755" s="2233">
        <v>0</v>
      </c>
      <c r="P755" s="1261"/>
      <c r="Q755" s="1606"/>
    </row>
    <row r="756" spans="1:17" ht="14.45" customHeight="1" x14ac:dyDescent="0.2">
      <c r="A756" s="1481" t="s">
        <v>371</v>
      </c>
      <c r="B756" s="1146">
        <v>0</v>
      </c>
      <c r="C756" s="1146">
        <v>0</v>
      </c>
      <c r="D756" s="957">
        <v>0</v>
      </c>
      <c r="E756" s="2327">
        <v>0</v>
      </c>
      <c r="F756" s="964"/>
      <c r="G756" s="1259"/>
      <c r="H756" s="959"/>
      <c r="I756" s="1489"/>
      <c r="J756" s="960"/>
      <c r="K756" s="961"/>
      <c r="L756" s="2234">
        <v>0</v>
      </c>
      <c r="M756" s="1498">
        <v>0</v>
      </c>
      <c r="N756" s="1498">
        <v>0</v>
      </c>
      <c r="O756" s="2233">
        <v>0</v>
      </c>
      <c r="P756" s="1261"/>
      <c r="Q756" s="1606"/>
    </row>
    <row r="757" spans="1:17" ht="14.45" customHeight="1" x14ac:dyDescent="0.2">
      <c r="A757" s="1481" t="s">
        <v>372</v>
      </c>
      <c r="B757" s="1146">
        <v>0</v>
      </c>
      <c r="C757" s="1146">
        <v>0</v>
      </c>
      <c r="D757" s="957">
        <v>0</v>
      </c>
      <c r="E757" s="2327">
        <v>0</v>
      </c>
      <c r="F757" s="964"/>
      <c r="G757" s="1259"/>
      <c r="H757" s="959"/>
      <c r="I757" s="1489"/>
      <c r="J757" s="960"/>
      <c r="K757" s="961"/>
      <c r="L757" s="2234">
        <v>0</v>
      </c>
      <c r="M757" s="1498">
        <v>0</v>
      </c>
      <c r="N757" s="1498">
        <v>0</v>
      </c>
      <c r="O757" s="2233">
        <v>0</v>
      </c>
      <c r="P757" s="1261"/>
      <c r="Q757" s="1606"/>
    </row>
    <row r="758" spans="1:17" ht="14.45" customHeight="1" x14ac:dyDescent="0.2">
      <c r="A758" s="1481" t="s">
        <v>373</v>
      </c>
      <c r="B758" s="1146">
        <v>5</v>
      </c>
      <c r="C758" s="1146">
        <v>5</v>
      </c>
      <c r="D758" s="957">
        <v>75</v>
      </c>
      <c r="E758" s="2325">
        <v>15</v>
      </c>
      <c r="F758" s="1342" t="s">
        <v>988</v>
      </c>
      <c r="G758" s="959">
        <v>2471000</v>
      </c>
      <c r="H758" s="959">
        <v>26430670.985210001</v>
      </c>
      <c r="I758" s="1489"/>
      <c r="J758" s="960"/>
      <c r="K758" s="961"/>
      <c r="L758" s="2234">
        <v>6</v>
      </c>
      <c r="M758" s="1498">
        <v>6</v>
      </c>
      <c r="N758" s="1498">
        <v>90</v>
      </c>
      <c r="O758" s="1630">
        <v>15</v>
      </c>
      <c r="P758" s="1261">
        <v>2592000</v>
      </c>
      <c r="Q758" s="1149">
        <v>26430670.985210001</v>
      </c>
    </row>
    <row r="759" spans="1:17" ht="14.45" customHeight="1" x14ac:dyDescent="0.2">
      <c r="A759" s="1484" t="s">
        <v>374</v>
      </c>
      <c r="B759" s="1002">
        <v>122</v>
      </c>
      <c r="C759" s="984">
        <v>121</v>
      </c>
      <c r="D759" s="984">
        <v>2238</v>
      </c>
      <c r="E759" s="2326">
        <v>18.495867768595041</v>
      </c>
      <c r="F759" s="987"/>
      <c r="G759" s="1488"/>
      <c r="H759" s="996"/>
      <c r="I759" s="1491"/>
      <c r="J759" s="997"/>
      <c r="K759" s="998"/>
      <c r="L759" s="2218">
        <v>110</v>
      </c>
      <c r="M759" s="1485">
        <v>110</v>
      </c>
      <c r="N759" s="1485">
        <v>2179</v>
      </c>
      <c r="O759" s="2216">
        <v>19.809090909090909</v>
      </c>
      <c r="P759" s="1604"/>
      <c r="Q759" s="1605"/>
    </row>
    <row r="760" spans="1:17" ht="14.45" customHeight="1" x14ac:dyDescent="0.2">
      <c r="A760" s="1481" t="s">
        <v>375</v>
      </c>
      <c r="B760" s="1146">
        <v>35</v>
      </c>
      <c r="C760" s="1146">
        <v>34</v>
      </c>
      <c r="D760" s="957">
        <v>680</v>
      </c>
      <c r="E760" s="2325">
        <v>20</v>
      </c>
      <c r="F760" s="1342" t="s">
        <v>988</v>
      </c>
      <c r="G760" s="959">
        <v>2471000</v>
      </c>
      <c r="H760" s="959">
        <v>26430670.985210001</v>
      </c>
      <c r="I760" s="1489"/>
      <c r="J760" s="960"/>
      <c r="K760" s="961"/>
      <c r="L760" s="2234">
        <v>18</v>
      </c>
      <c r="M760" s="1498">
        <v>18</v>
      </c>
      <c r="N760" s="1498">
        <v>468</v>
      </c>
      <c r="O760" s="1630">
        <v>26</v>
      </c>
      <c r="P760" s="1261">
        <v>2592000</v>
      </c>
      <c r="Q760" s="1149">
        <v>26430670.985210001</v>
      </c>
    </row>
    <row r="761" spans="1:17" ht="14.45" customHeight="1" x14ac:dyDescent="0.2">
      <c r="A761" s="1481" t="s">
        <v>376</v>
      </c>
      <c r="B761" s="1146">
        <v>11</v>
      </c>
      <c r="C761" s="1146">
        <v>11</v>
      </c>
      <c r="D761" s="957">
        <v>198</v>
      </c>
      <c r="E761" s="2325">
        <v>18</v>
      </c>
      <c r="F761" s="1342" t="s">
        <v>988</v>
      </c>
      <c r="G761" s="959">
        <v>2471000</v>
      </c>
      <c r="H761" s="959">
        <v>26430670.985210001</v>
      </c>
      <c r="I761" s="1489"/>
      <c r="J761" s="960"/>
      <c r="K761" s="961"/>
      <c r="L761" s="2234">
        <v>22</v>
      </c>
      <c r="M761" s="1498">
        <v>22</v>
      </c>
      <c r="N761" s="1498">
        <v>396</v>
      </c>
      <c r="O761" s="1630">
        <v>18</v>
      </c>
      <c r="P761" s="1261">
        <v>2592000</v>
      </c>
      <c r="Q761" s="1149">
        <v>26430670.985210001</v>
      </c>
    </row>
    <row r="762" spans="1:17" ht="14.45" customHeight="1" x14ac:dyDescent="0.2">
      <c r="A762" s="1481" t="s">
        <v>377</v>
      </c>
      <c r="B762" s="1146">
        <v>10</v>
      </c>
      <c r="C762" s="1146">
        <v>10</v>
      </c>
      <c r="D762" s="957">
        <v>120</v>
      </c>
      <c r="E762" s="2325">
        <v>12</v>
      </c>
      <c r="F762" s="1342" t="s">
        <v>988</v>
      </c>
      <c r="G762" s="959">
        <v>2471000</v>
      </c>
      <c r="H762" s="959">
        <v>26430670.985210001</v>
      </c>
      <c r="I762" s="1489"/>
      <c r="J762" s="960"/>
      <c r="K762" s="961"/>
      <c r="L762" s="2234">
        <v>4</v>
      </c>
      <c r="M762" s="1498">
        <v>4</v>
      </c>
      <c r="N762" s="1498">
        <v>48</v>
      </c>
      <c r="O762" s="1630">
        <v>12</v>
      </c>
      <c r="P762" s="1261">
        <v>2592000</v>
      </c>
      <c r="Q762" s="1149">
        <v>26430670.985210001</v>
      </c>
    </row>
    <row r="763" spans="1:17" ht="14.45" customHeight="1" x14ac:dyDescent="0.2">
      <c r="A763" s="1481" t="s">
        <v>378</v>
      </c>
      <c r="B763" s="1146">
        <v>10</v>
      </c>
      <c r="C763" s="1146">
        <v>10</v>
      </c>
      <c r="D763" s="957">
        <v>190</v>
      </c>
      <c r="E763" s="2325">
        <v>19</v>
      </c>
      <c r="F763" s="1342" t="s">
        <v>988</v>
      </c>
      <c r="G763" s="959">
        <v>2471000</v>
      </c>
      <c r="H763" s="959">
        <v>26430670.985210001</v>
      </c>
      <c r="I763" s="1492"/>
      <c r="J763" s="966"/>
      <c r="K763" s="967"/>
      <c r="L763" s="2234">
        <v>10</v>
      </c>
      <c r="M763" s="1498">
        <v>10</v>
      </c>
      <c r="N763" s="1498">
        <v>175</v>
      </c>
      <c r="O763" s="1630">
        <v>17.5</v>
      </c>
      <c r="P763" s="1261">
        <v>2592000</v>
      </c>
      <c r="Q763" s="1149">
        <v>26430670.985210001</v>
      </c>
    </row>
    <row r="764" spans="1:17" ht="14.45" customHeight="1" x14ac:dyDescent="0.2">
      <c r="A764" s="1481" t="s">
        <v>379</v>
      </c>
      <c r="B764" s="957">
        <v>0</v>
      </c>
      <c r="C764" s="957">
        <v>0</v>
      </c>
      <c r="D764" s="957">
        <v>0</v>
      </c>
      <c r="E764" s="2327">
        <v>0</v>
      </c>
      <c r="F764" s="958"/>
      <c r="G764" s="1500"/>
      <c r="H764" s="965"/>
      <c r="I764" s="1492"/>
      <c r="J764" s="966"/>
      <c r="K764" s="967"/>
      <c r="L764" s="2323">
        <v>0</v>
      </c>
      <c r="M764" s="245">
        <v>0</v>
      </c>
      <c r="N764" s="1498">
        <v>0</v>
      </c>
      <c r="O764" s="1524">
        <v>0</v>
      </c>
      <c r="P764" s="1261"/>
      <c r="Q764" s="1606"/>
    </row>
    <row r="765" spans="1:17" ht="14.45" customHeight="1" x14ac:dyDescent="0.2">
      <c r="A765" s="1481" t="s">
        <v>380</v>
      </c>
      <c r="B765" s="957">
        <v>14</v>
      </c>
      <c r="C765" s="957">
        <v>14</v>
      </c>
      <c r="D765" s="957">
        <v>336</v>
      </c>
      <c r="E765" s="2327">
        <v>24</v>
      </c>
      <c r="F765" s="1342" t="s">
        <v>988</v>
      </c>
      <c r="G765" s="959">
        <v>2471000</v>
      </c>
      <c r="H765" s="959">
        <v>26430670.985210001</v>
      </c>
      <c r="I765" s="1492"/>
      <c r="J765" s="966"/>
      <c r="K765" s="967"/>
      <c r="L765" s="2323">
        <v>14</v>
      </c>
      <c r="M765" s="245">
        <v>14</v>
      </c>
      <c r="N765" s="1498">
        <v>336</v>
      </c>
      <c r="O765" s="1524">
        <v>24</v>
      </c>
      <c r="P765" s="1261">
        <v>2592000</v>
      </c>
      <c r="Q765" s="1149">
        <v>26430670.985210001</v>
      </c>
    </row>
    <row r="766" spans="1:17" ht="14.45" customHeight="1" x14ac:dyDescent="0.2">
      <c r="A766" s="1481" t="s">
        <v>381</v>
      </c>
      <c r="B766" s="957">
        <v>0</v>
      </c>
      <c r="C766" s="957">
        <v>0</v>
      </c>
      <c r="D766" s="957">
        <v>0</v>
      </c>
      <c r="E766" s="2327">
        <v>0</v>
      </c>
      <c r="F766" s="958"/>
      <c r="G766" s="1500"/>
      <c r="H766" s="965"/>
      <c r="I766" s="1492"/>
      <c r="J766" s="966"/>
      <c r="K766" s="967"/>
      <c r="L766" s="2323">
        <v>0</v>
      </c>
      <c r="M766" s="245">
        <v>0</v>
      </c>
      <c r="N766" s="1498">
        <v>0</v>
      </c>
      <c r="O766" s="1524">
        <v>0</v>
      </c>
      <c r="P766" s="1261"/>
      <c r="Q766" s="1606"/>
    </row>
    <row r="767" spans="1:17" ht="14.45" customHeight="1" x14ac:dyDescent="0.2">
      <c r="A767" s="1481" t="s">
        <v>382</v>
      </c>
      <c r="B767" s="957">
        <v>42</v>
      </c>
      <c r="C767" s="957">
        <v>42</v>
      </c>
      <c r="D767" s="957">
        <v>714</v>
      </c>
      <c r="E767" s="2327">
        <v>17</v>
      </c>
      <c r="F767" s="1342" t="s">
        <v>988</v>
      </c>
      <c r="G767" s="959">
        <v>2471000</v>
      </c>
      <c r="H767" s="959">
        <v>26430670.985210001</v>
      </c>
      <c r="I767" s="1492"/>
      <c r="J767" s="966"/>
      <c r="K767" s="967"/>
      <c r="L767" s="2323">
        <v>42</v>
      </c>
      <c r="M767" s="245">
        <v>42</v>
      </c>
      <c r="N767" s="1498">
        <v>756</v>
      </c>
      <c r="O767" s="1524">
        <v>18</v>
      </c>
      <c r="P767" s="1261">
        <v>2592000</v>
      </c>
      <c r="Q767" s="1149">
        <v>26430670.985210001</v>
      </c>
    </row>
    <row r="768" spans="1:17" ht="14.45" customHeight="1" x14ac:dyDescent="0.2">
      <c r="A768" s="1484" t="s">
        <v>383</v>
      </c>
      <c r="B768" s="1002">
        <v>3</v>
      </c>
      <c r="C768" s="1002">
        <v>2</v>
      </c>
      <c r="D768" s="1002">
        <v>20</v>
      </c>
      <c r="E768" s="2328"/>
      <c r="F768" s="1003"/>
      <c r="G768" s="1206"/>
      <c r="H768" s="1004"/>
      <c r="I768" s="1501"/>
      <c r="J768" s="1005"/>
      <c r="K768" s="949"/>
      <c r="L768" s="2218">
        <v>3</v>
      </c>
      <c r="M768" s="1485">
        <v>2</v>
      </c>
      <c r="N768" s="1485">
        <v>20</v>
      </c>
      <c r="O768" s="2278"/>
      <c r="P768" s="1604"/>
      <c r="Q768" s="1605"/>
    </row>
    <row r="769" spans="1:17" ht="14.45" customHeight="1" x14ac:dyDescent="0.2">
      <c r="A769" s="1481" t="s">
        <v>384</v>
      </c>
      <c r="B769" s="957">
        <v>0</v>
      </c>
      <c r="C769" s="957">
        <v>0</v>
      </c>
      <c r="D769" s="957">
        <v>0</v>
      </c>
      <c r="E769" s="2327">
        <v>0</v>
      </c>
      <c r="F769" s="958"/>
      <c r="G769" s="965"/>
      <c r="H769" s="965"/>
      <c r="I769" s="1492"/>
      <c r="J769" s="966"/>
      <c r="K769" s="967"/>
      <c r="L769" s="2234">
        <v>0</v>
      </c>
      <c r="M769" s="1498">
        <v>0</v>
      </c>
      <c r="N769" s="1498">
        <v>0</v>
      </c>
      <c r="O769" s="2233">
        <v>0</v>
      </c>
      <c r="P769" s="1261"/>
      <c r="Q769" s="1606"/>
    </row>
    <row r="770" spans="1:17" ht="14.45" customHeight="1" x14ac:dyDescent="0.2">
      <c r="A770" s="1481" t="s">
        <v>385</v>
      </c>
      <c r="B770" s="957">
        <v>0</v>
      </c>
      <c r="C770" s="957">
        <v>0</v>
      </c>
      <c r="D770" s="957">
        <v>0</v>
      </c>
      <c r="E770" s="2327">
        <v>0</v>
      </c>
      <c r="F770" s="958"/>
      <c r="G770" s="965"/>
      <c r="H770" s="965"/>
      <c r="I770" s="1492"/>
      <c r="J770" s="966"/>
      <c r="K770" s="967"/>
      <c r="L770" s="2234">
        <v>0</v>
      </c>
      <c r="M770" s="1498">
        <v>0</v>
      </c>
      <c r="N770" s="1498">
        <v>0</v>
      </c>
      <c r="O770" s="2233">
        <v>0</v>
      </c>
      <c r="P770" s="1261"/>
      <c r="Q770" s="1606"/>
    </row>
    <row r="771" spans="1:17" ht="14.45" customHeight="1" x14ac:dyDescent="0.2">
      <c r="A771" s="1481" t="s">
        <v>386</v>
      </c>
      <c r="B771" s="957">
        <v>0</v>
      </c>
      <c r="C771" s="957">
        <v>0</v>
      </c>
      <c r="D771" s="957">
        <v>0</v>
      </c>
      <c r="E771" s="2327">
        <v>0</v>
      </c>
      <c r="F771" s="958"/>
      <c r="G771" s="965"/>
      <c r="H771" s="965"/>
      <c r="I771" s="1492"/>
      <c r="J771" s="966"/>
      <c r="K771" s="967"/>
      <c r="L771" s="2234">
        <v>0</v>
      </c>
      <c r="M771" s="1498">
        <v>0</v>
      </c>
      <c r="N771" s="1498">
        <v>0</v>
      </c>
      <c r="O771" s="2233">
        <v>0</v>
      </c>
      <c r="P771" s="1261"/>
      <c r="Q771" s="1606"/>
    </row>
    <row r="772" spans="1:17" ht="14.45" customHeight="1" x14ac:dyDescent="0.2">
      <c r="A772" s="1481" t="s">
        <v>387</v>
      </c>
      <c r="B772" s="957">
        <v>0</v>
      </c>
      <c r="C772" s="957">
        <v>0</v>
      </c>
      <c r="D772" s="957">
        <v>0</v>
      </c>
      <c r="E772" s="2327">
        <v>0</v>
      </c>
      <c r="F772" s="958"/>
      <c r="G772" s="965"/>
      <c r="H772" s="965"/>
      <c r="I772" s="1492"/>
      <c r="J772" s="966"/>
      <c r="K772" s="967"/>
      <c r="L772" s="2234">
        <v>0</v>
      </c>
      <c r="M772" s="1498">
        <v>0</v>
      </c>
      <c r="N772" s="1498">
        <v>0</v>
      </c>
      <c r="O772" s="2233">
        <v>0</v>
      </c>
      <c r="P772" s="1261"/>
      <c r="Q772" s="1606"/>
    </row>
    <row r="773" spans="1:17" ht="14.45" customHeight="1" x14ac:dyDescent="0.2">
      <c r="A773" s="1481" t="s">
        <v>388</v>
      </c>
      <c r="B773" s="957">
        <v>0</v>
      </c>
      <c r="C773" s="957">
        <v>0</v>
      </c>
      <c r="D773" s="957">
        <v>0</v>
      </c>
      <c r="E773" s="2327">
        <v>0</v>
      </c>
      <c r="F773" s="958"/>
      <c r="G773" s="965"/>
      <c r="H773" s="965"/>
      <c r="I773" s="1492"/>
      <c r="J773" s="966"/>
      <c r="K773" s="967"/>
      <c r="L773" s="2234">
        <v>0</v>
      </c>
      <c r="M773" s="1498">
        <v>0</v>
      </c>
      <c r="N773" s="1498">
        <v>0</v>
      </c>
      <c r="O773" s="2233">
        <v>0</v>
      </c>
      <c r="P773" s="1261"/>
      <c r="Q773" s="1606"/>
    </row>
    <row r="774" spans="1:17" ht="14.45" customHeight="1" x14ac:dyDescent="0.2">
      <c r="A774" s="1481" t="s">
        <v>389</v>
      </c>
      <c r="B774" s="957">
        <v>0</v>
      </c>
      <c r="C774" s="957">
        <v>0</v>
      </c>
      <c r="D774" s="957">
        <v>0</v>
      </c>
      <c r="E774" s="2327">
        <v>0</v>
      </c>
      <c r="F774" s="958"/>
      <c r="G774" s="965"/>
      <c r="H774" s="965"/>
      <c r="I774" s="1492"/>
      <c r="J774" s="966"/>
      <c r="K774" s="967"/>
      <c r="L774" s="2234">
        <v>0</v>
      </c>
      <c r="M774" s="1498">
        <v>0</v>
      </c>
      <c r="N774" s="1498">
        <v>0</v>
      </c>
      <c r="O774" s="2233">
        <v>0</v>
      </c>
      <c r="P774" s="1261"/>
      <c r="Q774" s="1606"/>
    </row>
    <row r="775" spans="1:17" ht="14.45" customHeight="1" x14ac:dyDescent="0.2">
      <c r="A775" s="1481" t="s">
        <v>390</v>
      </c>
      <c r="B775" s="957">
        <v>0</v>
      </c>
      <c r="C775" s="957">
        <v>0</v>
      </c>
      <c r="D775" s="957">
        <v>0</v>
      </c>
      <c r="E775" s="2327">
        <v>0</v>
      </c>
      <c r="F775" s="958"/>
      <c r="G775" s="965"/>
      <c r="H775" s="965"/>
      <c r="I775" s="1492"/>
      <c r="J775" s="966"/>
      <c r="K775" s="967"/>
      <c r="L775" s="2234">
        <v>0</v>
      </c>
      <c r="M775" s="1498">
        <v>0</v>
      </c>
      <c r="N775" s="1498">
        <v>0</v>
      </c>
      <c r="O775" s="2233">
        <v>0</v>
      </c>
      <c r="P775" s="1261"/>
      <c r="Q775" s="1606"/>
    </row>
    <row r="776" spans="1:17" ht="14.45" customHeight="1" x14ac:dyDescent="0.2">
      <c r="A776" s="1481" t="s">
        <v>391</v>
      </c>
      <c r="B776" s="957">
        <v>0</v>
      </c>
      <c r="C776" s="957">
        <v>0</v>
      </c>
      <c r="D776" s="957">
        <v>0</v>
      </c>
      <c r="E776" s="2327">
        <v>0</v>
      </c>
      <c r="F776" s="958"/>
      <c r="G776" s="965"/>
      <c r="H776" s="965"/>
      <c r="I776" s="1492"/>
      <c r="J776" s="966"/>
      <c r="K776" s="967"/>
      <c r="L776" s="2304">
        <v>0</v>
      </c>
      <c r="M776" s="1498">
        <v>0</v>
      </c>
      <c r="N776" s="1498">
        <v>0</v>
      </c>
      <c r="O776" s="1623">
        <v>0</v>
      </c>
      <c r="P776" s="1261"/>
      <c r="Q776" s="1606"/>
    </row>
    <row r="777" spans="1:17" ht="14.45" customHeight="1" x14ac:dyDescent="0.2">
      <c r="A777" s="1493" t="s">
        <v>392</v>
      </c>
      <c r="B777" s="957">
        <v>3</v>
      </c>
      <c r="C777" s="957">
        <v>2</v>
      </c>
      <c r="D777" s="957">
        <v>20</v>
      </c>
      <c r="E777" s="2327">
        <v>10</v>
      </c>
      <c r="F777" s="1342" t="s">
        <v>988</v>
      </c>
      <c r="G777" s="959">
        <v>2471000</v>
      </c>
      <c r="H777" s="959">
        <v>26430670.985210001</v>
      </c>
      <c r="I777" s="1502"/>
      <c r="J777" s="973"/>
      <c r="K777" s="974"/>
      <c r="L777" s="2324">
        <v>3</v>
      </c>
      <c r="M777" s="1617">
        <v>2</v>
      </c>
      <c r="N777" s="1617">
        <v>20</v>
      </c>
      <c r="O777" s="1624">
        <v>10</v>
      </c>
      <c r="P777" s="1261">
        <v>2592000</v>
      </c>
      <c r="Q777" s="1149">
        <v>26430670.985210001</v>
      </c>
    </row>
    <row r="778" spans="1:17" ht="14.45" customHeight="1" thickBot="1" x14ac:dyDescent="0.25">
      <c r="A778" s="1006" t="s">
        <v>393</v>
      </c>
      <c r="B778" s="1007">
        <v>458</v>
      </c>
      <c r="C778" s="1007">
        <v>450</v>
      </c>
      <c r="D778" s="1007">
        <v>9225</v>
      </c>
      <c r="E778" s="1482">
        <v>20.5</v>
      </c>
      <c r="F778" s="1480" t="s">
        <v>988</v>
      </c>
      <c r="G778" s="1085">
        <v>2471000</v>
      </c>
      <c r="H778" s="1085">
        <v>26430670.985209994</v>
      </c>
      <c r="I778" s="1008"/>
      <c r="J778" s="1008" t="s">
        <v>983</v>
      </c>
      <c r="K778" s="1011"/>
      <c r="L778" s="2220">
        <v>401</v>
      </c>
      <c r="M778" s="1007">
        <v>399</v>
      </c>
      <c r="N778" s="1007">
        <v>8429</v>
      </c>
      <c r="O778" s="1083">
        <v>21.125313283208019</v>
      </c>
      <c r="P778" s="1603">
        <v>2591999.9999999995</v>
      </c>
      <c r="Q778" s="1607">
        <v>26430670.985210001</v>
      </c>
    </row>
    <row r="779" spans="1:17" x14ac:dyDescent="0.2">
      <c r="A779" s="7" t="s">
        <v>1934</v>
      </c>
      <c r="B779" s="8"/>
      <c r="C779" s="8"/>
      <c r="D779" s="8"/>
      <c r="E779" s="4"/>
      <c r="F779" s="5"/>
      <c r="G779" s="9"/>
      <c r="H779" s="8"/>
      <c r="I779" s="4"/>
      <c r="J779" s="1"/>
      <c r="K779" s="1"/>
      <c r="O779" s="1"/>
      <c r="P779" s="1"/>
    </row>
    <row r="780" spans="1:17" x14ac:dyDescent="0.2">
      <c r="A780" s="6"/>
      <c r="B780" s="8"/>
      <c r="C780" s="8"/>
      <c r="D780" s="8"/>
      <c r="E780" s="4"/>
      <c r="F780" s="5"/>
      <c r="G780" s="9"/>
      <c r="H780" s="8"/>
      <c r="I780" s="4"/>
      <c r="J780" s="1"/>
      <c r="K780" s="1"/>
      <c r="O780" s="1"/>
      <c r="P780" s="1"/>
    </row>
    <row r="781" spans="1:17" x14ac:dyDescent="0.2">
      <c r="A781" s="6"/>
      <c r="B781" s="8"/>
      <c r="C781" s="8"/>
      <c r="D781" s="8"/>
      <c r="E781" s="4"/>
      <c r="F781" s="5"/>
      <c r="G781" s="9"/>
      <c r="H781" s="8"/>
      <c r="I781" s="4"/>
      <c r="J781" s="1"/>
      <c r="K781" s="1"/>
      <c r="O781" s="1"/>
      <c r="P781" s="1"/>
    </row>
    <row r="782" spans="1:17" x14ac:dyDescent="0.2">
      <c r="A782" s="6"/>
      <c r="B782" s="8"/>
      <c r="C782" s="8"/>
      <c r="D782" s="8"/>
      <c r="E782" s="4"/>
      <c r="F782" s="5"/>
      <c r="G782" s="9"/>
      <c r="H782" s="8"/>
      <c r="I782" s="4"/>
      <c r="J782" s="1"/>
      <c r="K782" s="1"/>
      <c r="O782" s="1"/>
      <c r="P782" s="1"/>
    </row>
    <row r="783" spans="1:17" x14ac:dyDescent="0.2">
      <c r="A783" s="6"/>
      <c r="B783" s="8"/>
      <c r="C783" s="8"/>
      <c r="D783" s="8"/>
      <c r="E783" s="2380"/>
      <c r="F783" s="5"/>
      <c r="G783" s="9"/>
      <c r="H783" s="8"/>
      <c r="I783" s="2380"/>
      <c r="J783" s="2381"/>
      <c r="K783" s="2381"/>
      <c r="O783" s="2381"/>
      <c r="P783" s="2381"/>
    </row>
    <row r="784" spans="1:17" x14ac:dyDescent="0.2">
      <c r="A784" s="6"/>
      <c r="B784" s="8"/>
      <c r="C784" s="8"/>
      <c r="D784" s="8"/>
      <c r="E784" s="2380"/>
      <c r="F784" s="5"/>
      <c r="G784" s="9"/>
      <c r="H784" s="8"/>
      <c r="I784" s="2380"/>
      <c r="J784" s="2381"/>
      <c r="K784" s="2381"/>
      <c r="O784" s="2381"/>
      <c r="P784" s="2381"/>
    </row>
    <row r="785" spans="1:17" ht="15.75" customHeight="1" x14ac:dyDescent="0.25">
      <c r="A785" s="2512" t="s">
        <v>1929</v>
      </c>
      <c r="B785" s="2512"/>
      <c r="C785" s="2512"/>
      <c r="D785" s="2512"/>
      <c r="E785" s="2512"/>
      <c r="F785" s="2512"/>
      <c r="G785" s="2512"/>
      <c r="H785" s="2512"/>
      <c r="I785" s="2512"/>
      <c r="J785" s="2512"/>
      <c r="K785" s="2512"/>
      <c r="L785" s="2512"/>
      <c r="M785" s="2512"/>
      <c r="N785" s="2512"/>
      <c r="O785" s="2512"/>
      <c r="P785" s="2512"/>
      <c r="Q785" s="2512"/>
    </row>
    <row r="786" spans="1:17" x14ac:dyDescent="0.2">
      <c r="A786" s="3"/>
      <c r="B786" s="6"/>
      <c r="C786" s="6"/>
      <c r="D786" s="6"/>
      <c r="E786" s="1"/>
      <c r="F786" s="14"/>
      <c r="G786" s="6"/>
      <c r="H786" s="6"/>
      <c r="I786" s="1"/>
      <c r="J786" s="1"/>
      <c r="K786" s="1"/>
      <c r="L786" s="6"/>
      <c r="M786" s="6"/>
      <c r="N786" s="6"/>
      <c r="O786" s="1"/>
      <c r="P786" s="1"/>
      <c r="Q786" s="6"/>
    </row>
    <row r="787" spans="1:17" ht="13.5" thickBot="1" x14ac:dyDescent="0.25">
      <c r="A787" s="3" t="s">
        <v>1822</v>
      </c>
      <c r="B787" s="6"/>
      <c r="C787" s="6"/>
      <c r="D787" s="6"/>
      <c r="E787" s="1"/>
      <c r="F787" s="2"/>
      <c r="G787" s="6"/>
      <c r="H787" s="6"/>
      <c r="I787" s="1"/>
      <c r="J787" s="1"/>
      <c r="K787" s="1"/>
      <c r="L787" s="6"/>
      <c r="M787" s="6"/>
      <c r="N787" s="6"/>
      <c r="O787" s="1"/>
      <c r="P787" s="1"/>
      <c r="Q787" s="6"/>
    </row>
    <row r="788" spans="1:17" ht="14.45" customHeight="1" thickBot="1" x14ac:dyDescent="0.25">
      <c r="A788" s="2513" t="s">
        <v>327</v>
      </c>
      <c r="B788" s="2516" t="s">
        <v>1935</v>
      </c>
      <c r="C788" s="2517"/>
      <c r="D788" s="2517"/>
      <c r="E788" s="2517"/>
      <c r="F788" s="2517"/>
      <c r="G788" s="2517"/>
      <c r="H788" s="2517"/>
      <c r="I788" s="2517"/>
      <c r="J788" s="2517"/>
      <c r="K788" s="2517"/>
      <c r="L788" s="2518" t="s">
        <v>1930</v>
      </c>
      <c r="M788" s="2519"/>
      <c r="N788" s="2519"/>
      <c r="O788" s="2519"/>
      <c r="P788" s="2520"/>
      <c r="Q788" s="2521"/>
    </row>
    <row r="789" spans="1:17" ht="14.45" customHeight="1" x14ac:dyDescent="0.2">
      <c r="A789" s="2514"/>
      <c r="B789" s="2522" t="s">
        <v>328</v>
      </c>
      <c r="C789" s="2523"/>
      <c r="D789" s="1014"/>
      <c r="E789" s="1014" t="s">
        <v>904</v>
      </c>
      <c r="F789" s="1014" t="s">
        <v>329</v>
      </c>
      <c r="G789" s="1014"/>
      <c r="H789" s="1014"/>
      <c r="I789" s="2526" t="s">
        <v>330</v>
      </c>
      <c r="J789" s="2527"/>
      <c r="K789" s="2528"/>
      <c r="L789" s="2524" t="s">
        <v>328</v>
      </c>
      <c r="M789" s="2525"/>
      <c r="N789" s="1021" t="s">
        <v>331</v>
      </c>
      <c r="O789" s="1022" t="s">
        <v>332</v>
      </c>
      <c r="P789" s="1023"/>
      <c r="Q789" s="1024"/>
    </row>
    <row r="790" spans="1:17" ht="14.45" customHeight="1" x14ac:dyDescent="0.2">
      <c r="A790" s="2514"/>
      <c r="B790" s="1014" t="s">
        <v>835</v>
      </c>
      <c r="C790" s="1014" t="s">
        <v>335</v>
      </c>
      <c r="D790" s="1014" t="s">
        <v>837</v>
      </c>
      <c r="E790" s="1014" t="s">
        <v>842</v>
      </c>
      <c r="F790" s="1014" t="s">
        <v>336</v>
      </c>
      <c r="G790" s="1014" t="s">
        <v>337</v>
      </c>
      <c r="H790" s="1014" t="s">
        <v>338</v>
      </c>
      <c r="I790" s="2529" t="s">
        <v>839</v>
      </c>
      <c r="J790" s="2530"/>
      <c r="K790" s="2531"/>
      <c r="L790" s="1025" t="s">
        <v>835</v>
      </c>
      <c r="M790" s="1021" t="s">
        <v>335</v>
      </c>
      <c r="N790" s="1021" t="s">
        <v>339</v>
      </c>
      <c r="O790" s="1022"/>
      <c r="P790" s="1021" t="s">
        <v>337</v>
      </c>
      <c r="Q790" s="1024" t="s">
        <v>338</v>
      </c>
    </row>
    <row r="791" spans="1:17" ht="14.45" customHeight="1" x14ac:dyDescent="0.2">
      <c r="A791" s="2514"/>
      <c r="B791" s="1014"/>
      <c r="C791" s="1014"/>
      <c r="D791" s="1014"/>
      <c r="E791" s="1014"/>
      <c r="F791" s="1014" t="s">
        <v>341</v>
      </c>
      <c r="G791" s="1014" t="s">
        <v>342</v>
      </c>
      <c r="H791" s="1014" t="s">
        <v>341</v>
      </c>
      <c r="I791" s="1015"/>
      <c r="J791" s="1016"/>
      <c r="K791" s="1017"/>
      <c r="L791" s="1025"/>
      <c r="M791" s="1021"/>
      <c r="N791" s="1021"/>
      <c r="O791" s="1022" t="s">
        <v>344</v>
      </c>
      <c r="P791" s="1021" t="s">
        <v>342</v>
      </c>
      <c r="Q791" s="1024" t="s">
        <v>341</v>
      </c>
    </row>
    <row r="792" spans="1:17" ht="14.45" customHeight="1" x14ac:dyDescent="0.2">
      <c r="A792" s="2515"/>
      <c r="B792" s="1018" t="s">
        <v>345</v>
      </c>
      <c r="C792" s="1018" t="s">
        <v>345</v>
      </c>
      <c r="D792" s="1018" t="s">
        <v>346</v>
      </c>
      <c r="E792" s="1018" t="s">
        <v>757</v>
      </c>
      <c r="F792" s="1018"/>
      <c r="G792" s="1018" t="s">
        <v>347</v>
      </c>
      <c r="H792" s="1018" t="s">
        <v>348</v>
      </c>
      <c r="I792" s="1019" t="s">
        <v>349</v>
      </c>
      <c r="J792" s="1019" t="s">
        <v>350</v>
      </c>
      <c r="K792" s="1020" t="s">
        <v>351</v>
      </c>
      <c r="L792" s="1026" t="s">
        <v>345</v>
      </c>
      <c r="M792" s="1027" t="s">
        <v>345</v>
      </c>
      <c r="N792" s="1027" t="s">
        <v>346</v>
      </c>
      <c r="O792" s="1028"/>
      <c r="P792" s="1027" t="s">
        <v>347</v>
      </c>
      <c r="Q792" s="1029" t="s">
        <v>348</v>
      </c>
    </row>
    <row r="793" spans="1:17" ht="14.45" customHeight="1" x14ac:dyDescent="0.2">
      <c r="A793" s="975" t="s">
        <v>352</v>
      </c>
      <c r="B793" s="976">
        <v>12</v>
      </c>
      <c r="C793" s="976">
        <v>12</v>
      </c>
      <c r="D793" s="977">
        <v>64</v>
      </c>
      <c r="E793" s="1608">
        <v>5.333333333333333</v>
      </c>
      <c r="F793" s="979"/>
      <c r="G793" s="976"/>
      <c r="H793" s="976"/>
      <c r="I793" s="978"/>
      <c r="J793" s="978"/>
      <c r="K793" s="980"/>
      <c r="L793" s="981">
        <v>16</v>
      </c>
      <c r="M793" s="977">
        <v>14</v>
      </c>
      <c r="N793" s="977">
        <v>77</v>
      </c>
      <c r="O793" s="1608">
        <v>5.5</v>
      </c>
      <c r="P793" s="1609"/>
      <c r="Q793" s="1610"/>
    </row>
    <row r="794" spans="1:17" ht="14.45" customHeight="1" x14ac:dyDescent="0.2">
      <c r="A794" s="1481" t="s">
        <v>353</v>
      </c>
      <c r="B794" s="1498">
        <v>2</v>
      </c>
      <c r="C794" s="1498">
        <v>2</v>
      </c>
      <c r="D794" s="245">
        <v>14</v>
      </c>
      <c r="E794" s="2355">
        <v>7</v>
      </c>
      <c r="F794" s="958" t="s">
        <v>1886</v>
      </c>
      <c r="G794" s="1259">
        <v>1380000</v>
      </c>
      <c r="H794" s="2077">
        <v>6878300</v>
      </c>
      <c r="I794" s="1489"/>
      <c r="J794" s="960"/>
      <c r="K794" s="961"/>
      <c r="L794" s="2234">
        <v>3</v>
      </c>
      <c r="M794" s="1498">
        <v>3</v>
      </c>
      <c r="N794" s="1498">
        <v>21</v>
      </c>
      <c r="O794" s="2277">
        <v>7</v>
      </c>
      <c r="P794" s="1261">
        <v>1358000</v>
      </c>
      <c r="Q794" s="2222">
        <v>6878300</v>
      </c>
    </row>
    <row r="795" spans="1:17" ht="14.45" customHeight="1" x14ac:dyDescent="0.2">
      <c r="A795" s="1481" t="s">
        <v>354</v>
      </c>
      <c r="B795" s="1498">
        <v>0</v>
      </c>
      <c r="C795" s="1498">
        <v>0</v>
      </c>
      <c r="D795" s="245">
        <v>0</v>
      </c>
      <c r="E795" s="2355">
        <v>0</v>
      </c>
      <c r="F795" s="958"/>
      <c r="G795" s="1259"/>
      <c r="H795" s="959"/>
      <c r="I795" s="1489"/>
      <c r="J795" s="960"/>
      <c r="K795" s="961"/>
      <c r="L795" s="2234">
        <v>0</v>
      </c>
      <c r="M795" s="1498">
        <v>0</v>
      </c>
      <c r="N795" s="1498">
        <v>0</v>
      </c>
      <c r="O795" s="2277">
        <v>0</v>
      </c>
      <c r="P795" s="1261"/>
      <c r="Q795" s="1606"/>
    </row>
    <row r="796" spans="1:17" ht="14.45" customHeight="1" x14ac:dyDescent="0.2">
      <c r="A796" s="1481" t="s">
        <v>355</v>
      </c>
      <c r="B796" s="1498">
        <v>0</v>
      </c>
      <c r="C796" s="1498">
        <v>0</v>
      </c>
      <c r="D796" s="245">
        <v>0</v>
      </c>
      <c r="E796" s="2355">
        <v>0</v>
      </c>
      <c r="F796" s="1342"/>
      <c r="G796" s="1259"/>
      <c r="H796" s="959"/>
      <c r="I796" s="1489"/>
      <c r="J796" s="960"/>
      <c r="K796" s="961"/>
      <c r="L796" s="2234">
        <v>0</v>
      </c>
      <c r="M796" s="1498">
        <v>0</v>
      </c>
      <c r="N796" s="1498">
        <v>0</v>
      </c>
      <c r="O796" s="2277">
        <v>0</v>
      </c>
      <c r="P796" s="1261"/>
      <c r="Q796" s="1149"/>
    </row>
    <row r="797" spans="1:17" ht="14.45" customHeight="1" x14ac:dyDescent="0.2">
      <c r="A797" s="1481" t="s">
        <v>356</v>
      </c>
      <c r="B797" s="1498">
        <v>0</v>
      </c>
      <c r="C797" s="1498">
        <v>0</v>
      </c>
      <c r="D797" s="245">
        <v>0</v>
      </c>
      <c r="E797" s="2355">
        <v>0</v>
      </c>
      <c r="F797" s="1342"/>
      <c r="G797" s="1259"/>
      <c r="H797" s="959"/>
      <c r="I797" s="1489"/>
      <c r="J797" s="960"/>
      <c r="K797" s="961"/>
      <c r="L797" s="2234">
        <v>0</v>
      </c>
      <c r="M797" s="1498">
        <v>0</v>
      </c>
      <c r="N797" s="1498">
        <v>0</v>
      </c>
      <c r="O797" s="2277">
        <v>0</v>
      </c>
      <c r="P797" s="1261"/>
      <c r="Q797" s="1606"/>
    </row>
    <row r="798" spans="1:17" ht="14.45" customHeight="1" x14ac:dyDescent="0.2">
      <c r="A798" s="1481" t="s">
        <v>357</v>
      </c>
      <c r="B798" s="1498">
        <v>0</v>
      </c>
      <c r="C798" s="1498">
        <v>0</v>
      </c>
      <c r="D798" s="245">
        <v>0</v>
      </c>
      <c r="E798" s="2355">
        <v>0</v>
      </c>
      <c r="F798" s="958"/>
      <c r="G798" s="1259"/>
      <c r="H798" s="959"/>
      <c r="I798" s="1489"/>
      <c r="J798" s="960"/>
      <c r="K798" s="961"/>
      <c r="L798" s="2234">
        <v>0</v>
      </c>
      <c r="M798" s="1498">
        <v>0</v>
      </c>
      <c r="N798" s="1498">
        <v>0</v>
      </c>
      <c r="O798" s="2277">
        <v>0</v>
      </c>
      <c r="P798" s="1261"/>
      <c r="Q798" s="2222"/>
    </row>
    <row r="799" spans="1:17" ht="14.45" customHeight="1" x14ac:dyDescent="0.2">
      <c r="A799" s="1481" t="s">
        <v>358</v>
      </c>
      <c r="B799" s="1498">
        <v>10</v>
      </c>
      <c r="C799" s="1498">
        <v>10</v>
      </c>
      <c r="D799" s="245">
        <v>50</v>
      </c>
      <c r="E799" s="2355">
        <v>5</v>
      </c>
      <c r="F799" s="958" t="s">
        <v>1886</v>
      </c>
      <c r="G799" s="1259">
        <v>1380000</v>
      </c>
      <c r="H799" s="2077">
        <v>6878300</v>
      </c>
      <c r="I799" s="1489"/>
      <c r="J799" s="960"/>
      <c r="K799" s="961"/>
      <c r="L799" s="2234">
        <v>12</v>
      </c>
      <c r="M799" s="1498">
        <v>10</v>
      </c>
      <c r="N799" s="1498">
        <v>50</v>
      </c>
      <c r="O799" s="2277">
        <v>5</v>
      </c>
      <c r="P799" s="1261">
        <v>1358000</v>
      </c>
      <c r="Q799" s="2222">
        <v>6878300</v>
      </c>
    </row>
    <row r="800" spans="1:17" ht="14.45" customHeight="1" x14ac:dyDescent="0.2">
      <c r="A800" s="1481" t="s">
        <v>359</v>
      </c>
      <c r="B800" s="1498">
        <v>0</v>
      </c>
      <c r="C800" s="1498">
        <v>0</v>
      </c>
      <c r="D800" s="245">
        <v>0</v>
      </c>
      <c r="E800" s="2355">
        <v>0</v>
      </c>
      <c r="F800" s="964"/>
      <c r="G800" s="1259"/>
      <c r="H800" s="959"/>
      <c r="I800" s="1489"/>
      <c r="J800" s="960"/>
      <c r="K800" s="961"/>
      <c r="L800" s="2234">
        <v>0</v>
      </c>
      <c r="M800" s="1498">
        <v>0</v>
      </c>
      <c r="N800" s="1498">
        <v>0</v>
      </c>
      <c r="O800" s="2277">
        <v>0</v>
      </c>
      <c r="P800" s="1261"/>
      <c r="Q800" s="1606"/>
    </row>
    <row r="801" spans="1:17" ht="14.45" customHeight="1" x14ac:dyDescent="0.2">
      <c r="A801" s="1481" t="s">
        <v>360</v>
      </c>
      <c r="B801" s="1498">
        <v>0</v>
      </c>
      <c r="C801" s="1498">
        <v>0</v>
      </c>
      <c r="D801" s="245">
        <v>0</v>
      </c>
      <c r="E801" s="2355">
        <v>0</v>
      </c>
      <c r="F801" s="964"/>
      <c r="G801" s="1259"/>
      <c r="H801" s="959"/>
      <c r="I801" s="1489"/>
      <c r="J801" s="960"/>
      <c r="K801" s="961"/>
      <c r="L801" s="2234">
        <v>0</v>
      </c>
      <c r="M801" s="1498">
        <v>0</v>
      </c>
      <c r="N801" s="1498">
        <v>0</v>
      </c>
      <c r="O801" s="2277">
        <v>0</v>
      </c>
      <c r="P801" s="1261"/>
      <c r="Q801" s="1606"/>
    </row>
    <row r="802" spans="1:17" ht="14.45" customHeight="1" x14ac:dyDescent="0.2">
      <c r="A802" s="1481" t="s">
        <v>361</v>
      </c>
      <c r="B802" s="1498">
        <v>0</v>
      </c>
      <c r="C802" s="1498">
        <v>0</v>
      </c>
      <c r="D802" s="245">
        <v>0</v>
      </c>
      <c r="E802" s="2355">
        <v>0</v>
      </c>
      <c r="F802" s="958"/>
      <c r="G802" s="1259"/>
      <c r="H802" s="959"/>
      <c r="I802" s="1489"/>
      <c r="J802" s="960"/>
      <c r="K802" s="961"/>
      <c r="L802" s="2234">
        <v>0</v>
      </c>
      <c r="M802" s="1498">
        <v>0</v>
      </c>
      <c r="N802" s="1498">
        <v>0</v>
      </c>
      <c r="O802" s="2233">
        <v>0</v>
      </c>
      <c r="P802" s="1261"/>
      <c r="Q802" s="1606"/>
    </row>
    <row r="803" spans="1:17" ht="14.45" customHeight="1" x14ac:dyDescent="0.2">
      <c r="A803" s="1481" t="s">
        <v>362</v>
      </c>
      <c r="B803" s="1498">
        <v>0</v>
      </c>
      <c r="C803" s="1498">
        <v>0</v>
      </c>
      <c r="D803" s="245">
        <v>0</v>
      </c>
      <c r="E803" s="2355">
        <v>0</v>
      </c>
      <c r="F803" s="958"/>
      <c r="G803" s="1259"/>
      <c r="H803" s="959"/>
      <c r="I803" s="1489"/>
      <c r="J803" s="960"/>
      <c r="K803" s="961"/>
      <c r="L803" s="2234">
        <v>0</v>
      </c>
      <c r="M803" s="1498">
        <v>0</v>
      </c>
      <c r="N803" s="1498">
        <v>0</v>
      </c>
      <c r="O803" s="2233">
        <v>0</v>
      </c>
      <c r="P803" s="1261"/>
      <c r="Q803" s="1606"/>
    </row>
    <row r="804" spans="1:17" ht="14.45" customHeight="1" x14ac:dyDescent="0.2">
      <c r="A804" s="1481" t="s">
        <v>363</v>
      </c>
      <c r="B804" s="1498">
        <v>0</v>
      </c>
      <c r="C804" s="1498">
        <v>0</v>
      </c>
      <c r="D804" s="245">
        <v>0</v>
      </c>
      <c r="E804" s="2355">
        <v>0</v>
      </c>
      <c r="F804" s="964"/>
      <c r="G804" s="1259"/>
      <c r="H804" s="959"/>
      <c r="I804" s="1489"/>
      <c r="J804" s="960"/>
      <c r="K804" s="961"/>
      <c r="L804" s="2234">
        <v>1</v>
      </c>
      <c r="M804" s="1498">
        <v>1</v>
      </c>
      <c r="N804" s="1498">
        <v>6</v>
      </c>
      <c r="O804" s="2233">
        <v>6</v>
      </c>
      <c r="P804" s="1261">
        <v>1358000</v>
      </c>
      <c r="Q804" s="2222">
        <v>6878300</v>
      </c>
    </row>
    <row r="805" spans="1:17" ht="14.45" customHeight="1" x14ac:dyDescent="0.2">
      <c r="A805" s="1481" t="s">
        <v>364</v>
      </c>
      <c r="B805" s="1498">
        <v>0</v>
      </c>
      <c r="C805" s="1498">
        <v>0</v>
      </c>
      <c r="D805" s="245">
        <v>0</v>
      </c>
      <c r="E805" s="2355">
        <v>0</v>
      </c>
      <c r="F805" s="958"/>
      <c r="G805" s="1259"/>
      <c r="H805" s="959"/>
      <c r="I805" s="1489"/>
      <c r="J805" s="960"/>
      <c r="K805" s="961"/>
      <c r="L805" s="2234">
        <v>0</v>
      </c>
      <c r="M805" s="1498">
        <v>0</v>
      </c>
      <c r="N805" s="1498">
        <v>0</v>
      </c>
      <c r="O805" s="2233">
        <v>0</v>
      </c>
      <c r="P805" s="1261"/>
      <c r="Q805" s="1606"/>
    </row>
    <row r="806" spans="1:17" ht="14.45" customHeight="1" x14ac:dyDescent="0.2">
      <c r="A806" s="1481" t="s">
        <v>365</v>
      </c>
      <c r="B806" s="1498">
        <v>0</v>
      </c>
      <c r="C806" s="1498">
        <v>0</v>
      </c>
      <c r="D806" s="245">
        <v>0</v>
      </c>
      <c r="E806" s="2359">
        <v>0</v>
      </c>
      <c r="F806" s="964"/>
      <c r="G806" s="1259"/>
      <c r="H806" s="959"/>
      <c r="I806" s="1489"/>
      <c r="J806" s="960"/>
      <c r="K806" s="961"/>
      <c r="L806" s="2234">
        <v>0</v>
      </c>
      <c r="M806" s="1498">
        <v>0</v>
      </c>
      <c r="N806" s="1498">
        <v>0</v>
      </c>
      <c r="O806" s="2233">
        <v>0</v>
      </c>
      <c r="P806" s="1261"/>
      <c r="Q806" s="1606"/>
    </row>
    <row r="807" spans="1:17" ht="14.45" customHeight="1" x14ac:dyDescent="0.2">
      <c r="A807" s="1481" t="s">
        <v>366</v>
      </c>
      <c r="B807" s="1498">
        <v>0</v>
      </c>
      <c r="C807" s="1498">
        <v>0</v>
      </c>
      <c r="D807" s="245">
        <v>0</v>
      </c>
      <c r="E807" s="2359">
        <v>0</v>
      </c>
      <c r="F807" s="958"/>
      <c r="G807" s="1259"/>
      <c r="H807" s="959"/>
      <c r="I807" s="1489"/>
      <c r="J807" s="960"/>
      <c r="K807" s="961"/>
      <c r="L807" s="2234">
        <v>0</v>
      </c>
      <c r="M807" s="1498">
        <v>0</v>
      </c>
      <c r="N807" s="1498">
        <v>0</v>
      </c>
      <c r="O807" s="2233">
        <v>0</v>
      </c>
      <c r="P807" s="1261"/>
      <c r="Q807" s="1606"/>
    </row>
    <row r="808" spans="1:17" ht="14.45" customHeight="1" x14ac:dyDescent="0.2">
      <c r="A808" s="1481" t="s">
        <v>367</v>
      </c>
      <c r="B808" s="1498">
        <v>0</v>
      </c>
      <c r="C808" s="1498">
        <v>0</v>
      </c>
      <c r="D808" s="245">
        <v>0</v>
      </c>
      <c r="E808" s="2359">
        <v>0</v>
      </c>
      <c r="F808" s="964"/>
      <c r="G808" s="1259"/>
      <c r="H808" s="959"/>
      <c r="I808" s="1489"/>
      <c r="J808" s="960"/>
      <c r="K808" s="961"/>
      <c r="L808" s="2234">
        <v>0</v>
      </c>
      <c r="M808" s="1498">
        <v>0</v>
      </c>
      <c r="N808" s="1498">
        <v>0</v>
      </c>
      <c r="O808" s="2233">
        <v>0</v>
      </c>
      <c r="P808" s="1261"/>
      <c r="Q808" s="1606"/>
    </row>
    <row r="809" spans="1:17" ht="14.45" customHeight="1" x14ac:dyDescent="0.2">
      <c r="A809" s="1484" t="s">
        <v>368</v>
      </c>
      <c r="B809" s="1485">
        <v>9</v>
      </c>
      <c r="C809" s="994">
        <v>9</v>
      </c>
      <c r="D809" s="2311">
        <v>72</v>
      </c>
      <c r="E809" s="2353">
        <v>8</v>
      </c>
      <c r="F809" s="987"/>
      <c r="G809" s="1486"/>
      <c r="H809" s="988"/>
      <c r="I809" s="1490"/>
      <c r="J809" s="989"/>
      <c r="K809" s="990"/>
      <c r="L809" s="2218">
        <v>7</v>
      </c>
      <c r="M809" s="1485">
        <v>7</v>
      </c>
      <c r="N809" s="1485">
        <v>56</v>
      </c>
      <c r="O809" s="2216">
        <v>8</v>
      </c>
      <c r="P809" s="1604"/>
      <c r="Q809" s="1605"/>
    </row>
    <row r="810" spans="1:17" ht="14.45" customHeight="1" x14ac:dyDescent="0.2">
      <c r="A810" s="1481" t="s">
        <v>42</v>
      </c>
      <c r="B810" s="1498">
        <v>9</v>
      </c>
      <c r="C810" s="1498">
        <v>9</v>
      </c>
      <c r="D810" s="245">
        <v>72</v>
      </c>
      <c r="E810" s="2355">
        <v>8</v>
      </c>
      <c r="F810" s="958" t="s">
        <v>1886</v>
      </c>
      <c r="G810" s="1259">
        <v>1380000</v>
      </c>
      <c r="H810" s="2077">
        <v>6878300</v>
      </c>
      <c r="I810" s="1489"/>
      <c r="J810" s="960"/>
      <c r="K810" s="961"/>
      <c r="L810" s="2234">
        <v>7</v>
      </c>
      <c r="M810" s="1498">
        <v>7</v>
      </c>
      <c r="N810" s="1498">
        <v>56</v>
      </c>
      <c r="O810" s="2277">
        <v>8</v>
      </c>
      <c r="P810" s="1261">
        <v>1358000</v>
      </c>
      <c r="Q810" s="2222">
        <v>6878300</v>
      </c>
    </row>
    <row r="811" spans="1:17" ht="14.45" customHeight="1" x14ac:dyDescent="0.2">
      <c r="A811" s="1481" t="s">
        <v>370</v>
      </c>
      <c r="B811" s="1498">
        <v>0</v>
      </c>
      <c r="C811" s="1498">
        <v>0</v>
      </c>
      <c r="D811" s="245">
        <v>0</v>
      </c>
      <c r="E811" s="2359">
        <v>0</v>
      </c>
      <c r="F811" s="964"/>
      <c r="G811" s="1259"/>
      <c r="H811" s="959"/>
      <c r="I811" s="1489"/>
      <c r="J811" s="960"/>
      <c r="K811" s="961"/>
      <c r="L811" s="2234">
        <v>0</v>
      </c>
      <c r="M811" s="1498">
        <v>0</v>
      </c>
      <c r="N811" s="1498">
        <v>0</v>
      </c>
      <c r="O811" s="2233">
        <v>0</v>
      </c>
      <c r="P811" s="1261"/>
      <c r="Q811" s="1606"/>
    </row>
    <row r="812" spans="1:17" ht="14.45" customHeight="1" x14ac:dyDescent="0.2">
      <c r="A812" s="1481" t="s">
        <v>371</v>
      </c>
      <c r="B812" s="1498">
        <v>0</v>
      </c>
      <c r="C812" s="1498">
        <v>0</v>
      </c>
      <c r="D812" s="245">
        <v>0</v>
      </c>
      <c r="E812" s="2359">
        <v>0</v>
      </c>
      <c r="F812" s="958"/>
      <c r="G812" s="1259"/>
      <c r="H812" s="959"/>
      <c r="I812" s="1489"/>
      <c r="J812" s="960"/>
      <c r="K812" s="961"/>
      <c r="L812" s="2234">
        <v>0</v>
      </c>
      <c r="M812" s="1498">
        <v>0</v>
      </c>
      <c r="N812" s="1498">
        <v>0</v>
      </c>
      <c r="O812" s="2233">
        <v>0</v>
      </c>
      <c r="P812" s="1261"/>
      <c r="Q812" s="1149"/>
    </row>
    <row r="813" spans="1:17" ht="14.45" customHeight="1" x14ac:dyDescent="0.2">
      <c r="A813" s="1481" t="s">
        <v>372</v>
      </c>
      <c r="B813" s="1498">
        <v>0</v>
      </c>
      <c r="C813" s="1498">
        <v>0</v>
      </c>
      <c r="D813" s="245">
        <v>0</v>
      </c>
      <c r="E813" s="2359">
        <v>0</v>
      </c>
      <c r="F813" s="964"/>
      <c r="G813" s="1259"/>
      <c r="H813" s="959"/>
      <c r="I813" s="1489"/>
      <c r="J813" s="960"/>
      <c r="K813" s="961"/>
      <c r="L813" s="2234">
        <v>0</v>
      </c>
      <c r="M813" s="1498">
        <v>0</v>
      </c>
      <c r="N813" s="1498">
        <v>0</v>
      </c>
      <c r="O813" s="2233">
        <v>0</v>
      </c>
      <c r="P813" s="1261"/>
      <c r="Q813" s="1606"/>
    </row>
    <row r="814" spans="1:17" ht="14.45" customHeight="1" x14ac:dyDescent="0.2">
      <c r="A814" s="1481" t="s">
        <v>373</v>
      </c>
      <c r="B814" s="1498">
        <v>0</v>
      </c>
      <c r="C814" s="1498">
        <v>0</v>
      </c>
      <c r="D814" s="245">
        <v>0</v>
      </c>
      <c r="E814" s="2359">
        <v>0</v>
      </c>
      <c r="F814" s="958"/>
      <c r="G814" s="1259"/>
      <c r="H814" s="959"/>
      <c r="I814" s="1489"/>
      <c r="J814" s="960"/>
      <c r="K814" s="961"/>
      <c r="L814" s="2234">
        <v>0</v>
      </c>
      <c r="M814" s="1498">
        <v>0</v>
      </c>
      <c r="N814" s="1498">
        <v>0</v>
      </c>
      <c r="O814" s="2233">
        <v>0</v>
      </c>
      <c r="P814" s="1261"/>
      <c r="Q814" s="1606"/>
    </row>
    <row r="815" spans="1:17" ht="14.45" customHeight="1" x14ac:dyDescent="0.2">
      <c r="A815" s="1484" t="s">
        <v>374</v>
      </c>
      <c r="B815" s="1485">
        <v>0</v>
      </c>
      <c r="C815" s="994">
        <v>0</v>
      </c>
      <c r="D815" s="994">
        <v>0</v>
      </c>
      <c r="E815" s="2353"/>
      <c r="F815" s="987"/>
      <c r="G815" s="1488"/>
      <c r="H815" s="996"/>
      <c r="I815" s="1491"/>
      <c r="J815" s="997"/>
      <c r="K815" s="998"/>
      <c r="L815" s="2218">
        <v>0</v>
      </c>
      <c r="M815" s="1485">
        <v>0</v>
      </c>
      <c r="N815" s="1485">
        <v>0</v>
      </c>
      <c r="O815" s="2216" t="e">
        <v>#DIV/0!</v>
      </c>
      <c r="P815" s="1604"/>
      <c r="Q815" s="1605"/>
    </row>
    <row r="816" spans="1:17" ht="14.45" customHeight="1" x14ac:dyDescent="0.2">
      <c r="A816" s="1481" t="s">
        <v>375</v>
      </c>
      <c r="B816" s="1498">
        <v>0</v>
      </c>
      <c r="C816" s="1498">
        <v>0</v>
      </c>
      <c r="D816" s="245">
        <v>0</v>
      </c>
      <c r="E816" s="2359">
        <v>0</v>
      </c>
      <c r="F816" s="958"/>
      <c r="G816" s="1259"/>
      <c r="H816" s="959"/>
      <c r="I816" s="1489"/>
      <c r="J816" s="960"/>
      <c r="K816" s="961"/>
      <c r="L816" s="2234">
        <v>0</v>
      </c>
      <c r="M816" s="1498">
        <v>0</v>
      </c>
      <c r="N816" s="1498">
        <v>0</v>
      </c>
      <c r="O816" s="2233">
        <v>0</v>
      </c>
      <c r="P816" s="1261"/>
      <c r="Q816" s="1606"/>
    </row>
    <row r="817" spans="1:17" ht="14.45" customHeight="1" x14ac:dyDescent="0.2">
      <c r="A817" s="1481" t="s">
        <v>376</v>
      </c>
      <c r="B817" s="1498">
        <v>0</v>
      </c>
      <c r="C817" s="1498">
        <v>0</v>
      </c>
      <c r="D817" s="245">
        <v>0</v>
      </c>
      <c r="E817" s="2359">
        <v>0</v>
      </c>
      <c r="F817" s="958"/>
      <c r="G817" s="1259"/>
      <c r="H817" s="959"/>
      <c r="I817" s="1489"/>
      <c r="J817" s="960"/>
      <c r="K817" s="961"/>
      <c r="L817" s="2234">
        <v>0</v>
      </c>
      <c r="M817" s="1498">
        <v>0</v>
      </c>
      <c r="N817" s="1498">
        <v>0</v>
      </c>
      <c r="O817" s="2233">
        <v>0</v>
      </c>
      <c r="P817" s="1261"/>
      <c r="Q817" s="1606"/>
    </row>
    <row r="818" spans="1:17" ht="14.45" customHeight="1" x14ac:dyDescent="0.2">
      <c r="A818" s="1481" t="s">
        <v>377</v>
      </c>
      <c r="B818" s="1498">
        <v>0</v>
      </c>
      <c r="C818" s="1498">
        <v>0</v>
      </c>
      <c r="D818" s="245">
        <v>0</v>
      </c>
      <c r="E818" s="2359">
        <v>0</v>
      </c>
      <c r="F818" s="958"/>
      <c r="G818" s="1259"/>
      <c r="H818" s="959"/>
      <c r="I818" s="1489"/>
      <c r="J818" s="960"/>
      <c r="K818" s="961"/>
      <c r="L818" s="2234">
        <v>0</v>
      </c>
      <c r="M818" s="1498">
        <v>0</v>
      </c>
      <c r="N818" s="1498">
        <v>0</v>
      </c>
      <c r="O818" s="2233">
        <v>0</v>
      </c>
      <c r="P818" s="1261"/>
      <c r="Q818" s="1606"/>
    </row>
    <row r="819" spans="1:17" ht="14.45" customHeight="1" x14ac:dyDescent="0.2">
      <c r="A819" s="1481" t="s">
        <v>378</v>
      </c>
      <c r="B819" s="1498">
        <v>0</v>
      </c>
      <c r="C819" s="1498">
        <v>0</v>
      </c>
      <c r="D819" s="245">
        <v>0</v>
      </c>
      <c r="E819" s="2359">
        <v>0</v>
      </c>
      <c r="F819" s="1342"/>
      <c r="G819" s="1259"/>
      <c r="H819" s="959"/>
      <c r="I819" s="1492"/>
      <c r="J819" s="966"/>
      <c r="K819" s="967"/>
      <c r="L819" s="2234">
        <v>0</v>
      </c>
      <c r="M819" s="1498">
        <v>0</v>
      </c>
      <c r="N819" s="1498">
        <v>0</v>
      </c>
      <c r="O819" s="2233">
        <v>0</v>
      </c>
      <c r="P819" s="1261"/>
      <c r="Q819" s="1149"/>
    </row>
    <row r="820" spans="1:17" ht="14.45" customHeight="1" x14ac:dyDescent="0.2">
      <c r="A820" s="1481" t="s">
        <v>379</v>
      </c>
      <c r="B820" s="245">
        <v>0</v>
      </c>
      <c r="C820" s="245">
        <v>0</v>
      </c>
      <c r="D820" s="245">
        <v>0</v>
      </c>
      <c r="E820" s="2359">
        <v>0</v>
      </c>
      <c r="F820" s="958"/>
      <c r="G820" s="1500"/>
      <c r="H820" s="965"/>
      <c r="I820" s="1492"/>
      <c r="J820" s="966"/>
      <c r="K820" s="967"/>
      <c r="L820" s="2234">
        <v>0</v>
      </c>
      <c r="M820" s="1498">
        <v>0</v>
      </c>
      <c r="N820" s="1498">
        <v>0</v>
      </c>
      <c r="O820" s="2233">
        <v>0</v>
      </c>
      <c r="P820" s="1261"/>
      <c r="Q820" s="1606"/>
    </row>
    <row r="821" spans="1:17" ht="14.45" customHeight="1" x14ac:dyDescent="0.2">
      <c r="A821" s="1481" t="s">
        <v>380</v>
      </c>
      <c r="B821" s="245">
        <v>0</v>
      </c>
      <c r="C821" s="245">
        <v>0</v>
      </c>
      <c r="D821" s="245">
        <v>0</v>
      </c>
      <c r="E821" s="2359">
        <v>0</v>
      </c>
      <c r="F821" s="958"/>
      <c r="G821" s="1500"/>
      <c r="H821" s="965"/>
      <c r="I821" s="1492"/>
      <c r="J821" s="966"/>
      <c r="K821" s="967"/>
      <c r="L821" s="2234">
        <v>0</v>
      </c>
      <c r="M821" s="1498">
        <v>0</v>
      </c>
      <c r="N821" s="1498">
        <v>0</v>
      </c>
      <c r="O821" s="2233">
        <v>0</v>
      </c>
      <c r="P821" s="1261"/>
      <c r="Q821" s="1606"/>
    </row>
    <row r="822" spans="1:17" ht="14.45" customHeight="1" x14ac:dyDescent="0.2">
      <c r="A822" s="1481" t="s">
        <v>381</v>
      </c>
      <c r="B822" s="245">
        <v>0</v>
      </c>
      <c r="C822" s="245">
        <v>0</v>
      </c>
      <c r="D822" s="245">
        <v>0</v>
      </c>
      <c r="E822" s="2359">
        <v>0</v>
      </c>
      <c r="F822" s="958"/>
      <c r="G822" s="1500"/>
      <c r="H822" s="965"/>
      <c r="I822" s="1492"/>
      <c r="J822" s="966"/>
      <c r="K822" s="967"/>
      <c r="L822" s="2234">
        <v>0</v>
      </c>
      <c r="M822" s="1498">
        <v>0</v>
      </c>
      <c r="N822" s="1498">
        <v>0</v>
      </c>
      <c r="O822" s="2233">
        <v>0</v>
      </c>
      <c r="P822" s="1261"/>
      <c r="Q822" s="1606"/>
    </row>
    <row r="823" spans="1:17" ht="14.45" customHeight="1" x14ac:dyDescent="0.2">
      <c r="A823" s="1481" t="s">
        <v>382</v>
      </c>
      <c r="B823" s="245">
        <v>0</v>
      </c>
      <c r="C823" s="245">
        <v>0</v>
      </c>
      <c r="D823" s="245">
        <v>0</v>
      </c>
      <c r="E823" s="2359">
        <v>0</v>
      </c>
      <c r="F823" s="958"/>
      <c r="G823" s="1500"/>
      <c r="H823" s="965"/>
      <c r="I823" s="1492"/>
      <c r="J823" s="966"/>
      <c r="K823" s="967"/>
      <c r="L823" s="2234">
        <v>0</v>
      </c>
      <c r="M823" s="1498">
        <v>0</v>
      </c>
      <c r="N823" s="1498">
        <v>0</v>
      </c>
      <c r="O823" s="2233">
        <v>0</v>
      </c>
      <c r="P823" s="1261"/>
      <c r="Q823" s="1606"/>
    </row>
    <row r="824" spans="1:17" ht="14.45" customHeight="1" x14ac:dyDescent="0.2">
      <c r="A824" s="1484" t="s">
        <v>383</v>
      </c>
      <c r="B824" s="1485">
        <v>5</v>
      </c>
      <c r="C824" s="1485">
        <v>5</v>
      </c>
      <c r="D824" s="1485">
        <v>26</v>
      </c>
      <c r="E824" s="2353">
        <v>5.2</v>
      </c>
      <c r="F824" s="1003"/>
      <c r="G824" s="1206"/>
      <c r="H824" s="1004"/>
      <c r="I824" s="1501"/>
      <c r="J824" s="1005"/>
      <c r="K824" s="949"/>
      <c r="L824" s="2218">
        <v>7</v>
      </c>
      <c r="M824" s="1485">
        <v>6.5</v>
      </c>
      <c r="N824" s="1485">
        <v>35.5</v>
      </c>
      <c r="O824" s="2216">
        <v>5.4615384615384617</v>
      </c>
      <c r="P824" s="1604"/>
      <c r="Q824" s="1605"/>
    </row>
    <row r="825" spans="1:17" ht="14.45" customHeight="1" x14ac:dyDescent="0.2">
      <c r="A825" s="1481" t="s">
        <v>384</v>
      </c>
      <c r="B825" s="245">
        <v>0</v>
      </c>
      <c r="C825" s="245">
        <v>0</v>
      </c>
      <c r="D825" s="245">
        <v>0</v>
      </c>
      <c r="E825" s="2359">
        <v>0</v>
      </c>
      <c r="F825" s="958"/>
      <c r="G825" s="1500"/>
      <c r="H825" s="965"/>
      <c r="I825" s="1492"/>
      <c r="J825" s="966"/>
      <c r="K825" s="967"/>
      <c r="L825" s="2234">
        <v>0</v>
      </c>
      <c r="M825" s="1498">
        <v>0</v>
      </c>
      <c r="N825" s="1498">
        <v>0</v>
      </c>
      <c r="O825" s="2233">
        <v>0</v>
      </c>
      <c r="P825" s="1261"/>
      <c r="Q825" s="1606"/>
    </row>
    <row r="826" spans="1:17" ht="14.45" customHeight="1" x14ac:dyDescent="0.2">
      <c r="A826" s="1481" t="s">
        <v>385</v>
      </c>
      <c r="B826" s="245">
        <v>0</v>
      </c>
      <c r="C826" s="245">
        <v>0</v>
      </c>
      <c r="D826" s="245">
        <v>0</v>
      </c>
      <c r="E826" s="2359">
        <v>0</v>
      </c>
      <c r="F826" s="958"/>
      <c r="G826" s="1500"/>
      <c r="H826" s="965"/>
      <c r="I826" s="1492"/>
      <c r="J826" s="966"/>
      <c r="K826" s="967"/>
      <c r="L826" s="2234">
        <v>0</v>
      </c>
      <c r="M826" s="1498">
        <v>0</v>
      </c>
      <c r="N826" s="1498">
        <v>0</v>
      </c>
      <c r="O826" s="2233">
        <v>0</v>
      </c>
      <c r="P826" s="1261"/>
      <c r="Q826" s="1606"/>
    </row>
    <row r="827" spans="1:17" ht="14.45" customHeight="1" x14ac:dyDescent="0.2">
      <c r="A827" s="1481" t="s">
        <v>386</v>
      </c>
      <c r="B827" s="245">
        <v>0</v>
      </c>
      <c r="C827" s="245">
        <v>0</v>
      </c>
      <c r="D827" s="245">
        <v>0</v>
      </c>
      <c r="E827" s="2359">
        <v>0</v>
      </c>
      <c r="F827" s="958"/>
      <c r="G827" s="1500"/>
      <c r="H827" s="965"/>
      <c r="I827" s="1492"/>
      <c r="J827" s="966"/>
      <c r="K827" s="967"/>
      <c r="L827" s="2234">
        <v>0</v>
      </c>
      <c r="M827" s="1498">
        <v>0</v>
      </c>
      <c r="N827" s="1498">
        <v>0</v>
      </c>
      <c r="O827" s="2233">
        <v>0</v>
      </c>
      <c r="P827" s="1261"/>
      <c r="Q827" s="1606"/>
    </row>
    <row r="828" spans="1:17" ht="14.45" customHeight="1" x14ac:dyDescent="0.2">
      <c r="A828" s="1481" t="s">
        <v>387</v>
      </c>
      <c r="B828" s="1498">
        <v>2</v>
      </c>
      <c r="C828" s="1498">
        <v>2</v>
      </c>
      <c r="D828" s="245">
        <v>14</v>
      </c>
      <c r="E828" s="2355">
        <v>7</v>
      </c>
      <c r="F828" s="958" t="s">
        <v>1886</v>
      </c>
      <c r="G828" s="1259">
        <v>1380000</v>
      </c>
      <c r="H828" s="2077">
        <v>6878300</v>
      </c>
      <c r="I828" s="1492"/>
      <c r="J828" s="960"/>
      <c r="K828" s="967"/>
      <c r="L828" s="2234">
        <v>2</v>
      </c>
      <c r="M828" s="1498">
        <v>1.5</v>
      </c>
      <c r="N828" s="1498">
        <v>10.5</v>
      </c>
      <c r="O828" s="2277">
        <v>7</v>
      </c>
      <c r="P828" s="1261">
        <v>1358000</v>
      </c>
      <c r="Q828" s="2222">
        <v>6878300</v>
      </c>
    </row>
    <row r="829" spans="1:17" ht="14.45" customHeight="1" x14ac:dyDescent="0.2">
      <c r="A829" s="1481" t="s">
        <v>388</v>
      </c>
      <c r="B829" s="1498">
        <v>0</v>
      </c>
      <c r="C829" s="1498">
        <v>0</v>
      </c>
      <c r="D829" s="245">
        <v>0</v>
      </c>
      <c r="E829" s="2355">
        <v>0</v>
      </c>
      <c r="F829" s="958"/>
      <c r="G829" s="1500"/>
      <c r="H829" s="965"/>
      <c r="I829" s="1492"/>
      <c r="J829" s="960"/>
      <c r="K829" s="967"/>
      <c r="L829" s="2234">
        <v>0</v>
      </c>
      <c r="M829" s="1498">
        <v>0</v>
      </c>
      <c r="N829" s="1498">
        <v>0</v>
      </c>
      <c r="O829" s="2277">
        <v>0</v>
      </c>
      <c r="P829" s="1261"/>
      <c r="Q829" s="1606"/>
    </row>
    <row r="830" spans="1:17" ht="14.45" customHeight="1" x14ac:dyDescent="0.2">
      <c r="A830" s="1481" t="s">
        <v>389</v>
      </c>
      <c r="B830" s="1498">
        <v>0</v>
      </c>
      <c r="C830" s="1498">
        <v>0</v>
      </c>
      <c r="D830" s="245">
        <v>0</v>
      </c>
      <c r="E830" s="2355">
        <v>0</v>
      </c>
      <c r="F830" s="958"/>
      <c r="G830" s="1259"/>
      <c r="H830" s="2077"/>
      <c r="I830" s="1492"/>
      <c r="J830" s="960"/>
      <c r="K830" s="967"/>
      <c r="L830" s="2234">
        <v>0</v>
      </c>
      <c r="M830" s="1498">
        <v>0</v>
      </c>
      <c r="N830" s="1498">
        <v>0</v>
      </c>
      <c r="O830" s="2277">
        <v>0</v>
      </c>
      <c r="P830" s="1261"/>
      <c r="Q830" s="1606"/>
    </row>
    <row r="831" spans="1:17" ht="14.45" customHeight="1" x14ac:dyDescent="0.2">
      <c r="A831" s="1481" t="s">
        <v>390</v>
      </c>
      <c r="B831" s="1498">
        <v>0</v>
      </c>
      <c r="C831" s="1498">
        <v>0</v>
      </c>
      <c r="D831" s="245">
        <v>0</v>
      </c>
      <c r="E831" s="2355">
        <v>0</v>
      </c>
      <c r="F831" s="958"/>
      <c r="G831" s="1500"/>
      <c r="H831" s="965"/>
      <c r="I831" s="1492"/>
      <c r="J831" s="960"/>
      <c r="K831" s="967"/>
      <c r="L831" s="2234">
        <v>0</v>
      </c>
      <c r="M831" s="1498">
        <v>0</v>
      </c>
      <c r="N831" s="1498">
        <v>0</v>
      </c>
      <c r="O831" s="2277">
        <v>0</v>
      </c>
      <c r="P831" s="1261"/>
      <c r="Q831" s="1606"/>
    </row>
    <row r="832" spans="1:17" ht="14.45" customHeight="1" x14ac:dyDescent="0.2">
      <c r="A832" s="1481" t="s">
        <v>1736</v>
      </c>
      <c r="B832" s="1498">
        <v>3</v>
      </c>
      <c r="C832" s="1498">
        <v>3</v>
      </c>
      <c r="D832" s="245">
        <v>12</v>
      </c>
      <c r="E832" s="2355">
        <v>4</v>
      </c>
      <c r="F832" s="958" t="s">
        <v>1886</v>
      </c>
      <c r="G832" s="1259">
        <v>1380000</v>
      </c>
      <c r="H832" s="2077">
        <v>6878300</v>
      </c>
      <c r="I832" s="1492"/>
      <c r="J832" s="960"/>
      <c r="K832" s="967"/>
      <c r="L832" s="2234">
        <v>5</v>
      </c>
      <c r="M832" s="1498">
        <v>5</v>
      </c>
      <c r="N832" s="1498">
        <v>25</v>
      </c>
      <c r="O832" s="2277">
        <v>5</v>
      </c>
      <c r="P832" s="1261">
        <v>1358000</v>
      </c>
      <c r="Q832" s="2222">
        <v>6878300</v>
      </c>
    </row>
    <row r="833" spans="1:17" ht="14.45" customHeight="1" x14ac:dyDescent="0.2">
      <c r="A833" s="1493" t="s">
        <v>392</v>
      </c>
      <c r="B833" s="2319">
        <v>0</v>
      </c>
      <c r="C833" s="2319">
        <v>0</v>
      </c>
      <c r="D833" s="245">
        <v>0</v>
      </c>
      <c r="E833" s="2356">
        <v>0</v>
      </c>
      <c r="F833" s="1495"/>
      <c r="G833" s="965"/>
      <c r="H833" s="965"/>
      <c r="I833" s="1502"/>
      <c r="J833" s="973"/>
      <c r="K833" s="974"/>
      <c r="L833" s="2324">
        <v>0</v>
      </c>
      <c r="M833" s="1617">
        <v>0</v>
      </c>
      <c r="N833" s="2221">
        <v>0</v>
      </c>
      <c r="O833" s="2329">
        <v>0</v>
      </c>
      <c r="P833" s="1621"/>
      <c r="Q833" s="1972"/>
    </row>
    <row r="834" spans="1:17" ht="14.45" customHeight="1" thickBot="1" x14ac:dyDescent="0.25">
      <c r="A834" s="1006" t="s">
        <v>393</v>
      </c>
      <c r="B834" s="1007">
        <v>26</v>
      </c>
      <c r="C834" s="1007">
        <v>26</v>
      </c>
      <c r="D834" s="1007">
        <v>162</v>
      </c>
      <c r="E834" s="1482">
        <v>6.2307692307692308</v>
      </c>
      <c r="F834" s="2001" t="s">
        <v>406</v>
      </c>
      <c r="G834" s="1085">
        <v>1380000</v>
      </c>
      <c r="H834" s="1085">
        <v>6878300</v>
      </c>
      <c r="I834" s="1008"/>
      <c r="J834" s="1008" t="s">
        <v>983</v>
      </c>
      <c r="K834" s="1011"/>
      <c r="L834" s="1007">
        <v>30</v>
      </c>
      <c r="M834" s="1007">
        <v>27.5</v>
      </c>
      <c r="N834" s="1007">
        <v>168.5</v>
      </c>
      <c r="O834" s="1083">
        <v>6.127272727272727</v>
      </c>
      <c r="P834" s="1603">
        <v>1358000</v>
      </c>
      <c r="Q834" s="1607">
        <v>6878299.9999999991</v>
      </c>
    </row>
    <row r="835" spans="1:17" x14ac:dyDescent="0.2">
      <c r="A835" s="7" t="s">
        <v>1934</v>
      </c>
      <c r="B835" s="8"/>
      <c r="C835" s="8"/>
      <c r="D835" s="8"/>
      <c r="E835" s="4"/>
      <c r="F835" s="5"/>
      <c r="G835" s="9"/>
      <c r="H835" s="8"/>
      <c r="I835" s="4"/>
      <c r="J835" s="1"/>
      <c r="K835" s="1"/>
      <c r="O835" s="1"/>
      <c r="P835" s="1"/>
    </row>
    <row r="836" spans="1:17" x14ac:dyDescent="0.2">
      <c r="A836" s="1631" t="s">
        <v>704</v>
      </c>
      <c r="B836" s="8"/>
      <c r="C836" s="8"/>
      <c r="D836" s="8"/>
      <c r="E836" s="4"/>
      <c r="F836" s="5"/>
      <c r="G836" s="9"/>
      <c r="H836" s="8"/>
      <c r="I836" s="4"/>
      <c r="J836" s="1"/>
      <c r="K836" s="1"/>
      <c r="O836" s="1"/>
      <c r="P836" s="1"/>
    </row>
    <row r="837" spans="1:17" x14ac:dyDescent="0.2">
      <c r="A837" s="6"/>
      <c r="B837" s="8"/>
      <c r="C837" s="8"/>
      <c r="D837" s="8"/>
      <c r="E837" s="4"/>
      <c r="F837" s="5"/>
      <c r="G837" s="9"/>
      <c r="H837" s="8"/>
      <c r="I837" s="4"/>
      <c r="J837" s="1"/>
      <c r="K837" s="1"/>
      <c r="O837" s="1"/>
      <c r="P837" s="1"/>
    </row>
    <row r="838" spans="1:17" x14ac:dyDescent="0.2">
      <c r="A838" s="6"/>
      <c r="B838" s="8"/>
      <c r="C838" s="8"/>
      <c r="D838" s="8"/>
      <c r="E838" s="4"/>
      <c r="F838" s="5"/>
      <c r="G838" s="9"/>
      <c r="H838" s="8"/>
      <c r="I838" s="4"/>
      <c r="J838" s="1"/>
      <c r="K838" s="1"/>
      <c r="O838" s="1"/>
      <c r="P838" s="1"/>
    </row>
    <row r="839" spans="1:17" x14ac:dyDescent="0.2">
      <c r="A839" s="6"/>
      <c r="B839" s="8"/>
      <c r="C839" s="8"/>
      <c r="D839" s="8"/>
      <c r="E839" s="2380"/>
      <c r="F839" s="5"/>
      <c r="G839" s="9"/>
      <c r="H839" s="8"/>
      <c r="I839" s="2380"/>
      <c r="J839" s="2381"/>
      <c r="K839" s="2381"/>
      <c r="O839" s="2381"/>
      <c r="P839" s="2381"/>
    </row>
    <row r="840" spans="1:17" x14ac:dyDescent="0.2">
      <c r="A840" s="6"/>
      <c r="B840" s="8"/>
      <c r="C840" s="8"/>
      <c r="D840" s="8"/>
      <c r="E840" s="2380"/>
      <c r="F840" s="5"/>
      <c r="G840" s="9"/>
      <c r="H840" s="8"/>
      <c r="I840" s="2380"/>
      <c r="J840" s="2381"/>
      <c r="K840" s="2381"/>
      <c r="O840" s="2381"/>
      <c r="P840" s="2381"/>
    </row>
    <row r="841" spans="1:17" ht="15.75" customHeight="1" x14ac:dyDescent="0.25">
      <c r="A841" s="2512" t="s">
        <v>1929</v>
      </c>
      <c r="B841" s="2512"/>
      <c r="C841" s="2512"/>
      <c r="D841" s="2512"/>
      <c r="E841" s="2512"/>
      <c r="F841" s="2512"/>
      <c r="G841" s="2512"/>
      <c r="H841" s="2512"/>
      <c r="I841" s="2512"/>
      <c r="J841" s="2512"/>
      <c r="K841" s="2512"/>
      <c r="L841" s="2512"/>
      <c r="M841" s="2512"/>
      <c r="N841" s="2512"/>
      <c r="O841" s="2512"/>
      <c r="P841" s="2512"/>
      <c r="Q841" s="2512"/>
    </row>
    <row r="842" spans="1:17" x14ac:dyDescent="0.2">
      <c r="A842" s="3"/>
      <c r="B842" s="6"/>
      <c r="C842" s="6"/>
      <c r="D842" s="6"/>
      <c r="E842" s="1"/>
      <c r="F842" s="2"/>
      <c r="G842" s="17"/>
      <c r="H842" s="6"/>
      <c r="I842" s="1"/>
      <c r="J842" s="1"/>
      <c r="K842" s="1"/>
      <c r="L842" s="6"/>
      <c r="M842" s="6"/>
      <c r="N842" s="6"/>
      <c r="O842" s="1"/>
      <c r="P842" s="1"/>
      <c r="Q842" s="6"/>
    </row>
    <row r="843" spans="1:17" ht="13.5" thickBot="1" x14ac:dyDescent="0.25">
      <c r="A843" s="3" t="s">
        <v>401</v>
      </c>
      <c r="B843" s="6"/>
      <c r="C843" s="6"/>
      <c r="D843" s="6"/>
      <c r="E843" s="1"/>
      <c r="F843" s="2"/>
      <c r="G843" s="6"/>
      <c r="H843" s="6"/>
      <c r="I843" s="1"/>
      <c r="J843" s="1"/>
      <c r="K843" s="1"/>
      <c r="L843" s="6"/>
      <c r="M843" s="6"/>
      <c r="N843" s="6"/>
      <c r="O843" s="1"/>
      <c r="P843" s="1"/>
      <c r="Q843" s="6"/>
    </row>
    <row r="844" spans="1:17" ht="14.45" customHeight="1" thickBot="1" x14ac:dyDescent="0.25">
      <c r="A844" s="2513" t="s">
        <v>327</v>
      </c>
      <c r="B844" s="2516" t="s">
        <v>1935</v>
      </c>
      <c r="C844" s="2517"/>
      <c r="D844" s="2517"/>
      <c r="E844" s="2517"/>
      <c r="F844" s="2517"/>
      <c r="G844" s="2517"/>
      <c r="H844" s="2517"/>
      <c r="I844" s="2517"/>
      <c r="J844" s="2517"/>
      <c r="K844" s="2517"/>
      <c r="L844" s="2518" t="s">
        <v>1930</v>
      </c>
      <c r="M844" s="2519"/>
      <c r="N844" s="2519"/>
      <c r="O844" s="2519"/>
      <c r="P844" s="2520"/>
      <c r="Q844" s="2521"/>
    </row>
    <row r="845" spans="1:17" ht="14.45" customHeight="1" x14ac:dyDescent="0.2">
      <c r="A845" s="2514"/>
      <c r="B845" s="2522" t="s">
        <v>328</v>
      </c>
      <c r="C845" s="2523"/>
      <c r="D845" s="1014"/>
      <c r="E845" s="1014" t="s">
        <v>904</v>
      </c>
      <c r="F845" s="1014" t="s">
        <v>329</v>
      </c>
      <c r="G845" s="1014"/>
      <c r="H845" s="1014"/>
      <c r="I845" s="2526" t="s">
        <v>330</v>
      </c>
      <c r="J845" s="2527"/>
      <c r="K845" s="2528"/>
      <c r="L845" s="2524" t="s">
        <v>328</v>
      </c>
      <c r="M845" s="2525"/>
      <c r="N845" s="1021" t="s">
        <v>331</v>
      </c>
      <c r="O845" s="1022" t="s">
        <v>332</v>
      </c>
      <c r="P845" s="1023"/>
      <c r="Q845" s="1024"/>
    </row>
    <row r="846" spans="1:17" ht="14.45" customHeight="1" x14ac:dyDescent="0.2">
      <c r="A846" s="2514"/>
      <c r="B846" s="1014" t="s">
        <v>835</v>
      </c>
      <c r="C846" s="1014" t="s">
        <v>335</v>
      </c>
      <c r="D846" s="1014" t="s">
        <v>837</v>
      </c>
      <c r="E846" s="1014" t="s">
        <v>842</v>
      </c>
      <c r="F846" s="1014" t="s">
        <v>336</v>
      </c>
      <c r="G846" s="1014" t="s">
        <v>337</v>
      </c>
      <c r="H846" s="1014" t="s">
        <v>338</v>
      </c>
      <c r="I846" s="2529" t="s">
        <v>839</v>
      </c>
      <c r="J846" s="2530"/>
      <c r="K846" s="2531"/>
      <c r="L846" s="1025" t="s">
        <v>835</v>
      </c>
      <c r="M846" s="1021" t="s">
        <v>335</v>
      </c>
      <c r="N846" s="1021" t="s">
        <v>339</v>
      </c>
      <c r="O846" s="1022"/>
      <c r="P846" s="1021" t="s">
        <v>337</v>
      </c>
      <c r="Q846" s="1024" t="s">
        <v>338</v>
      </c>
    </row>
    <row r="847" spans="1:17" ht="14.45" customHeight="1" x14ac:dyDescent="0.2">
      <c r="A847" s="2514"/>
      <c r="B847" s="1014"/>
      <c r="C847" s="1014"/>
      <c r="D847" s="1014"/>
      <c r="E847" s="1014"/>
      <c r="F847" s="1014" t="s">
        <v>341</v>
      </c>
      <c r="G847" s="1014" t="s">
        <v>342</v>
      </c>
      <c r="H847" s="1014" t="s">
        <v>341</v>
      </c>
      <c r="I847" s="1015"/>
      <c r="J847" s="1016"/>
      <c r="K847" s="1017"/>
      <c r="L847" s="1025"/>
      <c r="M847" s="1021"/>
      <c r="N847" s="1021"/>
      <c r="O847" s="1022" t="s">
        <v>344</v>
      </c>
      <c r="P847" s="1021" t="s">
        <v>342</v>
      </c>
      <c r="Q847" s="1024" t="s">
        <v>341</v>
      </c>
    </row>
    <row r="848" spans="1:17" ht="14.45" customHeight="1" x14ac:dyDescent="0.2">
      <c r="A848" s="2515"/>
      <c r="B848" s="1018" t="s">
        <v>345</v>
      </c>
      <c r="C848" s="1018" t="s">
        <v>345</v>
      </c>
      <c r="D848" s="1018" t="s">
        <v>346</v>
      </c>
      <c r="E848" s="1018" t="s">
        <v>757</v>
      </c>
      <c r="F848" s="1018"/>
      <c r="G848" s="1018" t="s">
        <v>347</v>
      </c>
      <c r="H848" s="1018" t="s">
        <v>348</v>
      </c>
      <c r="I848" s="1019" t="s">
        <v>349</v>
      </c>
      <c r="J848" s="1019" t="s">
        <v>350</v>
      </c>
      <c r="K848" s="1020" t="s">
        <v>351</v>
      </c>
      <c r="L848" s="1026" t="s">
        <v>345</v>
      </c>
      <c r="M848" s="1027" t="s">
        <v>345</v>
      </c>
      <c r="N848" s="1027" t="s">
        <v>346</v>
      </c>
      <c r="O848" s="1028"/>
      <c r="P848" s="1027" t="s">
        <v>347</v>
      </c>
      <c r="Q848" s="1029" t="s">
        <v>348</v>
      </c>
    </row>
    <row r="849" spans="1:17" ht="14.45" customHeight="1" x14ac:dyDescent="0.2">
      <c r="A849" s="975" t="s">
        <v>352</v>
      </c>
      <c r="B849" s="976">
        <v>17</v>
      </c>
      <c r="C849" s="976">
        <v>15</v>
      </c>
      <c r="D849" s="977">
        <v>108.5</v>
      </c>
      <c r="E849" s="1608">
        <v>7.2333333333333334</v>
      </c>
      <c r="F849" s="979"/>
      <c r="G849" s="976"/>
      <c r="H849" s="976"/>
      <c r="I849" s="978"/>
      <c r="J849" s="978"/>
      <c r="K849" s="980"/>
      <c r="L849" s="981">
        <v>19.2</v>
      </c>
      <c r="M849" s="977">
        <v>17.2</v>
      </c>
      <c r="N849" s="977">
        <v>111.3</v>
      </c>
      <c r="O849" s="1608">
        <v>6.4709302325581399</v>
      </c>
      <c r="P849" s="1609"/>
      <c r="Q849" s="1610"/>
    </row>
    <row r="850" spans="1:17" ht="14.45" customHeight="1" x14ac:dyDescent="0.2">
      <c r="A850" s="1481" t="s">
        <v>353</v>
      </c>
      <c r="B850" s="1146">
        <v>0</v>
      </c>
      <c r="C850" s="1146">
        <v>0</v>
      </c>
      <c r="D850" s="957">
        <v>0</v>
      </c>
      <c r="E850" s="1518">
        <v>0</v>
      </c>
      <c r="F850" s="1499"/>
      <c r="G850" s="959"/>
      <c r="H850" s="959"/>
      <c r="I850" s="1489"/>
      <c r="J850" s="960"/>
      <c r="K850" s="961"/>
      <c r="L850" s="2304">
        <v>0</v>
      </c>
      <c r="M850" s="1498">
        <v>0</v>
      </c>
      <c r="N850" s="1498">
        <v>0</v>
      </c>
      <c r="O850" s="1623">
        <v>0</v>
      </c>
      <c r="P850" s="1261"/>
      <c r="Q850" s="1606"/>
    </row>
    <row r="851" spans="1:17" ht="14.45" customHeight="1" x14ac:dyDescent="0.2">
      <c r="A851" s="1481" t="s">
        <v>354</v>
      </c>
      <c r="B851" s="1146">
        <v>0</v>
      </c>
      <c r="C851" s="1146">
        <v>0</v>
      </c>
      <c r="D851" s="957">
        <v>0</v>
      </c>
      <c r="E851" s="1518">
        <v>0</v>
      </c>
      <c r="F851" s="958"/>
      <c r="G851" s="959"/>
      <c r="H851" s="959"/>
      <c r="I851" s="1489"/>
      <c r="J851" s="960"/>
      <c r="K851" s="961"/>
      <c r="L851" s="2304">
        <v>0</v>
      </c>
      <c r="M851" s="1498">
        <v>0</v>
      </c>
      <c r="N851" s="1498">
        <v>0</v>
      </c>
      <c r="O851" s="1623">
        <v>0</v>
      </c>
      <c r="P851" s="1261"/>
      <c r="Q851" s="1606"/>
    </row>
    <row r="852" spans="1:17" ht="14.45" customHeight="1" x14ac:dyDescent="0.2">
      <c r="A852" s="1481" t="s">
        <v>355</v>
      </c>
      <c r="B852" s="1146">
        <v>8</v>
      </c>
      <c r="C852" s="1146">
        <v>6</v>
      </c>
      <c r="D852" s="957">
        <v>42</v>
      </c>
      <c r="E852" s="1623">
        <v>7</v>
      </c>
      <c r="F852" s="1499" t="s">
        <v>988</v>
      </c>
      <c r="G852" s="1259">
        <v>1675000</v>
      </c>
      <c r="H852" s="2077">
        <v>8350000</v>
      </c>
      <c r="I852" s="1489"/>
      <c r="J852" s="960"/>
      <c r="K852" s="961"/>
      <c r="L852" s="2234">
        <v>10</v>
      </c>
      <c r="M852" s="1498">
        <v>8</v>
      </c>
      <c r="N852" s="1498">
        <v>48</v>
      </c>
      <c r="O852" s="2277">
        <v>6</v>
      </c>
      <c r="P852" s="1261">
        <v>1474000</v>
      </c>
      <c r="Q852" s="2333">
        <v>8350000</v>
      </c>
    </row>
    <row r="853" spans="1:17" ht="14.45" customHeight="1" x14ac:dyDescent="0.2">
      <c r="A853" s="1481" t="s">
        <v>356</v>
      </c>
      <c r="B853" s="1146"/>
      <c r="C853" s="1146"/>
      <c r="D853" s="957">
        <v>0</v>
      </c>
      <c r="E853" s="1623"/>
      <c r="F853" s="958"/>
      <c r="G853" s="1259"/>
      <c r="H853" s="2077"/>
      <c r="I853" s="1489"/>
      <c r="J853" s="960"/>
      <c r="K853" s="961"/>
      <c r="L853" s="2234"/>
      <c r="M853" s="1498"/>
      <c r="N853" s="1498">
        <v>0</v>
      </c>
      <c r="O853" s="2277"/>
      <c r="P853" s="1261"/>
      <c r="Q853" s="2333"/>
    </row>
    <row r="854" spans="1:17" ht="14.45" customHeight="1" x14ac:dyDescent="0.2">
      <c r="A854" s="1481" t="s">
        <v>357</v>
      </c>
      <c r="B854" s="1146">
        <v>4</v>
      </c>
      <c r="C854" s="1146">
        <v>4</v>
      </c>
      <c r="D854" s="957">
        <v>20</v>
      </c>
      <c r="E854" s="1623">
        <v>5</v>
      </c>
      <c r="F854" s="958" t="s">
        <v>988</v>
      </c>
      <c r="G854" s="1259">
        <v>1675000</v>
      </c>
      <c r="H854" s="2077">
        <v>8350000</v>
      </c>
      <c r="I854" s="1489"/>
      <c r="J854" s="960"/>
      <c r="K854" s="961"/>
      <c r="L854" s="2234">
        <v>4.2</v>
      </c>
      <c r="M854" s="1498">
        <v>4.2</v>
      </c>
      <c r="N854" s="1498">
        <v>16.8</v>
      </c>
      <c r="O854" s="2277">
        <v>4</v>
      </c>
      <c r="P854" s="1261">
        <v>1474000</v>
      </c>
      <c r="Q854" s="2333">
        <v>8350000</v>
      </c>
    </row>
    <row r="855" spans="1:17" ht="14.45" customHeight="1" x14ac:dyDescent="0.2">
      <c r="A855" s="1481" t="s">
        <v>358</v>
      </c>
      <c r="B855" s="1146">
        <v>3</v>
      </c>
      <c r="C855" s="1146">
        <v>3</v>
      </c>
      <c r="D855" s="957">
        <v>16.5</v>
      </c>
      <c r="E855" s="1623">
        <v>5.5</v>
      </c>
      <c r="F855" s="1499" t="s">
        <v>988</v>
      </c>
      <c r="G855" s="1259">
        <v>1675000</v>
      </c>
      <c r="H855" s="2077">
        <v>8350000</v>
      </c>
      <c r="I855" s="1489"/>
      <c r="J855" s="960"/>
      <c r="K855" s="961"/>
      <c r="L855" s="2234">
        <v>3</v>
      </c>
      <c r="M855" s="1498">
        <v>3</v>
      </c>
      <c r="N855" s="1498">
        <v>16.5</v>
      </c>
      <c r="O855" s="2277">
        <v>5.5</v>
      </c>
      <c r="P855" s="1261">
        <v>1474000</v>
      </c>
      <c r="Q855" s="2333">
        <v>8350000</v>
      </c>
    </row>
    <row r="856" spans="1:17" ht="14.45" customHeight="1" x14ac:dyDescent="0.2">
      <c r="A856" s="1481" t="s">
        <v>359</v>
      </c>
      <c r="B856" s="1146">
        <v>0</v>
      </c>
      <c r="C856" s="1146">
        <v>0</v>
      </c>
      <c r="D856" s="957">
        <v>0</v>
      </c>
      <c r="E856" s="1623">
        <v>0</v>
      </c>
      <c r="F856" s="964"/>
      <c r="G856" s="959"/>
      <c r="H856" s="959"/>
      <c r="I856" s="1489"/>
      <c r="J856" s="960"/>
      <c r="K856" s="961"/>
      <c r="L856" s="2234">
        <v>0</v>
      </c>
      <c r="M856" s="1498">
        <v>0</v>
      </c>
      <c r="N856" s="1498">
        <v>0</v>
      </c>
      <c r="O856" s="2277">
        <v>0</v>
      </c>
      <c r="P856" s="1261"/>
      <c r="Q856" s="1606"/>
    </row>
    <row r="857" spans="1:17" ht="14.45" customHeight="1" x14ac:dyDescent="0.2">
      <c r="A857" s="1481" t="s">
        <v>360</v>
      </c>
      <c r="B857" s="1146">
        <v>0</v>
      </c>
      <c r="C857" s="1146">
        <v>0</v>
      </c>
      <c r="D857" s="957">
        <v>0</v>
      </c>
      <c r="E857" s="1623">
        <v>0</v>
      </c>
      <c r="F857" s="964"/>
      <c r="G857" s="959"/>
      <c r="H857" s="959"/>
      <c r="I857" s="1489"/>
      <c r="J857" s="960"/>
      <c r="K857" s="961"/>
      <c r="L857" s="2234">
        <v>0</v>
      </c>
      <c r="M857" s="1498">
        <v>0</v>
      </c>
      <c r="N857" s="1498">
        <v>0</v>
      </c>
      <c r="O857" s="2277">
        <v>0</v>
      </c>
      <c r="P857" s="1261"/>
      <c r="Q857" s="1606"/>
    </row>
    <row r="858" spans="1:17" ht="14.45" customHeight="1" x14ac:dyDescent="0.2">
      <c r="A858" s="1481" t="s">
        <v>361</v>
      </c>
      <c r="B858" s="1146">
        <v>0</v>
      </c>
      <c r="C858" s="1146">
        <v>0</v>
      </c>
      <c r="D858" s="957">
        <v>0</v>
      </c>
      <c r="E858" s="1623">
        <v>0</v>
      </c>
      <c r="F858" s="958"/>
      <c r="G858" s="959"/>
      <c r="H858" s="959"/>
      <c r="I858" s="1489"/>
      <c r="J858" s="960"/>
      <c r="K858" s="961"/>
      <c r="L858" s="2234">
        <v>0</v>
      </c>
      <c r="M858" s="1498">
        <v>0</v>
      </c>
      <c r="N858" s="1498">
        <v>0</v>
      </c>
      <c r="O858" s="2277">
        <v>0</v>
      </c>
      <c r="P858" s="1261"/>
      <c r="Q858" s="1606"/>
    </row>
    <row r="859" spans="1:17" ht="14.45" customHeight="1" x14ac:dyDescent="0.2">
      <c r="A859" s="1481" t="s">
        <v>362</v>
      </c>
      <c r="B859" s="1146">
        <v>2</v>
      </c>
      <c r="C859" s="1146">
        <v>2</v>
      </c>
      <c r="D859" s="957">
        <v>30</v>
      </c>
      <c r="E859" s="1623">
        <v>15</v>
      </c>
      <c r="F859" s="1499" t="s">
        <v>988</v>
      </c>
      <c r="G859" s="1259">
        <v>1675000</v>
      </c>
      <c r="H859" s="2077">
        <v>8350000</v>
      </c>
      <c r="I859" s="1489"/>
      <c r="J859" s="960"/>
      <c r="K859" s="961"/>
      <c r="L859" s="2234">
        <v>2</v>
      </c>
      <c r="M859" s="1498">
        <v>2</v>
      </c>
      <c r="N859" s="1498">
        <v>30</v>
      </c>
      <c r="O859" s="2277">
        <v>15</v>
      </c>
      <c r="P859" s="1261">
        <v>1474000</v>
      </c>
      <c r="Q859" s="2333">
        <v>8350000</v>
      </c>
    </row>
    <row r="860" spans="1:17" ht="14.45" customHeight="1" x14ac:dyDescent="0.2">
      <c r="A860" s="1481" t="s">
        <v>363</v>
      </c>
      <c r="B860" s="1146">
        <v>0</v>
      </c>
      <c r="C860" s="1146">
        <v>0</v>
      </c>
      <c r="D860" s="957">
        <v>0</v>
      </c>
      <c r="E860" s="1623">
        <v>0</v>
      </c>
      <c r="F860" s="964"/>
      <c r="G860" s="959"/>
      <c r="H860" s="959"/>
      <c r="I860" s="1489"/>
      <c r="J860" s="960"/>
      <c r="K860" s="961"/>
      <c r="L860" s="2234">
        <v>0</v>
      </c>
      <c r="M860" s="1498">
        <v>0</v>
      </c>
      <c r="N860" s="1498">
        <v>0</v>
      </c>
      <c r="O860" s="2233">
        <v>0</v>
      </c>
      <c r="P860" s="1261"/>
      <c r="Q860" s="1606"/>
    </row>
    <row r="861" spans="1:17" ht="14.45" customHeight="1" x14ac:dyDescent="0.2">
      <c r="A861" s="1481" t="s">
        <v>364</v>
      </c>
      <c r="B861" s="1146">
        <v>0</v>
      </c>
      <c r="C861" s="1146">
        <v>0</v>
      </c>
      <c r="D861" s="957">
        <v>0</v>
      </c>
      <c r="E861" s="1518">
        <v>0</v>
      </c>
      <c r="F861" s="958"/>
      <c r="G861" s="959"/>
      <c r="H861" s="959"/>
      <c r="I861" s="1489"/>
      <c r="J861" s="960"/>
      <c r="K861" s="961"/>
      <c r="L861" s="2234">
        <v>0</v>
      </c>
      <c r="M861" s="1498">
        <v>0</v>
      </c>
      <c r="N861" s="1498">
        <v>0</v>
      </c>
      <c r="O861" s="2233">
        <v>0</v>
      </c>
      <c r="P861" s="1261"/>
      <c r="Q861" s="1606"/>
    </row>
    <row r="862" spans="1:17" ht="14.45" customHeight="1" x14ac:dyDescent="0.2">
      <c r="A862" s="1481" t="s">
        <v>365</v>
      </c>
      <c r="B862" s="1146"/>
      <c r="C862" s="1146"/>
      <c r="D862" s="957">
        <v>0</v>
      </c>
      <c r="E862" s="1518"/>
      <c r="F862" s="964"/>
      <c r="G862" s="959"/>
      <c r="H862" s="959"/>
      <c r="I862" s="1489"/>
      <c r="J862" s="960"/>
      <c r="K862" s="961"/>
      <c r="L862" s="2234"/>
      <c r="M862" s="1498"/>
      <c r="N862" s="1498">
        <v>0</v>
      </c>
      <c r="O862" s="2233"/>
      <c r="P862" s="1261"/>
      <c r="Q862" s="1606"/>
    </row>
    <row r="863" spans="1:17" ht="14.45" customHeight="1" x14ac:dyDescent="0.2">
      <c r="A863" s="1481" t="s">
        <v>366</v>
      </c>
      <c r="B863" s="1146"/>
      <c r="C863" s="1146"/>
      <c r="D863" s="957">
        <v>0</v>
      </c>
      <c r="E863" s="1518"/>
      <c r="F863" s="958"/>
      <c r="G863" s="959"/>
      <c r="H863" s="959"/>
      <c r="I863" s="1489"/>
      <c r="J863" s="960"/>
      <c r="K863" s="961"/>
      <c r="L863" s="2234"/>
      <c r="M863" s="1498"/>
      <c r="N863" s="1498">
        <v>0</v>
      </c>
      <c r="O863" s="2233"/>
      <c r="P863" s="1261"/>
      <c r="Q863" s="1606"/>
    </row>
    <row r="864" spans="1:17" ht="14.45" customHeight="1" x14ac:dyDescent="0.2">
      <c r="A864" s="1481" t="s">
        <v>367</v>
      </c>
      <c r="B864" s="1146">
        <v>0</v>
      </c>
      <c r="C864" s="1146">
        <v>0</v>
      </c>
      <c r="D864" s="957">
        <v>0</v>
      </c>
      <c r="E864" s="1518">
        <v>0</v>
      </c>
      <c r="F864" s="964"/>
      <c r="G864" s="959"/>
      <c r="H864" s="959"/>
      <c r="I864" s="1489"/>
      <c r="J864" s="960"/>
      <c r="K864" s="961"/>
      <c r="L864" s="2234">
        <v>0</v>
      </c>
      <c r="M864" s="1498">
        <v>0</v>
      </c>
      <c r="N864" s="1498">
        <v>0</v>
      </c>
      <c r="O864" s="2233">
        <v>0</v>
      </c>
      <c r="P864" s="1261"/>
      <c r="Q864" s="1606"/>
    </row>
    <row r="865" spans="1:17" ht="14.45" customHeight="1" x14ac:dyDescent="0.2">
      <c r="A865" s="1484" t="s">
        <v>368</v>
      </c>
      <c r="B865" s="1002">
        <v>19</v>
      </c>
      <c r="C865" s="984">
        <v>19</v>
      </c>
      <c r="D865" s="2308">
        <v>380</v>
      </c>
      <c r="E865" s="1608">
        <v>20</v>
      </c>
      <c r="F865" s="987"/>
      <c r="G865" s="988"/>
      <c r="H865" s="988"/>
      <c r="I865" s="1490"/>
      <c r="J865" s="989"/>
      <c r="K865" s="990"/>
      <c r="L865" s="2218">
        <v>56</v>
      </c>
      <c r="M865" s="1485">
        <v>50</v>
      </c>
      <c r="N865" s="1485">
        <v>700</v>
      </c>
      <c r="O865" s="2278"/>
      <c r="P865" s="1604"/>
      <c r="Q865" s="1605"/>
    </row>
    <row r="866" spans="1:17" ht="14.45" customHeight="1" x14ac:dyDescent="0.2">
      <c r="A866" s="1481" t="s">
        <v>369</v>
      </c>
      <c r="B866" s="1146">
        <v>19</v>
      </c>
      <c r="C866" s="1146">
        <v>19</v>
      </c>
      <c r="D866" s="957">
        <v>380</v>
      </c>
      <c r="E866" s="1623">
        <v>20</v>
      </c>
      <c r="F866" s="1499" t="s">
        <v>988</v>
      </c>
      <c r="G866" s="1259">
        <v>1675000</v>
      </c>
      <c r="H866" s="2077">
        <v>8350000</v>
      </c>
      <c r="I866" s="1489"/>
      <c r="J866" s="960"/>
      <c r="K866" s="961"/>
      <c r="L866" s="2234">
        <v>56</v>
      </c>
      <c r="M866" s="1498">
        <v>50</v>
      </c>
      <c r="N866" s="1498">
        <v>700</v>
      </c>
      <c r="O866" s="2277">
        <v>14</v>
      </c>
      <c r="P866" s="1261">
        <v>1474000</v>
      </c>
      <c r="Q866" s="2333">
        <v>8350000</v>
      </c>
    </row>
    <row r="867" spans="1:17" ht="14.45" customHeight="1" x14ac:dyDescent="0.2">
      <c r="A867" s="1481" t="s">
        <v>370</v>
      </c>
      <c r="B867" s="1146">
        <v>0</v>
      </c>
      <c r="C867" s="1146">
        <v>0</v>
      </c>
      <c r="D867" s="957">
        <v>0</v>
      </c>
      <c r="E867" s="1518">
        <v>0</v>
      </c>
      <c r="F867" s="964"/>
      <c r="G867" s="959"/>
      <c r="H867" s="959"/>
      <c r="I867" s="1489"/>
      <c r="J867" s="960"/>
      <c r="K867" s="961"/>
      <c r="L867" s="2234">
        <v>0</v>
      </c>
      <c r="M867" s="1498">
        <v>0</v>
      </c>
      <c r="N867" s="1498">
        <v>0</v>
      </c>
      <c r="O867" s="2277">
        <v>0</v>
      </c>
      <c r="P867" s="1261"/>
      <c r="Q867" s="1606"/>
    </row>
    <row r="868" spans="1:17" ht="14.45" customHeight="1" x14ac:dyDescent="0.2">
      <c r="A868" s="1481" t="s">
        <v>371</v>
      </c>
      <c r="B868" s="1146">
        <v>0</v>
      </c>
      <c r="C868" s="1146">
        <v>0</v>
      </c>
      <c r="D868" s="957">
        <v>0</v>
      </c>
      <c r="E868" s="1518">
        <v>0</v>
      </c>
      <c r="F868" s="964"/>
      <c r="G868" s="959"/>
      <c r="H868" s="959"/>
      <c r="I868" s="1489"/>
      <c r="J868" s="960"/>
      <c r="K868" s="961"/>
      <c r="L868" s="2234">
        <v>0</v>
      </c>
      <c r="M868" s="1498">
        <v>0</v>
      </c>
      <c r="N868" s="1498">
        <v>0</v>
      </c>
      <c r="O868" s="2277">
        <v>0</v>
      </c>
      <c r="P868" s="1261"/>
      <c r="Q868" s="1606"/>
    </row>
    <row r="869" spans="1:17" ht="14.45" customHeight="1" x14ac:dyDescent="0.2">
      <c r="A869" s="1481" t="s">
        <v>372</v>
      </c>
      <c r="B869" s="1146">
        <v>0</v>
      </c>
      <c r="C869" s="1146">
        <v>0</v>
      </c>
      <c r="D869" s="957">
        <v>0</v>
      </c>
      <c r="E869" s="1518">
        <v>0</v>
      </c>
      <c r="F869" s="964"/>
      <c r="G869" s="959"/>
      <c r="H869" s="959"/>
      <c r="I869" s="1489"/>
      <c r="J869" s="960"/>
      <c r="K869" s="961"/>
      <c r="L869" s="2234">
        <v>0</v>
      </c>
      <c r="M869" s="1498">
        <v>0</v>
      </c>
      <c r="N869" s="1498">
        <v>0</v>
      </c>
      <c r="O869" s="2277">
        <v>0</v>
      </c>
      <c r="P869" s="1261"/>
      <c r="Q869" s="2333"/>
    </row>
    <row r="870" spans="1:17" ht="14.45" customHeight="1" x14ac:dyDescent="0.2">
      <c r="A870" s="1481" t="s">
        <v>373</v>
      </c>
      <c r="B870" s="1146">
        <v>0</v>
      </c>
      <c r="C870" s="1146">
        <v>0</v>
      </c>
      <c r="D870" s="957">
        <v>0</v>
      </c>
      <c r="E870" s="1518">
        <v>0</v>
      </c>
      <c r="F870" s="958"/>
      <c r="G870" s="959"/>
      <c r="H870" s="959"/>
      <c r="I870" s="1489"/>
      <c r="J870" s="960"/>
      <c r="K870" s="961"/>
      <c r="L870" s="2234">
        <v>0</v>
      </c>
      <c r="M870" s="1498">
        <v>0</v>
      </c>
      <c r="N870" s="1498">
        <v>0</v>
      </c>
      <c r="O870" s="2233">
        <v>0</v>
      </c>
      <c r="P870" s="1261"/>
      <c r="Q870" s="1606"/>
    </row>
    <row r="871" spans="1:17" ht="14.45" customHeight="1" x14ac:dyDescent="0.2">
      <c r="A871" s="1484" t="s">
        <v>374</v>
      </c>
      <c r="B871" s="1002">
        <v>11</v>
      </c>
      <c r="C871" s="984">
        <v>11</v>
      </c>
      <c r="D871" s="984">
        <v>108.5</v>
      </c>
      <c r="E871" s="1608">
        <v>9.8636363636363633</v>
      </c>
      <c r="F871" s="987"/>
      <c r="G871" s="996"/>
      <c r="H871" s="996"/>
      <c r="I871" s="1491"/>
      <c r="J871" s="997"/>
      <c r="K871" s="998"/>
      <c r="L871" s="2218">
        <v>14</v>
      </c>
      <c r="M871" s="1485">
        <v>14</v>
      </c>
      <c r="N871" s="1485">
        <v>154</v>
      </c>
      <c r="O871" s="2216">
        <v>11</v>
      </c>
      <c r="P871" s="1604"/>
      <c r="Q871" s="1605"/>
    </row>
    <row r="872" spans="1:17" ht="14.45" customHeight="1" x14ac:dyDescent="0.2">
      <c r="A872" s="1481" t="s">
        <v>375</v>
      </c>
      <c r="B872" s="1146">
        <v>3</v>
      </c>
      <c r="C872" s="1146">
        <v>3</v>
      </c>
      <c r="D872" s="957">
        <v>36</v>
      </c>
      <c r="E872" s="1623">
        <v>12</v>
      </c>
      <c r="F872" s="1499" t="s">
        <v>988</v>
      </c>
      <c r="G872" s="1259">
        <v>1675000</v>
      </c>
      <c r="H872" s="2077">
        <v>8350000</v>
      </c>
      <c r="I872" s="1489"/>
      <c r="J872" s="960"/>
      <c r="K872" s="961"/>
      <c r="L872" s="2234">
        <v>5</v>
      </c>
      <c r="M872" s="1498">
        <v>5</v>
      </c>
      <c r="N872" s="1498">
        <v>65</v>
      </c>
      <c r="O872" s="2277">
        <v>13</v>
      </c>
      <c r="P872" s="1261">
        <v>1474000</v>
      </c>
      <c r="Q872" s="2333">
        <v>8350000</v>
      </c>
    </row>
    <row r="873" spans="1:17" ht="14.45" customHeight="1" x14ac:dyDescent="0.2">
      <c r="A873" s="1481" t="s">
        <v>376</v>
      </c>
      <c r="B873" s="1146">
        <v>1</v>
      </c>
      <c r="C873" s="1146">
        <v>1</v>
      </c>
      <c r="D873" s="957">
        <v>15</v>
      </c>
      <c r="E873" s="1623">
        <v>15</v>
      </c>
      <c r="F873" s="1499" t="s">
        <v>988</v>
      </c>
      <c r="G873" s="1259">
        <v>1675000</v>
      </c>
      <c r="H873" s="2077">
        <v>8350000</v>
      </c>
      <c r="I873" s="1489"/>
      <c r="J873" s="960"/>
      <c r="K873" s="961"/>
      <c r="L873" s="2234">
        <v>2</v>
      </c>
      <c r="M873" s="1498">
        <v>2</v>
      </c>
      <c r="N873" s="1498">
        <v>30</v>
      </c>
      <c r="O873" s="2277">
        <v>15</v>
      </c>
      <c r="P873" s="1261">
        <v>1474000</v>
      </c>
      <c r="Q873" s="2333">
        <v>8350000</v>
      </c>
    </row>
    <row r="874" spans="1:17" ht="14.45" customHeight="1" x14ac:dyDescent="0.2">
      <c r="A874" s="1481" t="s">
        <v>377</v>
      </c>
      <c r="B874" s="1146">
        <v>0</v>
      </c>
      <c r="C874" s="1146">
        <v>0</v>
      </c>
      <c r="D874" s="957">
        <v>0</v>
      </c>
      <c r="E874" s="1623">
        <v>0</v>
      </c>
      <c r="F874" s="958"/>
      <c r="G874" s="959"/>
      <c r="H874" s="959"/>
      <c r="I874" s="1489"/>
      <c r="J874" s="960"/>
      <c r="K874" s="961"/>
      <c r="L874" s="2234">
        <v>0</v>
      </c>
      <c r="M874" s="1498">
        <v>0</v>
      </c>
      <c r="N874" s="1498">
        <v>0</v>
      </c>
      <c r="O874" s="2277">
        <v>0</v>
      </c>
      <c r="P874" s="1261"/>
      <c r="Q874" s="1606"/>
    </row>
    <row r="875" spans="1:17" ht="14.45" customHeight="1" x14ac:dyDescent="0.2">
      <c r="A875" s="1481" t="s">
        <v>378</v>
      </c>
      <c r="B875" s="1146">
        <v>3</v>
      </c>
      <c r="C875" s="1146">
        <v>3</v>
      </c>
      <c r="D875" s="957">
        <v>25.5</v>
      </c>
      <c r="E875" s="1623">
        <v>8.5</v>
      </c>
      <c r="F875" s="1499" t="s">
        <v>988</v>
      </c>
      <c r="G875" s="1259">
        <v>1675000</v>
      </c>
      <c r="H875" s="2077">
        <v>8350000</v>
      </c>
      <c r="I875" s="1492"/>
      <c r="J875" s="966"/>
      <c r="K875" s="961"/>
      <c r="L875" s="2234">
        <v>3</v>
      </c>
      <c r="M875" s="1498">
        <v>3</v>
      </c>
      <c r="N875" s="1498">
        <v>27</v>
      </c>
      <c r="O875" s="2277">
        <v>9</v>
      </c>
      <c r="P875" s="1261">
        <v>1474000</v>
      </c>
      <c r="Q875" s="2333">
        <v>8350000</v>
      </c>
    </row>
    <row r="876" spans="1:17" ht="14.45" customHeight="1" x14ac:dyDescent="0.2">
      <c r="A876" s="1481" t="s">
        <v>379</v>
      </c>
      <c r="B876" s="957">
        <v>0</v>
      </c>
      <c r="C876" s="957">
        <v>0</v>
      </c>
      <c r="D876" s="957">
        <v>0</v>
      </c>
      <c r="E876" s="1518">
        <v>0</v>
      </c>
      <c r="F876" s="958"/>
      <c r="G876" s="965"/>
      <c r="H876" s="965"/>
      <c r="I876" s="1492"/>
      <c r="J876" s="966"/>
      <c r="K876" s="967"/>
      <c r="L876" s="2234">
        <v>0</v>
      </c>
      <c r="M876" s="1498">
        <v>0</v>
      </c>
      <c r="N876" s="1498">
        <v>0</v>
      </c>
      <c r="O876" s="2277">
        <v>0</v>
      </c>
      <c r="P876" s="1261"/>
      <c r="Q876" s="1606"/>
    </row>
    <row r="877" spans="1:17" ht="14.45" customHeight="1" x14ac:dyDescent="0.2">
      <c r="A877" s="1481" t="s">
        <v>380</v>
      </c>
      <c r="B877" s="957">
        <v>4</v>
      </c>
      <c r="C877" s="957">
        <v>4</v>
      </c>
      <c r="D877" s="957">
        <v>32</v>
      </c>
      <c r="E877" s="1518">
        <v>8</v>
      </c>
      <c r="F877" s="1499" t="s">
        <v>988</v>
      </c>
      <c r="G877" s="1259">
        <v>1675000</v>
      </c>
      <c r="H877" s="2077">
        <v>8350000</v>
      </c>
      <c r="I877" s="1492"/>
      <c r="J877" s="966"/>
      <c r="K877" s="967"/>
      <c r="L877" s="2234">
        <v>4</v>
      </c>
      <c r="M877" s="1498">
        <v>4</v>
      </c>
      <c r="N877" s="1498">
        <v>32</v>
      </c>
      <c r="O877" s="2277">
        <v>8</v>
      </c>
      <c r="P877" s="1261">
        <v>1474000</v>
      </c>
      <c r="Q877" s="2333">
        <v>8350000</v>
      </c>
    </row>
    <row r="878" spans="1:17" ht="14.45" customHeight="1" x14ac:dyDescent="0.2">
      <c r="A878" s="1481" t="s">
        <v>381</v>
      </c>
      <c r="B878" s="957">
        <v>0</v>
      </c>
      <c r="C878" s="957">
        <v>0</v>
      </c>
      <c r="D878" s="957">
        <v>0</v>
      </c>
      <c r="E878" s="1518">
        <v>0</v>
      </c>
      <c r="F878" s="958"/>
      <c r="G878" s="965"/>
      <c r="H878" s="965"/>
      <c r="I878" s="1492"/>
      <c r="J878" s="966"/>
      <c r="K878" s="967"/>
      <c r="L878" s="2234">
        <v>0</v>
      </c>
      <c r="M878" s="1498">
        <v>0</v>
      </c>
      <c r="N878" s="1498">
        <v>0</v>
      </c>
      <c r="O878" s="2233">
        <v>0</v>
      </c>
      <c r="P878" s="1261"/>
      <c r="Q878" s="1606"/>
    </row>
    <row r="879" spans="1:17" ht="14.45" customHeight="1" x14ac:dyDescent="0.2">
      <c r="A879" s="1481" t="s">
        <v>382</v>
      </c>
      <c r="B879" s="957">
        <v>0</v>
      </c>
      <c r="C879" s="957">
        <v>0</v>
      </c>
      <c r="D879" s="957">
        <v>0</v>
      </c>
      <c r="E879" s="1518">
        <v>0</v>
      </c>
      <c r="F879" s="958"/>
      <c r="G879" s="965"/>
      <c r="H879" s="965"/>
      <c r="I879" s="1492"/>
      <c r="J879" s="966"/>
      <c r="K879" s="967"/>
      <c r="L879" s="2234">
        <v>0</v>
      </c>
      <c r="M879" s="1498">
        <v>0</v>
      </c>
      <c r="N879" s="1498">
        <v>0</v>
      </c>
      <c r="O879" s="2233">
        <v>0</v>
      </c>
      <c r="P879" s="1261"/>
      <c r="Q879" s="1606"/>
    </row>
    <row r="880" spans="1:17" ht="14.45" customHeight="1" x14ac:dyDescent="0.2">
      <c r="A880" s="1484" t="s">
        <v>383</v>
      </c>
      <c r="B880" s="1002">
        <v>47</v>
      </c>
      <c r="C880" s="1002">
        <v>43</v>
      </c>
      <c r="D880" s="1002">
        <v>535</v>
      </c>
      <c r="E880" s="1608">
        <v>12.44186046511628</v>
      </c>
      <c r="F880" s="1003"/>
      <c r="G880" s="1004"/>
      <c r="H880" s="1004"/>
      <c r="I880" s="1501"/>
      <c r="J880" s="1005"/>
      <c r="K880" s="949"/>
      <c r="L880" s="2218">
        <v>30</v>
      </c>
      <c r="M880" s="1485">
        <v>30</v>
      </c>
      <c r="N880" s="1485">
        <v>544</v>
      </c>
      <c r="O880" s="2278"/>
      <c r="P880" s="1604"/>
      <c r="Q880" s="1605"/>
    </row>
    <row r="881" spans="1:17" ht="14.45" customHeight="1" x14ac:dyDescent="0.2">
      <c r="A881" s="1481" t="s">
        <v>384</v>
      </c>
      <c r="B881" s="957">
        <v>25</v>
      </c>
      <c r="C881" s="957">
        <v>22</v>
      </c>
      <c r="D881" s="957">
        <v>220</v>
      </c>
      <c r="E881" s="1518">
        <v>10</v>
      </c>
      <c r="F881" s="1499" t="s">
        <v>988</v>
      </c>
      <c r="G881" s="1259">
        <v>1675000</v>
      </c>
      <c r="H881" s="2077">
        <v>8350000</v>
      </c>
      <c r="I881" s="1492"/>
      <c r="J881" s="966"/>
      <c r="K881" s="967"/>
      <c r="L881" s="2234">
        <v>14</v>
      </c>
      <c r="M881" s="1498">
        <v>14</v>
      </c>
      <c r="N881" s="1498">
        <v>308</v>
      </c>
      <c r="O881" s="2277">
        <v>22</v>
      </c>
      <c r="P881" s="1261">
        <v>1474000</v>
      </c>
      <c r="Q881" s="2333">
        <v>8350000</v>
      </c>
    </row>
    <row r="882" spans="1:17" ht="14.45" customHeight="1" x14ac:dyDescent="0.2">
      <c r="A882" s="1481" t="s">
        <v>385</v>
      </c>
      <c r="B882" s="957">
        <v>1</v>
      </c>
      <c r="C882" s="957">
        <v>1</v>
      </c>
      <c r="D882" s="957">
        <v>6</v>
      </c>
      <c r="E882" s="1518">
        <v>6</v>
      </c>
      <c r="F882" s="958" t="s">
        <v>988</v>
      </c>
      <c r="G882" s="1259">
        <v>1675000</v>
      </c>
      <c r="H882" s="2077">
        <v>8350000</v>
      </c>
      <c r="I882" s="1492"/>
      <c r="J882" s="966"/>
      <c r="K882" s="967"/>
      <c r="L882" s="2234"/>
      <c r="M882" s="1498"/>
      <c r="N882" s="1498">
        <v>0</v>
      </c>
      <c r="O882" s="2277"/>
      <c r="P882" s="1261"/>
      <c r="Q882" s="1606"/>
    </row>
    <row r="883" spans="1:17" ht="14.45" customHeight="1" x14ac:dyDescent="0.2">
      <c r="A883" s="1481" t="s">
        <v>386</v>
      </c>
      <c r="B883" s="957">
        <v>0</v>
      </c>
      <c r="C883" s="957">
        <v>0</v>
      </c>
      <c r="D883" s="957">
        <v>0</v>
      </c>
      <c r="E883" s="1518">
        <v>0</v>
      </c>
      <c r="F883" s="958"/>
      <c r="G883" s="965"/>
      <c r="H883" s="965"/>
      <c r="I883" s="1492"/>
      <c r="J883" s="966"/>
      <c r="K883" s="967"/>
      <c r="L883" s="2234"/>
      <c r="M883" s="1498"/>
      <c r="N883" s="1498">
        <v>0</v>
      </c>
      <c r="O883" s="2277"/>
      <c r="P883" s="1261"/>
      <c r="Q883" s="1606"/>
    </row>
    <row r="884" spans="1:17" ht="14.45" customHeight="1" x14ac:dyDescent="0.2">
      <c r="A884" s="1481" t="s">
        <v>387</v>
      </c>
      <c r="B884" s="957">
        <v>4</v>
      </c>
      <c r="C884" s="957">
        <v>3</v>
      </c>
      <c r="D884" s="957">
        <v>45</v>
      </c>
      <c r="E884" s="1518">
        <v>15</v>
      </c>
      <c r="F884" s="958" t="s">
        <v>988</v>
      </c>
      <c r="G884" s="1259">
        <v>1675000</v>
      </c>
      <c r="H884" s="2077">
        <v>8350000</v>
      </c>
      <c r="I884" s="1492"/>
      <c r="J884" s="966"/>
      <c r="K884" s="967"/>
      <c r="L884" s="2234">
        <v>3</v>
      </c>
      <c r="M884" s="1498">
        <v>3</v>
      </c>
      <c r="N884" s="1498">
        <v>48</v>
      </c>
      <c r="O884" s="2277">
        <v>16</v>
      </c>
      <c r="P884" s="1261">
        <v>1474000</v>
      </c>
      <c r="Q884" s="2333">
        <v>8350000</v>
      </c>
    </row>
    <row r="885" spans="1:17" ht="14.45" customHeight="1" x14ac:dyDescent="0.2">
      <c r="A885" s="1481" t="s">
        <v>388</v>
      </c>
      <c r="B885" s="957"/>
      <c r="C885" s="957"/>
      <c r="D885" s="957">
        <v>0</v>
      </c>
      <c r="E885" s="1518"/>
      <c r="F885" s="958"/>
      <c r="G885" s="965"/>
      <c r="H885" s="965"/>
      <c r="I885" s="1492"/>
      <c r="J885" s="966"/>
      <c r="K885" s="967"/>
      <c r="L885" s="2234"/>
      <c r="M885" s="1498"/>
      <c r="N885" s="1498">
        <v>0</v>
      </c>
      <c r="O885" s="2277"/>
      <c r="P885" s="1261"/>
      <c r="Q885" s="1606"/>
    </row>
    <row r="886" spans="1:17" ht="14.45" customHeight="1" x14ac:dyDescent="0.2">
      <c r="A886" s="1481" t="s">
        <v>389</v>
      </c>
      <c r="B886" s="957">
        <v>0</v>
      </c>
      <c r="C886" s="957">
        <v>0</v>
      </c>
      <c r="D886" s="957">
        <v>0</v>
      </c>
      <c r="E886" s="1518">
        <v>0</v>
      </c>
      <c r="F886" s="958"/>
      <c r="G886" s="965"/>
      <c r="H886" s="965"/>
      <c r="I886" s="1492"/>
      <c r="J886" s="966"/>
      <c r="K886" s="967"/>
      <c r="L886" s="2234"/>
      <c r="M886" s="1498"/>
      <c r="N886" s="1498">
        <v>0</v>
      </c>
      <c r="O886" s="2277"/>
      <c r="P886" s="1261"/>
      <c r="Q886" s="1606"/>
    </row>
    <row r="887" spans="1:17" ht="14.45" customHeight="1" x14ac:dyDescent="0.2">
      <c r="A887" s="1481" t="s">
        <v>390</v>
      </c>
      <c r="B887" s="957">
        <v>0</v>
      </c>
      <c r="C887" s="957">
        <v>0</v>
      </c>
      <c r="D887" s="957">
        <v>0</v>
      </c>
      <c r="E887" s="1518">
        <v>0</v>
      </c>
      <c r="F887" s="958"/>
      <c r="G887" s="965"/>
      <c r="H887" s="965"/>
      <c r="I887" s="1492"/>
      <c r="J887" s="966"/>
      <c r="K887" s="967"/>
      <c r="L887" s="2234"/>
      <c r="M887" s="1498"/>
      <c r="N887" s="1498">
        <v>0</v>
      </c>
      <c r="O887" s="2277"/>
      <c r="P887" s="1261"/>
      <c r="Q887" s="1606"/>
    </row>
    <row r="888" spans="1:17" ht="14.45" customHeight="1" x14ac:dyDescent="0.2">
      <c r="A888" s="1481" t="s">
        <v>391</v>
      </c>
      <c r="B888" s="957">
        <v>10</v>
      </c>
      <c r="C888" s="957">
        <v>10</v>
      </c>
      <c r="D888" s="957">
        <v>110</v>
      </c>
      <c r="E888" s="1518">
        <v>11</v>
      </c>
      <c r="F888" s="1499" t="s">
        <v>988</v>
      </c>
      <c r="G888" s="1259">
        <v>1675000</v>
      </c>
      <c r="H888" s="2077">
        <v>8350000</v>
      </c>
      <c r="I888" s="1492"/>
      <c r="J888" s="966"/>
      <c r="K888" s="967"/>
      <c r="L888" s="2234">
        <v>8</v>
      </c>
      <c r="M888" s="1498">
        <v>8</v>
      </c>
      <c r="N888" s="1498">
        <v>88</v>
      </c>
      <c r="O888" s="2277">
        <v>11</v>
      </c>
      <c r="P888" s="1261">
        <v>1474000</v>
      </c>
      <c r="Q888" s="2333">
        <v>8350000</v>
      </c>
    </row>
    <row r="889" spans="1:17" ht="14.45" customHeight="1" x14ac:dyDescent="0.2">
      <c r="A889" s="1493" t="s">
        <v>392</v>
      </c>
      <c r="B889" s="1146">
        <v>7</v>
      </c>
      <c r="C889" s="1146">
        <v>7</v>
      </c>
      <c r="D889" s="957">
        <v>154</v>
      </c>
      <c r="E889" s="1623">
        <v>22</v>
      </c>
      <c r="F889" s="1499" t="s">
        <v>988</v>
      </c>
      <c r="G889" s="1259">
        <v>1675000</v>
      </c>
      <c r="H889" s="2077">
        <v>8350000</v>
      </c>
      <c r="I889" s="1502"/>
      <c r="J889" s="973"/>
      <c r="K889" s="974"/>
      <c r="L889" s="2330">
        <v>5</v>
      </c>
      <c r="M889" s="1537">
        <v>5</v>
      </c>
      <c r="N889" s="1537">
        <v>100</v>
      </c>
      <c r="O889" s="1630">
        <v>20</v>
      </c>
      <c r="P889" s="1261">
        <v>1474000</v>
      </c>
      <c r="Q889" s="2333">
        <v>8350000</v>
      </c>
    </row>
    <row r="890" spans="1:17" ht="14.45" customHeight="1" thickBot="1" x14ac:dyDescent="0.25">
      <c r="A890" s="1006" t="s">
        <v>393</v>
      </c>
      <c r="B890" s="1007">
        <v>94</v>
      </c>
      <c r="C890" s="1007">
        <v>88</v>
      </c>
      <c r="D890" s="1007">
        <v>1132</v>
      </c>
      <c r="E890" s="1482">
        <v>12.863636363636363</v>
      </c>
      <c r="F890" s="1480" t="s">
        <v>988</v>
      </c>
      <c r="G890" s="1085">
        <v>1675000</v>
      </c>
      <c r="H890" s="1085">
        <v>8350000</v>
      </c>
      <c r="I890" s="1008"/>
      <c r="J890" s="1008" t="s">
        <v>983</v>
      </c>
      <c r="K890" s="1011"/>
      <c r="L890" s="1007">
        <v>119.2</v>
      </c>
      <c r="M890" s="1007">
        <v>111.2</v>
      </c>
      <c r="N890" s="1007">
        <v>1509.3</v>
      </c>
      <c r="O890" s="1083">
        <v>13.572841726618705</v>
      </c>
      <c r="P890" s="1603">
        <v>1474000.0000000002</v>
      </c>
      <c r="Q890" s="1607">
        <v>8350000.0000000019</v>
      </c>
    </row>
    <row r="891" spans="1:17" x14ac:dyDescent="0.2">
      <c r="A891" s="7" t="s">
        <v>1934</v>
      </c>
      <c r="B891" s="8"/>
      <c r="C891" s="8"/>
      <c r="D891" s="8"/>
      <c r="E891" s="4"/>
      <c r="F891" s="5"/>
      <c r="G891" s="9"/>
      <c r="H891" s="8"/>
      <c r="I891" s="4"/>
      <c r="J891" s="1"/>
      <c r="K891" s="1"/>
      <c r="O891" s="1"/>
      <c r="P891" s="1"/>
    </row>
    <row r="892" spans="1:17" x14ac:dyDescent="0.2">
      <c r="A892" s="6"/>
      <c r="B892" s="8"/>
      <c r="C892" s="8"/>
      <c r="D892" s="8"/>
      <c r="E892" s="4"/>
      <c r="F892" s="5"/>
      <c r="G892" s="9"/>
      <c r="H892" s="8"/>
      <c r="I892" s="4"/>
      <c r="J892" s="1"/>
      <c r="K892" s="1"/>
      <c r="O892" s="1"/>
      <c r="P892" s="1"/>
    </row>
    <row r="893" spans="1:17" x14ac:dyDescent="0.2">
      <c r="A893" s="6"/>
      <c r="B893" s="8"/>
      <c r="C893" s="8"/>
      <c r="D893" s="8"/>
      <c r="E893" s="4"/>
      <c r="F893" s="5"/>
      <c r="G893" s="9"/>
      <c r="H893" s="8"/>
      <c r="I893" s="4"/>
      <c r="J893" s="1"/>
      <c r="K893" s="1"/>
      <c r="O893" s="1"/>
      <c r="P893" s="1"/>
    </row>
    <row r="894" spans="1:17" x14ac:dyDescent="0.2">
      <c r="A894" s="6"/>
      <c r="B894" s="8"/>
      <c r="C894" s="8"/>
      <c r="D894" s="8"/>
      <c r="E894" s="4"/>
      <c r="F894" s="5"/>
      <c r="G894" s="9"/>
      <c r="H894" s="8"/>
      <c r="I894" s="4"/>
      <c r="J894" s="1"/>
      <c r="K894" s="1"/>
      <c r="O894" s="1"/>
      <c r="P894" s="1"/>
    </row>
    <row r="895" spans="1:17" x14ac:dyDescent="0.2">
      <c r="A895" s="6"/>
      <c r="B895" s="8"/>
      <c r="C895" s="8"/>
      <c r="D895" s="8"/>
      <c r="E895" s="2380"/>
      <c r="F895" s="5"/>
      <c r="G895" s="9"/>
      <c r="H895" s="8"/>
      <c r="I895" s="2380"/>
      <c r="J895" s="2381"/>
      <c r="K895" s="2381"/>
      <c r="O895" s="2381"/>
      <c r="P895" s="2381"/>
    </row>
    <row r="896" spans="1:17" x14ac:dyDescent="0.2">
      <c r="A896" s="6"/>
      <c r="B896" s="8"/>
      <c r="C896" s="8"/>
      <c r="D896" s="8"/>
      <c r="E896" s="2380"/>
      <c r="F896" s="5"/>
      <c r="G896" s="9"/>
      <c r="H896" s="8"/>
      <c r="I896" s="2380"/>
      <c r="J896" s="2381"/>
      <c r="K896" s="2381"/>
      <c r="O896" s="2381"/>
      <c r="P896" s="2381"/>
    </row>
    <row r="897" spans="1:17" ht="15.75" customHeight="1" x14ac:dyDescent="0.25">
      <c r="A897" s="2512" t="s">
        <v>1929</v>
      </c>
      <c r="B897" s="2512"/>
      <c r="C897" s="2512"/>
      <c r="D897" s="2512"/>
      <c r="E897" s="2512"/>
      <c r="F897" s="2512"/>
      <c r="G897" s="2512"/>
      <c r="H897" s="2512"/>
      <c r="I897" s="2512"/>
      <c r="J897" s="2512"/>
      <c r="K897" s="2512"/>
      <c r="L897" s="2512"/>
      <c r="M897" s="2512"/>
      <c r="N897" s="2512"/>
      <c r="O897" s="2512"/>
      <c r="P897" s="2512"/>
      <c r="Q897" s="2512"/>
    </row>
    <row r="898" spans="1:17" x14ac:dyDescent="0.2">
      <c r="A898" s="3"/>
      <c r="B898" s="6"/>
      <c r="C898" s="6"/>
      <c r="D898" s="6"/>
      <c r="E898" s="1"/>
      <c r="F898" s="2"/>
      <c r="G898" s="17"/>
      <c r="H898" s="6"/>
      <c r="I898" s="1"/>
      <c r="J898" s="1"/>
      <c r="K898" s="1"/>
      <c r="L898" s="6"/>
      <c r="M898" s="6"/>
      <c r="N898" s="6"/>
      <c r="O898" s="1"/>
      <c r="P898" s="1"/>
      <c r="Q898" s="6"/>
    </row>
    <row r="899" spans="1:17" ht="13.5" thickBot="1" x14ac:dyDescent="0.25">
      <c r="A899" s="3" t="s">
        <v>402</v>
      </c>
      <c r="B899" s="6"/>
      <c r="C899" s="6"/>
      <c r="D899" s="6"/>
      <c r="E899" s="1"/>
      <c r="F899" s="2"/>
      <c r="G899" s="6"/>
      <c r="H899" s="6"/>
      <c r="I899" s="1"/>
      <c r="J899" s="1"/>
      <c r="K899" s="1"/>
      <c r="L899" s="6"/>
      <c r="M899" s="6"/>
      <c r="N899" s="6"/>
      <c r="O899" s="1"/>
      <c r="P899" s="1"/>
      <c r="Q899" s="6"/>
    </row>
    <row r="900" spans="1:17" ht="14.45" customHeight="1" thickBot="1" x14ac:dyDescent="0.25">
      <c r="A900" s="2513" t="s">
        <v>327</v>
      </c>
      <c r="B900" s="2516" t="s">
        <v>1935</v>
      </c>
      <c r="C900" s="2517"/>
      <c r="D900" s="2517"/>
      <c r="E900" s="2517"/>
      <c r="F900" s="2517"/>
      <c r="G900" s="2517"/>
      <c r="H900" s="2517"/>
      <c r="I900" s="2517"/>
      <c r="J900" s="2517"/>
      <c r="K900" s="2517"/>
      <c r="L900" s="2518" t="s">
        <v>1930</v>
      </c>
      <c r="M900" s="2519"/>
      <c r="N900" s="2519"/>
      <c r="O900" s="2519"/>
      <c r="P900" s="2520"/>
      <c r="Q900" s="2521"/>
    </row>
    <row r="901" spans="1:17" ht="14.45" customHeight="1" x14ac:dyDescent="0.2">
      <c r="A901" s="2514"/>
      <c r="B901" s="2522" t="s">
        <v>328</v>
      </c>
      <c r="C901" s="2523"/>
      <c r="D901" s="1014"/>
      <c r="E901" s="1014" t="s">
        <v>904</v>
      </c>
      <c r="F901" s="1014" t="s">
        <v>329</v>
      </c>
      <c r="G901" s="1014"/>
      <c r="H901" s="1014"/>
      <c r="I901" s="2526" t="s">
        <v>330</v>
      </c>
      <c r="J901" s="2527"/>
      <c r="K901" s="2528"/>
      <c r="L901" s="2524" t="s">
        <v>328</v>
      </c>
      <c r="M901" s="2525"/>
      <c r="N901" s="1021" t="s">
        <v>331</v>
      </c>
      <c r="O901" s="1022" t="s">
        <v>332</v>
      </c>
      <c r="P901" s="1023"/>
      <c r="Q901" s="1024"/>
    </row>
    <row r="902" spans="1:17" ht="14.45" customHeight="1" x14ac:dyDescent="0.2">
      <c r="A902" s="2514"/>
      <c r="B902" s="1014" t="s">
        <v>835</v>
      </c>
      <c r="C902" s="1014" t="s">
        <v>335</v>
      </c>
      <c r="D902" s="1014" t="s">
        <v>837</v>
      </c>
      <c r="E902" s="1014" t="s">
        <v>842</v>
      </c>
      <c r="F902" s="1014" t="s">
        <v>336</v>
      </c>
      <c r="G902" s="1014" t="s">
        <v>337</v>
      </c>
      <c r="H902" s="1014" t="s">
        <v>338</v>
      </c>
      <c r="I902" s="2529" t="s">
        <v>839</v>
      </c>
      <c r="J902" s="2530"/>
      <c r="K902" s="2531"/>
      <c r="L902" s="1025" t="s">
        <v>835</v>
      </c>
      <c r="M902" s="1021" t="s">
        <v>335</v>
      </c>
      <c r="N902" s="1021" t="s">
        <v>339</v>
      </c>
      <c r="O902" s="1022"/>
      <c r="P902" s="1021" t="s">
        <v>337</v>
      </c>
      <c r="Q902" s="1024" t="s">
        <v>338</v>
      </c>
    </row>
    <row r="903" spans="1:17" ht="14.45" customHeight="1" x14ac:dyDescent="0.2">
      <c r="A903" s="2514"/>
      <c r="B903" s="1014"/>
      <c r="C903" s="1014"/>
      <c r="D903" s="1014"/>
      <c r="E903" s="1014"/>
      <c r="F903" s="1014" t="s">
        <v>341</v>
      </c>
      <c r="G903" s="1014" t="s">
        <v>342</v>
      </c>
      <c r="H903" s="1014" t="s">
        <v>341</v>
      </c>
      <c r="I903" s="1015"/>
      <c r="J903" s="1016"/>
      <c r="K903" s="1017"/>
      <c r="L903" s="1025"/>
      <c r="M903" s="1021"/>
      <c r="N903" s="1021"/>
      <c r="O903" s="1022" t="s">
        <v>344</v>
      </c>
      <c r="P903" s="1021" t="s">
        <v>342</v>
      </c>
      <c r="Q903" s="1024" t="s">
        <v>341</v>
      </c>
    </row>
    <row r="904" spans="1:17" ht="14.45" customHeight="1" x14ac:dyDescent="0.2">
      <c r="A904" s="2515"/>
      <c r="B904" s="1018" t="s">
        <v>345</v>
      </c>
      <c r="C904" s="1018" t="s">
        <v>345</v>
      </c>
      <c r="D904" s="1018" t="s">
        <v>346</v>
      </c>
      <c r="E904" s="1018" t="s">
        <v>757</v>
      </c>
      <c r="F904" s="1018"/>
      <c r="G904" s="1018" t="s">
        <v>347</v>
      </c>
      <c r="H904" s="1018" t="s">
        <v>348</v>
      </c>
      <c r="I904" s="1019" t="s">
        <v>349</v>
      </c>
      <c r="J904" s="1019" t="s">
        <v>350</v>
      </c>
      <c r="K904" s="1020" t="s">
        <v>351</v>
      </c>
      <c r="L904" s="1026" t="s">
        <v>345</v>
      </c>
      <c r="M904" s="1027" t="s">
        <v>345</v>
      </c>
      <c r="N904" s="1027" t="s">
        <v>346</v>
      </c>
      <c r="O904" s="1028"/>
      <c r="P904" s="1027" t="s">
        <v>347</v>
      </c>
      <c r="Q904" s="1029" t="s">
        <v>348</v>
      </c>
    </row>
    <row r="905" spans="1:17" ht="14.45" customHeight="1" x14ac:dyDescent="0.2">
      <c r="A905" s="975" t="s">
        <v>352</v>
      </c>
      <c r="B905" s="976">
        <v>0</v>
      </c>
      <c r="C905" s="976">
        <v>0</v>
      </c>
      <c r="D905" s="977">
        <v>0</v>
      </c>
      <c r="E905" s="978"/>
      <c r="F905" s="979"/>
      <c r="G905" s="976"/>
      <c r="H905" s="976"/>
      <c r="I905" s="978"/>
      <c r="J905" s="978"/>
      <c r="K905" s="980"/>
      <c r="L905" s="981">
        <v>0</v>
      </c>
      <c r="M905" s="977">
        <v>0</v>
      </c>
      <c r="N905" s="977">
        <v>0</v>
      </c>
      <c r="O905" s="977"/>
      <c r="P905" s="1609"/>
      <c r="Q905" s="1610"/>
    </row>
    <row r="906" spans="1:17" ht="14.45" customHeight="1" x14ac:dyDescent="0.2">
      <c r="A906" s="954" t="s">
        <v>353</v>
      </c>
      <c r="B906" s="2214">
        <v>0</v>
      </c>
      <c r="C906" s="1146">
        <v>0</v>
      </c>
      <c r="D906" s="957">
        <v>0</v>
      </c>
      <c r="E906" s="431"/>
      <c r="F906" s="958"/>
      <c r="G906" s="959"/>
      <c r="H906" s="959"/>
      <c r="I906" s="960"/>
      <c r="J906" s="960"/>
      <c r="K906" s="961"/>
      <c r="L906" s="962"/>
      <c r="M906" s="956"/>
      <c r="N906" s="1498">
        <v>0</v>
      </c>
      <c r="O906" s="1619"/>
      <c r="P906" s="1261"/>
      <c r="Q906" s="1606"/>
    </row>
    <row r="907" spans="1:17" ht="14.45" customHeight="1" x14ac:dyDescent="0.2">
      <c r="A907" s="954" t="s">
        <v>354</v>
      </c>
      <c r="B907" s="2214">
        <v>0</v>
      </c>
      <c r="C907" s="1146">
        <v>0</v>
      </c>
      <c r="D907" s="957">
        <v>0</v>
      </c>
      <c r="E907" s="431"/>
      <c r="F907" s="958"/>
      <c r="G907" s="959"/>
      <c r="H907" s="959"/>
      <c r="I907" s="960"/>
      <c r="J907" s="960"/>
      <c r="K907" s="961"/>
      <c r="L907" s="962"/>
      <c r="M907" s="956"/>
      <c r="N907" s="1498">
        <v>0</v>
      </c>
      <c r="O907" s="1619"/>
      <c r="P907" s="1261"/>
      <c r="Q907" s="1606"/>
    </row>
    <row r="908" spans="1:17" ht="14.45" customHeight="1" x14ac:dyDescent="0.2">
      <c r="A908" s="954" t="s">
        <v>355</v>
      </c>
      <c r="B908" s="2214">
        <v>0</v>
      </c>
      <c r="C908" s="1146">
        <v>0</v>
      </c>
      <c r="D908" s="957">
        <v>0</v>
      </c>
      <c r="E908" s="431"/>
      <c r="F908" s="964"/>
      <c r="G908" s="959"/>
      <c r="H908" s="959"/>
      <c r="I908" s="960"/>
      <c r="J908" s="960"/>
      <c r="K908" s="961"/>
      <c r="L908" s="962"/>
      <c r="M908" s="956"/>
      <c r="N908" s="1498">
        <v>0</v>
      </c>
      <c r="O908" s="1619"/>
      <c r="P908" s="1261"/>
      <c r="Q908" s="1606"/>
    </row>
    <row r="909" spans="1:17" ht="14.45" customHeight="1" x14ac:dyDescent="0.2">
      <c r="A909" s="954" t="s">
        <v>356</v>
      </c>
      <c r="B909" s="2214">
        <v>0</v>
      </c>
      <c r="C909" s="1146">
        <v>0</v>
      </c>
      <c r="D909" s="957">
        <v>0</v>
      </c>
      <c r="E909" s="431"/>
      <c r="F909" s="958"/>
      <c r="G909" s="959"/>
      <c r="H909" s="959"/>
      <c r="I909" s="960"/>
      <c r="J909" s="960"/>
      <c r="K909" s="961"/>
      <c r="L909" s="962"/>
      <c r="M909" s="956"/>
      <c r="N909" s="1498">
        <v>0</v>
      </c>
      <c r="O909" s="1619"/>
      <c r="P909" s="1261"/>
      <c r="Q909" s="1606"/>
    </row>
    <row r="910" spans="1:17" ht="14.45" customHeight="1" x14ac:dyDescent="0.2">
      <c r="A910" s="954" t="s">
        <v>357</v>
      </c>
      <c r="B910" s="2214">
        <v>0</v>
      </c>
      <c r="C910" s="1146">
        <v>0</v>
      </c>
      <c r="D910" s="957">
        <v>0</v>
      </c>
      <c r="E910" s="431"/>
      <c r="F910" s="958"/>
      <c r="G910" s="959"/>
      <c r="H910" s="959"/>
      <c r="I910" s="960"/>
      <c r="J910" s="960"/>
      <c r="K910" s="961"/>
      <c r="L910" s="962"/>
      <c r="M910" s="956"/>
      <c r="N910" s="1498">
        <v>0</v>
      </c>
      <c r="O910" s="1619"/>
      <c r="P910" s="1261"/>
      <c r="Q910" s="1606"/>
    </row>
    <row r="911" spans="1:17" ht="14.45" customHeight="1" x14ac:dyDescent="0.2">
      <c r="A911" s="954" t="s">
        <v>358</v>
      </c>
      <c r="B911" s="2214">
        <v>0</v>
      </c>
      <c r="C911" s="1146">
        <v>0</v>
      </c>
      <c r="D911" s="957">
        <v>0</v>
      </c>
      <c r="E911" s="431"/>
      <c r="F911" s="964"/>
      <c r="G911" s="959"/>
      <c r="H911" s="959"/>
      <c r="I911" s="960"/>
      <c r="J911" s="960"/>
      <c r="K911" s="961"/>
      <c r="L911" s="962"/>
      <c r="M911" s="956"/>
      <c r="N911" s="1498">
        <v>0</v>
      </c>
      <c r="O911" s="1619"/>
      <c r="P911" s="1261"/>
      <c r="Q911" s="1606"/>
    </row>
    <row r="912" spans="1:17" ht="14.45" customHeight="1" x14ac:dyDescent="0.2">
      <c r="A912" s="954" t="s">
        <v>359</v>
      </c>
      <c r="B912" s="2214">
        <v>0</v>
      </c>
      <c r="C912" s="1146">
        <v>0</v>
      </c>
      <c r="D912" s="957">
        <v>0</v>
      </c>
      <c r="E912" s="431"/>
      <c r="F912" s="964"/>
      <c r="G912" s="959"/>
      <c r="H912" s="959"/>
      <c r="I912" s="960"/>
      <c r="J912" s="960"/>
      <c r="K912" s="961"/>
      <c r="L912" s="962"/>
      <c r="M912" s="956"/>
      <c r="N912" s="1498">
        <v>0</v>
      </c>
      <c r="O912" s="1619"/>
      <c r="P912" s="1261"/>
      <c r="Q912" s="1606"/>
    </row>
    <row r="913" spans="1:17" ht="14.45" customHeight="1" x14ac:dyDescent="0.2">
      <c r="A913" s="954" t="s">
        <v>360</v>
      </c>
      <c r="B913" s="2214">
        <v>0</v>
      </c>
      <c r="C913" s="1146">
        <v>0</v>
      </c>
      <c r="D913" s="957">
        <v>0</v>
      </c>
      <c r="E913" s="431"/>
      <c r="F913" s="964"/>
      <c r="G913" s="959"/>
      <c r="H913" s="959"/>
      <c r="I913" s="960"/>
      <c r="J913" s="960"/>
      <c r="K913" s="961"/>
      <c r="L913" s="962"/>
      <c r="M913" s="956"/>
      <c r="N913" s="1498">
        <v>0</v>
      </c>
      <c r="O913" s="1619"/>
      <c r="P913" s="1261"/>
      <c r="Q913" s="1606"/>
    </row>
    <row r="914" spans="1:17" ht="14.45" customHeight="1" x14ac:dyDescent="0.2">
      <c r="A914" s="954" t="s">
        <v>361</v>
      </c>
      <c r="B914" s="2214">
        <v>0</v>
      </c>
      <c r="C914" s="1146">
        <v>0</v>
      </c>
      <c r="D914" s="957">
        <v>0</v>
      </c>
      <c r="E914" s="431"/>
      <c r="F914" s="958"/>
      <c r="G914" s="959"/>
      <c r="H914" s="959"/>
      <c r="I914" s="960"/>
      <c r="J914" s="960"/>
      <c r="K914" s="961"/>
      <c r="L914" s="962"/>
      <c r="M914" s="956"/>
      <c r="N914" s="1498">
        <v>0</v>
      </c>
      <c r="O914" s="1619"/>
      <c r="P914" s="1261"/>
      <c r="Q914" s="1606"/>
    </row>
    <row r="915" spans="1:17" ht="14.45" customHeight="1" x14ac:dyDescent="0.2">
      <c r="A915" s="954" t="s">
        <v>362</v>
      </c>
      <c r="B915" s="2214">
        <v>0</v>
      </c>
      <c r="C915" s="1146">
        <v>0</v>
      </c>
      <c r="D915" s="957">
        <v>0</v>
      </c>
      <c r="E915" s="431"/>
      <c r="F915" s="958"/>
      <c r="G915" s="959"/>
      <c r="H915" s="959"/>
      <c r="I915" s="960"/>
      <c r="J915" s="960"/>
      <c r="K915" s="961"/>
      <c r="L915" s="962"/>
      <c r="M915" s="956"/>
      <c r="N915" s="1498">
        <v>0</v>
      </c>
      <c r="O915" s="1619"/>
      <c r="P915" s="1261"/>
      <c r="Q915" s="1606"/>
    </row>
    <row r="916" spans="1:17" ht="14.45" customHeight="1" x14ac:dyDescent="0.2">
      <c r="A916" s="954" t="s">
        <v>363</v>
      </c>
      <c r="B916" s="2214">
        <v>0</v>
      </c>
      <c r="C916" s="1146">
        <v>0</v>
      </c>
      <c r="D916" s="957">
        <v>0</v>
      </c>
      <c r="E916" s="431"/>
      <c r="F916" s="964"/>
      <c r="G916" s="959"/>
      <c r="H916" s="959"/>
      <c r="I916" s="960"/>
      <c r="J916" s="960"/>
      <c r="K916" s="961"/>
      <c r="L916" s="962"/>
      <c r="M916" s="956"/>
      <c r="N916" s="1498">
        <v>0</v>
      </c>
      <c r="O916" s="1619"/>
      <c r="P916" s="1261"/>
      <c r="Q916" s="1606"/>
    </row>
    <row r="917" spans="1:17" ht="14.45" customHeight="1" x14ac:dyDescent="0.2">
      <c r="A917" s="954" t="s">
        <v>364</v>
      </c>
      <c r="B917" s="2214">
        <v>0</v>
      </c>
      <c r="C917" s="1146">
        <v>0</v>
      </c>
      <c r="D917" s="957">
        <v>0</v>
      </c>
      <c r="E917" s="431"/>
      <c r="F917" s="958"/>
      <c r="G917" s="959"/>
      <c r="H917" s="959"/>
      <c r="I917" s="960"/>
      <c r="J917" s="960"/>
      <c r="K917" s="961"/>
      <c r="L917" s="962"/>
      <c r="M917" s="956"/>
      <c r="N917" s="1498">
        <v>0</v>
      </c>
      <c r="O917" s="1619"/>
      <c r="P917" s="1261"/>
      <c r="Q917" s="1606"/>
    </row>
    <row r="918" spans="1:17" ht="14.45" customHeight="1" x14ac:dyDescent="0.2">
      <c r="A918" s="954" t="s">
        <v>365</v>
      </c>
      <c r="B918" s="2214">
        <v>0</v>
      </c>
      <c r="C918" s="1146">
        <v>0</v>
      </c>
      <c r="D918" s="957">
        <v>0</v>
      </c>
      <c r="E918" s="431"/>
      <c r="F918" s="964"/>
      <c r="G918" s="959"/>
      <c r="H918" s="959"/>
      <c r="I918" s="960"/>
      <c r="J918" s="960"/>
      <c r="K918" s="961"/>
      <c r="L918" s="962"/>
      <c r="M918" s="956"/>
      <c r="N918" s="1498">
        <v>0</v>
      </c>
      <c r="O918" s="1619"/>
      <c r="P918" s="1261"/>
      <c r="Q918" s="1606"/>
    </row>
    <row r="919" spans="1:17" ht="14.45" customHeight="1" x14ac:dyDescent="0.2">
      <c r="A919" s="954" t="s">
        <v>366</v>
      </c>
      <c r="B919" s="2214">
        <v>0</v>
      </c>
      <c r="C919" s="1146">
        <v>0</v>
      </c>
      <c r="D919" s="957">
        <v>0</v>
      </c>
      <c r="E919" s="431"/>
      <c r="F919" s="958"/>
      <c r="G919" s="959"/>
      <c r="H919" s="959"/>
      <c r="I919" s="960"/>
      <c r="J919" s="960"/>
      <c r="K919" s="961"/>
      <c r="L919" s="962"/>
      <c r="M919" s="956"/>
      <c r="N919" s="1498">
        <v>0</v>
      </c>
      <c r="O919" s="1619"/>
      <c r="P919" s="1261"/>
      <c r="Q919" s="1606"/>
    </row>
    <row r="920" spans="1:17" ht="14.45" customHeight="1" x14ac:dyDescent="0.2">
      <c r="A920" s="954" t="s">
        <v>367</v>
      </c>
      <c r="B920" s="2214">
        <v>0</v>
      </c>
      <c r="C920" s="1146">
        <v>0</v>
      </c>
      <c r="D920" s="957">
        <v>0</v>
      </c>
      <c r="E920" s="431"/>
      <c r="F920" s="964"/>
      <c r="G920" s="959"/>
      <c r="H920" s="959"/>
      <c r="I920" s="960"/>
      <c r="J920" s="960"/>
      <c r="K920" s="961"/>
      <c r="L920" s="962"/>
      <c r="M920" s="956"/>
      <c r="N920" s="1498">
        <v>0</v>
      </c>
      <c r="O920" s="1619"/>
      <c r="P920" s="1261"/>
      <c r="Q920" s="1606"/>
    </row>
    <row r="921" spans="1:17" ht="14.45" customHeight="1" x14ac:dyDescent="0.2">
      <c r="A921" s="983" t="s">
        <v>368</v>
      </c>
      <c r="B921" s="984">
        <v>0</v>
      </c>
      <c r="C921" s="984">
        <v>0</v>
      </c>
      <c r="D921" s="2308">
        <v>0</v>
      </c>
      <c r="E921" s="986"/>
      <c r="F921" s="987"/>
      <c r="G921" s="988"/>
      <c r="H921" s="988"/>
      <c r="I921" s="989"/>
      <c r="J921" s="989"/>
      <c r="K921" s="990"/>
      <c r="L921" s="991">
        <v>0</v>
      </c>
      <c r="M921" s="984">
        <v>0</v>
      </c>
      <c r="N921" s="984">
        <v>0</v>
      </c>
      <c r="O921" s="1602"/>
      <c r="P921" s="1604"/>
      <c r="Q921" s="1605"/>
    </row>
    <row r="922" spans="1:17" ht="14.45" customHeight="1" x14ac:dyDescent="0.2">
      <c r="A922" s="954" t="s">
        <v>369</v>
      </c>
      <c r="B922" s="2214">
        <v>0</v>
      </c>
      <c r="C922" s="1146">
        <v>0</v>
      </c>
      <c r="D922" s="957">
        <v>0</v>
      </c>
      <c r="E922" s="431"/>
      <c r="F922" s="964"/>
      <c r="G922" s="959"/>
      <c r="H922" s="959"/>
      <c r="I922" s="960"/>
      <c r="J922" s="960"/>
      <c r="K922" s="961"/>
      <c r="L922" s="962"/>
      <c r="M922" s="956"/>
      <c r="N922" s="1498">
        <v>0</v>
      </c>
      <c r="O922" s="1619"/>
      <c r="P922" s="1261"/>
      <c r="Q922" s="1606"/>
    </row>
    <row r="923" spans="1:17" ht="14.45" customHeight="1" x14ac:dyDescent="0.2">
      <c r="A923" s="954" t="s">
        <v>370</v>
      </c>
      <c r="B923" s="2214">
        <v>0</v>
      </c>
      <c r="C923" s="1146">
        <v>0</v>
      </c>
      <c r="D923" s="957">
        <v>0</v>
      </c>
      <c r="E923" s="431"/>
      <c r="F923" s="964"/>
      <c r="G923" s="959"/>
      <c r="H923" s="959"/>
      <c r="I923" s="960"/>
      <c r="J923" s="960"/>
      <c r="K923" s="961"/>
      <c r="L923" s="962"/>
      <c r="M923" s="956"/>
      <c r="N923" s="1498">
        <v>0</v>
      </c>
      <c r="O923" s="1619"/>
      <c r="P923" s="1261"/>
      <c r="Q923" s="1606"/>
    </row>
    <row r="924" spans="1:17" ht="14.45" customHeight="1" x14ac:dyDescent="0.2">
      <c r="A924" s="954" t="s">
        <v>371</v>
      </c>
      <c r="B924" s="2214">
        <v>0</v>
      </c>
      <c r="C924" s="1146">
        <v>0</v>
      </c>
      <c r="D924" s="957">
        <v>0</v>
      </c>
      <c r="E924" s="431"/>
      <c r="F924" s="964"/>
      <c r="G924" s="959"/>
      <c r="H924" s="959"/>
      <c r="I924" s="960"/>
      <c r="J924" s="960"/>
      <c r="K924" s="961"/>
      <c r="L924" s="962"/>
      <c r="M924" s="956"/>
      <c r="N924" s="1498">
        <v>0</v>
      </c>
      <c r="O924" s="1619"/>
      <c r="P924" s="1261"/>
      <c r="Q924" s="1606"/>
    </row>
    <row r="925" spans="1:17" ht="14.45" customHeight="1" x14ac:dyDescent="0.2">
      <c r="A925" s="954" t="s">
        <v>372</v>
      </c>
      <c r="B925" s="2214">
        <v>0</v>
      </c>
      <c r="C925" s="1146">
        <v>0</v>
      </c>
      <c r="D925" s="957">
        <v>0</v>
      </c>
      <c r="E925" s="431"/>
      <c r="F925" s="964"/>
      <c r="G925" s="959"/>
      <c r="H925" s="959"/>
      <c r="I925" s="960"/>
      <c r="J925" s="960"/>
      <c r="K925" s="961"/>
      <c r="L925" s="962"/>
      <c r="M925" s="956"/>
      <c r="N925" s="1498">
        <v>0</v>
      </c>
      <c r="O925" s="1619"/>
      <c r="P925" s="1261"/>
      <c r="Q925" s="1606"/>
    </row>
    <row r="926" spans="1:17" ht="14.45" customHeight="1" x14ac:dyDescent="0.2">
      <c r="A926" s="954" t="s">
        <v>373</v>
      </c>
      <c r="B926" s="2214">
        <v>0</v>
      </c>
      <c r="C926" s="1146">
        <v>0</v>
      </c>
      <c r="D926" s="957">
        <v>0</v>
      </c>
      <c r="E926" s="431"/>
      <c r="F926" s="958"/>
      <c r="G926" s="959"/>
      <c r="H926" s="959"/>
      <c r="I926" s="960"/>
      <c r="J926" s="960"/>
      <c r="K926" s="961"/>
      <c r="L926" s="962"/>
      <c r="M926" s="956"/>
      <c r="N926" s="1498">
        <v>0</v>
      </c>
      <c r="O926" s="1619"/>
      <c r="P926" s="1261"/>
      <c r="Q926" s="1606"/>
    </row>
    <row r="927" spans="1:17" ht="14.45" customHeight="1" x14ac:dyDescent="0.2">
      <c r="A927" s="983" t="s">
        <v>374</v>
      </c>
      <c r="B927" s="984">
        <v>0</v>
      </c>
      <c r="C927" s="984">
        <v>0</v>
      </c>
      <c r="D927" s="984">
        <v>0</v>
      </c>
      <c r="E927" s="995"/>
      <c r="F927" s="987"/>
      <c r="G927" s="996"/>
      <c r="H927" s="996"/>
      <c r="I927" s="997"/>
      <c r="J927" s="997"/>
      <c r="K927" s="998"/>
      <c r="L927" s="999">
        <v>0</v>
      </c>
      <c r="M927" s="994">
        <v>0</v>
      </c>
      <c r="N927" s="994">
        <v>0</v>
      </c>
      <c r="O927" s="1602"/>
      <c r="P927" s="1604"/>
      <c r="Q927" s="1605"/>
    </row>
    <row r="928" spans="1:17" ht="14.45" customHeight="1" x14ac:dyDescent="0.2">
      <c r="A928" s="954" t="s">
        <v>375</v>
      </c>
      <c r="B928" s="2214">
        <v>0</v>
      </c>
      <c r="C928" s="1146">
        <v>0</v>
      </c>
      <c r="D928" s="957">
        <v>0</v>
      </c>
      <c r="E928" s="431"/>
      <c r="F928" s="958"/>
      <c r="G928" s="959"/>
      <c r="H928" s="959"/>
      <c r="I928" s="960"/>
      <c r="J928" s="960"/>
      <c r="K928" s="961"/>
      <c r="L928" s="962"/>
      <c r="M928" s="956"/>
      <c r="N928" s="1498">
        <v>0</v>
      </c>
      <c r="O928" s="1619"/>
      <c r="P928" s="1261"/>
      <c r="Q928" s="1606"/>
    </row>
    <row r="929" spans="1:17" ht="14.45" customHeight="1" x14ac:dyDescent="0.2">
      <c r="A929" s="954" t="s">
        <v>376</v>
      </c>
      <c r="B929" s="2214">
        <v>0</v>
      </c>
      <c r="C929" s="1146">
        <v>0</v>
      </c>
      <c r="D929" s="957">
        <v>0</v>
      </c>
      <c r="E929" s="431"/>
      <c r="F929" s="958"/>
      <c r="G929" s="959"/>
      <c r="H929" s="959"/>
      <c r="I929" s="960"/>
      <c r="J929" s="960"/>
      <c r="K929" s="961"/>
      <c r="L929" s="962"/>
      <c r="M929" s="956"/>
      <c r="N929" s="1498">
        <v>0</v>
      </c>
      <c r="O929" s="1619"/>
      <c r="P929" s="1261"/>
      <c r="Q929" s="1606"/>
    </row>
    <row r="930" spans="1:17" ht="14.45" customHeight="1" x14ac:dyDescent="0.2">
      <c r="A930" s="954" t="s">
        <v>377</v>
      </c>
      <c r="B930" s="2214">
        <v>0</v>
      </c>
      <c r="C930" s="1146">
        <v>0</v>
      </c>
      <c r="D930" s="957">
        <v>0</v>
      </c>
      <c r="E930" s="431"/>
      <c r="F930" s="958"/>
      <c r="G930" s="959"/>
      <c r="H930" s="959"/>
      <c r="I930" s="960"/>
      <c r="J930" s="960"/>
      <c r="K930" s="961"/>
      <c r="L930" s="962"/>
      <c r="M930" s="956"/>
      <c r="N930" s="1498">
        <v>0</v>
      </c>
      <c r="O930" s="1619"/>
      <c r="P930" s="1261"/>
      <c r="Q930" s="1606"/>
    </row>
    <row r="931" spans="1:17" ht="14.45" customHeight="1" x14ac:dyDescent="0.2">
      <c r="A931" s="954" t="s">
        <v>378</v>
      </c>
      <c r="B931" s="2214">
        <v>0</v>
      </c>
      <c r="C931" s="1146">
        <v>0</v>
      </c>
      <c r="D931" s="957">
        <v>0</v>
      </c>
      <c r="E931" s="431"/>
      <c r="F931" s="958"/>
      <c r="G931" s="965"/>
      <c r="H931" s="965"/>
      <c r="I931" s="966"/>
      <c r="J931" s="966"/>
      <c r="K931" s="967"/>
      <c r="L931" s="962"/>
      <c r="M931" s="956"/>
      <c r="N931" s="1498">
        <v>0</v>
      </c>
      <c r="O931" s="1619"/>
      <c r="P931" s="1261"/>
      <c r="Q931" s="1606"/>
    </row>
    <row r="932" spans="1:17" ht="14.45" customHeight="1" x14ac:dyDescent="0.2">
      <c r="A932" s="954" t="s">
        <v>379</v>
      </c>
      <c r="B932" s="2214">
        <v>0</v>
      </c>
      <c r="C932" s="1146">
        <v>0</v>
      </c>
      <c r="D932" s="957">
        <v>0</v>
      </c>
      <c r="E932" s="431"/>
      <c r="F932" s="958"/>
      <c r="G932" s="965"/>
      <c r="H932" s="965"/>
      <c r="I932" s="966"/>
      <c r="J932" s="966"/>
      <c r="K932" s="967"/>
      <c r="L932" s="962"/>
      <c r="M932" s="956"/>
      <c r="N932" s="1498">
        <v>0</v>
      </c>
      <c r="O932" s="1619"/>
      <c r="P932" s="1261"/>
      <c r="Q932" s="1606"/>
    </row>
    <row r="933" spans="1:17" ht="14.45" customHeight="1" x14ac:dyDescent="0.2">
      <c r="A933" s="954" t="s">
        <v>380</v>
      </c>
      <c r="B933" s="2214">
        <v>0</v>
      </c>
      <c r="C933" s="1146">
        <v>0</v>
      </c>
      <c r="D933" s="957">
        <v>0</v>
      </c>
      <c r="E933" s="431"/>
      <c r="F933" s="958"/>
      <c r="G933" s="965"/>
      <c r="H933" s="965"/>
      <c r="I933" s="966"/>
      <c r="J933" s="966"/>
      <c r="K933" s="967"/>
      <c r="L933" s="962"/>
      <c r="M933" s="956"/>
      <c r="N933" s="1498">
        <v>0</v>
      </c>
      <c r="O933" s="1619"/>
      <c r="P933" s="1261"/>
      <c r="Q933" s="1606"/>
    </row>
    <row r="934" spans="1:17" ht="14.45" customHeight="1" x14ac:dyDescent="0.2">
      <c r="A934" s="954" t="s">
        <v>381</v>
      </c>
      <c r="B934" s="2214">
        <v>0</v>
      </c>
      <c r="C934" s="1146">
        <v>0</v>
      </c>
      <c r="D934" s="957">
        <v>0</v>
      </c>
      <c r="E934" s="431"/>
      <c r="F934" s="958"/>
      <c r="G934" s="965"/>
      <c r="H934" s="965"/>
      <c r="I934" s="966"/>
      <c r="J934" s="966"/>
      <c r="K934" s="967"/>
      <c r="L934" s="962"/>
      <c r="M934" s="956"/>
      <c r="N934" s="1498">
        <v>0</v>
      </c>
      <c r="O934" s="1619"/>
      <c r="P934" s="1261"/>
      <c r="Q934" s="1606"/>
    </row>
    <row r="935" spans="1:17" ht="14.45" customHeight="1" x14ac:dyDescent="0.2">
      <c r="A935" s="954" t="s">
        <v>382</v>
      </c>
      <c r="B935" s="2214">
        <v>0</v>
      </c>
      <c r="C935" s="1146">
        <v>0</v>
      </c>
      <c r="D935" s="957">
        <v>0</v>
      </c>
      <c r="E935" s="431"/>
      <c r="F935" s="958"/>
      <c r="G935" s="965"/>
      <c r="H935" s="965"/>
      <c r="I935" s="966"/>
      <c r="J935" s="966"/>
      <c r="K935" s="967"/>
      <c r="L935" s="962"/>
      <c r="M935" s="956"/>
      <c r="N935" s="1498">
        <v>0</v>
      </c>
      <c r="O935" s="1619"/>
      <c r="P935" s="1261"/>
      <c r="Q935" s="1606"/>
    </row>
    <row r="936" spans="1:17" ht="14.45" customHeight="1" x14ac:dyDescent="0.2">
      <c r="A936" s="983" t="s">
        <v>383</v>
      </c>
      <c r="B936" s="1002">
        <v>0</v>
      </c>
      <c r="C936" s="1002">
        <v>0</v>
      </c>
      <c r="D936" s="1002">
        <v>0</v>
      </c>
      <c r="E936" s="995"/>
      <c r="F936" s="1003"/>
      <c r="G936" s="1004"/>
      <c r="H936" s="1004"/>
      <c r="I936" s="1005"/>
      <c r="J936" s="1005"/>
      <c r="K936" s="949"/>
      <c r="L936" s="991">
        <v>0</v>
      </c>
      <c r="M936" s="1002">
        <v>0</v>
      </c>
      <c r="N936" s="1002">
        <v>0</v>
      </c>
      <c r="O936" s="1602"/>
      <c r="P936" s="1604"/>
      <c r="Q936" s="1605"/>
    </row>
    <row r="937" spans="1:17" ht="14.45" customHeight="1" x14ac:dyDescent="0.2">
      <c r="A937" s="954" t="s">
        <v>384</v>
      </c>
      <c r="B937" s="2214">
        <v>0</v>
      </c>
      <c r="C937" s="1146">
        <v>0</v>
      </c>
      <c r="D937" s="957">
        <v>0</v>
      </c>
      <c r="E937" s="431"/>
      <c r="F937" s="958"/>
      <c r="G937" s="965"/>
      <c r="H937" s="965"/>
      <c r="I937" s="966"/>
      <c r="J937" s="966"/>
      <c r="K937" s="967"/>
      <c r="L937" s="962"/>
      <c r="M937" s="956"/>
      <c r="N937" s="1498">
        <v>0</v>
      </c>
      <c r="O937" s="1619"/>
      <c r="P937" s="1261"/>
      <c r="Q937" s="1606"/>
    </row>
    <row r="938" spans="1:17" ht="14.45" customHeight="1" x14ac:dyDescent="0.2">
      <c r="A938" s="954" t="s">
        <v>385</v>
      </c>
      <c r="B938" s="2214">
        <v>0</v>
      </c>
      <c r="C938" s="1146">
        <v>0</v>
      </c>
      <c r="D938" s="957">
        <v>0</v>
      </c>
      <c r="E938" s="431"/>
      <c r="F938" s="958"/>
      <c r="G938" s="965"/>
      <c r="H938" s="965"/>
      <c r="I938" s="966"/>
      <c r="J938" s="966"/>
      <c r="K938" s="967"/>
      <c r="L938" s="962"/>
      <c r="M938" s="956"/>
      <c r="N938" s="1498">
        <v>0</v>
      </c>
      <c r="O938" s="1619"/>
      <c r="P938" s="1261"/>
      <c r="Q938" s="1606"/>
    </row>
    <row r="939" spans="1:17" ht="14.45" customHeight="1" x14ac:dyDescent="0.2">
      <c r="A939" s="954" t="s">
        <v>386</v>
      </c>
      <c r="B939" s="2214">
        <v>0</v>
      </c>
      <c r="C939" s="1146">
        <v>0</v>
      </c>
      <c r="D939" s="957">
        <v>0</v>
      </c>
      <c r="E939" s="431"/>
      <c r="F939" s="958"/>
      <c r="G939" s="965"/>
      <c r="H939" s="965"/>
      <c r="I939" s="966"/>
      <c r="J939" s="966"/>
      <c r="K939" s="967"/>
      <c r="L939" s="962"/>
      <c r="M939" s="956"/>
      <c r="N939" s="1498">
        <v>0</v>
      </c>
      <c r="O939" s="1619"/>
      <c r="P939" s="1261"/>
      <c r="Q939" s="1606"/>
    </row>
    <row r="940" spans="1:17" ht="14.45" customHeight="1" x14ac:dyDescent="0.2">
      <c r="A940" s="954" t="s">
        <v>387</v>
      </c>
      <c r="B940" s="2214">
        <v>0</v>
      </c>
      <c r="C940" s="1146">
        <v>0</v>
      </c>
      <c r="D940" s="957">
        <v>0</v>
      </c>
      <c r="E940" s="431"/>
      <c r="F940" s="958"/>
      <c r="G940" s="965"/>
      <c r="H940" s="965"/>
      <c r="I940" s="966"/>
      <c r="J940" s="966"/>
      <c r="K940" s="967"/>
      <c r="L940" s="962"/>
      <c r="M940" s="956"/>
      <c r="N940" s="1498">
        <v>0</v>
      </c>
      <c r="O940" s="1619"/>
      <c r="P940" s="1261"/>
      <c r="Q940" s="1606"/>
    </row>
    <row r="941" spans="1:17" ht="14.45" customHeight="1" x14ac:dyDescent="0.2">
      <c r="A941" s="954" t="s">
        <v>388</v>
      </c>
      <c r="B941" s="2214">
        <v>0</v>
      </c>
      <c r="C941" s="1146">
        <v>0</v>
      </c>
      <c r="D941" s="957">
        <v>0</v>
      </c>
      <c r="E941" s="431"/>
      <c r="F941" s="958"/>
      <c r="G941" s="965"/>
      <c r="H941" s="965"/>
      <c r="I941" s="966"/>
      <c r="J941" s="966"/>
      <c r="K941" s="967"/>
      <c r="L941" s="962"/>
      <c r="M941" s="956"/>
      <c r="N941" s="1498">
        <v>0</v>
      </c>
      <c r="O941" s="1619"/>
      <c r="P941" s="1261"/>
      <c r="Q941" s="1606"/>
    </row>
    <row r="942" spans="1:17" ht="14.45" customHeight="1" x14ac:dyDescent="0.2">
      <c r="A942" s="954" t="s">
        <v>389</v>
      </c>
      <c r="B942" s="2214">
        <v>0</v>
      </c>
      <c r="C942" s="1146">
        <v>0</v>
      </c>
      <c r="D942" s="957">
        <v>0</v>
      </c>
      <c r="E942" s="431"/>
      <c r="F942" s="958"/>
      <c r="G942" s="965"/>
      <c r="H942" s="965"/>
      <c r="I942" s="966"/>
      <c r="J942" s="966"/>
      <c r="K942" s="967"/>
      <c r="L942" s="962"/>
      <c r="M942" s="956"/>
      <c r="N942" s="1498">
        <v>0</v>
      </c>
      <c r="O942" s="1619"/>
      <c r="P942" s="1261"/>
      <c r="Q942" s="1606"/>
    </row>
    <row r="943" spans="1:17" ht="14.45" customHeight="1" x14ac:dyDescent="0.2">
      <c r="A943" s="954" t="s">
        <v>390</v>
      </c>
      <c r="B943" s="2214">
        <v>0</v>
      </c>
      <c r="C943" s="1146">
        <v>0</v>
      </c>
      <c r="D943" s="957">
        <v>0</v>
      </c>
      <c r="E943" s="431"/>
      <c r="F943" s="958"/>
      <c r="G943" s="965"/>
      <c r="H943" s="965"/>
      <c r="I943" s="966"/>
      <c r="J943" s="966"/>
      <c r="K943" s="967"/>
      <c r="L943" s="962"/>
      <c r="M943" s="956"/>
      <c r="N943" s="1498">
        <v>0</v>
      </c>
      <c r="O943" s="1619"/>
      <c r="P943" s="1261"/>
      <c r="Q943" s="1606"/>
    </row>
    <row r="944" spans="1:17" ht="14.45" customHeight="1" x14ac:dyDescent="0.2">
      <c r="A944" s="954" t="s">
        <v>391</v>
      </c>
      <c r="B944" s="2214">
        <v>0</v>
      </c>
      <c r="C944" s="1146">
        <v>0</v>
      </c>
      <c r="D944" s="957">
        <v>0</v>
      </c>
      <c r="E944" s="431"/>
      <c r="F944" s="958"/>
      <c r="G944" s="965"/>
      <c r="H944" s="965"/>
      <c r="I944" s="966"/>
      <c r="J944" s="966"/>
      <c r="K944" s="967"/>
      <c r="L944" s="962"/>
      <c r="M944" s="956"/>
      <c r="N944" s="1498">
        <v>0</v>
      </c>
      <c r="O944" s="1619"/>
      <c r="P944" s="1261"/>
      <c r="Q944" s="1606"/>
    </row>
    <row r="945" spans="1:17" ht="14.45" customHeight="1" x14ac:dyDescent="0.2">
      <c r="A945" s="953" t="s">
        <v>392</v>
      </c>
      <c r="B945" s="2214">
        <v>0</v>
      </c>
      <c r="C945" s="1146">
        <v>0</v>
      </c>
      <c r="D945" s="957">
        <v>0</v>
      </c>
      <c r="E945" s="971"/>
      <c r="F945" s="972"/>
      <c r="G945" s="970"/>
      <c r="H945" s="970"/>
      <c r="I945" s="973"/>
      <c r="J945" s="973"/>
      <c r="K945" s="974"/>
      <c r="L945" s="1140"/>
      <c r="M945" s="239"/>
      <c r="N945" s="1617">
        <v>0</v>
      </c>
      <c r="O945" s="1620"/>
      <c r="P945" s="1621"/>
      <c r="Q945" s="1622"/>
    </row>
    <row r="946" spans="1:17" ht="14.45" customHeight="1" thickBot="1" x14ac:dyDescent="0.25">
      <c r="A946" s="1006" t="s">
        <v>393</v>
      </c>
      <c r="B946" s="1007">
        <v>0</v>
      </c>
      <c r="C946" s="1007">
        <v>0</v>
      </c>
      <c r="D946" s="1007">
        <v>0</v>
      </c>
      <c r="E946" s="1008" t="e">
        <v>#DIV/0!</v>
      </c>
      <c r="F946" s="1009"/>
      <c r="G946" s="1010" t="e">
        <v>#DIV/0!</v>
      </c>
      <c r="H946" s="1010" t="e">
        <v>#DIV/0!</v>
      </c>
      <c r="I946" s="1008"/>
      <c r="J946" s="1008"/>
      <c r="K946" s="1011"/>
      <c r="L946" s="1007">
        <v>0</v>
      </c>
      <c r="M946" s="1007">
        <v>0</v>
      </c>
      <c r="N946" s="1007">
        <v>0</v>
      </c>
      <c r="O946" s="1082" t="e">
        <v>#DIV/0!</v>
      </c>
      <c r="P946" s="1603" t="e">
        <v>#DIV/0!</v>
      </c>
      <c r="Q946" s="1607" t="e">
        <v>#DIV/0!</v>
      </c>
    </row>
    <row r="947" spans="1:17" x14ac:dyDescent="0.2">
      <c r="A947" s="7" t="s">
        <v>1934</v>
      </c>
      <c r="B947" s="8"/>
      <c r="C947" s="8"/>
      <c r="D947" s="8"/>
      <c r="E947" s="4"/>
      <c r="F947" s="5"/>
      <c r="G947" s="9"/>
      <c r="H947" s="8"/>
      <c r="I947" s="4"/>
      <c r="J947" s="1"/>
      <c r="K947" s="1"/>
      <c r="O947" s="1"/>
      <c r="P947" s="1"/>
    </row>
    <row r="948" spans="1:17" x14ac:dyDescent="0.2">
      <c r="A948" s="6"/>
      <c r="B948" s="8"/>
      <c r="C948" s="8"/>
      <c r="D948" s="8"/>
      <c r="E948" s="4"/>
      <c r="F948" s="5"/>
      <c r="G948" s="9"/>
      <c r="H948" s="8"/>
      <c r="I948" s="4"/>
      <c r="J948" s="1"/>
      <c r="K948" s="1"/>
      <c r="O948" s="1"/>
      <c r="P948" s="1"/>
    </row>
    <row r="949" spans="1:17" x14ac:dyDescent="0.2">
      <c r="A949" s="6"/>
      <c r="B949" s="8"/>
      <c r="C949" s="8"/>
      <c r="D949" s="8"/>
      <c r="E949" s="4"/>
      <c r="F949" s="5"/>
      <c r="G949" s="9"/>
      <c r="H949" s="8"/>
      <c r="I949" s="4"/>
      <c r="J949" s="1"/>
      <c r="K949" s="1"/>
      <c r="O949" s="1"/>
      <c r="P949" s="1"/>
    </row>
    <row r="950" spans="1:17" x14ac:dyDescent="0.2">
      <c r="A950" s="6"/>
      <c r="B950" s="8"/>
      <c r="C950" s="8"/>
      <c r="D950" s="8"/>
      <c r="E950" s="4"/>
      <c r="F950" s="5"/>
      <c r="G950" s="9"/>
      <c r="H950" s="8"/>
      <c r="I950" s="4"/>
      <c r="J950" s="1"/>
      <c r="K950" s="1"/>
      <c r="O950" s="1"/>
      <c r="P950" s="1"/>
    </row>
    <row r="951" spans="1:17" x14ac:dyDescent="0.2">
      <c r="A951" s="6"/>
      <c r="B951" s="8"/>
      <c r="C951" s="8"/>
      <c r="D951" s="8"/>
      <c r="E951" s="2380"/>
      <c r="F951" s="5"/>
      <c r="G951" s="9"/>
      <c r="H951" s="8"/>
      <c r="I951" s="2380"/>
      <c r="J951" s="2381"/>
      <c r="K951" s="2381"/>
      <c r="O951" s="2381"/>
      <c r="P951" s="2381"/>
    </row>
    <row r="952" spans="1:17" x14ac:dyDescent="0.2">
      <c r="A952" s="6"/>
      <c r="B952" s="8"/>
      <c r="C952" s="8"/>
      <c r="D952" s="8"/>
      <c r="E952" s="2380"/>
      <c r="F952" s="5"/>
      <c r="G952" s="9"/>
      <c r="H952" s="8"/>
      <c r="I952" s="2380"/>
      <c r="J952" s="2381"/>
      <c r="K952" s="2381"/>
      <c r="O952" s="2381"/>
      <c r="P952" s="2381"/>
    </row>
    <row r="953" spans="1:17" ht="15.75" customHeight="1" x14ac:dyDescent="0.25">
      <c r="A953" s="2512" t="s">
        <v>1929</v>
      </c>
      <c r="B953" s="2512"/>
      <c r="C953" s="2512"/>
      <c r="D953" s="2512"/>
      <c r="E953" s="2512"/>
      <c r="F953" s="2512"/>
      <c r="G953" s="2512"/>
      <c r="H953" s="2512"/>
      <c r="I953" s="2512"/>
      <c r="J953" s="2512"/>
      <c r="K953" s="2512"/>
      <c r="L953" s="2512"/>
      <c r="M953" s="2512"/>
      <c r="N953" s="2512"/>
      <c r="O953" s="2512"/>
      <c r="P953" s="2512"/>
      <c r="Q953" s="2512"/>
    </row>
    <row r="954" spans="1:17" x14ac:dyDescent="0.2">
      <c r="A954" s="3"/>
      <c r="B954" s="6"/>
      <c r="C954" s="6"/>
      <c r="D954" s="6"/>
      <c r="E954" s="1"/>
      <c r="F954" s="2"/>
      <c r="G954" s="6"/>
      <c r="H954" s="6"/>
      <c r="I954" s="1"/>
      <c r="J954" s="1"/>
      <c r="K954" s="1"/>
      <c r="L954" s="6"/>
      <c r="M954" s="6"/>
      <c r="N954" s="6"/>
      <c r="O954" s="1"/>
      <c r="P954" s="1"/>
      <c r="Q954" s="6"/>
    </row>
    <row r="955" spans="1:17" ht="13.5" thickBot="1" x14ac:dyDescent="0.25">
      <c r="A955" s="3" t="s">
        <v>1688</v>
      </c>
      <c r="B955" s="6"/>
      <c r="C955" s="6"/>
      <c r="D955" s="6"/>
      <c r="E955" s="1"/>
      <c r="F955" s="2"/>
      <c r="G955" s="6"/>
      <c r="H955" s="6"/>
      <c r="I955" s="1"/>
      <c r="J955" s="1"/>
      <c r="K955" s="1"/>
      <c r="L955" s="6"/>
      <c r="M955" s="6"/>
      <c r="N955" s="6"/>
      <c r="O955" s="1"/>
      <c r="P955" s="1"/>
      <c r="Q955" s="6"/>
    </row>
    <row r="956" spans="1:17" ht="14.45" customHeight="1" thickBot="1" x14ac:dyDescent="0.25">
      <c r="A956" s="2513" t="s">
        <v>327</v>
      </c>
      <c r="B956" s="2516" t="s">
        <v>1935</v>
      </c>
      <c r="C956" s="2517"/>
      <c r="D956" s="2517"/>
      <c r="E956" s="2517"/>
      <c r="F956" s="2517"/>
      <c r="G956" s="2517"/>
      <c r="H956" s="2517"/>
      <c r="I956" s="2517"/>
      <c r="J956" s="2517"/>
      <c r="K956" s="2517"/>
      <c r="L956" s="2518" t="s">
        <v>1930</v>
      </c>
      <c r="M956" s="2519"/>
      <c r="N956" s="2519"/>
      <c r="O956" s="2519"/>
      <c r="P956" s="2520"/>
      <c r="Q956" s="2521"/>
    </row>
    <row r="957" spans="1:17" ht="14.45" customHeight="1" x14ac:dyDescent="0.2">
      <c r="A957" s="2514"/>
      <c r="B957" s="2522" t="s">
        <v>328</v>
      </c>
      <c r="C957" s="2523"/>
      <c r="D957" s="1014"/>
      <c r="E957" s="1014" t="s">
        <v>904</v>
      </c>
      <c r="F957" s="1014" t="s">
        <v>329</v>
      </c>
      <c r="G957" s="1014"/>
      <c r="H957" s="1014"/>
      <c r="I957" s="2526" t="s">
        <v>330</v>
      </c>
      <c r="J957" s="2527"/>
      <c r="K957" s="2528"/>
      <c r="L957" s="2524" t="s">
        <v>328</v>
      </c>
      <c r="M957" s="2525"/>
      <c r="N957" s="1021" t="s">
        <v>331</v>
      </c>
      <c r="O957" s="1022" t="s">
        <v>332</v>
      </c>
      <c r="P957" s="1023"/>
      <c r="Q957" s="1024"/>
    </row>
    <row r="958" spans="1:17" ht="14.45" customHeight="1" x14ac:dyDescent="0.2">
      <c r="A958" s="2514"/>
      <c r="B958" s="1014" t="s">
        <v>835</v>
      </c>
      <c r="C958" s="1014" t="s">
        <v>335</v>
      </c>
      <c r="D958" s="1014" t="s">
        <v>837</v>
      </c>
      <c r="E958" s="1014" t="s">
        <v>842</v>
      </c>
      <c r="F958" s="1014" t="s">
        <v>336</v>
      </c>
      <c r="G958" s="1014" t="s">
        <v>337</v>
      </c>
      <c r="H958" s="1014" t="s">
        <v>338</v>
      </c>
      <c r="I958" s="2529" t="s">
        <v>839</v>
      </c>
      <c r="J958" s="2530"/>
      <c r="K958" s="2531"/>
      <c r="L958" s="1025" t="s">
        <v>835</v>
      </c>
      <c r="M958" s="1021" t="s">
        <v>335</v>
      </c>
      <c r="N958" s="1021" t="s">
        <v>339</v>
      </c>
      <c r="O958" s="1022"/>
      <c r="P958" s="1021" t="s">
        <v>337</v>
      </c>
      <c r="Q958" s="1024" t="s">
        <v>338</v>
      </c>
    </row>
    <row r="959" spans="1:17" ht="14.45" customHeight="1" x14ac:dyDescent="0.2">
      <c r="A959" s="2514"/>
      <c r="B959" s="1014"/>
      <c r="C959" s="1014"/>
      <c r="D959" s="1014"/>
      <c r="E959" s="1014"/>
      <c r="F959" s="1014" t="s">
        <v>341</v>
      </c>
      <c r="G959" s="1014" t="s">
        <v>342</v>
      </c>
      <c r="H959" s="1014" t="s">
        <v>341</v>
      </c>
      <c r="I959" s="1015"/>
      <c r="J959" s="1016"/>
      <c r="K959" s="1017"/>
      <c r="L959" s="1025"/>
      <c r="M959" s="1021"/>
      <c r="N959" s="1021"/>
      <c r="O959" s="1022" t="s">
        <v>344</v>
      </c>
      <c r="P959" s="1021" t="s">
        <v>342</v>
      </c>
      <c r="Q959" s="1024" t="s">
        <v>341</v>
      </c>
    </row>
    <row r="960" spans="1:17" ht="14.45" customHeight="1" x14ac:dyDescent="0.2">
      <c r="A960" s="2515"/>
      <c r="B960" s="1018" t="s">
        <v>345</v>
      </c>
      <c r="C960" s="1018" t="s">
        <v>345</v>
      </c>
      <c r="D960" s="1018" t="s">
        <v>346</v>
      </c>
      <c r="E960" s="1018" t="s">
        <v>757</v>
      </c>
      <c r="F960" s="1018"/>
      <c r="G960" s="1018" t="s">
        <v>347</v>
      </c>
      <c r="H960" s="1018" t="s">
        <v>348</v>
      </c>
      <c r="I960" s="1019" t="s">
        <v>349</v>
      </c>
      <c r="J960" s="1019" t="s">
        <v>350</v>
      </c>
      <c r="K960" s="1020" t="s">
        <v>351</v>
      </c>
      <c r="L960" s="1026" t="s">
        <v>345</v>
      </c>
      <c r="M960" s="1027" t="s">
        <v>345</v>
      </c>
      <c r="N960" s="1027" t="s">
        <v>346</v>
      </c>
      <c r="O960" s="1028"/>
      <c r="P960" s="1027" t="s">
        <v>347</v>
      </c>
      <c r="Q960" s="1029" t="s">
        <v>348</v>
      </c>
    </row>
    <row r="961" spans="1:17" ht="14.45" customHeight="1" x14ac:dyDescent="0.2">
      <c r="A961" s="975" t="s">
        <v>352</v>
      </c>
      <c r="B961" s="976">
        <v>33.5</v>
      </c>
      <c r="C961" s="976">
        <v>30.5</v>
      </c>
      <c r="D961" s="977">
        <v>227</v>
      </c>
      <c r="E961" s="1608">
        <v>7.442622950819672</v>
      </c>
      <c r="F961" s="979"/>
      <c r="G961" s="976"/>
      <c r="H961" s="976"/>
      <c r="I961" s="978"/>
      <c r="J961" s="978"/>
      <c r="K961" s="980"/>
      <c r="L961" s="981">
        <v>30</v>
      </c>
      <c r="M961" s="977">
        <v>30</v>
      </c>
      <c r="N961" s="977">
        <v>223.5</v>
      </c>
      <c r="O961" s="1608">
        <v>7.45</v>
      </c>
      <c r="P961" s="1609"/>
      <c r="Q961" s="1610"/>
    </row>
    <row r="962" spans="1:17" ht="14.45" customHeight="1" x14ac:dyDescent="0.2">
      <c r="A962" s="1481" t="s">
        <v>353</v>
      </c>
      <c r="B962" s="1146">
        <v>5</v>
      </c>
      <c r="C962" s="1146">
        <v>5</v>
      </c>
      <c r="D962" s="957">
        <v>30</v>
      </c>
      <c r="E962" s="1147">
        <v>6</v>
      </c>
      <c r="F962" s="1499" t="s">
        <v>988</v>
      </c>
      <c r="G962" s="1259">
        <v>2503000</v>
      </c>
      <c r="H962" s="2077">
        <v>12691250</v>
      </c>
      <c r="I962" s="1489"/>
      <c r="J962" s="960"/>
      <c r="K962" s="961"/>
      <c r="L962" s="2234">
        <v>4</v>
      </c>
      <c r="M962" s="1498">
        <v>4</v>
      </c>
      <c r="N962" s="1498">
        <v>24</v>
      </c>
      <c r="O962" s="2277">
        <v>6</v>
      </c>
      <c r="P962" s="1261">
        <v>1641000</v>
      </c>
      <c r="Q962" s="2222">
        <v>12691250</v>
      </c>
    </row>
    <row r="963" spans="1:17" ht="14.45" customHeight="1" x14ac:dyDescent="0.2">
      <c r="A963" s="1481" t="s">
        <v>354</v>
      </c>
      <c r="B963" s="1146">
        <v>0</v>
      </c>
      <c r="C963" s="1146">
        <v>0</v>
      </c>
      <c r="D963" s="957">
        <v>0</v>
      </c>
      <c r="E963" s="1147">
        <v>0</v>
      </c>
      <c r="F963" s="1499"/>
      <c r="G963" s="1259"/>
      <c r="H963" s="959"/>
      <c r="I963" s="1489"/>
      <c r="J963" s="960"/>
      <c r="K963" s="961"/>
      <c r="L963" s="2234">
        <v>0</v>
      </c>
      <c r="M963" s="1498">
        <v>0</v>
      </c>
      <c r="N963" s="1498">
        <v>0</v>
      </c>
      <c r="O963" s="2277">
        <v>0</v>
      </c>
      <c r="P963" s="1261"/>
      <c r="Q963" s="1149"/>
    </row>
    <row r="964" spans="1:17" ht="14.45" customHeight="1" x14ac:dyDescent="0.2">
      <c r="A964" s="1481" t="s">
        <v>355</v>
      </c>
      <c r="B964" s="1146">
        <v>18</v>
      </c>
      <c r="C964" s="1146">
        <v>15</v>
      </c>
      <c r="D964" s="957">
        <v>120</v>
      </c>
      <c r="E964" s="1147">
        <v>8</v>
      </c>
      <c r="F964" s="1499" t="s">
        <v>988</v>
      </c>
      <c r="G964" s="1259">
        <v>2503000</v>
      </c>
      <c r="H964" s="2077">
        <v>12691250</v>
      </c>
      <c r="I964" s="1489"/>
      <c r="J964" s="960"/>
      <c r="K964" s="961"/>
      <c r="L964" s="2234">
        <v>16</v>
      </c>
      <c r="M964" s="1498">
        <v>16</v>
      </c>
      <c r="N964" s="1498">
        <v>112</v>
      </c>
      <c r="O964" s="2277">
        <v>7</v>
      </c>
      <c r="P964" s="1261">
        <v>1641000</v>
      </c>
      <c r="Q964" s="2222">
        <v>12691250</v>
      </c>
    </row>
    <row r="965" spans="1:17" ht="14.45" customHeight="1" x14ac:dyDescent="0.2">
      <c r="A965" s="1481" t="s">
        <v>356</v>
      </c>
      <c r="B965" s="1146">
        <v>0</v>
      </c>
      <c r="C965" s="1146">
        <v>0</v>
      </c>
      <c r="D965" s="957">
        <v>0</v>
      </c>
      <c r="E965" s="1147">
        <v>0</v>
      </c>
      <c r="F965" s="1499"/>
      <c r="G965" s="1259"/>
      <c r="H965" s="2077"/>
      <c r="I965" s="1489"/>
      <c r="J965" s="960"/>
      <c r="K965" s="961"/>
      <c r="L965" s="2234">
        <v>0</v>
      </c>
      <c r="M965" s="1498">
        <v>0</v>
      </c>
      <c r="N965" s="1498">
        <v>0</v>
      </c>
      <c r="O965" s="2277">
        <v>0</v>
      </c>
      <c r="P965" s="1261"/>
      <c r="Q965" s="2222"/>
    </row>
    <row r="966" spans="1:17" ht="14.45" customHeight="1" x14ac:dyDescent="0.2">
      <c r="A966" s="1481" t="s">
        <v>357</v>
      </c>
      <c r="B966" s="1146">
        <v>0</v>
      </c>
      <c r="C966" s="1146">
        <v>0</v>
      </c>
      <c r="D966" s="957">
        <v>0</v>
      </c>
      <c r="E966" s="1147">
        <v>0</v>
      </c>
      <c r="F966" s="958"/>
      <c r="G966" s="1259"/>
      <c r="H966" s="959"/>
      <c r="I966" s="1489"/>
      <c r="J966" s="960"/>
      <c r="K966" s="961"/>
      <c r="L966" s="2234">
        <v>0</v>
      </c>
      <c r="M966" s="1498">
        <v>0</v>
      </c>
      <c r="N966" s="1498">
        <v>0</v>
      </c>
      <c r="O966" s="2277">
        <v>0</v>
      </c>
      <c r="P966" s="1261"/>
      <c r="Q966" s="2222"/>
    </row>
    <row r="967" spans="1:17" ht="14.45" customHeight="1" x14ac:dyDescent="0.2">
      <c r="A967" s="1481" t="s">
        <v>358</v>
      </c>
      <c r="B967" s="1146">
        <v>8</v>
      </c>
      <c r="C967" s="1146">
        <v>8</v>
      </c>
      <c r="D967" s="957">
        <v>64</v>
      </c>
      <c r="E967" s="1147">
        <v>8</v>
      </c>
      <c r="F967" s="1499" t="s">
        <v>988</v>
      </c>
      <c r="G967" s="1259">
        <v>2503000</v>
      </c>
      <c r="H967" s="2077">
        <v>12691250</v>
      </c>
      <c r="I967" s="1489"/>
      <c r="J967" s="960"/>
      <c r="K967" s="961"/>
      <c r="L967" s="2234">
        <v>8</v>
      </c>
      <c r="M967" s="1498">
        <v>8</v>
      </c>
      <c r="N967" s="1498">
        <v>72</v>
      </c>
      <c r="O967" s="2277">
        <v>9</v>
      </c>
      <c r="P967" s="1261">
        <v>1641000</v>
      </c>
      <c r="Q967" s="2222">
        <v>12691250</v>
      </c>
    </row>
    <row r="968" spans="1:17" ht="14.45" customHeight="1" x14ac:dyDescent="0.2">
      <c r="A968" s="1481" t="s">
        <v>359</v>
      </c>
      <c r="B968" s="1146">
        <v>1</v>
      </c>
      <c r="C968" s="1146">
        <v>1</v>
      </c>
      <c r="D968" s="957">
        <v>1</v>
      </c>
      <c r="E968" s="1147">
        <v>1</v>
      </c>
      <c r="F968" s="964"/>
      <c r="G968" s="1259">
        <v>2503000</v>
      </c>
      <c r="H968" s="2077">
        <v>12691250</v>
      </c>
      <c r="I968" s="1489"/>
      <c r="J968" s="960"/>
      <c r="K968" s="961"/>
      <c r="L968" s="2234">
        <v>1</v>
      </c>
      <c r="M968" s="1498">
        <v>1</v>
      </c>
      <c r="N968" s="1498">
        <v>7.5</v>
      </c>
      <c r="O968" s="2277">
        <v>7.5</v>
      </c>
      <c r="P968" s="1261">
        <v>1641000</v>
      </c>
      <c r="Q968" s="2222">
        <v>12691250</v>
      </c>
    </row>
    <row r="969" spans="1:17" ht="14.45" customHeight="1" x14ac:dyDescent="0.2">
      <c r="A969" s="1481" t="s">
        <v>360</v>
      </c>
      <c r="B969" s="1146">
        <v>0</v>
      </c>
      <c r="C969" s="1146">
        <v>0</v>
      </c>
      <c r="D969" s="957">
        <v>0</v>
      </c>
      <c r="E969" s="1147">
        <v>0</v>
      </c>
      <c r="F969" s="1499"/>
      <c r="G969" s="1259"/>
      <c r="H969" s="959"/>
      <c r="I969" s="1489"/>
      <c r="J969" s="960"/>
      <c r="K969" s="961"/>
      <c r="L969" s="2234">
        <v>0</v>
      </c>
      <c r="M969" s="1498">
        <v>0</v>
      </c>
      <c r="N969" s="1498">
        <v>0</v>
      </c>
      <c r="O969" s="2277">
        <v>0</v>
      </c>
      <c r="P969" s="1261"/>
      <c r="Q969" s="1606"/>
    </row>
    <row r="970" spans="1:17" ht="14.45" customHeight="1" x14ac:dyDescent="0.2">
      <c r="A970" s="1481" t="s">
        <v>361</v>
      </c>
      <c r="B970" s="1146">
        <v>0</v>
      </c>
      <c r="C970" s="1146">
        <v>0</v>
      </c>
      <c r="D970" s="957">
        <v>0</v>
      </c>
      <c r="E970" s="1147">
        <v>0</v>
      </c>
      <c r="F970" s="958"/>
      <c r="G970" s="1259"/>
      <c r="H970" s="959"/>
      <c r="I970" s="1489"/>
      <c r="J970" s="960"/>
      <c r="K970" s="961"/>
      <c r="L970" s="2234">
        <v>0</v>
      </c>
      <c r="M970" s="1498">
        <v>0</v>
      </c>
      <c r="N970" s="1498">
        <v>0</v>
      </c>
      <c r="O970" s="2277">
        <v>0</v>
      </c>
      <c r="P970" s="1261"/>
      <c r="Q970" s="1606"/>
    </row>
    <row r="971" spans="1:17" ht="14.45" customHeight="1" x14ac:dyDescent="0.2">
      <c r="A971" s="1481" t="s">
        <v>362</v>
      </c>
      <c r="B971" s="1146">
        <v>1.5</v>
      </c>
      <c r="C971" s="1146">
        <v>1.5</v>
      </c>
      <c r="D971" s="957">
        <v>12</v>
      </c>
      <c r="E971" s="1147">
        <v>8</v>
      </c>
      <c r="F971" s="1499" t="s">
        <v>988</v>
      </c>
      <c r="G971" s="1259">
        <v>2503000</v>
      </c>
      <c r="H971" s="2077">
        <v>12691250</v>
      </c>
      <c r="I971" s="1489"/>
      <c r="J971" s="960"/>
      <c r="K971" s="961"/>
      <c r="L971" s="2234">
        <v>1</v>
      </c>
      <c r="M971" s="1498">
        <v>1</v>
      </c>
      <c r="N971" s="1498">
        <v>8</v>
      </c>
      <c r="O971" s="2277">
        <v>8</v>
      </c>
      <c r="P971" s="1261">
        <v>1641000</v>
      </c>
      <c r="Q971" s="2222">
        <v>12691250</v>
      </c>
    </row>
    <row r="972" spans="1:17" ht="14.45" customHeight="1" x14ac:dyDescent="0.2">
      <c r="A972" s="1481" t="s">
        <v>363</v>
      </c>
      <c r="B972" s="1146">
        <v>0</v>
      </c>
      <c r="C972" s="1146">
        <v>0</v>
      </c>
      <c r="D972" s="957">
        <v>0</v>
      </c>
      <c r="E972" s="1147">
        <v>0</v>
      </c>
      <c r="F972" s="964"/>
      <c r="G972" s="1259"/>
      <c r="H972" s="959"/>
      <c r="I972" s="1489"/>
      <c r="J972" s="960"/>
      <c r="K972" s="961"/>
      <c r="L972" s="2234">
        <v>0</v>
      </c>
      <c r="M972" s="1498">
        <v>0</v>
      </c>
      <c r="N972" s="1498">
        <v>0</v>
      </c>
      <c r="O972" s="2233">
        <v>0</v>
      </c>
      <c r="P972" s="1261"/>
      <c r="Q972" s="1606"/>
    </row>
    <row r="973" spans="1:17" ht="14.45" customHeight="1" x14ac:dyDescent="0.2">
      <c r="A973" s="1481" t="s">
        <v>364</v>
      </c>
      <c r="B973" s="1146">
        <v>0</v>
      </c>
      <c r="C973" s="1146">
        <v>0</v>
      </c>
      <c r="D973" s="957">
        <v>0</v>
      </c>
      <c r="E973" s="1147">
        <v>0</v>
      </c>
      <c r="F973" s="958"/>
      <c r="G973" s="1259"/>
      <c r="H973" s="959"/>
      <c r="I973" s="1489"/>
      <c r="J973" s="960"/>
      <c r="K973" s="961"/>
      <c r="L973" s="2234">
        <v>0</v>
      </c>
      <c r="M973" s="1498">
        <v>0</v>
      </c>
      <c r="N973" s="1498">
        <v>0</v>
      </c>
      <c r="O973" s="2233">
        <v>0</v>
      </c>
      <c r="P973" s="1261"/>
      <c r="Q973" s="1606"/>
    </row>
    <row r="974" spans="1:17" ht="14.45" customHeight="1" x14ac:dyDescent="0.2">
      <c r="A974" s="1481" t="s">
        <v>365</v>
      </c>
      <c r="B974" s="1146">
        <v>0</v>
      </c>
      <c r="C974" s="1146">
        <v>0</v>
      </c>
      <c r="D974" s="957">
        <v>0</v>
      </c>
      <c r="E974" s="1494">
        <v>0</v>
      </c>
      <c r="F974" s="964"/>
      <c r="G974" s="1259"/>
      <c r="H974" s="959"/>
      <c r="I974" s="1489"/>
      <c r="J974" s="960"/>
      <c r="K974" s="961"/>
      <c r="L974" s="2234">
        <v>0</v>
      </c>
      <c r="M974" s="1498">
        <v>0</v>
      </c>
      <c r="N974" s="1498">
        <v>0</v>
      </c>
      <c r="O974" s="2233">
        <v>0</v>
      </c>
      <c r="P974" s="1261"/>
      <c r="Q974" s="1606"/>
    </row>
    <row r="975" spans="1:17" ht="14.45" customHeight="1" x14ac:dyDescent="0.2">
      <c r="A975" s="1481" t="s">
        <v>366</v>
      </c>
      <c r="B975" s="1146">
        <v>0</v>
      </c>
      <c r="C975" s="1146">
        <v>0</v>
      </c>
      <c r="D975" s="957">
        <v>0</v>
      </c>
      <c r="E975" s="1494">
        <v>0</v>
      </c>
      <c r="F975" s="1499"/>
      <c r="G975" s="1259"/>
      <c r="H975" s="959"/>
      <c r="I975" s="1489"/>
      <c r="J975" s="960"/>
      <c r="K975" s="961"/>
      <c r="L975" s="2234">
        <v>0</v>
      </c>
      <c r="M975" s="1498">
        <v>0</v>
      </c>
      <c r="N975" s="1498">
        <v>0</v>
      </c>
      <c r="O975" s="2233">
        <v>0</v>
      </c>
      <c r="P975" s="1261"/>
      <c r="Q975" s="1149"/>
    </row>
    <row r="976" spans="1:17" ht="14.45" customHeight="1" x14ac:dyDescent="0.2">
      <c r="A976" s="1481" t="s">
        <v>367</v>
      </c>
      <c r="B976" s="1146">
        <v>0</v>
      </c>
      <c r="C976" s="1146">
        <v>0</v>
      </c>
      <c r="D976" s="957">
        <v>0</v>
      </c>
      <c r="E976" s="1494">
        <v>0</v>
      </c>
      <c r="F976" s="964"/>
      <c r="G976" s="1259"/>
      <c r="H976" s="959"/>
      <c r="I976" s="1489"/>
      <c r="J976" s="960"/>
      <c r="K976" s="961"/>
      <c r="L976" s="2234">
        <v>0</v>
      </c>
      <c r="M976" s="1498">
        <v>0</v>
      </c>
      <c r="N976" s="1498">
        <v>0</v>
      </c>
      <c r="O976" s="2233">
        <v>0</v>
      </c>
      <c r="P976" s="1261"/>
      <c r="Q976" s="1606"/>
    </row>
    <row r="977" spans="1:17" ht="14.45" customHeight="1" x14ac:dyDescent="0.2">
      <c r="A977" s="1484" t="s">
        <v>368</v>
      </c>
      <c r="B977" s="1002">
        <v>19</v>
      </c>
      <c r="C977" s="984">
        <v>19</v>
      </c>
      <c r="D977" s="2308">
        <v>182</v>
      </c>
      <c r="E977" s="1497"/>
      <c r="F977" s="987"/>
      <c r="G977" s="1486"/>
      <c r="H977" s="988"/>
      <c r="I977" s="1490"/>
      <c r="J977" s="989"/>
      <c r="K977" s="990"/>
      <c r="L977" s="2218">
        <v>15</v>
      </c>
      <c r="M977" s="1485">
        <v>15</v>
      </c>
      <c r="N977" s="1485">
        <v>142</v>
      </c>
      <c r="O977" s="2278"/>
      <c r="P977" s="1604"/>
      <c r="Q977" s="1605"/>
    </row>
    <row r="978" spans="1:17" ht="14.45" customHeight="1" x14ac:dyDescent="0.2">
      <c r="A978" s="1481" t="s">
        <v>369</v>
      </c>
      <c r="B978" s="1146">
        <v>17</v>
      </c>
      <c r="C978" s="1146">
        <v>17</v>
      </c>
      <c r="D978" s="957">
        <v>170</v>
      </c>
      <c r="E978" s="1147">
        <v>10</v>
      </c>
      <c r="F978" s="1499" t="s">
        <v>988</v>
      </c>
      <c r="G978" s="1259">
        <v>2503000</v>
      </c>
      <c r="H978" s="2077">
        <v>12691250</v>
      </c>
      <c r="I978" s="1489"/>
      <c r="J978" s="960"/>
      <c r="K978" s="961"/>
      <c r="L978" s="2234">
        <v>13</v>
      </c>
      <c r="M978" s="1498">
        <v>13</v>
      </c>
      <c r="N978" s="1498">
        <v>130</v>
      </c>
      <c r="O978" s="2277">
        <v>10</v>
      </c>
      <c r="P978" s="1261">
        <v>1641000</v>
      </c>
      <c r="Q978" s="2222">
        <v>12691250</v>
      </c>
    </row>
    <row r="979" spans="1:17" ht="14.45" customHeight="1" x14ac:dyDescent="0.2">
      <c r="A979" s="1481" t="s">
        <v>370</v>
      </c>
      <c r="B979" s="1146">
        <v>2</v>
      </c>
      <c r="C979" s="1146">
        <v>2</v>
      </c>
      <c r="D979" s="957">
        <v>12</v>
      </c>
      <c r="E979" s="1494">
        <v>6</v>
      </c>
      <c r="F979" s="1499" t="s">
        <v>988</v>
      </c>
      <c r="G979" s="1259">
        <v>2503000</v>
      </c>
      <c r="H979" s="2077">
        <v>12691250</v>
      </c>
      <c r="I979" s="1489"/>
      <c r="J979" s="960"/>
      <c r="K979" s="961"/>
      <c r="L979" s="2234">
        <v>2</v>
      </c>
      <c r="M979" s="1498">
        <v>2</v>
      </c>
      <c r="N979" s="1498">
        <v>12</v>
      </c>
      <c r="O979" s="2233">
        <v>6</v>
      </c>
      <c r="P979" s="1261">
        <v>1641000</v>
      </c>
      <c r="Q979" s="2222">
        <v>12691250</v>
      </c>
    </row>
    <row r="980" spans="1:17" ht="14.45" customHeight="1" x14ac:dyDescent="0.2">
      <c r="A980" s="1481" t="s">
        <v>371</v>
      </c>
      <c r="B980" s="1146">
        <v>0</v>
      </c>
      <c r="C980" s="1146">
        <v>0</v>
      </c>
      <c r="D980" s="957">
        <v>0</v>
      </c>
      <c r="E980" s="1494">
        <v>0</v>
      </c>
      <c r="F980" s="1499"/>
      <c r="G980" s="1259"/>
      <c r="H980" s="959"/>
      <c r="I980" s="1489"/>
      <c r="J980" s="960"/>
      <c r="K980" s="961"/>
      <c r="L980" s="2234">
        <v>0</v>
      </c>
      <c r="M980" s="1498">
        <v>0</v>
      </c>
      <c r="N980" s="1498">
        <v>0</v>
      </c>
      <c r="O980" s="2233">
        <v>0</v>
      </c>
      <c r="P980" s="1261"/>
      <c r="Q980" s="1149"/>
    </row>
    <row r="981" spans="1:17" ht="14.45" customHeight="1" x14ac:dyDescent="0.2">
      <c r="A981" s="1481" t="s">
        <v>372</v>
      </c>
      <c r="B981" s="1146">
        <v>0</v>
      </c>
      <c r="C981" s="1146">
        <v>0</v>
      </c>
      <c r="D981" s="957">
        <v>0</v>
      </c>
      <c r="E981" s="1494">
        <v>0</v>
      </c>
      <c r="F981" s="964"/>
      <c r="G981" s="1259"/>
      <c r="H981" s="959"/>
      <c r="I981" s="1489"/>
      <c r="J981" s="960"/>
      <c r="K981" s="961"/>
      <c r="L981" s="2234">
        <v>0</v>
      </c>
      <c r="M981" s="1498">
        <v>0</v>
      </c>
      <c r="N981" s="1498">
        <v>0</v>
      </c>
      <c r="O981" s="2233">
        <v>0</v>
      </c>
      <c r="P981" s="1261"/>
      <c r="Q981" s="1606"/>
    </row>
    <row r="982" spans="1:17" ht="14.45" customHeight="1" x14ac:dyDescent="0.2">
      <c r="A982" s="1481" t="s">
        <v>373</v>
      </c>
      <c r="B982" s="1146">
        <v>0</v>
      </c>
      <c r="C982" s="1146">
        <v>0</v>
      </c>
      <c r="D982" s="957">
        <v>0</v>
      </c>
      <c r="E982" s="1494">
        <v>0</v>
      </c>
      <c r="F982" s="958"/>
      <c r="G982" s="1259"/>
      <c r="H982" s="959"/>
      <c r="I982" s="1489"/>
      <c r="J982" s="960"/>
      <c r="K982" s="961"/>
      <c r="L982" s="2234">
        <v>0</v>
      </c>
      <c r="M982" s="1498">
        <v>0</v>
      </c>
      <c r="N982" s="1498">
        <v>0</v>
      </c>
      <c r="O982" s="2233">
        <v>0</v>
      </c>
      <c r="P982" s="1261"/>
      <c r="Q982" s="1606"/>
    </row>
    <row r="983" spans="1:17" ht="14.45" customHeight="1" x14ac:dyDescent="0.2">
      <c r="A983" s="1484" t="s">
        <v>374</v>
      </c>
      <c r="B983" s="1002">
        <v>65</v>
      </c>
      <c r="C983" s="984">
        <v>60</v>
      </c>
      <c r="D983" s="984">
        <v>730.5</v>
      </c>
      <c r="E983" s="1608">
        <v>12.175000000000001</v>
      </c>
      <c r="F983" s="987"/>
      <c r="G983" s="1488"/>
      <c r="H983" s="996"/>
      <c r="I983" s="1491"/>
      <c r="J983" s="997"/>
      <c r="K983" s="998"/>
      <c r="L983" s="2218">
        <v>57</v>
      </c>
      <c r="M983" s="1485">
        <v>46</v>
      </c>
      <c r="N983" s="1485">
        <v>496.5</v>
      </c>
      <c r="O983" s="2216">
        <v>10.793478260869565</v>
      </c>
      <c r="P983" s="1604"/>
      <c r="Q983" s="1605"/>
    </row>
    <row r="984" spans="1:17" ht="14.45" customHeight="1" x14ac:dyDescent="0.2">
      <c r="A984" s="1481" t="s">
        <v>375</v>
      </c>
      <c r="B984" s="1146">
        <v>14</v>
      </c>
      <c r="C984" s="1146">
        <v>14</v>
      </c>
      <c r="D984" s="957">
        <v>210</v>
      </c>
      <c r="E984" s="1147">
        <v>15</v>
      </c>
      <c r="F984" s="1499" t="s">
        <v>988</v>
      </c>
      <c r="G984" s="1259">
        <v>2503000</v>
      </c>
      <c r="H984" s="2077">
        <v>12691250</v>
      </c>
      <c r="I984" s="1489"/>
      <c r="J984" s="960"/>
      <c r="K984" s="961"/>
      <c r="L984" s="2234">
        <v>17</v>
      </c>
      <c r="M984" s="1498">
        <v>15</v>
      </c>
      <c r="N984" s="1498">
        <v>210</v>
      </c>
      <c r="O984" s="2277">
        <v>14</v>
      </c>
      <c r="P984" s="1261">
        <v>1641000</v>
      </c>
      <c r="Q984" s="2222">
        <v>12691250</v>
      </c>
    </row>
    <row r="985" spans="1:17" ht="14.45" customHeight="1" x14ac:dyDescent="0.2">
      <c r="A985" s="1481" t="s">
        <v>376</v>
      </c>
      <c r="B985" s="1146">
        <v>7</v>
      </c>
      <c r="C985" s="1146">
        <v>7</v>
      </c>
      <c r="D985" s="957">
        <v>84</v>
      </c>
      <c r="E985" s="1147">
        <v>12</v>
      </c>
      <c r="F985" s="1499" t="s">
        <v>988</v>
      </c>
      <c r="G985" s="1259">
        <v>2503000</v>
      </c>
      <c r="H985" s="2077">
        <v>12691250</v>
      </c>
      <c r="I985" s="1489"/>
      <c r="J985" s="960"/>
      <c r="K985" s="961"/>
      <c r="L985" s="2234">
        <v>7</v>
      </c>
      <c r="M985" s="1498">
        <v>7</v>
      </c>
      <c r="N985" s="1498">
        <v>84</v>
      </c>
      <c r="O985" s="2277">
        <v>12</v>
      </c>
      <c r="P985" s="1261">
        <v>1641000</v>
      </c>
      <c r="Q985" s="2222">
        <v>12691250</v>
      </c>
    </row>
    <row r="986" spans="1:17" ht="14.45" customHeight="1" x14ac:dyDescent="0.2">
      <c r="A986" s="1481" t="s">
        <v>377</v>
      </c>
      <c r="B986" s="1146">
        <v>20</v>
      </c>
      <c r="C986" s="1146">
        <v>20</v>
      </c>
      <c r="D986" s="957">
        <v>300</v>
      </c>
      <c r="E986" s="1147">
        <v>15</v>
      </c>
      <c r="F986" s="1499" t="s">
        <v>988</v>
      </c>
      <c r="G986" s="1259">
        <v>2503000</v>
      </c>
      <c r="H986" s="2077">
        <v>12691250</v>
      </c>
      <c r="I986" s="1489"/>
      <c r="J986" s="960"/>
      <c r="K986" s="961"/>
      <c r="L986" s="2234">
        <v>10</v>
      </c>
      <c r="M986" s="1498">
        <v>6</v>
      </c>
      <c r="N986" s="1498">
        <v>90</v>
      </c>
      <c r="O986" s="2277">
        <v>15</v>
      </c>
      <c r="P986" s="1261">
        <v>1641000</v>
      </c>
      <c r="Q986" s="2222">
        <v>12691250</v>
      </c>
    </row>
    <row r="987" spans="1:17" ht="14.45" customHeight="1" x14ac:dyDescent="0.2">
      <c r="A987" s="1481" t="s">
        <v>378</v>
      </c>
      <c r="B987" s="1146">
        <v>9</v>
      </c>
      <c r="C987" s="1146">
        <v>9</v>
      </c>
      <c r="D987" s="957">
        <v>76.5</v>
      </c>
      <c r="E987" s="1147">
        <v>8.5</v>
      </c>
      <c r="F987" s="1499" t="s">
        <v>988</v>
      </c>
      <c r="G987" s="1259">
        <v>2503000</v>
      </c>
      <c r="H987" s="2077">
        <v>12691250</v>
      </c>
      <c r="I987" s="1489"/>
      <c r="J987" s="960"/>
      <c r="K987" s="967"/>
      <c r="L987" s="2234">
        <v>3</v>
      </c>
      <c r="M987" s="1498">
        <v>3</v>
      </c>
      <c r="N987" s="1498">
        <v>22.5</v>
      </c>
      <c r="O987" s="2277">
        <v>7.5</v>
      </c>
      <c r="P987" s="1261">
        <v>1641000</v>
      </c>
      <c r="Q987" s="2222">
        <v>12691250</v>
      </c>
    </row>
    <row r="988" spans="1:17" ht="14.45" customHeight="1" x14ac:dyDescent="0.2">
      <c r="A988" s="1481" t="s">
        <v>379</v>
      </c>
      <c r="B988" s="1146">
        <v>0</v>
      </c>
      <c r="C988" s="1146">
        <v>0</v>
      </c>
      <c r="D988" s="957">
        <v>0</v>
      </c>
      <c r="E988" s="1147">
        <v>0</v>
      </c>
      <c r="F988" s="958"/>
      <c r="G988" s="1259"/>
      <c r="H988" s="965"/>
      <c r="I988" s="1489"/>
      <c r="J988" s="960"/>
      <c r="K988" s="967"/>
      <c r="L988" s="2234">
        <v>0</v>
      </c>
      <c r="M988" s="1498">
        <v>0</v>
      </c>
      <c r="N988" s="1498">
        <v>0</v>
      </c>
      <c r="O988" s="2277">
        <v>0</v>
      </c>
      <c r="P988" s="1261"/>
      <c r="Q988" s="1606"/>
    </row>
    <row r="989" spans="1:17" ht="14.45" customHeight="1" x14ac:dyDescent="0.2">
      <c r="A989" s="1481" t="s">
        <v>380</v>
      </c>
      <c r="B989" s="1146">
        <v>15</v>
      </c>
      <c r="C989" s="1146">
        <v>10</v>
      </c>
      <c r="D989" s="957">
        <v>60</v>
      </c>
      <c r="E989" s="1147">
        <v>6</v>
      </c>
      <c r="F989" s="1499" t="s">
        <v>988</v>
      </c>
      <c r="G989" s="1259">
        <v>2503000</v>
      </c>
      <c r="H989" s="2077">
        <v>12691250</v>
      </c>
      <c r="I989" s="1489"/>
      <c r="J989" s="960"/>
      <c r="K989" s="967"/>
      <c r="L989" s="2234">
        <v>20</v>
      </c>
      <c r="M989" s="1498">
        <v>15</v>
      </c>
      <c r="N989" s="1498">
        <v>90</v>
      </c>
      <c r="O989" s="2277">
        <v>6</v>
      </c>
      <c r="P989" s="1261">
        <v>1641000</v>
      </c>
      <c r="Q989" s="2222">
        <v>12691250</v>
      </c>
    </row>
    <row r="990" spans="1:17" ht="14.45" customHeight="1" x14ac:dyDescent="0.2">
      <c r="A990" s="1481" t="s">
        <v>381</v>
      </c>
      <c r="B990" s="1146">
        <v>0</v>
      </c>
      <c r="C990" s="1146">
        <v>0</v>
      </c>
      <c r="D990" s="957">
        <v>0</v>
      </c>
      <c r="E990" s="1147">
        <v>0</v>
      </c>
      <c r="F990" s="1499"/>
      <c r="G990" s="1259"/>
      <c r="H990" s="2077"/>
      <c r="I990" s="1489"/>
      <c r="J990" s="960"/>
      <c r="K990" s="967"/>
      <c r="L990" s="2234">
        <v>0</v>
      </c>
      <c r="M990" s="1498">
        <v>0</v>
      </c>
      <c r="N990" s="1498">
        <v>0</v>
      </c>
      <c r="O990" s="2233">
        <v>0</v>
      </c>
      <c r="P990" s="1261"/>
      <c r="Q990" s="2222"/>
    </row>
    <row r="991" spans="1:17" ht="14.45" customHeight="1" x14ac:dyDescent="0.2">
      <c r="A991" s="1481" t="s">
        <v>382</v>
      </c>
      <c r="B991" s="957">
        <v>0</v>
      </c>
      <c r="C991" s="957">
        <v>0</v>
      </c>
      <c r="D991" s="957">
        <v>0</v>
      </c>
      <c r="E991" s="1494">
        <v>0</v>
      </c>
      <c r="F991" s="958"/>
      <c r="G991" s="1259"/>
      <c r="H991" s="965"/>
      <c r="I991" s="1489"/>
      <c r="J991" s="960"/>
      <c r="K991" s="967"/>
      <c r="L991" s="2234">
        <v>0</v>
      </c>
      <c r="M991" s="1498">
        <v>0</v>
      </c>
      <c r="N991" s="1498">
        <v>0</v>
      </c>
      <c r="O991" s="2233">
        <v>0</v>
      </c>
      <c r="P991" s="1261"/>
      <c r="Q991" s="1606"/>
    </row>
    <row r="992" spans="1:17" ht="14.45" customHeight="1" x14ac:dyDescent="0.2">
      <c r="A992" s="1484" t="s">
        <v>383</v>
      </c>
      <c r="B992" s="1002">
        <v>44.25</v>
      </c>
      <c r="C992" s="1002">
        <v>39.25</v>
      </c>
      <c r="D992" s="1002">
        <v>334.5</v>
      </c>
      <c r="E992" s="1608">
        <v>8.5222929936305736</v>
      </c>
      <c r="F992" s="1003"/>
      <c r="G992" s="1488"/>
      <c r="H992" s="1004"/>
      <c r="I992" s="1491"/>
      <c r="J992" s="997"/>
      <c r="K992" s="949"/>
      <c r="L992" s="2218">
        <v>46.25</v>
      </c>
      <c r="M992" s="1485">
        <v>42.75</v>
      </c>
      <c r="N992" s="1485">
        <v>500</v>
      </c>
      <c r="O992" s="2216">
        <v>11.695906432748538</v>
      </c>
      <c r="P992" s="1604"/>
      <c r="Q992" s="1605"/>
    </row>
    <row r="993" spans="1:17" ht="14.45" customHeight="1" x14ac:dyDescent="0.2">
      <c r="A993" s="1481" t="s">
        <v>384</v>
      </c>
      <c r="B993" s="1146">
        <v>22</v>
      </c>
      <c r="C993" s="1146">
        <v>19</v>
      </c>
      <c r="D993" s="957">
        <v>161.5</v>
      </c>
      <c r="E993" s="1147">
        <v>8.5</v>
      </c>
      <c r="F993" s="1499" t="s">
        <v>988</v>
      </c>
      <c r="G993" s="1259">
        <v>2503000</v>
      </c>
      <c r="H993" s="2077">
        <v>12691250</v>
      </c>
      <c r="I993" s="1489"/>
      <c r="J993" s="960"/>
      <c r="K993" s="967"/>
      <c r="L993" s="2234">
        <v>31</v>
      </c>
      <c r="M993" s="1498">
        <v>30</v>
      </c>
      <c r="N993" s="1498">
        <v>390</v>
      </c>
      <c r="O993" s="2277">
        <v>13</v>
      </c>
      <c r="P993" s="1261">
        <v>1641000</v>
      </c>
      <c r="Q993" s="2222">
        <v>12691250</v>
      </c>
    </row>
    <row r="994" spans="1:17" ht="14.45" customHeight="1" x14ac:dyDescent="0.2">
      <c r="A994" s="1481" t="s">
        <v>385</v>
      </c>
      <c r="B994" s="1146">
        <v>4</v>
      </c>
      <c r="C994" s="1146">
        <v>3</v>
      </c>
      <c r="D994" s="957">
        <v>27</v>
      </c>
      <c r="E994" s="1147">
        <v>9</v>
      </c>
      <c r="F994" s="958" t="s">
        <v>988</v>
      </c>
      <c r="G994" s="1259">
        <v>2503000</v>
      </c>
      <c r="H994" s="2077">
        <v>12691250</v>
      </c>
      <c r="I994" s="1489"/>
      <c r="J994" s="960"/>
      <c r="K994" s="967"/>
      <c r="L994" s="2234">
        <v>4</v>
      </c>
      <c r="M994" s="1498">
        <v>3</v>
      </c>
      <c r="N994" s="1498">
        <v>27</v>
      </c>
      <c r="O994" s="2233">
        <v>9</v>
      </c>
      <c r="P994" s="1261">
        <v>1641000</v>
      </c>
      <c r="Q994" s="2222">
        <v>12691250</v>
      </c>
    </row>
    <row r="995" spans="1:17" ht="14.45" customHeight="1" x14ac:dyDescent="0.2">
      <c r="A995" s="1481" t="s">
        <v>386</v>
      </c>
      <c r="B995" s="1146">
        <v>0</v>
      </c>
      <c r="C995" s="1146">
        <v>0</v>
      </c>
      <c r="D995" s="957">
        <v>0</v>
      </c>
      <c r="E995" s="1147">
        <v>0</v>
      </c>
      <c r="F995" s="958"/>
      <c r="G995" s="1259"/>
      <c r="H995" s="965"/>
      <c r="I995" s="1489"/>
      <c r="J995" s="960"/>
      <c r="K995" s="967"/>
      <c r="L995" s="2234">
        <v>0</v>
      </c>
      <c r="M995" s="1498">
        <v>0</v>
      </c>
      <c r="N995" s="1498">
        <v>0</v>
      </c>
      <c r="O995" s="2233">
        <v>0</v>
      </c>
      <c r="P995" s="1261"/>
      <c r="Q995" s="1606"/>
    </row>
    <row r="996" spans="1:17" ht="14.45" customHeight="1" x14ac:dyDescent="0.2">
      <c r="A996" s="1481" t="s">
        <v>387</v>
      </c>
      <c r="B996" s="1146">
        <v>4</v>
      </c>
      <c r="C996" s="1146">
        <v>3</v>
      </c>
      <c r="D996" s="957">
        <v>24</v>
      </c>
      <c r="E996" s="1147">
        <v>8</v>
      </c>
      <c r="F996" s="958" t="s">
        <v>988</v>
      </c>
      <c r="G996" s="1259">
        <v>2503000</v>
      </c>
      <c r="H996" s="2077">
        <v>12691250</v>
      </c>
      <c r="I996" s="1489"/>
      <c r="J996" s="960"/>
      <c r="K996" s="967"/>
      <c r="L996" s="2234">
        <v>3</v>
      </c>
      <c r="M996" s="1498">
        <v>2</v>
      </c>
      <c r="N996" s="1498">
        <v>16</v>
      </c>
      <c r="O996" s="2233">
        <v>8</v>
      </c>
      <c r="P996" s="1261">
        <v>1641000</v>
      </c>
      <c r="Q996" s="2222">
        <v>12691250</v>
      </c>
    </row>
    <row r="997" spans="1:17" ht="14.45" customHeight="1" x14ac:dyDescent="0.2">
      <c r="A997" s="1481" t="s">
        <v>388</v>
      </c>
      <c r="B997" s="1146">
        <v>10</v>
      </c>
      <c r="C997" s="1146">
        <v>10</v>
      </c>
      <c r="D997" s="957">
        <v>80</v>
      </c>
      <c r="E997" s="1147">
        <v>8</v>
      </c>
      <c r="F997" s="1499" t="s">
        <v>988</v>
      </c>
      <c r="G997" s="1259">
        <v>2503000</v>
      </c>
      <c r="H997" s="2077">
        <v>12691250</v>
      </c>
      <c r="I997" s="1489"/>
      <c r="J997" s="960"/>
      <c r="K997" s="967"/>
      <c r="L997" s="2234">
        <v>5</v>
      </c>
      <c r="M997" s="1498">
        <v>5</v>
      </c>
      <c r="N997" s="1498">
        <v>40</v>
      </c>
      <c r="O997" s="2233">
        <v>8</v>
      </c>
      <c r="P997" s="1261">
        <v>1641000</v>
      </c>
      <c r="Q997" s="2222">
        <v>12691250</v>
      </c>
    </row>
    <row r="998" spans="1:17" ht="14.45" customHeight="1" x14ac:dyDescent="0.2">
      <c r="A998" s="1481" t="s">
        <v>389</v>
      </c>
      <c r="B998" s="1146">
        <v>0</v>
      </c>
      <c r="C998" s="1146">
        <v>0</v>
      </c>
      <c r="D998" s="957">
        <v>0</v>
      </c>
      <c r="E998" s="1147">
        <v>0</v>
      </c>
      <c r="F998" s="1499"/>
      <c r="G998" s="1259"/>
      <c r="H998" s="2077"/>
      <c r="I998" s="1489"/>
      <c r="J998" s="960"/>
      <c r="K998" s="967"/>
      <c r="L998" s="2234">
        <v>0</v>
      </c>
      <c r="M998" s="1498">
        <v>0</v>
      </c>
      <c r="N998" s="1498">
        <v>0</v>
      </c>
      <c r="O998" s="2233">
        <v>0</v>
      </c>
      <c r="P998" s="1261"/>
      <c r="Q998" s="1149"/>
    </row>
    <row r="999" spans="1:17" ht="14.45" customHeight="1" x14ac:dyDescent="0.2">
      <c r="A999" s="1481" t="s">
        <v>390</v>
      </c>
      <c r="B999" s="1146">
        <v>0.25</v>
      </c>
      <c r="C999" s="1146">
        <v>0.25</v>
      </c>
      <c r="D999" s="957">
        <v>2</v>
      </c>
      <c r="E999" s="1147">
        <v>8</v>
      </c>
      <c r="F999" s="1499" t="s">
        <v>988</v>
      </c>
      <c r="G999" s="1259">
        <v>2503000</v>
      </c>
      <c r="H999" s="2077">
        <v>12691250</v>
      </c>
      <c r="I999" s="1489"/>
      <c r="J999" s="960"/>
      <c r="K999" s="967"/>
      <c r="L999" s="2234">
        <v>0.25</v>
      </c>
      <c r="M999" s="1498">
        <v>0.25</v>
      </c>
      <c r="N999" s="1498">
        <v>2</v>
      </c>
      <c r="O999" s="2233">
        <v>8</v>
      </c>
      <c r="P999" s="1261">
        <v>1641000</v>
      </c>
      <c r="Q999" s="2222">
        <v>12691250</v>
      </c>
    </row>
    <row r="1000" spans="1:17" ht="14.45" customHeight="1" x14ac:dyDescent="0.2">
      <c r="A1000" s="1481" t="s">
        <v>391</v>
      </c>
      <c r="B1000" s="1146">
        <v>0</v>
      </c>
      <c r="C1000" s="1146">
        <v>0</v>
      </c>
      <c r="D1000" s="957">
        <v>0</v>
      </c>
      <c r="E1000" s="1147">
        <v>0</v>
      </c>
      <c r="F1000" s="958"/>
      <c r="G1000" s="1259"/>
      <c r="H1000" s="965"/>
      <c r="I1000" s="1489"/>
      <c r="J1000" s="960"/>
      <c r="K1000" s="967"/>
      <c r="L1000" s="2234">
        <v>0</v>
      </c>
      <c r="M1000" s="1498">
        <v>0</v>
      </c>
      <c r="N1000" s="1498">
        <v>0</v>
      </c>
      <c r="O1000" s="2233">
        <v>0</v>
      </c>
      <c r="P1000" s="1261"/>
      <c r="Q1000" s="1606"/>
    </row>
    <row r="1001" spans="1:17" ht="14.45" customHeight="1" x14ac:dyDescent="0.2">
      <c r="A1001" s="1493" t="s">
        <v>392</v>
      </c>
      <c r="B1001" s="1146">
        <v>4</v>
      </c>
      <c r="C1001" s="1146">
        <v>4</v>
      </c>
      <c r="D1001" s="957">
        <v>40</v>
      </c>
      <c r="E1001" s="1147">
        <v>10</v>
      </c>
      <c r="F1001" s="1499" t="s">
        <v>988</v>
      </c>
      <c r="G1001" s="1259">
        <v>2503000</v>
      </c>
      <c r="H1001" s="2077">
        <v>12691250</v>
      </c>
      <c r="I1001" s="1504"/>
      <c r="J1001" s="1496"/>
      <c r="K1001" s="974"/>
      <c r="L1001" s="2330">
        <v>3</v>
      </c>
      <c r="M1001" s="1537">
        <v>2.5</v>
      </c>
      <c r="N1001" s="1537">
        <v>25</v>
      </c>
      <c r="O1001" s="2331">
        <v>10</v>
      </c>
      <c r="P1001" s="1261">
        <v>1641000</v>
      </c>
      <c r="Q1001" s="2222">
        <v>12691250</v>
      </c>
    </row>
    <row r="1002" spans="1:17" ht="14.45" customHeight="1" thickBot="1" x14ac:dyDescent="0.25">
      <c r="A1002" s="1006" t="s">
        <v>393</v>
      </c>
      <c r="B1002" s="1007">
        <v>161.75</v>
      </c>
      <c r="C1002" s="1007">
        <v>148.75</v>
      </c>
      <c r="D1002" s="1007">
        <v>1474</v>
      </c>
      <c r="E1002" s="1482">
        <v>9.9092436974789919</v>
      </c>
      <c r="F1002" s="1480" t="s">
        <v>988</v>
      </c>
      <c r="G1002" s="1085">
        <v>2503000</v>
      </c>
      <c r="H1002" s="1085">
        <v>12691250.000000002</v>
      </c>
      <c r="I1002" s="1008"/>
      <c r="J1002" s="1008" t="s">
        <v>983</v>
      </c>
      <c r="K1002" s="1011"/>
      <c r="L1002" s="1007">
        <v>148.25</v>
      </c>
      <c r="M1002" s="1007">
        <v>133.75</v>
      </c>
      <c r="N1002" s="1007">
        <v>1362</v>
      </c>
      <c r="O1002" s="1083">
        <v>10.183177570093457</v>
      </c>
      <c r="P1002" s="1603">
        <v>1641000.0000000002</v>
      </c>
      <c r="Q1002" s="1607">
        <v>12691250</v>
      </c>
    </row>
    <row r="1003" spans="1:17" x14ac:dyDescent="0.2">
      <c r="A1003" s="7" t="s">
        <v>1934</v>
      </c>
      <c r="B1003" s="8"/>
      <c r="C1003" s="8"/>
      <c r="D1003" s="8"/>
      <c r="E1003" s="4"/>
      <c r="F1003" s="5"/>
      <c r="G1003" s="9"/>
      <c r="H1003" s="8"/>
      <c r="I1003" s="4"/>
      <c r="J1003" s="1"/>
      <c r="K1003" s="1"/>
      <c r="O1003" s="1"/>
      <c r="P1003" s="1"/>
    </row>
    <row r="1004" spans="1:17" x14ac:dyDescent="0.2">
      <c r="A1004" s="6"/>
      <c r="B1004" s="8"/>
      <c r="C1004" s="8"/>
      <c r="D1004" s="8"/>
      <c r="E1004" s="4"/>
      <c r="F1004" s="5"/>
      <c r="G1004" s="9"/>
      <c r="H1004" s="8"/>
      <c r="I1004" s="4"/>
      <c r="J1004" s="1"/>
      <c r="K1004" s="1"/>
      <c r="O1004" s="1"/>
      <c r="P1004" s="1"/>
    </row>
    <row r="1005" spans="1:17" x14ac:dyDescent="0.2">
      <c r="A1005" s="6"/>
      <c r="B1005" s="8"/>
      <c r="C1005" s="8"/>
      <c r="D1005" s="8"/>
      <c r="E1005" s="4"/>
      <c r="F1005" s="5"/>
      <c r="G1005" s="9"/>
      <c r="H1005" s="8"/>
      <c r="I1005" s="4"/>
      <c r="J1005" s="1"/>
      <c r="K1005" s="1"/>
      <c r="O1005" s="1"/>
      <c r="P1005" s="1"/>
    </row>
    <row r="1006" spans="1:17" x14ac:dyDescent="0.2">
      <c r="A1006" s="6"/>
      <c r="B1006" s="8"/>
      <c r="C1006" s="8"/>
      <c r="D1006" s="8"/>
      <c r="E1006" s="4"/>
      <c r="F1006" s="5"/>
      <c r="G1006" s="9"/>
      <c r="H1006" s="8"/>
      <c r="I1006" s="4"/>
      <c r="J1006" s="1"/>
      <c r="K1006" s="1"/>
      <c r="O1006" s="1"/>
      <c r="P1006" s="1"/>
    </row>
    <row r="1007" spans="1:17" x14ac:dyDescent="0.2">
      <c r="A1007" s="6"/>
      <c r="B1007" s="8"/>
      <c r="C1007" s="8"/>
      <c r="D1007" s="8"/>
      <c r="E1007" s="2380"/>
      <c r="F1007" s="5"/>
      <c r="G1007" s="9"/>
      <c r="H1007" s="8"/>
      <c r="I1007" s="2380"/>
      <c r="J1007" s="2381"/>
      <c r="K1007" s="2381"/>
      <c r="O1007" s="2381"/>
      <c r="P1007" s="2381"/>
    </row>
    <row r="1008" spans="1:17" x14ac:dyDescent="0.2">
      <c r="A1008" s="6"/>
      <c r="B1008" s="8"/>
      <c r="C1008" s="8"/>
      <c r="D1008" s="8"/>
      <c r="E1008" s="2380"/>
      <c r="F1008" s="5"/>
      <c r="G1008" s="9"/>
      <c r="H1008" s="8"/>
      <c r="I1008" s="2380"/>
      <c r="J1008" s="2381"/>
      <c r="K1008" s="2381"/>
      <c r="O1008" s="2381"/>
      <c r="P1008" s="2381"/>
    </row>
    <row r="1009" spans="1:17" ht="15.75" customHeight="1" x14ac:dyDescent="0.25">
      <c r="A1009" s="2512" t="s">
        <v>1929</v>
      </c>
      <c r="B1009" s="2512"/>
      <c r="C1009" s="2512"/>
      <c r="D1009" s="2512"/>
      <c r="E1009" s="2512"/>
      <c r="F1009" s="2512"/>
      <c r="G1009" s="2512"/>
      <c r="H1009" s="2512"/>
      <c r="I1009" s="2512"/>
      <c r="J1009" s="2512"/>
      <c r="K1009" s="2512"/>
      <c r="L1009" s="2512"/>
      <c r="M1009" s="2512"/>
      <c r="N1009" s="2512"/>
      <c r="O1009" s="2512"/>
      <c r="P1009" s="2512"/>
      <c r="Q1009" s="2512"/>
    </row>
    <row r="1010" spans="1:17" x14ac:dyDescent="0.2">
      <c r="A1010" s="3"/>
      <c r="B1010" s="6"/>
      <c r="C1010" s="6"/>
      <c r="D1010" s="6"/>
      <c r="E1010" s="1"/>
      <c r="F1010" s="2"/>
      <c r="G1010" s="6"/>
      <c r="H1010" s="6"/>
      <c r="I1010" s="1"/>
      <c r="J1010" s="1"/>
      <c r="K1010" s="1"/>
      <c r="L1010" s="6"/>
      <c r="M1010" s="6"/>
      <c r="N1010" s="6"/>
      <c r="O1010" s="1"/>
      <c r="P1010" s="1"/>
      <c r="Q1010" s="6"/>
    </row>
    <row r="1011" spans="1:17" ht="13.5" thickBot="1" x14ac:dyDescent="0.25">
      <c r="A1011" s="3" t="s">
        <v>403</v>
      </c>
      <c r="B1011" s="6"/>
      <c r="C1011" s="6"/>
      <c r="D1011" s="6"/>
      <c r="E1011" s="1"/>
      <c r="F1011" s="2"/>
      <c r="G1011" s="6"/>
      <c r="H1011" s="6"/>
      <c r="I1011" s="1"/>
      <c r="J1011" s="1"/>
      <c r="K1011" s="1"/>
      <c r="L1011" s="6"/>
      <c r="M1011" s="6"/>
      <c r="N1011" s="6"/>
      <c r="O1011" s="1"/>
      <c r="P1011" s="1"/>
      <c r="Q1011" s="6"/>
    </row>
    <row r="1012" spans="1:17" ht="14.45" customHeight="1" thickBot="1" x14ac:dyDescent="0.25">
      <c r="A1012" s="2513" t="s">
        <v>327</v>
      </c>
      <c r="B1012" s="2516" t="s">
        <v>1935</v>
      </c>
      <c r="C1012" s="2517"/>
      <c r="D1012" s="2517"/>
      <c r="E1012" s="2517"/>
      <c r="F1012" s="2517"/>
      <c r="G1012" s="2517"/>
      <c r="H1012" s="2517"/>
      <c r="I1012" s="2517"/>
      <c r="J1012" s="2517"/>
      <c r="K1012" s="2517"/>
      <c r="L1012" s="2518" t="s">
        <v>1930</v>
      </c>
      <c r="M1012" s="2519"/>
      <c r="N1012" s="2519"/>
      <c r="O1012" s="2519"/>
      <c r="P1012" s="2520"/>
      <c r="Q1012" s="2521"/>
    </row>
    <row r="1013" spans="1:17" ht="14.45" customHeight="1" x14ac:dyDescent="0.2">
      <c r="A1013" s="2514"/>
      <c r="B1013" s="2522" t="s">
        <v>328</v>
      </c>
      <c r="C1013" s="2523"/>
      <c r="D1013" s="1014"/>
      <c r="E1013" s="1014" t="s">
        <v>904</v>
      </c>
      <c r="F1013" s="1014" t="s">
        <v>329</v>
      </c>
      <c r="G1013" s="1014"/>
      <c r="H1013" s="1014"/>
      <c r="I1013" s="2526" t="s">
        <v>330</v>
      </c>
      <c r="J1013" s="2527"/>
      <c r="K1013" s="2528"/>
      <c r="L1013" s="2524" t="s">
        <v>328</v>
      </c>
      <c r="M1013" s="2525"/>
      <c r="N1013" s="1021" t="s">
        <v>331</v>
      </c>
      <c r="O1013" s="1022" t="s">
        <v>332</v>
      </c>
      <c r="P1013" s="1023"/>
      <c r="Q1013" s="1024"/>
    </row>
    <row r="1014" spans="1:17" ht="14.45" customHeight="1" x14ac:dyDescent="0.2">
      <c r="A1014" s="2514"/>
      <c r="B1014" s="1014" t="s">
        <v>835</v>
      </c>
      <c r="C1014" s="1014" t="s">
        <v>335</v>
      </c>
      <c r="D1014" s="1014" t="s">
        <v>837</v>
      </c>
      <c r="E1014" s="1014" t="s">
        <v>842</v>
      </c>
      <c r="F1014" s="1014" t="s">
        <v>336</v>
      </c>
      <c r="G1014" s="1014" t="s">
        <v>337</v>
      </c>
      <c r="H1014" s="1014" t="s">
        <v>338</v>
      </c>
      <c r="I1014" s="2529" t="s">
        <v>839</v>
      </c>
      <c r="J1014" s="2530"/>
      <c r="K1014" s="2531"/>
      <c r="L1014" s="1025" t="s">
        <v>835</v>
      </c>
      <c r="M1014" s="1021" t="s">
        <v>335</v>
      </c>
      <c r="N1014" s="1021" t="s">
        <v>339</v>
      </c>
      <c r="O1014" s="1022"/>
      <c r="P1014" s="1021" t="s">
        <v>337</v>
      </c>
      <c r="Q1014" s="1024" t="s">
        <v>338</v>
      </c>
    </row>
    <row r="1015" spans="1:17" ht="14.45" customHeight="1" x14ac:dyDescent="0.2">
      <c r="A1015" s="2514"/>
      <c r="B1015" s="1014"/>
      <c r="C1015" s="1014"/>
      <c r="D1015" s="1014"/>
      <c r="E1015" s="1014"/>
      <c r="F1015" s="1014" t="s">
        <v>341</v>
      </c>
      <c r="G1015" s="1014" t="s">
        <v>342</v>
      </c>
      <c r="H1015" s="1014" t="s">
        <v>341</v>
      </c>
      <c r="I1015" s="1015"/>
      <c r="J1015" s="1016"/>
      <c r="K1015" s="1017"/>
      <c r="L1015" s="1025"/>
      <c r="M1015" s="1021"/>
      <c r="N1015" s="1021"/>
      <c r="O1015" s="1022" t="s">
        <v>344</v>
      </c>
      <c r="P1015" s="1021" t="s">
        <v>342</v>
      </c>
      <c r="Q1015" s="1024" t="s">
        <v>341</v>
      </c>
    </row>
    <row r="1016" spans="1:17" ht="14.45" customHeight="1" x14ac:dyDescent="0.2">
      <c r="A1016" s="2515"/>
      <c r="B1016" s="1018" t="s">
        <v>345</v>
      </c>
      <c r="C1016" s="1018" t="s">
        <v>345</v>
      </c>
      <c r="D1016" s="1018" t="s">
        <v>346</v>
      </c>
      <c r="E1016" s="1018" t="s">
        <v>757</v>
      </c>
      <c r="F1016" s="1018"/>
      <c r="G1016" s="1018" t="s">
        <v>347</v>
      </c>
      <c r="H1016" s="1018" t="s">
        <v>348</v>
      </c>
      <c r="I1016" s="1019" t="s">
        <v>349</v>
      </c>
      <c r="J1016" s="1019" t="s">
        <v>350</v>
      </c>
      <c r="K1016" s="1020" t="s">
        <v>351</v>
      </c>
      <c r="L1016" s="1026" t="s">
        <v>345</v>
      </c>
      <c r="M1016" s="1027" t="s">
        <v>345</v>
      </c>
      <c r="N1016" s="1027" t="s">
        <v>346</v>
      </c>
      <c r="O1016" s="1028"/>
      <c r="P1016" s="1027" t="s">
        <v>347</v>
      </c>
      <c r="Q1016" s="1029" t="s">
        <v>348</v>
      </c>
    </row>
    <row r="1017" spans="1:17" ht="14.45" customHeight="1" x14ac:dyDescent="0.2">
      <c r="A1017" s="975" t="s">
        <v>352</v>
      </c>
      <c r="B1017" s="976">
        <v>88</v>
      </c>
      <c r="C1017" s="976">
        <v>86</v>
      </c>
      <c r="D1017" s="977">
        <v>1489</v>
      </c>
      <c r="E1017" s="1608">
        <v>17.313953488372093</v>
      </c>
      <c r="F1017" s="979"/>
      <c r="G1017" s="976"/>
      <c r="H1017" s="976"/>
      <c r="I1017" s="978"/>
      <c r="J1017" s="978"/>
      <c r="K1017" s="980"/>
      <c r="L1017" s="981">
        <v>98</v>
      </c>
      <c r="M1017" s="977">
        <v>95</v>
      </c>
      <c r="N1017" s="977">
        <v>1637</v>
      </c>
      <c r="O1017" s="1608">
        <v>17.231578947368423</v>
      </c>
      <c r="P1017" s="1609"/>
      <c r="Q1017" s="1610"/>
    </row>
    <row r="1018" spans="1:17" ht="14.45" customHeight="1" x14ac:dyDescent="0.2">
      <c r="A1018" s="1481" t="s">
        <v>353</v>
      </c>
      <c r="B1018" s="1146">
        <v>10</v>
      </c>
      <c r="C1018" s="1146">
        <v>10</v>
      </c>
      <c r="D1018" s="957">
        <v>180</v>
      </c>
      <c r="E1018" s="2355">
        <v>18</v>
      </c>
      <c r="F1018" s="1499" t="s">
        <v>988</v>
      </c>
      <c r="G1018" s="1259">
        <v>1302560</v>
      </c>
      <c r="H1018" s="959">
        <v>10321150.550978053</v>
      </c>
      <c r="I1018" s="1489"/>
      <c r="J1018" s="960"/>
      <c r="K1018" s="961"/>
      <c r="L1018" s="2234">
        <v>9</v>
      </c>
      <c r="M1018" s="1498">
        <v>9</v>
      </c>
      <c r="N1018" s="1498">
        <v>144</v>
      </c>
      <c r="O1018" s="2277">
        <v>16</v>
      </c>
      <c r="P1018" s="1261">
        <v>1350000</v>
      </c>
      <c r="Q1018" s="1149">
        <v>10321150.550978053</v>
      </c>
    </row>
    <row r="1019" spans="1:17" ht="14.45" customHeight="1" x14ac:dyDescent="0.2">
      <c r="A1019" s="1481" t="s">
        <v>354</v>
      </c>
      <c r="B1019" s="1146">
        <v>17</v>
      </c>
      <c r="C1019" s="1146">
        <v>17</v>
      </c>
      <c r="D1019" s="957">
        <v>272</v>
      </c>
      <c r="E1019" s="2355">
        <v>16</v>
      </c>
      <c r="F1019" s="1499" t="s">
        <v>988</v>
      </c>
      <c r="G1019" s="1259">
        <v>1302560</v>
      </c>
      <c r="H1019" s="959">
        <v>10321150.550978053</v>
      </c>
      <c r="I1019" s="1489"/>
      <c r="J1019" s="960"/>
      <c r="K1019" s="961"/>
      <c r="L1019" s="2234">
        <v>14</v>
      </c>
      <c r="M1019" s="1498">
        <v>14</v>
      </c>
      <c r="N1019" s="1498">
        <v>238</v>
      </c>
      <c r="O1019" s="2277">
        <v>17</v>
      </c>
      <c r="P1019" s="1261">
        <v>1350000</v>
      </c>
      <c r="Q1019" s="1149">
        <v>10321150.550978053</v>
      </c>
    </row>
    <row r="1020" spans="1:17" ht="14.45" customHeight="1" x14ac:dyDescent="0.2">
      <c r="A1020" s="1481" t="s">
        <v>355</v>
      </c>
      <c r="B1020" s="1146">
        <v>0</v>
      </c>
      <c r="C1020" s="1146">
        <v>0</v>
      </c>
      <c r="D1020" s="957">
        <v>0</v>
      </c>
      <c r="E1020" s="2355">
        <v>0</v>
      </c>
      <c r="F1020" s="964"/>
      <c r="G1020" s="1259"/>
      <c r="H1020" s="959"/>
      <c r="I1020" s="1489"/>
      <c r="J1020" s="960"/>
      <c r="K1020" s="961"/>
      <c r="L1020" s="2234">
        <v>0</v>
      </c>
      <c r="M1020" s="1498">
        <v>0</v>
      </c>
      <c r="N1020" s="1498">
        <v>0</v>
      </c>
      <c r="O1020" s="2277">
        <v>0</v>
      </c>
      <c r="P1020" s="1261"/>
      <c r="Q1020" s="1606"/>
    </row>
    <row r="1021" spans="1:17" ht="14.45" customHeight="1" x14ac:dyDescent="0.2">
      <c r="A1021" s="1481" t="s">
        <v>356</v>
      </c>
      <c r="B1021" s="1146">
        <v>8</v>
      </c>
      <c r="C1021" s="1146">
        <v>8</v>
      </c>
      <c r="D1021" s="957">
        <v>128</v>
      </c>
      <c r="E1021" s="2355">
        <v>16</v>
      </c>
      <c r="F1021" s="1499" t="s">
        <v>988</v>
      </c>
      <c r="G1021" s="1259">
        <v>1302560</v>
      </c>
      <c r="H1021" s="959">
        <v>10321150.550978053</v>
      </c>
      <c r="I1021" s="1489"/>
      <c r="J1021" s="960"/>
      <c r="K1021" s="961"/>
      <c r="L1021" s="2234">
        <v>5</v>
      </c>
      <c r="M1021" s="1498">
        <v>5</v>
      </c>
      <c r="N1021" s="1498">
        <v>80</v>
      </c>
      <c r="O1021" s="2277">
        <v>16</v>
      </c>
      <c r="P1021" s="1261">
        <v>1350000</v>
      </c>
      <c r="Q1021" s="1149">
        <v>10321150.550978053</v>
      </c>
    </row>
    <row r="1022" spans="1:17" ht="14.45" customHeight="1" x14ac:dyDescent="0.2">
      <c r="A1022" s="1481" t="s">
        <v>357</v>
      </c>
      <c r="B1022" s="1146">
        <v>10</v>
      </c>
      <c r="C1022" s="1146">
        <v>10</v>
      </c>
      <c r="D1022" s="957">
        <v>180</v>
      </c>
      <c r="E1022" s="2355">
        <v>18</v>
      </c>
      <c r="F1022" s="1499" t="s">
        <v>988</v>
      </c>
      <c r="G1022" s="1259">
        <v>1302560</v>
      </c>
      <c r="H1022" s="959">
        <v>10321150.550978053</v>
      </c>
      <c r="I1022" s="1489"/>
      <c r="J1022" s="960"/>
      <c r="K1022" s="961"/>
      <c r="L1022" s="2234">
        <v>21</v>
      </c>
      <c r="M1022" s="1498">
        <v>21</v>
      </c>
      <c r="N1022" s="1498">
        <v>378</v>
      </c>
      <c r="O1022" s="2277">
        <v>18</v>
      </c>
      <c r="P1022" s="1261">
        <v>1350000</v>
      </c>
      <c r="Q1022" s="1149">
        <v>10321150.550978053</v>
      </c>
    </row>
    <row r="1023" spans="1:17" ht="14.45" customHeight="1" x14ac:dyDescent="0.2">
      <c r="A1023" s="1481" t="s">
        <v>358</v>
      </c>
      <c r="B1023" s="1146">
        <v>5</v>
      </c>
      <c r="C1023" s="1146">
        <v>4</v>
      </c>
      <c r="D1023" s="957">
        <v>40</v>
      </c>
      <c r="E1023" s="2355">
        <v>10</v>
      </c>
      <c r="F1023" s="964" t="s">
        <v>988</v>
      </c>
      <c r="G1023" s="1259">
        <v>1302560</v>
      </c>
      <c r="H1023" s="959">
        <v>10321150.550978053</v>
      </c>
      <c r="I1023" s="1489"/>
      <c r="J1023" s="960"/>
      <c r="K1023" s="961"/>
      <c r="L1023" s="2234">
        <v>3</v>
      </c>
      <c r="M1023" s="1498">
        <v>2</v>
      </c>
      <c r="N1023" s="1498">
        <v>24</v>
      </c>
      <c r="O1023" s="2277">
        <v>12</v>
      </c>
      <c r="P1023" s="1261">
        <v>1350000</v>
      </c>
      <c r="Q1023" s="1149">
        <v>10321150.550978053</v>
      </c>
    </row>
    <row r="1024" spans="1:17" ht="14.45" customHeight="1" x14ac:dyDescent="0.2">
      <c r="A1024" s="1481" t="s">
        <v>359</v>
      </c>
      <c r="B1024" s="1146">
        <v>3</v>
      </c>
      <c r="C1024" s="1146">
        <v>3</v>
      </c>
      <c r="D1024" s="957">
        <v>51</v>
      </c>
      <c r="E1024" s="2355">
        <v>17</v>
      </c>
      <c r="F1024" s="1499" t="s">
        <v>988</v>
      </c>
      <c r="G1024" s="1259">
        <v>1302560</v>
      </c>
      <c r="H1024" s="959">
        <v>10321150.550978053</v>
      </c>
      <c r="I1024" s="1489"/>
      <c r="J1024" s="960"/>
      <c r="K1024" s="961"/>
      <c r="L1024" s="2234">
        <v>4</v>
      </c>
      <c r="M1024" s="1498">
        <v>4</v>
      </c>
      <c r="N1024" s="1498">
        <v>72</v>
      </c>
      <c r="O1024" s="2277">
        <v>18</v>
      </c>
      <c r="P1024" s="1261">
        <v>1350000</v>
      </c>
      <c r="Q1024" s="1149">
        <v>10321150.550978053</v>
      </c>
    </row>
    <row r="1025" spans="1:17" ht="14.45" customHeight="1" x14ac:dyDescent="0.2">
      <c r="A1025" s="1481" t="s">
        <v>360</v>
      </c>
      <c r="B1025" s="1146">
        <v>0</v>
      </c>
      <c r="C1025" s="1146">
        <v>0</v>
      </c>
      <c r="D1025" s="957">
        <v>0</v>
      </c>
      <c r="E1025" s="2355">
        <v>0</v>
      </c>
      <c r="F1025" s="964"/>
      <c r="G1025" s="1259"/>
      <c r="H1025" s="959"/>
      <c r="I1025" s="1489"/>
      <c r="J1025" s="960"/>
      <c r="K1025" s="961"/>
      <c r="L1025" s="2234">
        <v>0</v>
      </c>
      <c r="M1025" s="1498">
        <v>0</v>
      </c>
      <c r="N1025" s="1498">
        <v>0</v>
      </c>
      <c r="O1025" s="2277">
        <v>0</v>
      </c>
      <c r="P1025" s="1261"/>
      <c r="Q1025" s="1606"/>
    </row>
    <row r="1026" spans="1:17" ht="14.45" customHeight="1" x14ac:dyDescent="0.2">
      <c r="A1026" s="1481" t="s">
        <v>361</v>
      </c>
      <c r="B1026" s="1146">
        <v>0</v>
      </c>
      <c r="C1026" s="1146">
        <v>0</v>
      </c>
      <c r="D1026" s="957">
        <v>0</v>
      </c>
      <c r="E1026" s="2355">
        <v>0</v>
      </c>
      <c r="F1026" s="1499" t="s">
        <v>988</v>
      </c>
      <c r="G1026" s="1259">
        <v>1302560</v>
      </c>
      <c r="H1026" s="959">
        <v>10321150.550978053</v>
      </c>
      <c r="I1026" s="1489"/>
      <c r="J1026" s="960"/>
      <c r="K1026" s="961"/>
      <c r="L1026" s="2234">
        <v>14</v>
      </c>
      <c r="M1026" s="1498">
        <v>13</v>
      </c>
      <c r="N1026" s="1498">
        <v>195</v>
      </c>
      <c r="O1026" s="2277">
        <v>15</v>
      </c>
      <c r="P1026" s="1261">
        <v>1350000</v>
      </c>
      <c r="Q1026" s="1149">
        <v>10321150.550978053</v>
      </c>
    </row>
    <row r="1027" spans="1:17" ht="14.45" customHeight="1" x14ac:dyDescent="0.2">
      <c r="A1027" s="1481" t="s">
        <v>362</v>
      </c>
      <c r="B1027" s="1146">
        <v>17</v>
      </c>
      <c r="C1027" s="1146">
        <v>16</v>
      </c>
      <c r="D1027" s="957">
        <v>272</v>
      </c>
      <c r="E1027" s="2355">
        <v>17</v>
      </c>
      <c r="F1027" s="1499" t="s">
        <v>988</v>
      </c>
      <c r="G1027" s="1259">
        <v>1302560</v>
      </c>
      <c r="H1027" s="959">
        <v>10321150.550978053</v>
      </c>
      <c r="I1027" s="1489"/>
      <c r="J1027" s="960"/>
      <c r="K1027" s="961"/>
      <c r="L1027" s="2234">
        <v>15</v>
      </c>
      <c r="M1027" s="1498">
        <v>14</v>
      </c>
      <c r="N1027" s="1498">
        <v>238</v>
      </c>
      <c r="O1027" s="2277">
        <v>17</v>
      </c>
      <c r="P1027" s="1261">
        <v>1350000</v>
      </c>
      <c r="Q1027" s="1149">
        <v>10321150.550978053</v>
      </c>
    </row>
    <row r="1028" spans="1:17" ht="14.45" customHeight="1" x14ac:dyDescent="0.2">
      <c r="A1028" s="1481" t="s">
        <v>363</v>
      </c>
      <c r="B1028" s="1146">
        <v>0</v>
      </c>
      <c r="C1028" s="1146">
        <v>0</v>
      </c>
      <c r="D1028" s="957">
        <v>0</v>
      </c>
      <c r="E1028" s="2355">
        <v>0</v>
      </c>
      <c r="F1028" s="964"/>
      <c r="G1028" s="1259"/>
      <c r="H1028" s="959"/>
      <c r="I1028" s="1489"/>
      <c r="J1028" s="960"/>
      <c r="K1028" s="961"/>
      <c r="L1028" s="2234">
        <v>0</v>
      </c>
      <c r="M1028" s="1498">
        <v>0</v>
      </c>
      <c r="N1028" s="1498">
        <v>0</v>
      </c>
      <c r="O1028" s="2277">
        <v>0</v>
      </c>
      <c r="P1028" s="1261"/>
      <c r="Q1028" s="1606"/>
    </row>
    <row r="1029" spans="1:17" ht="14.45" customHeight="1" x14ac:dyDescent="0.2">
      <c r="A1029" s="1481" t="s">
        <v>364</v>
      </c>
      <c r="B1029" s="1146">
        <v>13</v>
      </c>
      <c r="C1029" s="1146">
        <v>13</v>
      </c>
      <c r="D1029" s="957">
        <v>286</v>
      </c>
      <c r="E1029" s="2355">
        <v>22</v>
      </c>
      <c r="F1029" s="958" t="s">
        <v>988</v>
      </c>
      <c r="G1029" s="1259">
        <v>1302560</v>
      </c>
      <c r="H1029" s="959">
        <v>10321150.550978053</v>
      </c>
      <c r="I1029" s="1489"/>
      <c r="J1029" s="960"/>
      <c r="K1029" s="961"/>
      <c r="L1029" s="2234">
        <v>10</v>
      </c>
      <c r="M1029" s="1498">
        <v>10</v>
      </c>
      <c r="N1029" s="1498">
        <v>220</v>
      </c>
      <c r="O1029" s="2277">
        <v>22</v>
      </c>
      <c r="P1029" s="1261">
        <v>1350000</v>
      </c>
      <c r="Q1029" s="1149">
        <v>10321150.550978053</v>
      </c>
    </row>
    <row r="1030" spans="1:17" ht="14.45" customHeight="1" x14ac:dyDescent="0.2">
      <c r="A1030" s="1481" t="s">
        <v>365</v>
      </c>
      <c r="B1030" s="1146">
        <v>0</v>
      </c>
      <c r="C1030" s="1146">
        <v>0</v>
      </c>
      <c r="D1030" s="957">
        <v>0</v>
      </c>
      <c r="E1030" s="2355">
        <v>0</v>
      </c>
      <c r="F1030" s="964"/>
      <c r="G1030" s="1259"/>
      <c r="H1030" s="959"/>
      <c r="I1030" s="1489"/>
      <c r="J1030" s="960"/>
      <c r="K1030" s="961"/>
      <c r="L1030" s="2234">
        <v>0</v>
      </c>
      <c r="M1030" s="1498">
        <v>0</v>
      </c>
      <c r="N1030" s="1498">
        <v>0</v>
      </c>
      <c r="O1030" s="2277">
        <v>0</v>
      </c>
      <c r="P1030" s="1261"/>
      <c r="Q1030" s="1606"/>
    </row>
    <row r="1031" spans="1:17" ht="14.45" customHeight="1" x14ac:dyDescent="0.2">
      <c r="A1031" s="1481" t="s">
        <v>366</v>
      </c>
      <c r="B1031" s="1146">
        <v>5</v>
      </c>
      <c r="C1031" s="1146">
        <v>5</v>
      </c>
      <c r="D1031" s="957">
        <v>80</v>
      </c>
      <c r="E1031" s="2355">
        <v>16</v>
      </c>
      <c r="F1031" s="1499" t="s">
        <v>988</v>
      </c>
      <c r="G1031" s="1259">
        <v>1302560</v>
      </c>
      <c r="H1031" s="959">
        <v>10321150.550978053</v>
      </c>
      <c r="I1031" s="1489"/>
      <c r="J1031" s="960"/>
      <c r="K1031" s="961"/>
      <c r="L1031" s="2234">
        <v>3</v>
      </c>
      <c r="M1031" s="1498">
        <v>3</v>
      </c>
      <c r="N1031" s="1498">
        <v>48</v>
      </c>
      <c r="O1031" s="2277">
        <v>16</v>
      </c>
      <c r="P1031" s="1261">
        <v>1350000</v>
      </c>
      <c r="Q1031" s="1149">
        <v>10321150.550978053</v>
      </c>
    </row>
    <row r="1032" spans="1:17" ht="14.45" customHeight="1" x14ac:dyDescent="0.2">
      <c r="A1032" s="1481" t="s">
        <v>367</v>
      </c>
      <c r="B1032" s="1146">
        <v>0</v>
      </c>
      <c r="C1032" s="1146">
        <v>0</v>
      </c>
      <c r="D1032" s="957">
        <v>0</v>
      </c>
      <c r="E1032" s="2359">
        <v>0</v>
      </c>
      <c r="F1032" s="964"/>
      <c r="G1032" s="1259"/>
      <c r="H1032" s="959"/>
      <c r="I1032" s="1489"/>
      <c r="J1032" s="960"/>
      <c r="K1032" s="961"/>
      <c r="L1032" s="2234">
        <v>0</v>
      </c>
      <c r="M1032" s="1498">
        <v>0</v>
      </c>
      <c r="N1032" s="1498">
        <v>0</v>
      </c>
      <c r="O1032" s="2233">
        <v>0</v>
      </c>
      <c r="P1032" s="1261"/>
      <c r="Q1032" s="1606"/>
    </row>
    <row r="1033" spans="1:17" ht="14.45" customHeight="1" x14ac:dyDescent="0.2">
      <c r="A1033" s="1484" t="s">
        <v>368</v>
      </c>
      <c r="B1033" s="1002">
        <v>0</v>
      </c>
      <c r="C1033" s="984">
        <v>0</v>
      </c>
      <c r="D1033" s="2308">
        <v>0</v>
      </c>
      <c r="E1033" s="2360"/>
      <c r="F1033" s="987"/>
      <c r="G1033" s="1486"/>
      <c r="H1033" s="988"/>
      <c r="I1033" s="1490"/>
      <c r="J1033" s="989"/>
      <c r="K1033" s="990"/>
      <c r="L1033" s="2218">
        <v>0</v>
      </c>
      <c r="M1033" s="1485">
        <v>0</v>
      </c>
      <c r="N1033" s="1485">
        <v>0</v>
      </c>
      <c r="O1033" s="2278"/>
      <c r="P1033" s="1604"/>
      <c r="Q1033" s="1605"/>
    </row>
    <row r="1034" spans="1:17" ht="14.45" customHeight="1" x14ac:dyDescent="0.2">
      <c r="A1034" s="1481" t="s">
        <v>369</v>
      </c>
      <c r="B1034" s="1146">
        <v>0</v>
      </c>
      <c r="C1034" s="1146">
        <v>0</v>
      </c>
      <c r="D1034" s="957">
        <v>0</v>
      </c>
      <c r="E1034" s="2359">
        <v>0</v>
      </c>
      <c r="F1034" s="964"/>
      <c r="G1034" s="1259"/>
      <c r="H1034" s="959"/>
      <c r="I1034" s="1489"/>
      <c r="J1034" s="960"/>
      <c r="K1034" s="961"/>
      <c r="L1034" s="2234">
        <v>0</v>
      </c>
      <c r="M1034" s="1498">
        <v>0</v>
      </c>
      <c r="N1034" s="1498">
        <v>0</v>
      </c>
      <c r="O1034" s="2233">
        <v>0</v>
      </c>
      <c r="P1034" s="1261"/>
      <c r="Q1034" s="1606"/>
    </row>
    <row r="1035" spans="1:17" ht="14.45" customHeight="1" x14ac:dyDescent="0.2">
      <c r="A1035" s="1481" t="s">
        <v>370</v>
      </c>
      <c r="B1035" s="1146">
        <v>0</v>
      </c>
      <c r="C1035" s="1146">
        <v>0</v>
      </c>
      <c r="D1035" s="957">
        <v>0</v>
      </c>
      <c r="E1035" s="2359">
        <v>0</v>
      </c>
      <c r="F1035" s="964"/>
      <c r="G1035" s="1259"/>
      <c r="H1035" s="959"/>
      <c r="I1035" s="1489"/>
      <c r="J1035" s="960"/>
      <c r="K1035" s="961"/>
      <c r="L1035" s="2234">
        <v>0</v>
      </c>
      <c r="M1035" s="1498">
        <v>0</v>
      </c>
      <c r="N1035" s="1498">
        <v>0</v>
      </c>
      <c r="O1035" s="2233">
        <v>0</v>
      </c>
      <c r="P1035" s="1261"/>
      <c r="Q1035" s="1606"/>
    </row>
    <row r="1036" spans="1:17" ht="14.45" customHeight="1" x14ac:dyDescent="0.2">
      <c r="A1036" s="1481" t="s">
        <v>371</v>
      </c>
      <c r="B1036" s="1146">
        <v>0</v>
      </c>
      <c r="C1036" s="1146">
        <v>0</v>
      </c>
      <c r="D1036" s="957">
        <v>0</v>
      </c>
      <c r="E1036" s="2359">
        <v>0</v>
      </c>
      <c r="F1036" s="964"/>
      <c r="G1036" s="1259"/>
      <c r="H1036" s="959"/>
      <c r="I1036" s="1489"/>
      <c r="J1036" s="960"/>
      <c r="K1036" s="961"/>
      <c r="L1036" s="2234">
        <v>0</v>
      </c>
      <c r="M1036" s="1498">
        <v>0</v>
      </c>
      <c r="N1036" s="1498">
        <v>0</v>
      </c>
      <c r="O1036" s="2233">
        <v>0</v>
      </c>
      <c r="P1036" s="1261"/>
      <c r="Q1036" s="1606"/>
    </row>
    <row r="1037" spans="1:17" ht="14.45" customHeight="1" x14ac:dyDescent="0.2">
      <c r="A1037" s="1481" t="s">
        <v>372</v>
      </c>
      <c r="B1037" s="1146">
        <v>0</v>
      </c>
      <c r="C1037" s="1146">
        <v>0</v>
      </c>
      <c r="D1037" s="957">
        <v>0</v>
      </c>
      <c r="E1037" s="2359">
        <v>0</v>
      </c>
      <c r="F1037" s="1342"/>
      <c r="G1037" s="1259"/>
      <c r="H1037" s="959"/>
      <c r="I1037" s="1489"/>
      <c r="J1037" s="960"/>
      <c r="K1037" s="961"/>
      <c r="L1037" s="2234">
        <v>0</v>
      </c>
      <c r="M1037" s="1498">
        <v>0</v>
      </c>
      <c r="N1037" s="1498">
        <v>0</v>
      </c>
      <c r="O1037" s="2233">
        <v>0</v>
      </c>
      <c r="P1037" s="1261"/>
      <c r="Q1037" s="1606"/>
    </row>
    <row r="1038" spans="1:17" ht="14.45" customHeight="1" x14ac:dyDescent="0.2">
      <c r="A1038" s="1481" t="s">
        <v>373</v>
      </c>
      <c r="B1038" s="1146">
        <v>0</v>
      </c>
      <c r="C1038" s="1146">
        <v>0</v>
      </c>
      <c r="D1038" s="957">
        <v>0</v>
      </c>
      <c r="E1038" s="2359">
        <v>0</v>
      </c>
      <c r="F1038" s="958"/>
      <c r="G1038" s="1259"/>
      <c r="H1038" s="959"/>
      <c r="I1038" s="1489"/>
      <c r="J1038" s="960"/>
      <c r="K1038" s="961"/>
      <c r="L1038" s="2234">
        <v>0</v>
      </c>
      <c r="M1038" s="1498">
        <v>0</v>
      </c>
      <c r="N1038" s="1498">
        <v>0</v>
      </c>
      <c r="O1038" s="2277">
        <v>0</v>
      </c>
      <c r="P1038" s="1261"/>
      <c r="Q1038" s="1149"/>
    </row>
    <row r="1039" spans="1:17" ht="14.45" customHeight="1" x14ac:dyDescent="0.2">
      <c r="A1039" s="1484" t="s">
        <v>374</v>
      </c>
      <c r="B1039" s="1002">
        <v>19.5</v>
      </c>
      <c r="C1039" s="984">
        <v>18.5</v>
      </c>
      <c r="D1039" s="984">
        <v>318.5</v>
      </c>
      <c r="E1039" s="2353">
        <v>17.216216216216218</v>
      </c>
      <c r="F1039" s="987"/>
      <c r="G1039" s="1488"/>
      <c r="H1039" s="996"/>
      <c r="I1039" s="1491"/>
      <c r="J1039" s="997"/>
      <c r="K1039" s="998"/>
      <c r="L1039" s="2218">
        <v>27.5</v>
      </c>
      <c r="M1039" s="1485">
        <v>26.5</v>
      </c>
      <c r="N1039" s="1485">
        <v>465</v>
      </c>
      <c r="O1039" s="2216">
        <v>17.547169811320753</v>
      </c>
      <c r="P1039" s="1604"/>
      <c r="Q1039" s="1605"/>
    </row>
    <row r="1040" spans="1:17" ht="14.45" customHeight="1" x14ac:dyDescent="0.2">
      <c r="A1040" s="1481" t="s">
        <v>375</v>
      </c>
      <c r="B1040" s="1146">
        <v>10</v>
      </c>
      <c r="C1040" s="1146">
        <v>9</v>
      </c>
      <c r="D1040" s="957">
        <v>180</v>
      </c>
      <c r="E1040" s="2355">
        <v>20</v>
      </c>
      <c r="F1040" s="1499" t="s">
        <v>988</v>
      </c>
      <c r="G1040" s="1259">
        <v>1302560</v>
      </c>
      <c r="H1040" s="959">
        <v>10321150.550978053</v>
      </c>
      <c r="I1040" s="1489"/>
      <c r="J1040" s="960"/>
      <c r="K1040" s="961"/>
      <c r="L1040" s="2234">
        <v>13</v>
      </c>
      <c r="M1040" s="1498">
        <v>13</v>
      </c>
      <c r="N1040" s="1498">
        <v>247</v>
      </c>
      <c r="O1040" s="2277">
        <v>19</v>
      </c>
      <c r="P1040" s="1261">
        <v>1350000</v>
      </c>
      <c r="Q1040" s="1149">
        <v>10321150.550978053</v>
      </c>
    </row>
    <row r="1041" spans="1:17" ht="14.45" customHeight="1" x14ac:dyDescent="0.2">
      <c r="A1041" s="1481" t="s">
        <v>376</v>
      </c>
      <c r="B1041" s="1146">
        <v>0</v>
      </c>
      <c r="C1041" s="1146">
        <v>0</v>
      </c>
      <c r="D1041" s="957">
        <v>0</v>
      </c>
      <c r="E1041" s="2355">
        <v>0</v>
      </c>
      <c r="F1041" s="958"/>
      <c r="G1041" s="1259"/>
      <c r="H1041" s="959"/>
      <c r="I1041" s="1489"/>
      <c r="J1041" s="960"/>
      <c r="K1041" s="961"/>
      <c r="L1041" s="2234">
        <v>4</v>
      </c>
      <c r="M1041" s="1498">
        <v>4</v>
      </c>
      <c r="N1041" s="1498">
        <v>72</v>
      </c>
      <c r="O1041" s="2277">
        <v>18</v>
      </c>
      <c r="P1041" s="1261">
        <v>1350000</v>
      </c>
      <c r="Q1041" s="1149">
        <v>10321150.550978053</v>
      </c>
    </row>
    <row r="1042" spans="1:17" ht="14.45" customHeight="1" x14ac:dyDescent="0.2">
      <c r="A1042" s="1481" t="s">
        <v>377</v>
      </c>
      <c r="B1042" s="1146">
        <v>4</v>
      </c>
      <c r="C1042" s="1146">
        <v>4</v>
      </c>
      <c r="D1042" s="957">
        <v>56</v>
      </c>
      <c r="E1042" s="2355">
        <v>14</v>
      </c>
      <c r="F1042" s="1499" t="s">
        <v>988</v>
      </c>
      <c r="G1042" s="1259">
        <v>1302560</v>
      </c>
      <c r="H1042" s="959">
        <v>10321150.550978053</v>
      </c>
      <c r="I1042" s="1489"/>
      <c r="J1042" s="960"/>
      <c r="K1042" s="961"/>
      <c r="L1042" s="2234">
        <v>5</v>
      </c>
      <c r="M1042" s="1498">
        <v>4</v>
      </c>
      <c r="N1042" s="1498">
        <v>60</v>
      </c>
      <c r="O1042" s="2277">
        <v>15</v>
      </c>
      <c r="P1042" s="1261">
        <v>1350000</v>
      </c>
      <c r="Q1042" s="1149">
        <v>10321150.550978053</v>
      </c>
    </row>
    <row r="1043" spans="1:17" ht="14.45" customHeight="1" x14ac:dyDescent="0.2">
      <c r="A1043" s="1481" t="s">
        <v>378</v>
      </c>
      <c r="B1043" s="1146">
        <v>3.5</v>
      </c>
      <c r="C1043" s="1146">
        <v>3.5</v>
      </c>
      <c r="D1043" s="957">
        <v>52.5</v>
      </c>
      <c r="E1043" s="2355">
        <v>15</v>
      </c>
      <c r="F1043" s="1499" t="s">
        <v>988</v>
      </c>
      <c r="G1043" s="1259">
        <v>1302560</v>
      </c>
      <c r="H1043" s="959">
        <v>10321150.550978053</v>
      </c>
      <c r="I1043" s="1492"/>
      <c r="J1043" s="960"/>
      <c r="K1043" s="967"/>
      <c r="L1043" s="2234">
        <v>3.5</v>
      </c>
      <c r="M1043" s="1498">
        <v>3.5</v>
      </c>
      <c r="N1043" s="1498">
        <v>56</v>
      </c>
      <c r="O1043" s="2277">
        <v>16</v>
      </c>
      <c r="P1043" s="1261">
        <v>1350000</v>
      </c>
      <c r="Q1043" s="1149">
        <v>10321150.550978053</v>
      </c>
    </row>
    <row r="1044" spans="1:17" ht="14.45" customHeight="1" x14ac:dyDescent="0.2">
      <c r="A1044" s="1481" t="s">
        <v>379</v>
      </c>
      <c r="B1044" s="1146">
        <v>0</v>
      </c>
      <c r="C1044" s="1146">
        <v>0</v>
      </c>
      <c r="D1044" s="957">
        <v>0</v>
      </c>
      <c r="E1044" s="2359">
        <v>0</v>
      </c>
      <c r="F1044" s="958"/>
      <c r="G1044" s="1500"/>
      <c r="H1044" s="965"/>
      <c r="I1044" s="1492"/>
      <c r="J1044" s="960"/>
      <c r="K1044" s="967"/>
      <c r="L1044" s="2234">
        <v>0</v>
      </c>
      <c r="M1044" s="1498">
        <v>0</v>
      </c>
      <c r="N1044" s="1498">
        <v>0</v>
      </c>
      <c r="O1044" s="2233">
        <v>0</v>
      </c>
      <c r="P1044" s="1261"/>
      <c r="Q1044" s="1606"/>
    </row>
    <row r="1045" spans="1:17" ht="14.45" customHeight="1" x14ac:dyDescent="0.2">
      <c r="A1045" s="1481" t="s">
        <v>380</v>
      </c>
      <c r="B1045" s="1146">
        <v>2</v>
      </c>
      <c r="C1045" s="1146">
        <v>2</v>
      </c>
      <c r="D1045" s="957">
        <v>30</v>
      </c>
      <c r="E1045" s="2359">
        <v>15</v>
      </c>
      <c r="F1045" s="1499" t="s">
        <v>988</v>
      </c>
      <c r="G1045" s="1259">
        <v>1302560</v>
      </c>
      <c r="H1045" s="959">
        <v>10321150.550978053</v>
      </c>
      <c r="I1045" s="1492"/>
      <c r="J1045" s="960"/>
      <c r="K1045" s="967"/>
      <c r="L1045" s="2234">
        <v>2</v>
      </c>
      <c r="M1045" s="1498">
        <v>2</v>
      </c>
      <c r="N1045" s="1498">
        <v>30</v>
      </c>
      <c r="O1045" s="2233">
        <v>15</v>
      </c>
      <c r="P1045" s="1261">
        <v>1350000</v>
      </c>
      <c r="Q1045" s="1149">
        <v>10321150.550978053</v>
      </c>
    </row>
    <row r="1046" spans="1:17" ht="14.45" customHeight="1" x14ac:dyDescent="0.2">
      <c r="A1046" s="1481" t="s">
        <v>381</v>
      </c>
      <c r="B1046" s="1146">
        <v>0</v>
      </c>
      <c r="C1046" s="1146">
        <v>0</v>
      </c>
      <c r="D1046" s="957">
        <v>0</v>
      </c>
      <c r="E1046" s="2359">
        <v>0</v>
      </c>
      <c r="F1046" s="1342"/>
      <c r="G1046" s="1259"/>
      <c r="H1046" s="959"/>
      <c r="I1046" s="1492"/>
      <c r="J1046" s="960"/>
      <c r="K1046" s="967"/>
      <c r="L1046" s="2234">
        <v>0</v>
      </c>
      <c r="M1046" s="1498">
        <v>0</v>
      </c>
      <c r="N1046" s="1498">
        <v>0</v>
      </c>
      <c r="O1046" s="2233">
        <v>0</v>
      </c>
      <c r="P1046" s="1261"/>
      <c r="Q1046" s="1606"/>
    </row>
    <row r="1047" spans="1:17" ht="14.45" customHeight="1" x14ac:dyDescent="0.2">
      <c r="A1047" s="1481" t="s">
        <v>382</v>
      </c>
      <c r="B1047" s="1146">
        <v>0</v>
      </c>
      <c r="C1047" s="1146">
        <v>0</v>
      </c>
      <c r="D1047" s="957">
        <v>0</v>
      </c>
      <c r="E1047" s="2359">
        <v>0</v>
      </c>
      <c r="F1047" s="1342"/>
      <c r="G1047" s="1259"/>
      <c r="H1047" s="959"/>
      <c r="I1047" s="1492"/>
      <c r="J1047" s="960"/>
      <c r="K1047" s="967"/>
      <c r="L1047" s="2234">
        <v>0</v>
      </c>
      <c r="M1047" s="1498">
        <v>0</v>
      </c>
      <c r="N1047" s="1498">
        <v>0</v>
      </c>
      <c r="O1047" s="2233">
        <v>0</v>
      </c>
      <c r="P1047" s="1261"/>
      <c r="Q1047" s="1606"/>
    </row>
    <row r="1048" spans="1:17" ht="14.45" customHeight="1" x14ac:dyDescent="0.2">
      <c r="A1048" s="1484" t="s">
        <v>383</v>
      </c>
      <c r="B1048" s="1002">
        <v>0</v>
      </c>
      <c r="C1048" s="1002">
        <v>0</v>
      </c>
      <c r="D1048" s="1002">
        <v>0</v>
      </c>
      <c r="E1048" s="2361"/>
      <c r="F1048" s="1003"/>
      <c r="G1048" s="1004"/>
      <c r="H1048" s="1004"/>
      <c r="I1048" s="1501"/>
      <c r="J1048" s="1005"/>
      <c r="K1048" s="949"/>
      <c r="L1048" s="2218">
        <v>0</v>
      </c>
      <c r="M1048" s="1485">
        <v>0</v>
      </c>
      <c r="N1048" s="1485">
        <v>0</v>
      </c>
      <c r="O1048" s="2278"/>
      <c r="P1048" s="1604"/>
      <c r="Q1048" s="1605"/>
    </row>
    <row r="1049" spans="1:17" ht="14.45" customHeight="1" x14ac:dyDescent="0.2">
      <c r="A1049" s="1481" t="s">
        <v>384</v>
      </c>
      <c r="B1049" s="957">
        <v>0</v>
      </c>
      <c r="C1049" s="957">
        <v>0</v>
      </c>
      <c r="D1049" s="957">
        <v>0</v>
      </c>
      <c r="E1049" s="2356">
        <v>0</v>
      </c>
      <c r="F1049" s="958"/>
      <c r="G1049" s="965"/>
      <c r="H1049" s="965"/>
      <c r="I1049" s="1492"/>
      <c r="J1049" s="966"/>
      <c r="K1049" s="967"/>
      <c r="L1049" s="2234"/>
      <c r="M1049" s="1498"/>
      <c r="N1049" s="1498">
        <v>0</v>
      </c>
      <c r="O1049" s="2233"/>
      <c r="P1049" s="1261"/>
      <c r="Q1049" s="1606"/>
    </row>
    <row r="1050" spans="1:17" ht="14.45" customHeight="1" x14ac:dyDescent="0.2">
      <c r="A1050" s="1481" t="s">
        <v>385</v>
      </c>
      <c r="B1050" s="957">
        <v>0</v>
      </c>
      <c r="C1050" s="957">
        <v>0</v>
      </c>
      <c r="D1050" s="957">
        <v>0</v>
      </c>
      <c r="E1050" s="2356">
        <v>0</v>
      </c>
      <c r="F1050" s="958"/>
      <c r="G1050" s="965"/>
      <c r="H1050" s="965"/>
      <c r="I1050" s="1492"/>
      <c r="J1050" s="966"/>
      <c r="K1050" s="967"/>
      <c r="L1050" s="2234"/>
      <c r="M1050" s="1498"/>
      <c r="N1050" s="1498">
        <v>0</v>
      </c>
      <c r="O1050" s="2233"/>
      <c r="P1050" s="1261"/>
      <c r="Q1050" s="1606"/>
    </row>
    <row r="1051" spans="1:17" ht="14.45" customHeight="1" x14ac:dyDescent="0.2">
      <c r="A1051" s="1481" t="s">
        <v>386</v>
      </c>
      <c r="B1051" s="957">
        <v>0</v>
      </c>
      <c r="C1051" s="957">
        <v>0</v>
      </c>
      <c r="D1051" s="957">
        <v>0</v>
      </c>
      <c r="E1051" s="2356">
        <v>0</v>
      </c>
      <c r="F1051" s="958"/>
      <c r="G1051" s="965"/>
      <c r="H1051" s="965"/>
      <c r="I1051" s="1492"/>
      <c r="J1051" s="966"/>
      <c r="K1051" s="967"/>
      <c r="L1051" s="2234"/>
      <c r="M1051" s="1498"/>
      <c r="N1051" s="1498">
        <v>0</v>
      </c>
      <c r="O1051" s="2233"/>
      <c r="P1051" s="1261"/>
      <c r="Q1051" s="1606"/>
    </row>
    <row r="1052" spans="1:17" ht="14.45" customHeight="1" x14ac:dyDescent="0.2">
      <c r="A1052" s="1481" t="s">
        <v>387</v>
      </c>
      <c r="B1052" s="957">
        <v>0</v>
      </c>
      <c r="C1052" s="957">
        <v>0</v>
      </c>
      <c r="D1052" s="957">
        <v>0</v>
      </c>
      <c r="E1052" s="2356">
        <v>0</v>
      </c>
      <c r="F1052" s="958"/>
      <c r="G1052" s="965"/>
      <c r="H1052" s="965"/>
      <c r="I1052" s="1492"/>
      <c r="J1052" s="966"/>
      <c r="K1052" s="967"/>
      <c r="L1052" s="2234"/>
      <c r="M1052" s="1498"/>
      <c r="N1052" s="1498">
        <v>0</v>
      </c>
      <c r="O1052" s="2233"/>
      <c r="P1052" s="1261"/>
      <c r="Q1052" s="1606"/>
    </row>
    <row r="1053" spans="1:17" ht="14.45" customHeight="1" x14ac:dyDescent="0.2">
      <c r="A1053" s="1481" t="s">
        <v>388</v>
      </c>
      <c r="B1053" s="957">
        <v>0</v>
      </c>
      <c r="C1053" s="957">
        <v>0</v>
      </c>
      <c r="D1053" s="957">
        <v>0</v>
      </c>
      <c r="E1053" s="2356">
        <v>0</v>
      </c>
      <c r="F1053" s="958"/>
      <c r="G1053" s="965"/>
      <c r="H1053" s="965"/>
      <c r="I1053" s="1492"/>
      <c r="J1053" s="966"/>
      <c r="K1053" s="967"/>
      <c r="L1053" s="2234"/>
      <c r="M1053" s="1498"/>
      <c r="N1053" s="1498">
        <v>0</v>
      </c>
      <c r="O1053" s="2233"/>
      <c r="P1053" s="1261"/>
      <c r="Q1053" s="1606"/>
    </row>
    <row r="1054" spans="1:17" ht="14.45" customHeight="1" x14ac:dyDescent="0.2">
      <c r="A1054" s="1481" t="s">
        <v>389</v>
      </c>
      <c r="B1054" s="957">
        <v>0</v>
      </c>
      <c r="C1054" s="957">
        <v>0</v>
      </c>
      <c r="D1054" s="957">
        <v>0</v>
      </c>
      <c r="E1054" s="2356">
        <v>0</v>
      </c>
      <c r="F1054" s="958"/>
      <c r="G1054" s="965"/>
      <c r="H1054" s="965"/>
      <c r="I1054" s="1492"/>
      <c r="J1054" s="966"/>
      <c r="K1054" s="967"/>
      <c r="L1054" s="2234"/>
      <c r="M1054" s="1498"/>
      <c r="N1054" s="1498">
        <v>0</v>
      </c>
      <c r="O1054" s="2233"/>
      <c r="P1054" s="1261"/>
      <c r="Q1054" s="1606"/>
    </row>
    <row r="1055" spans="1:17" ht="14.45" customHeight="1" x14ac:dyDescent="0.2">
      <c r="A1055" s="1481" t="s">
        <v>390</v>
      </c>
      <c r="B1055" s="957">
        <v>0</v>
      </c>
      <c r="C1055" s="957">
        <v>0</v>
      </c>
      <c r="D1055" s="957">
        <v>0</v>
      </c>
      <c r="E1055" s="2356">
        <v>0</v>
      </c>
      <c r="F1055" s="958"/>
      <c r="G1055" s="1259"/>
      <c r="H1055" s="959"/>
      <c r="I1055" s="1492"/>
      <c r="J1055" s="966"/>
      <c r="K1055" s="967"/>
      <c r="L1055" s="2234"/>
      <c r="M1055" s="1498"/>
      <c r="N1055" s="1498">
        <v>0</v>
      </c>
      <c r="O1055" s="2233"/>
      <c r="P1055" s="1261"/>
      <c r="Q1055" s="1149"/>
    </row>
    <row r="1056" spans="1:17" ht="14.45" customHeight="1" x14ac:dyDescent="0.2">
      <c r="A1056" s="1481" t="s">
        <v>391</v>
      </c>
      <c r="B1056" s="957">
        <v>0</v>
      </c>
      <c r="C1056" s="957">
        <v>0</v>
      </c>
      <c r="D1056" s="957">
        <v>0</v>
      </c>
      <c r="E1056" s="2356">
        <v>0</v>
      </c>
      <c r="F1056" s="958"/>
      <c r="G1056" s="965"/>
      <c r="H1056" s="965"/>
      <c r="I1056" s="1492"/>
      <c r="J1056" s="966"/>
      <c r="K1056" s="967"/>
      <c r="L1056" s="2234"/>
      <c r="M1056" s="1498"/>
      <c r="N1056" s="1498">
        <v>0</v>
      </c>
      <c r="O1056" s="2233"/>
      <c r="P1056" s="1261"/>
      <c r="Q1056" s="1606"/>
    </row>
    <row r="1057" spans="1:17" ht="14.45" customHeight="1" x14ac:dyDescent="0.2">
      <c r="A1057" s="1493" t="s">
        <v>392</v>
      </c>
      <c r="B1057" s="957">
        <v>0</v>
      </c>
      <c r="C1057" s="957">
        <v>0</v>
      </c>
      <c r="D1057" s="957">
        <v>0</v>
      </c>
      <c r="E1057" s="2356">
        <v>0</v>
      </c>
      <c r="F1057" s="1495"/>
      <c r="G1057" s="965"/>
      <c r="H1057" s="965"/>
      <c r="I1057" s="1502"/>
      <c r="J1057" s="973"/>
      <c r="K1057" s="974"/>
      <c r="L1057" s="2330"/>
      <c r="M1057" s="1537"/>
      <c r="N1057" s="1537">
        <v>0</v>
      </c>
      <c r="O1057" s="2233"/>
      <c r="P1057" s="1621"/>
      <c r="Q1057" s="1622"/>
    </row>
    <row r="1058" spans="1:17" ht="14.45" customHeight="1" thickBot="1" x14ac:dyDescent="0.25">
      <c r="A1058" s="1006" t="s">
        <v>393</v>
      </c>
      <c r="B1058" s="1007">
        <v>107.5</v>
      </c>
      <c r="C1058" s="1007">
        <v>104.5</v>
      </c>
      <c r="D1058" s="1007">
        <v>1807.5</v>
      </c>
      <c r="E1058" s="1507">
        <v>17.296650717703351</v>
      </c>
      <c r="F1058" s="1480" t="s">
        <v>988</v>
      </c>
      <c r="G1058" s="1085">
        <v>1302559.9999999998</v>
      </c>
      <c r="H1058" s="1085">
        <v>10321150.550978053</v>
      </c>
      <c r="I1058" s="1008"/>
      <c r="J1058" s="1008" t="s">
        <v>983</v>
      </c>
      <c r="K1058" s="1011"/>
      <c r="L1058" s="1007">
        <v>125.5</v>
      </c>
      <c r="M1058" s="1007">
        <v>121.5</v>
      </c>
      <c r="N1058" s="1007">
        <v>2102</v>
      </c>
      <c r="O1058" s="1083">
        <v>17.300411522633745</v>
      </c>
      <c r="P1058" s="1603">
        <v>1350000</v>
      </c>
      <c r="Q1058" s="1607">
        <v>10321150.550978051</v>
      </c>
    </row>
    <row r="1059" spans="1:17" x14ac:dyDescent="0.2">
      <c r="A1059" s="7" t="s">
        <v>1934</v>
      </c>
      <c r="B1059" s="8"/>
      <c r="C1059" s="8"/>
      <c r="D1059" s="8"/>
      <c r="E1059" s="4"/>
      <c r="F1059" s="5"/>
      <c r="G1059" s="9"/>
      <c r="H1059" s="8"/>
      <c r="I1059" s="4"/>
      <c r="J1059" s="1"/>
      <c r="K1059" s="1"/>
      <c r="O1059" s="1"/>
      <c r="P1059" s="1"/>
    </row>
    <row r="1060" spans="1:17" x14ac:dyDescent="0.2">
      <c r="A1060" s="6"/>
      <c r="B1060" s="8"/>
      <c r="C1060" s="8"/>
      <c r="D1060" s="8"/>
      <c r="E1060" s="4"/>
      <c r="F1060" s="5"/>
      <c r="G1060" s="9"/>
      <c r="H1060" s="8"/>
      <c r="I1060" s="4"/>
      <c r="J1060" s="1"/>
      <c r="K1060" s="1"/>
      <c r="O1060" s="1"/>
      <c r="P1060" s="1"/>
    </row>
    <row r="1061" spans="1:17" x14ac:dyDescent="0.2">
      <c r="A1061" s="6"/>
      <c r="B1061" s="8"/>
      <c r="C1061" s="8"/>
      <c r="D1061" s="8"/>
      <c r="E1061" s="4"/>
      <c r="F1061" s="5"/>
      <c r="G1061" s="9"/>
      <c r="H1061" s="8"/>
      <c r="I1061" s="4"/>
      <c r="J1061" s="1"/>
      <c r="K1061" s="1"/>
      <c r="O1061" s="1"/>
      <c r="P1061" s="1"/>
    </row>
    <row r="1062" spans="1:17" x14ac:dyDescent="0.2">
      <c r="A1062" s="6"/>
      <c r="B1062" s="8"/>
      <c r="C1062" s="8"/>
      <c r="D1062" s="8"/>
      <c r="E1062" s="4"/>
      <c r="F1062" s="5"/>
      <c r="G1062" s="9"/>
      <c r="H1062" s="8"/>
      <c r="I1062" s="4"/>
      <c r="J1062" s="1"/>
      <c r="K1062" s="1"/>
      <c r="O1062" s="1"/>
      <c r="P1062" s="1"/>
    </row>
    <row r="1063" spans="1:17" x14ac:dyDescent="0.2">
      <c r="A1063" s="6"/>
      <c r="B1063" s="8"/>
      <c r="C1063" s="8"/>
      <c r="D1063" s="8"/>
      <c r="E1063" s="2380"/>
      <c r="F1063" s="5"/>
      <c r="G1063" s="9"/>
      <c r="H1063" s="8"/>
      <c r="I1063" s="2380"/>
      <c r="J1063" s="2381"/>
      <c r="K1063" s="2381"/>
      <c r="O1063" s="2381"/>
      <c r="P1063" s="2381"/>
    </row>
    <row r="1064" spans="1:17" x14ac:dyDescent="0.2">
      <c r="A1064" s="6"/>
      <c r="B1064" s="8"/>
      <c r="C1064" s="8"/>
      <c r="D1064" s="8"/>
      <c r="E1064" s="2380"/>
      <c r="F1064" s="5"/>
      <c r="G1064" s="9"/>
      <c r="H1064" s="8"/>
      <c r="I1064" s="2380"/>
      <c r="J1064" s="2381"/>
      <c r="K1064" s="2381"/>
      <c r="O1064" s="2381"/>
      <c r="P1064" s="2381"/>
    </row>
    <row r="1065" spans="1:17" ht="15.75" customHeight="1" x14ac:dyDescent="0.25">
      <c r="A1065" s="2512" t="s">
        <v>1929</v>
      </c>
      <c r="B1065" s="2512"/>
      <c r="C1065" s="2512"/>
      <c r="D1065" s="2512"/>
      <c r="E1065" s="2512"/>
      <c r="F1065" s="2512"/>
      <c r="G1065" s="2512"/>
      <c r="H1065" s="2512"/>
      <c r="I1065" s="2512"/>
      <c r="J1065" s="2512"/>
      <c r="K1065" s="2512"/>
      <c r="L1065" s="2512"/>
      <c r="M1065" s="2512"/>
      <c r="N1065" s="2512"/>
      <c r="O1065" s="2512"/>
      <c r="P1065" s="2512"/>
      <c r="Q1065" s="2512"/>
    </row>
    <row r="1066" spans="1:17" x14ac:dyDescent="0.2">
      <c r="A1066" s="3"/>
      <c r="B1066" s="6"/>
      <c r="C1066" s="6"/>
      <c r="D1066" s="6"/>
      <c r="E1066" s="1"/>
      <c r="F1066" s="2"/>
      <c r="G1066" s="6"/>
      <c r="H1066" s="6"/>
      <c r="I1066" s="1"/>
      <c r="J1066" s="1"/>
      <c r="K1066" s="1"/>
      <c r="L1066" s="6"/>
      <c r="M1066" s="6"/>
      <c r="N1066" s="6"/>
      <c r="O1066" s="1"/>
      <c r="P1066" s="1"/>
      <c r="Q1066" s="6"/>
    </row>
    <row r="1067" spans="1:17" ht="13.5" thickBot="1" x14ac:dyDescent="0.25">
      <c r="A1067" s="3" t="s">
        <v>404</v>
      </c>
      <c r="B1067" s="6"/>
      <c r="C1067" s="6"/>
      <c r="D1067" s="6"/>
      <c r="E1067" s="1"/>
      <c r="F1067" s="2"/>
      <c r="G1067" s="6"/>
      <c r="H1067" s="6"/>
      <c r="I1067" s="1"/>
      <c r="J1067" s="1"/>
      <c r="K1067" s="1"/>
      <c r="L1067" s="6"/>
      <c r="M1067" s="6"/>
      <c r="N1067" s="6"/>
      <c r="O1067" s="1"/>
      <c r="P1067" s="1"/>
      <c r="Q1067" s="6"/>
    </row>
    <row r="1068" spans="1:17" ht="14.45" customHeight="1" thickBot="1" x14ac:dyDescent="0.25">
      <c r="A1068" s="2513" t="s">
        <v>327</v>
      </c>
      <c r="B1068" s="2516" t="s">
        <v>1935</v>
      </c>
      <c r="C1068" s="2517"/>
      <c r="D1068" s="2517"/>
      <c r="E1068" s="2517"/>
      <c r="F1068" s="2517"/>
      <c r="G1068" s="2517"/>
      <c r="H1068" s="2517"/>
      <c r="I1068" s="2517"/>
      <c r="J1068" s="2517"/>
      <c r="K1068" s="2517"/>
      <c r="L1068" s="2518" t="s">
        <v>1930</v>
      </c>
      <c r="M1068" s="2519"/>
      <c r="N1068" s="2519"/>
      <c r="O1068" s="2519"/>
      <c r="P1068" s="2520"/>
      <c r="Q1068" s="2521"/>
    </row>
    <row r="1069" spans="1:17" ht="14.45" customHeight="1" x14ac:dyDescent="0.2">
      <c r="A1069" s="2514"/>
      <c r="B1069" s="2522" t="s">
        <v>328</v>
      </c>
      <c r="C1069" s="2523"/>
      <c r="D1069" s="1014"/>
      <c r="E1069" s="1014" t="s">
        <v>904</v>
      </c>
      <c r="F1069" s="1014" t="s">
        <v>329</v>
      </c>
      <c r="G1069" s="1014"/>
      <c r="H1069" s="1014"/>
      <c r="I1069" s="2526" t="s">
        <v>330</v>
      </c>
      <c r="J1069" s="2527"/>
      <c r="K1069" s="2528"/>
      <c r="L1069" s="2524" t="s">
        <v>328</v>
      </c>
      <c r="M1069" s="2525"/>
      <c r="N1069" s="1021" t="s">
        <v>331</v>
      </c>
      <c r="O1069" s="1022" t="s">
        <v>332</v>
      </c>
      <c r="P1069" s="1023"/>
      <c r="Q1069" s="1024"/>
    </row>
    <row r="1070" spans="1:17" ht="14.45" customHeight="1" x14ac:dyDescent="0.2">
      <c r="A1070" s="2514"/>
      <c r="B1070" s="1014" t="s">
        <v>835</v>
      </c>
      <c r="C1070" s="1014" t="s">
        <v>335</v>
      </c>
      <c r="D1070" s="1014" t="s">
        <v>837</v>
      </c>
      <c r="E1070" s="1014" t="s">
        <v>842</v>
      </c>
      <c r="F1070" s="1014" t="s">
        <v>336</v>
      </c>
      <c r="G1070" s="1014" t="s">
        <v>337</v>
      </c>
      <c r="H1070" s="1014" t="s">
        <v>338</v>
      </c>
      <c r="I1070" s="2529" t="s">
        <v>839</v>
      </c>
      <c r="J1070" s="2530"/>
      <c r="K1070" s="2531"/>
      <c r="L1070" s="1025" t="s">
        <v>835</v>
      </c>
      <c r="M1070" s="1021" t="s">
        <v>335</v>
      </c>
      <c r="N1070" s="1021" t="s">
        <v>339</v>
      </c>
      <c r="O1070" s="1022"/>
      <c r="P1070" s="1021" t="s">
        <v>337</v>
      </c>
      <c r="Q1070" s="1024" t="s">
        <v>338</v>
      </c>
    </row>
    <row r="1071" spans="1:17" ht="14.45" customHeight="1" x14ac:dyDescent="0.2">
      <c r="A1071" s="2514"/>
      <c r="B1071" s="1014"/>
      <c r="C1071" s="1014"/>
      <c r="D1071" s="1014"/>
      <c r="E1071" s="1014"/>
      <c r="F1071" s="1014" t="s">
        <v>341</v>
      </c>
      <c r="G1071" s="1014" t="s">
        <v>342</v>
      </c>
      <c r="H1071" s="1014" t="s">
        <v>341</v>
      </c>
      <c r="I1071" s="1015"/>
      <c r="J1071" s="1016"/>
      <c r="K1071" s="1017"/>
      <c r="L1071" s="1025"/>
      <c r="M1071" s="1021"/>
      <c r="N1071" s="1021"/>
      <c r="O1071" s="1022" t="s">
        <v>344</v>
      </c>
      <c r="P1071" s="1021" t="s">
        <v>342</v>
      </c>
      <c r="Q1071" s="1024" t="s">
        <v>341</v>
      </c>
    </row>
    <row r="1072" spans="1:17" ht="14.45" customHeight="1" x14ac:dyDescent="0.2">
      <c r="A1072" s="2515"/>
      <c r="B1072" s="1018" t="s">
        <v>345</v>
      </c>
      <c r="C1072" s="1018" t="s">
        <v>345</v>
      </c>
      <c r="D1072" s="1018" t="s">
        <v>346</v>
      </c>
      <c r="E1072" s="1018" t="s">
        <v>757</v>
      </c>
      <c r="F1072" s="1018"/>
      <c r="G1072" s="1018" t="s">
        <v>347</v>
      </c>
      <c r="H1072" s="1018" t="s">
        <v>348</v>
      </c>
      <c r="I1072" s="1019" t="s">
        <v>349</v>
      </c>
      <c r="J1072" s="1019" t="s">
        <v>350</v>
      </c>
      <c r="K1072" s="1020" t="s">
        <v>351</v>
      </c>
      <c r="L1072" s="1026" t="s">
        <v>345</v>
      </c>
      <c r="M1072" s="1027" t="s">
        <v>345</v>
      </c>
      <c r="N1072" s="1027" t="s">
        <v>346</v>
      </c>
      <c r="O1072" s="1028"/>
      <c r="P1072" s="1027" t="s">
        <v>347</v>
      </c>
      <c r="Q1072" s="1029" t="s">
        <v>348</v>
      </c>
    </row>
    <row r="1073" spans="1:17" ht="14.45" customHeight="1" x14ac:dyDescent="0.2">
      <c r="A1073" s="975" t="s">
        <v>352</v>
      </c>
      <c r="B1073" s="976">
        <v>41</v>
      </c>
      <c r="C1073" s="976">
        <v>52.5</v>
      </c>
      <c r="D1073" s="977">
        <v>227</v>
      </c>
      <c r="E1073" s="1608">
        <v>4.3238095238095235</v>
      </c>
      <c r="F1073" s="979"/>
      <c r="G1073" s="976"/>
      <c r="H1073" s="976"/>
      <c r="I1073" s="978"/>
      <c r="J1073" s="978"/>
      <c r="K1073" s="980"/>
      <c r="L1073" s="981">
        <v>32</v>
      </c>
      <c r="M1073" s="977">
        <v>32</v>
      </c>
      <c r="N1073" s="977">
        <v>132</v>
      </c>
      <c r="O1073" s="1608">
        <v>4.125</v>
      </c>
      <c r="P1073" s="1609"/>
      <c r="Q1073" s="1610"/>
    </row>
    <row r="1074" spans="1:17" ht="14.45" customHeight="1" x14ac:dyDescent="0.2">
      <c r="A1074" s="1481" t="s">
        <v>353</v>
      </c>
      <c r="B1074" s="1146">
        <v>0</v>
      </c>
      <c r="C1074" s="1146">
        <v>0</v>
      </c>
      <c r="D1074" s="957">
        <v>0</v>
      </c>
      <c r="E1074" s="2355">
        <v>0</v>
      </c>
      <c r="F1074" s="1342"/>
      <c r="G1074" s="1259"/>
      <c r="H1074" s="959"/>
      <c r="I1074" s="1489"/>
      <c r="J1074" s="960"/>
      <c r="K1074" s="961"/>
      <c r="L1074" s="2234">
        <v>0</v>
      </c>
      <c r="M1074" s="1498">
        <v>0</v>
      </c>
      <c r="N1074" s="1498">
        <v>0</v>
      </c>
      <c r="O1074" s="1630">
        <v>0</v>
      </c>
      <c r="P1074" s="1259"/>
      <c r="Q1074" s="1149"/>
    </row>
    <row r="1075" spans="1:17" ht="14.45" customHeight="1" x14ac:dyDescent="0.2">
      <c r="A1075" s="1481" t="s">
        <v>354</v>
      </c>
      <c r="B1075" s="1146">
        <v>0</v>
      </c>
      <c r="C1075" s="1146">
        <v>0</v>
      </c>
      <c r="D1075" s="957">
        <v>0</v>
      </c>
      <c r="E1075" s="2355">
        <v>0</v>
      </c>
      <c r="F1075" s="1342"/>
      <c r="G1075" s="1259"/>
      <c r="H1075" s="959"/>
      <c r="I1075" s="1489"/>
      <c r="J1075" s="960"/>
      <c r="K1075" s="961"/>
      <c r="L1075" s="2234">
        <v>0</v>
      </c>
      <c r="M1075" s="1498">
        <v>0</v>
      </c>
      <c r="N1075" s="1498">
        <v>0</v>
      </c>
      <c r="O1075" s="1630">
        <v>0</v>
      </c>
      <c r="P1075" s="1259"/>
      <c r="Q1075" s="1149"/>
    </row>
    <row r="1076" spans="1:17" ht="14.45" customHeight="1" x14ac:dyDescent="0.2">
      <c r="A1076" s="1481" t="s">
        <v>355</v>
      </c>
      <c r="B1076" s="1146">
        <v>0</v>
      </c>
      <c r="C1076" s="1146">
        <v>0</v>
      </c>
      <c r="D1076" s="957">
        <v>0</v>
      </c>
      <c r="E1076" s="2355">
        <v>0</v>
      </c>
      <c r="F1076" s="964"/>
      <c r="G1076" s="1259"/>
      <c r="H1076" s="959"/>
      <c r="I1076" s="1489"/>
      <c r="J1076" s="960"/>
      <c r="K1076" s="961"/>
      <c r="L1076" s="2234">
        <v>0</v>
      </c>
      <c r="M1076" s="1498">
        <v>0</v>
      </c>
      <c r="N1076" s="1498">
        <v>0</v>
      </c>
      <c r="O1076" s="1147">
        <v>0</v>
      </c>
      <c r="P1076" s="2274"/>
      <c r="Q1076" s="1606"/>
    </row>
    <row r="1077" spans="1:17" ht="14.45" customHeight="1" x14ac:dyDescent="0.2">
      <c r="A1077" s="1481" t="s">
        <v>356</v>
      </c>
      <c r="B1077" s="1146">
        <v>0</v>
      </c>
      <c r="C1077" s="1146">
        <v>0</v>
      </c>
      <c r="D1077" s="957">
        <v>0</v>
      </c>
      <c r="E1077" s="2355">
        <v>0</v>
      </c>
      <c r="F1077" s="1342"/>
      <c r="G1077" s="1259"/>
      <c r="H1077" s="959"/>
      <c r="I1077" s="1489"/>
      <c r="J1077" s="960"/>
      <c r="K1077" s="961"/>
      <c r="L1077" s="2234">
        <v>0</v>
      </c>
      <c r="M1077" s="1498">
        <v>0</v>
      </c>
      <c r="N1077" s="1498">
        <v>0</v>
      </c>
      <c r="O1077" s="1147">
        <v>0</v>
      </c>
      <c r="P1077" s="2274"/>
      <c r="Q1077" s="1149"/>
    </row>
    <row r="1078" spans="1:17" ht="14.45" customHeight="1" x14ac:dyDescent="0.2">
      <c r="A1078" s="1481" t="s">
        <v>357</v>
      </c>
      <c r="B1078" s="1146">
        <v>20</v>
      </c>
      <c r="C1078" s="1146">
        <v>31.5</v>
      </c>
      <c r="D1078" s="957">
        <v>126</v>
      </c>
      <c r="E1078" s="2355">
        <v>4</v>
      </c>
      <c r="F1078" s="1342" t="s">
        <v>987</v>
      </c>
      <c r="G1078" s="1259">
        <v>1255000</v>
      </c>
      <c r="H1078" s="959">
        <v>5027077.2387764119</v>
      </c>
      <c r="I1078" s="1489"/>
      <c r="J1078" s="960"/>
      <c r="K1078" s="961"/>
      <c r="L1078" s="2234">
        <v>20</v>
      </c>
      <c r="M1078" s="1498">
        <v>20</v>
      </c>
      <c r="N1078" s="1498">
        <v>80</v>
      </c>
      <c r="O1078" s="1147">
        <v>4</v>
      </c>
      <c r="P1078" s="2334">
        <v>1255000</v>
      </c>
      <c r="Q1078" s="1149">
        <v>5027077.2387764119</v>
      </c>
    </row>
    <row r="1079" spans="1:17" ht="14.45" customHeight="1" x14ac:dyDescent="0.2">
      <c r="A1079" s="1481" t="s">
        <v>358</v>
      </c>
      <c r="B1079" s="1146">
        <v>0</v>
      </c>
      <c r="C1079" s="1146">
        <v>0</v>
      </c>
      <c r="D1079" s="957">
        <v>0</v>
      </c>
      <c r="E1079" s="2355">
        <v>0</v>
      </c>
      <c r="F1079" s="964"/>
      <c r="G1079" s="1259"/>
      <c r="H1079" s="959"/>
      <c r="I1079" s="1489"/>
      <c r="J1079" s="960"/>
      <c r="K1079" s="961"/>
      <c r="L1079" s="2234">
        <v>0</v>
      </c>
      <c r="M1079" s="1498">
        <v>0</v>
      </c>
      <c r="N1079" s="1498">
        <v>0</v>
      </c>
      <c r="O1079" s="1147">
        <v>0</v>
      </c>
      <c r="P1079" s="2274"/>
      <c r="Q1079" s="1606"/>
    </row>
    <row r="1080" spans="1:17" ht="14.45" customHeight="1" x14ac:dyDescent="0.2">
      <c r="A1080" s="1481" t="s">
        <v>359</v>
      </c>
      <c r="B1080" s="1146">
        <v>2</v>
      </c>
      <c r="C1080" s="1146">
        <v>2</v>
      </c>
      <c r="D1080" s="957">
        <v>9.1999999999999993</v>
      </c>
      <c r="E1080" s="2355">
        <v>4.5999999999999996</v>
      </c>
      <c r="F1080" s="1342" t="s">
        <v>987</v>
      </c>
      <c r="G1080" s="1259">
        <v>1255000</v>
      </c>
      <c r="H1080" s="959">
        <v>5027077.2387764119</v>
      </c>
      <c r="I1080" s="1489"/>
      <c r="J1080" s="960"/>
      <c r="K1080" s="961"/>
      <c r="L1080" s="2234">
        <v>8</v>
      </c>
      <c r="M1080" s="1498">
        <v>8</v>
      </c>
      <c r="N1080" s="1498">
        <v>36.799999999999997</v>
      </c>
      <c r="O1080" s="1147">
        <v>4.5999999999999996</v>
      </c>
      <c r="P1080" s="2334">
        <v>1255000</v>
      </c>
      <c r="Q1080" s="1149">
        <v>5027077.2387764119</v>
      </c>
    </row>
    <row r="1081" spans="1:17" ht="14.45" customHeight="1" x14ac:dyDescent="0.2">
      <c r="A1081" s="1481" t="s">
        <v>360</v>
      </c>
      <c r="B1081" s="1146">
        <v>0</v>
      </c>
      <c r="C1081" s="1146">
        <v>0</v>
      </c>
      <c r="D1081" s="957">
        <v>0</v>
      </c>
      <c r="E1081" s="2355">
        <v>0</v>
      </c>
      <c r="F1081" s="964"/>
      <c r="G1081" s="1259"/>
      <c r="H1081" s="959"/>
      <c r="I1081" s="1489"/>
      <c r="J1081" s="960"/>
      <c r="K1081" s="961"/>
      <c r="L1081" s="2234">
        <v>0</v>
      </c>
      <c r="M1081" s="1498">
        <v>0</v>
      </c>
      <c r="N1081" s="1498">
        <v>0</v>
      </c>
      <c r="O1081" s="1147">
        <v>0</v>
      </c>
      <c r="P1081" s="2274"/>
      <c r="Q1081" s="1606"/>
    </row>
    <row r="1082" spans="1:17" ht="14.45" customHeight="1" x14ac:dyDescent="0.2">
      <c r="A1082" s="1481" t="s">
        <v>361</v>
      </c>
      <c r="B1082" s="1146">
        <v>4</v>
      </c>
      <c r="C1082" s="1146">
        <v>4</v>
      </c>
      <c r="D1082" s="957">
        <v>16.8</v>
      </c>
      <c r="E1082" s="2355">
        <v>4.2</v>
      </c>
      <c r="F1082" s="1342" t="s">
        <v>987</v>
      </c>
      <c r="G1082" s="1259">
        <v>1255000</v>
      </c>
      <c r="H1082" s="959">
        <v>5027077.2387764119</v>
      </c>
      <c r="I1082" s="1489"/>
      <c r="J1082" s="960"/>
      <c r="K1082" s="961"/>
      <c r="L1082" s="2234">
        <v>4</v>
      </c>
      <c r="M1082" s="1498">
        <v>4</v>
      </c>
      <c r="N1082" s="1498">
        <v>15.2</v>
      </c>
      <c r="O1082" s="1147">
        <v>3.8</v>
      </c>
      <c r="P1082" s="2334">
        <v>1255000</v>
      </c>
      <c r="Q1082" s="1149">
        <v>5027077.2387764119</v>
      </c>
    </row>
    <row r="1083" spans="1:17" ht="14.45" customHeight="1" x14ac:dyDescent="0.2">
      <c r="A1083" s="1481" t="s">
        <v>362</v>
      </c>
      <c r="B1083" s="1146">
        <v>0</v>
      </c>
      <c r="C1083" s="1146">
        <v>0</v>
      </c>
      <c r="D1083" s="957">
        <v>0</v>
      </c>
      <c r="E1083" s="2355">
        <v>0</v>
      </c>
      <c r="F1083" s="1342"/>
      <c r="G1083" s="1259"/>
      <c r="H1083" s="959"/>
      <c r="I1083" s="1489"/>
      <c r="J1083" s="960"/>
      <c r="K1083" s="961"/>
      <c r="L1083" s="2234">
        <v>0</v>
      </c>
      <c r="M1083" s="1498">
        <v>0</v>
      </c>
      <c r="N1083" s="1498">
        <v>0</v>
      </c>
      <c r="O1083" s="1147">
        <v>0</v>
      </c>
      <c r="P1083" s="1259"/>
      <c r="Q1083" s="1149"/>
    </row>
    <row r="1084" spans="1:17" ht="14.45" customHeight="1" x14ac:dyDescent="0.2">
      <c r="A1084" s="1481" t="s">
        <v>363</v>
      </c>
      <c r="B1084" s="1146">
        <v>0</v>
      </c>
      <c r="C1084" s="1146">
        <v>0</v>
      </c>
      <c r="D1084" s="957">
        <v>0</v>
      </c>
      <c r="E1084" s="2355">
        <v>0</v>
      </c>
      <c r="F1084" s="964"/>
      <c r="G1084" s="1259"/>
      <c r="H1084" s="959"/>
      <c r="I1084" s="1489"/>
      <c r="J1084" s="960"/>
      <c r="K1084" s="961"/>
      <c r="L1084" s="2234">
        <v>0</v>
      </c>
      <c r="M1084" s="1498">
        <v>0</v>
      </c>
      <c r="N1084" s="1498">
        <v>0</v>
      </c>
      <c r="O1084" s="1147">
        <v>0</v>
      </c>
      <c r="P1084" s="2274"/>
      <c r="Q1084" s="1606"/>
    </row>
    <row r="1085" spans="1:17" ht="14.45" customHeight="1" x14ac:dyDescent="0.2">
      <c r="A1085" s="1481" t="s">
        <v>364</v>
      </c>
      <c r="B1085" s="1146">
        <v>0</v>
      </c>
      <c r="C1085" s="1146">
        <v>0</v>
      </c>
      <c r="D1085" s="957">
        <v>0</v>
      </c>
      <c r="E1085" s="2355">
        <v>0</v>
      </c>
      <c r="F1085" s="1342"/>
      <c r="G1085" s="1259"/>
      <c r="H1085" s="959"/>
      <c r="I1085" s="1489"/>
      <c r="J1085" s="960"/>
      <c r="K1085" s="961"/>
      <c r="L1085" s="2234">
        <v>0</v>
      </c>
      <c r="M1085" s="1498">
        <v>0</v>
      </c>
      <c r="N1085" s="1498">
        <v>0</v>
      </c>
      <c r="O1085" s="1147">
        <v>0</v>
      </c>
      <c r="P1085" s="1259"/>
      <c r="Q1085" s="1149"/>
    </row>
    <row r="1086" spans="1:17" ht="14.45" customHeight="1" x14ac:dyDescent="0.2">
      <c r="A1086" s="1481" t="s">
        <v>365</v>
      </c>
      <c r="B1086" s="1146">
        <v>0</v>
      </c>
      <c r="C1086" s="1146">
        <v>0</v>
      </c>
      <c r="D1086" s="957">
        <v>0</v>
      </c>
      <c r="E1086" s="2355">
        <v>0</v>
      </c>
      <c r="F1086" s="964"/>
      <c r="G1086" s="1259"/>
      <c r="H1086" s="959"/>
      <c r="I1086" s="1489"/>
      <c r="J1086" s="960"/>
      <c r="K1086" s="961"/>
      <c r="L1086" s="2234">
        <v>0</v>
      </c>
      <c r="M1086" s="1498">
        <v>0</v>
      </c>
      <c r="N1086" s="1498">
        <v>0</v>
      </c>
      <c r="O1086" s="1147">
        <v>0</v>
      </c>
      <c r="P1086" s="2274"/>
      <c r="Q1086" s="1606"/>
    </row>
    <row r="1087" spans="1:17" ht="14.45" customHeight="1" x14ac:dyDescent="0.2">
      <c r="A1087" s="1481" t="s">
        <v>366</v>
      </c>
      <c r="B1087" s="1146">
        <v>15</v>
      </c>
      <c r="C1087" s="1146">
        <v>15</v>
      </c>
      <c r="D1087" s="957">
        <v>75</v>
      </c>
      <c r="E1087" s="2355">
        <v>5</v>
      </c>
      <c r="F1087" s="1342" t="s">
        <v>987</v>
      </c>
      <c r="G1087" s="1259">
        <v>1255000</v>
      </c>
      <c r="H1087" s="959">
        <v>5027077.2387764119</v>
      </c>
      <c r="I1087" s="1489"/>
      <c r="J1087" s="960"/>
      <c r="K1087" s="961"/>
      <c r="L1087" s="2234">
        <v>0</v>
      </c>
      <c r="M1087" s="1498">
        <v>0</v>
      </c>
      <c r="N1087" s="1498">
        <v>0</v>
      </c>
      <c r="O1087" s="1147">
        <v>0</v>
      </c>
      <c r="P1087" s="2334"/>
      <c r="Q1087" s="1149"/>
    </row>
    <row r="1088" spans="1:17" ht="14.45" customHeight="1" x14ac:dyDescent="0.2">
      <c r="A1088" s="1481" t="s">
        <v>367</v>
      </c>
      <c r="B1088" s="1146">
        <v>0</v>
      </c>
      <c r="C1088" s="1146">
        <v>0</v>
      </c>
      <c r="D1088" s="957">
        <v>0</v>
      </c>
      <c r="E1088" s="2359">
        <v>0</v>
      </c>
      <c r="F1088" s="964"/>
      <c r="G1088" s="1259"/>
      <c r="H1088" s="959"/>
      <c r="I1088" s="1489"/>
      <c r="J1088" s="960"/>
      <c r="K1088" s="961"/>
      <c r="L1088" s="2234">
        <v>0</v>
      </c>
      <c r="M1088" s="1498">
        <v>0</v>
      </c>
      <c r="N1088" s="1498">
        <v>0</v>
      </c>
      <c r="O1088" s="1623">
        <v>0</v>
      </c>
      <c r="P1088" s="2274"/>
      <c r="Q1088" s="1606"/>
    </row>
    <row r="1089" spans="1:17" ht="14.45" customHeight="1" x14ac:dyDescent="0.2">
      <c r="A1089" s="1484" t="s">
        <v>368</v>
      </c>
      <c r="B1089" s="1002">
        <v>0</v>
      </c>
      <c r="C1089" s="984">
        <v>0</v>
      </c>
      <c r="D1089" s="2308">
        <v>0</v>
      </c>
      <c r="E1089" s="2353"/>
      <c r="F1089" s="987"/>
      <c r="G1089" s="1486"/>
      <c r="H1089" s="988"/>
      <c r="I1089" s="1490"/>
      <c r="J1089" s="989"/>
      <c r="K1089" s="990"/>
      <c r="L1089" s="2218">
        <v>0</v>
      </c>
      <c r="M1089" s="1485">
        <v>0</v>
      </c>
      <c r="N1089" s="1485">
        <v>0</v>
      </c>
      <c r="O1089" s="1519"/>
      <c r="P1089" s="2275"/>
      <c r="Q1089" s="1605"/>
    </row>
    <row r="1090" spans="1:17" ht="14.45" customHeight="1" x14ac:dyDescent="0.2">
      <c r="A1090" s="1481" t="s">
        <v>369</v>
      </c>
      <c r="B1090" s="1146">
        <v>0</v>
      </c>
      <c r="C1090" s="1146">
        <v>0</v>
      </c>
      <c r="D1090" s="957">
        <v>0</v>
      </c>
      <c r="E1090" s="2359">
        <v>0</v>
      </c>
      <c r="F1090" s="964"/>
      <c r="G1090" s="1259"/>
      <c r="H1090" s="959"/>
      <c r="I1090" s="1489"/>
      <c r="J1090" s="960"/>
      <c r="K1090" s="961"/>
      <c r="L1090" s="2234">
        <v>0</v>
      </c>
      <c r="M1090" s="1498">
        <v>0</v>
      </c>
      <c r="N1090" s="1498">
        <v>0</v>
      </c>
      <c r="O1090" s="1623">
        <v>0</v>
      </c>
      <c r="P1090" s="2274"/>
      <c r="Q1090" s="1606"/>
    </row>
    <row r="1091" spans="1:17" ht="14.45" customHeight="1" x14ac:dyDescent="0.2">
      <c r="A1091" s="1481" t="s">
        <v>370</v>
      </c>
      <c r="B1091" s="1146">
        <v>0</v>
      </c>
      <c r="C1091" s="1146">
        <v>0</v>
      </c>
      <c r="D1091" s="957">
        <v>0</v>
      </c>
      <c r="E1091" s="2359">
        <v>0</v>
      </c>
      <c r="F1091" s="964"/>
      <c r="G1091" s="1259"/>
      <c r="H1091" s="959"/>
      <c r="I1091" s="1489"/>
      <c r="J1091" s="960"/>
      <c r="K1091" s="961"/>
      <c r="L1091" s="2234">
        <v>0</v>
      </c>
      <c r="M1091" s="1498">
        <v>0</v>
      </c>
      <c r="N1091" s="1498">
        <v>0</v>
      </c>
      <c r="O1091" s="2233">
        <v>0</v>
      </c>
      <c r="P1091" s="1261"/>
      <c r="Q1091" s="1606"/>
    </row>
    <row r="1092" spans="1:17" ht="14.45" customHeight="1" x14ac:dyDescent="0.2">
      <c r="A1092" s="1481" t="s">
        <v>371</v>
      </c>
      <c r="B1092" s="1146">
        <v>0</v>
      </c>
      <c r="C1092" s="1146">
        <v>0</v>
      </c>
      <c r="D1092" s="957">
        <v>0</v>
      </c>
      <c r="E1092" s="2359">
        <v>0</v>
      </c>
      <c r="F1092" s="964"/>
      <c r="G1092" s="1259"/>
      <c r="H1092" s="959"/>
      <c r="I1092" s="1489"/>
      <c r="J1092" s="960"/>
      <c r="K1092" s="961"/>
      <c r="L1092" s="2234">
        <v>0</v>
      </c>
      <c r="M1092" s="1498">
        <v>0</v>
      </c>
      <c r="N1092" s="1498">
        <v>0</v>
      </c>
      <c r="O1092" s="2233">
        <v>0</v>
      </c>
      <c r="P1092" s="1261"/>
      <c r="Q1092" s="1606"/>
    </row>
    <row r="1093" spans="1:17" ht="14.45" customHeight="1" x14ac:dyDescent="0.2">
      <c r="A1093" s="1481" t="s">
        <v>372</v>
      </c>
      <c r="B1093" s="1146">
        <v>0</v>
      </c>
      <c r="C1093" s="1146">
        <v>0</v>
      </c>
      <c r="D1093" s="957">
        <v>0</v>
      </c>
      <c r="E1093" s="2359">
        <v>0</v>
      </c>
      <c r="F1093" s="1342"/>
      <c r="G1093" s="1259"/>
      <c r="H1093" s="959"/>
      <c r="I1093" s="1489"/>
      <c r="J1093" s="960"/>
      <c r="K1093" s="961"/>
      <c r="L1093" s="2234">
        <v>0</v>
      </c>
      <c r="M1093" s="1498">
        <v>0</v>
      </c>
      <c r="N1093" s="1498">
        <v>0</v>
      </c>
      <c r="O1093" s="2233">
        <v>0</v>
      </c>
      <c r="P1093" s="1261"/>
      <c r="Q1093" s="1606"/>
    </row>
    <row r="1094" spans="1:17" ht="14.45" customHeight="1" x14ac:dyDescent="0.2">
      <c r="A1094" s="1481" t="s">
        <v>373</v>
      </c>
      <c r="B1094" s="1146">
        <v>0</v>
      </c>
      <c r="C1094" s="1146">
        <v>0</v>
      </c>
      <c r="D1094" s="957">
        <v>0</v>
      </c>
      <c r="E1094" s="2359">
        <v>0</v>
      </c>
      <c r="F1094" s="1342"/>
      <c r="G1094" s="1259"/>
      <c r="H1094" s="959"/>
      <c r="I1094" s="1489"/>
      <c r="J1094" s="960"/>
      <c r="K1094" s="961"/>
      <c r="L1094" s="2234">
        <v>0</v>
      </c>
      <c r="M1094" s="1498">
        <v>0</v>
      </c>
      <c r="N1094" s="1498">
        <v>0</v>
      </c>
      <c r="O1094" s="2233">
        <v>0</v>
      </c>
      <c r="P1094" s="1261"/>
      <c r="Q1094" s="1606"/>
    </row>
    <row r="1095" spans="1:17" ht="14.45" customHeight="1" x14ac:dyDescent="0.2">
      <c r="A1095" s="1484" t="s">
        <v>374</v>
      </c>
      <c r="B1095" s="1002">
        <v>5</v>
      </c>
      <c r="C1095" s="984">
        <v>5</v>
      </c>
      <c r="D1095" s="984">
        <v>37.5</v>
      </c>
      <c r="E1095" s="2353">
        <v>7.5</v>
      </c>
      <c r="F1095" s="987"/>
      <c r="G1095" s="1488"/>
      <c r="H1095" s="996"/>
      <c r="I1095" s="1491"/>
      <c r="J1095" s="997"/>
      <c r="K1095" s="998"/>
      <c r="L1095" s="2218">
        <v>6</v>
      </c>
      <c r="M1095" s="1485">
        <v>6</v>
      </c>
      <c r="N1095" s="1485">
        <v>36</v>
      </c>
      <c r="O1095" s="2216">
        <v>6</v>
      </c>
      <c r="P1095" s="1604"/>
      <c r="Q1095" s="1605"/>
    </row>
    <row r="1096" spans="1:17" ht="14.45" customHeight="1" x14ac:dyDescent="0.2">
      <c r="A1096" s="1481" t="s">
        <v>375</v>
      </c>
      <c r="B1096" s="1146">
        <v>0</v>
      </c>
      <c r="C1096" s="1146">
        <v>0</v>
      </c>
      <c r="D1096" s="957">
        <v>0</v>
      </c>
      <c r="E1096" s="2359">
        <v>0</v>
      </c>
      <c r="F1096" s="1342"/>
      <c r="G1096" s="1259"/>
      <c r="H1096" s="959"/>
      <c r="I1096" s="1489"/>
      <c r="J1096" s="960"/>
      <c r="K1096" s="961"/>
      <c r="L1096" s="2234">
        <v>0</v>
      </c>
      <c r="M1096" s="1498">
        <v>0</v>
      </c>
      <c r="N1096" s="1498">
        <v>0</v>
      </c>
      <c r="O1096" s="2233">
        <v>0</v>
      </c>
      <c r="P1096" s="1259"/>
      <c r="Q1096" s="1149"/>
    </row>
    <row r="1097" spans="1:17" ht="14.45" customHeight="1" x14ac:dyDescent="0.2">
      <c r="A1097" s="1481" t="s">
        <v>376</v>
      </c>
      <c r="B1097" s="1146">
        <v>0</v>
      </c>
      <c r="C1097" s="1146">
        <v>0</v>
      </c>
      <c r="D1097" s="957">
        <v>0</v>
      </c>
      <c r="E1097" s="2359">
        <v>0</v>
      </c>
      <c r="F1097" s="1342"/>
      <c r="G1097" s="1259"/>
      <c r="H1097" s="959"/>
      <c r="I1097" s="1489"/>
      <c r="J1097" s="960"/>
      <c r="K1097" s="961"/>
      <c r="L1097" s="2234">
        <v>0</v>
      </c>
      <c r="M1097" s="1498">
        <v>0</v>
      </c>
      <c r="N1097" s="1498">
        <v>0</v>
      </c>
      <c r="O1097" s="2233">
        <v>0</v>
      </c>
      <c r="P1097" s="1261"/>
      <c r="Q1097" s="1149"/>
    </row>
    <row r="1098" spans="1:17" ht="14.45" customHeight="1" x14ac:dyDescent="0.2">
      <c r="A1098" s="1481" t="s">
        <v>377</v>
      </c>
      <c r="B1098" s="1146">
        <v>5</v>
      </c>
      <c r="C1098" s="1146">
        <v>5</v>
      </c>
      <c r="D1098" s="957">
        <v>37.5</v>
      </c>
      <c r="E1098" s="2359">
        <v>7.5</v>
      </c>
      <c r="F1098" s="1342" t="s">
        <v>987</v>
      </c>
      <c r="G1098" s="1259">
        <v>1255000</v>
      </c>
      <c r="H1098" s="959">
        <v>5027077.2387764119</v>
      </c>
      <c r="I1098" s="1489"/>
      <c r="J1098" s="960"/>
      <c r="K1098" s="961"/>
      <c r="L1098" s="2234">
        <v>6</v>
      </c>
      <c r="M1098" s="1498">
        <v>6</v>
      </c>
      <c r="N1098" s="1498">
        <v>36</v>
      </c>
      <c r="O1098" s="1630">
        <v>6</v>
      </c>
      <c r="P1098" s="2334">
        <v>1255000</v>
      </c>
      <c r="Q1098" s="1149">
        <v>5027077.2387764119</v>
      </c>
    </row>
    <row r="1099" spans="1:17" ht="14.45" customHeight="1" x14ac:dyDescent="0.2">
      <c r="A1099" s="1481" t="s">
        <v>378</v>
      </c>
      <c r="B1099" s="1146">
        <v>0</v>
      </c>
      <c r="C1099" s="1146">
        <v>0</v>
      </c>
      <c r="D1099" s="957">
        <v>0</v>
      </c>
      <c r="E1099" s="2359">
        <v>0</v>
      </c>
      <c r="F1099" s="958"/>
      <c r="G1099" s="1259"/>
      <c r="H1099" s="959"/>
      <c r="I1099" s="1492"/>
      <c r="J1099" s="966"/>
      <c r="K1099" s="967"/>
      <c r="L1099" s="2304">
        <v>0</v>
      </c>
      <c r="M1099" s="1498">
        <v>0</v>
      </c>
      <c r="N1099" s="1498">
        <v>0</v>
      </c>
      <c r="O1099" s="1623">
        <v>0</v>
      </c>
      <c r="P1099" s="1261"/>
      <c r="Q1099" s="1606"/>
    </row>
    <row r="1100" spans="1:17" ht="14.45" customHeight="1" x14ac:dyDescent="0.2">
      <c r="A1100" s="1481" t="s">
        <v>379</v>
      </c>
      <c r="B1100" s="1146">
        <v>0</v>
      </c>
      <c r="C1100" s="1146">
        <v>0</v>
      </c>
      <c r="D1100" s="957">
        <v>0</v>
      </c>
      <c r="E1100" s="2359">
        <v>0</v>
      </c>
      <c r="F1100" s="1342"/>
      <c r="G1100" s="1259"/>
      <c r="H1100" s="959"/>
      <c r="I1100" s="1492"/>
      <c r="J1100" s="960"/>
      <c r="K1100" s="967"/>
      <c r="L1100" s="2304">
        <v>0</v>
      </c>
      <c r="M1100" s="1498">
        <v>0</v>
      </c>
      <c r="N1100" s="1498">
        <v>0</v>
      </c>
      <c r="O1100" s="1623">
        <v>0</v>
      </c>
      <c r="P1100" s="1261"/>
      <c r="Q1100" s="1606"/>
    </row>
    <row r="1101" spans="1:17" ht="14.45" customHeight="1" x14ac:dyDescent="0.2">
      <c r="A1101" s="1481" t="s">
        <v>380</v>
      </c>
      <c r="B1101" s="1146">
        <v>0</v>
      </c>
      <c r="C1101" s="1146">
        <v>0</v>
      </c>
      <c r="D1101" s="957">
        <v>0</v>
      </c>
      <c r="E1101" s="2359">
        <v>0</v>
      </c>
      <c r="F1101" s="1342"/>
      <c r="H1101" s="959"/>
      <c r="I1101" s="1492"/>
      <c r="J1101" s="960"/>
      <c r="K1101" s="967"/>
      <c r="L1101" s="2304">
        <v>0</v>
      </c>
      <c r="M1101" s="1498">
        <v>0</v>
      </c>
      <c r="N1101" s="1498">
        <v>0</v>
      </c>
      <c r="O1101" s="1623">
        <v>0</v>
      </c>
      <c r="P1101" s="1261"/>
      <c r="Q1101" s="1606"/>
    </row>
    <row r="1102" spans="1:17" ht="14.45" customHeight="1" x14ac:dyDescent="0.2">
      <c r="A1102" s="1481" t="s">
        <v>381</v>
      </c>
      <c r="B1102" s="1146">
        <v>0</v>
      </c>
      <c r="C1102" s="1146">
        <v>0</v>
      </c>
      <c r="D1102" s="957">
        <v>0</v>
      </c>
      <c r="E1102" s="2359">
        <v>0</v>
      </c>
      <c r="F1102" s="958"/>
      <c r="G1102" s="1259"/>
      <c r="H1102" s="959"/>
      <c r="I1102" s="1492"/>
      <c r="J1102" s="960"/>
      <c r="K1102" s="967"/>
      <c r="L1102" s="2304">
        <v>0</v>
      </c>
      <c r="M1102" s="1498">
        <v>0</v>
      </c>
      <c r="N1102" s="1498">
        <v>0</v>
      </c>
      <c r="O1102" s="1623">
        <v>0</v>
      </c>
      <c r="P1102" s="1261"/>
      <c r="Q1102" s="1606"/>
    </row>
    <row r="1103" spans="1:17" ht="14.45" customHeight="1" x14ac:dyDescent="0.2">
      <c r="A1103" s="1481" t="s">
        <v>382</v>
      </c>
      <c r="B1103" s="1146">
        <v>0</v>
      </c>
      <c r="C1103" s="1146">
        <v>0</v>
      </c>
      <c r="D1103" s="957">
        <v>0</v>
      </c>
      <c r="E1103" s="2359">
        <v>0</v>
      </c>
      <c r="F1103" s="1342"/>
      <c r="G1103" s="1259"/>
      <c r="H1103" s="959"/>
      <c r="I1103" s="1492"/>
      <c r="J1103" s="960"/>
      <c r="K1103" s="967"/>
      <c r="L1103" s="2304">
        <v>0</v>
      </c>
      <c r="M1103" s="1498">
        <v>0</v>
      </c>
      <c r="N1103" s="1498">
        <v>0</v>
      </c>
      <c r="O1103" s="1623">
        <v>0</v>
      </c>
      <c r="P1103" s="1261"/>
      <c r="Q1103" s="1606"/>
    </row>
    <row r="1104" spans="1:17" ht="14.45" customHeight="1" x14ac:dyDescent="0.2">
      <c r="A1104" s="1484" t="s">
        <v>383</v>
      </c>
      <c r="B1104" s="1002">
        <v>0</v>
      </c>
      <c r="C1104" s="1002">
        <v>0</v>
      </c>
      <c r="D1104" s="1002">
        <v>0</v>
      </c>
      <c r="E1104" s="2361"/>
      <c r="F1104" s="1003"/>
      <c r="G1104" s="1004"/>
      <c r="H1104" s="1004"/>
      <c r="I1104" s="1501"/>
      <c r="J1104" s="1005"/>
      <c r="K1104" s="949"/>
      <c r="L1104" s="999">
        <v>0</v>
      </c>
      <c r="M1104" s="1485">
        <v>0</v>
      </c>
      <c r="N1104" s="1485">
        <v>0</v>
      </c>
      <c r="O1104" s="1519"/>
      <c r="P1104" s="1604"/>
      <c r="Q1104" s="1605"/>
    </row>
    <row r="1105" spans="1:17" ht="14.45" customHeight="1" x14ac:dyDescent="0.2">
      <c r="A1105" s="1481" t="s">
        <v>384</v>
      </c>
      <c r="B1105" s="957">
        <v>0</v>
      </c>
      <c r="C1105" s="957">
        <v>0</v>
      </c>
      <c r="D1105" s="957">
        <v>0</v>
      </c>
      <c r="E1105" s="2356">
        <v>0</v>
      </c>
      <c r="F1105" s="958"/>
      <c r="G1105" s="965"/>
      <c r="H1105" s="965"/>
      <c r="I1105" s="1492"/>
      <c r="J1105" s="966"/>
      <c r="K1105" s="967"/>
      <c r="L1105" s="2304">
        <v>0</v>
      </c>
      <c r="M1105" s="1498">
        <v>0</v>
      </c>
      <c r="N1105" s="1498">
        <v>0</v>
      </c>
      <c r="O1105" s="1623">
        <v>0</v>
      </c>
      <c r="P1105" s="1261"/>
      <c r="Q1105" s="1606"/>
    </row>
    <row r="1106" spans="1:17" ht="14.45" customHeight="1" x14ac:dyDescent="0.2">
      <c r="A1106" s="1481" t="s">
        <v>385</v>
      </c>
      <c r="B1106" s="957">
        <v>0</v>
      </c>
      <c r="C1106" s="957">
        <v>0</v>
      </c>
      <c r="D1106" s="957">
        <v>0</v>
      </c>
      <c r="E1106" s="2356">
        <v>0</v>
      </c>
      <c r="F1106" s="958"/>
      <c r="G1106" s="965"/>
      <c r="H1106" s="965"/>
      <c r="I1106" s="1492"/>
      <c r="J1106" s="966"/>
      <c r="K1106" s="967"/>
      <c r="L1106" s="2304">
        <v>0</v>
      </c>
      <c r="M1106" s="1498">
        <v>0</v>
      </c>
      <c r="N1106" s="1498">
        <v>0</v>
      </c>
      <c r="O1106" s="1623">
        <v>0</v>
      </c>
      <c r="P1106" s="1261"/>
      <c r="Q1106" s="1606"/>
    </row>
    <row r="1107" spans="1:17" ht="14.45" customHeight="1" x14ac:dyDescent="0.2">
      <c r="A1107" s="1481" t="s">
        <v>386</v>
      </c>
      <c r="B1107" s="957">
        <v>0</v>
      </c>
      <c r="C1107" s="957">
        <v>0</v>
      </c>
      <c r="D1107" s="957">
        <v>0</v>
      </c>
      <c r="E1107" s="2356">
        <v>0</v>
      </c>
      <c r="F1107" s="958"/>
      <c r="G1107" s="965"/>
      <c r="H1107" s="965"/>
      <c r="I1107" s="1492"/>
      <c r="J1107" s="966"/>
      <c r="K1107" s="967"/>
      <c r="L1107" s="2304">
        <v>0</v>
      </c>
      <c r="M1107" s="1498">
        <v>0</v>
      </c>
      <c r="N1107" s="1498">
        <v>0</v>
      </c>
      <c r="O1107" s="1623">
        <v>0</v>
      </c>
      <c r="P1107" s="1261"/>
      <c r="Q1107" s="1606"/>
    </row>
    <row r="1108" spans="1:17" ht="14.45" customHeight="1" x14ac:dyDescent="0.2">
      <c r="A1108" s="1481" t="s">
        <v>387</v>
      </c>
      <c r="B1108" s="957">
        <v>0</v>
      </c>
      <c r="C1108" s="957">
        <v>0</v>
      </c>
      <c r="D1108" s="957">
        <v>0</v>
      </c>
      <c r="E1108" s="2356">
        <v>0</v>
      </c>
      <c r="F1108" s="958"/>
      <c r="G1108" s="965"/>
      <c r="H1108" s="965"/>
      <c r="I1108" s="1492"/>
      <c r="J1108" s="966"/>
      <c r="K1108" s="967"/>
      <c r="L1108" s="2304">
        <v>0</v>
      </c>
      <c r="M1108" s="1498">
        <v>0</v>
      </c>
      <c r="N1108" s="1498">
        <v>0</v>
      </c>
      <c r="O1108" s="1623">
        <v>0</v>
      </c>
      <c r="P1108" s="1261"/>
      <c r="Q1108" s="1606"/>
    </row>
    <row r="1109" spans="1:17" ht="14.45" customHeight="1" x14ac:dyDescent="0.2">
      <c r="A1109" s="1481" t="s">
        <v>388</v>
      </c>
      <c r="B1109" s="957">
        <v>0</v>
      </c>
      <c r="C1109" s="957">
        <v>0</v>
      </c>
      <c r="D1109" s="957">
        <v>0</v>
      </c>
      <c r="E1109" s="2356">
        <v>0</v>
      </c>
      <c r="F1109" s="958"/>
      <c r="G1109" s="965"/>
      <c r="H1109" s="965"/>
      <c r="I1109" s="1492"/>
      <c r="J1109" s="966"/>
      <c r="K1109" s="967"/>
      <c r="L1109" s="2304">
        <v>0</v>
      </c>
      <c r="M1109" s="1498">
        <v>0</v>
      </c>
      <c r="N1109" s="1498">
        <v>0</v>
      </c>
      <c r="O1109" s="1623">
        <v>0</v>
      </c>
      <c r="P1109" s="1261"/>
      <c r="Q1109" s="1606"/>
    </row>
    <row r="1110" spans="1:17" ht="14.45" customHeight="1" x14ac:dyDescent="0.2">
      <c r="A1110" s="1481" t="s">
        <v>389</v>
      </c>
      <c r="B1110" s="957">
        <v>0</v>
      </c>
      <c r="C1110" s="957">
        <v>0</v>
      </c>
      <c r="D1110" s="957">
        <v>0</v>
      </c>
      <c r="E1110" s="2356">
        <v>0</v>
      </c>
      <c r="F1110" s="958"/>
      <c r="G1110" s="965"/>
      <c r="H1110" s="965"/>
      <c r="I1110" s="1492"/>
      <c r="J1110" s="966"/>
      <c r="K1110" s="967"/>
      <c r="L1110" s="2304">
        <v>0</v>
      </c>
      <c r="M1110" s="1498">
        <v>0</v>
      </c>
      <c r="N1110" s="1498">
        <v>0</v>
      </c>
      <c r="O1110" s="1623">
        <v>0</v>
      </c>
      <c r="P1110" s="1261"/>
      <c r="Q1110" s="1606"/>
    </row>
    <row r="1111" spans="1:17" ht="14.45" customHeight="1" x14ac:dyDescent="0.2">
      <c r="A1111" s="1481" t="s">
        <v>390</v>
      </c>
      <c r="B1111" s="957">
        <v>0</v>
      </c>
      <c r="C1111" s="957">
        <v>0</v>
      </c>
      <c r="D1111" s="957">
        <v>0</v>
      </c>
      <c r="E1111" s="2356">
        <v>0</v>
      </c>
      <c r="F1111" s="958"/>
      <c r="G1111" s="965"/>
      <c r="H1111" s="965"/>
      <c r="I1111" s="1492"/>
      <c r="J1111" s="966"/>
      <c r="K1111" s="967"/>
      <c r="L1111" s="2304">
        <v>0</v>
      </c>
      <c r="M1111" s="1498">
        <v>0</v>
      </c>
      <c r="N1111" s="1498">
        <v>0</v>
      </c>
      <c r="O1111" s="1623">
        <v>0</v>
      </c>
      <c r="P1111" s="1261"/>
      <c r="Q1111" s="1606"/>
    </row>
    <row r="1112" spans="1:17" ht="14.45" customHeight="1" x14ac:dyDescent="0.2">
      <c r="A1112" s="1481" t="s">
        <v>391</v>
      </c>
      <c r="B1112" s="957">
        <v>0</v>
      </c>
      <c r="C1112" s="957">
        <v>0</v>
      </c>
      <c r="D1112" s="957">
        <v>0</v>
      </c>
      <c r="E1112" s="2356">
        <v>0</v>
      </c>
      <c r="F1112" s="958"/>
      <c r="G1112" s="965"/>
      <c r="H1112" s="965"/>
      <c r="I1112" s="1492"/>
      <c r="J1112" s="966"/>
      <c r="K1112" s="967"/>
      <c r="L1112" s="2304">
        <v>0</v>
      </c>
      <c r="M1112" s="1498">
        <v>0</v>
      </c>
      <c r="N1112" s="1498">
        <v>0</v>
      </c>
      <c r="O1112" s="1623">
        <v>0</v>
      </c>
      <c r="P1112" s="1261"/>
      <c r="Q1112" s="1606"/>
    </row>
    <row r="1113" spans="1:17" ht="14.45" customHeight="1" x14ac:dyDescent="0.2">
      <c r="A1113" s="1493" t="s">
        <v>392</v>
      </c>
      <c r="B1113" s="2318">
        <v>0</v>
      </c>
      <c r="C1113" s="2318">
        <v>0</v>
      </c>
      <c r="D1113" s="957">
        <v>0</v>
      </c>
      <c r="E1113" s="2356">
        <v>0</v>
      </c>
      <c r="F1113" s="1495"/>
      <c r="G1113" s="965"/>
      <c r="H1113" s="965"/>
      <c r="I1113" s="1502"/>
      <c r="J1113" s="973"/>
      <c r="K1113" s="974"/>
      <c r="L1113" s="2324">
        <v>0</v>
      </c>
      <c r="M1113" s="1617">
        <v>0</v>
      </c>
      <c r="N1113" s="1617">
        <v>0</v>
      </c>
      <c r="O1113" s="1623">
        <v>0</v>
      </c>
      <c r="P1113" s="1621"/>
      <c r="Q1113" s="1972"/>
    </row>
    <row r="1114" spans="1:17" ht="14.45" customHeight="1" thickBot="1" x14ac:dyDescent="0.25">
      <c r="A1114" s="1006" t="s">
        <v>393</v>
      </c>
      <c r="B1114" s="1007">
        <v>46</v>
      </c>
      <c r="C1114" s="1007">
        <v>57.5</v>
      </c>
      <c r="D1114" s="1007">
        <v>264.5</v>
      </c>
      <c r="E1114" s="1482">
        <v>4.5999999999999996</v>
      </c>
      <c r="F1114" s="1480" t="s">
        <v>987</v>
      </c>
      <c r="G1114" s="1085">
        <v>1255000</v>
      </c>
      <c r="H1114" s="1085">
        <v>5027077.2387764119</v>
      </c>
      <c r="I1114" s="1008"/>
      <c r="J1114" s="1008" t="s">
        <v>983</v>
      </c>
      <c r="K1114" s="1011"/>
      <c r="L1114" s="1007">
        <v>38</v>
      </c>
      <c r="M1114" s="1007">
        <v>38</v>
      </c>
      <c r="N1114" s="1007">
        <v>168</v>
      </c>
      <c r="O1114" s="1083">
        <v>4.4210526315789478</v>
      </c>
      <c r="P1114" s="1603">
        <v>1255000</v>
      </c>
      <c r="Q1114" s="1607">
        <v>5027077.2387764119</v>
      </c>
    </row>
    <row r="1115" spans="1:17" x14ac:dyDescent="0.2">
      <c r="A1115" s="7" t="s">
        <v>1934</v>
      </c>
      <c r="B1115" s="8"/>
      <c r="C1115" s="8"/>
      <c r="D1115" s="8"/>
      <c r="E1115" s="4"/>
      <c r="F1115" s="5"/>
      <c r="G1115" s="9"/>
      <c r="H1115" s="8"/>
      <c r="I1115" s="4"/>
      <c r="J1115" s="1"/>
      <c r="K1115" s="1"/>
      <c r="O1115" s="1"/>
      <c r="P1115" s="1"/>
    </row>
    <row r="1116" spans="1:17" x14ac:dyDescent="0.2">
      <c r="A1116" s="6"/>
      <c r="B1116" s="8"/>
      <c r="C1116" s="8"/>
      <c r="D1116" s="8"/>
      <c r="E1116" s="4"/>
      <c r="F1116" s="5"/>
      <c r="G1116" s="9"/>
      <c r="H1116" s="8"/>
      <c r="I1116" s="4"/>
      <c r="J1116" s="1"/>
      <c r="K1116" s="1"/>
      <c r="O1116" s="1"/>
      <c r="P1116" s="1"/>
    </row>
    <row r="1117" spans="1:17" x14ac:dyDescent="0.2">
      <c r="A1117" s="6"/>
      <c r="B1117" s="8"/>
      <c r="C1117" s="8"/>
      <c r="D1117" s="8"/>
      <c r="E1117" s="4"/>
      <c r="F1117" s="5"/>
      <c r="G1117" s="9"/>
      <c r="H1117" s="8"/>
      <c r="I1117" s="4"/>
      <c r="J1117" s="1"/>
      <c r="K1117" s="1"/>
      <c r="O1117" s="1"/>
      <c r="P1117" s="1"/>
    </row>
    <row r="1118" spans="1:17" x14ac:dyDescent="0.2">
      <c r="A1118" s="6"/>
      <c r="B1118" s="8"/>
      <c r="C1118" s="8"/>
      <c r="D1118" s="8"/>
      <c r="E1118" s="4"/>
      <c r="F1118" s="5"/>
      <c r="G1118" s="9"/>
      <c r="H1118" s="8"/>
      <c r="I1118" s="4"/>
      <c r="J1118" s="1"/>
      <c r="K1118" s="1"/>
      <c r="O1118" s="1"/>
      <c r="P1118" s="1"/>
    </row>
    <row r="1119" spans="1:17" x14ac:dyDescent="0.2">
      <c r="A1119" s="6"/>
      <c r="B1119" s="8"/>
      <c r="C1119" s="8"/>
      <c r="D1119" s="8"/>
      <c r="E1119" s="2380"/>
      <c r="F1119" s="5"/>
      <c r="G1119" s="9"/>
      <c r="H1119" s="8"/>
      <c r="I1119" s="2380"/>
      <c r="J1119" s="2381"/>
      <c r="K1119" s="2381"/>
      <c r="O1119" s="2381"/>
      <c r="P1119" s="2381"/>
    </row>
    <row r="1120" spans="1:17" x14ac:dyDescent="0.2">
      <c r="A1120" s="6"/>
      <c r="B1120" s="8"/>
      <c r="C1120" s="8"/>
      <c r="D1120" s="8"/>
      <c r="E1120" s="2380"/>
      <c r="F1120" s="5"/>
      <c r="G1120" s="9"/>
      <c r="H1120" s="8"/>
      <c r="I1120" s="2380"/>
      <c r="J1120" s="2381"/>
      <c r="K1120" s="2381"/>
      <c r="O1120" s="2381"/>
      <c r="P1120" s="2381"/>
    </row>
    <row r="1121" spans="1:17" ht="15.75" customHeight="1" x14ac:dyDescent="0.25">
      <c r="A1121" s="2512" t="s">
        <v>1929</v>
      </c>
      <c r="B1121" s="2512"/>
      <c r="C1121" s="2512"/>
      <c r="D1121" s="2512"/>
      <c r="E1121" s="2512"/>
      <c r="F1121" s="2512"/>
      <c r="G1121" s="2512"/>
      <c r="H1121" s="2512"/>
      <c r="I1121" s="2512"/>
      <c r="J1121" s="2512"/>
      <c r="K1121" s="2512"/>
      <c r="L1121" s="2512"/>
      <c r="M1121" s="2512"/>
      <c r="N1121" s="2512"/>
      <c r="O1121" s="2512"/>
      <c r="P1121" s="2512"/>
      <c r="Q1121" s="2512"/>
    </row>
    <row r="1122" spans="1:17" x14ac:dyDescent="0.2">
      <c r="A1122" s="3"/>
      <c r="B1122" s="6"/>
      <c r="C1122" s="6"/>
      <c r="D1122" s="6"/>
      <c r="E1122" s="1"/>
      <c r="F1122" s="2"/>
      <c r="G1122" s="6"/>
      <c r="H1122" s="6"/>
      <c r="I1122" s="1"/>
      <c r="J1122" s="1"/>
      <c r="K1122" s="1"/>
      <c r="L1122" s="6"/>
      <c r="M1122" s="6"/>
      <c r="N1122" s="6"/>
      <c r="O1122" s="1"/>
      <c r="P1122" s="1"/>
      <c r="Q1122" s="6"/>
    </row>
    <row r="1123" spans="1:17" ht="13.5" thickBot="1" x14ac:dyDescent="0.25">
      <c r="A1123" s="3" t="s">
        <v>1689</v>
      </c>
      <c r="B1123" s="6"/>
      <c r="C1123" s="6"/>
      <c r="D1123" s="6"/>
      <c r="E1123" s="1"/>
      <c r="F1123" s="2"/>
      <c r="G1123" s="6"/>
      <c r="H1123" s="6"/>
      <c r="I1123" s="1"/>
      <c r="J1123" s="1"/>
      <c r="K1123" s="1"/>
      <c r="L1123" s="6"/>
      <c r="M1123" s="6"/>
      <c r="N1123" s="6"/>
      <c r="O1123" s="1"/>
      <c r="P1123" s="1"/>
      <c r="Q1123" s="6"/>
    </row>
    <row r="1124" spans="1:17" ht="14.45" customHeight="1" thickBot="1" x14ac:dyDescent="0.25">
      <c r="A1124" s="2513" t="s">
        <v>327</v>
      </c>
      <c r="B1124" s="2516" t="s">
        <v>1935</v>
      </c>
      <c r="C1124" s="2517"/>
      <c r="D1124" s="2517"/>
      <c r="E1124" s="2517"/>
      <c r="F1124" s="2517"/>
      <c r="G1124" s="2517"/>
      <c r="H1124" s="2517"/>
      <c r="I1124" s="2517"/>
      <c r="J1124" s="2517"/>
      <c r="K1124" s="2517"/>
      <c r="L1124" s="2518" t="s">
        <v>1930</v>
      </c>
      <c r="M1124" s="2519"/>
      <c r="N1124" s="2519"/>
      <c r="O1124" s="2519"/>
      <c r="P1124" s="2520"/>
      <c r="Q1124" s="2521"/>
    </row>
    <row r="1125" spans="1:17" ht="14.45" customHeight="1" x14ac:dyDescent="0.2">
      <c r="A1125" s="2514"/>
      <c r="B1125" s="2522" t="s">
        <v>328</v>
      </c>
      <c r="C1125" s="2523"/>
      <c r="D1125" s="1014"/>
      <c r="E1125" s="1014" t="s">
        <v>904</v>
      </c>
      <c r="F1125" s="1014" t="s">
        <v>329</v>
      </c>
      <c r="G1125" s="1014"/>
      <c r="H1125" s="1014"/>
      <c r="I1125" s="2526" t="s">
        <v>330</v>
      </c>
      <c r="J1125" s="2527"/>
      <c r="K1125" s="2528"/>
      <c r="L1125" s="2524" t="s">
        <v>328</v>
      </c>
      <c r="M1125" s="2525"/>
      <c r="N1125" s="1021" t="s">
        <v>331</v>
      </c>
      <c r="O1125" s="1022" t="s">
        <v>332</v>
      </c>
      <c r="P1125" s="1023"/>
      <c r="Q1125" s="1024"/>
    </row>
    <row r="1126" spans="1:17" ht="14.45" customHeight="1" x14ac:dyDescent="0.2">
      <c r="A1126" s="2514"/>
      <c r="B1126" s="1014" t="s">
        <v>835</v>
      </c>
      <c r="C1126" s="1014" t="s">
        <v>335</v>
      </c>
      <c r="D1126" s="1014" t="s">
        <v>837</v>
      </c>
      <c r="E1126" s="1014" t="s">
        <v>842</v>
      </c>
      <c r="F1126" s="1014" t="s">
        <v>336</v>
      </c>
      <c r="G1126" s="1014" t="s">
        <v>337</v>
      </c>
      <c r="H1126" s="1014" t="s">
        <v>338</v>
      </c>
      <c r="I1126" s="2529" t="s">
        <v>839</v>
      </c>
      <c r="J1126" s="2530"/>
      <c r="K1126" s="2531"/>
      <c r="L1126" s="1025" t="s">
        <v>835</v>
      </c>
      <c r="M1126" s="1021" t="s">
        <v>335</v>
      </c>
      <c r="N1126" s="1021" t="s">
        <v>339</v>
      </c>
      <c r="O1126" s="1022"/>
      <c r="P1126" s="1021" t="s">
        <v>337</v>
      </c>
      <c r="Q1126" s="1024" t="s">
        <v>338</v>
      </c>
    </row>
    <row r="1127" spans="1:17" ht="14.45" customHeight="1" x14ac:dyDescent="0.2">
      <c r="A1127" s="2514"/>
      <c r="B1127" s="1014"/>
      <c r="C1127" s="1014"/>
      <c r="D1127" s="1014"/>
      <c r="E1127" s="1014"/>
      <c r="F1127" s="1014" t="s">
        <v>341</v>
      </c>
      <c r="G1127" s="1014" t="s">
        <v>342</v>
      </c>
      <c r="H1127" s="1014" t="s">
        <v>341</v>
      </c>
      <c r="I1127" s="1015"/>
      <c r="J1127" s="1016"/>
      <c r="K1127" s="1017"/>
      <c r="L1127" s="1025"/>
      <c r="M1127" s="1021"/>
      <c r="N1127" s="1021"/>
      <c r="O1127" s="1022" t="s">
        <v>344</v>
      </c>
      <c r="P1127" s="1021" t="s">
        <v>342</v>
      </c>
      <c r="Q1127" s="1024" t="s">
        <v>341</v>
      </c>
    </row>
    <row r="1128" spans="1:17" ht="14.45" customHeight="1" x14ac:dyDescent="0.2">
      <c r="A1128" s="2515"/>
      <c r="B1128" s="1018" t="s">
        <v>345</v>
      </c>
      <c r="C1128" s="1018" t="s">
        <v>345</v>
      </c>
      <c r="D1128" s="1018" t="s">
        <v>346</v>
      </c>
      <c r="E1128" s="1018" t="s">
        <v>757</v>
      </c>
      <c r="F1128" s="1018"/>
      <c r="G1128" s="1018" t="s">
        <v>347</v>
      </c>
      <c r="H1128" s="1018" t="s">
        <v>348</v>
      </c>
      <c r="I1128" s="1019" t="s">
        <v>349</v>
      </c>
      <c r="J1128" s="1019" t="s">
        <v>350</v>
      </c>
      <c r="K1128" s="1020" t="s">
        <v>351</v>
      </c>
      <c r="L1128" s="1026" t="s">
        <v>345</v>
      </c>
      <c r="M1128" s="1027" t="s">
        <v>345</v>
      </c>
      <c r="N1128" s="1027" t="s">
        <v>346</v>
      </c>
      <c r="O1128" s="1028"/>
      <c r="P1128" s="1027" t="s">
        <v>347</v>
      </c>
      <c r="Q1128" s="1029" t="s">
        <v>348</v>
      </c>
    </row>
    <row r="1129" spans="1:17" ht="14.45" customHeight="1" x14ac:dyDescent="0.2">
      <c r="A1129" s="975" t="s">
        <v>352</v>
      </c>
      <c r="B1129" s="976">
        <v>0</v>
      </c>
      <c r="C1129" s="976">
        <v>0</v>
      </c>
      <c r="D1129" s="977">
        <v>0</v>
      </c>
      <c r="E1129" s="978"/>
      <c r="F1129" s="979"/>
      <c r="G1129" s="976"/>
      <c r="H1129" s="976"/>
      <c r="I1129" s="978"/>
      <c r="J1129" s="978"/>
      <c r="K1129" s="980"/>
      <c r="L1129" s="981">
        <v>0</v>
      </c>
      <c r="M1129" s="977">
        <v>0</v>
      </c>
      <c r="N1129" s="977">
        <v>0</v>
      </c>
      <c r="O1129" s="977"/>
      <c r="P1129" s="1609"/>
      <c r="Q1129" s="1610"/>
    </row>
    <row r="1130" spans="1:17" ht="14.45" customHeight="1" x14ac:dyDescent="0.2">
      <c r="A1130" s="954" t="s">
        <v>353</v>
      </c>
      <c r="B1130" s="955">
        <v>0</v>
      </c>
      <c r="C1130" s="956">
        <v>0</v>
      </c>
      <c r="D1130" s="957">
        <v>0</v>
      </c>
      <c r="E1130" s="431"/>
      <c r="F1130" s="958"/>
      <c r="G1130" s="959"/>
      <c r="H1130" s="959"/>
      <c r="I1130" s="960"/>
      <c r="J1130" s="960"/>
      <c r="K1130" s="961"/>
      <c r="L1130" s="962">
        <v>0</v>
      </c>
      <c r="M1130" s="956">
        <v>0</v>
      </c>
      <c r="N1130" s="1498">
        <v>0</v>
      </c>
      <c r="O1130" s="1619"/>
      <c r="P1130" s="1261"/>
      <c r="Q1130" s="1606"/>
    </row>
    <row r="1131" spans="1:17" ht="14.45" customHeight="1" x14ac:dyDescent="0.2">
      <c r="A1131" s="954" t="s">
        <v>354</v>
      </c>
      <c r="B1131" s="955">
        <v>0</v>
      </c>
      <c r="C1131" s="956">
        <v>0</v>
      </c>
      <c r="D1131" s="957">
        <v>0</v>
      </c>
      <c r="E1131" s="431"/>
      <c r="F1131" s="958"/>
      <c r="G1131" s="959"/>
      <c r="H1131" s="959"/>
      <c r="I1131" s="960"/>
      <c r="J1131" s="960"/>
      <c r="K1131" s="961"/>
      <c r="L1131" s="962">
        <v>0</v>
      </c>
      <c r="M1131" s="956">
        <v>0</v>
      </c>
      <c r="N1131" s="1498">
        <v>0</v>
      </c>
      <c r="O1131" s="1619"/>
      <c r="P1131" s="1261"/>
      <c r="Q1131" s="1606"/>
    </row>
    <row r="1132" spans="1:17" ht="14.45" customHeight="1" x14ac:dyDescent="0.2">
      <c r="A1132" s="954" t="s">
        <v>355</v>
      </c>
      <c r="B1132" s="955">
        <v>0</v>
      </c>
      <c r="C1132" s="956">
        <v>0</v>
      </c>
      <c r="D1132" s="957">
        <v>0</v>
      </c>
      <c r="E1132" s="431"/>
      <c r="F1132" s="964"/>
      <c r="G1132" s="959"/>
      <c r="H1132" s="959"/>
      <c r="I1132" s="960"/>
      <c r="J1132" s="960"/>
      <c r="K1132" s="961"/>
      <c r="L1132" s="962">
        <v>0</v>
      </c>
      <c r="M1132" s="956">
        <v>0</v>
      </c>
      <c r="N1132" s="1498">
        <v>0</v>
      </c>
      <c r="O1132" s="1619"/>
      <c r="P1132" s="1261"/>
      <c r="Q1132" s="1606"/>
    </row>
    <row r="1133" spans="1:17" ht="14.45" customHeight="1" x14ac:dyDescent="0.2">
      <c r="A1133" s="954" t="s">
        <v>356</v>
      </c>
      <c r="B1133" s="955">
        <v>0</v>
      </c>
      <c r="C1133" s="956">
        <v>0</v>
      </c>
      <c r="D1133" s="957">
        <v>0</v>
      </c>
      <c r="E1133" s="431"/>
      <c r="F1133" s="958"/>
      <c r="G1133" s="959"/>
      <c r="H1133" s="959"/>
      <c r="I1133" s="960"/>
      <c r="J1133" s="960"/>
      <c r="K1133" s="961"/>
      <c r="L1133" s="962">
        <v>0</v>
      </c>
      <c r="M1133" s="956">
        <v>0</v>
      </c>
      <c r="N1133" s="1498">
        <v>0</v>
      </c>
      <c r="O1133" s="1619"/>
      <c r="P1133" s="1261"/>
      <c r="Q1133" s="1606"/>
    </row>
    <row r="1134" spans="1:17" ht="14.45" customHeight="1" x14ac:dyDescent="0.2">
      <c r="A1134" s="954" t="s">
        <v>357</v>
      </c>
      <c r="B1134" s="955">
        <v>0</v>
      </c>
      <c r="C1134" s="956">
        <v>0</v>
      </c>
      <c r="D1134" s="957">
        <v>0</v>
      </c>
      <c r="E1134" s="431"/>
      <c r="F1134" s="958"/>
      <c r="G1134" s="959"/>
      <c r="H1134" s="959"/>
      <c r="I1134" s="960"/>
      <c r="J1134" s="960"/>
      <c r="K1134" s="961"/>
      <c r="L1134" s="962">
        <v>0</v>
      </c>
      <c r="M1134" s="956">
        <v>0</v>
      </c>
      <c r="N1134" s="1498">
        <v>0</v>
      </c>
      <c r="O1134" s="1619"/>
      <c r="P1134" s="1261"/>
      <c r="Q1134" s="1606"/>
    </row>
    <row r="1135" spans="1:17" ht="14.45" customHeight="1" x14ac:dyDescent="0.2">
      <c r="A1135" s="954" t="s">
        <v>358</v>
      </c>
      <c r="B1135" s="955">
        <v>0</v>
      </c>
      <c r="C1135" s="956">
        <v>0</v>
      </c>
      <c r="D1135" s="957">
        <v>0</v>
      </c>
      <c r="E1135" s="431"/>
      <c r="F1135" s="964"/>
      <c r="G1135" s="959"/>
      <c r="H1135" s="959"/>
      <c r="I1135" s="960"/>
      <c r="J1135" s="960"/>
      <c r="K1135" s="961"/>
      <c r="L1135" s="962">
        <v>0</v>
      </c>
      <c r="M1135" s="956">
        <v>0</v>
      </c>
      <c r="N1135" s="1498">
        <v>0</v>
      </c>
      <c r="O1135" s="1619"/>
      <c r="P1135" s="1261"/>
      <c r="Q1135" s="1606"/>
    </row>
    <row r="1136" spans="1:17" ht="14.45" customHeight="1" x14ac:dyDescent="0.2">
      <c r="A1136" s="954" t="s">
        <v>359</v>
      </c>
      <c r="B1136" s="955">
        <v>0</v>
      </c>
      <c r="C1136" s="956">
        <v>0</v>
      </c>
      <c r="D1136" s="957">
        <v>0</v>
      </c>
      <c r="E1136" s="431"/>
      <c r="F1136" s="964"/>
      <c r="G1136" s="959"/>
      <c r="H1136" s="959"/>
      <c r="I1136" s="960"/>
      <c r="J1136" s="960"/>
      <c r="K1136" s="961"/>
      <c r="L1136" s="962">
        <v>0</v>
      </c>
      <c r="M1136" s="956">
        <v>0</v>
      </c>
      <c r="N1136" s="1498">
        <v>0</v>
      </c>
      <c r="O1136" s="1619"/>
      <c r="P1136" s="1261"/>
      <c r="Q1136" s="1606"/>
    </row>
    <row r="1137" spans="1:17" ht="14.45" customHeight="1" x14ac:dyDescent="0.2">
      <c r="A1137" s="954" t="s">
        <v>360</v>
      </c>
      <c r="B1137" s="955">
        <v>0</v>
      </c>
      <c r="C1137" s="956">
        <v>0</v>
      </c>
      <c r="D1137" s="957">
        <v>0</v>
      </c>
      <c r="E1137" s="431"/>
      <c r="F1137" s="964"/>
      <c r="G1137" s="959"/>
      <c r="H1137" s="959"/>
      <c r="I1137" s="960"/>
      <c r="J1137" s="960"/>
      <c r="K1137" s="961"/>
      <c r="L1137" s="962">
        <v>0</v>
      </c>
      <c r="M1137" s="956">
        <v>0</v>
      </c>
      <c r="N1137" s="1498">
        <v>0</v>
      </c>
      <c r="O1137" s="1619"/>
      <c r="P1137" s="1261"/>
      <c r="Q1137" s="1606"/>
    </row>
    <row r="1138" spans="1:17" ht="14.45" customHeight="1" x14ac:dyDescent="0.2">
      <c r="A1138" s="954" t="s">
        <v>361</v>
      </c>
      <c r="B1138" s="955">
        <v>0</v>
      </c>
      <c r="C1138" s="956">
        <v>0</v>
      </c>
      <c r="D1138" s="957">
        <v>0</v>
      </c>
      <c r="E1138" s="431"/>
      <c r="F1138" s="958"/>
      <c r="G1138" s="959"/>
      <c r="H1138" s="959"/>
      <c r="I1138" s="960"/>
      <c r="J1138" s="960"/>
      <c r="K1138" s="961"/>
      <c r="L1138" s="962">
        <v>0</v>
      </c>
      <c r="M1138" s="956">
        <v>0</v>
      </c>
      <c r="N1138" s="1498">
        <v>0</v>
      </c>
      <c r="O1138" s="1619"/>
      <c r="P1138" s="1261"/>
      <c r="Q1138" s="1606"/>
    </row>
    <row r="1139" spans="1:17" ht="14.45" customHeight="1" x14ac:dyDescent="0.2">
      <c r="A1139" s="954" t="s">
        <v>362</v>
      </c>
      <c r="B1139" s="955">
        <v>0</v>
      </c>
      <c r="C1139" s="956">
        <v>0</v>
      </c>
      <c r="D1139" s="957">
        <v>0</v>
      </c>
      <c r="E1139" s="431"/>
      <c r="F1139" s="958"/>
      <c r="G1139" s="959"/>
      <c r="H1139" s="959"/>
      <c r="I1139" s="960"/>
      <c r="J1139" s="960"/>
      <c r="K1139" s="961"/>
      <c r="L1139" s="962">
        <v>0</v>
      </c>
      <c r="M1139" s="956">
        <v>0</v>
      </c>
      <c r="N1139" s="1498">
        <v>0</v>
      </c>
      <c r="O1139" s="1619"/>
      <c r="P1139" s="1261"/>
      <c r="Q1139" s="1606"/>
    </row>
    <row r="1140" spans="1:17" ht="14.45" customHeight="1" x14ac:dyDescent="0.2">
      <c r="A1140" s="954" t="s">
        <v>363</v>
      </c>
      <c r="B1140" s="955">
        <v>0</v>
      </c>
      <c r="C1140" s="956">
        <v>0</v>
      </c>
      <c r="D1140" s="957">
        <v>0</v>
      </c>
      <c r="E1140" s="431"/>
      <c r="F1140" s="964"/>
      <c r="G1140" s="959"/>
      <c r="H1140" s="959"/>
      <c r="I1140" s="960"/>
      <c r="J1140" s="960"/>
      <c r="K1140" s="961"/>
      <c r="L1140" s="962">
        <v>0</v>
      </c>
      <c r="M1140" s="956">
        <v>0</v>
      </c>
      <c r="N1140" s="1498">
        <v>0</v>
      </c>
      <c r="O1140" s="1619"/>
      <c r="P1140" s="1261"/>
      <c r="Q1140" s="1606"/>
    </row>
    <row r="1141" spans="1:17" ht="14.45" customHeight="1" x14ac:dyDescent="0.2">
      <c r="A1141" s="954" t="s">
        <v>364</v>
      </c>
      <c r="B1141" s="955">
        <v>0</v>
      </c>
      <c r="C1141" s="956">
        <v>0</v>
      </c>
      <c r="D1141" s="957">
        <v>0</v>
      </c>
      <c r="E1141" s="431"/>
      <c r="F1141" s="958"/>
      <c r="G1141" s="959"/>
      <c r="H1141" s="959"/>
      <c r="I1141" s="960"/>
      <c r="J1141" s="960"/>
      <c r="K1141" s="961"/>
      <c r="L1141" s="962">
        <v>0</v>
      </c>
      <c r="M1141" s="956">
        <v>0</v>
      </c>
      <c r="N1141" s="1498">
        <v>0</v>
      </c>
      <c r="O1141" s="1619"/>
      <c r="P1141" s="1261"/>
      <c r="Q1141" s="1606"/>
    </row>
    <row r="1142" spans="1:17" ht="14.45" customHeight="1" x14ac:dyDescent="0.2">
      <c r="A1142" s="954" t="s">
        <v>365</v>
      </c>
      <c r="B1142" s="955">
        <v>0</v>
      </c>
      <c r="C1142" s="956">
        <v>0</v>
      </c>
      <c r="D1142" s="957">
        <v>0</v>
      </c>
      <c r="E1142" s="431"/>
      <c r="F1142" s="964"/>
      <c r="G1142" s="959"/>
      <c r="H1142" s="959"/>
      <c r="I1142" s="960"/>
      <c r="J1142" s="960"/>
      <c r="K1142" s="961"/>
      <c r="L1142" s="962">
        <v>0</v>
      </c>
      <c r="M1142" s="956">
        <v>0</v>
      </c>
      <c r="N1142" s="1498">
        <v>0</v>
      </c>
      <c r="O1142" s="1619"/>
      <c r="P1142" s="1261"/>
      <c r="Q1142" s="1606"/>
    </row>
    <row r="1143" spans="1:17" ht="14.45" customHeight="1" x14ac:dyDescent="0.2">
      <c r="A1143" s="954" t="s">
        <v>366</v>
      </c>
      <c r="B1143" s="955">
        <v>0</v>
      </c>
      <c r="C1143" s="956">
        <v>0</v>
      </c>
      <c r="D1143" s="957">
        <v>0</v>
      </c>
      <c r="E1143" s="431"/>
      <c r="F1143" s="958"/>
      <c r="G1143" s="959"/>
      <c r="H1143" s="959"/>
      <c r="I1143" s="960"/>
      <c r="J1143" s="960"/>
      <c r="K1143" s="961"/>
      <c r="L1143" s="962">
        <v>0</v>
      </c>
      <c r="M1143" s="956">
        <v>0</v>
      </c>
      <c r="N1143" s="1498">
        <v>0</v>
      </c>
      <c r="O1143" s="1619"/>
      <c r="P1143" s="1261"/>
      <c r="Q1143" s="1606"/>
    </row>
    <row r="1144" spans="1:17" ht="14.45" customHeight="1" x14ac:dyDescent="0.2">
      <c r="A1144" s="954" t="s">
        <v>367</v>
      </c>
      <c r="B1144" s="955">
        <v>0</v>
      </c>
      <c r="C1144" s="956">
        <v>0</v>
      </c>
      <c r="D1144" s="957">
        <v>0</v>
      </c>
      <c r="E1144" s="431"/>
      <c r="F1144" s="964"/>
      <c r="G1144" s="959"/>
      <c r="H1144" s="959"/>
      <c r="I1144" s="960"/>
      <c r="J1144" s="960"/>
      <c r="K1144" s="961"/>
      <c r="L1144" s="962">
        <v>0</v>
      </c>
      <c r="M1144" s="956">
        <v>0</v>
      </c>
      <c r="N1144" s="1498">
        <v>0</v>
      </c>
      <c r="O1144" s="1619"/>
      <c r="P1144" s="1261"/>
      <c r="Q1144" s="1606"/>
    </row>
    <row r="1145" spans="1:17" ht="14.45" customHeight="1" x14ac:dyDescent="0.2">
      <c r="A1145" s="983" t="s">
        <v>368</v>
      </c>
      <c r="B1145" s="984">
        <v>0</v>
      </c>
      <c r="C1145" s="984">
        <v>0</v>
      </c>
      <c r="D1145" s="985">
        <v>0</v>
      </c>
      <c r="E1145" s="986"/>
      <c r="F1145" s="987"/>
      <c r="G1145" s="988"/>
      <c r="H1145" s="988"/>
      <c r="I1145" s="989"/>
      <c r="J1145" s="989"/>
      <c r="K1145" s="990"/>
      <c r="L1145" s="991">
        <v>0</v>
      </c>
      <c r="M1145" s="984">
        <v>0</v>
      </c>
      <c r="N1145" s="984">
        <v>0</v>
      </c>
      <c r="O1145" s="1602"/>
      <c r="P1145" s="1604"/>
      <c r="Q1145" s="1605"/>
    </row>
    <row r="1146" spans="1:17" ht="14.45" customHeight="1" x14ac:dyDescent="0.2">
      <c r="A1146" s="954" t="s">
        <v>369</v>
      </c>
      <c r="B1146" s="955">
        <v>0</v>
      </c>
      <c r="C1146" s="956">
        <v>0</v>
      </c>
      <c r="D1146" s="957">
        <v>0</v>
      </c>
      <c r="E1146" s="431"/>
      <c r="F1146" s="964"/>
      <c r="G1146" s="959"/>
      <c r="H1146" s="959"/>
      <c r="I1146" s="960"/>
      <c r="J1146" s="960"/>
      <c r="K1146" s="961"/>
      <c r="L1146" s="962">
        <v>0</v>
      </c>
      <c r="M1146" s="956">
        <v>0</v>
      </c>
      <c r="N1146" s="1498">
        <v>0</v>
      </c>
      <c r="O1146" s="1619"/>
      <c r="P1146" s="1261"/>
      <c r="Q1146" s="1606"/>
    </row>
    <row r="1147" spans="1:17" ht="14.45" customHeight="1" x14ac:dyDescent="0.2">
      <c r="A1147" s="954" t="s">
        <v>370</v>
      </c>
      <c r="B1147" s="955">
        <v>0</v>
      </c>
      <c r="C1147" s="956">
        <v>0</v>
      </c>
      <c r="D1147" s="957">
        <v>0</v>
      </c>
      <c r="E1147" s="431"/>
      <c r="F1147" s="964"/>
      <c r="G1147" s="959"/>
      <c r="H1147" s="959"/>
      <c r="I1147" s="960"/>
      <c r="J1147" s="960"/>
      <c r="K1147" s="961"/>
      <c r="L1147" s="962">
        <v>0</v>
      </c>
      <c r="M1147" s="956">
        <v>0</v>
      </c>
      <c r="N1147" s="1498">
        <v>0</v>
      </c>
      <c r="O1147" s="1619"/>
      <c r="P1147" s="1261"/>
      <c r="Q1147" s="1606"/>
    </row>
    <row r="1148" spans="1:17" ht="14.45" customHeight="1" x14ac:dyDescent="0.2">
      <c r="A1148" s="954" t="s">
        <v>371</v>
      </c>
      <c r="B1148" s="955">
        <v>0</v>
      </c>
      <c r="C1148" s="956">
        <v>0</v>
      </c>
      <c r="D1148" s="957">
        <v>0</v>
      </c>
      <c r="E1148" s="431"/>
      <c r="F1148" s="964"/>
      <c r="G1148" s="959"/>
      <c r="H1148" s="959"/>
      <c r="I1148" s="960"/>
      <c r="J1148" s="960"/>
      <c r="K1148" s="961"/>
      <c r="L1148" s="962">
        <v>0</v>
      </c>
      <c r="M1148" s="956">
        <v>0</v>
      </c>
      <c r="N1148" s="1498">
        <v>0</v>
      </c>
      <c r="O1148" s="1619"/>
      <c r="P1148" s="1261"/>
      <c r="Q1148" s="1606"/>
    </row>
    <row r="1149" spans="1:17" ht="14.45" customHeight="1" x14ac:dyDescent="0.2">
      <c r="A1149" s="954" t="s">
        <v>372</v>
      </c>
      <c r="B1149" s="955">
        <v>0</v>
      </c>
      <c r="C1149" s="956">
        <v>0</v>
      </c>
      <c r="D1149" s="957">
        <v>0</v>
      </c>
      <c r="E1149" s="431"/>
      <c r="F1149" s="964"/>
      <c r="G1149" s="959"/>
      <c r="H1149" s="959"/>
      <c r="I1149" s="960"/>
      <c r="J1149" s="960"/>
      <c r="K1149" s="961"/>
      <c r="L1149" s="962">
        <v>0</v>
      </c>
      <c r="M1149" s="956">
        <v>0</v>
      </c>
      <c r="N1149" s="1498">
        <v>0</v>
      </c>
      <c r="O1149" s="1619"/>
      <c r="P1149" s="1261"/>
      <c r="Q1149" s="1606"/>
    </row>
    <row r="1150" spans="1:17" ht="14.45" customHeight="1" x14ac:dyDescent="0.2">
      <c r="A1150" s="954" t="s">
        <v>373</v>
      </c>
      <c r="B1150" s="955">
        <v>0</v>
      </c>
      <c r="C1150" s="956">
        <v>0</v>
      </c>
      <c r="D1150" s="957">
        <v>0</v>
      </c>
      <c r="E1150" s="431"/>
      <c r="F1150" s="958"/>
      <c r="G1150" s="959"/>
      <c r="H1150" s="959"/>
      <c r="I1150" s="960"/>
      <c r="J1150" s="960"/>
      <c r="K1150" s="961"/>
      <c r="L1150" s="962">
        <v>0</v>
      </c>
      <c r="M1150" s="956">
        <v>0</v>
      </c>
      <c r="N1150" s="1498">
        <v>0</v>
      </c>
      <c r="O1150" s="1619"/>
      <c r="P1150" s="1261"/>
      <c r="Q1150" s="1606"/>
    </row>
    <row r="1151" spans="1:17" ht="14.45" customHeight="1" x14ac:dyDescent="0.2">
      <c r="A1151" s="983" t="s">
        <v>374</v>
      </c>
      <c r="B1151" s="994">
        <v>0</v>
      </c>
      <c r="C1151" s="994">
        <v>0</v>
      </c>
      <c r="D1151" s="994">
        <v>0</v>
      </c>
      <c r="E1151" s="995"/>
      <c r="F1151" s="987"/>
      <c r="G1151" s="996"/>
      <c r="H1151" s="996"/>
      <c r="I1151" s="997"/>
      <c r="J1151" s="997"/>
      <c r="K1151" s="998"/>
      <c r="L1151" s="999">
        <v>0</v>
      </c>
      <c r="M1151" s="994">
        <v>0</v>
      </c>
      <c r="N1151" s="994">
        <v>0</v>
      </c>
      <c r="O1151" s="1602"/>
      <c r="P1151" s="1604"/>
      <c r="Q1151" s="1605"/>
    </row>
    <row r="1152" spans="1:17" ht="14.45" customHeight="1" x14ac:dyDescent="0.2">
      <c r="A1152" s="954" t="s">
        <v>375</v>
      </c>
      <c r="B1152" s="955">
        <v>0</v>
      </c>
      <c r="C1152" s="956">
        <v>0</v>
      </c>
      <c r="D1152" s="957">
        <v>0</v>
      </c>
      <c r="E1152" s="431"/>
      <c r="F1152" s="958"/>
      <c r="G1152" s="959"/>
      <c r="H1152" s="959"/>
      <c r="I1152" s="960"/>
      <c r="J1152" s="960"/>
      <c r="K1152" s="961"/>
      <c r="L1152" s="962">
        <v>0</v>
      </c>
      <c r="M1152" s="956">
        <v>0</v>
      </c>
      <c r="N1152" s="1498">
        <v>0</v>
      </c>
      <c r="O1152" s="1619"/>
      <c r="P1152" s="1261"/>
      <c r="Q1152" s="1606"/>
    </row>
    <row r="1153" spans="1:17" ht="14.45" customHeight="1" x14ac:dyDescent="0.2">
      <c r="A1153" s="954" t="s">
        <v>376</v>
      </c>
      <c r="B1153" s="955">
        <v>0</v>
      </c>
      <c r="C1153" s="956">
        <v>0</v>
      </c>
      <c r="D1153" s="957">
        <v>0</v>
      </c>
      <c r="E1153" s="431"/>
      <c r="F1153" s="958"/>
      <c r="G1153" s="959"/>
      <c r="H1153" s="959"/>
      <c r="I1153" s="960"/>
      <c r="J1153" s="960"/>
      <c r="K1153" s="961"/>
      <c r="L1153" s="962">
        <v>0</v>
      </c>
      <c r="M1153" s="956">
        <v>0</v>
      </c>
      <c r="N1153" s="1498">
        <v>0</v>
      </c>
      <c r="O1153" s="1619"/>
      <c r="P1153" s="1261"/>
      <c r="Q1153" s="1606"/>
    </row>
    <row r="1154" spans="1:17" ht="14.45" customHeight="1" x14ac:dyDescent="0.2">
      <c r="A1154" s="954" t="s">
        <v>377</v>
      </c>
      <c r="B1154" s="955">
        <v>0</v>
      </c>
      <c r="C1154" s="956">
        <v>0</v>
      </c>
      <c r="D1154" s="957">
        <v>0</v>
      </c>
      <c r="E1154" s="431"/>
      <c r="F1154" s="958"/>
      <c r="G1154" s="959"/>
      <c r="H1154" s="959"/>
      <c r="I1154" s="960"/>
      <c r="J1154" s="960"/>
      <c r="K1154" s="961"/>
      <c r="L1154" s="962">
        <v>0</v>
      </c>
      <c r="M1154" s="956">
        <v>0</v>
      </c>
      <c r="N1154" s="1498">
        <v>0</v>
      </c>
      <c r="O1154" s="1619"/>
      <c r="P1154" s="1261"/>
      <c r="Q1154" s="1606"/>
    </row>
    <row r="1155" spans="1:17" ht="14.45" customHeight="1" x14ac:dyDescent="0.2">
      <c r="A1155" s="954" t="s">
        <v>378</v>
      </c>
      <c r="B1155" s="955">
        <v>0</v>
      </c>
      <c r="C1155" s="956">
        <v>0</v>
      </c>
      <c r="D1155" s="957">
        <v>0</v>
      </c>
      <c r="E1155" s="431"/>
      <c r="F1155" s="958"/>
      <c r="G1155" s="965"/>
      <c r="H1155" s="965"/>
      <c r="I1155" s="966"/>
      <c r="J1155" s="966"/>
      <c r="K1155" s="967"/>
      <c r="L1155" s="962">
        <v>0</v>
      </c>
      <c r="M1155" s="956">
        <v>0</v>
      </c>
      <c r="N1155" s="1498">
        <v>0</v>
      </c>
      <c r="O1155" s="1619"/>
      <c r="P1155" s="1261"/>
      <c r="Q1155" s="1606"/>
    </row>
    <row r="1156" spans="1:17" ht="14.45" customHeight="1" x14ac:dyDescent="0.2">
      <c r="A1156" s="954" t="s">
        <v>379</v>
      </c>
      <c r="B1156" s="955">
        <v>0</v>
      </c>
      <c r="C1156" s="956">
        <v>0</v>
      </c>
      <c r="D1156" s="957">
        <v>0</v>
      </c>
      <c r="E1156" s="431"/>
      <c r="F1156" s="958"/>
      <c r="G1156" s="965"/>
      <c r="H1156" s="965"/>
      <c r="I1156" s="966"/>
      <c r="J1156" s="966"/>
      <c r="K1156" s="967"/>
      <c r="L1156" s="962">
        <v>0</v>
      </c>
      <c r="M1156" s="956">
        <v>0</v>
      </c>
      <c r="N1156" s="1498">
        <v>0</v>
      </c>
      <c r="O1156" s="1619"/>
      <c r="P1156" s="1261"/>
      <c r="Q1156" s="1606"/>
    </row>
    <row r="1157" spans="1:17" ht="14.45" customHeight="1" x14ac:dyDescent="0.2">
      <c r="A1157" s="954" t="s">
        <v>380</v>
      </c>
      <c r="B1157" s="955">
        <v>0</v>
      </c>
      <c r="C1157" s="956">
        <v>0</v>
      </c>
      <c r="D1157" s="957">
        <v>0</v>
      </c>
      <c r="E1157" s="431"/>
      <c r="F1157" s="958"/>
      <c r="G1157" s="965"/>
      <c r="H1157" s="965"/>
      <c r="I1157" s="966"/>
      <c r="J1157" s="966"/>
      <c r="K1157" s="967"/>
      <c r="L1157" s="962">
        <v>0</v>
      </c>
      <c r="M1157" s="956">
        <v>0</v>
      </c>
      <c r="N1157" s="1498">
        <v>0</v>
      </c>
      <c r="O1157" s="1619"/>
      <c r="P1157" s="1261"/>
      <c r="Q1157" s="1606"/>
    </row>
    <row r="1158" spans="1:17" ht="14.45" customHeight="1" x14ac:dyDescent="0.2">
      <c r="A1158" s="954" t="s">
        <v>381</v>
      </c>
      <c r="B1158" s="955">
        <v>0</v>
      </c>
      <c r="C1158" s="956">
        <v>0</v>
      </c>
      <c r="D1158" s="957">
        <v>0</v>
      </c>
      <c r="E1158" s="431"/>
      <c r="F1158" s="958"/>
      <c r="G1158" s="965"/>
      <c r="H1158" s="965"/>
      <c r="I1158" s="966"/>
      <c r="J1158" s="966"/>
      <c r="K1158" s="967"/>
      <c r="L1158" s="962">
        <v>0</v>
      </c>
      <c r="M1158" s="956">
        <v>0</v>
      </c>
      <c r="N1158" s="1498">
        <v>0</v>
      </c>
      <c r="O1158" s="1619"/>
      <c r="P1158" s="1261"/>
      <c r="Q1158" s="1606"/>
    </row>
    <row r="1159" spans="1:17" ht="14.45" customHeight="1" x14ac:dyDescent="0.2">
      <c r="A1159" s="954" t="s">
        <v>382</v>
      </c>
      <c r="B1159" s="955">
        <v>0</v>
      </c>
      <c r="C1159" s="956">
        <v>0</v>
      </c>
      <c r="D1159" s="957">
        <v>0</v>
      </c>
      <c r="E1159" s="431"/>
      <c r="F1159" s="958"/>
      <c r="G1159" s="965"/>
      <c r="H1159" s="965"/>
      <c r="I1159" s="966"/>
      <c r="J1159" s="966"/>
      <c r="K1159" s="967"/>
      <c r="L1159" s="962">
        <v>0</v>
      </c>
      <c r="M1159" s="956">
        <v>0</v>
      </c>
      <c r="N1159" s="1498">
        <v>0</v>
      </c>
      <c r="O1159" s="1619"/>
      <c r="P1159" s="1261"/>
      <c r="Q1159" s="1606"/>
    </row>
    <row r="1160" spans="1:17" ht="14.45" customHeight="1" x14ac:dyDescent="0.2">
      <c r="A1160" s="983" t="s">
        <v>383</v>
      </c>
      <c r="B1160" s="1002">
        <v>0</v>
      </c>
      <c r="C1160" s="1002">
        <v>0</v>
      </c>
      <c r="D1160" s="1002">
        <v>0</v>
      </c>
      <c r="E1160" s="995"/>
      <c r="F1160" s="1003"/>
      <c r="G1160" s="1004"/>
      <c r="H1160" s="1004"/>
      <c r="I1160" s="1005"/>
      <c r="J1160" s="1005"/>
      <c r="K1160" s="949"/>
      <c r="L1160" s="991">
        <v>0</v>
      </c>
      <c r="M1160" s="1002">
        <v>0</v>
      </c>
      <c r="N1160" s="1002">
        <v>0</v>
      </c>
      <c r="O1160" s="1602"/>
      <c r="P1160" s="1604"/>
      <c r="Q1160" s="1605"/>
    </row>
    <row r="1161" spans="1:17" ht="14.45" customHeight="1" x14ac:dyDescent="0.2">
      <c r="A1161" s="954" t="s">
        <v>384</v>
      </c>
      <c r="B1161" s="968">
        <v>0</v>
      </c>
      <c r="C1161" s="968">
        <v>0</v>
      </c>
      <c r="D1161" s="957">
        <v>0</v>
      </c>
      <c r="E1161" s="431"/>
      <c r="F1161" s="958"/>
      <c r="G1161" s="965"/>
      <c r="H1161" s="965"/>
      <c r="I1161" s="966"/>
      <c r="J1161" s="966"/>
      <c r="K1161" s="967"/>
      <c r="L1161" s="962">
        <v>0</v>
      </c>
      <c r="M1161" s="956">
        <v>0</v>
      </c>
      <c r="N1161" s="1498">
        <v>0</v>
      </c>
      <c r="O1161" s="1619"/>
      <c r="P1161" s="1261"/>
      <c r="Q1161" s="1606"/>
    </row>
    <row r="1162" spans="1:17" ht="14.45" customHeight="1" x14ac:dyDescent="0.2">
      <c r="A1162" s="954" t="s">
        <v>385</v>
      </c>
      <c r="B1162" s="968">
        <v>0</v>
      </c>
      <c r="C1162" s="968">
        <v>0</v>
      </c>
      <c r="D1162" s="957">
        <v>0</v>
      </c>
      <c r="E1162" s="431"/>
      <c r="F1162" s="958"/>
      <c r="G1162" s="965"/>
      <c r="H1162" s="965"/>
      <c r="I1162" s="966"/>
      <c r="J1162" s="966"/>
      <c r="K1162" s="967"/>
      <c r="L1162" s="962">
        <v>0</v>
      </c>
      <c r="M1162" s="956">
        <v>0</v>
      </c>
      <c r="N1162" s="1498">
        <v>0</v>
      </c>
      <c r="O1162" s="1619"/>
      <c r="P1162" s="1261"/>
      <c r="Q1162" s="1606"/>
    </row>
    <row r="1163" spans="1:17" ht="14.45" customHeight="1" x14ac:dyDescent="0.2">
      <c r="A1163" s="954" t="s">
        <v>386</v>
      </c>
      <c r="B1163" s="968">
        <v>0</v>
      </c>
      <c r="C1163" s="968">
        <v>0</v>
      </c>
      <c r="D1163" s="957">
        <v>0</v>
      </c>
      <c r="E1163" s="431"/>
      <c r="F1163" s="958"/>
      <c r="G1163" s="965"/>
      <c r="H1163" s="965"/>
      <c r="I1163" s="966"/>
      <c r="J1163" s="966"/>
      <c r="K1163" s="967"/>
      <c r="L1163" s="962">
        <v>0</v>
      </c>
      <c r="M1163" s="956">
        <v>0</v>
      </c>
      <c r="N1163" s="1498">
        <v>0</v>
      </c>
      <c r="O1163" s="1619"/>
      <c r="P1163" s="1261"/>
      <c r="Q1163" s="1606"/>
    </row>
    <row r="1164" spans="1:17" ht="14.45" customHeight="1" x14ac:dyDescent="0.2">
      <c r="A1164" s="954" t="s">
        <v>387</v>
      </c>
      <c r="B1164" s="968">
        <v>0</v>
      </c>
      <c r="C1164" s="968">
        <v>0</v>
      </c>
      <c r="D1164" s="957">
        <v>0</v>
      </c>
      <c r="E1164" s="431"/>
      <c r="F1164" s="958"/>
      <c r="G1164" s="965"/>
      <c r="H1164" s="965"/>
      <c r="I1164" s="966"/>
      <c r="J1164" s="966"/>
      <c r="K1164" s="967"/>
      <c r="L1164" s="962">
        <v>0</v>
      </c>
      <c r="M1164" s="956">
        <v>0</v>
      </c>
      <c r="N1164" s="1498">
        <v>0</v>
      </c>
      <c r="O1164" s="1619"/>
      <c r="P1164" s="1261"/>
      <c r="Q1164" s="1606"/>
    </row>
    <row r="1165" spans="1:17" ht="14.45" customHeight="1" x14ac:dyDescent="0.2">
      <c r="A1165" s="954" t="s">
        <v>388</v>
      </c>
      <c r="B1165" s="968">
        <v>0</v>
      </c>
      <c r="C1165" s="968">
        <v>0</v>
      </c>
      <c r="D1165" s="957">
        <v>0</v>
      </c>
      <c r="E1165" s="431"/>
      <c r="F1165" s="958"/>
      <c r="G1165" s="965"/>
      <c r="H1165" s="965"/>
      <c r="I1165" s="966"/>
      <c r="J1165" s="966"/>
      <c r="K1165" s="967"/>
      <c r="L1165" s="962">
        <v>0</v>
      </c>
      <c r="M1165" s="956">
        <v>0</v>
      </c>
      <c r="N1165" s="1498">
        <v>0</v>
      </c>
      <c r="O1165" s="1619"/>
      <c r="P1165" s="1261"/>
      <c r="Q1165" s="1606"/>
    </row>
    <row r="1166" spans="1:17" ht="14.45" customHeight="1" x14ac:dyDescent="0.2">
      <c r="A1166" s="954" t="s">
        <v>389</v>
      </c>
      <c r="B1166" s="968">
        <v>0</v>
      </c>
      <c r="C1166" s="968">
        <v>0</v>
      </c>
      <c r="D1166" s="957">
        <v>0</v>
      </c>
      <c r="E1166" s="431"/>
      <c r="F1166" s="958"/>
      <c r="G1166" s="965"/>
      <c r="H1166" s="965"/>
      <c r="I1166" s="966"/>
      <c r="J1166" s="966"/>
      <c r="K1166" s="967"/>
      <c r="L1166" s="962">
        <v>0</v>
      </c>
      <c r="M1166" s="956">
        <v>0</v>
      </c>
      <c r="N1166" s="1498">
        <v>0</v>
      </c>
      <c r="O1166" s="1619"/>
      <c r="P1166" s="1261"/>
      <c r="Q1166" s="1606"/>
    </row>
    <row r="1167" spans="1:17" ht="14.45" customHeight="1" x14ac:dyDescent="0.2">
      <c r="A1167" s="954" t="s">
        <v>390</v>
      </c>
      <c r="B1167" s="968">
        <v>0</v>
      </c>
      <c r="C1167" s="968">
        <v>0</v>
      </c>
      <c r="D1167" s="957">
        <v>0</v>
      </c>
      <c r="E1167" s="431"/>
      <c r="F1167" s="958"/>
      <c r="G1167" s="965"/>
      <c r="H1167" s="965"/>
      <c r="I1167" s="966"/>
      <c r="J1167" s="966"/>
      <c r="K1167" s="967"/>
      <c r="L1167" s="962">
        <v>0</v>
      </c>
      <c r="M1167" s="956">
        <v>0</v>
      </c>
      <c r="N1167" s="1498">
        <v>0</v>
      </c>
      <c r="O1167" s="1619"/>
      <c r="P1167" s="1261"/>
      <c r="Q1167" s="1606"/>
    </row>
    <row r="1168" spans="1:17" ht="14.45" customHeight="1" x14ac:dyDescent="0.2">
      <c r="A1168" s="954" t="s">
        <v>391</v>
      </c>
      <c r="B1168" s="968">
        <v>0</v>
      </c>
      <c r="C1168" s="968">
        <v>0</v>
      </c>
      <c r="D1168" s="957">
        <v>0</v>
      </c>
      <c r="E1168" s="431"/>
      <c r="F1168" s="958"/>
      <c r="G1168" s="965"/>
      <c r="H1168" s="965"/>
      <c r="I1168" s="966"/>
      <c r="J1168" s="966"/>
      <c r="K1168" s="967"/>
      <c r="L1168" s="962">
        <v>0</v>
      </c>
      <c r="M1168" s="956">
        <v>0</v>
      </c>
      <c r="N1168" s="1498">
        <v>0</v>
      </c>
      <c r="O1168" s="1619"/>
      <c r="P1168" s="1261"/>
      <c r="Q1168" s="1606"/>
    </row>
    <row r="1169" spans="1:17" ht="14.45" customHeight="1" x14ac:dyDescent="0.2">
      <c r="A1169" s="953" t="s">
        <v>392</v>
      </c>
      <c r="B1169" s="968">
        <v>0</v>
      </c>
      <c r="C1169" s="968">
        <v>0</v>
      </c>
      <c r="D1169" s="957">
        <v>0</v>
      </c>
      <c r="E1169" s="431"/>
      <c r="F1169" s="972"/>
      <c r="G1169" s="970"/>
      <c r="H1169" s="970"/>
      <c r="I1169" s="973"/>
      <c r="J1169" s="973"/>
      <c r="K1169" s="974"/>
      <c r="L1169" s="962">
        <v>0</v>
      </c>
      <c r="M1169" s="956">
        <v>0</v>
      </c>
      <c r="N1169" s="1617">
        <v>0</v>
      </c>
      <c r="O1169" s="1619"/>
      <c r="P1169" s="1621"/>
      <c r="Q1169" s="1622"/>
    </row>
    <row r="1170" spans="1:17" ht="14.45" customHeight="1" thickBot="1" x14ac:dyDescent="0.25">
      <c r="A1170" s="1006" t="s">
        <v>393</v>
      </c>
      <c r="B1170" s="1007">
        <v>0</v>
      </c>
      <c r="C1170" s="1007">
        <v>0</v>
      </c>
      <c r="D1170" s="1007">
        <v>0</v>
      </c>
      <c r="E1170" s="1507" t="e">
        <v>#DIV/0!</v>
      </c>
      <c r="F1170" s="1009" t="s">
        <v>1558</v>
      </c>
      <c r="G1170" s="1010">
        <v>0</v>
      </c>
      <c r="H1170" s="1010" t="e">
        <v>#DIV/0!</v>
      </c>
      <c r="I1170" s="1008"/>
      <c r="J1170" s="1008"/>
      <c r="K1170" s="1011"/>
      <c r="L1170" s="1007">
        <v>0</v>
      </c>
      <c r="M1170" s="1007">
        <v>0</v>
      </c>
      <c r="N1170" s="1007">
        <v>0</v>
      </c>
      <c r="O1170" s="1082" t="e">
        <v>#DIV/0!</v>
      </c>
      <c r="P1170" s="1603">
        <v>0</v>
      </c>
      <c r="Q1170" s="1607" t="e">
        <v>#DIV/0!</v>
      </c>
    </row>
    <row r="1171" spans="1:17" x14ac:dyDescent="0.2">
      <c r="A1171" s="7" t="s">
        <v>1934</v>
      </c>
      <c r="B1171" s="8"/>
      <c r="C1171" s="8"/>
      <c r="D1171" s="8"/>
      <c r="E1171" s="4"/>
      <c r="F1171" s="5"/>
      <c r="G1171" s="9"/>
      <c r="H1171" s="8"/>
      <c r="I1171" s="4"/>
      <c r="J1171" s="1"/>
      <c r="K1171" s="1"/>
      <c r="O1171" s="1"/>
      <c r="P1171" s="1"/>
      <c r="Q1171" s="2"/>
    </row>
    <row r="1172" spans="1:17" x14ac:dyDescent="0.2">
      <c r="A1172" s="6"/>
      <c r="B1172" s="8"/>
      <c r="C1172" s="8"/>
      <c r="D1172" s="8"/>
      <c r="E1172" s="4"/>
      <c r="F1172" s="5"/>
      <c r="G1172" s="9"/>
      <c r="H1172" s="8"/>
      <c r="I1172" s="4"/>
      <c r="J1172" s="1"/>
      <c r="K1172" s="1"/>
      <c r="O1172" s="1"/>
      <c r="P1172" s="1"/>
    </row>
    <row r="1173" spans="1:17" x14ac:dyDescent="0.2">
      <c r="A1173" s="6"/>
      <c r="B1173" s="8"/>
      <c r="C1173" s="8"/>
      <c r="D1173" s="8"/>
      <c r="E1173" s="4"/>
      <c r="F1173" s="5"/>
      <c r="G1173" s="9"/>
      <c r="H1173" s="8"/>
      <c r="I1173" s="4"/>
      <c r="J1173" s="1"/>
      <c r="K1173" s="1"/>
      <c r="O1173" s="1"/>
      <c r="P1173" s="1"/>
    </row>
    <row r="1174" spans="1:17" x14ac:dyDescent="0.2">
      <c r="A1174" s="6"/>
      <c r="B1174" s="8"/>
      <c r="C1174" s="8"/>
      <c r="D1174" s="8"/>
      <c r="E1174" s="4"/>
      <c r="F1174" s="5"/>
      <c r="G1174" s="9"/>
      <c r="H1174" s="8"/>
      <c r="I1174" s="4"/>
      <c r="J1174" s="1"/>
      <c r="K1174" s="1"/>
      <c r="O1174" s="1"/>
      <c r="P1174" s="1"/>
    </row>
    <row r="1175" spans="1:17" x14ac:dyDescent="0.2">
      <c r="A1175" s="6"/>
      <c r="B1175" s="8"/>
      <c r="C1175" s="8"/>
      <c r="D1175" s="8"/>
      <c r="E1175" s="2380"/>
      <c r="F1175" s="5"/>
      <c r="G1175" s="9"/>
      <c r="H1175" s="8"/>
      <c r="I1175" s="2380"/>
      <c r="J1175" s="2381"/>
      <c r="K1175" s="2381"/>
      <c r="O1175" s="2381"/>
      <c r="P1175" s="2381"/>
    </row>
    <row r="1176" spans="1:17" x14ac:dyDescent="0.2">
      <c r="A1176" s="6"/>
      <c r="B1176" s="8"/>
      <c r="C1176" s="8"/>
      <c r="D1176" s="8"/>
      <c r="E1176" s="2380"/>
      <c r="F1176" s="5"/>
      <c r="G1176" s="9"/>
      <c r="H1176" s="8"/>
      <c r="I1176" s="2380"/>
      <c r="J1176" s="2381"/>
      <c r="K1176" s="2381"/>
      <c r="O1176" s="2381"/>
      <c r="P1176" s="2381"/>
    </row>
    <row r="1177" spans="1:17" ht="15.75" customHeight="1" x14ac:dyDescent="0.25">
      <c r="A1177" s="2512" t="s">
        <v>1929</v>
      </c>
      <c r="B1177" s="2512"/>
      <c r="C1177" s="2512"/>
      <c r="D1177" s="2512"/>
      <c r="E1177" s="2512"/>
      <c r="F1177" s="2512"/>
      <c r="G1177" s="2512"/>
      <c r="H1177" s="2512"/>
      <c r="I1177" s="2512"/>
      <c r="J1177" s="2512"/>
      <c r="K1177" s="2512"/>
      <c r="L1177" s="2512"/>
      <c r="M1177" s="2512"/>
      <c r="N1177" s="2512"/>
      <c r="O1177" s="2512"/>
      <c r="P1177" s="2512"/>
      <c r="Q1177" s="2512"/>
    </row>
    <row r="1178" spans="1:17" x14ac:dyDescent="0.2">
      <c r="A1178" s="3"/>
      <c r="B1178" s="6"/>
      <c r="C1178" s="6"/>
      <c r="D1178" s="6"/>
      <c r="E1178" s="1"/>
      <c r="F1178" s="2"/>
      <c r="G1178" s="6"/>
      <c r="H1178" s="6"/>
      <c r="I1178" s="1"/>
      <c r="J1178" s="1"/>
      <c r="K1178" s="1"/>
      <c r="L1178" s="6"/>
      <c r="M1178" s="6"/>
      <c r="N1178" s="6"/>
      <c r="O1178" s="1"/>
      <c r="P1178" s="1"/>
      <c r="Q1178" s="6"/>
    </row>
    <row r="1179" spans="1:17" ht="13.5" thickBot="1" x14ac:dyDescent="0.25">
      <c r="A1179" s="3" t="s">
        <v>405</v>
      </c>
      <c r="B1179" s="6"/>
      <c r="C1179" s="6"/>
      <c r="D1179" s="6"/>
      <c r="E1179" s="1"/>
      <c r="F1179" s="2"/>
      <c r="G1179" s="6"/>
      <c r="H1179" s="6"/>
      <c r="I1179" s="1"/>
      <c r="J1179" s="1"/>
      <c r="K1179" s="1"/>
      <c r="L1179" s="6"/>
      <c r="M1179" s="6"/>
      <c r="N1179" s="6"/>
      <c r="O1179" s="1"/>
      <c r="P1179" s="1"/>
      <c r="Q1179" s="6"/>
    </row>
    <row r="1180" spans="1:17" ht="14.45" customHeight="1" thickBot="1" x14ac:dyDescent="0.25">
      <c r="A1180" s="2513" t="s">
        <v>327</v>
      </c>
      <c r="B1180" s="2516" t="s">
        <v>1935</v>
      </c>
      <c r="C1180" s="2517"/>
      <c r="D1180" s="2517"/>
      <c r="E1180" s="2517"/>
      <c r="F1180" s="2517"/>
      <c r="G1180" s="2517"/>
      <c r="H1180" s="2517"/>
      <c r="I1180" s="2517"/>
      <c r="J1180" s="2517"/>
      <c r="K1180" s="2517"/>
      <c r="L1180" s="2518" t="s">
        <v>1930</v>
      </c>
      <c r="M1180" s="2519"/>
      <c r="N1180" s="2519"/>
      <c r="O1180" s="2519"/>
      <c r="P1180" s="2520"/>
      <c r="Q1180" s="2521"/>
    </row>
    <row r="1181" spans="1:17" ht="14.45" customHeight="1" x14ac:dyDescent="0.2">
      <c r="A1181" s="2514"/>
      <c r="B1181" s="2522" t="s">
        <v>328</v>
      </c>
      <c r="C1181" s="2523"/>
      <c r="D1181" s="1014"/>
      <c r="E1181" s="1014" t="s">
        <v>904</v>
      </c>
      <c r="F1181" s="1014" t="s">
        <v>329</v>
      </c>
      <c r="G1181" s="1014"/>
      <c r="H1181" s="1014"/>
      <c r="I1181" s="2526" t="s">
        <v>330</v>
      </c>
      <c r="J1181" s="2527"/>
      <c r="K1181" s="2528"/>
      <c r="L1181" s="2524" t="s">
        <v>328</v>
      </c>
      <c r="M1181" s="2525"/>
      <c r="N1181" s="1021" t="s">
        <v>331</v>
      </c>
      <c r="O1181" s="1022" t="s">
        <v>332</v>
      </c>
      <c r="P1181" s="1023"/>
      <c r="Q1181" s="1024"/>
    </row>
    <row r="1182" spans="1:17" ht="14.45" customHeight="1" x14ac:dyDescent="0.2">
      <c r="A1182" s="2514"/>
      <c r="B1182" s="1014" t="s">
        <v>835</v>
      </c>
      <c r="C1182" s="1014" t="s">
        <v>335</v>
      </c>
      <c r="D1182" s="1014" t="s">
        <v>837</v>
      </c>
      <c r="E1182" s="1014" t="s">
        <v>842</v>
      </c>
      <c r="F1182" s="1014" t="s">
        <v>336</v>
      </c>
      <c r="G1182" s="1014" t="s">
        <v>337</v>
      </c>
      <c r="H1182" s="1014" t="s">
        <v>338</v>
      </c>
      <c r="I1182" s="2529" t="s">
        <v>839</v>
      </c>
      <c r="J1182" s="2530"/>
      <c r="K1182" s="2531"/>
      <c r="L1182" s="1025" t="s">
        <v>835</v>
      </c>
      <c r="M1182" s="1021" t="s">
        <v>335</v>
      </c>
      <c r="N1182" s="1021" t="s">
        <v>339</v>
      </c>
      <c r="O1182" s="1022"/>
      <c r="P1182" s="1021" t="s">
        <v>337</v>
      </c>
      <c r="Q1182" s="1024" t="s">
        <v>338</v>
      </c>
    </row>
    <row r="1183" spans="1:17" ht="14.45" customHeight="1" x14ac:dyDescent="0.2">
      <c r="A1183" s="2514"/>
      <c r="B1183" s="1014"/>
      <c r="C1183" s="1014"/>
      <c r="D1183" s="1014"/>
      <c r="E1183" s="1014"/>
      <c r="F1183" s="1014" t="s">
        <v>341</v>
      </c>
      <c r="G1183" s="1014" t="s">
        <v>342</v>
      </c>
      <c r="H1183" s="1014" t="s">
        <v>341</v>
      </c>
      <c r="I1183" s="1015"/>
      <c r="J1183" s="1016"/>
      <c r="K1183" s="1017"/>
      <c r="L1183" s="1025"/>
      <c r="M1183" s="1021"/>
      <c r="N1183" s="1021"/>
      <c r="O1183" s="1022" t="s">
        <v>344</v>
      </c>
      <c r="P1183" s="1021" t="s">
        <v>342</v>
      </c>
      <c r="Q1183" s="1024" t="s">
        <v>341</v>
      </c>
    </row>
    <row r="1184" spans="1:17" ht="14.45" customHeight="1" x14ac:dyDescent="0.2">
      <c r="A1184" s="2515"/>
      <c r="B1184" s="1018" t="s">
        <v>345</v>
      </c>
      <c r="C1184" s="1018" t="s">
        <v>345</v>
      </c>
      <c r="D1184" s="1018" t="s">
        <v>346</v>
      </c>
      <c r="E1184" s="1018" t="s">
        <v>757</v>
      </c>
      <c r="F1184" s="1018"/>
      <c r="G1184" s="1018" t="s">
        <v>347</v>
      </c>
      <c r="H1184" s="1018" t="s">
        <v>348</v>
      </c>
      <c r="I1184" s="1019" t="s">
        <v>349</v>
      </c>
      <c r="J1184" s="1019" t="s">
        <v>350</v>
      </c>
      <c r="K1184" s="1020" t="s">
        <v>351</v>
      </c>
      <c r="L1184" s="1026" t="s">
        <v>345</v>
      </c>
      <c r="M1184" s="1027" t="s">
        <v>345</v>
      </c>
      <c r="N1184" s="1027" t="s">
        <v>346</v>
      </c>
      <c r="O1184" s="1028"/>
      <c r="P1184" s="1027" t="s">
        <v>347</v>
      </c>
      <c r="Q1184" s="1029" t="s">
        <v>348</v>
      </c>
    </row>
    <row r="1185" spans="1:17" ht="14.45" customHeight="1" x14ac:dyDescent="0.2">
      <c r="A1185" s="975" t="s">
        <v>352</v>
      </c>
      <c r="B1185" s="976">
        <v>0</v>
      </c>
      <c r="C1185" s="976">
        <v>0</v>
      </c>
      <c r="D1185" s="977">
        <v>0</v>
      </c>
      <c r="E1185" s="1608" t="e">
        <v>#DIV/0!</v>
      </c>
      <c r="F1185" s="979"/>
      <c r="G1185" s="976"/>
      <c r="H1185" s="976"/>
      <c r="I1185" s="978"/>
      <c r="J1185" s="978"/>
      <c r="K1185" s="980"/>
      <c r="L1185" s="981">
        <v>0</v>
      </c>
      <c r="M1185" s="977">
        <v>0</v>
      </c>
      <c r="N1185" s="977">
        <v>0</v>
      </c>
      <c r="O1185" s="1608" t="e">
        <v>#DIV/0!</v>
      </c>
      <c r="P1185" s="1609"/>
      <c r="Q1185" s="1610"/>
    </row>
    <row r="1186" spans="1:17" ht="14.45" customHeight="1" x14ac:dyDescent="0.2">
      <c r="A1186" s="1481" t="s">
        <v>353</v>
      </c>
      <c r="B1186" s="1146">
        <v>0</v>
      </c>
      <c r="C1186" s="1146">
        <v>0</v>
      </c>
      <c r="D1186" s="957">
        <v>0</v>
      </c>
      <c r="E1186" s="2299">
        <v>0</v>
      </c>
      <c r="F1186" s="1342"/>
      <c r="G1186" s="1259"/>
      <c r="H1186" s="959"/>
      <c r="I1186" s="1489"/>
      <c r="J1186" s="960"/>
      <c r="K1186" s="961"/>
      <c r="L1186" s="2213">
        <v>0</v>
      </c>
      <c r="M1186" s="1146">
        <v>0</v>
      </c>
      <c r="N1186" s="1498">
        <v>0</v>
      </c>
      <c r="O1186" s="1147">
        <v>0</v>
      </c>
      <c r="P1186" s="1259"/>
      <c r="Q1186" s="1149"/>
    </row>
    <row r="1187" spans="1:17" ht="14.45" customHeight="1" x14ac:dyDescent="0.2">
      <c r="A1187" s="1481" t="s">
        <v>354</v>
      </c>
      <c r="B1187" s="1146">
        <v>0</v>
      </c>
      <c r="C1187" s="1146">
        <v>0</v>
      </c>
      <c r="D1187" s="957">
        <v>0</v>
      </c>
      <c r="E1187" s="2299">
        <v>0</v>
      </c>
      <c r="F1187" s="958"/>
      <c r="G1187" s="1259"/>
      <c r="H1187" s="959"/>
      <c r="I1187" s="1489"/>
      <c r="J1187" s="960"/>
      <c r="K1187" s="961"/>
      <c r="L1187" s="2213">
        <v>0</v>
      </c>
      <c r="M1187" s="1146">
        <v>0</v>
      </c>
      <c r="N1187" s="1498">
        <v>0</v>
      </c>
      <c r="O1187" s="1147">
        <v>0</v>
      </c>
      <c r="P1187" s="2274"/>
      <c r="Q1187" s="1606"/>
    </row>
    <row r="1188" spans="1:17" ht="14.45" customHeight="1" x14ac:dyDescent="0.2">
      <c r="A1188" s="1481" t="s">
        <v>355</v>
      </c>
      <c r="B1188" s="1146">
        <v>0</v>
      </c>
      <c r="C1188" s="1146">
        <v>0</v>
      </c>
      <c r="D1188" s="957">
        <v>0</v>
      </c>
      <c r="E1188" s="2299">
        <v>0</v>
      </c>
      <c r="F1188" s="1342"/>
      <c r="G1188" s="1259"/>
      <c r="H1188" s="959"/>
      <c r="I1188" s="1489"/>
      <c r="J1188" s="960"/>
      <c r="K1188" s="961"/>
      <c r="L1188" s="2213">
        <v>0</v>
      </c>
      <c r="M1188" s="1146">
        <v>0</v>
      </c>
      <c r="N1188" s="1498">
        <v>0</v>
      </c>
      <c r="O1188" s="1147">
        <v>0</v>
      </c>
      <c r="P1188" s="1259"/>
      <c r="Q1188" s="1606"/>
    </row>
    <row r="1189" spans="1:17" ht="14.45" customHeight="1" x14ac:dyDescent="0.2">
      <c r="A1189" s="1481" t="s">
        <v>356</v>
      </c>
      <c r="B1189" s="1146">
        <v>0</v>
      </c>
      <c r="C1189" s="1146">
        <v>0</v>
      </c>
      <c r="D1189" s="957">
        <v>0</v>
      </c>
      <c r="E1189" s="2299">
        <v>0</v>
      </c>
      <c r="F1189" s="1342"/>
      <c r="G1189" s="1259"/>
      <c r="H1189" s="959"/>
      <c r="I1189" s="1489"/>
      <c r="J1189" s="960"/>
      <c r="K1189" s="961"/>
      <c r="L1189" s="2213">
        <v>0</v>
      </c>
      <c r="M1189" s="1146">
        <v>0</v>
      </c>
      <c r="N1189" s="1498">
        <v>0</v>
      </c>
      <c r="O1189" s="1147">
        <v>0</v>
      </c>
      <c r="P1189" s="2274"/>
      <c r="Q1189" s="1606"/>
    </row>
    <row r="1190" spans="1:17" ht="14.45" customHeight="1" x14ac:dyDescent="0.2">
      <c r="A1190" s="1481" t="s">
        <v>357</v>
      </c>
      <c r="B1190" s="1146">
        <v>0</v>
      </c>
      <c r="C1190" s="1146">
        <v>0</v>
      </c>
      <c r="D1190" s="957">
        <v>0</v>
      </c>
      <c r="E1190" s="2299">
        <v>0</v>
      </c>
      <c r="F1190" s="1342"/>
      <c r="G1190" s="1259"/>
      <c r="H1190" s="959"/>
      <c r="I1190" s="1489"/>
      <c r="J1190" s="960"/>
      <c r="K1190" s="961"/>
      <c r="L1190" s="2213">
        <v>0</v>
      </c>
      <c r="M1190" s="1146">
        <v>0</v>
      </c>
      <c r="N1190" s="1498">
        <v>0</v>
      </c>
      <c r="O1190" s="1147">
        <v>0</v>
      </c>
      <c r="P1190" s="1259"/>
      <c r="Q1190" s="1606"/>
    </row>
    <row r="1191" spans="1:17" ht="14.45" customHeight="1" x14ac:dyDescent="0.2">
      <c r="A1191" s="1481" t="s">
        <v>358</v>
      </c>
      <c r="B1191" s="1146">
        <v>0</v>
      </c>
      <c r="C1191" s="1146">
        <v>0</v>
      </c>
      <c r="D1191" s="957">
        <v>0</v>
      </c>
      <c r="E1191" s="2299">
        <v>0</v>
      </c>
      <c r="F1191" s="964"/>
      <c r="G1191" s="1259"/>
      <c r="H1191" s="959"/>
      <c r="I1191" s="1489"/>
      <c r="J1191" s="960"/>
      <c r="K1191" s="961"/>
      <c r="L1191" s="2213">
        <v>0</v>
      </c>
      <c r="M1191" s="1146">
        <v>0</v>
      </c>
      <c r="N1191" s="1498">
        <v>0</v>
      </c>
      <c r="O1191" s="1147">
        <v>0</v>
      </c>
      <c r="P1191" s="2274"/>
      <c r="Q1191" s="1606"/>
    </row>
    <row r="1192" spans="1:17" ht="14.45" customHeight="1" x14ac:dyDescent="0.2">
      <c r="A1192" s="1481" t="s">
        <v>359</v>
      </c>
      <c r="B1192" s="1146">
        <v>0</v>
      </c>
      <c r="C1192" s="1146">
        <v>0</v>
      </c>
      <c r="D1192" s="957">
        <v>0</v>
      </c>
      <c r="E1192" s="2299">
        <v>0</v>
      </c>
      <c r="F1192" s="1342"/>
      <c r="G1192" s="1259"/>
      <c r="H1192" s="959"/>
      <c r="I1192" s="1489"/>
      <c r="J1192" s="960"/>
      <c r="K1192" s="961"/>
      <c r="L1192" s="2213">
        <v>0</v>
      </c>
      <c r="M1192" s="1146">
        <v>0</v>
      </c>
      <c r="N1192" s="1498">
        <v>0</v>
      </c>
      <c r="O1192" s="1147">
        <v>0</v>
      </c>
      <c r="P1192" s="1259"/>
      <c r="Q1192" s="1606"/>
    </row>
    <row r="1193" spans="1:17" ht="14.45" customHeight="1" x14ac:dyDescent="0.2">
      <c r="A1193" s="1481" t="s">
        <v>360</v>
      </c>
      <c r="B1193" s="1146">
        <v>0</v>
      </c>
      <c r="C1193" s="1146">
        <v>0</v>
      </c>
      <c r="D1193" s="957">
        <v>0</v>
      </c>
      <c r="E1193" s="2299">
        <v>0</v>
      </c>
      <c r="F1193" s="964"/>
      <c r="G1193" s="1259"/>
      <c r="H1193" s="959"/>
      <c r="I1193" s="1489"/>
      <c r="J1193" s="960"/>
      <c r="K1193" s="961"/>
      <c r="L1193" s="2213">
        <v>0</v>
      </c>
      <c r="M1193" s="1146">
        <v>0</v>
      </c>
      <c r="N1193" s="1498">
        <v>0</v>
      </c>
      <c r="O1193" s="1147">
        <v>0</v>
      </c>
      <c r="P1193" s="2274"/>
      <c r="Q1193" s="1606"/>
    </row>
    <row r="1194" spans="1:17" ht="14.45" customHeight="1" x14ac:dyDescent="0.2">
      <c r="A1194" s="1481" t="s">
        <v>361</v>
      </c>
      <c r="B1194" s="1146">
        <v>0</v>
      </c>
      <c r="C1194" s="1146">
        <v>0</v>
      </c>
      <c r="D1194" s="957">
        <v>0</v>
      </c>
      <c r="E1194" s="2299">
        <v>0</v>
      </c>
      <c r="F1194" s="1342"/>
      <c r="G1194" s="1259"/>
      <c r="H1194" s="959"/>
      <c r="I1194" s="1489"/>
      <c r="J1194" s="960"/>
      <c r="K1194" s="961"/>
      <c r="L1194" s="2304">
        <v>0</v>
      </c>
      <c r="M1194" s="1498">
        <v>0</v>
      </c>
      <c r="N1194" s="1498">
        <v>0</v>
      </c>
      <c r="O1194" s="1147">
        <v>0</v>
      </c>
      <c r="P1194" s="1259"/>
      <c r="Q1194" s="1606"/>
    </row>
    <row r="1195" spans="1:17" ht="14.45" customHeight="1" x14ac:dyDescent="0.2">
      <c r="A1195" s="1481" t="s">
        <v>362</v>
      </c>
      <c r="B1195" s="1146">
        <v>0</v>
      </c>
      <c r="C1195" s="1146">
        <v>0</v>
      </c>
      <c r="D1195" s="957">
        <v>0</v>
      </c>
      <c r="E1195" s="2299">
        <v>0</v>
      </c>
      <c r="F1195" s="1342"/>
      <c r="G1195" s="1259"/>
      <c r="H1195" s="959"/>
      <c r="I1195" s="1489"/>
      <c r="J1195" s="960"/>
      <c r="K1195" s="961"/>
      <c r="L1195" s="2213">
        <v>0</v>
      </c>
      <c r="M1195" s="1146">
        <v>0</v>
      </c>
      <c r="N1195" s="1498">
        <v>0</v>
      </c>
      <c r="O1195" s="1147">
        <v>0</v>
      </c>
      <c r="P1195" s="1259"/>
      <c r="Q1195" s="1606"/>
    </row>
    <row r="1196" spans="1:17" ht="14.45" customHeight="1" x14ac:dyDescent="0.2">
      <c r="A1196" s="1481" t="s">
        <v>363</v>
      </c>
      <c r="B1196" s="1146">
        <v>0</v>
      </c>
      <c r="C1196" s="1146">
        <v>0</v>
      </c>
      <c r="D1196" s="957">
        <v>0</v>
      </c>
      <c r="E1196" s="2299">
        <v>0</v>
      </c>
      <c r="F1196" s="964"/>
      <c r="G1196" s="1259"/>
      <c r="H1196" s="959"/>
      <c r="I1196" s="1489"/>
      <c r="J1196" s="960"/>
      <c r="K1196" s="961"/>
      <c r="L1196" s="2213">
        <v>0</v>
      </c>
      <c r="M1196" s="1146">
        <v>0</v>
      </c>
      <c r="N1196" s="1498">
        <v>0</v>
      </c>
      <c r="O1196" s="1147">
        <v>0</v>
      </c>
      <c r="P1196" s="2274"/>
      <c r="Q1196" s="1606"/>
    </row>
    <row r="1197" spans="1:17" ht="14.45" customHeight="1" x14ac:dyDescent="0.2">
      <c r="A1197" s="1481" t="s">
        <v>364</v>
      </c>
      <c r="B1197" s="1146">
        <v>0</v>
      </c>
      <c r="C1197" s="1146">
        <v>0</v>
      </c>
      <c r="D1197" s="957">
        <v>0</v>
      </c>
      <c r="E1197" s="2299">
        <v>0</v>
      </c>
      <c r="F1197" s="958"/>
      <c r="G1197" s="1259"/>
      <c r="H1197" s="959"/>
      <c r="I1197" s="1489"/>
      <c r="J1197" s="960"/>
      <c r="K1197" s="961"/>
      <c r="L1197" s="2213">
        <v>0</v>
      </c>
      <c r="M1197" s="1146">
        <v>0</v>
      </c>
      <c r="N1197" s="1498">
        <v>0</v>
      </c>
      <c r="O1197" s="1147">
        <v>0</v>
      </c>
      <c r="P1197" s="2274"/>
      <c r="Q1197" s="1606"/>
    </row>
    <row r="1198" spans="1:17" ht="14.45" customHeight="1" x14ac:dyDescent="0.2">
      <c r="A1198" s="1481" t="s">
        <v>365</v>
      </c>
      <c r="B1198" s="1146">
        <v>0</v>
      </c>
      <c r="C1198" s="1146">
        <v>0</v>
      </c>
      <c r="D1198" s="957">
        <v>0</v>
      </c>
      <c r="E1198" s="2299">
        <v>0</v>
      </c>
      <c r="F1198" s="964"/>
      <c r="G1198" s="1259"/>
      <c r="H1198" s="959"/>
      <c r="I1198" s="1489"/>
      <c r="J1198" s="960"/>
      <c r="K1198" s="961"/>
      <c r="L1198" s="2213">
        <v>0</v>
      </c>
      <c r="M1198" s="1146">
        <v>0</v>
      </c>
      <c r="N1198" s="1498">
        <v>0</v>
      </c>
      <c r="O1198" s="1147">
        <v>0</v>
      </c>
      <c r="P1198" s="2274"/>
      <c r="Q1198" s="1606"/>
    </row>
    <row r="1199" spans="1:17" ht="14.45" customHeight="1" x14ac:dyDescent="0.2">
      <c r="A1199" s="1481" t="s">
        <v>366</v>
      </c>
      <c r="B1199" s="1146">
        <v>0</v>
      </c>
      <c r="C1199" s="1146">
        <v>0</v>
      </c>
      <c r="D1199" s="957">
        <v>0</v>
      </c>
      <c r="E1199" s="2299">
        <v>0</v>
      </c>
      <c r="F1199" s="1342"/>
      <c r="G1199" s="1259"/>
      <c r="H1199" s="959"/>
      <c r="I1199" s="1489"/>
      <c r="J1199" s="960"/>
      <c r="K1199" s="961"/>
      <c r="L1199" s="2213">
        <v>0</v>
      </c>
      <c r="M1199" s="1146">
        <v>0</v>
      </c>
      <c r="N1199" s="1498">
        <v>0</v>
      </c>
      <c r="O1199" s="1147">
        <v>0</v>
      </c>
      <c r="P1199" s="2274"/>
      <c r="Q1199" s="1606"/>
    </row>
    <row r="1200" spans="1:17" ht="14.45" customHeight="1" x14ac:dyDescent="0.2">
      <c r="A1200" s="1481" t="s">
        <v>367</v>
      </c>
      <c r="B1200" s="1146">
        <v>0</v>
      </c>
      <c r="C1200" s="1146">
        <v>0</v>
      </c>
      <c r="D1200" s="957">
        <v>0</v>
      </c>
      <c r="E1200" s="2299">
        <v>0</v>
      </c>
      <c r="F1200" s="1342"/>
      <c r="G1200" s="1259"/>
      <c r="H1200" s="959"/>
      <c r="I1200" s="1489"/>
      <c r="J1200" s="960"/>
      <c r="K1200" s="961"/>
      <c r="L1200" s="2213">
        <v>0</v>
      </c>
      <c r="M1200" s="1146">
        <v>0</v>
      </c>
      <c r="N1200" s="1498">
        <v>0</v>
      </c>
      <c r="O1200" s="1147">
        <v>0</v>
      </c>
      <c r="P1200" s="2274"/>
      <c r="Q1200" s="1606"/>
    </row>
    <row r="1201" spans="1:17" ht="14.45" customHeight="1" x14ac:dyDescent="0.2">
      <c r="A1201" s="1484" t="s">
        <v>368</v>
      </c>
      <c r="B1201" s="1002">
        <v>0</v>
      </c>
      <c r="C1201" s="984">
        <v>0</v>
      </c>
      <c r="D1201" s="2308">
        <v>0</v>
      </c>
      <c r="E1201" s="1970" t="e">
        <v>#DIV/0!</v>
      </c>
      <c r="F1201" s="987"/>
      <c r="G1201" s="1486"/>
      <c r="H1201" s="988"/>
      <c r="I1201" s="1490"/>
      <c r="J1201" s="989"/>
      <c r="K1201" s="990"/>
      <c r="L1201" s="999">
        <v>0</v>
      </c>
      <c r="M1201" s="1485">
        <v>0</v>
      </c>
      <c r="N1201" s="1485">
        <v>0</v>
      </c>
      <c r="O1201" s="1608" t="e">
        <v>#DIV/0!</v>
      </c>
      <c r="P1201" s="2275"/>
      <c r="Q1201" s="1605"/>
    </row>
    <row r="1202" spans="1:17" ht="14.45" customHeight="1" x14ac:dyDescent="0.2">
      <c r="A1202" s="1481" t="s">
        <v>369</v>
      </c>
      <c r="B1202" s="1146">
        <v>0</v>
      </c>
      <c r="C1202" s="1146">
        <v>0</v>
      </c>
      <c r="D1202" s="957">
        <v>0</v>
      </c>
      <c r="E1202" s="2299">
        <v>0</v>
      </c>
      <c r="F1202" s="964"/>
      <c r="G1202" s="1259"/>
      <c r="H1202" s="959"/>
      <c r="I1202" s="1489"/>
      <c r="J1202" s="960"/>
      <c r="K1202" s="961"/>
      <c r="L1202" s="2213">
        <v>0</v>
      </c>
      <c r="M1202" s="1146">
        <v>0</v>
      </c>
      <c r="N1202" s="1498">
        <v>0</v>
      </c>
      <c r="O1202" s="1147">
        <v>0</v>
      </c>
      <c r="P1202" s="2274"/>
      <c r="Q1202" s="1606"/>
    </row>
    <row r="1203" spans="1:17" ht="14.45" customHeight="1" x14ac:dyDescent="0.2">
      <c r="A1203" s="1481" t="s">
        <v>370</v>
      </c>
      <c r="B1203" s="1146">
        <v>0</v>
      </c>
      <c r="C1203" s="1146">
        <v>0</v>
      </c>
      <c r="D1203" s="957">
        <v>0</v>
      </c>
      <c r="E1203" s="2299">
        <v>0</v>
      </c>
      <c r="F1203" s="964"/>
      <c r="G1203" s="1259"/>
      <c r="H1203" s="959"/>
      <c r="I1203" s="1489"/>
      <c r="J1203" s="960"/>
      <c r="K1203" s="961"/>
      <c r="L1203" s="2213">
        <v>0</v>
      </c>
      <c r="M1203" s="1146">
        <v>0</v>
      </c>
      <c r="N1203" s="1498">
        <v>0</v>
      </c>
      <c r="O1203" s="1147">
        <v>0</v>
      </c>
      <c r="P1203" s="2274"/>
      <c r="Q1203" s="1606"/>
    </row>
    <row r="1204" spans="1:17" ht="14.45" customHeight="1" x14ac:dyDescent="0.2">
      <c r="A1204" s="1481" t="s">
        <v>371</v>
      </c>
      <c r="B1204" s="1146">
        <v>0</v>
      </c>
      <c r="C1204" s="1146">
        <v>0</v>
      </c>
      <c r="D1204" s="957">
        <v>0</v>
      </c>
      <c r="E1204" s="2299">
        <v>0</v>
      </c>
      <c r="F1204" s="964"/>
      <c r="G1204" s="1259"/>
      <c r="H1204" s="959"/>
      <c r="I1204" s="1489"/>
      <c r="J1204" s="960"/>
      <c r="K1204" s="961"/>
      <c r="L1204" s="2213">
        <v>0</v>
      </c>
      <c r="M1204" s="1146">
        <v>0</v>
      </c>
      <c r="N1204" s="1498">
        <v>0</v>
      </c>
      <c r="O1204" s="1147">
        <v>0</v>
      </c>
      <c r="P1204" s="2274"/>
      <c r="Q1204" s="1606"/>
    </row>
    <row r="1205" spans="1:17" ht="14.45" customHeight="1" x14ac:dyDescent="0.2">
      <c r="A1205" s="1481" t="s">
        <v>372</v>
      </c>
      <c r="B1205" s="1146">
        <v>0</v>
      </c>
      <c r="C1205" s="1146">
        <v>0</v>
      </c>
      <c r="D1205" s="957">
        <v>0</v>
      </c>
      <c r="E1205" s="2299">
        <v>0</v>
      </c>
      <c r="F1205" s="964"/>
      <c r="G1205" s="1259"/>
      <c r="H1205" s="959"/>
      <c r="I1205" s="1489"/>
      <c r="J1205" s="960"/>
      <c r="K1205" s="961"/>
      <c r="L1205" s="2213">
        <v>0</v>
      </c>
      <c r="M1205" s="1146">
        <v>0</v>
      </c>
      <c r="N1205" s="1498">
        <v>0</v>
      </c>
      <c r="O1205" s="1147">
        <v>0</v>
      </c>
      <c r="P1205" s="2274"/>
      <c r="Q1205" s="1606"/>
    </row>
    <row r="1206" spans="1:17" ht="14.45" customHeight="1" x14ac:dyDescent="0.2">
      <c r="A1206" s="1481" t="s">
        <v>373</v>
      </c>
      <c r="B1206" s="1146">
        <v>0</v>
      </c>
      <c r="C1206" s="1146">
        <v>0</v>
      </c>
      <c r="D1206" s="957">
        <v>0</v>
      </c>
      <c r="E1206" s="2299">
        <v>0</v>
      </c>
      <c r="F1206" s="1342"/>
      <c r="G1206" s="1259"/>
      <c r="H1206" s="959"/>
      <c r="I1206" s="1489"/>
      <c r="J1206" s="960"/>
      <c r="K1206" s="961"/>
      <c r="L1206" s="2213">
        <v>0</v>
      </c>
      <c r="M1206" s="1146">
        <v>0</v>
      </c>
      <c r="N1206" s="1498">
        <v>0</v>
      </c>
      <c r="O1206" s="1147">
        <v>0</v>
      </c>
      <c r="P1206" s="1259"/>
      <c r="Q1206" s="1606"/>
    </row>
    <row r="1207" spans="1:17" ht="14.45" customHeight="1" x14ac:dyDescent="0.2">
      <c r="A1207" s="1484" t="s">
        <v>374</v>
      </c>
      <c r="B1207" s="1002">
        <v>0</v>
      </c>
      <c r="C1207" s="984">
        <v>0</v>
      </c>
      <c r="D1207" s="984">
        <v>0</v>
      </c>
      <c r="E1207" s="1970" t="e">
        <v>#DIV/0!</v>
      </c>
      <c r="F1207" s="987"/>
      <c r="G1207" s="1488"/>
      <c r="H1207" s="996"/>
      <c r="I1207" s="1491"/>
      <c r="J1207" s="997"/>
      <c r="K1207" s="998"/>
      <c r="L1207" s="999">
        <v>0</v>
      </c>
      <c r="M1207" s="1485">
        <v>0</v>
      </c>
      <c r="N1207" s="1485">
        <v>0</v>
      </c>
      <c r="O1207" s="1608" t="e">
        <v>#DIV/0!</v>
      </c>
      <c r="P1207" s="2275"/>
      <c r="Q1207" s="1605"/>
    </row>
    <row r="1208" spans="1:17" ht="14.45" customHeight="1" x14ac:dyDescent="0.2">
      <c r="A1208" s="1481" t="s">
        <v>375</v>
      </c>
      <c r="B1208" s="1146">
        <v>0</v>
      </c>
      <c r="C1208" s="1146">
        <v>0</v>
      </c>
      <c r="D1208" s="957">
        <v>0</v>
      </c>
      <c r="E1208" s="2299">
        <v>0</v>
      </c>
      <c r="F1208" s="1342"/>
      <c r="G1208" s="1259"/>
      <c r="H1208" s="959"/>
      <c r="I1208" s="1489"/>
      <c r="J1208" s="960"/>
      <c r="K1208" s="961"/>
      <c r="L1208" s="2213">
        <v>0</v>
      </c>
      <c r="M1208" s="1146">
        <v>0</v>
      </c>
      <c r="N1208" s="1498">
        <v>0</v>
      </c>
      <c r="O1208" s="1147">
        <v>0</v>
      </c>
      <c r="P1208" s="1259"/>
      <c r="Q1208" s="1606"/>
    </row>
    <row r="1209" spans="1:17" ht="14.45" customHeight="1" x14ac:dyDescent="0.2">
      <c r="A1209" s="1481" t="s">
        <v>376</v>
      </c>
      <c r="B1209" s="1146">
        <v>0</v>
      </c>
      <c r="C1209" s="1146">
        <v>0</v>
      </c>
      <c r="D1209" s="957">
        <v>0</v>
      </c>
      <c r="E1209" s="2299">
        <v>0</v>
      </c>
      <c r="F1209" s="1342"/>
      <c r="G1209" s="1259"/>
      <c r="H1209" s="959"/>
      <c r="I1209" s="1489"/>
      <c r="J1209" s="960"/>
      <c r="K1209" s="961"/>
      <c r="L1209" s="2213">
        <v>0</v>
      </c>
      <c r="M1209" s="1146">
        <v>0</v>
      </c>
      <c r="N1209" s="1498">
        <v>0</v>
      </c>
      <c r="O1209" s="1147">
        <v>0</v>
      </c>
      <c r="P1209" s="1259"/>
      <c r="Q1209" s="1606"/>
    </row>
    <row r="1210" spans="1:17" ht="14.45" customHeight="1" x14ac:dyDescent="0.2">
      <c r="A1210" s="1481" t="s">
        <v>377</v>
      </c>
      <c r="B1210" s="1146">
        <v>0</v>
      </c>
      <c r="C1210" s="1146">
        <v>0</v>
      </c>
      <c r="D1210" s="957">
        <v>0</v>
      </c>
      <c r="E1210" s="2299">
        <v>0</v>
      </c>
      <c r="F1210" s="1342"/>
      <c r="G1210" s="1259"/>
      <c r="H1210" s="959"/>
      <c r="I1210" s="1489"/>
      <c r="J1210" s="960"/>
      <c r="K1210" s="961"/>
      <c r="L1210" s="2213">
        <v>0</v>
      </c>
      <c r="M1210" s="1146">
        <v>0</v>
      </c>
      <c r="N1210" s="1498">
        <v>0</v>
      </c>
      <c r="O1210" s="1147">
        <v>0</v>
      </c>
      <c r="P1210" s="1259"/>
      <c r="Q1210" s="1606"/>
    </row>
    <row r="1211" spans="1:17" ht="14.45" customHeight="1" x14ac:dyDescent="0.2">
      <c r="A1211" s="1481" t="s">
        <v>378</v>
      </c>
      <c r="B1211" s="1146">
        <v>0</v>
      </c>
      <c r="C1211" s="1146">
        <v>0</v>
      </c>
      <c r="D1211" s="957">
        <v>0</v>
      </c>
      <c r="E1211" s="2299">
        <v>0</v>
      </c>
      <c r="F1211" s="1342"/>
      <c r="G1211" s="1259"/>
      <c r="H1211" s="959"/>
      <c r="I1211" s="1492"/>
      <c r="J1211" s="960"/>
      <c r="K1211" s="967"/>
      <c r="L1211" s="2213">
        <v>0</v>
      </c>
      <c r="M1211" s="1146">
        <v>0</v>
      </c>
      <c r="N1211" s="1498">
        <v>0</v>
      </c>
      <c r="O1211" s="1147">
        <v>0</v>
      </c>
      <c r="P1211" s="1259"/>
      <c r="Q1211" s="1606"/>
    </row>
    <row r="1212" spans="1:17" ht="14.45" customHeight="1" x14ac:dyDescent="0.2">
      <c r="A1212" s="1481" t="s">
        <v>379</v>
      </c>
      <c r="B1212" s="1146">
        <v>0</v>
      </c>
      <c r="C1212" s="1146">
        <v>0</v>
      </c>
      <c r="D1212" s="957">
        <v>0</v>
      </c>
      <c r="E1212" s="2299">
        <v>0</v>
      </c>
      <c r="F1212" s="1342"/>
      <c r="G1212" s="1259"/>
      <c r="H1212" s="959"/>
      <c r="I1212" s="1492"/>
      <c r="J1212" s="960"/>
      <c r="K1212" s="967"/>
      <c r="L1212" s="2213">
        <v>0</v>
      </c>
      <c r="M1212" s="1146">
        <v>0</v>
      </c>
      <c r="N1212" s="1498">
        <v>0</v>
      </c>
      <c r="O1212" s="1147">
        <v>0</v>
      </c>
      <c r="P1212" s="2274"/>
      <c r="Q1212" s="1606"/>
    </row>
    <row r="1213" spans="1:17" ht="14.45" customHeight="1" x14ac:dyDescent="0.2">
      <c r="A1213" s="1481" t="s">
        <v>380</v>
      </c>
      <c r="B1213" s="1146">
        <v>0</v>
      </c>
      <c r="C1213" s="1146">
        <v>0</v>
      </c>
      <c r="D1213" s="957">
        <v>0</v>
      </c>
      <c r="E1213" s="2299">
        <v>0</v>
      </c>
      <c r="F1213" s="958"/>
      <c r="G1213" s="1500"/>
      <c r="H1213" s="965"/>
      <c r="I1213" s="1492"/>
      <c r="J1213" s="960"/>
      <c r="K1213" s="967"/>
      <c r="L1213" s="2213">
        <v>0</v>
      </c>
      <c r="M1213" s="1146">
        <v>0</v>
      </c>
      <c r="N1213" s="1498">
        <v>0</v>
      </c>
      <c r="O1213" s="1147">
        <v>0</v>
      </c>
      <c r="P1213" s="1261"/>
      <c r="Q1213" s="1606"/>
    </row>
    <row r="1214" spans="1:17" ht="14.45" customHeight="1" x14ac:dyDescent="0.2">
      <c r="A1214" s="1481" t="s">
        <v>381</v>
      </c>
      <c r="B1214" s="1146">
        <v>0</v>
      </c>
      <c r="C1214" s="1146">
        <v>0</v>
      </c>
      <c r="D1214" s="957">
        <v>0</v>
      </c>
      <c r="E1214" s="2299">
        <v>0</v>
      </c>
      <c r="F1214" s="1342"/>
      <c r="G1214" s="1259"/>
      <c r="H1214" s="959"/>
      <c r="I1214" s="1492"/>
      <c r="J1214" s="960"/>
      <c r="K1214" s="967"/>
      <c r="L1214" s="2213">
        <v>0</v>
      </c>
      <c r="M1214" s="1146">
        <v>0</v>
      </c>
      <c r="N1214" s="1498">
        <v>0</v>
      </c>
      <c r="O1214" s="1147">
        <v>0</v>
      </c>
      <c r="P1214" s="1261"/>
      <c r="Q1214" s="1606"/>
    </row>
    <row r="1215" spans="1:17" ht="14.45" customHeight="1" x14ac:dyDescent="0.2">
      <c r="A1215" s="1481" t="s">
        <v>382</v>
      </c>
      <c r="B1215" s="1146">
        <v>0</v>
      </c>
      <c r="C1215" s="1146">
        <v>0</v>
      </c>
      <c r="D1215" s="957">
        <v>0</v>
      </c>
      <c r="E1215" s="2299">
        <v>0</v>
      </c>
      <c r="F1215" s="958"/>
      <c r="G1215" s="965"/>
      <c r="H1215" s="965"/>
      <c r="I1215" s="1492"/>
      <c r="J1215" s="966"/>
      <c r="K1215" s="967"/>
      <c r="L1215" s="2213">
        <v>0</v>
      </c>
      <c r="M1215" s="1146">
        <v>0</v>
      </c>
      <c r="N1215" s="1498">
        <v>0</v>
      </c>
      <c r="O1215" s="1147">
        <v>0</v>
      </c>
      <c r="P1215" s="1261"/>
      <c r="Q1215" s="1606"/>
    </row>
    <row r="1216" spans="1:17" ht="14.45" customHeight="1" x14ac:dyDescent="0.2">
      <c r="A1216" s="1484" t="s">
        <v>383</v>
      </c>
      <c r="B1216" s="1002">
        <v>0</v>
      </c>
      <c r="C1216" s="1002">
        <v>0</v>
      </c>
      <c r="D1216" s="1002">
        <v>0</v>
      </c>
      <c r="E1216" s="2320"/>
      <c r="F1216" s="1003"/>
      <c r="G1216" s="1004"/>
      <c r="H1216" s="1004"/>
      <c r="I1216" s="1501"/>
      <c r="J1216" s="1005"/>
      <c r="K1216" s="949"/>
      <c r="L1216" s="999">
        <v>0</v>
      </c>
      <c r="M1216" s="1485">
        <v>0</v>
      </c>
      <c r="N1216" s="1485">
        <v>0</v>
      </c>
      <c r="O1216" s="2278"/>
      <c r="P1216" s="1604"/>
      <c r="Q1216" s="1605"/>
    </row>
    <row r="1217" spans="1:17" ht="14.45" customHeight="1" x14ac:dyDescent="0.2">
      <c r="A1217" s="1481" t="s">
        <v>384</v>
      </c>
      <c r="B1217" s="1146">
        <v>0</v>
      </c>
      <c r="C1217" s="1146">
        <v>0</v>
      </c>
      <c r="D1217" s="957">
        <v>0</v>
      </c>
      <c r="E1217" s="2300">
        <v>0</v>
      </c>
      <c r="F1217" s="958"/>
      <c r="G1217" s="965"/>
      <c r="H1217" s="965"/>
      <c r="I1217" s="1492"/>
      <c r="J1217" s="966"/>
      <c r="K1217" s="967"/>
      <c r="L1217" s="2304">
        <v>0</v>
      </c>
      <c r="M1217" s="1498">
        <v>0</v>
      </c>
      <c r="N1217" s="1498">
        <v>0</v>
      </c>
      <c r="O1217" s="1147">
        <v>0</v>
      </c>
      <c r="P1217" s="1261"/>
      <c r="Q1217" s="1606"/>
    </row>
    <row r="1218" spans="1:17" ht="14.45" customHeight="1" x14ac:dyDescent="0.2">
      <c r="A1218" s="1481" t="s">
        <v>385</v>
      </c>
      <c r="B1218" s="1146">
        <v>0</v>
      </c>
      <c r="C1218" s="1146">
        <v>0</v>
      </c>
      <c r="D1218" s="957">
        <v>0</v>
      </c>
      <c r="E1218" s="2299">
        <v>0</v>
      </c>
      <c r="F1218" s="958"/>
      <c r="G1218" s="965"/>
      <c r="H1218" s="965"/>
      <c r="I1218" s="1492"/>
      <c r="J1218" s="966"/>
      <c r="K1218" s="967"/>
      <c r="L1218" s="2213">
        <v>0</v>
      </c>
      <c r="M1218" s="1146">
        <v>0</v>
      </c>
      <c r="N1218" s="1498">
        <v>0</v>
      </c>
      <c r="O1218" s="1147">
        <v>0</v>
      </c>
      <c r="P1218" s="1261"/>
      <c r="Q1218" s="1606"/>
    </row>
    <row r="1219" spans="1:17" ht="14.45" customHeight="1" x14ac:dyDescent="0.2">
      <c r="A1219" s="1481" t="s">
        <v>386</v>
      </c>
      <c r="B1219" s="1146">
        <v>0</v>
      </c>
      <c r="C1219" s="1146">
        <v>0</v>
      </c>
      <c r="D1219" s="957">
        <v>0</v>
      </c>
      <c r="E1219" s="2299">
        <v>0</v>
      </c>
      <c r="F1219" s="958"/>
      <c r="G1219" s="965"/>
      <c r="H1219" s="965"/>
      <c r="I1219" s="1492"/>
      <c r="J1219" s="966"/>
      <c r="K1219" s="967"/>
      <c r="L1219" s="2213">
        <v>0</v>
      </c>
      <c r="M1219" s="1146">
        <v>0</v>
      </c>
      <c r="N1219" s="1498">
        <v>0</v>
      </c>
      <c r="O1219" s="1147">
        <v>0</v>
      </c>
      <c r="P1219" s="1261"/>
      <c r="Q1219" s="1606"/>
    </row>
    <row r="1220" spans="1:17" ht="14.45" customHeight="1" x14ac:dyDescent="0.2">
      <c r="A1220" s="1481" t="s">
        <v>387</v>
      </c>
      <c r="B1220" s="1146">
        <v>0</v>
      </c>
      <c r="C1220" s="1146">
        <v>0</v>
      </c>
      <c r="D1220" s="957">
        <v>0</v>
      </c>
      <c r="E1220" s="2299">
        <v>0</v>
      </c>
      <c r="F1220" s="958"/>
      <c r="G1220" s="965"/>
      <c r="H1220" s="965"/>
      <c r="I1220" s="1492"/>
      <c r="J1220" s="966"/>
      <c r="K1220" s="967"/>
      <c r="L1220" s="2213">
        <v>0</v>
      </c>
      <c r="M1220" s="1146">
        <v>0</v>
      </c>
      <c r="N1220" s="1498">
        <v>0</v>
      </c>
      <c r="O1220" s="1147">
        <v>0</v>
      </c>
      <c r="P1220" s="1261"/>
      <c r="Q1220" s="1606"/>
    </row>
    <row r="1221" spans="1:17" ht="14.45" customHeight="1" x14ac:dyDescent="0.2">
      <c r="A1221" s="1481" t="s">
        <v>388</v>
      </c>
      <c r="B1221" s="1146">
        <v>0</v>
      </c>
      <c r="C1221" s="1146">
        <v>0</v>
      </c>
      <c r="D1221" s="957">
        <v>0</v>
      </c>
      <c r="E1221" s="2299">
        <v>0</v>
      </c>
      <c r="F1221" s="958"/>
      <c r="G1221" s="965"/>
      <c r="H1221" s="965"/>
      <c r="I1221" s="1492"/>
      <c r="J1221" s="966"/>
      <c r="K1221" s="967"/>
      <c r="L1221" s="2213">
        <v>0</v>
      </c>
      <c r="M1221" s="1146">
        <v>0</v>
      </c>
      <c r="N1221" s="1498">
        <v>0</v>
      </c>
      <c r="O1221" s="1147">
        <v>0</v>
      </c>
      <c r="P1221" s="1261"/>
      <c r="Q1221" s="1606"/>
    </row>
    <row r="1222" spans="1:17" ht="14.45" customHeight="1" x14ac:dyDescent="0.2">
      <c r="A1222" s="1481" t="s">
        <v>389</v>
      </c>
      <c r="B1222" s="1146">
        <v>0</v>
      </c>
      <c r="C1222" s="1146">
        <v>0</v>
      </c>
      <c r="D1222" s="957">
        <v>0</v>
      </c>
      <c r="E1222" s="2299">
        <v>0</v>
      </c>
      <c r="F1222" s="958"/>
      <c r="G1222" s="965"/>
      <c r="H1222" s="965"/>
      <c r="I1222" s="1492"/>
      <c r="J1222" s="966"/>
      <c r="K1222" s="967"/>
      <c r="L1222" s="2213">
        <v>0</v>
      </c>
      <c r="M1222" s="1146">
        <v>0</v>
      </c>
      <c r="N1222" s="1498">
        <v>0</v>
      </c>
      <c r="O1222" s="1147">
        <v>0</v>
      </c>
      <c r="P1222" s="1261"/>
      <c r="Q1222" s="1606"/>
    </row>
    <row r="1223" spans="1:17" ht="14.45" customHeight="1" x14ac:dyDescent="0.2">
      <c r="A1223" s="1481" t="s">
        <v>390</v>
      </c>
      <c r="B1223" s="1146">
        <v>0</v>
      </c>
      <c r="C1223" s="1146">
        <v>0</v>
      </c>
      <c r="D1223" s="957">
        <v>0</v>
      </c>
      <c r="E1223" s="2299">
        <v>0</v>
      </c>
      <c r="F1223" s="958"/>
      <c r="G1223" s="965"/>
      <c r="H1223" s="965"/>
      <c r="I1223" s="1492"/>
      <c r="J1223" s="966"/>
      <c r="K1223" s="967"/>
      <c r="L1223" s="2213">
        <v>0</v>
      </c>
      <c r="M1223" s="1146">
        <v>0</v>
      </c>
      <c r="N1223" s="1498">
        <v>0</v>
      </c>
      <c r="O1223" s="1147">
        <v>0</v>
      </c>
      <c r="P1223" s="1261"/>
      <c r="Q1223" s="1606"/>
    </row>
    <row r="1224" spans="1:17" ht="14.45" customHeight="1" x14ac:dyDescent="0.2">
      <c r="A1224" s="954" t="s">
        <v>391</v>
      </c>
      <c r="B1224" s="1146">
        <v>0</v>
      </c>
      <c r="C1224" s="1146">
        <v>0</v>
      </c>
      <c r="D1224" s="957">
        <v>0</v>
      </c>
      <c r="E1224" s="2299">
        <v>0</v>
      </c>
      <c r="F1224" s="958"/>
      <c r="G1224" s="965"/>
      <c r="H1224" s="965"/>
      <c r="I1224" s="966"/>
      <c r="J1224" s="966"/>
      <c r="K1224" s="967"/>
      <c r="L1224" s="2213">
        <v>0</v>
      </c>
      <c r="M1224" s="1146">
        <v>0</v>
      </c>
      <c r="N1224" s="1498">
        <v>0</v>
      </c>
      <c r="O1224" s="1147">
        <v>0</v>
      </c>
      <c r="P1224" s="1261"/>
      <c r="Q1224" s="1606"/>
    </row>
    <row r="1225" spans="1:17" ht="14.45" customHeight="1" x14ac:dyDescent="0.2">
      <c r="A1225" s="953" t="s">
        <v>392</v>
      </c>
      <c r="B1225" s="1146">
        <v>0</v>
      </c>
      <c r="C1225" s="1146">
        <v>0</v>
      </c>
      <c r="D1225" s="957">
        <v>0</v>
      </c>
      <c r="E1225" s="2299">
        <v>0</v>
      </c>
      <c r="F1225" s="972"/>
      <c r="G1225" s="970"/>
      <c r="H1225" s="970"/>
      <c r="I1225" s="973"/>
      <c r="J1225" s="973"/>
      <c r="K1225" s="974"/>
      <c r="L1225" s="2213">
        <v>0</v>
      </c>
      <c r="M1225" s="1146">
        <v>0</v>
      </c>
      <c r="N1225" s="1537">
        <v>0</v>
      </c>
      <c r="O1225" s="1147">
        <v>0</v>
      </c>
      <c r="P1225" s="1621"/>
      <c r="Q1225" s="1622"/>
    </row>
    <row r="1226" spans="1:17" ht="14.45" customHeight="1" thickBot="1" x14ac:dyDescent="0.25">
      <c r="A1226" s="1006" t="s">
        <v>393</v>
      </c>
      <c r="B1226" s="1007">
        <v>0</v>
      </c>
      <c r="C1226" s="1007">
        <v>0</v>
      </c>
      <c r="D1226" s="1007">
        <v>0</v>
      </c>
      <c r="E1226" s="1482" t="e">
        <v>#DIV/0!</v>
      </c>
      <c r="F1226" s="1480" t="s">
        <v>989</v>
      </c>
      <c r="G1226" s="1085" t="e">
        <v>#DIV/0!</v>
      </c>
      <c r="H1226" s="1085" t="e">
        <v>#DIV/0!</v>
      </c>
      <c r="I1226" s="1008"/>
      <c r="J1226" s="1008" t="s">
        <v>983</v>
      </c>
      <c r="K1226" s="1011"/>
      <c r="L1226" s="1084">
        <v>0</v>
      </c>
      <c r="M1226" s="1084">
        <v>0</v>
      </c>
      <c r="N1226" s="1007">
        <v>0</v>
      </c>
      <c r="O1226" s="1083" t="e">
        <v>#DIV/0!</v>
      </c>
      <c r="P1226" s="1603" t="e">
        <v>#DIV/0!</v>
      </c>
      <c r="Q1226" s="1607" t="e">
        <v>#DIV/0!</v>
      </c>
    </row>
    <row r="1227" spans="1:17" x14ac:dyDescent="0.2">
      <c r="A1227" s="7" t="s">
        <v>1934</v>
      </c>
      <c r="B1227" s="8"/>
      <c r="C1227" s="8"/>
      <c r="D1227" s="8"/>
      <c r="E1227" s="4"/>
      <c r="F1227" s="5"/>
      <c r="G1227" s="9"/>
      <c r="H1227" s="8"/>
      <c r="I1227" s="4"/>
      <c r="J1227" s="1"/>
      <c r="K1227" s="1"/>
      <c r="O1227" s="1"/>
      <c r="P1227" s="1"/>
    </row>
    <row r="1228" spans="1:17" x14ac:dyDescent="0.2">
      <c r="A1228" s="6"/>
      <c r="B1228" s="8"/>
      <c r="C1228" s="8"/>
      <c r="D1228" s="8"/>
      <c r="E1228" s="4"/>
      <c r="F1228" s="5"/>
      <c r="G1228" s="9"/>
      <c r="H1228" s="8"/>
      <c r="I1228" s="4"/>
      <c r="J1228" s="1"/>
      <c r="K1228" s="1"/>
      <c r="L1228" s="397"/>
      <c r="O1228" s="1"/>
      <c r="P1228" s="1"/>
    </row>
    <row r="1229" spans="1:17" x14ac:dyDescent="0.2">
      <c r="A1229" s="1631"/>
      <c r="B1229" s="8"/>
      <c r="C1229" s="8"/>
      <c r="D1229" s="8"/>
      <c r="E1229" s="4"/>
      <c r="F1229" s="5"/>
      <c r="G1229" s="9"/>
      <c r="H1229" s="8"/>
      <c r="I1229" s="4"/>
      <c r="J1229" s="1"/>
      <c r="K1229" s="1"/>
      <c r="O1229" s="1"/>
      <c r="P1229" s="1"/>
    </row>
    <row r="1230" spans="1:17" x14ac:dyDescent="0.2">
      <c r="A1230" s="1631"/>
      <c r="B1230" s="8"/>
      <c r="C1230" s="8"/>
      <c r="D1230" s="8"/>
      <c r="E1230" s="4"/>
      <c r="F1230" s="5"/>
      <c r="G1230" s="9"/>
      <c r="H1230" s="8"/>
      <c r="I1230" s="4"/>
      <c r="J1230" s="1"/>
      <c r="K1230" s="1"/>
      <c r="O1230" s="1"/>
      <c r="P1230" s="1"/>
    </row>
    <row r="1231" spans="1:17" x14ac:dyDescent="0.2">
      <c r="A1231" s="1631"/>
      <c r="B1231" s="8"/>
      <c r="C1231" s="8"/>
      <c r="D1231" s="8"/>
      <c r="E1231" s="2380"/>
      <c r="F1231" s="5"/>
      <c r="G1231" s="9"/>
      <c r="H1231" s="8"/>
      <c r="I1231" s="2380"/>
      <c r="J1231" s="2381"/>
      <c r="K1231" s="2381"/>
      <c r="O1231" s="2381"/>
      <c r="P1231" s="2381"/>
    </row>
    <row r="1232" spans="1:17" x14ac:dyDescent="0.2">
      <c r="A1232" s="1631"/>
      <c r="B1232" s="8"/>
      <c r="C1232" s="8"/>
      <c r="D1232" s="8"/>
      <c r="E1232" s="2380"/>
      <c r="F1232" s="5"/>
      <c r="G1232" s="9"/>
      <c r="H1232" s="8"/>
      <c r="I1232" s="2380"/>
      <c r="J1232" s="2381"/>
      <c r="K1232" s="2381"/>
      <c r="O1232" s="2381"/>
      <c r="P1232" s="2381"/>
    </row>
    <row r="1233" spans="1:17" ht="14.45" customHeight="1" x14ac:dyDescent="0.25">
      <c r="A1233" s="2512" t="s">
        <v>1929</v>
      </c>
      <c r="B1233" s="2512"/>
      <c r="C1233" s="2512"/>
      <c r="D1233" s="2512"/>
      <c r="E1233" s="2512"/>
      <c r="F1233" s="2512"/>
      <c r="G1233" s="2512"/>
      <c r="H1233" s="2512"/>
      <c r="I1233" s="2512"/>
      <c r="J1233" s="2512"/>
      <c r="K1233" s="2512"/>
      <c r="L1233" s="2512"/>
      <c r="M1233" s="2512"/>
      <c r="N1233" s="2512"/>
      <c r="O1233" s="2512"/>
      <c r="P1233" s="2512"/>
      <c r="Q1233" s="2512"/>
    </row>
    <row r="1234" spans="1:17" ht="14.45" customHeight="1" x14ac:dyDescent="0.2">
      <c r="A1234" s="3"/>
      <c r="B1234" s="6"/>
      <c r="C1234" s="6"/>
      <c r="D1234" s="6"/>
      <c r="E1234" s="1"/>
      <c r="F1234" s="2"/>
      <c r="G1234" s="6"/>
      <c r="H1234" s="6"/>
      <c r="I1234" s="1"/>
      <c r="J1234" s="1"/>
      <c r="K1234" s="1"/>
      <c r="L1234" s="6"/>
      <c r="M1234" s="6"/>
      <c r="N1234" s="6"/>
      <c r="O1234" s="1"/>
      <c r="P1234" s="1"/>
      <c r="Q1234" s="6"/>
    </row>
    <row r="1235" spans="1:17" ht="14.45" customHeight="1" thickBot="1" x14ac:dyDescent="0.25">
      <c r="A1235" s="3" t="s">
        <v>1291</v>
      </c>
      <c r="B1235" s="6"/>
      <c r="C1235" s="6"/>
      <c r="D1235" s="6"/>
      <c r="E1235" s="1"/>
      <c r="F1235" s="2"/>
      <c r="G1235" s="6"/>
      <c r="H1235" s="6"/>
      <c r="I1235" s="1"/>
      <c r="J1235" s="1"/>
      <c r="K1235" s="1"/>
      <c r="L1235" s="6"/>
      <c r="M1235" s="6"/>
      <c r="N1235" s="6"/>
      <c r="O1235" s="1"/>
      <c r="P1235" s="1"/>
      <c r="Q1235" s="6"/>
    </row>
    <row r="1236" spans="1:17" ht="14.45" customHeight="1" thickBot="1" x14ac:dyDescent="0.25">
      <c r="A1236" s="2513" t="s">
        <v>327</v>
      </c>
      <c r="B1236" s="2516" t="s">
        <v>1935</v>
      </c>
      <c r="C1236" s="2517"/>
      <c r="D1236" s="2517"/>
      <c r="E1236" s="2517"/>
      <c r="F1236" s="2517"/>
      <c r="G1236" s="2517"/>
      <c r="H1236" s="2517"/>
      <c r="I1236" s="2517"/>
      <c r="J1236" s="2517"/>
      <c r="K1236" s="2517"/>
      <c r="L1236" s="2518" t="s">
        <v>1930</v>
      </c>
      <c r="M1236" s="2519"/>
      <c r="N1236" s="2519"/>
      <c r="O1236" s="2519"/>
      <c r="P1236" s="2520"/>
      <c r="Q1236" s="2521"/>
    </row>
    <row r="1237" spans="1:17" ht="14.45" customHeight="1" x14ac:dyDescent="0.2">
      <c r="A1237" s="2514"/>
      <c r="B1237" s="2522" t="s">
        <v>328</v>
      </c>
      <c r="C1237" s="2523"/>
      <c r="D1237" s="1014"/>
      <c r="E1237" s="1014" t="s">
        <v>904</v>
      </c>
      <c r="F1237" s="1014" t="s">
        <v>329</v>
      </c>
      <c r="G1237" s="1014"/>
      <c r="H1237" s="1014"/>
      <c r="I1237" s="2526" t="s">
        <v>330</v>
      </c>
      <c r="J1237" s="2527"/>
      <c r="K1237" s="2528"/>
      <c r="L1237" s="2524" t="s">
        <v>328</v>
      </c>
      <c r="M1237" s="2525"/>
      <c r="N1237" s="1021" t="s">
        <v>331</v>
      </c>
      <c r="O1237" s="1022" t="s">
        <v>332</v>
      </c>
      <c r="P1237" s="1023"/>
      <c r="Q1237" s="1024"/>
    </row>
    <row r="1238" spans="1:17" ht="14.45" customHeight="1" x14ac:dyDescent="0.2">
      <c r="A1238" s="2514"/>
      <c r="B1238" s="1014" t="s">
        <v>835</v>
      </c>
      <c r="C1238" s="1014" t="s">
        <v>335</v>
      </c>
      <c r="D1238" s="1014" t="s">
        <v>837</v>
      </c>
      <c r="E1238" s="1014" t="s">
        <v>842</v>
      </c>
      <c r="F1238" s="1014" t="s">
        <v>336</v>
      </c>
      <c r="G1238" s="1014" t="s">
        <v>337</v>
      </c>
      <c r="H1238" s="1014" t="s">
        <v>338</v>
      </c>
      <c r="I1238" s="2529" t="s">
        <v>839</v>
      </c>
      <c r="J1238" s="2530"/>
      <c r="K1238" s="2531"/>
      <c r="L1238" s="1025" t="s">
        <v>835</v>
      </c>
      <c r="M1238" s="1021" t="s">
        <v>335</v>
      </c>
      <c r="N1238" s="1021" t="s">
        <v>339</v>
      </c>
      <c r="O1238" s="1022"/>
      <c r="P1238" s="1021" t="s">
        <v>337</v>
      </c>
      <c r="Q1238" s="1024" t="s">
        <v>338</v>
      </c>
    </row>
    <row r="1239" spans="1:17" ht="14.45" customHeight="1" x14ac:dyDescent="0.2">
      <c r="A1239" s="2514"/>
      <c r="B1239" s="1014"/>
      <c r="C1239" s="1014"/>
      <c r="D1239" s="1014"/>
      <c r="E1239" s="1014"/>
      <c r="F1239" s="1014" t="s">
        <v>341</v>
      </c>
      <c r="G1239" s="1014" t="s">
        <v>342</v>
      </c>
      <c r="H1239" s="1014" t="s">
        <v>341</v>
      </c>
      <c r="I1239" s="1015"/>
      <c r="J1239" s="1016"/>
      <c r="K1239" s="1017"/>
      <c r="L1239" s="1025"/>
      <c r="M1239" s="1021"/>
      <c r="N1239" s="1021"/>
      <c r="O1239" s="1022" t="s">
        <v>344</v>
      </c>
      <c r="P1239" s="1021" t="s">
        <v>342</v>
      </c>
      <c r="Q1239" s="1024" t="s">
        <v>341</v>
      </c>
    </row>
    <row r="1240" spans="1:17" ht="14.45" customHeight="1" x14ac:dyDescent="0.2">
      <c r="A1240" s="2515"/>
      <c r="B1240" s="1018" t="s">
        <v>345</v>
      </c>
      <c r="C1240" s="1018" t="s">
        <v>345</v>
      </c>
      <c r="D1240" s="1018" t="s">
        <v>346</v>
      </c>
      <c r="E1240" s="1018" t="s">
        <v>757</v>
      </c>
      <c r="F1240" s="1018"/>
      <c r="G1240" s="1018" t="s">
        <v>347</v>
      </c>
      <c r="H1240" s="1018" t="s">
        <v>348</v>
      </c>
      <c r="I1240" s="1019" t="s">
        <v>349</v>
      </c>
      <c r="J1240" s="1019" t="s">
        <v>350</v>
      </c>
      <c r="K1240" s="1020" t="s">
        <v>351</v>
      </c>
      <c r="L1240" s="1026" t="s">
        <v>345</v>
      </c>
      <c r="M1240" s="1027" t="s">
        <v>345</v>
      </c>
      <c r="N1240" s="1027" t="s">
        <v>346</v>
      </c>
      <c r="O1240" s="1028"/>
      <c r="P1240" s="1027" t="s">
        <v>347</v>
      </c>
      <c r="Q1240" s="1029" t="s">
        <v>348</v>
      </c>
    </row>
    <row r="1241" spans="1:17" ht="14.45" customHeight="1" x14ac:dyDescent="0.2">
      <c r="A1241" s="975" t="s">
        <v>352</v>
      </c>
      <c r="B1241" s="976">
        <v>0</v>
      </c>
      <c r="C1241" s="976">
        <v>0</v>
      </c>
      <c r="D1241" s="977">
        <v>0</v>
      </c>
      <c r="E1241" s="978"/>
      <c r="F1241" s="979"/>
      <c r="G1241" s="976"/>
      <c r="H1241" s="976"/>
      <c r="I1241" s="978"/>
      <c r="J1241" s="978"/>
      <c r="K1241" s="980"/>
      <c r="L1241" s="981">
        <v>0</v>
      </c>
      <c r="M1241" s="977">
        <v>0</v>
      </c>
      <c r="N1241" s="977">
        <v>0</v>
      </c>
      <c r="O1241" s="1608" t="e">
        <v>#DIV/0!</v>
      </c>
      <c r="P1241" s="1609"/>
      <c r="Q1241" s="1610"/>
    </row>
    <row r="1242" spans="1:17" ht="14.45" customHeight="1" x14ac:dyDescent="0.2">
      <c r="A1242" s="1481" t="s">
        <v>353</v>
      </c>
      <c r="B1242" s="1146">
        <v>0</v>
      </c>
      <c r="C1242" s="1146">
        <v>0</v>
      </c>
      <c r="D1242" s="957">
        <v>0</v>
      </c>
      <c r="E1242" s="1494">
        <v>0</v>
      </c>
      <c r="F1242" s="1342"/>
      <c r="G1242" s="1259"/>
      <c r="H1242" s="959"/>
      <c r="I1242" s="1489"/>
      <c r="J1242" s="960"/>
      <c r="K1242" s="961"/>
      <c r="L1242" s="1146">
        <v>0</v>
      </c>
      <c r="M1242" s="1146">
        <v>0</v>
      </c>
      <c r="N1242" s="1498">
        <v>0</v>
      </c>
      <c r="O1242" s="1494">
        <v>0</v>
      </c>
      <c r="P1242" s="1261"/>
      <c r="Q1242" s="1606"/>
    </row>
    <row r="1243" spans="1:17" ht="14.45" customHeight="1" x14ac:dyDescent="0.2">
      <c r="A1243" s="1481" t="s">
        <v>354</v>
      </c>
      <c r="B1243" s="1146">
        <v>0</v>
      </c>
      <c r="C1243" s="1146">
        <v>0</v>
      </c>
      <c r="D1243" s="957">
        <v>0</v>
      </c>
      <c r="E1243" s="1494">
        <v>0</v>
      </c>
      <c r="F1243" s="958"/>
      <c r="G1243" s="1259"/>
      <c r="H1243" s="959"/>
      <c r="I1243" s="1489"/>
      <c r="J1243" s="960"/>
      <c r="K1243" s="961"/>
      <c r="L1243" s="1146">
        <v>0</v>
      </c>
      <c r="M1243" s="1146">
        <v>0</v>
      </c>
      <c r="N1243" s="1498">
        <v>0</v>
      </c>
      <c r="O1243" s="1494">
        <v>0</v>
      </c>
      <c r="P1243" s="1261"/>
      <c r="Q1243" s="1606"/>
    </row>
    <row r="1244" spans="1:17" ht="14.45" customHeight="1" x14ac:dyDescent="0.2">
      <c r="A1244" s="1481" t="s">
        <v>355</v>
      </c>
      <c r="B1244" s="1146">
        <v>0</v>
      </c>
      <c r="C1244" s="1146">
        <v>0</v>
      </c>
      <c r="D1244" s="957">
        <v>0</v>
      </c>
      <c r="E1244" s="1494">
        <v>0</v>
      </c>
      <c r="F1244" s="1342"/>
      <c r="G1244" s="1259"/>
      <c r="H1244" s="959"/>
      <c r="I1244" s="1489"/>
      <c r="J1244" s="960"/>
      <c r="K1244" s="961"/>
      <c r="L1244" s="1146">
        <v>0</v>
      </c>
      <c r="M1244" s="1146">
        <v>0</v>
      </c>
      <c r="N1244" s="1498">
        <v>0</v>
      </c>
      <c r="O1244" s="1494">
        <v>0</v>
      </c>
      <c r="P1244" s="1261"/>
      <c r="Q1244" s="1606"/>
    </row>
    <row r="1245" spans="1:17" ht="14.45" customHeight="1" x14ac:dyDescent="0.2">
      <c r="A1245" s="1481" t="s">
        <v>356</v>
      </c>
      <c r="B1245" s="1146">
        <v>0</v>
      </c>
      <c r="C1245" s="1146">
        <v>0</v>
      </c>
      <c r="D1245" s="957">
        <v>0</v>
      </c>
      <c r="E1245" s="1494">
        <v>0</v>
      </c>
      <c r="F1245" s="1342"/>
      <c r="G1245" s="1259"/>
      <c r="H1245" s="959"/>
      <c r="I1245" s="1489"/>
      <c r="J1245" s="960"/>
      <c r="K1245" s="961"/>
      <c r="L1245" s="1146">
        <v>0</v>
      </c>
      <c r="M1245" s="1146">
        <v>0</v>
      </c>
      <c r="N1245" s="1498">
        <v>0</v>
      </c>
      <c r="O1245" s="1494">
        <v>0</v>
      </c>
      <c r="P1245" s="1261"/>
      <c r="Q1245" s="1606"/>
    </row>
    <row r="1246" spans="1:17" ht="14.45" customHeight="1" x14ac:dyDescent="0.2">
      <c r="A1246" s="1481" t="s">
        <v>357</v>
      </c>
      <c r="B1246" s="1146">
        <v>0</v>
      </c>
      <c r="C1246" s="1146">
        <v>0</v>
      </c>
      <c r="D1246" s="957">
        <v>0</v>
      </c>
      <c r="E1246" s="1494">
        <v>0</v>
      </c>
      <c r="F1246" s="1342"/>
      <c r="G1246" s="1259"/>
      <c r="H1246" s="959"/>
      <c r="I1246" s="1489"/>
      <c r="J1246" s="960"/>
      <c r="K1246" s="961"/>
      <c r="L1246" s="1146">
        <v>0</v>
      </c>
      <c r="M1246" s="1146">
        <v>0</v>
      </c>
      <c r="N1246" s="1498">
        <v>0</v>
      </c>
      <c r="O1246" s="1494">
        <v>0</v>
      </c>
      <c r="P1246" s="1261"/>
      <c r="Q1246" s="1606"/>
    </row>
    <row r="1247" spans="1:17" ht="14.45" customHeight="1" x14ac:dyDescent="0.2">
      <c r="A1247" s="1481" t="s">
        <v>358</v>
      </c>
      <c r="B1247" s="1146">
        <v>0</v>
      </c>
      <c r="C1247" s="1146">
        <v>0</v>
      </c>
      <c r="D1247" s="957">
        <v>0</v>
      </c>
      <c r="E1247" s="1494">
        <v>0</v>
      </c>
      <c r="F1247" s="964"/>
      <c r="G1247" s="1259"/>
      <c r="H1247" s="959"/>
      <c r="I1247" s="1489"/>
      <c r="J1247" s="960"/>
      <c r="K1247" s="961"/>
      <c r="L1247" s="1146">
        <v>0</v>
      </c>
      <c r="M1247" s="1146">
        <v>0</v>
      </c>
      <c r="N1247" s="1498">
        <v>0</v>
      </c>
      <c r="O1247" s="1494">
        <v>0</v>
      </c>
      <c r="P1247" s="1261"/>
      <c r="Q1247" s="1606"/>
    </row>
    <row r="1248" spans="1:17" ht="14.45" customHeight="1" x14ac:dyDescent="0.2">
      <c r="A1248" s="1481" t="s">
        <v>359</v>
      </c>
      <c r="B1248" s="1146">
        <v>0</v>
      </c>
      <c r="C1248" s="1146">
        <v>0</v>
      </c>
      <c r="D1248" s="957">
        <v>0</v>
      </c>
      <c r="E1248" s="1494">
        <v>0</v>
      </c>
      <c r="F1248" s="1342"/>
      <c r="G1248" s="1259"/>
      <c r="H1248" s="959"/>
      <c r="I1248" s="1489"/>
      <c r="J1248" s="960"/>
      <c r="K1248" s="961"/>
      <c r="L1248" s="1146">
        <v>0</v>
      </c>
      <c r="M1248" s="1146">
        <v>0</v>
      </c>
      <c r="N1248" s="1498">
        <v>0</v>
      </c>
      <c r="O1248" s="1494">
        <v>0</v>
      </c>
      <c r="P1248" s="1261"/>
      <c r="Q1248" s="1606"/>
    </row>
    <row r="1249" spans="1:17" ht="14.45" customHeight="1" x14ac:dyDescent="0.2">
      <c r="A1249" s="1481" t="s">
        <v>360</v>
      </c>
      <c r="B1249" s="1146">
        <v>0</v>
      </c>
      <c r="C1249" s="1146">
        <v>0</v>
      </c>
      <c r="D1249" s="957">
        <v>0</v>
      </c>
      <c r="E1249" s="1494">
        <v>0</v>
      </c>
      <c r="F1249" s="964"/>
      <c r="G1249" s="1259"/>
      <c r="H1249" s="959"/>
      <c r="I1249" s="1489"/>
      <c r="J1249" s="960"/>
      <c r="K1249" s="961"/>
      <c r="L1249" s="1146">
        <v>0</v>
      </c>
      <c r="M1249" s="1146">
        <v>0</v>
      </c>
      <c r="N1249" s="1498">
        <v>0</v>
      </c>
      <c r="O1249" s="1494">
        <v>0</v>
      </c>
      <c r="P1249" s="1261"/>
      <c r="Q1249" s="1606"/>
    </row>
    <row r="1250" spans="1:17" ht="14.45" customHeight="1" x14ac:dyDescent="0.2">
      <c r="A1250" s="1481" t="s">
        <v>361</v>
      </c>
      <c r="B1250" s="1146">
        <v>0</v>
      </c>
      <c r="C1250" s="1146">
        <v>0</v>
      </c>
      <c r="D1250" s="957">
        <v>0</v>
      </c>
      <c r="E1250" s="1494">
        <v>0</v>
      </c>
      <c r="F1250" s="1342"/>
      <c r="G1250" s="1259"/>
      <c r="H1250" s="959"/>
      <c r="I1250" s="1489"/>
      <c r="J1250" s="960"/>
      <c r="K1250" s="961"/>
      <c r="L1250" s="1146">
        <v>0</v>
      </c>
      <c r="M1250" s="1146">
        <v>0</v>
      </c>
      <c r="N1250" s="1498">
        <v>0</v>
      </c>
      <c r="O1250" s="1494">
        <v>0</v>
      </c>
      <c r="P1250" s="1261"/>
      <c r="Q1250" s="1606"/>
    </row>
    <row r="1251" spans="1:17" ht="14.45" customHeight="1" x14ac:dyDescent="0.2">
      <c r="A1251" s="1481" t="s">
        <v>362</v>
      </c>
      <c r="B1251" s="1146">
        <v>0</v>
      </c>
      <c r="C1251" s="1146">
        <v>0</v>
      </c>
      <c r="D1251" s="957">
        <v>0</v>
      </c>
      <c r="E1251" s="1494">
        <v>0</v>
      </c>
      <c r="F1251" s="1342"/>
      <c r="G1251" s="1259"/>
      <c r="H1251" s="959"/>
      <c r="I1251" s="1489"/>
      <c r="J1251" s="960"/>
      <c r="K1251" s="961"/>
      <c r="L1251" s="1146">
        <v>0</v>
      </c>
      <c r="M1251" s="1146">
        <v>0</v>
      </c>
      <c r="N1251" s="1498">
        <v>0</v>
      </c>
      <c r="O1251" s="1494">
        <v>0</v>
      </c>
      <c r="P1251" s="1261"/>
      <c r="Q1251" s="1606"/>
    </row>
    <row r="1252" spans="1:17" ht="14.45" customHeight="1" x14ac:dyDescent="0.2">
      <c r="A1252" s="1481" t="s">
        <v>363</v>
      </c>
      <c r="B1252" s="1146">
        <v>0</v>
      </c>
      <c r="C1252" s="1146">
        <v>0</v>
      </c>
      <c r="D1252" s="957">
        <v>0</v>
      </c>
      <c r="E1252" s="1494">
        <v>0</v>
      </c>
      <c r="F1252" s="964"/>
      <c r="G1252" s="1259"/>
      <c r="H1252" s="959"/>
      <c r="I1252" s="1489"/>
      <c r="J1252" s="960"/>
      <c r="K1252" s="961"/>
      <c r="L1252" s="1146">
        <v>0</v>
      </c>
      <c r="M1252" s="1146">
        <v>0</v>
      </c>
      <c r="N1252" s="1498">
        <v>0</v>
      </c>
      <c r="O1252" s="1494">
        <v>0</v>
      </c>
      <c r="P1252" s="1261"/>
      <c r="Q1252" s="1606"/>
    </row>
    <row r="1253" spans="1:17" ht="14.45" customHeight="1" x14ac:dyDescent="0.2">
      <c r="A1253" s="1481" t="s">
        <v>364</v>
      </c>
      <c r="B1253" s="1146">
        <v>0</v>
      </c>
      <c r="C1253" s="1146">
        <v>0</v>
      </c>
      <c r="D1253" s="957">
        <v>0</v>
      </c>
      <c r="E1253" s="1494">
        <v>0</v>
      </c>
      <c r="F1253" s="958"/>
      <c r="G1253" s="1259"/>
      <c r="H1253" s="959"/>
      <c r="I1253" s="1489"/>
      <c r="J1253" s="960"/>
      <c r="K1253" s="961"/>
      <c r="L1253" s="1146">
        <v>0</v>
      </c>
      <c r="M1253" s="1146">
        <v>0</v>
      </c>
      <c r="N1253" s="1498">
        <v>0</v>
      </c>
      <c r="O1253" s="1494">
        <v>0</v>
      </c>
      <c r="P1253" s="1261"/>
      <c r="Q1253" s="1606"/>
    </row>
    <row r="1254" spans="1:17" ht="14.45" customHeight="1" x14ac:dyDescent="0.2">
      <c r="A1254" s="1481" t="s">
        <v>365</v>
      </c>
      <c r="B1254" s="1146">
        <v>0</v>
      </c>
      <c r="C1254" s="1146">
        <v>0</v>
      </c>
      <c r="D1254" s="957">
        <v>0</v>
      </c>
      <c r="E1254" s="1494">
        <v>0</v>
      </c>
      <c r="F1254" s="964"/>
      <c r="G1254" s="1259"/>
      <c r="H1254" s="959"/>
      <c r="I1254" s="1489"/>
      <c r="J1254" s="960"/>
      <c r="K1254" s="961"/>
      <c r="L1254" s="1146">
        <v>0</v>
      </c>
      <c r="M1254" s="1146">
        <v>0</v>
      </c>
      <c r="N1254" s="1498">
        <v>0</v>
      </c>
      <c r="O1254" s="1494">
        <v>0</v>
      </c>
      <c r="P1254" s="1261"/>
      <c r="Q1254" s="1606"/>
    </row>
    <row r="1255" spans="1:17" ht="14.45" customHeight="1" x14ac:dyDescent="0.2">
      <c r="A1255" s="1481" t="s">
        <v>366</v>
      </c>
      <c r="B1255" s="1146">
        <v>0</v>
      </c>
      <c r="C1255" s="1146">
        <v>0</v>
      </c>
      <c r="D1255" s="957">
        <v>0</v>
      </c>
      <c r="E1255" s="1494">
        <v>0</v>
      </c>
      <c r="F1255" s="1342"/>
      <c r="G1255" s="1259"/>
      <c r="H1255" s="959"/>
      <c r="I1255" s="1489"/>
      <c r="J1255" s="960"/>
      <c r="K1255" s="961"/>
      <c r="L1255" s="1146">
        <v>0</v>
      </c>
      <c r="M1255" s="1146">
        <v>0</v>
      </c>
      <c r="N1255" s="1498">
        <v>0</v>
      </c>
      <c r="O1255" s="1494">
        <v>0</v>
      </c>
      <c r="P1255" s="1261"/>
      <c r="Q1255" s="1606"/>
    </row>
    <row r="1256" spans="1:17" ht="14.45" customHeight="1" x14ac:dyDescent="0.2">
      <c r="A1256" s="1481" t="s">
        <v>367</v>
      </c>
      <c r="B1256" s="1146">
        <v>0</v>
      </c>
      <c r="C1256" s="1146">
        <v>0</v>
      </c>
      <c r="D1256" s="957">
        <v>0</v>
      </c>
      <c r="E1256" s="1494">
        <v>0</v>
      </c>
      <c r="F1256" s="1342"/>
      <c r="G1256" s="1259"/>
      <c r="H1256" s="959"/>
      <c r="I1256" s="1489"/>
      <c r="J1256" s="960"/>
      <c r="K1256" s="961"/>
      <c r="L1256" s="1146">
        <v>0</v>
      </c>
      <c r="M1256" s="1146">
        <v>0</v>
      </c>
      <c r="N1256" s="1498">
        <v>0</v>
      </c>
      <c r="O1256" s="1494">
        <v>0</v>
      </c>
      <c r="P1256" s="1261"/>
      <c r="Q1256" s="1606"/>
    </row>
    <row r="1257" spans="1:17" ht="14.45" customHeight="1" x14ac:dyDescent="0.2">
      <c r="A1257" s="1484" t="s">
        <v>368</v>
      </c>
      <c r="B1257" s="1002">
        <v>0</v>
      </c>
      <c r="C1257" s="984">
        <v>0</v>
      </c>
      <c r="D1257" s="985">
        <v>0</v>
      </c>
      <c r="E1257" s="1497"/>
      <c r="F1257" s="987"/>
      <c r="G1257" s="1486"/>
      <c r="H1257" s="988"/>
      <c r="I1257" s="1490"/>
      <c r="J1257" s="989"/>
      <c r="K1257" s="990"/>
      <c r="L1257" s="991">
        <v>0</v>
      </c>
      <c r="M1257" s="984">
        <v>0</v>
      </c>
      <c r="N1257" s="984">
        <v>0</v>
      </c>
      <c r="O1257" s="1602"/>
      <c r="P1257" s="1604"/>
      <c r="Q1257" s="1605"/>
    </row>
    <row r="1258" spans="1:17" ht="14.45" customHeight="1" x14ac:dyDescent="0.2">
      <c r="A1258" s="1481" t="s">
        <v>369</v>
      </c>
      <c r="B1258" s="956">
        <v>0</v>
      </c>
      <c r="C1258" s="956">
        <v>0</v>
      </c>
      <c r="D1258" s="957">
        <v>0</v>
      </c>
      <c r="E1258" s="1494">
        <v>0</v>
      </c>
      <c r="F1258" s="964"/>
      <c r="G1258" s="1259"/>
      <c r="H1258" s="959"/>
      <c r="I1258" s="1489"/>
      <c r="J1258" s="960"/>
      <c r="K1258" s="961"/>
      <c r="L1258" s="962"/>
      <c r="M1258" s="956"/>
      <c r="N1258" s="1498">
        <v>0</v>
      </c>
      <c r="O1258" s="1619"/>
      <c r="P1258" s="1261"/>
      <c r="Q1258" s="1606"/>
    </row>
    <row r="1259" spans="1:17" ht="14.45" customHeight="1" x14ac:dyDescent="0.2">
      <c r="A1259" s="1481" t="s">
        <v>370</v>
      </c>
      <c r="B1259" s="956">
        <v>0</v>
      </c>
      <c r="C1259" s="956">
        <v>0</v>
      </c>
      <c r="D1259" s="957">
        <v>0</v>
      </c>
      <c r="E1259" s="1494">
        <v>0</v>
      </c>
      <c r="F1259" s="964"/>
      <c r="G1259" s="1259"/>
      <c r="H1259" s="959"/>
      <c r="I1259" s="1489"/>
      <c r="J1259" s="960"/>
      <c r="K1259" s="961"/>
      <c r="L1259" s="962"/>
      <c r="M1259" s="956"/>
      <c r="N1259" s="1498">
        <v>0</v>
      </c>
      <c r="O1259" s="1619"/>
      <c r="P1259" s="1261"/>
      <c r="Q1259" s="1606"/>
    </row>
    <row r="1260" spans="1:17" ht="14.45" customHeight="1" x14ac:dyDescent="0.2">
      <c r="A1260" s="1481" t="s">
        <v>371</v>
      </c>
      <c r="B1260" s="956">
        <v>0</v>
      </c>
      <c r="C1260" s="956">
        <v>0</v>
      </c>
      <c r="D1260" s="957">
        <v>0</v>
      </c>
      <c r="E1260" s="1494">
        <v>0</v>
      </c>
      <c r="F1260" s="964"/>
      <c r="G1260" s="1259"/>
      <c r="H1260" s="959"/>
      <c r="I1260" s="1489"/>
      <c r="J1260" s="960"/>
      <c r="K1260" s="961"/>
      <c r="L1260" s="962"/>
      <c r="M1260" s="956"/>
      <c r="N1260" s="1498">
        <v>0</v>
      </c>
      <c r="O1260" s="1619"/>
      <c r="P1260" s="1261"/>
      <c r="Q1260" s="1606"/>
    </row>
    <row r="1261" spans="1:17" ht="14.45" customHeight="1" x14ac:dyDescent="0.2">
      <c r="A1261" s="1481" t="s">
        <v>372</v>
      </c>
      <c r="B1261" s="956">
        <v>0</v>
      </c>
      <c r="C1261" s="956">
        <v>0</v>
      </c>
      <c r="D1261" s="957">
        <v>0</v>
      </c>
      <c r="E1261" s="1494">
        <v>0</v>
      </c>
      <c r="F1261" s="964"/>
      <c r="G1261" s="1259"/>
      <c r="H1261" s="959"/>
      <c r="I1261" s="1489"/>
      <c r="J1261" s="960"/>
      <c r="K1261" s="961"/>
      <c r="L1261" s="962"/>
      <c r="M1261" s="956"/>
      <c r="N1261" s="1498">
        <v>0</v>
      </c>
      <c r="O1261" s="1619"/>
      <c r="P1261" s="1261"/>
      <c r="Q1261" s="1606"/>
    </row>
    <row r="1262" spans="1:17" ht="14.45" customHeight="1" x14ac:dyDescent="0.2">
      <c r="A1262" s="1481" t="s">
        <v>373</v>
      </c>
      <c r="B1262" s="956">
        <v>0</v>
      </c>
      <c r="C1262" s="956">
        <v>0</v>
      </c>
      <c r="D1262" s="957">
        <v>0</v>
      </c>
      <c r="E1262" s="1494">
        <v>0</v>
      </c>
      <c r="F1262" s="1342"/>
      <c r="G1262" s="1259"/>
      <c r="H1262" s="959"/>
      <c r="I1262" s="1489"/>
      <c r="J1262" s="960"/>
      <c r="K1262" s="961"/>
      <c r="L1262" s="962"/>
      <c r="M1262" s="956"/>
      <c r="N1262" s="1498">
        <v>0</v>
      </c>
      <c r="O1262" s="1619"/>
      <c r="P1262" s="1261"/>
      <c r="Q1262" s="1606"/>
    </row>
    <row r="1263" spans="1:17" ht="14.45" customHeight="1" x14ac:dyDescent="0.2">
      <c r="A1263" s="1484" t="s">
        <v>374</v>
      </c>
      <c r="B1263" s="1485">
        <v>0</v>
      </c>
      <c r="C1263" s="994">
        <v>0</v>
      </c>
      <c r="D1263" s="994">
        <v>0</v>
      </c>
      <c r="E1263" s="1497"/>
      <c r="F1263" s="987"/>
      <c r="G1263" s="1488"/>
      <c r="H1263" s="996"/>
      <c r="I1263" s="1491"/>
      <c r="J1263" s="997"/>
      <c r="K1263" s="998"/>
      <c r="L1263" s="999">
        <v>0</v>
      </c>
      <c r="M1263" s="994">
        <v>0</v>
      </c>
      <c r="N1263" s="994">
        <v>0</v>
      </c>
      <c r="O1263" s="1608" t="e">
        <v>#DIV/0!</v>
      </c>
      <c r="P1263" s="1604"/>
      <c r="Q1263" s="1605"/>
    </row>
    <row r="1264" spans="1:17" ht="14.45" customHeight="1" x14ac:dyDescent="0.2">
      <c r="A1264" s="1481" t="s">
        <v>375</v>
      </c>
      <c r="B1264" s="1146"/>
      <c r="C1264" s="1146"/>
      <c r="D1264" s="957">
        <v>0</v>
      </c>
      <c r="E1264" s="1494"/>
      <c r="F1264" s="1342"/>
      <c r="G1264" s="1259"/>
      <c r="H1264" s="959"/>
      <c r="I1264" s="1489"/>
      <c r="J1264" s="960"/>
      <c r="K1264" s="961"/>
      <c r="L1264" s="962"/>
      <c r="M1264" s="956"/>
      <c r="N1264" s="1498">
        <v>0</v>
      </c>
      <c r="O1264" s="1623"/>
      <c r="P1264" s="1261"/>
      <c r="Q1264" s="1606"/>
    </row>
    <row r="1265" spans="1:17" ht="14.45" customHeight="1" x14ac:dyDescent="0.2">
      <c r="A1265" s="1481" t="s">
        <v>376</v>
      </c>
      <c r="B1265" s="1146"/>
      <c r="C1265" s="1146"/>
      <c r="D1265" s="957">
        <v>0</v>
      </c>
      <c r="E1265" s="1494"/>
      <c r="F1265" s="1342"/>
      <c r="G1265" s="1259"/>
      <c r="H1265" s="959"/>
      <c r="I1265" s="1489"/>
      <c r="J1265" s="960"/>
      <c r="K1265" s="961"/>
      <c r="L1265" s="962"/>
      <c r="M1265" s="956"/>
      <c r="N1265" s="1498">
        <v>0</v>
      </c>
      <c r="O1265" s="1623"/>
      <c r="P1265" s="1261"/>
      <c r="Q1265" s="1606"/>
    </row>
    <row r="1266" spans="1:17" ht="14.45" customHeight="1" x14ac:dyDescent="0.2">
      <c r="A1266" s="1481" t="s">
        <v>377</v>
      </c>
      <c r="B1266" s="1146"/>
      <c r="C1266" s="1146"/>
      <c r="D1266" s="957">
        <v>0</v>
      </c>
      <c r="E1266" s="1494"/>
      <c r="F1266" s="1342"/>
      <c r="G1266" s="1259"/>
      <c r="H1266" s="959"/>
      <c r="I1266" s="1489"/>
      <c r="J1266" s="960"/>
      <c r="K1266" s="961"/>
      <c r="L1266" s="962"/>
      <c r="M1266" s="956"/>
      <c r="N1266" s="1498">
        <v>0</v>
      </c>
      <c r="O1266" s="1623"/>
      <c r="P1266" s="1261"/>
      <c r="Q1266" s="1606"/>
    </row>
    <row r="1267" spans="1:17" ht="14.45" customHeight="1" x14ac:dyDescent="0.2">
      <c r="A1267" s="1481" t="s">
        <v>378</v>
      </c>
      <c r="B1267" s="1146"/>
      <c r="C1267" s="1146"/>
      <c r="D1267" s="957">
        <v>0</v>
      </c>
      <c r="E1267" s="1494"/>
      <c r="F1267" s="1342"/>
      <c r="G1267" s="1259"/>
      <c r="H1267" s="959"/>
      <c r="I1267" s="1492"/>
      <c r="J1267" s="960"/>
      <c r="K1267" s="967"/>
      <c r="L1267" s="962"/>
      <c r="M1267" s="956"/>
      <c r="N1267" s="1498">
        <v>0</v>
      </c>
      <c r="O1267" s="1619"/>
      <c r="P1267" s="1261"/>
      <c r="Q1267" s="1606"/>
    </row>
    <row r="1268" spans="1:17" ht="14.45" customHeight="1" x14ac:dyDescent="0.2">
      <c r="A1268" s="1481" t="s">
        <v>379</v>
      </c>
      <c r="B1268" s="1146"/>
      <c r="C1268" s="1146"/>
      <c r="D1268" s="957">
        <v>0</v>
      </c>
      <c r="E1268" s="1494"/>
      <c r="F1268" s="1342"/>
      <c r="G1268" s="1259"/>
      <c r="H1268" s="959"/>
      <c r="I1268" s="1492"/>
      <c r="J1268" s="960"/>
      <c r="K1268" s="967"/>
      <c r="L1268" s="962"/>
      <c r="M1268" s="956"/>
      <c r="N1268" s="1498">
        <v>0</v>
      </c>
      <c r="O1268" s="1619"/>
      <c r="P1268" s="1261"/>
      <c r="Q1268" s="1606"/>
    </row>
    <row r="1269" spans="1:17" ht="14.45" customHeight="1" x14ac:dyDescent="0.2">
      <c r="A1269" s="1481" t="s">
        <v>380</v>
      </c>
      <c r="B1269" s="1146"/>
      <c r="C1269" s="1146"/>
      <c r="D1269" s="957">
        <v>0</v>
      </c>
      <c r="E1269" s="1494"/>
      <c r="F1269" s="958"/>
      <c r="G1269" s="1500"/>
      <c r="H1269" s="965"/>
      <c r="I1269" s="1492"/>
      <c r="J1269" s="960"/>
      <c r="K1269" s="967"/>
      <c r="L1269" s="962"/>
      <c r="M1269" s="956"/>
      <c r="N1269" s="1498">
        <v>0</v>
      </c>
      <c r="O1269" s="1619"/>
      <c r="P1269" s="1261"/>
      <c r="Q1269" s="1606"/>
    </row>
    <row r="1270" spans="1:17" ht="14.45" customHeight="1" x14ac:dyDescent="0.2">
      <c r="A1270" s="1481" t="s">
        <v>381</v>
      </c>
      <c r="B1270" s="1146"/>
      <c r="C1270" s="1146"/>
      <c r="D1270" s="957">
        <v>0</v>
      </c>
      <c r="E1270" s="1494"/>
      <c r="F1270" s="1342"/>
      <c r="G1270" s="1259"/>
      <c r="H1270" s="959"/>
      <c r="I1270" s="1492"/>
      <c r="J1270" s="960"/>
      <c r="K1270" s="967"/>
      <c r="L1270" s="962"/>
      <c r="M1270" s="956"/>
      <c r="N1270" s="1498">
        <v>0</v>
      </c>
      <c r="O1270" s="1619"/>
      <c r="P1270" s="1261"/>
      <c r="Q1270" s="1606"/>
    </row>
    <row r="1271" spans="1:17" ht="14.45" customHeight="1" x14ac:dyDescent="0.2">
      <c r="A1271" s="1481" t="s">
        <v>382</v>
      </c>
      <c r="B1271" s="968"/>
      <c r="C1271" s="968"/>
      <c r="D1271" s="957">
        <v>0</v>
      </c>
      <c r="E1271" s="431"/>
      <c r="F1271" s="958"/>
      <c r="G1271" s="965"/>
      <c r="H1271" s="965"/>
      <c r="I1271" s="1492"/>
      <c r="J1271" s="966"/>
      <c r="K1271" s="967"/>
      <c r="L1271" s="962"/>
      <c r="M1271" s="956"/>
      <c r="N1271" s="1498">
        <v>0</v>
      </c>
      <c r="O1271" s="1619"/>
      <c r="P1271" s="1261"/>
      <c r="Q1271" s="1606"/>
    </row>
    <row r="1272" spans="1:17" ht="14.45" customHeight="1" x14ac:dyDescent="0.2">
      <c r="A1272" s="1484" t="s">
        <v>383</v>
      </c>
      <c r="B1272" s="1002">
        <v>0</v>
      </c>
      <c r="C1272" s="1002">
        <v>0</v>
      </c>
      <c r="D1272" s="1002">
        <v>0</v>
      </c>
      <c r="E1272" s="995"/>
      <c r="F1272" s="1003"/>
      <c r="G1272" s="1004"/>
      <c r="H1272" s="1004"/>
      <c r="I1272" s="1501"/>
      <c r="J1272" s="1005"/>
      <c r="K1272" s="949"/>
      <c r="L1272" s="991">
        <v>0</v>
      </c>
      <c r="M1272" s="1002">
        <v>0</v>
      </c>
      <c r="N1272" s="1002">
        <v>0</v>
      </c>
      <c r="O1272" s="1602"/>
      <c r="P1272" s="1604"/>
      <c r="Q1272" s="1605"/>
    </row>
    <row r="1273" spans="1:17" ht="14.45" customHeight="1" x14ac:dyDescent="0.2">
      <c r="A1273" s="1481" t="s">
        <v>384</v>
      </c>
      <c r="B1273" s="968"/>
      <c r="C1273" s="968"/>
      <c r="D1273" s="957">
        <v>0</v>
      </c>
      <c r="E1273" s="431"/>
      <c r="F1273" s="958"/>
      <c r="G1273" s="965"/>
      <c r="H1273" s="965"/>
      <c r="I1273" s="1492"/>
      <c r="J1273" s="966"/>
      <c r="K1273" s="967"/>
      <c r="L1273" s="962"/>
      <c r="M1273" s="956"/>
      <c r="N1273" s="1498">
        <v>0</v>
      </c>
      <c r="O1273" s="1619"/>
      <c r="P1273" s="1261"/>
      <c r="Q1273" s="1606"/>
    </row>
    <row r="1274" spans="1:17" ht="14.45" customHeight="1" x14ac:dyDescent="0.2">
      <c r="A1274" s="1481" t="s">
        <v>385</v>
      </c>
      <c r="B1274" s="968"/>
      <c r="C1274" s="968"/>
      <c r="D1274" s="957">
        <v>0</v>
      </c>
      <c r="E1274" s="431"/>
      <c r="F1274" s="958"/>
      <c r="G1274" s="965"/>
      <c r="H1274" s="965"/>
      <c r="I1274" s="1492"/>
      <c r="J1274" s="966"/>
      <c r="K1274" s="967"/>
      <c r="L1274" s="962"/>
      <c r="M1274" s="956"/>
      <c r="N1274" s="1498">
        <v>0</v>
      </c>
      <c r="O1274" s="1619"/>
      <c r="P1274" s="1261"/>
      <c r="Q1274" s="1606"/>
    </row>
    <row r="1275" spans="1:17" ht="14.45" customHeight="1" x14ac:dyDescent="0.2">
      <c r="A1275" s="1481" t="s">
        <v>386</v>
      </c>
      <c r="B1275" s="968"/>
      <c r="C1275" s="968"/>
      <c r="D1275" s="957">
        <v>0</v>
      </c>
      <c r="E1275" s="431"/>
      <c r="F1275" s="958"/>
      <c r="G1275" s="965"/>
      <c r="H1275" s="965"/>
      <c r="I1275" s="1492"/>
      <c r="J1275" s="966"/>
      <c r="K1275" s="967"/>
      <c r="L1275" s="962"/>
      <c r="M1275" s="956"/>
      <c r="N1275" s="1498">
        <v>0</v>
      </c>
      <c r="O1275" s="1619"/>
      <c r="P1275" s="1261"/>
      <c r="Q1275" s="1606"/>
    </row>
    <row r="1276" spans="1:17" ht="14.45" customHeight="1" x14ac:dyDescent="0.2">
      <c r="A1276" s="1481" t="s">
        <v>387</v>
      </c>
      <c r="B1276" s="968"/>
      <c r="C1276" s="968"/>
      <c r="D1276" s="957">
        <v>0</v>
      </c>
      <c r="E1276" s="431"/>
      <c r="F1276" s="958"/>
      <c r="G1276" s="965"/>
      <c r="H1276" s="965"/>
      <c r="I1276" s="1492"/>
      <c r="J1276" s="966"/>
      <c r="K1276" s="967"/>
      <c r="L1276" s="962"/>
      <c r="M1276" s="956"/>
      <c r="N1276" s="1498">
        <v>0</v>
      </c>
      <c r="O1276" s="1619"/>
      <c r="P1276" s="1261"/>
      <c r="Q1276" s="1606"/>
    </row>
    <row r="1277" spans="1:17" ht="14.45" customHeight="1" x14ac:dyDescent="0.2">
      <c r="A1277" s="1481" t="s">
        <v>388</v>
      </c>
      <c r="B1277" s="968"/>
      <c r="C1277" s="968"/>
      <c r="D1277" s="957">
        <v>0</v>
      </c>
      <c r="E1277" s="431"/>
      <c r="F1277" s="958"/>
      <c r="G1277" s="965"/>
      <c r="H1277" s="965"/>
      <c r="I1277" s="1492"/>
      <c r="J1277" s="966"/>
      <c r="K1277" s="967"/>
      <c r="L1277" s="962"/>
      <c r="M1277" s="956"/>
      <c r="N1277" s="1498">
        <v>0</v>
      </c>
      <c r="O1277" s="1619"/>
      <c r="P1277" s="1261"/>
      <c r="Q1277" s="1606"/>
    </row>
    <row r="1278" spans="1:17" ht="14.45" customHeight="1" x14ac:dyDescent="0.2">
      <c r="A1278" s="1481" t="s">
        <v>389</v>
      </c>
      <c r="B1278" s="968"/>
      <c r="C1278" s="968"/>
      <c r="D1278" s="957">
        <v>0</v>
      </c>
      <c r="E1278" s="431"/>
      <c r="F1278" s="958"/>
      <c r="G1278" s="965"/>
      <c r="H1278" s="965"/>
      <c r="I1278" s="1492"/>
      <c r="J1278" s="966"/>
      <c r="K1278" s="967"/>
      <c r="L1278" s="962"/>
      <c r="M1278" s="956"/>
      <c r="N1278" s="1498">
        <v>0</v>
      </c>
      <c r="O1278" s="1619"/>
      <c r="P1278" s="1261"/>
      <c r="Q1278" s="1606"/>
    </row>
    <row r="1279" spans="1:17" ht="14.45" customHeight="1" x14ac:dyDescent="0.2">
      <c r="A1279" s="1481" t="s">
        <v>390</v>
      </c>
      <c r="B1279" s="968"/>
      <c r="C1279" s="968"/>
      <c r="D1279" s="957">
        <v>0</v>
      </c>
      <c r="E1279" s="431"/>
      <c r="F1279" s="958"/>
      <c r="G1279" s="965"/>
      <c r="H1279" s="965"/>
      <c r="I1279" s="1492"/>
      <c r="J1279" s="966"/>
      <c r="K1279" s="967"/>
      <c r="L1279" s="962"/>
      <c r="M1279" s="956"/>
      <c r="N1279" s="1498">
        <v>0</v>
      </c>
      <c r="O1279" s="1619"/>
      <c r="P1279" s="1261"/>
      <c r="Q1279" s="1606"/>
    </row>
    <row r="1280" spans="1:17" ht="14.45" customHeight="1" x14ac:dyDescent="0.2">
      <c r="A1280" s="954" t="s">
        <v>391</v>
      </c>
      <c r="B1280" s="968"/>
      <c r="C1280" s="968"/>
      <c r="D1280" s="957">
        <v>0</v>
      </c>
      <c r="E1280" s="431"/>
      <c r="F1280" s="958"/>
      <c r="G1280" s="965"/>
      <c r="H1280" s="965"/>
      <c r="I1280" s="966"/>
      <c r="J1280" s="966"/>
      <c r="K1280" s="967"/>
      <c r="L1280" s="962"/>
      <c r="M1280" s="956"/>
      <c r="N1280" s="1498">
        <v>0</v>
      </c>
      <c r="O1280" s="1619"/>
      <c r="P1280" s="1261"/>
      <c r="Q1280" s="1606"/>
    </row>
    <row r="1281" spans="1:17" ht="14.45" customHeight="1" x14ac:dyDescent="0.2">
      <c r="A1281" s="953" t="s">
        <v>392</v>
      </c>
      <c r="B1281" s="970"/>
      <c r="C1281" s="970"/>
      <c r="D1281" s="957">
        <v>0</v>
      </c>
      <c r="E1281" s="971"/>
      <c r="F1281" s="972"/>
      <c r="G1281" s="970"/>
      <c r="H1281" s="970"/>
      <c r="I1281" s="973"/>
      <c r="J1281" s="973"/>
      <c r="K1281" s="974"/>
      <c r="L1281" s="1140"/>
      <c r="M1281" s="239"/>
      <c r="N1281" s="1617">
        <v>0</v>
      </c>
      <c r="O1281" s="1620"/>
      <c r="P1281" s="1621"/>
      <c r="Q1281" s="1622"/>
    </row>
    <row r="1282" spans="1:17" ht="14.45" customHeight="1" thickBot="1" x14ac:dyDescent="0.25">
      <c r="A1282" s="1006" t="s">
        <v>393</v>
      </c>
      <c r="B1282" s="1007">
        <v>0</v>
      </c>
      <c r="C1282" s="1007">
        <v>0</v>
      </c>
      <c r="D1282" s="1007">
        <v>0</v>
      </c>
      <c r="E1282" s="1482" t="e">
        <v>#DIV/0!</v>
      </c>
      <c r="F1282" s="1480" t="s">
        <v>989</v>
      </c>
      <c r="G1282" s="1085" t="e">
        <v>#DIV/0!</v>
      </c>
      <c r="H1282" s="1085" t="e">
        <v>#DIV/0!</v>
      </c>
      <c r="I1282" s="1008"/>
      <c r="J1282" s="1008" t="s">
        <v>983</v>
      </c>
      <c r="K1282" s="1011"/>
      <c r="L1282" s="1084">
        <v>0</v>
      </c>
      <c r="M1282" s="1084">
        <v>0</v>
      </c>
      <c r="N1282" s="1007">
        <v>0</v>
      </c>
      <c r="O1282" s="1083" t="e">
        <v>#DIV/0!</v>
      </c>
      <c r="P1282" s="1603" t="e">
        <v>#DIV/0!</v>
      </c>
      <c r="Q1282" s="1607" t="e">
        <v>#DIV/0!</v>
      </c>
    </row>
    <row r="1283" spans="1:17" ht="14.45" customHeight="1" x14ac:dyDescent="0.2">
      <c r="A1283" s="7" t="s">
        <v>1934</v>
      </c>
      <c r="B1283" s="8"/>
      <c r="C1283" s="8"/>
      <c r="D1283" s="8"/>
      <c r="E1283" s="4"/>
      <c r="F1283" s="5"/>
      <c r="G1283" s="9"/>
      <c r="H1283" s="8"/>
      <c r="I1283" s="4"/>
      <c r="J1283" s="1"/>
      <c r="K1283" s="1"/>
      <c r="O1283" s="1"/>
      <c r="P1283" s="1"/>
    </row>
    <row r="1284" spans="1:17" x14ac:dyDescent="0.2">
      <c r="A1284" s="34"/>
      <c r="B1284" s="8"/>
      <c r="C1284" s="8"/>
      <c r="D1284" s="8"/>
      <c r="E1284" s="4"/>
      <c r="F1284" s="5"/>
      <c r="G1284" s="9"/>
      <c r="H1284" s="8"/>
      <c r="I1284" s="4"/>
      <c r="J1284" s="1"/>
      <c r="K1284" s="1"/>
      <c r="O1284" s="1"/>
      <c r="P1284" s="1"/>
    </row>
    <row r="1285" spans="1:17" x14ac:dyDescent="0.2">
      <c r="A1285" s="34"/>
      <c r="B1285" s="8"/>
      <c r="C1285" s="8"/>
      <c r="D1285" s="8"/>
      <c r="E1285" s="4"/>
      <c r="F1285" s="5"/>
      <c r="G1285" s="9"/>
      <c r="H1285" s="8"/>
      <c r="I1285" s="4"/>
      <c r="J1285" s="1"/>
      <c r="K1285" s="1"/>
      <c r="O1285" s="1"/>
      <c r="P1285" s="1"/>
    </row>
    <row r="1286" spans="1:17" x14ac:dyDescent="0.2">
      <c r="A1286" s="34"/>
      <c r="B1286" s="8"/>
      <c r="C1286" s="8"/>
      <c r="D1286" s="8"/>
      <c r="E1286" s="4"/>
      <c r="F1286" s="5"/>
      <c r="G1286" s="9"/>
      <c r="H1286" s="8"/>
      <c r="I1286" s="4"/>
      <c r="J1286" s="1"/>
      <c r="K1286" s="1"/>
      <c r="O1286" s="1"/>
      <c r="P1286" s="1"/>
    </row>
    <row r="1287" spans="1:17" x14ac:dyDescent="0.2">
      <c r="A1287" s="34"/>
      <c r="B1287" s="8"/>
      <c r="C1287" s="8"/>
      <c r="D1287" s="8"/>
      <c r="E1287" s="2380"/>
      <c r="F1287" s="5"/>
      <c r="G1287" s="9"/>
      <c r="H1287" s="8"/>
      <c r="I1287" s="2380"/>
      <c r="J1287" s="2381"/>
      <c r="K1287" s="2381"/>
      <c r="O1287" s="2381"/>
      <c r="P1287" s="2381"/>
    </row>
    <row r="1288" spans="1:17" x14ac:dyDescent="0.2">
      <c r="A1288" s="34"/>
      <c r="B1288" s="8"/>
      <c r="C1288" s="8"/>
      <c r="D1288" s="8"/>
      <c r="E1288" s="2380"/>
      <c r="F1288" s="5"/>
      <c r="G1288" s="9"/>
      <c r="H1288" s="8"/>
      <c r="I1288" s="2380"/>
      <c r="J1288" s="2381"/>
      <c r="K1288" s="2381"/>
      <c r="O1288" s="2381"/>
      <c r="P1288" s="2381"/>
    </row>
    <row r="1289" spans="1:17" ht="14.45" customHeight="1" x14ac:dyDescent="0.25">
      <c r="A1289" s="2512" t="s">
        <v>1929</v>
      </c>
      <c r="B1289" s="2512"/>
      <c r="C1289" s="2512"/>
      <c r="D1289" s="2512"/>
      <c r="E1289" s="2512"/>
      <c r="F1289" s="2512"/>
      <c r="G1289" s="2512"/>
      <c r="H1289" s="2512"/>
      <c r="I1289" s="2512"/>
      <c r="J1289" s="2512"/>
      <c r="K1289" s="2512"/>
      <c r="L1289" s="2512"/>
      <c r="M1289" s="2512"/>
      <c r="N1289" s="2512"/>
      <c r="O1289" s="2512"/>
      <c r="P1289" s="2512"/>
      <c r="Q1289" s="2512"/>
    </row>
    <row r="1290" spans="1:17" ht="14.45" customHeight="1" x14ac:dyDescent="0.2">
      <c r="A1290" s="3"/>
      <c r="B1290" s="6"/>
      <c r="C1290" s="6"/>
      <c r="D1290" s="6"/>
      <c r="E1290" s="1"/>
      <c r="F1290" s="2"/>
      <c r="G1290" s="6"/>
      <c r="H1290" s="6"/>
      <c r="I1290" s="1"/>
      <c r="J1290" s="1"/>
      <c r="K1290" s="1"/>
      <c r="L1290" s="6"/>
      <c r="M1290" s="6"/>
      <c r="N1290" s="6"/>
      <c r="O1290" s="1"/>
      <c r="P1290" s="1"/>
      <c r="Q1290" s="6"/>
    </row>
    <row r="1291" spans="1:17" ht="14.45" customHeight="1" thickBot="1" x14ac:dyDescent="0.25">
      <c r="A1291" s="3" t="s">
        <v>1823</v>
      </c>
      <c r="B1291" s="6"/>
      <c r="C1291" s="6"/>
      <c r="D1291" s="6"/>
      <c r="E1291" s="1"/>
      <c r="F1291" s="2"/>
      <c r="G1291" s="6"/>
      <c r="H1291" s="6"/>
      <c r="I1291" s="1"/>
      <c r="J1291" s="1"/>
      <c r="K1291" s="1"/>
      <c r="L1291" s="6"/>
      <c r="M1291" s="6"/>
      <c r="N1291" s="6"/>
      <c r="O1291" s="1"/>
      <c r="P1291" s="1"/>
      <c r="Q1291" s="6"/>
    </row>
    <row r="1292" spans="1:17" ht="14.45" customHeight="1" thickBot="1" x14ac:dyDescent="0.25">
      <c r="A1292" s="2513" t="s">
        <v>327</v>
      </c>
      <c r="B1292" s="2516" t="s">
        <v>1935</v>
      </c>
      <c r="C1292" s="2517"/>
      <c r="D1292" s="2517"/>
      <c r="E1292" s="2517"/>
      <c r="F1292" s="2517"/>
      <c r="G1292" s="2517"/>
      <c r="H1292" s="2517"/>
      <c r="I1292" s="2517"/>
      <c r="J1292" s="2517"/>
      <c r="K1292" s="2517"/>
      <c r="L1292" s="2518" t="s">
        <v>1930</v>
      </c>
      <c r="M1292" s="2519"/>
      <c r="N1292" s="2519"/>
      <c r="O1292" s="2519"/>
      <c r="P1292" s="2520"/>
      <c r="Q1292" s="2521"/>
    </row>
    <row r="1293" spans="1:17" ht="14.45" customHeight="1" x14ac:dyDescent="0.2">
      <c r="A1293" s="2514"/>
      <c r="B1293" s="2522" t="s">
        <v>328</v>
      </c>
      <c r="C1293" s="2523"/>
      <c r="D1293" s="1014"/>
      <c r="E1293" s="1014" t="s">
        <v>904</v>
      </c>
      <c r="F1293" s="1014" t="s">
        <v>329</v>
      </c>
      <c r="G1293" s="1014"/>
      <c r="H1293" s="1014"/>
      <c r="I1293" s="2526" t="s">
        <v>330</v>
      </c>
      <c r="J1293" s="2527"/>
      <c r="K1293" s="2528"/>
      <c r="L1293" s="2524" t="s">
        <v>328</v>
      </c>
      <c r="M1293" s="2525"/>
      <c r="N1293" s="1021" t="s">
        <v>331</v>
      </c>
      <c r="O1293" s="1022" t="s">
        <v>332</v>
      </c>
      <c r="P1293" s="1023"/>
      <c r="Q1293" s="1024"/>
    </row>
    <row r="1294" spans="1:17" ht="14.45" customHeight="1" x14ac:dyDescent="0.2">
      <c r="A1294" s="2514"/>
      <c r="B1294" s="1014" t="s">
        <v>835</v>
      </c>
      <c r="C1294" s="1014" t="s">
        <v>335</v>
      </c>
      <c r="D1294" s="1014" t="s">
        <v>837</v>
      </c>
      <c r="E1294" s="1014" t="s">
        <v>842</v>
      </c>
      <c r="F1294" s="1014" t="s">
        <v>336</v>
      </c>
      <c r="G1294" s="1014" t="s">
        <v>337</v>
      </c>
      <c r="H1294" s="1014" t="s">
        <v>338</v>
      </c>
      <c r="I1294" s="2529" t="s">
        <v>839</v>
      </c>
      <c r="J1294" s="2530"/>
      <c r="K1294" s="2531"/>
      <c r="L1294" s="1025" t="s">
        <v>835</v>
      </c>
      <c r="M1294" s="1021" t="s">
        <v>335</v>
      </c>
      <c r="N1294" s="1021" t="s">
        <v>339</v>
      </c>
      <c r="O1294" s="1022"/>
      <c r="P1294" s="1021" t="s">
        <v>337</v>
      </c>
      <c r="Q1294" s="1024" t="s">
        <v>338</v>
      </c>
    </row>
    <row r="1295" spans="1:17" ht="14.45" customHeight="1" x14ac:dyDescent="0.2">
      <c r="A1295" s="2514"/>
      <c r="B1295" s="1014"/>
      <c r="C1295" s="1014"/>
      <c r="D1295" s="1014"/>
      <c r="E1295" s="1014"/>
      <c r="F1295" s="1014" t="s">
        <v>341</v>
      </c>
      <c r="G1295" s="1014" t="s">
        <v>342</v>
      </c>
      <c r="H1295" s="1014" t="s">
        <v>341</v>
      </c>
      <c r="I1295" s="1015"/>
      <c r="J1295" s="1016"/>
      <c r="K1295" s="1017"/>
      <c r="L1295" s="1025"/>
      <c r="M1295" s="1021"/>
      <c r="N1295" s="1021"/>
      <c r="O1295" s="1022" t="s">
        <v>344</v>
      </c>
      <c r="P1295" s="1021" t="s">
        <v>342</v>
      </c>
      <c r="Q1295" s="1024" t="s">
        <v>341</v>
      </c>
    </row>
    <row r="1296" spans="1:17" ht="14.45" customHeight="1" x14ac:dyDescent="0.2">
      <c r="A1296" s="2515"/>
      <c r="B1296" s="1018" t="s">
        <v>345</v>
      </c>
      <c r="C1296" s="1018" t="s">
        <v>345</v>
      </c>
      <c r="D1296" s="1018" t="s">
        <v>346</v>
      </c>
      <c r="E1296" s="1018" t="s">
        <v>757</v>
      </c>
      <c r="F1296" s="1018"/>
      <c r="G1296" s="1018" t="s">
        <v>347</v>
      </c>
      <c r="H1296" s="1018" t="s">
        <v>348</v>
      </c>
      <c r="I1296" s="1019" t="s">
        <v>349</v>
      </c>
      <c r="J1296" s="1019" t="s">
        <v>350</v>
      </c>
      <c r="K1296" s="1020" t="s">
        <v>351</v>
      </c>
      <c r="L1296" s="1026" t="s">
        <v>345</v>
      </c>
      <c r="M1296" s="1027" t="s">
        <v>345</v>
      </c>
      <c r="N1296" s="1027" t="s">
        <v>346</v>
      </c>
      <c r="O1296" s="1028"/>
      <c r="P1296" s="1027" t="s">
        <v>347</v>
      </c>
      <c r="Q1296" s="1029" t="s">
        <v>348</v>
      </c>
    </row>
    <row r="1297" spans="1:17" ht="14.45" customHeight="1" x14ac:dyDescent="0.2">
      <c r="A1297" s="975" t="s">
        <v>352</v>
      </c>
      <c r="B1297" s="976">
        <v>128.5</v>
      </c>
      <c r="C1297" s="976">
        <v>121.5</v>
      </c>
      <c r="D1297" s="977">
        <v>2399.5</v>
      </c>
      <c r="E1297" s="1608">
        <v>19.748971193415638</v>
      </c>
      <c r="F1297" s="979"/>
      <c r="G1297" s="976"/>
      <c r="H1297" s="976"/>
      <c r="I1297" s="978"/>
      <c r="J1297" s="978"/>
      <c r="K1297" s="980"/>
      <c r="L1297" s="981">
        <v>155.5</v>
      </c>
      <c r="M1297" s="977">
        <v>155.5</v>
      </c>
      <c r="N1297" s="977">
        <v>2919.5</v>
      </c>
      <c r="O1297" s="1608">
        <v>18.774919614147908</v>
      </c>
      <c r="P1297" s="1609"/>
      <c r="Q1297" s="1610"/>
    </row>
    <row r="1298" spans="1:17" ht="14.45" customHeight="1" x14ac:dyDescent="0.2">
      <c r="A1298" s="1481" t="s">
        <v>353</v>
      </c>
      <c r="B1298" s="1147">
        <v>12</v>
      </c>
      <c r="C1298" s="1147">
        <v>12</v>
      </c>
      <c r="D1298" s="248">
        <v>240</v>
      </c>
      <c r="E1298" s="1147">
        <v>20</v>
      </c>
      <c r="F1298" s="1342" t="s">
        <v>985</v>
      </c>
      <c r="G1298" s="1259">
        <v>1811000</v>
      </c>
      <c r="H1298" s="959">
        <v>32504965.836568229</v>
      </c>
      <c r="I1298" s="1489"/>
      <c r="J1298" s="960"/>
      <c r="K1298" s="961"/>
      <c r="L1298" s="2315">
        <v>10</v>
      </c>
      <c r="M1298" s="1147">
        <v>10</v>
      </c>
      <c r="N1298" s="1147">
        <v>200</v>
      </c>
      <c r="O1298" s="1630">
        <v>20</v>
      </c>
      <c r="P1298" s="1261">
        <v>2620000</v>
      </c>
      <c r="Q1298" s="1149">
        <v>32504965.836568229</v>
      </c>
    </row>
    <row r="1299" spans="1:17" ht="14.45" customHeight="1" x14ac:dyDescent="0.2">
      <c r="A1299" s="1481" t="s">
        <v>354</v>
      </c>
      <c r="B1299" s="1147">
        <v>6</v>
      </c>
      <c r="C1299" s="1147">
        <v>6</v>
      </c>
      <c r="D1299" s="248">
        <v>120</v>
      </c>
      <c r="E1299" s="1147">
        <v>20</v>
      </c>
      <c r="F1299" s="1342" t="s">
        <v>985</v>
      </c>
      <c r="G1299" s="1259">
        <v>1811000</v>
      </c>
      <c r="H1299" s="959">
        <v>32504965.836568229</v>
      </c>
      <c r="I1299" s="1489"/>
      <c r="J1299" s="960"/>
      <c r="K1299" s="961"/>
      <c r="L1299" s="2315">
        <v>5</v>
      </c>
      <c r="M1299" s="1147">
        <v>5</v>
      </c>
      <c r="N1299" s="1147">
        <v>100</v>
      </c>
      <c r="O1299" s="1630">
        <v>20</v>
      </c>
      <c r="P1299" s="1261">
        <v>2620000</v>
      </c>
      <c r="Q1299" s="1149">
        <v>32504965.836568229</v>
      </c>
    </row>
    <row r="1300" spans="1:17" ht="14.45" customHeight="1" x14ac:dyDescent="0.2">
      <c r="A1300" s="1481" t="s">
        <v>355</v>
      </c>
      <c r="B1300" s="1147">
        <v>22</v>
      </c>
      <c r="C1300" s="1147">
        <v>20</v>
      </c>
      <c r="D1300" s="248">
        <v>320</v>
      </c>
      <c r="E1300" s="1147">
        <v>16</v>
      </c>
      <c r="F1300" s="1342" t="s">
        <v>985</v>
      </c>
      <c r="G1300" s="1259">
        <v>1811000</v>
      </c>
      <c r="H1300" s="959">
        <v>32504965.836568229</v>
      </c>
      <c r="I1300" s="1489"/>
      <c r="J1300" s="960"/>
      <c r="K1300" s="961"/>
      <c r="L1300" s="2315">
        <v>28</v>
      </c>
      <c r="M1300" s="1147">
        <v>28</v>
      </c>
      <c r="N1300" s="1147">
        <v>448</v>
      </c>
      <c r="O1300" s="1630">
        <v>16</v>
      </c>
      <c r="P1300" s="1261">
        <v>2620000</v>
      </c>
      <c r="Q1300" s="1149">
        <v>32504965.836568229</v>
      </c>
    </row>
    <row r="1301" spans="1:17" ht="14.45" customHeight="1" x14ac:dyDescent="0.2">
      <c r="A1301" s="1481" t="s">
        <v>356</v>
      </c>
      <c r="B1301" s="1147">
        <v>10</v>
      </c>
      <c r="C1301" s="1147">
        <v>10</v>
      </c>
      <c r="D1301" s="248">
        <v>200</v>
      </c>
      <c r="E1301" s="1147">
        <v>20</v>
      </c>
      <c r="F1301" s="1342" t="s">
        <v>985</v>
      </c>
      <c r="G1301" s="1259">
        <v>1811000</v>
      </c>
      <c r="H1301" s="959">
        <v>32504965.836568229</v>
      </c>
      <c r="I1301" s="1489"/>
      <c r="J1301" s="960"/>
      <c r="K1301" s="961"/>
      <c r="L1301" s="2315">
        <v>10</v>
      </c>
      <c r="M1301" s="1147">
        <v>10</v>
      </c>
      <c r="N1301" s="1147">
        <v>200</v>
      </c>
      <c r="O1301" s="1630">
        <v>20</v>
      </c>
      <c r="P1301" s="1261">
        <v>2620000</v>
      </c>
      <c r="Q1301" s="1149">
        <v>32504965.836568229</v>
      </c>
    </row>
    <row r="1302" spans="1:17" ht="14.45" customHeight="1" x14ac:dyDescent="0.2">
      <c r="A1302" s="1481" t="s">
        <v>357</v>
      </c>
      <c r="B1302" s="1147">
        <v>11</v>
      </c>
      <c r="C1302" s="1147">
        <v>11</v>
      </c>
      <c r="D1302" s="248">
        <v>198</v>
      </c>
      <c r="E1302" s="1147">
        <v>18</v>
      </c>
      <c r="F1302" s="1342" t="s">
        <v>985</v>
      </c>
      <c r="G1302" s="1259">
        <v>1811000</v>
      </c>
      <c r="H1302" s="959">
        <v>32504965.836568229</v>
      </c>
      <c r="I1302" s="1489"/>
      <c r="J1302" s="960"/>
      <c r="K1302" s="961"/>
      <c r="L1302" s="2315">
        <v>20</v>
      </c>
      <c r="M1302" s="1147">
        <v>20</v>
      </c>
      <c r="N1302" s="1147">
        <v>360</v>
      </c>
      <c r="O1302" s="1630">
        <v>18</v>
      </c>
      <c r="P1302" s="1261">
        <v>2620000</v>
      </c>
      <c r="Q1302" s="1149">
        <v>32504965.836568229</v>
      </c>
    </row>
    <row r="1303" spans="1:17" ht="14.45" customHeight="1" x14ac:dyDescent="0.2">
      <c r="A1303" s="1481" t="s">
        <v>358</v>
      </c>
      <c r="B1303" s="1147">
        <v>30</v>
      </c>
      <c r="C1303" s="1147">
        <v>25</v>
      </c>
      <c r="D1303" s="248">
        <v>500</v>
      </c>
      <c r="E1303" s="1147">
        <v>20</v>
      </c>
      <c r="F1303" s="1342" t="s">
        <v>985</v>
      </c>
      <c r="G1303" s="1259">
        <v>1811000</v>
      </c>
      <c r="H1303" s="959">
        <v>32504965.836568229</v>
      </c>
      <c r="I1303" s="1489"/>
      <c r="J1303" s="960"/>
      <c r="K1303" s="961"/>
      <c r="L1303" s="2315">
        <v>30</v>
      </c>
      <c r="M1303" s="1147">
        <v>30</v>
      </c>
      <c r="N1303" s="1147">
        <v>510</v>
      </c>
      <c r="O1303" s="1630">
        <v>17</v>
      </c>
      <c r="P1303" s="1261">
        <v>2620000</v>
      </c>
      <c r="Q1303" s="1149">
        <v>32504965.836568229</v>
      </c>
    </row>
    <row r="1304" spans="1:17" ht="14.45" customHeight="1" x14ac:dyDescent="0.2">
      <c r="A1304" s="1481" t="s">
        <v>359</v>
      </c>
      <c r="B1304" s="1147">
        <v>2</v>
      </c>
      <c r="C1304" s="1147">
        <v>2</v>
      </c>
      <c r="D1304" s="248">
        <v>32</v>
      </c>
      <c r="E1304" s="1147">
        <v>16</v>
      </c>
      <c r="F1304" s="1342" t="s">
        <v>985</v>
      </c>
      <c r="G1304" s="1259">
        <v>1811000</v>
      </c>
      <c r="H1304" s="959">
        <v>32504965.836568229</v>
      </c>
      <c r="I1304" s="1489"/>
      <c r="J1304" s="960"/>
      <c r="K1304" s="961"/>
      <c r="L1304" s="2315">
        <v>7</v>
      </c>
      <c r="M1304" s="1147">
        <v>7</v>
      </c>
      <c r="N1304" s="1147">
        <v>112</v>
      </c>
      <c r="O1304" s="1630">
        <v>16</v>
      </c>
      <c r="P1304" s="1261">
        <v>2620000</v>
      </c>
      <c r="Q1304" s="1149">
        <v>32504965.836568229</v>
      </c>
    </row>
    <row r="1305" spans="1:17" ht="14.45" customHeight="1" x14ac:dyDescent="0.2">
      <c r="A1305" s="1481" t="s">
        <v>360</v>
      </c>
      <c r="B1305" s="1147">
        <v>21</v>
      </c>
      <c r="C1305" s="1147">
        <v>21</v>
      </c>
      <c r="D1305" s="248">
        <v>462</v>
      </c>
      <c r="E1305" s="1147">
        <v>22</v>
      </c>
      <c r="F1305" s="1342" t="s">
        <v>985</v>
      </c>
      <c r="G1305" s="1259">
        <v>1811000</v>
      </c>
      <c r="H1305" s="959">
        <v>32504965.836568229</v>
      </c>
      <c r="I1305" s="1489"/>
      <c r="J1305" s="960"/>
      <c r="K1305" s="961"/>
      <c r="L1305" s="2315">
        <v>16</v>
      </c>
      <c r="M1305" s="1147">
        <v>16</v>
      </c>
      <c r="N1305" s="1147">
        <v>320</v>
      </c>
      <c r="O1305" s="1630">
        <v>20</v>
      </c>
      <c r="P1305" s="1261">
        <v>2620000</v>
      </c>
      <c r="Q1305" s="1149">
        <v>32504965.836568229</v>
      </c>
    </row>
    <row r="1306" spans="1:17" ht="14.45" customHeight="1" x14ac:dyDescent="0.2">
      <c r="A1306" s="1481" t="s">
        <v>361</v>
      </c>
      <c r="B1306" s="1147">
        <v>0</v>
      </c>
      <c r="C1306" s="1147">
        <v>0</v>
      </c>
      <c r="D1306" s="248">
        <v>0</v>
      </c>
      <c r="E1306" s="1147">
        <v>0</v>
      </c>
      <c r="F1306" s="958"/>
      <c r="G1306" s="1259"/>
      <c r="H1306" s="959"/>
      <c r="I1306" s="1489"/>
      <c r="J1306" s="960"/>
      <c r="K1306" s="961"/>
      <c r="L1306" s="2315">
        <v>0</v>
      </c>
      <c r="M1306" s="1147">
        <v>0</v>
      </c>
      <c r="N1306" s="1147">
        <v>0</v>
      </c>
      <c r="O1306" s="1630">
        <v>0</v>
      </c>
      <c r="P1306" s="1261"/>
      <c r="Q1306" s="1149"/>
    </row>
    <row r="1307" spans="1:17" ht="14.45" customHeight="1" x14ac:dyDescent="0.2">
      <c r="A1307" s="1481" t="s">
        <v>362</v>
      </c>
      <c r="B1307" s="1147">
        <v>4</v>
      </c>
      <c r="C1307" s="1147">
        <v>4</v>
      </c>
      <c r="D1307" s="248">
        <v>80</v>
      </c>
      <c r="E1307" s="1147">
        <v>20</v>
      </c>
      <c r="F1307" s="1342" t="s">
        <v>985</v>
      </c>
      <c r="G1307" s="1259">
        <v>1811000</v>
      </c>
      <c r="H1307" s="959">
        <v>32504965.836568229</v>
      </c>
      <c r="I1307" s="1489"/>
      <c r="J1307" s="960"/>
      <c r="K1307" s="961"/>
      <c r="L1307" s="2315">
        <v>3</v>
      </c>
      <c r="M1307" s="1147">
        <v>3</v>
      </c>
      <c r="N1307" s="1147">
        <v>60</v>
      </c>
      <c r="O1307" s="1630">
        <v>20</v>
      </c>
      <c r="P1307" s="1261">
        <v>2620000</v>
      </c>
      <c r="Q1307" s="1149">
        <v>32504965.836568229</v>
      </c>
    </row>
    <row r="1308" spans="1:17" ht="14.45" customHeight="1" x14ac:dyDescent="0.2">
      <c r="A1308" s="1481" t="s">
        <v>363</v>
      </c>
      <c r="B1308" s="1147">
        <v>2</v>
      </c>
      <c r="C1308" s="1147">
        <v>2</v>
      </c>
      <c r="D1308" s="248">
        <v>40</v>
      </c>
      <c r="E1308" s="1147">
        <v>20</v>
      </c>
      <c r="F1308" s="1342" t="s">
        <v>985</v>
      </c>
      <c r="G1308" s="1259">
        <v>1811000</v>
      </c>
      <c r="H1308" s="959">
        <v>32504965.836568229</v>
      </c>
      <c r="I1308" s="1489"/>
      <c r="J1308" s="960"/>
      <c r="K1308" s="961"/>
      <c r="L1308" s="2315">
        <v>10</v>
      </c>
      <c r="M1308" s="1147">
        <v>10</v>
      </c>
      <c r="N1308" s="1147">
        <v>200</v>
      </c>
      <c r="O1308" s="1630">
        <v>20</v>
      </c>
      <c r="P1308" s="1261">
        <v>2620000</v>
      </c>
      <c r="Q1308" s="1149">
        <v>32504965.836568229</v>
      </c>
    </row>
    <row r="1309" spans="1:17" ht="14.45" customHeight="1" x14ac:dyDescent="0.2">
      <c r="A1309" s="1481" t="s">
        <v>364</v>
      </c>
      <c r="B1309" s="1147">
        <v>8</v>
      </c>
      <c r="C1309" s="1147">
        <v>8</v>
      </c>
      <c r="D1309" s="248">
        <v>200</v>
      </c>
      <c r="E1309" s="1147">
        <v>25</v>
      </c>
      <c r="F1309" s="1342" t="s">
        <v>985</v>
      </c>
      <c r="G1309" s="1259">
        <v>1811000</v>
      </c>
      <c r="H1309" s="959">
        <v>32504965.836568229</v>
      </c>
      <c r="I1309" s="1489"/>
      <c r="J1309" s="960"/>
      <c r="K1309" s="961"/>
      <c r="L1309" s="2315">
        <v>16</v>
      </c>
      <c r="M1309" s="1147">
        <v>16</v>
      </c>
      <c r="N1309" s="1147">
        <v>400</v>
      </c>
      <c r="O1309" s="1630">
        <v>25</v>
      </c>
      <c r="P1309" s="1261">
        <v>2620000</v>
      </c>
      <c r="Q1309" s="1149">
        <v>32504965.836568229</v>
      </c>
    </row>
    <row r="1310" spans="1:17" ht="14.45" customHeight="1" x14ac:dyDescent="0.2">
      <c r="A1310" s="1481" t="s">
        <v>365</v>
      </c>
      <c r="B1310" s="1147"/>
      <c r="C1310" s="1147"/>
      <c r="D1310" s="248">
        <v>0</v>
      </c>
      <c r="E1310" s="1147"/>
      <c r="F1310" s="1342" t="s">
        <v>985</v>
      </c>
      <c r="G1310" s="1259">
        <v>1811000</v>
      </c>
      <c r="H1310" s="959">
        <v>32504965.836568229</v>
      </c>
      <c r="I1310" s="1489"/>
      <c r="J1310" s="960"/>
      <c r="K1310" s="961"/>
      <c r="L1310" s="2315">
        <v>0.5</v>
      </c>
      <c r="M1310" s="1147">
        <v>0.5</v>
      </c>
      <c r="N1310" s="1147">
        <v>9.5</v>
      </c>
      <c r="O1310" s="1630">
        <v>19</v>
      </c>
      <c r="P1310" s="1261">
        <v>2620000</v>
      </c>
      <c r="Q1310" s="1149">
        <v>32504965.836568229</v>
      </c>
    </row>
    <row r="1311" spans="1:17" ht="14.45" customHeight="1" x14ac:dyDescent="0.2">
      <c r="A1311" s="1481" t="s">
        <v>366</v>
      </c>
      <c r="B1311" s="1147">
        <v>0.5</v>
      </c>
      <c r="C1311" s="1147">
        <v>0.5</v>
      </c>
      <c r="D1311" s="248">
        <v>7.5</v>
      </c>
      <c r="E1311" s="1147">
        <v>15</v>
      </c>
      <c r="F1311" s="1342" t="s">
        <v>985</v>
      </c>
      <c r="G1311" s="1259">
        <v>1811000</v>
      </c>
      <c r="H1311" s="959">
        <v>32504965.836568229</v>
      </c>
      <c r="I1311" s="1489"/>
      <c r="J1311" s="960"/>
      <c r="K1311" s="961"/>
      <c r="L1311" s="2315">
        <v>0</v>
      </c>
      <c r="M1311" s="1147">
        <v>0</v>
      </c>
      <c r="N1311" s="1147">
        <v>0</v>
      </c>
      <c r="O1311" s="1630">
        <v>0</v>
      </c>
      <c r="P1311" s="1261">
        <v>2620000</v>
      </c>
      <c r="Q1311" s="1149">
        <v>32504965.836568229</v>
      </c>
    </row>
    <row r="1312" spans="1:17" ht="14.45" customHeight="1" x14ac:dyDescent="0.2">
      <c r="A1312" s="1481" t="s">
        <v>367</v>
      </c>
      <c r="B1312" s="1147">
        <v>0</v>
      </c>
      <c r="C1312" s="1147">
        <v>0</v>
      </c>
      <c r="D1312" s="248">
        <v>0</v>
      </c>
      <c r="E1312" s="1147">
        <v>0</v>
      </c>
      <c r="F1312" s="964"/>
      <c r="G1312" s="1259"/>
      <c r="H1312" s="959"/>
      <c r="I1312" s="1489"/>
      <c r="J1312" s="960"/>
      <c r="K1312" s="961"/>
      <c r="L1312" s="2315">
        <v>0</v>
      </c>
      <c r="M1312" s="1147">
        <v>0</v>
      </c>
      <c r="N1312" s="1147">
        <v>0</v>
      </c>
      <c r="O1312" s="1630">
        <v>0</v>
      </c>
      <c r="P1312" s="1261"/>
      <c r="Q1312" s="1606"/>
    </row>
    <row r="1313" spans="1:17" ht="14.45" customHeight="1" x14ac:dyDescent="0.2">
      <c r="A1313" s="1484" t="s">
        <v>368</v>
      </c>
      <c r="B1313" s="1150">
        <v>66</v>
      </c>
      <c r="C1313" s="2313">
        <v>66</v>
      </c>
      <c r="D1313" s="2314">
        <v>1217</v>
      </c>
      <c r="E1313" s="1608">
        <v>18.439393939393938</v>
      </c>
      <c r="F1313" s="987"/>
      <c r="G1313" s="1486"/>
      <c r="H1313" s="988"/>
      <c r="I1313" s="1490"/>
      <c r="J1313" s="989"/>
      <c r="K1313" s="990"/>
      <c r="L1313" s="2316">
        <v>54</v>
      </c>
      <c r="M1313" s="1150">
        <v>52</v>
      </c>
      <c r="N1313" s="1150">
        <v>933</v>
      </c>
      <c r="O1313" s="2216">
        <v>17.942307692307693</v>
      </c>
      <c r="P1313" s="1604"/>
      <c r="Q1313" s="1605"/>
    </row>
    <row r="1314" spans="1:17" ht="14.45" customHeight="1" x14ac:dyDescent="0.2">
      <c r="A1314" s="1481" t="s">
        <v>369</v>
      </c>
      <c r="B1314" s="1147">
        <v>32</v>
      </c>
      <c r="C1314" s="1147">
        <v>32</v>
      </c>
      <c r="D1314" s="248">
        <v>640</v>
      </c>
      <c r="E1314" s="1147">
        <v>20</v>
      </c>
      <c r="F1314" s="1342" t="s">
        <v>985</v>
      </c>
      <c r="G1314" s="1259">
        <v>1811000</v>
      </c>
      <c r="H1314" s="959">
        <v>32504965.836568229</v>
      </c>
      <c r="I1314" s="1489"/>
      <c r="J1314" s="960"/>
      <c r="K1314" s="961"/>
      <c r="L1314" s="2315">
        <v>28</v>
      </c>
      <c r="M1314" s="1147">
        <v>26</v>
      </c>
      <c r="N1314" s="1147">
        <v>468</v>
      </c>
      <c r="O1314" s="1630">
        <v>18</v>
      </c>
      <c r="P1314" s="1261">
        <v>2620000</v>
      </c>
      <c r="Q1314" s="1149">
        <v>32504965.836568229</v>
      </c>
    </row>
    <row r="1315" spans="1:17" ht="14.45" customHeight="1" x14ac:dyDescent="0.2">
      <c r="A1315" s="1481" t="s">
        <v>370</v>
      </c>
      <c r="B1315" s="1147">
        <v>20</v>
      </c>
      <c r="C1315" s="1147">
        <v>20</v>
      </c>
      <c r="D1315" s="248">
        <v>300</v>
      </c>
      <c r="E1315" s="1147">
        <v>15</v>
      </c>
      <c r="F1315" s="1342" t="s">
        <v>985</v>
      </c>
      <c r="G1315" s="1259">
        <v>1811000</v>
      </c>
      <c r="H1315" s="959">
        <v>32504965.836568229</v>
      </c>
      <c r="I1315" s="1489"/>
      <c r="J1315" s="960"/>
      <c r="K1315" s="961"/>
      <c r="L1315" s="2315">
        <v>12</v>
      </c>
      <c r="M1315" s="1147">
        <v>12</v>
      </c>
      <c r="N1315" s="1147">
        <v>180</v>
      </c>
      <c r="O1315" s="1630">
        <v>15</v>
      </c>
      <c r="P1315" s="1261">
        <v>2620000</v>
      </c>
      <c r="Q1315" s="1149">
        <v>32504965.836568229</v>
      </c>
    </row>
    <row r="1316" spans="1:17" ht="14.45" customHeight="1" x14ac:dyDescent="0.2">
      <c r="A1316" s="1481" t="s">
        <v>371</v>
      </c>
      <c r="B1316" s="1147">
        <v>9</v>
      </c>
      <c r="C1316" s="1147">
        <v>9</v>
      </c>
      <c r="D1316" s="248">
        <v>189</v>
      </c>
      <c r="E1316" s="1147">
        <v>21</v>
      </c>
      <c r="F1316" s="1342" t="s">
        <v>985</v>
      </c>
      <c r="G1316" s="1259">
        <v>1811000</v>
      </c>
      <c r="H1316" s="959">
        <v>32504965.836568229</v>
      </c>
      <c r="I1316" s="1489"/>
      <c r="J1316" s="960"/>
      <c r="K1316" s="961"/>
      <c r="L1316" s="2315">
        <v>9</v>
      </c>
      <c r="M1316" s="1147">
        <v>9</v>
      </c>
      <c r="N1316" s="1147">
        <v>189</v>
      </c>
      <c r="O1316" s="1630">
        <v>21</v>
      </c>
      <c r="P1316" s="1261">
        <v>2620000</v>
      </c>
      <c r="Q1316" s="1149">
        <v>32504965.836568229</v>
      </c>
    </row>
    <row r="1317" spans="1:17" ht="14.45" customHeight="1" x14ac:dyDescent="0.2">
      <c r="A1317" s="1481" t="s">
        <v>372</v>
      </c>
      <c r="B1317" s="1147">
        <v>3</v>
      </c>
      <c r="C1317" s="1147">
        <v>3</v>
      </c>
      <c r="D1317" s="248">
        <v>54</v>
      </c>
      <c r="E1317" s="1147">
        <v>18</v>
      </c>
      <c r="F1317" s="1342" t="s">
        <v>985</v>
      </c>
      <c r="G1317" s="1259">
        <v>1811000</v>
      </c>
      <c r="H1317" s="959">
        <v>32504965.836568229</v>
      </c>
      <c r="I1317" s="1489"/>
      <c r="J1317" s="960"/>
      <c r="K1317" s="961"/>
      <c r="L1317" s="2315">
        <v>3</v>
      </c>
      <c r="M1317" s="1147">
        <v>3</v>
      </c>
      <c r="N1317" s="1147">
        <v>60</v>
      </c>
      <c r="O1317" s="1630">
        <v>20</v>
      </c>
      <c r="P1317" s="1261">
        <v>2620000</v>
      </c>
      <c r="Q1317" s="1149">
        <v>32504965.836568229</v>
      </c>
    </row>
    <row r="1318" spans="1:17" ht="14.45" customHeight="1" x14ac:dyDescent="0.2">
      <c r="A1318" s="1481" t="s">
        <v>373</v>
      </c>
      <c r="B1318" s="1147">
        <v>2</v>
      </c>
      <c r="C1318" s="1147">
        <v>2</v>
      </c>
      <c r="D1318" s="248">
        <v>34</v>
      </c>
      <c r="E1318" s="1147">
        <v>17</v>
      </c>
      <c r="F1318" s="1342"/>
      <c r="G1318" s="1259">
        <v>1811000</v>
      </c>
      <c r="H1318" s="959">
        <v>32504965.836568229</v>
      </c>
      <c r="I1318" s="1489"/>
      <c r="J1318" s="960"/>
      <c r="K1318" s="961"/>
      <c r="L1318" s="2315">
        <v>2</v>
      </c>
      <c r="M1318" s="1147">
        <v>2</v>
      </c>
      <c r="N1318" s="1147">
        <v>36</v>
      </c>
      <c r="O1318" s="1630">
        <v>18</v>
      </c>
      <c r="P1318" s="1261">
        <v>2620000</v>
      </c>
      <c r="Q1318" s="1149">
        <v>32504965.836568229</v>
      </c>
    </row>
    <row r="1319" spans="1:17" ht="14.45" customHeight="1" x14ac:dyDescent="0.2">
      <c r="A1319" s="1484" t="s">
        <v>374</v>
      </c>
      <c r="B1319" s="1150">
        <v>132.5</v>
      </c>
      <c r="C1319" s="2313">
        <v>131.30000000000001</v>
      </c>
      <c r="D1319" s="2313">
        <v>2339.75</v>
      </c>
      <c r="E1319" s="1608">
        <v>17.819878141660318</v>
      </c>
      <c r="F1319" s="987"/>
      <c r="G1319" s="1488"/>
      <c r="H1319" s="996"/>
      <c r="I1319" s="1491"/>
      <c r="J1319" s="997"/>
      <c r="K1319" s="998"/>
      <c r="L1319" s="2316">
        <v>114</v>
      </c>
      <c r="M1319" s="1150">
        <v>106</v>
      </c>
      <c r="N1319" s="1150">
        <v>1929</v>
      </c>
      <c r="O1319" s="2216">
        <v>18.19811320754717</v>
      </c>
      <c r="P1319" s="1604"/>
      <c r="Q1319" s="1605"/>
    </row>
    <row r="1320" spans="1:17" ht="14.45" customHeight="1" x14ac:dyDescent="0.2">
      <c r="A1320" s="1481" t="s">
        <v>375</v>
      </c>
      <c r="B1320" s="1147">
        <v>38</v>
      </c>
      <c r="C1320" s="1147">
        <v>37</v>
      </c>
      <c r="D1320" s="248">
        <v>740</v>
      </c>
      <c r="E1320" s="1147">
        <v>20</v>
      </c>
      <c r="F1320" s="1342" t="s">
        <v>985</v>
      </c>
      <c r="G1320" s="1259">
        <v>1811000</v>
      </c>
      <c r="H1320" s="959">
        <v>32504965.836568229</v>
      </c>
      <c r="I1320" s="1489"/>
      <c r="J1320" s="960"/>
      <c r="K1320" s="961"/>
      <c r="L1320" s="2315">
        <v>40</v>
      </c>
      <c r="M1320" s="1147">
        <v>34</v>
      </c>
      <c r="N1320" s="1147">
        <v>748</v>
      </c>
      <c r="O1320" s="1630">
        <v>22</v>
      </c>
      <c r="P1320" s="1261">
        <v>2620000</v>
      </c>
      <c r="Q1320" s="1149">
        <v>32504965.836568229</v>
      </c>
    </row>
    <row r="1321" spans="1:17" ht="14.45" customHeight="1" x14ac:dyDescent="0.2">
      <c r="A1321" s="1481" t="s">
        <v>376</v>
      </c>
      <c r="B1321" s="1147">
        <v>8</v>
      </c>
      <c r="C1321" s="1147">
        <v>8</v>
      </c>
      <c r="D1321" s="248">
        <v>144</v>
      </c>
      <c r="E1321" s="1147">
        <v>18</v>
      </c>
      <c r="F1321" s="1342" t="s">
        <v>985</v>
      </c>
      <c r="G1321" s="1259">
        <v>1811000</v>
      </c>
      <c r="H1321" s="959">
        <v>32504965.836568229</v>
      </c>
      <c r="I1321" s="1489"/>
      <c r="J1321" s="960"/>
      <c r="K1321" s="961"/>
      <c r="L1321" s="2315">
        <v>9</v>
      </c>
      <c r="M1321" s="1147">
        <v>9</v>
      </c>
      <c r="N1321" s="1147">
        <v>162</v>
      </c>
      <c r="O1321" s="1630">
        <v>18</v>
      </c>
      <c r="P1321" s="1261">
        <v>2620000</v>
      </c>
      <c r="Q1321" s="1149">
        <v>32504965.836568229</v>
      </c>
    </row>
    <row r="1322" spans="1:17" ht="14.45" customHeight="1" x14ac:dyDescent="0.2">
      <c r="A1322" s="1481" t="s">
        <v>377</v>
      </c>
      <c r="B1322" s="1147">
        <v>16</v>
      </c>
      <c r="C1322" s="1147">
        <v>16</v>
      </c>
      <c r="D1322" s="248">
        <v>320</v>
      </c>
      <c r="E1322" s="1147">
        <v>20</v>
      </c>
      <c r="F1322" s="1342" t="s">
        <v>985</v>
      </c>
      <c r="G1322" s="1259">
        <v>1811000</v>
      </c>
      <c r="H1322" s="959">
        <v>32504965.836568229</v>
      </c>
      <c r="I1322" s="1489"/>
      <c r="J1322" s="960"/>
      <c r="K1322" s="961"/>
      <c r="L1322" s="2315">
        <v>11</v>
      </c>
      <c r="M1322" s="1147">
        <v>9</v>
      </c>
      <c r="N1322" s="1147">
        <v>180</v>
      </c>
      <c r="O1322" s="1630">
        <v>20</v>
      </c>
      <c r="P1322" s="1261">
        <v>2620000</v>
      </c>
      <c r="Q1322" s="1149">
        <v>32504965.836568229</v>
      </c>
    </row>
    <row r="1323" spans="1:17" ht="14.45" customHeight="1" x14ac:dyDescent="0.2">
      <c r="A1323" s="1481" t="s">
        <v>378</v>
      </c>
      <c r="B1323" s="1147">
        <v>25.5</v>
      </c>
      <c r="C1323" s="1147">
        <v>25.3</v>
      </c>
      <c r="D1323" s="248">
        <v>442.75</v>
      </c>
      <c r="E1323" s="1147">
        <v>17.5</v>
      </c>
      <c r="F1323" s="1342" t="s">
        <v>985</v>
      </c>
      <c r="G1323" s="1259">
        <v>1811000</v>
      </c>
      <c r="H1323" s="959">
        <v>32504965.836568229</v>
      </c>
      <c r="I1323" s="1492"/>
      <c r="J1323" s="960"/>
      <c r="K1323" s="967"/>
      <c r="L1323" s="2315">
        <v>8</v>
      </c>
      <c r="M1323" s="1147">
        <v>8</v>
      </c>
      <c r="N1323" s="1147">
        <v>140</v>
      </c>
      <c r="O1323" s="1630">
        <v>17.5</v>
      </c>
      <c r="P1323" s="1261">
        <v>2620000</v>
      </c>
      <c r="Q1323" s="1149">
        <v>32504965.836568229</v>
      </c>
    </row>
    <row r="1324" spans="1:17" ht="14.45" customHeight="1" x14ac:dyDescent="0.2">
      <c r="A1324" s="1481" t="s">
        <v>379</v>
      </c>
      <c r="B1324" s="1147">
        <v>6</v>
      </c>
      <c r="C1324" s="1147">
        <v>6</v>
      </c>
      <c r="D1324" s="248">
        <v>72</v>
      </c>
      <c r="E1324" s="1147">
        <v>12</v>
      </c>
      <c r="F1324" s="1342" t="s">
        <v>985</v>
      </c>
      <c r="G1324" s="1259">
        <v>1811000</v>
      </c>
      <c r="H1324" s="959">
        <v>32504965.836568229</v>
      </c>
      <c r="I1324" s="1492"/>
      <c r="J1324" s="960"/>
      <c r="K1324" s="961"/>
      <c r="L1324" s="2315">
        <v>6</v>
      </c>
      <c r="M1324" s="1147">
        <v>6</v>
      </c>
      <c r="N1324" s="1147">
        <v>90</v>
      </c>
      <c r="O1324" s="1630">
        <v>15</v>
      </c>
      <c r="P1324" s="1261">
        <v>2620000</v>
      </c>
      <c r="Q1324" s="1149">
        <v>32504965.836568229</v>
      </c>
    </row>
    <row r="1325" spans="1:17" ht="14.45" customHeight="1" x14ac:dyDescent="0.2">
      <c r="A1325" s="1481" t="s">
        <v>380</v>
      </c>
      <c r="B1325" s="1147">
        <v>15</v>
      </c>
      <c r="C1325" s="1147">
        <v>15</v>
      </c>
      <c r="D1325" s="248">
        <v>225</v>
      </c>
      <c r="E1325" s="1147">
        <v>15</v>
      </c>
      <c r="F1325" s="1342" t="s">
        <v>985</v>
      </c>
      <c r="G1325" s="1259">
        <v>1811000</v>
      </c>
      <c r="H1325" s="959">
        <v>32504965.836568229</v>
      </c>
      <c r="I1325" s="1492"/>
      <c r="J1325" s="960"/>
      <c r="K1325" s="961"/>
      <c r="L1325" s="2315">
        <v>15</v>
      </c>
      <c r="M1325" s="1147">
        <v>15</v>
      </c>
      <c r="N1325" s="1147">
        <v>180</v>
      </c>
      <c r="O1325" s="1630">
        <v>12</v>
      </c>
      <c r="P1325" s="1261">
        <v>2620000</v>
      </c>
      <c r="Q1325" s="1149">
        <v>32504965.836568229</v>
      </c>
    </row>
    <row r="1326" spans="1:17" ht="14.45" customHeight="1" x14ac:dyDescent="0.2">
      <c r="A1326" s="1481" t="s">
        <v>381</v>
      </c>
      <c r="B1326" s="1147">
        <v>6</v>
      </c>
      <c r="C1326" s="1147">
        <v>6</v>
      </c>
      <c r="D1326" s="248">
        <v>90</v>
      </c>
      <c r="E1326" s="1147">
        <v>15</v>
      </c>
      <c r="F1326" s="1342" t="s">
        <v>985</v>
      </c>
      <c r="G1326" s="1259">
        <v>1811000</v>
      </c>
      <c r="H1326" s="959">
        <v>32504965.836568229</v>
      </c>
      <c r="I1326" s="1492"/>
      <c r="J1326" s="960"/>
      <c r="K1326" s="961"/>
      <c r="L1326" s="2315">
        <v>7</v>
      </c>
      <c r="M1326" s="1147">
        <v>7</v>
      </c>
      <c r="N1326" s="1147">
        <v>105</v>
      </c>
      <c r="O1326" s="1630">
        <v>15</v>
      </c>
      <c r="P1326" s="1261">
        <v>2620000</v>
      </c>
      <c r="Q1326" s="1149">
        <v>32504965.836568229</v>
      </c>
    </row>
    <row r="1327" spans="1:17" ht="14.45" customHeight="1" x14ac:dyDescent="0.2">
      <c r="A1327" s="1481" t="s">
        <v>382</v>
      </c>
      <c r="B1327" s="1147">
        <v>18</v>
      </c>
      <c r="C1327" s="1147">
        <v>18</v>
      </c>
      <c r="D1327" s="248">
        <v>306</v>
      </c>
      <c r="E1327" s="1147">
        <v>17</v>
      </c>
      <c r="F1327" s="1342" t="s">
        <v>985</v>
      </c>
      <c r="G1327" s="1259">
        <v>1811000</v>
      </c>
      <c r="H1327" s="959">
        <v>32504965.836568229</v>
      </c>
      <c r="I1327" s="1492"/>
      <c r="J1327" s="960"/>
      <c r="K1327" s="961"/>
      <c r="L1327" s="2315">
        <v>18</v>
      </c>
      <c r="M1327" s="1147">
        <v>18</v>
      </c>
      <c r="N1327" s="1147">
        <v>324</v>
      </c>
      <c r="O1327" s="1630">
        <v>18</v>
      </c>
      <c r="P1327" s="1261">
        <v>2620000</v>
      </c>
      <c r="Q1327" s="1149">
        <v>32504965.836568229</v>
      </c>
    </row>
    <row r="1328" spans="1:17" ht="14.45" customHeight="1" x14ac:dyDescent="0.2">
      <c r="A1328" s="1484" t="s">
        <v>383</v>
      </c>
      <c r="B1328" s="1150">
        <v>265</v>
      </c>
      <c r="C1328" s="1150">
        <v>251</v>
      </c>
      <c r="D1328" s="1150">
        <v>4799</v>
      </c>
      <c r="E1328" s="1608">
        <v>19.119521912350599</v>
      </c>
      <c r="F1328" s="1003"/>
      <c r="G1328" s="1488"/>
      <c r="H1328" s="1004"/>
      <c r="I1328" s="1501"/>
      <c r="J1328" s="1005"/>
      <c r="K1328" s="949"/>
      <c r="L1328" s="2316">
        <v>308</v>
      </c>
      <c r="M1328" s="1150">
        <v>277</v>
      </c>
      <c r="N1328" s="1150">
        <v>5148</v>
      </c>
      <c r="O1328" s="2216">
        <v>18.584837545126355</v>
      </c>
      <c r="P1328" s="1604"/>
      <c r="Q1328" s="1605"/>
    </row>
    <row r="1329" spans="1:17" ht="14.45" customHeight="1" x14ac:dyDescent="0.2">
      <c r="A1329" s="1481" t="s">
        <v>384</v>
      </c>
      <c r="B1329" s="1147">
        <v>85</v>
      </c>
      <c r="C1329" s="1147">
        <v>75</v>
      </c>
      <c r="D1329" s="248">
        <v>1500</v>
      </c>
      <c r="E1329" s="1147">
        <v>20</v>
      </c>
      <c r="F1329" s="1342" t="s">
        <v>985</v>
      </c>
      <c r="G1329" s="1259">
        <v>1811000</v>
      </c>
      <c r="H1329" s="959">
        <v>32504965.836568229</v>
      </c>
      <c r="I1329" s="1489"/>
      <c r="J1329" s="960"/>
      <c r="K1329" s="967"/>
      <c r="L1329" s="2315">
        <v>160</v>
      </c>
      <c r="M1329" s="1147">
        <v>135</v>
      </c>
      <c r="N1329" s="1147">
        <v>2430</v>
      </c>
      <c r="O1329" s="1630">
        <v>18</v>
      </c>
      <c r="P1329" s="1261">
        <v>2620000</v>
      </c>
      <c r="Q1329" s="1149">
        <v>32504965.836568229</v>
      </c>
    </row>
    <row r="1330" spans="1:17" ht="14.45" customHeight="1" x14ac:dyDescent="0.2">
      <c r="A1330" s="1481" t="s">
        <v>385</v>
      </c>
      <c r="B1330" s="1147">
        <v>22</v>
      </c>
      <c r="C1330" s="1147">
        <v>22</v>
      </c>
      <c r="D1330" s="248">
        <v>660</v>
      </c>
      <c r="E1330" s="1147">
        <v>30</v>
      </c>
      <c r="F1330" s="1342" t="s">
        <v>985</v>
      </c>
      <c r="G1330" s="1259">
        <v>1811000</v>
      </c>
      <c r="H1330" s="959">
        <v>32504965.836568229</v>
      </c>
      <c r="I1330" s="1489"/>
      <c r="J1330" s="960"/>
      <c r="K1330" s="967"/>
      <c r="L1330" s="2315">
        <v>24</v>
      </c>
      <c r="M1330" s="1147">
        <v>24</v>
      </c>
      <c r="N1330" s="1147">
        <v>600</v>
      </c>
      <c r="O1330" s="1630">
        <v>25</v>
      </c>
      <c r="P1330" s="1261">
        <v>2620000</v>
      </c>
      <c r="Q1330" s="1149">
        <v>32504965.836568229</v>
      </c>
    </row>
    <row r="1331" spans="1:17" ht="14.45" customHeight="1" x14ac:dyDescent="0.2">
      <c r="A1331" s="1481" t="s">
        <v>386</v>
      </c>
      <c r="B1331" s="1147">
        <v>5</v>
      </c>
      <c r="C1331" s="1147">
        <v>5</v>
      </c>
      <c r="D1331" s="248">
        <v>75</v>
      </c>
      <c r="E1331" s="1147">
        <v>15</v>
      </c>
      <c r="F1331" s="1342" t="s">
        <v>985</v>
      </c>
      <c r="G1331" s="1259">
        <v>1811000</v>
      </c>
      <c r="H1331" s="959">
        <v>32504965.836568229</v>
      </c>
      <c r="I1331" s="1489"/>
      <c r="J1331" s="960"/>
      <c r="K1331" s="967"/>
      <c r="L1331" s="2315">
        <v>4</v>
      </c>
      <c r="M1331" s="1147">
        <v>4</v>
      </c>
      <c r="N1331" s="1147">
        <v>60</v>
      </c>
      <c r="O1331" s="1630">
        <v>15</v>
      </c>
      <c r="P1331" s="1261">
        <v>2620000</v>
      </c>
      <c r="Q1331" s="1149">
        <v>32504965.836568229</v>
      </c>
    </row>
    <row r="1332" spans="1:17" ht="14.45" customHeight="1" x14ac:dyDescent="0.2">
      <c r="A1332" s="1481" t="s">
        <v>387</v>
      </c>
      <c r="B1332" s="1147">
        <v>45</v>
      </c>
      <c r="C1332" s="1147">
        <v>43</v>
      </c>
      <c r="D1332" s="248">
        <v>645</v>
      </c>
      <c r="E1332" s="1147">
        <v>15</v>
      </c>
      <c r="F1332" s="1342" t="s">
        <v>985</v>
      </c>
      <c r="G1332" s="1259">
        <v>1811000</v>
      </c>
      <c r="H1332" s="959">
        <v>32504965.836568229</v>
      </c>
      <c r="I1332" s="1489"/>
      <c r="J1332" s="960"/>
      <c r="K1332" s="967"/>
      <c r="L1332" s="2315">
        <v>30</v>
      </c>
      <c r="M1332" s="1147">
        <v>26</v>
      </c>
      <c r="N1332" s="1147">
        <v>390</v>
      </c>
      <c r="O1332" s="1630">
        <v>15</v>
      </c>
      <c r="P1332" s="1261">
        <v>2620000</v>
      </c>
      <c r="Q1332" s="1149">
        <v>32504965.836568229</v>
      </c>
    </row>
    <row r="1333" spans="1:17" ht="14.45" customHeight="1" x14ac:dyDescent="0.2">
      <c r="A1333" s="1481" t="s">
        <v>388</v>
      </c>
      <c r="B1333" s="1147">
        <v>12</v>
      </c>
      <c r="C1333" s="1147">
        <v>12</v>
      </c>
      <c r="D1333" s="248">
        <v>312</v>
      </c>
      <c r="E1333" s="1147">
        <v>26</v>
      </c>
      <c r="F1333" s="1342" t="s">
        <v>985</v>
      </c>
      <c r="G1333" s="1259">
        <v>1811000</v>
      </c>
      <c r="H1333" s="959">
        <v>32504965.836568229</v>
      </c>
      <c r="I1333" s="1489"/>
      <c r="J1333" s="960"/>
      <c r="K1333" s="967"/>
      <c r="L1333" s="2315">
        <v>15</v>
      </c>
      <c r="M1333" s="1147">
        <v>15</v>
      </c>
      <c r="N1333" s="1147">
        <v>390</v>
      </c>
      <c r="O1333" s="1630">
        <v>26</v>
      </c>
      <c r="P1333" s="1261">
        <v>2620000</v>
      </c>
      <c r="Q1333" s="1149">
        <v>32504965.836568229</v>
      </c>
    </row>
    <row r="1334" spans="1:17" ht="14.45" customHeight="1" x14ac:dyDescent="0.2">
      <c r="A1334" s="1481" t="s">
        <v>389</v>
      </c>
      <c r="B1334" s="1147">
        <v>39</v>
      </c>
      <c r="C1334" s="1147">
        <v>39</v>
      </c>
      <c r="D1334" s="248">
        <v>585</v>
      </c>
      <c r="E1334" s="1147">
        <v>15</v>
      </c>
      <c r="F1334" s="1342" t="s">
        <v>985</v>
      </c>
      <c r="G1334" s="1259">
        <v>1811000</v>
      </c>
      <c r="H1334" s="959">
        <v>32504965.836568229</v>
      </c>
      <c r="I1334" s="1489"/>
      <c r="J1334" s="960"/>
      <c r="K1334" s="967"/>
      <c r="L1334" s="2315">
        <v>10</v>
      </c>
      <c r="M1334" s="1147">
        <v>10</v>
      </c>
      <c r="N1334" s="1147">
        <v>150</v>
      </c>
      <c r="O1334" s="1630">
        <v>15</v>
      </c>
      <c r="P1334" s="1261">
        <v>2620000</v>
      </c>
      <c r="Q1334" s="1149">
        <v>32504965.836568229</v>
      </c>
    </row>
    <row r="1335" spans="1:17" ht="14.45" customHeight="1" x14ac:dyDescent="0.2">
      <c r="A1335" s="1481" t="s">
        <v>390</v>
      </c>
      <c r="B1335" s="1147">
        <v>7</v>
      </c>
      <c r="C1335" s="1147">
        <v>7</v>
      </c>
      <c r="D1335" s="248">
        <v>126</v>
      </c>
      <c r="E1335" s="1147">
        <v>18</v>
      </c>
      <c r="F1335" s="1342" t="s">
        <v>985</v>
      </c>
      <c r="G1335" s="1259">
        <v>1811000</v>
      </c>
      <c r="H1335" s="959">
        <v>32504965.836568229</v>
      </c>
      <c r="I1335" s="1492"/>
      <c r="J1335" s="960"/>
      <c r="K1335" s="967"/>
      <c r="L1335" s="2315">
        <v>3</v>
      </c>
      <c r="M1335" s="1147">
        <v>3</v>
      </c>
      <c r="N1335" s="1147">
        <v>60</v>
      </c>
      <c r="O1335" s="1630">
        <v>20</v>
      </c>
      <c r="P1335" s="1261">
        <v>2620000</v>
      </c>
      <c r="Q1335" s="1149">
        <v>32504965.836568229</v>
      </c>
    </row>
    <row r="1336" spans="1:17" ht="14.45" customHeight="1" x14ac:dyDescent="0.2">
      <c r="A1336" s="1481" t="s">
        <v>391</v>
      </c>
      <c r="B1336" s="1147">
        <v>40</v>
      </c>
      <c r="C1336" s="1147">
        <v>38</v>
      </c>
      <c r="D1336" s="248">
        <v>646</v>
      </c>
      <c r="E1336" s="1147">
        <v>17</v>
      </c>
      <c r="F1336" s="1342" t="s">
        <v>985</v>
      </c>
      <c r="G1336" s="1259">
        <v>1811000</v>
      </c>
      <c r="H1336" s="959">
        <v>32504965.836568229</v>
      </c>
      <c r="I1336" s="1492"/>
      <c r="J1336" s="960"/>
      <c r="K1336" s="967"/>
      <c r="L1336" s="2315">
        <v>50</v>
      </c>
      <c r="M1336" s="1147">
        <v>48</v>
      </c>
      <c r="N1336" s="1147">
        <v>768</v>
      </c>
      <c r="O1336" s="1630">
        <v>16</v>
      </c>
      <c r="P1336" s="1261">
        <v>2620000</v>
      </c>
      <c r="Q1336" s="1149">
        <v>32504965.836568229</v>
      </c>
    </row>
    <row r="1337" spans="1:17" ht="14.45" customHeight="1" x14ac:dyDescent="0.2">
      <c r="A1337" s="1493" t="s">
        <v>392</v>
      </c>
      <c r="B1337" s="1526">
        <v>10</v>
      </c>
      <c r="C1337" s="1526">
        <v>10</v>
      </c>
      <c r="D1337" s="248">
        <v>250</v>
      </c>
      <c r="E1337" s="1526">
        <v>25</v>
      </c>
      <c r="F1337" s="1342" t="s">
        <v>985</v>
      </c>
      <c r="G1337" s="1259">
        <v>1811000</v>
      </c>
      <c r="H1337" s="959">
        <v>32504965.836568229</v>
      </c>
      <c r="I1337" s="1502"/>
      <c r="J1337" s="1496"/>
      <c r="K1337" s="974"/>
      <c r="L1337" s="2332">
        <v>12</v>
      </c>
      <c r="M1337" s="1526">
        <v>12</v>
      </c>
      <c r="N1337" s="1526">
        <v>300</v>
      </c>
      <c r="O1337" s="2312">
        <v>25</v>
      </c>
      <c r="P1337" s="1261">
        <v>2620000</v>
      </c>
      <c r="Q1337" s="1149">
        <v>32504965.836568229</v>
      </c>
    </row>
    <row r="1338" spans="1:17" ht="14.45" customHeight="1" thickBot="1" x14ac:dyDescent="0.25">
      <c r="A1338" s="1006" t="s">
        <v>393</v>
      </c>
      <c r="B1338" s="1007">
        <v>592</v>
      </c>
      <c r="C1338" s="1007">
        <v>569.79999999999995</v>
      </c>
      <c r="D1338" s="1007">
        <v>10755.25</v>
      </c>
      <c r="E1338" s="1482">
        <v>18.875482625482626</v>
      </c>
      <c r="F1338" s="1480" t="s">
        <v>985</v>
      </c>
      <c r="G1338" s="1085">
        <v>1811000</v>
      </c>
      <c r="H1338" s="1085">
        <v>32504965.836568229</v>
      </c>
      <c r="I1338" s="1008"/>
      <c r="J1338" s="1008" t="s">
        <v>983</v>
      </c>
      <c r="K1338" s="1011"/>
      <c r="L1338" s="1007">
        <v>631.5</v>
      </c>
      <c r="M1338" s="1007">
        <v>590.5</v>
      </c>
      <c r="N1338" s="1084">
        <v>10929.5</v>
      </c>
      <c r="O1338" s="1083">
        <v>18.508890770533448</v>
      </c>
      <c r="P1338" s="1603">
        <v>2620000</v>
      </c>
      <c r="Q1338" s="1607">
        <v>32504965.836568225</v>
      </c>
    </row>
    <row r="1339" spans="1:17" ht="14.45" customHeight="1" x14ac:dyDescent="0.2">
      <c r="A1339" s="7" t="s">
        <v>1934</v>
      </c>
      <c r="B1339" s="8"/>
      <c r="C1339" s="8"/>
      <c r="D1339" s="8"/>
      <c r="E1339" s="4"/>
      <c r="F1339" s="5"/>
      <c r="G1339" s="9"/>
      <c r="H1339" s="8"/>
      <c r="I1339" s="4"/>
      <c r="J1339" s="1"/>
      <c r="K1339" s="1"/>
      <c r="O1339" s="1"/>
      <c r="P1339" s="1"/>
    </row>
    <row r="1340" spans="1:17" x14ac:dyDescent="0.2">
      <c r="A1340" s="6"/>
      <c r="B1340" s="8"/>
      <c r="C1340" s="8"/>
      <c r="D1340" s="8"/>
      <c r="E1340" s="4"/>
      <c r="F1340" s="5"/>
      <c r="G1340" s="9"/>
      <c r="H1340" s="8"/>
      <c r="I1340" s="4"/>
      <c r="J1340" s="1"/>
      <c r="K1340" s="1"/>
      <c r="O1340" s="1"/>
      <c r="P1340" s="1"/>
    </row>
  </sheetData>
  <sheetProtection insertHyperlinks="0"/>
  <mergeCells count="192">
    <mergeCell ref="I1182:K1182"/>
    <mergeCell ref="I1237:K1237"/>
    <mergeCell ref="I1238:K1238"/>
    <mergeCell ref="I1293:K1293"/>
    <mergeCell ref="I1294:K1294"/>
    <mergeCell ref="A1180:A1184"/>
    <mergeCell ref="B1180:K1180"/>
    <mergeCell ref="L1180:Q1180"/>
    <mergeCell ref="B1181:C1181"/>
    <mergeCell ref="L1181:M1181"/>
    <mergeCell ref="A1292:A1296"/>
    <mergeCell ref="B1292:K1292"/>
    <mergeCell ref="L1292:Q1292"/>
    <mergeCell ref="B1293:C1293"/>
    <mergeCell ref="L1293:M1293"/>
    <mergeCell ref="A1289:Q1289"/>
    <mergeCell ref="A1233:Q1233"/>
    <mergeCell ref="A1236:A1240"/>
    <mergeCell ref="B1236:K1236"/>
    <mergeCell ref="L1236:Q1236"/>
    <mergeCell ref="B1237:C1237"/>
    <mergeCell ref="L1237:M1237"/>
    <mergeCell ref="I1181:K1181"/>
    <mergeCell ref="A1124:A1128"/>
    <mergeCell ref="B1124:K1124"/>
    <mergeCell ref="L1124:Q1124"/>
    <mergeCell ref="B1125:C1125"/>
    <mergeCell ref="L1125:M1125"/>
    <mergeCell ref="A1068:A1072"/>
    <mergeCell ref="B1068:K1068"/>
    <mergeCell ref="L1068:Q1068"/>
    <mergeCell ref="B1069:C1069"/>
    <mergeCell ref="I1069:K1069"/>
    <mergeCell ref="I1070:K1070"/>
    <mergeCell ref="I1125:K1125"/>
    <mergeCell ref="I1126:K1126"/>
    <mergeCell ref="A900:A904"/>
    <mergeCell ref="B900:K900"/>
    <mergeCell ref="L900:Q900"/>
    <mergeCell ref="B901:C901"/>
    <mergeCell ref="L901:M901"/>
    <mergeCell ref="I845:K845"/>
    <mergeCell ref="I846:K846"/>
    <mergeCell ref="I901:K901"/>
    <mergeCell ref="I902:K902"/>
    <mergeCell ref="I733:K733"/>
    <mergeCell ref="I734:K734"/>
    <mergeCell ref="I789:K789"/>
    <mergeCell ref="I790:K790"/>
    <mergeCell ref="A844:A848"/>
    <mergeCell ref="B844:K844"/>
    <mergeCell ref="L844:Q844"/>
    <mergeCell ref="B845:C845"/>
    <mergeCell ref="L845:M845"/>
    <mergeCell ref="I621:K621"/>
    <mergeCell ref="I622:K622"/>
    <mergeCell ref="A561:Q561"/>
    <mergeCell ref="A617:Q617"/>
    <mergeCell ref="A676:A680"/>
    <mergeCell ref="B676:K676"/>
    <mergeCell ref="L676:Q676"/>
    <mergeCell ref="B677:C677"/>
    <mergeCell ref="L677:M677"/>
    <mergeCell ref="I677:K677"/>
    <mergeCell ref="I678:K678"/>
    <mergeCell ref="A673:Q673"/>
    <mergeCell ref="B565:C565"/>
    <mergeCell ref="L565:M565"/>
    <mergeCell ref="A620:A624"/>
    <mergeCell ref="B620:K620"/>
    <mergeCell ref="L620:Q620"/>
    <mergeCell ref="A564:A568"/>
    <mergeCell ref="B564:K564"/>
    <mergeCell ref="L564:Q564"/>
    <mergeCell ref="B621:C621"/>
    <mergeCell ref="L621:M621"/>
    <mergeCell ref="I565:K565"/>
    <mergeCell ref="I566:K566"/>
    <mergeCell ref="A452:A456"/>
    <mergeCell ref="B452:K452"/>
    <mergeCell ref="L452:Q452"/>
    <mergeCell ref="B453:C453"/>
    <mergeCell ref="L453:M453"/>
    <mergeCell ref="B508:K508"/>
    <mergeCell ref="L508:Q508"/>
    <mergeCell ref="B509:C509"/>
    <mergeCell ref="I453:K453"/>
    <mergeCell ref="I454:K454"/>
    <mergeCell ref="A505:Q505"/>
    <mergeCell ref="L509:M509"/>
    <mergeCell ref="I509:K509"/>
    <mergeCell ref="A508:A512"/>
    <mergeCell ref="I510:K510"/>
    <mergeCell ref="A228:A232"/>
    <mergeCell ref="B228:K228"/>
    <mergeCell ref="L228:Q228"/>
    <mergeCell ref="B229:C229"/>
    <mergeCell ref="L229:M229"/>
    <mergeCell ref="L340:Q340"/>
    <mergeCell ref="A337:Q337"/>
    <mergeCell ref="A340:A344"/>
    <mergeCell ref="B340:K340"/>
    <mergeCell ref="I229:K229"/>
    <mergeCell ref="I230:K230"/>
    <mergeCell ref="I285:K285"/>
    <mergeCell ref="I286:K286"/>
    <mergeCell ref="I341:K341"/>
    <mergeCell ref="I342:K342"/>
    <mergeCell ref="A1:Q1"/>
    <mergeCell ref="A5:A9"/>
    <mergeCell ref="B5:K5"/>
    <mergeCell ref="L5:Q5"/>
    <mergeCell ref="B6:C6"/>
    <mergeCell ref="L6:M6"/>
    <mergeCell ref="B172:K172"/>
    <mergeCell ref="L172:Q172"/>
    <mergeCell ref="A57:Q57"/>
    <mergeCell ref="A113:Q113"/>
    <mergeCell ref="A169:Q169"/>
    <mergeCell ref="L61:M61"/>
    <mergeCell ref="A116:A120"/>
    <mergeCell ref="B116:K116"/>
    <mergeCell ref="L116:Q116"/>
    <mergeCell ref="I6:K6"/>
    <mergeCell ref="I7:K7"/>
    <mergeCell ref="I61:K61"/>
    <mergeCell ref="I62:K62"/>
    <mergeCell ref="A225:Q225"/>
    <mergeCell ref="A60:A64"/>
    <mergeCell ref="B60:K60"/>
    <mergeCell ref="L60:Q60"/>
    <mergeCell ref="B61:C61"/>
    <mergeCell ref="B117:C117"/>
    <mergeCell ref="L117:M117"/>
    <mergeCell ref="A172:A176"/>
    <mergeCell ref="B173:C173"/>
    <mergeCell ref="L173:M173"/>
    <mergeCell ref="I117:K117"/>
    <mergeCell ref="I118:K118"/>
    <mergeCell ref="I173:K173"/>
    <mergeCell ref="I174:K174"/>
    <mergeCell ref="A393:Q393"/>
    <mergeCell ref="A449:Q449"/>
    <mergeCell ref="A281:Q281"/>
    <mergeCell ref="A284:A288"/>
    <mergeCell ref="B284:K284"/>
    <mergeCell ref="L284:Q284"/>
    <mergeCell ref="B285:C285"/>
    <mergeCell ref="L285:M285"/>
    <mergeCell ref="B341:C341"/>
    <mergeCell ref="L341:M341"/>
    <mergeCell ref="A396:A400"/>
    <mergeCell ref="B396:K396"/>
    <mergeCell ref="L396:Q396"/>
    <mergeCell ref="B397:C397"/>
    <mergeCell ref="L397:M397"/>
    <mergeCell ref="I397:K397"/>
    <mergeCell ref="I398:K398"/>
    <mergeCell ref="A1177:Q1177"/>
    <mergeCell ref="A729:Q729"/>
    <mergeCell ref="A785:Q785"/>
    <mergeCell ref="A841:Q841"/>
    <mergeCell ref="A897:Q897"/>
    <mergeCell ref="A732:A736"/>
    <mergeCell ref="B732:K732"/>
    <mergeCell ref="L732:Q732"/>
    <mergeCell ref="B733:C733"/>
    <mergeCell ref="A1012:A1016"/>
    <mergeCell ref="B1012:K1012"/>
    <mergeCell ref="L1012:Q1012"/>
    <mergeCell ref="B1013:C1013"/>
    <mergeCell ref="L1013:M1013"/>
    <mergeCell ref="I957:K957"/>
    <mergeCell ref="I958:K958"/>
    <mergeCell ref="I1013:K1013"/>
    <mergeCell ref="I1014:K1014"/>
    <mergeCell ref="A788:A792"/>
    <mergeCell ref="B788:K788"/>
    <mergeCell ref="L788:Q788"/>
    <mergeCell ref="B789:C789"/>
    <mergeCell ref="L789:M789"/>
    <mergeCell ref="L733:M733"/>
    <mergeCell ref="A953:Q953"/>
    <mergeCell ref="A1009:Q1009"/>
    <mergeCell ref="A1065:Q1065"/>
    <mergeCell ref="A1121:Q1121"/>
    <mergeCell ref="A956:A960"/>
    <mergeCell ref="B956:K956"/>
    <mergeCell ref="L956:Q956"/>
    <mergeCell ref="B957:C957"/>
    <mergeCell ref="L957:M957"/>
    <mergeCell ref="L1069:M1069"/>
  </mergeCells>
  <phoneticPr fontId="13" type="noConversion"/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84"/>
  <sheetViews>
    <sheetView zoomScale="90" zoomScaleNormal="90" workbookViewId="0"/>
  </sheetViews>
  <sheetFormatPr baseColWidth="10" defaultColWidth="11.42578125" defaultRowHeight="12.75" x14ac:dyDescent="0.2"/>
  <cols>
    <col min="1" max="1" width="4.28515625" customWidth="1"/>
    <col min="2" max="2" width="16.85546875" customWidth="1"/>
    <col min="3" max="3" width="13.7109375" bestFit="1" customWidth="1"/>
    <col min="4" max="4" width="8.5703125" bestFit="1" customWidth="1"/>
    <col min="5" max="5" width="7.140625" bestFit="1" customWidth="1"/>
    <col min="6" max="6" width="13.7109375" bestFit="1" customWidth="1"/>
    <col min="7" max="7" width="16.5703125" bestFit="1" customWidth="1"/>
    <col min="8" max="8" width="15.5703125" customWidth="1"/>
    <col min="9" max="9" width="19" customWidth="1"/>
    <col min="10" max="10" width="16.5703125" customWidth="1"/>
    <col min="11" max="11" width="23" customWidth="1"/>
    <col min="12" max="12" width="13.7109375" bestFit="1" customWidth="1"/>
    <col min="13" max="13" width="20" customWidth="1"/>
    <col min="14" max="14" width="18.140625" customWidth="1"/>
    <col min="15" max="15" width="3.28515625" customWidth="1"/>
    <col min="16" max="16" width="19.7109375" customWidth="1"/>
    <col min="17" max="17" width="14.7109375" customWidth="1"/>
    <col min="18" max="19" width="12" customWidth="1"/>
    <col min="20" max="20" width="10.5703125" customWidth="1"/>
    <col min="21" max="21" width="14.140625" customWidth="1"/>
    <col min="22" max="22" width="12.140625" customWidth="1"/>
    <col min="23" max="23" width="11" bestFit="1" customWidth="1"/>
    <col min="24" max="24" width="10.85546875" customWidth="1"/>
    <col min="25" max="25" width="15" customWidth="1"/>
    <col min="26" max="26" width="11.85546875" customWidth="1"/>
    <col min="27" max="27" width="10.5703125" customWidth="1"/>
    <col min="28" max="28" width="11.5703125" bestFit="1" customWidth="1"/>
    <col min="29" max="29" width="13.140625" customWidth="1"/>
    <col min="30" max="30" width="11.140625" customWidth="1"/>
    <col min="31" max="31" width="11.28515625" customWidth="1"/>
    <col min="32" max="32" width="10.5703125" customWidth="1"/>
    <col min="33" max="33" width="1.7109375" customWidth="1"/>
    <col min="34" max="34" width="16.140625" customWidth="1"/>
    <col min="35" max="35" width="11.5703125" bestFit="1" customWidth="1"/>
    <col min="36" max="37" width="8.28515625" bestFit="1" customWidth="1"/>
    <col min="38" max="38" width="9" customWidth="1"/>
    <col min="39" max="39" width="11" customWidth="1"/>
    <col min="40" max="40" width="10.7109375" customWidth="1"/>
    <col min="41" max="41" width="9.7109375" customWidth="1"/>
    <col min="42" max="42" width="10.42578125" bestFit="1" customWidth="1"/>
    <col min="43" max="43" width="11.5703125" bestFit="1" customWidth="1"/>
    <col min="44" max="44" width="9.85546875" customWidth="1"/>
    <col min="45" max="45" width="8.28515625" customWidth="1"/>
    <col min="46" max="46" width="9.5703125" customWidth="1"/>
    <col min="47" max="47" width="11.5703125" bestFit="1" customWidth="1"/>
    <col min="48" max="49" width="9" customWidth="1"/>
    <col min="50" max="50" width="9.5703125" customWidth="1"/>
    <col min="51" max="51" width="12.85546875" customWidth="1"/>
    <col min="52" max="52" width="12.140625" customWidth="1"/>
    <col min="53" max="53" width="12.5703125" customWidth="1"/>
  </cols>
  <sheetData>
    <row r="2" spans="2:56" ht="15.75" x14ac:dyDescent="0.25">
      <c r="B2" s="3010" t="s">
        <v>324</v>
      </c>
      <c r="C2" s="3010"/>
      <c r="D2" s="3010"/>
      <c r="E2" s="3010"/>
      <c r="F2" s="3010"/>
      <c r="G2" s="3010"/>
      <c r="H2" s="3010"/>
      <c r="I2" s="3010"/>
      <c r="J2" s="3010"/>
      <c r="K2" s="3010"/>
      <c r="L2" s="3010"/>
      <c r="M2" s="3010"/>
      <c r="N2" s="3010"/>
      <c r="P2" s="3010" t="s">
        <v>324</v>
      </c>
      <c r="Q2" s="3010"/>
      <c r="R2" s="3010"/>
      <c r="S2" s="3010"/>
      <c r="T2" s="3010"/>
      <c r="U2" s="3010"/>
      <c r="V2" s="3010"/>
      <c r="W2" s="3010"/>
      <c r="X2" s="3010"/>
      <c r="Y2" s="3010"/>
      <c r="Z2" s="3010"/>
      <c r="AA2" s="3010"/>
      <c r="AB2" s="3010"/>
      <c r="AC2" s="3010"/>
      <c r="AD2" s="3010"/>
      <c r="AE2" s="3010"/>
      <c r="AF2" s="3010"/>
      <c r="AG2" s="480"/>
      <c r="AH2" s="3010" t="s">
        <v>324</v>
      </c>
      <c r="AI2" s="3010"/>
      <c r="AJ2" s="3010"/>
      <c r="AK2" s="3010"/>
      <c r="AL2" s="3010"/>
      <c r="AM2" s="3010"/>
      <c r="AN2" s="3010"/>
      <c r="AO2" s="3010"/>
      <c r="AP2" s="3010"/>
      <c r="AQ2" s="3010"/>
      <c r="AR2" s="3010"/>
      <c r="AS2" s="3010"/>
      <c r="AT2" s="3010"/>
      <c r="AU2" s="3010"/>
      <c r="AV2" s="3010"/>
      <c r="AW2" s="3010"/>
      <c r="AX2" s="3010"/>
      <c r="AY2" s="3010"/>
      <c r="AZ2" s="3010"/>
      <c r="BA2" s="3010"/>
    </row>
    <row r="3" spans="2:56" x14ac:dyDescent="0.2">
      <c r="B3" s="2508" t="s">
        <v>434</v>
      </c>
      <c r="C3" s="2508"/>
      <c r="D3" s="2508"/>
      <c r="E3" s="2508"/>
      <c r="F3" s="2508"/>
      <c r="G3" s="2508"/>
      <c r="H3" s="2508"/>
      <c r="I3" s="2508"/>
      <c r="J3" s="2508"/>
      <c r="K3" s="2508"/>
      <c r="L3" s="2508"/>
      <c r="M3" s="2508"/>
      <c r="N3" s="2508"/>
      <c r="P3" s="2508" t="s">
        <v>434</v>
      </c>
      <c r="Q3" s="2508"/>
      <c r="R3" s="2508"/>
      <c r="S3" s="2508"/>
      <c r="T3" s="2508"/>
      <c r="U3" s="2508"/>
      <c r="V3" s="2508"/>
      <c r="W3" s="2508"/>
      <c r="X3" s="2508"/>
      <c r="Y3" s="2508"/>
      <c r="Z3" s="2508"/>
      <c r="AA3" s="2508"/>
      <c r="AB3" s="2508"/>
      <c r="AC3" s="2508"/>
      <c r="AD3" s="2508"/>
      <c r="AE3" s="2508"/>
      <c r="AF3" s="2508"/>
      <c r="AG3" s="225"/>
      <c r="AH3" s="2508" t="s">
        <v>434</v>
      </c>
      <c r="AI3" s="2508"/>
      <c r="AJ3" s="2508"/>
      <c r="AK3" s="2508"/>
      <c r="AL3" s="2508"/>
      <c r="AM3" s="2508"/>
      <c r="AN3" s="2508"/>
      <c r="AO3" s="2508"/>
      <c r="AP3" s="2508"/>
      <c r="AQ3" s="2508"/>
      <c r="AR3" s="2508"/>
      <c r="AS3" s="2508"/>
      <c r="AT3" s="2508"/>
      <c r="AU3" s="2508"/>
      <c r="AV3" s="2508"/>
      <c r="AW3" s="2508"/>
      <c r="AX3" s="2508"/>
      <c r="AY3" s="2508"/>
      <c r="AZ3" s="2508"/>
      <c r="BA3" s="2508"/>
    </row>
    <row r="4" spans="2:56" ht="13.5" thickBot="1" x14ac:dyDescent="0.25">
      <c r="B4" s="2794" t="s">
        <v>2030</v>
      </c>
      <c r="C4" s="2508"/>
      <c r="D4" s="2508"/>
      <c r="E4" s="2508"/>
      <c r="F4" s="2508"/>
      <c r="G4" s="2508"/>
      <c r="H4" s="2508"/>
      <c r="I4" s="2508"/>
      <c r="J4" s="2508"/>
      <c r="K4" s="2508"/>
      <c r="L4" s="2508"/>
      <c r="M4" s="2508"/>
      <c r="N4" s="2508"/>
      <c r="P4" s="2794" t="s">
        <v>2030</v>
      </c>
      <c r="Q4" s="2508"/>
      <c r="R4" s="2508"/>
      <c r="S4" s="2508"/>
      <c r="T4" s="2508"/>
      <c r="U4" s="2508"/>
      <c r="V4" s="2508"/>
      <c r="W4" s="2508"/>
      <c r="X4" s="2508"/>
      <c r="Y4" s="2508"/>
      <c r="Z4" s="2508"/>
      <c r="AA4" s="2508"/>
      <c r="AB4" s="2508"/>
      <c r="AC4" s="2508"/>
      <c r="AD4" s="2508"/>
      <c r="AE4" s="2508"/>
      <c r="AF4" s="2508"/>
      <c r="AG4" s="225"/>
      <c r="AH4" s="2794" t="s">
        <v>2031</v>
      </c>
      <c r="AI4" s="2508"/>
      <c r="AJ4" s="2508"/>
      <c r="AK4" s="2508"/>
      <c r="AL4" s="2508"/>
      <c r="AM4" s="2508"/>
      <c r="AN4" s="2508"/>
      <c r="AO4" s="2508"/>
      <c r="AP4" s="2508"/>
      <c r="AQ4" s="2508"/>
      <c r="AR4" s="2508"/>
      <c r="AS4" s="2508"/>
      <c r="AT4" s="2508"/>
      <c r="AU4" s="2508"/>
      <c r="AV4" s="2508"/>
      <c r="AW4" s="2508"/>
      <c r="AX4" s="2508"/>
      <c r="AY4" s="2508"/>
      <c r="AZ4" s="2508"/>
      <c r="BA4" s="2508"/>
    </row>
    <row r="5" spans="2:56" ht="17.25" thickTop="1" thickBot="1" x14ac:dyDescent="0.3">
      <c r="B5" s="1688"/>
      <c r="C5" s="3140" t="s">
        <v>643</v>
      </c>
      <c r="D5" s="3113"/>
      <c r="E5" s="3113"/>
      <c r="F5" s="3113"/>
      <c r="G5" s="3113"/>
      <c r="H5" s="3113"/>
      <c r="I5" s="3113"/>
      <c r="J5" s="3113"/>
      <c r="K5" s="3113"/>
      <c r="L5" s="3113"/>
      <c r="M5" s="3113"/>
      <c r="N5" s="3141"/>
      <c r="O5" s="1"/>
      <c r="P5" s="1695"/>
      <c r="Q5" s="3124" t="s">
        <v>1139</v>
      </c>
      <c r="R5" s="3125"/>
      <c r="S5" s="3125"/>
      <c r="T5" s="3126"/>
      <c r="U5" s="3127" t="s">
        <v>1776</v>
      </c>
      <c r="V5" s="3128"/>
      <c r="W5" s="3128"/>
      <c r="X5" s="3128"/>
      <c r="Y5" s="3128"/>
      <c r="Z5" s="3128"/>
      <c r="AA5" s="3128"/>
      <c r="AB5" s="3128"/>
      <c r="AC5" s="3128"/>
      <c r="AD5" s="3128"/>
      <c r="AE5" s="3128"/>
      <c r="AF5" s="3129"/>
      <c r="AG5" s="483"/>
      <c r="AH5" s="1695"/>
      <c r="AI5" s="3127" t="s">
        <v>1777</v>
      </c>
      <c r="AJ5" s="3128"/>
      <c r="AK5" s="3128"/>
      <c r="AL5" s="3128"/>
      <c r="AM5" s="3128"/>
      <c r="AN5" s="3128"/>
      <c r="AO5" s="3128"/>
      <c r="AP5" s="3128"/>
      <c r="AQ5" s="3128"/>
      <c r="AR5" s="3128"/>
      <c r="AS5" s="3128"/>
      <c r="AT5" s="3128"/>
      <c r="AU5" s="3128"/>
      <c r="AV5" s="3128"/>
      <c r="AW5" s="3128"/>
      <c r="AX5" s="3149"/>
      <c r="AY5" s="3068" t="s">
        <v>1140</v>
      </c>
      <c r="AZ5" s="3069"/>
      <c r="BA5" s="3150"/>
      <c r="BC5" s="3142" t="s">
        <v>1151</v>
      </c>
      <c r="BD5" s="3143"/>
    </row>
    <row r="6" spans="2:56" x14ac:dyDescent="0.2">
      <c r="B6" s="484" t="s">
        <v>327</v>
      </c>
      <c r="C6" s="3021" t="s">
        <v>1772</v>
      </c>
      <c r="D6" s="3050"/>
      <c r="E6" s="3050"/>
      <c r="F6" s="3050"/>
      <c r="G6" s="3050"/>
      <c r="H6" s="3050"/>
      <c r="I6" s="3050"/>
      <c r="J6" s="3050"/>
      <c r="K6" s="3116"/>
      <c r="L6" s="3121" t="s">
        <v>1773</v>
      </c>
      <c r="M6" s="3122"/>
      <c r="N6" s="3123"/>
      <c r="O6" s="171"/>
      <c r="P6" s="485" t="s">
        <v>327</v>
      </c>
      <c r="Q6" s="3145" t="s">
        <v>1137</v>
      </c>
      <c r="R6" s="3146"/>
      <c r="S6" s="3146"/>
      <c r="T6" s="3151"/>
      <c r="U6" s="3134" t="s">
        <v>243</v>
      </c>
      <c r="V6" s="3134"/>
      <c r="W6" s="3134"/>
      <c r="X6" s="3135"/>
      <c r="Y6" s="3130" t="s">
        <v>244</v>
      </c>
      <c r="Z6" s="3131"/>
      <c r="AA6" s="3131"/>
      <c r="AB6" s="3132"/>
      <c r="AC6" s="3130" t="s">
        <v>1349</v>
      </c>
      <c r="AD6" s="3131"/>
      <c r="AE6" s="3131"/>
      <c r="AF6" s="3133"/>
      <c r="AG6" s="171"/>
      <c r="AH6" s="485" t="s">
        <v>327</v>
      </c>
      <c r="AI6" s="3130" t="s">
        <v>1350</v>
      </c>
      <c r="AJ6" s="3131"/>
      <c r="AK6" s="3131"/>
      <c r="AL6" s="3132"/>
      <c r="AM6" s="3130" t="s">
        <v>1351</v>
      </c>
      <c r="AN6" s="3131"/>
      <c r="AO6" s="3131"/>
      <c r="AP6" s="3132"/>
      <c r="AQ6" s="3148" t="s">
        <v>646</v>
      </c>
      <c r="AR6" s="3131"/>
      <c r="AS6" s="3131"/>
      <c r="AT6" s="3132"/>
      <c r="AU6" s="3148" t="s">
        <v>1352</v>
      </c>
      <c r="AV6" s="3131"/>
      <c r="AW6" s="3131"/>
      <c r="AX6" s="3132"/>
      <c r="AY6" s="3145"/>
      <c r="AZ6" s="3146"/>
      <c r="BA6" s="3147"/>
    </row>
    <row r="7" spans="2:56" ht="19.899999999999999" customHeight="1" x14ac:dyDescent="0.2">
      <c r="B7" s="481"/>
      <c r="C7" s="1707" t="s">
        <v>1192</v>
      </c>
      <c r="D7" s="3138" t="s">
        <v>1189</v>
      </c>
      <c r="E7" s="3122"/>
      <c r="F7" s="3139"/>
      <c r="G7" s="2193" t="s">
        <v>1194</v>
      </c>
      <c r="H7" s="2162" t="s">
        <v>1192</v>
      </c>
      <c r="I7" s="3119" t="s">
        <v>1775</v>
      </c>
      <c r="J7" s="2200" t="s">
        <v>1194</v>
      </c>
      <c r="K7" s="3117" t="s">
        <v>1774</v>
      </c>
      <c r="L7" s="2163" t="s">
        <v>1192</v>
      </c>
      <c r="M7" s="1707" t="s">
        <v>1348</v>
      </c>
      <c r="N7" s="1689" t="s">
        <v>1347</v>
      </c>
      <c r="O7" s="487"/>
      <c r="P7" s="482"/>
      <c r="Q7" s="488" t="s">
        <v>1353</v>
      </c>
      <c r="R7" s="3136" t="s">
        <v>1138</v>
      </c>
      <c r="S7" s="3137"/>
      <c r="T7" s="410" t="s">
        <v>1354</v>
      </c>
      <c r="U7" s="409" t="s">
        <v>1353</v>
      </c>
      <c r="V7" s="3136" t="s">
        <v>1138</v>
      </c>
      <c r="W7" s="3137"/>
      <c r="X7" s="410" t="s">
        <v>1354</v>
      </c>
      <c r="Y7" s="488" t="s">
        <v>1353</v>
      </c>
      <c r="Z7" s="3136" t="s">
        <v>1138</v>
      </c>
      <c r="AA7" s="3137"/>
      <c r="AB7" s="410" t="s">
        <v>1354</v>
      </c>
      <c r="AC7" s="488" t="s">
        <v>1353</v>
      </c>
      <c r="AD7" s="3136" t="s">
        <v>1138</v>
      </c>
      <c r="AE7" s="3137"/>
      <c r="AF7" s="1698" t="s">
        <v>1354</v>
      </c>
      <c r="AG7" s="489"/>
      <c r="AH7" s="482"/>
      <c r="AI7" s="488" t="s">
        <v>1353</v>
      </c>
      <c r="AJ7" s="3136" t="s">
        <v>1138</v>
      </c>
      <c r="AK7" s="3137"/>
      <c r="AL7" s="410" t="s">
        <v>1354</v>
      </c>
      <c r="AM7" s="369" t="s">
        <v>1353</v>
      </c>
      <c r="AN7" s="3136" t="s">
        <v>1138</v>
      </c>
      <c r="AO7" s="3137"/>
      <c r="AP7" s="410" t="s">
        <v>1354</v>
      </c>
      <c r="AQ7" s="488" t="s">
        <v>1353</v>
      </c>
      <c r="AR7" s="3136" t="s">
        <v>1138</v>
      </c>
      <c r="AS7" s="3137"/>
      <c r="AT7" s="410" t="s">
        <v>1354</v>
      </c>
      <c r="AU7" s="488" t="s">
        <v>1353</v>
      </c>
      <c r="AV7" s="3136" t="s">
        <v>1138</v>
      </c>
      <c r="AW7" s="3137"/>
      <c r="AX7" s="410" t="s">
        <v>1354</v>
      </c>
      <c r="AY7" s="488" t="s">
        <v>1353</v>
      </c>
      <c r="AZ7" s="3136" t="s">
        <v>1138</v>
      </c>
      <c r="BA7" s="3144"/>
    </row>
    <row r="8" spans="2:56" ht="18" customHeight="1" thickBot="1" x14ac:dyDescent="0.25">
      <c r="B8" s="481"/>
      <c r="C8" s="1708" t="s">
        <v>1193</v>
      </c>
      <c r="D8" s="1804" t="s">
        <v>1288</v>
      </c>
      <c r="E8" s="1806" t="s">
        <v>1190</v>
      </c>
      <c r="F8" s="1805" t="s">
        <v>1191</v>
      </c>
      <c r="G8" s="486" t="s">
        <v>1195</v>
      </c>
      <c r="H8" s="2199" t="s">
        <v>1193</v>
      </c>
      <c r="I8" s="3120"/>
      <c r="J8" s="2201" t="s">
        <v>1195</v>
      </c>
      <c r="K8" s="3118"/>
      <c r="L8" s="2196" t="s">
        <v>1193</v>
      </c>
      <c r="M8" s="2191" t="s">
        <v>1771</v>
      </c>
      <c r="N8" s="1727" t="s">
        <v>644</v>
      </c>
      <c r="O8" s="490"/>
      <c r="P8" s="1929"/>
      <c r="Q8" s="416" t="s">
        <v>1355</v>
      </c>
      <c r="R8" s="491" t="s">
        <v>1273</v>
      </c>
      <c r="S8" s="492" t="s">
        <v>1223</v>
      </c>
      <c r="T8" s="493" t="s">
        <v>1356</v>
      </c>
      <c r="U8" s="416" t="s">
        <v>1355</v>
      </c>
      <c r="V8" s="491" t="s">
        <v>1273</v>
      </c>
      <c r="W8" s="492" t="s">
        <v>1223</v>
      </c>
      <c r="X8" s="493" t="s">
        <v>1356</v>
      </c>
      <c r="Y8" s="1685" t="s">
        <v>1355</v>
      </c>
      <c r="Z8" s="491" t="s">
        <v>1273</v>
      </c>
      <c r="AA8" s="492" t="s">
        <v>1223</v>
      </c>
      <c r="AB8" s="493" t="s">
        <v>1356</v>
      </c>
      <c r="AC8" s="416" t="s">
        <v>1355</v>
      </c>
      <c r="AD8" s="491" t="s">
        <v>1273</v>
      </c>
      <c r="AE8" s="492" t="s">
        <v>1223</v>
      </c>
      <c r="AF8" s="1699" t="s">
        <v>1356</v>
      </c>
      <c r="AG8" s="456"/>
      <c r="AH8" s="482"/>
      <c r="AI8" s="416" t="s">
        <v>1355</v>
      </c>
      <c r="AJ8" s="491" t="s">
        <v>1273</v>
      </c>
      <c r="AK8" s="492" t="s">
        <v>1223</v>
      </c>
      <c r="AL8" s="493" t="s">
        <v>1356</v>
      </c>
      <c r="AM8" s="1685" t="s">
        <v>1355</v>
      </c>
      <c r="AN8" s="491" t="s">
        <v>1273</v>
      </c>
      <c r="AO8" s="492" t="s">
        <v>1223</v>
      </c>
      <c r="AP8" s="493" t="s">
        <v>1356</v>
      </c>
      <c r="AQ8" s="416" t="s">
        <v>1355</v>
      </c>
      <c r="AR8" s="491" t="s">
        <v>1273</v>
      </c>
      <c r="AS8" s="492" t="s">
        <v>1223</v>
      </c>
      <c r="AT8" s="493" t="s">
        <v>1356</v>
      </c>
      <c r="AU8" s="416" t="s">
        <v>1355</v>
      </c>
      <c r="AV8" s="491" t="s">
        <v>1273</v>
      </c>
      <c r="AW8" s="492" t="s">
        <v>1223</v>
      </c>
      <c r="AX8" s="493" t="s">
        <v>1356</v>
      </c>
      <c r="AY8" s="416" t="s">
        <v>1355</v>
      </c>
      <c r="AZ8" s="491" t="s">
        <v>1273</v>
      </c>
      <c r="BA8" s="1696" t="s">
        <v>1223</v>
      </c>
    </row>
    <row r="9" spans="2:56" ht="15" customHeight="1" x14ac:dyDescent="0.2">
      <c r="B9" s="1230" t="s">
        <v>352</v>
      </c>
      <c r="C9" s="389">
        <v>790</v>
      </c>
      <c r="D9" s="1232">
        <v>5092</v>
      </c>
      <c r="E9" s="389">
        <v>4372</v>
      </c>
      <c r="F9" s="1232">
        <v>720</v>
      </c>
      <c r="G9" s="418">
        <v>12294613</v>
      </c>
      <c r="H9" s="389">
        <v>32</v>
      </c>
      <c r="I9" s="1232">
        <v>110</v>
      </c>
      <c r="J9" s="418">
        <v>9817</v>
      </c>
      <c r="K9" s="2202">
        <v>12304430</v>
      </c>
      <c r="L9" s="1655">
        <v>44</v>
      </c>
      <c r="M9" s="1730">
        <v>1103</v>
      </c>
      <c r="N9" s="1690">
        <v>306648</v>
      </c>
      <c r="O9" s="246"/>
      <c r="P9" s="1211" t="s">
        <v>352</v>
      </c>
      <c r="Q9" s="1242">
        <v>21985000</v>
      </c>
      <c r="R9" s="1243">
        <v>68700000</v>
      </c>
      <c r="S9" s="1244">
        <v>36900000</v>
      </c>
      <c r="T9" s="1245"/>
      <c r="U9" s="1242">
        <v>26440000</v>
      </c>
      <c r="V9" s="1243">
        <v>68975428.571428567</v>
      </c>
      <c r="W9" s="1730">
        <v>57479523.809523806</v>
      </c>
      <c r="X9" s="2114"/>
      <c r="Y9" s="1246">
        <v>7698000</v>
      </c>
      <c r="Z9" s="1243">
        <v>13758720</v>
      </c>
      <c r="AA9" s="1244">
        <v>11465600</v>
      </c>
      <c r="AB9" s="1247"/>
      <c r="AC9" s="1246">
        <v>1944070</v>
      </c>
      <c r="AD9" s="1243">
        <v>2721196.2884299741</v>
      </c>
      <c r="AE9" s="1244">
        <v>2267663.6927392641</v>
      </c>
      <c r="AF9" s="2043"/>
      <c r="AG9" s="225"/>
      <c r="AH9" s="1928" t="s">
        <v>352</v>
      </c>
      <c r="AI9" s="1242">
        <v>11850</v>
      </c>
      <c r="AJ9" s="1243">
        <v>20232</v>
      </c>
      <c r="AK9" s="1244">
        <v>16860</v>
      </c>
      <c r="AL9" s="1247"/>
      <c r="AM9" s="1246">
        <v>237000</v>
      </c>
      <c r="AN9" s="1243">
        <v>597648.74274661508</v>
      </c>
      <c r="AO9" s="1244">
        <v>498040.61895551253</v>
      </c>
      <c r="AP9" s="1245"/>
      <c r="AQ9" s="1246">
        <v>36135</v>
      </c>
      <c r="AR9" s="1243">
        <v>93127.518380429319</v>
      </c>
      <c r="AS9" s="1244">
        <v>77606.265317024445</v>
      </c>
      <c r="AT9" s="1247"/>
      <c r="AU9" s="1246">
        <v>25590</v>
      </c>
      <c r="AV9" s="1243">
        <v>55200</v>
      </c>
      <c r="AW9" s="1244">
        <v>46000</v>
      </c>
      <c r="AX9" s="1248"/>
      <c r="AY9" s="1266">
        <v>58377645</v>
      </c>
      <c r="AZ9" s="389">
        <v>154921553.12098557</v>
      </c>
      <c r="BA9" s="1267">
        <v>108751294.3865356</v>
      </c>
    </row>
    <row r="10" spans="2:56" ht="15" customHeight="1" x14ac:dyDescent="0.2">
      <c r="B10" s="2112" t="s">
        <v>353</v>
      </c>
      <c r="C10" s="1709">
        <v>73</v>
      </c>
      <c r="D10" s="1223">
        <v>504</v>
      </c>
      <c r="E10" s="1709">
        <v>439</v>
      </c>
      <c r="F10" s="1223">
        <v>65</v>
      </c>
      <c r="G10" s="1236">
        <v>1314000</v>
      </c>
      <c r="H10" s="1223"/>
      <c r="I10" s="1709"/>
      <c r="J10" s="2194"/>
      <c r="K10" s="2203">
        <v>1314000</v>
      </c>
      <c r="L10" s="2028"/>
      <c r="M10" s="1709"/>
      <c r="N10" s="1691"/>
      <c r="O10" s="494"/>
      <c r="P10" s="1256" t="s">
        <v>353</v>
      </c>
      <c r="Q10" s="1257"/>
      <c r="R10" s="959"/>
      <c r="S10" s="1235"/>
      <c r="T10" s="1258"/>
      <c r="U10" s="1198">
        <v>4520000</v>
      </c>
      <c r="V10" s="968">
        <v>11760000</v>
      </c>
      <c r="W10" s="1709">
        <v>9800000</v>
      </c>
      <c r="X10" s="1925">
        <v>461.22448979591837</v>
      </c>
      <c r="Y10" s="2115">
        <v>1300000</v>
      </c>
      <c r="Z10" s="968">
        <v>1799999.9999999998</v>
      </c>
      <c r="AA10" s="1709">
        <v>1499999.9999999998</v>
      </c>
      <c r="AB10" s="1258">
        <v>866.66666666666686</v>
      </c>
      <c r="AC10" s="1201">
        <v>6000</v>
      </c>
      <c r="AD10" s="968">
        <v>8558.4905660377353</v>
      </c>
      <c r="AE10" s="1709">
        <v>7132.0754716981128</v>
      </c>
      <c r="AF10" s="1700">
        <v>841.26984126984132</v>
      </c>
      <c r="AG10" s="495"/>
      <c r="AH10" s="1256" t="s">
        <v>353</v>
      </c>
      <c r="AI10" s="1198">
        <v>4000</v>
      </c>
      <c r="AJ10" s="968">
        <v>9000</v>
      </c>
      <c r="AK10" s="1235">
        <v>7499.9999999999991</v>
      </c>
      <c r="AL10" s="1258">
        <v>533.33333333333348</v>
      </c>
      <c r="AM10" s="1201">
        <v>45000</v>
      </c>
      <c r="AN10" s="1235">
        <v>104448.74274661508</v>
      </c>
      <c r="AO10" s="1235">
        <v>87040.618955512575</v>
      </c>
      <c r="AP10" s="1258">
        <v>517</v>
      </c>
      <c r="AQ10" s="1201">
        <v>20250</v>
      </c>
      <c r="AR10" s="1197">
        <v>54000</v>
      </c>
      <c r="AS10" s="1197">
        <v>45000</v>
      </c>
      <c r="AT10" s="1258">
        <v>450</v>
      </c>
      <c r="AU10" s="1201"/>
      <c r="AV10" s="1235"/>
      <c r="AW10" s="1235"/>
      <c r="AX10" s="1258" t="s">
        <v>1580</v>
      </c>
      <c r="AY10" s="1270">
        <v>5895250</v>
      </c>
      <c r="AZ10" s="968">
        <v>13736007.233312653</v>
      </c>
      <c r="BA10" s="1271">
        <v>11446672.694427211</v>
      </c>
    </row>
    <row r="11" spans="2:56" ht="15" customHeight="1" x14ac:dyDescent="0.2">
      <c r="B11" s="2112" t="s">
        <v>354</v>
      </c>
      <c r="C11" s="1709">
        <v>53</v>
      </c>
      <c r="D11" s="1223">
        <v>750</v>
      </c>
      <c r="E11" s="1709">
        <v>625</v>
      </c>
      <c r="F11" s="1223">
        <v>125</v>
      </c>
      <c r="G11" s="1236">
        <v>2226000</v>
      </c>
      <c r="H11" s="1223"/>
      <c r="I11" s="1709"/>
      <c r="J11" s="2194"/>
      <c r="K11" s="2203">
        <v>2226000</v>
      </c>
      <c r="L11" s="2028"/>
      <c r="M11" s="1709"/>
      <c r="N11" s="1691"/>
      <c r="O11" s="494"/>
      <c r="P11" s="1256" t="s">
        <v>354</v>
      </c>
      <c r="Q11" s="1257"/>
      <c r="R11" s="959"/>
      <c r="S11" s="1235"/>
      <c r="T11" s="1258"/>
      <c r="U11" s="1975">
        <v>6560000</v>
      </c>
      <c r="V11" s="959">
        <v>16200000</v>
      </c>
      <c r="W11" s="1709">
        <v>13500000</v>
      </c>
      <c r="X11" s="1925">
        <v>485.92592592592592</v>
      </c>
      <c r="Y11" s="1259">
        <v>2000000</v>
      </c>
      <c r="Z11" s="959">
        <v>3840000</v>
      </c>
      <c r="AA11" s="1197">
        <v>3200000</v>
      </c>
      <c r="AB11" s="1258">
        <v>625</v>
      </c>
      <c r="AC11" s="1259">
        <v>540000</v>
      </c>
      <c r="AD11" s="959">
        <v>694285.7142857142</v>
      </c>
      <c r="AE11" s="1235">
        <v>578571.42857142852</v>
      </c>
      <c r="AF11" s="1700">
        <v>933.33333333333348</v>
      </c>
      <c r="AG11" s="495"/>
      <c r="AH11" s="1256" t="s">
        <v>354</v>
      </c>
      <c r="AI11" s="1257">
        <v>1750</v>
      </c>
      <c r="AJ11" s="1922">
        <v>2112</v>
      </c>
      <c r="AK11" s="1235">
        <v>1760</v>
      </c>
      <c r="AL11" s="1258">
        <v>994.31818181818176</v>
      </c>
      <c r="AM11" s="1259"/>
      <c r="AN11" s="1235"/>
      <c r="AO11" s="1235"/>
      <c r="AP11" s="1258" t="s">
        <v>1580</v>
      </c>
      <c r="AQ11" s="1259">
        <v>2550</v>
      </c>
      <c r="AR11" s="1197">
        <v>6594.8275862068967</v>
      </c>
      <c r="AS11" s="1197">
        <v>5495.6896551724139</v>
      </c>
      <c r="AT11" s="1258">
        <v>463.99999999999994</v>
      </c>
      <c r="AU11" s="1926">
        <v>5500</v>
      </c>
      <c r="AV11" s="1235">
        <v>10440.000000000002</v>
      </c>
      <c r="AW11" s="1235">
        <v>8700.0000000000018</v>
      </c>
      <c r="AX11" s="1258">
        <v>632.18390804597686</v>
      </c>
      <c r="AY11" s="1270">
        <v>9109800</v>
      </c>
      <c r="AZ11" s="968">
        <v>20753432.54187192</v>
      </c>
      <c r="BA11" s="1271">
        <v>17294527.118226603</v>
      </c>
    </row>
    <row r="12" spans="2:56" ht="15" customHeight="1" x14ac:dyDescent="0.2">
      <c r="B12" s="1234" t="s">
        <v>355</v>
      </c>
      <c r="C12" s="1709">
        <v>27</v>
      </c>
      <c r="D12" s="1223">
        <v>555</v>
      </c>
      <c r="E12" s="1709">
        <v>460</v>
      </c>
      <c r="F12" s="1223">
        <v>95</v>
      </c>
      <c r="G12" s="1236">
        <v>135000</v>
      </c>
      <c r="H12" s="1223">
        <v>20</v>
      </c>
      <c r="I12" s="1709">
        <v>60</v>
      </c>
      <c r="J12" s="2194">
        <v>6780</v>
      </c>
      <c r="K12" s="2203">
        <v>141780</v>
      </c>
      <c r="L12" s="2028"/>
      <c r="M12" s="1709"/>
      <c r="N12" s="1691"/>
      <c r="O12" s="494"/>
      <c r="P12" s="1256" t="s">
        <v>355</v>
      </c>
      <c r="Q12" s="1257"/>
      <c r="R12" s="959"/>
      <c r="S12" s="1235"/>
      <c r="T12" s="1258"/>
      <c r="U12" s="1975">
        <v>400000</v>
      </c>
      <c r="V12" s="959">
        <v>1440000</v>
      </c>
      <c r="W12" s="1709">
        <v>1200000</v>
      </c>
      <c r="X12" s="1925">
        <v>333.33333333333331</v>
      </c>
      <c r="Y12" s="1259"/>
      <c r="Z12" s="959"/>
      <c r="AA12" s="1197"/>
      <c r="AB12" s="1258" t="s">
        <v>1580</v>
      </c>
      <c r="AC12" s="1259">
        <v>712000</v>
      </c>
      <c r="AD12" s="959">
        <v>1008666.6666666667</v>
      </c>
      <c r="AE12" s="1235">
        <v>840555.55555555562</v>
      </c>
      <c r="AF12" s="1700">
        <v>847.05882352941171</v>
      </c>
      <c r="AG12" s="495"/>
      <c r="AH12" s="1256" t="s">
        <v>355</v>
      </c>
      <c r="AI12" s="1257"/>
      <c r="AJ12" s="1922"/>
      <c r="AK12" s="1235"/>
      <c r="AL12" s="1258" t="s">
        <v>1580</v>
      </c>
      <c r="AM12" s="1259">
        <v>75000</v>
      </c>
      <c r="AN12" s="1235">
        <v>173999.99999999997</v>
      </c>
      <c r="AO12" s="1235">
        <v>144999.99999999997</v>
      </c>
      <c r="AP12" s="1258">
        <v>517.241379310345</v>
      </c>
      <c r="AQ12" s="1259">
        <v>5250</v>
      </c>
      <c r="AR12" s="1197">
        <v>10806.174957118354</v>
      </c>
      <c r="AS12" s="1197">
        <v>9005.1457975986286</v>
      </c>
      <c r="AT12" s="1258">
        <v>583</v>
      </c>
      <c r="AU12" s="1926">
        <v>3350</v>
      </c>
      <c r="AV12" s="1235">
        <v>8040</v>
      </c>
      <c r="AW12" s="1235">
        <v>6700</v>
      </c>
      <c r="AX12" s="1258">
        <v>500</v>
      </c>
      <c r="AY12" s="1270">
        <v>1195600</v>
      </c>
      <c r="AZ12" s="968">
        <v>2641512.8416237854</v>
      </c>
      <c r="BA12" s="1271">
        <v>2201260.7013531541</v>
      </c>
    </row>
    <row r="13" spans="2:56" ht="15" customHeight="1" x14ac:dyDescent="0.2">
      <c r="B13" s="1234" t="s">
        <v>356</v>
      </c>
      <c r="C13" s="1709">
        <v>15</v>
      </c>
      <c r="D13" s="1223">
        <v>185</v>
      </c>
      <c r="E13" s="1709">
        <v>150</v>
      </c>
      <c r="F13" s="1223">
        <v>35</v>
      </c>
      <c r="G13" s="1236">
        <v>225000</v>
      </c>
      <c r="H13" s="1223"/>
      <c r="I13" s="1709"/>
      <c r="J13" s="2194"/>
      <c r="K13" s="2203">
        <v>225000</v>
      </c>
      <c r="L13" s="2028"/>
      <c r="M13" s="1709"/>
      <c r="N13" s="1691"/>
      <c r="O13" s="494"/>
      <c r="P13" s="1256" t="s">
        <v>356</v>
      </c>
      <c r="Q13" s="1257"/>
      <c r="R13" s="959"/>
      <c r="S13" s="1235"/>
      <c r="T13" s="1258"/>
      <c r="U13" s="2017">
        <v>780000</v>
      </c>
      <c r="V13" s="968">
        <v>1920000</v>
      </c>
      <c r="W13" s="1709">
        <v>1600000</v>
      </c>
      <c r="X13" s="1925">
        <v>487.5</v>
      </c>
      <c r="Y13" s="1201"/>
      <c r="Z13" s="968"/>
      <c r="AA13" s="1197"/>
      <c r="AB13" s="1258" t="s">
        <v>1580</v>
      </c>
      <c r="AC13" s="1201">
        <v>7300</v>
      </c>
      <c r="AD13" s="968">
        <v>10950</v>
      </c>
      <c r="AE13" s="1709">
        <v>9125</v>
      </c>
      <c r="AF13" s="1700">
        <v>800</v>
      </c>
      <c r="AG13" s="495"/>
      <c r="AH13" s="1256" t="s">
        <v>356</v>
      </c>
      <c r="AI13" s="1257"/>
      <c r="AJ13" s="1922"/>
      <c r="AK13" s="1235"/>
      <c r="AL13" s="1258" t="s">
        <v>1580</v>
      </c>
      <c r="AM13" s="1259"/>
      <c r="AN13" s="1235"/>
      <c r="AO13" s="1235"/>
      <c r="AP13" s="1258" t="s">
        <v>1580</v>
      </c>
      <c r="AQ13" s="1259"/>
      <c r="AR13" s="1197"/>
      <c r="AS13" s="1197"/>
      <c r="AT13" s="1258" t="s">
        <v>1580</v>
      </c>
      <c r="AU13" s="1926">
        <v>2990</v>
      </c>
      <c r="AV13" s="1235">
        <v>5520</v>
      </c>
      <c r="AW13" s="1235">
        <v>4600</v>
      </c>
      <c r="AX13" s="1258">
        <v>650</v>
      </c>
      <c r="AY13" s="1270">
        <v>790290</v>
      </c>
      <c r="AZ13" s="968">
        <v>1936470</v>
      </c>
      <c r="BA13" s="1271">
        <v>1613725</v>
      </c>
    </row>
    <row r="14" spans="2:56" ht="15" customHeight="1" x14ac:dyDescent="0.2">
      <c r="B14" s="2112" t="s">
        <v>357</v>
      </c>
      <c r="C14" s="1709">
        <v>183</v>
      </c>
      <c r="D14" s="1223">
        <v>825</v>
      </c>
      <c r="E14" s="1709">
        <v>780</v>
      </c>
      <c r="F14" s="1223">
        <v>45</v>
      </c>
      <c r="G14" s="1236">
        <v>2928000</v>
      </c>
      <c r="H14" s="1223"/>
      <c r="I14" s="1709"/>
      <c r="J14" s="2194"/>
      <c r="K14" s="2203">
        <v>2928000</v>
      </c>
      <c r="L14" s="2028">
        <v>20</v>
      </c>
      <c r="M14" s="1709">
        <v>550</v>
      </c>
      <c r="N14" s="1691">
        <v>168116</v>
      </c>
      <c r="O14" s="494"/>
      <c r="P14" s="1256" t="s">
        <v>357</v>
      </c>
      <c r="Q14" s="1257">
        <v>11139000</v>
      </c>
      <c r="R14" s="959">
        <v>34000000</v>
      </c>
      <c r="S14" s="1235">
        <v>19000000</v>
      </c>
      <c r="T14" s="1258">
        <v>586.26315789473676</v>
      </c>
      <c r="U14" s="1976">
        <v>1300000</v>
      </c>
      <c r="V14" s="424">
        <v>3360000</v>
      </c>
      <c r="W14" s="1709">
        <v>2800000</v>
      </c>
      <c r="X14" s="1925">
        <v>464.28571428571428</v>
      </c>
      <c r="Y14" s="1201">
        <v>1500000</v>
      </c>
      <c r="Z14" s="968">
        <v>2760000</v>
      </c>
      <c r="AA14" s="1197">
        <v>2300000</v>
      </c>
      <c r="AB14" s="1258">
        <v>652.17391304347825</v>
      </c>
      <c r="AC14" s="1201">
        <v>43200</v>
      </c>
      <c r="AD14" s="968">
        <v>74057.14285714287</v>
      </c>
      <c r="AE14" s="1709">
        <v>61714.285714285717</v>
      </c>
      <c r="AF14" s="1700">
        <v>700</v>
      </c>
      <c r="AG14" s="495"/>
      <c r="AH14" s="1256" t="s">
        <v>357</v>
      </c>
      <c r="AI14" s="1257">
        <v>3100</v>
      </c>
      <c r="AJ14" s="1922">
        <v>3720</v>
      </c>
      <c r="AK14" s="1235">
        <v>3100</v>
      </c>
      <c r="AL14" s="1258">
        <v>1000</v>
      </c>
      <c r="AM14" s="1259"/>
      <c r="AN14" s="1235"/>
      <c r="AO14" s="1235"/>
      <c r="AP14" s="1258" t="s">
        <v>1580</v>
      </c>
      <c r="AQ14" s="1201">
        <v>4635</v>
      </c>
      <c r="AR14" s="1260">
        <v>12360</v>
      </c>
      <c r="AS14" s="1260">
        <v>10300</v>
      </c>
      <c r="AT14" s="1258">
        <v>450</v>
      </c>
      <c r="AU14" s="1926">
        <v>600</v>
      </c>
      <c r="AV14" s="1235">
        <v>1440</v>
      </c>
      <c r="AW14" s="1235">
        <v>1200</v>
      </c>
      <c r="AX14" s="1258">
        <v>500</v>
      </c>
      <c r="AY14" s="1270">
        <v>13990535</v>
      </c>
      <c r="AZ14" s="968">
        <v>40211577.142857142</v>
      </c>
      <c r="BA14" s="1271">
        <v>24176314.285714287</v>
      </c>
    </row>
    <row r="15" spans="2:56" ht="15" customHeight="1" x14ac:dyDescent="0.2">
      <c r="B15" s="1234" t="s">
        <v>358</v>
      </c>
      <c r="C15" s="1709">
        <v>55</v>
      </c>
      <c r="D15" s="1223">
        <v>145</v>
      </c>
      <c r="E15" s="1709">
        <v>110</v>
      </c>
      <c r="F15" s="1223">
        <v>35</v>
      </c>
      <c r="G15" s="1236">
        <v>220000</v>
      </c>
      <c r="H15" s="1223"/>
      <c r="I15" s="1709"/>
      <c r="J15" s="2194"/>
      <c r="K15" s="2203">
        <v>220000</v>
      </c>
      <c r="L15" s="2028"/>
      <c r="M15" s="1709"/>
      <c r="N15" s="1691"/>
      <c r="O15" s="494"/>
      <c r="P15" s="1256" t="s">
        <v>358</v>
      </c>
      <c r="Q15" s="1257"/>
      <c r="R15" s="959"/>
      <c r="S15" s="1235"/>
      <c r="T15" s="1258"/>
      <c r="U15" s="1975">
        <v>150000</v>
      </c>
      <c r="V15" s="959">
        <v>408000</v>
      </c>
      <c r="W15" s="1709">
        <v>340000</v>
      </c>
      <c r="X15" s="1925">
        <v>441.1764705882353</v>
      </c>
      <c r="Y15" s="1259"/>
      <c r="Z15" s="959"/>
      <c r="AA15" s="1197"/>
      <c r="AB15" s="1258" t="s">
        <v>1580</v>
      </c>
      <c r="AC15" s="1926">
        <v>101500</v>
      </c>
      <c r="AD15" s="1922">
        <v>136500</v>
      </c>
      <c r="AE15" s="1235">
        <v>113749.99999999999</v>
      </c>
      <c r="AF15" s="1700">
        <v>892.30769230769249</v>
      </c>
      <c r="AG15" s="495"/>
      <c r="AH15" s="1256" t="s">
        <v>358</v>
      </c>
      <c r="AI15" s="1257"/>
      <c r="AJ15" s="1922"/>
      <c r="AK15" s="1235"/>
      <c r="AL15" s="1258" t="s">
        <v>1580</v>
      </c>
      <c r="AM15" s="1259">
        <v>12000</v>
      </c>
      <c r="AN15" s="1235">
        <v>32400.000000000004</v>
      </c>
      <c r="AO15" s="1235">
        <v>27000.000000000004</v>
      </c>
      <c r="AP15" s="1258">
        <v>444.44444444444434</v>
      </c>
      <c r="AQ15" s="1259"/>
      <c r="AR15" s="1197"/>
      <c r="AS15" s="1197"/>
      <c r="AT15" s="1258" t="s">
        <v>1580</v>
      </c>
      <c r="AU15" s="1926"/>
      <c r="AV15" s="1235"/>
      <c r="AW15" s="1235"/>
      <c r="AX15" s="1258" t="s">
        <v>1580</v>
      </c>
      <c r="AY15" s="1270">
        <v>263500</v>
      </c>
      <c r="AZ15" s="968">
        <v>576900</v>
      </c>
      <c r="BA15" s="1271">
        <v>480750</v>
      </c>
    </row>
    <row r="16" spans="2:56" ht="15" customHeight="1" x14ac:dyDescent="0.2">
      <c r="B16" s="1234" t="s">
        <v>359</v>
      </c>
      <c r="C16" s="1709">
        <v>32</v>
      </c>
      <c r="D16" s="1223">
        <v>345</v>
      </c>
      <c r="E16" s="1709">
        <v>290</v>
      </c>
      <c r="F16" s="1223">
        <v>55</v>
      </c>
      <c r="G16" s="1236">
        <v>1312000</v>
      </c>
      <c r="H16" s="1223"/>
      <c r="I16" s="1709"/>
      <c r="J16" s="2194"/>
      <c r="K16" s="2203">
        <v>1312000</v>
      </c>
      <c r="L16" s="2028">
        <v>5</v>
      </c>
      <c r="M16" s="1709">
        <v>43</v>
      </c>
      <c r="N16" s="1691">
        <v>22033</v>
      </c>
      <c r="O16" s="494"/>
      <c r="P16" s="1256" t="s">
        <v>359</v>
      </c>
      <c r="Q16" s="1257">
        <v>1900000</v>
      </c>
      <c r="R16" s="959">
        <v>4700000</v>
      </c>
      <c r="S16" s="1235">
        <v>2700000</v>
      </c>
      <c r="T16" s="1199">
        <v>703.7037037037037</v>
      </c>
      <c r="U16" s="1976">
        <v>1800000</v>
      </c>
      <c r="V16" s="424">
        <v>5580000</v>
      </c>
      <c r="W16" s="1709">
        <v>4650000</v>
      </c>
      <c r="X16" s="1925">
        <v>387.09677419354836</v>
      </c>
      <c r="Y16" s="1259">
        <v>1200000</v>
      </c>
      <c r="Z16" s="959">
        <v>2160000</v>
      </c>
      <c r="AA16" s="1197">
        <v>1800000</v>
      </c>
      <c r="AB16" s="1258">
        <v>666.66666666666663</v>
      </c>
      <c r="AC16" s="1926">
        <v>11300</v>
      </c>
      <c r="AD16" s="1922">
        <v>16436.36363636364</v>
      </c>
      <c r="AE16" s="1235">
        <v>13696.969696969698</v>
      </c>
      <c r="AF16" s="1700">
        <v>825</v>
      </c>
      <c r="AG16" s="495"/>
      <c r="AH16" s="1256" t="s">
        <v>359</v>
      </c>
      <c r="AI16" s="1257"/>
      <c r="AJ16" s="1922"/>
      <c r="AK16" s="1235"/>
      <c r="AL16" s="1258" t="s">
        <v>1580</v>
      </c>
      <c r="AM16" s="1259"/>
      <c r="AN16" s="1235"/>
      <c r="AO16" s="1235"/>
      <c r="AP16" s="1258" t="s">
        <v>1580</v>
      </c>
      <c r="AQ16" s="1259"/>
      <c r="AR16" s="1197"/>
      <c r="AS16" s="1197"/>
      <c r="AT16" s="1258" t="s">
        <v>1580</v>
      </c>
      <c r="AU16" s="1926"/>
      <c r="AV16" s="1235"/>
      <c r="AW16" s="1235"/>
      <c r="AX16" s="1258" t="s">
        <v>1580</v>
      </c>
      <c r="AY16" s="1270">
        <v>4911300</v>
      </c>
      <c r="AZ16" s="968">
        <v>12456436.363636363</v>
      </c>
      <c r="BA16" s="1271">
        <v>9163696.9696969688</v>
      </c>
    </row>
    <row r="17" spans="2:53" ht="15" customHeight="1" x14ac:dyDescent="0.2">
      <c r="B17" s="1234" t="s">
        <v>360</v>
      </c>
      <c r="C17" s="1709">
        <v>10</v>
      </c>
      <c r="D17" s="1223">
        <v>57</v>
      </c>
      <c r="E17" s="1709">
        <v>44</v>
      </c>
      <c r="F17" s="1223">
        <v>13</v>
      </c>
      <c r="G17" s="1236">
        <v>19800</v>
      </c>
      <c r="H17" s="1223"/>
      <c r="I17" s="1709"/>
      <c r="J17" s="2194"/>
      <c r="K17" s="2203">
        <v>19800</v>
      </c>
      <c r="L17" s="2028"/>
      <c r="M17" s="1709"/>
      <c r="N17" s="1691"/>
      <c r="O17" s="494"/>
      <c r="P17" s="1256" t="s">
        <v>360</v>
      </c>
      <c r="Q17" s="1257"/>
      <c r="R17" s="959"/>
      <c r="S17" s="1235"/>
      <c r="T17" s="1258"/>
      <c r="U17" s="1975">
        <v>600000</v>
      </c>
      <c r="V17" s="959">
        <v>1740000</v>
      </c>
      <c r="W17" s="1709">
        <v>1450000</v>
      </c>
      <c r="X17" s="1925">
        <v>413.79310344827587</v>
      </c>
      <c r="Y17" s="1259">
        <v>48000</v>
      </c>
      <c r="Z17" s="959">
        <v>126720.00000000001</v>
      </c>
      <c r="AA17" s="1197">
        <v>105600.00000000001</v>
      </c>
      <c r="AB17" s="1258">
        <v>454.54545454545445</v>
      </c>
      <c r="AC17" s="1926">
        <v>100500</v>
      </c>
      <c r="AD17" s="1922">
        <v>120600</v>
      </c>
      <c r="AE17" s="1235">
        <v>100500</v>
      </c>
      <c r="AF17" s="1700">
        <v>1000</v>
      </c>
      <c r="AG17" s="495"/>
      <c r="AH17" s="1256" t="s">
        <v>360</v>
      </c>
      <c r="AI17" s="1257"/>
      <c r="AJ17" s="1922"/>
      <c r="AK17" s="1235"/>
      <c r="AL17" s="1258" t="s">
        <v>1580</v>
      </c>
      <c r="AM17" s="1259">
        <v>40000</v>
      </c>
      <c r="AN17" s="1235">
        <v>110400</v>
      </c>
      <c r="AO17" s="1235">
        <v>92000</v>
      </c>
      <c r="AP17" s="1258">
        <v>434.78260869565219</v>
      </c>
      <c r="AQ17" s="1259"/>
      <c r="AR17" s="1197"/>
      <c r="AS17" s="1197"/>
      <c r="AT17" s="1258" t="s">
        <v>1580</v>
      </c>
      <c r="AU17" s="1926"/>
      <c r="AV17" s="1235"/>
      <c r="AW17" s="1235"/>
      <c r="AX17" s="1258" t="s">
        <v>1580</v>
      </c>
      <c r="AY17" s="1270">
        <v>788500</v>
      </c>
      <c r="AZ17" s="968">
        <v>2097720</v>
      </c>
      <c r="BA17" s="1271">
        <v>1748100</v>
      </c>
    </row>
    <row r="18" spans="2:53" ht="15" customHeight="1" x14ac:dyDescent="0.2">
      <c r="B18" s="2112" t="s">
        <v>1357</v>
      </c>
      <c r="C18" s="1709">
        <v>94</v>
      </c>
      <c r="D18" s="1223">
        <v>667</v>
      </c>
      <c r="E18" s="1709">
        <v>542</v>
      </c>
      <c r="F18" s="1223">
        <v>125</v>
      </c>
      <c r="G18" s="1236">
        <v>1786000</v>
      </c>
      <c r="H18" s="1223">
        <v>12</v>
      </c>
      <c r="I18" s="1709">
        <v>50</v>
      </c>
      <c r="J18" s="2194">
        <v>3037</v>
      </c>
      <c r="K18" s="2203">
        <v>1789037</v>
      </c>
      <c r="L18" s="2028"/>
      <c r="M18" s="1709"/>
      <c r="N18" s="1691"/>
      <c r="O18" s="494"/>
      <c r="P18" s="1256" t="s">
        <v>938</v>
      </c>
      <c r="Q18" s="1257"/>
      <c r="R18" s="959"/>
      <c r="S18" s="1235"/>
      <c r="T18" s="1258"/>
      <c r="U18" s="1975">
        <v>3500000</v>
      </c>
      <c r="V18" s="959">
        <v>8640000</v>
      </c>
      <c r="W18" s="1709">
        <v>7200000</v>
      </c>
      <c r="X18" s="1925">
        <v>486.11111111111109</v>
      </c>
      <c r="Y18" s="1259"/>
      <c r="Z18" s="959"/>
      <c r="AA18" s="1197"/>
      <c r="AB18" s="1258" t="s">
        <v>1580</v>
      </c>
      <c r="AC18" s="1926">
        <v>122000</v>
      </c>
      <c r="AD18" s="1922">
        <v>244000</v>
      </c>
      <c r="AE18" s="1235">
        <v>203333.33333333334</v>
      </c>
      <c r="AF18" s="1700">
        <v>600</v>
      </c>
      <c r="AG18" s="495"/>
      <c r="AH18" s="1256" t="s">
        <v>1358</v>
      </c>
      <c r="AI18" s="1257"/>
      <c r="AJ18" s="1922"/>
      <c r="AK18" s="1235"/>
      <c r="AL18" s="1258" t="s">
        <v>1580</v>
      </c>
      <c r="AM18" s="1259"/>
      <c r="AN18" s="1235"/>
      <c r="AO18" s="1235"/>
      <c r="AP18" s="1258" t="s">
        <v>1580</v>
      </c>
      <c r="AQ18" s="1201"/>
      <c r="AR18" s="1260"/>
      <c r="AS18" s="1260"/>
      <c r="AT18" s="1258" t="s">
        <v>1580</v>
      </c>
      <c r="AU18" s="1201"/>
      <c r="AV18" s="1260"/>
      <c r="AW18" s="1260"/>
      <c r="AX18" s="1258" t="s">
        <v>1580</v>
      </c>
      <c r="AY18" s="1270">
        <v>3622000</v>
      </c>
      <c r="AZ18" s="968">
        <v>8884000</v>
      </c>
      <c r="BA18" s="1271">
        <v>7403333.333333333</v>
      </c>
    </row>
    <row r="19" spans="2:53" ht="15" customHeight="1" x14ac:dyDescent="0.2">
      <c r="B19" s="2112" t="s">
        <v>362</v>
      </c>
      <c r="C19" s="1709">
        <v>120</v>
      </c>
      <c r="D19" s="1223">
        <v>414</v>
      </c>
      <c r="E19" s="1709">
        <v>339</v>
      </c>
      <c r="F19" s="1223">
        <v>75</v>
      </c>
      <c r="G19" s="1236">
        <v>1320000</v>
      </c>
      <c r="H19" s="1223"/>
      <c r="I19" s="1709"/>
      <c r="J19" s="2194"/>
      <c r="K19" s="2203">
        <v>1320000</v>
      </c>
      <c r="L19" s="2028"/>
      <c r="M19" s="1709"/>
      <c r="N19" s="1691"/>
      <c r="O19" s="494"/>
      <c r="P19" s="1256" t="s">
        <v>362</v>
      </c>
      <c r="Q19" s="1257"/>
      <c r="R19" s="959"/>
      <c r="S19" s="1261"/>
      <c r="T19" s="1258"/>
      <c r="U19" s="1975">
        <v>1300000</v>
      </c>
      <c r="V19" s="2077">
        <v>3240000</v>
      </c>
      <c r="W19" s="1709">
        <v>2700000</v>
      </c>
      <c r="X19" s="1925">
        <v>481.48148148148147</v>
      </c>
      <c r="Y19" s="1259"/>
      <c r="Z19" s="959"/>
      <c r="AA19" s="1197"/>
      <c r="AB19" s="1258" t="s">
        <v>1580</v>
      </c>
      <c r="AC19" s="1926">
        <v>204000</v>
      </c>
      <c r="AD19" s="1922">
        <v>244800</v>
      </c>
      <c r="AE19" s="1709">
        <v>204000</v>
      </c>
      <c r="AF19" s="1700">
        <v>1000</v>
      </c>
      <c r="AG19" s="495"/>
      <c r="AH19" s="1256" t="s">
        <v>362</v>
      </c>
      <c r="AI19" s="1257"/>
      <c r="AJ19" s="1922"/>
      <c r="AK19" s="1235"/>
      <c r="AL19" s="1258" t="s">
        <v>1580</v>
      </c>
      <c r="AM19" s="1259"/>
      <c r="AN19" s="1261"/>
      <c r="AO19" s="1261"/>
      <c r="AP19" s="1258" t="s">
        <v>1580</v>
      </c>
      <c r="AQ19" s="1201"/>
      <c r="AR19" s="1260"/>
      <c r="AS19" s="1260"/>
      <c r="AT19" s="1258" t="s">
        <v>1580</v>
      </c>
      <c r="AU19" s="1201"/>
      <c r="AV19" s="1260"/>
      <c r="AW19" s="1260"/>
      <c r="AX19" s="1258" t="s">
        <v>1580</v>
      </c>
      <c r="AY19" s="1270">
        <v>1504000</v>
      </c>
      <c r="AZ19" s="968">
        <v>3484800</v>
      </c>
      <c r="BA19" s="1271">
        <v>2904000</v>
      </c>
    </row>
    <row r="20" spans="2:53" ht="15" customHeight="1" x14ac:dyDescent="0.2">
      <c r="B20" s="1234" t="s">
        <v>363</v>
      </c>
      <c r="C20" s="1709">
        <v>18</v>
      </c>
      <c r="D20" s="1223">
        <v>85</v>
      </c>
      <c r="E20" s="1709">
        <v>70</v>
      </c>
      <c r="F20" s="1223">
        <v>15</v>
      </c>
      <c r="G20" s="1236">
        <v>90000</v>
      </c>
      <c r="H20" s="1223"/>
      <c r="I20" s="1709"/>
      <c r="J20" s="2194"/>
      <c r="K20" s="2203">
        <v>90000</v>
      </c>
      <c r="L20" s="2028"/>
      <c r="M20" s="1709"/>
      <c r="N20" s="1691"/>
      <c r="O20" s="494"/>
      <c r="P20" s="1256" t="s">
        <v>363</v>
      </c>
      <c r="Q20" s="1257"/>
      <c r="R20" s="959"/>
      <c r="S20" s="1235"/>
      <c r="T20" s="1258"/>
      <c r="U20" s="1257">
        <v>25000</v>
      </c>
      <c r="V20" s="959">
        <v>71428.571428571435</v>
      </c>
      <c r="W20" s="1709">
        <v>59523.809523809527</v>
      </c>
      <c r="X20" s="1925">
        <v>420</v>
      </c>
      <c r="Y20" s="1259"/>
      <c r="Z20" s="959"/>
      <c r="AA20" s="1197"/>
      <c r="AB20" s="1258" t="s">
        <v>1580</v>
      </c>
      <c r="AC20" s="1926"/>
      <c r="AD20" s="1922"/>
      <c r="AE20" s="1235"/>
      <c r="AF20" s="1700" t="s">
        <v>1580</v>
      </c>
      <c r="AG20" s="495"/>
      <c r="AH20" s="1256" t="s">
        <v>363</v>
      </c>
      <c r="AI20" s="1257">
        <v>3000</v>
      </c>
      <c r="AJ20" s="1922">
        <v>5400</v>
      </c>
      <c r="AK20" s="1235">
        <v>4500</v>
      </c>
      <c r="AL20" s="1258">
        <v>666.66666666666663</v>
      </c>
      <c r="AM20" s="1259">
        <v>35000</v>
      </c>
      <c r="AN20" s="1235">
        <v>90000</v>
      </c>
      <c r="AO20" s="1235">
        <v>75000</v>
      </c>
      <c r="AP20" s="1258">
        <v>466.66666666666669</v>
      </c>
      <c r="AQ20" s="1259"/>
      <c r="AR20" s="1197"/>
      <c r="AS20" s="1197"/>
      <c r="AT20" s="1258" t="s">
        <v>1580</v>
      </c>
      <c r="AU20" s="1926"/>
      <c r="AV20" s="1235"/>
      <c r="AW20" s="1235"/>
      <c r="AX20" s="1258" t="s">
        <v>1580</v>
      </c>
      <c r="AY20" s="1270">
        <v>63000</v>
      </c>
      <c r="AZ20" s="968">
        <v>166828.57142857142</v>
      </c>
      <c r="BA20" s="1271">
        <v>139023.80952380953</v>
      </c>
    </row>
    <row r="21" spans="2:53" ht="15" customHeight="1" x14ac:dyDescent="0.2">
      <c r="B21" s="1234" t="s">
        <v>939</v>
      </c>
      <c r="C21" s="1709">
        <v>16</v>
      </c>
      <c r="D21" s="1223">
        <v>73</v>
      </c>
      <c r="E21" s="1709">
        <v>68</v>
      </c>
      <c r="F21" s="1223">
        <v>5</v>
      </c>
      <c r="G21" s="1236">
        <v>188813</v>
      </c>
      <c r="H21" s="1223"/>
      <c r="I21" s="1709"/>
      <c r="J21" s="2194"/>
      <c r="K21" s="2203">
        <v>188813</v>
      </c>
      <c r="L21" s="2028"/>
      <c r="M21" s="1709"/>
      <c r="N21" s="1691"/>
      <c r="O21" s="494"/>
      <c r="P21" s="1256" t="s">
        <v>939</v>
      </c>
      <c r="Q21" s="1257"/>
      <c r="R21" s="959"/>
      <c r="S21" s="1235"/>
      <c r="T21" s="1258"/>
      <c r="U21" s="1257">
        <v>735000</v>
      </c>
      <c r="V21" s="959">
        <v>1847999.9999999998</v>
      </c>
      <c r="W21" s="1709">
        <v>1539999.9999999998</v>
      </c>
      <c r="X21" s="1925">
        <v>477.27272727272737</v>
      </c>
      <c r="Y21" s="1259"/>
      <c r="Z21" s="959"/>
      <c r="AA21" s="1197"/>
      <c r="AB21" s="1258" t="s">
        <v>1580</v>
      </c>
      <c r="AC21" s="1926">
        <v>61200</v>
      </c>
      <c r="AD21" s="1922">
        <v>79560</v>
      </c>
      <c r="AE21" s="1235">
        <v>66300</v>
      </c>
      <c r="AF21" s="1700">
        <v>923.07692307692309</v>
      </c>
      <c r="AG21" s="495"/>
      <c r="AH21" s="1256" t="s">
        <v>939</v>
      </c>
      <c r="AI21" s="1257"/>
      <c r="AJ21" s="1922"/>
      <c r="AK21" s="1235"/>
      <c r="AL21" s="1258" t="s">
        <v>1580</v>
      </c>
      <c r="AM21" s="1259"/>
      <c r="AN21" s="1235"/>
      <c r="AO21" s="1235"/>
      <c r="AP21" s="1258" t="s">
        <v>1580</v>
      </c>
      <c r="AQ21" s="1259"/>
      <c r="AR21" s="1197"/>
      <c r="AS21" s="1197"/>
      <c r="AT21" s="1258" t="s">
        <v>1580</v>
      </c>
      <c r="AU21" s="1926">
        <v>1200</v>
      </c>
      <c r="AV21" s="1235">
        <v>2160</v>
      </c>
      <c r="AW21" s="1235">
        <v>1800</v>
      </c>
      <c r="AX21" s="1258">
        <v>666.66666666666663</v>
      </c>
      <c r="AY21" s="1270">
        <v>797400</v>
      </c>
      <c r="AZ21" s="968">
        <v>1929719.9999999998</v>
      </c>
      <c r="BA21" s="1271">
        <v>1608099.9999999998</v>
      </c>
    </row>
    <row r="22" spans="2:53" ht="15" customHeight="1" x14ac:dyDescent="0.2">
      <c r="B22" s="1234" t="s">
        <v>365</v>
      </c>
      <c r="C22" s="1709">
        <v>14</v>
      </c>
      <c r="D22" s="1223">
        <v>55</v>
      </c>
      <c r="E22" s="1709">
        <v>40</v>
      </c>
      <c r="F22" s="1223">
        <v>15</v>
      </c>
      <c r="G22" s="1236">
        <v>10000</v>
      </c>
      <c r="H22" s="1223"/>
      <c r="I22" s="1709"/>
      <c r="J22" s="2194"/>
      <c r="K22" s="2203">
        <v>10000</v>
      </c>
      <c r="L22" s="2028"/>
      <c r="M22" s="1709"/>
      <c r="N22" s="1691"/>
      <c r="O22" s="494"/>
      <c r="P22" s="1256" t="s">
        <v>365</v>
      </c>
      <c r="Q22" s="1257"/>
      <c r="R22" s="959"/>
      <c r="S22" s="1235"/>
      <c r="T22" s="1258"/>
      <c r="U22" s="1257">
        <v>20000</v>
      </c>
      <c r="V22" s="959">
        <v>48000</v>
      </c>
      <c r="W22" s="1709">
        <v>40000</v>
      </c>
      <c r="X22" s="1925">
        <v>500</v>
      </c>
      <c r="Y22" s="1259"/>
      <c r="Z22" s="959"/>
      <c r="AA22" s="1197"/>
      <c r="AB22" s="1258" t="s">
        <v>1580</v>
      </c>
      <c r="AC22" s="1259">
        <v>570</v>
      </c>
      <c r="AD22" s="959">
        <v>977</v>
      </c>
      <c r="AE22" s="1235">
        <v>814.28571428571433</v>
      </c>
      <c r="AF22" s="1700">
        <v>700</v>
      </c>
      <c r="AG22" s="495"/>
      <c r="AH22" s="1256" t="s">
        <v>365</v>
      </c>
      <c r="AI22" s="1257"/>
      <c r="AJ22" s="1922"/>
      <c r="AK22" s="1235"/>
      <c r="AL22" s="1258" t="s">
        <v>1580</v>
      </c>
      <c r="AM22" s="1259">
        <v>30000</v>
      </c>
      <c r="AN22" s="1235">
        <v>86400</v>
      </c>
      <c r="AO22" s="1235">
        <v>72000</v>
      </c>
      <c r="AP22" s="1258">
        <v>416.66666666666669</v>
      </c>
      <c r="AQ22" s="1259"/>
      <c r="AR22" s="1197"/>
      <c r="AS22" s="1197"/>
      <c r="AT22" s="1258" t="s">
        <v>1580</v>
      </c>
      <c r="AU22" s="1926"/>
      <c r="AV22" s="1235"/>
      <c r="AW22" s="1235"/>
      <c r="AX22" s="1258" t="s">
        <v>1580</v>
      </c>
      <c r="AY22" s="1270">
        <v>50570</v>
      </c>
      <c r="AZ22" s="968">
        <v>135377</v>
      </c>
      <c r="BA22" s="1271">
        <v>112814.28571428571</v>
      </c>
    </row>
    <row r="23" spans="2:53" ht="15" customHeight="1" x14ac:dyDescent="0.2">
      <c r="B23" s="1234" t="s">
        <v>366</v>
      </c>
      <c r="C23" s="1709">
        <v>8</v>
      </c>
      <c r="D23" s="1223">
        <v>121</v>
      </c>
      <c r="E23" s="1709">
        <v>115</v>
      </c>
      <c r="F23" s="1223">
        <v>6</v>
      </c>
      <c r="G23" s="1236">
        <v>160000</v>
      </c>
      <c r="H23" s="1223"/>
      <c r="I23" s="1709"/>
      <c r="J23" s="2194"/>
      <c r="K23" s="2203">
        <v>160000</v>
      </c>
      <c r="L23" s="2028"/>
      <c r="M23" s="1709"/>
      <c r="N23" s="1691"/>
      <c r="O23" s="494"/>
      <c r="P23" s="1256" t="s">
        <v>366</v>
      </c>
      <c r="Q23" s="1257"/>
      <c r="R23" s="959"/>
      <c r="S23" s="1261"/>
      <c r="T23" s="1258"/>
      <c r="U23" s="1257">
        <v>4300000</v>
      </c>
      <c r="V23" s="959">
        <v>11400000</v>
      </c>
      <c r="W23" s="1709">
        <v>9500000</v>
      </c>
      <c r="X23" s="1925">
        <v>452.63157894736844</v>
      </c>
      <c r="Y23" s="1259">
        <v>1650000</v>
      </c>
      <c r="Z23" s="959">
        <v>3072000</v>
      </c>
      <c r="AA23" s="1197">
        <v>2560000</v>
      </c>
      <c r="AB23" s="1258">
        <v>644.53125</v>
      </c>
      <c r="AC23" s="1259">
        <v>34500</v>
      </c>
      <c r="AD23" s="959">
        <v>81804.910418049112</v>
      </c>
      <c r="AE23" s="1235">
        <v>68170.758681707593</v>
      </c>
      <c r="AF23" s="1700">
        <v>506.08208955223876</v>
      </c>
      <c r="AG23" s="495"/>
      <c r="AH23" s="1256" t="s">
        <v>366</v>
      </c>
      <c r="AI23" s="1257"/>
      <c r="AJ23" s="1922"/>
      <c r="AK23" s="1235"/>
      <c r="AL23" s="1258" t="s">
        <v>1580</v>
      </c>
      <c r="AM23" s="1259"/>
      <c r="AN23" s="1261"/>
      <c r="AO23" s="1261"/>
      <c r="AP23" s="1258" t="s">
        <v>1580</v>
      </c>
      <c r="AQ23" s="1259">
        <v>3450</v>
      </c>
      <c r="AR23" s="1197">
        <v>9366.5158371040725</v>
      </c>
      <c r="AS23" s="1197">
        <v>7805.4298642533931</v>
      </c>
      <c r="AT23" s="1258">
        <v>442</v>
      </c>
      <c r="AU23" s="1926">
        <v>11950</v>
      </c>
      <c r="AV23" s="1235">
        <v>27600</v>
      </c>
      <c r="AW23" s="1235">
        <v>23000</v>
      </c>
      <c r="AX23" s="1258">
        <v>519.56521739130437</v>
      </c>
      <c r="AY23" s="1270">
        <v>5999900</v>
      </c>
      <c r="AZ23" s="968">
        <v>14590771.426255153</v>
      </c>
      <c r="BA23" s="1271">
        <v>12158976.188545961</v>
      </c>
    </row>
    <row r="24" spans="2:53" ht="15" customHeight="1" x14ac:dyDescent="0.2">
      <c r="B24" s="1234" t="s">
        <v>1359</v>
      </c>
      <c r="C24" s="1709">
        <v>72</v>
      </c>
      <c r="D24" s="1223">
        <v>311</v>
      </c>
      <c r="E24" s="1709">
        <v>300</v>
      </c>
      <c r="F24" s="1223">
        <v>11</v>
      </c>
      <c r="G24" s="1236">
        <v>360000</v>
      </c>
      <c r="H24" s="1223"/>
      <c r="I24" s="1709"/>
      <c r="J24" s="2194"/>
      <c r="K24" s="2203">
        <v>360000</v>
      </c>
      <c r="L24" s="2028">
        <v>19</v>
      </c>
      <c r="M24" s="1709">
        <v>510</v>
      </c>
      <c r="N24" s="1691">
        <v>116499</v>
      </c>
      <c r="O24" s="494"/>
      <c r="P24" s="1256" t="s">
        <v>1360</v>
      </c>
      <c r="Q24" s="1257">
        <v>8946000</v>
      </c>
      <c r="R24" s="959">
        <v>30000000</v>
      </c>
      <c r="S24" s="1235">
        <v>15200000</v>
      </c>
      <c r="T24" s="1258">
        <v>588.55263157894728</v>
      </c>
      <c r="U24" s="364">
        <v>450000</v>
      </c>
      <c r="V24" s="424">
        <v>1320000</v>
      </c>
      <c r="W24" s="424">
        <v>1100000</v>
      </c>
      <c r="X24" s="1925">
        <v>409.09090909090912</v>
      </c>
      <c r="Y24" s="1259"/>
      <c r="Z24" s="959"/>
      <c r="AA24" s="1197"/>
      <c r="AB24" s="1258" t="s">
        <v>1580</v>
      </c>
      <c r="AC24" s="1259"/>
      <c r="AD24" s="959"/>
      <c r="AE24" s="1260"/>
      <c r="AF24" s="1700" t="s">
        <v>1580</v>
      </c>
      <c r="AG24" s="495"/>
      <c r="AH24" s="1256" t="s">
        <v>1360</v>
      </c>
      <c r="AI24" s="1257"/>
      <c r="AJ24" s="1922"/>
      <c r="AK24" s="1235"/>
      <c r="AL24" s="1258" t="s">
        <v>1580</v>
      </c>
      <c r="AM24" s="1259"/>
      <c r="AN24" s="959"/>
      <c r="AO24" s="1235"/>
      <c r="AP24" s="1258" t="s">
        <v>1580</v>
      </c>
      <c r="AQ24" s="1259"/>
      <c r="AR24" s="959"/>
      <c r="AS24" s="1197"/>
      <c r="AT24" s="1258" t="s">
        <v>1580</v>
      </c>
      <c r="AU24" s="1259"/>
      <c r="AV24" s="959"/>
      <c r="AW24" s="1260"/>
      <c r="AX24" s="1258" t="s">
        <v>1580</v>
      </c>
      <c r="AY24" s="1270">
        <v>9396000</v>
      </c>
      <c r="AZ24" s="968">
        <v>31320000</v>
      </c>
      <c r="BA24" s="1271">
        <v>16300000</v>
      </c>
    </row>
    <row r="25" spans="2:53" ht="15" customHeight="1" x14ac:dyDescent="0.2">
      <c r="B25" s="1237" t="s">
        <v>368</v>
      </c>
      <c r="C25" s="1263">
        <v>166</v>
      </c>
      <c r="D25" s="1241">
        <v>519</v>
      </c>
      <c r="E25" s="1263">
        <v>427</v>
      </c>
      <c r="F25" s="1241">
        <v>92</v>
      </c>
      <c r="G25" s="1240">
        <v>227690</v>
      </c>
      <c r="H25" s="1263">
        <v>2</v>
      </c>
      <c r="I25" s="1241">
        <v>13</v>
      </c>
      <c r="J25" s="1240">
        <v>404</v>
      </c>
      <c r="K25" s="2204">
        <v>228094</v>
      </c>
      <c r="L25" s="985">
        <v>0</v>
      </c>
      <c r="M25" s="1241">
        <v>0</v>
      </c>
      <c r="N25" s="1692">
        <v>0</v>
      </c>
      <c r="O25" s="496"/>
      <c r="P25" s="1262" t="s">
        <v>368</v>
      </c>
      <c r="Q25" s="1224">
        <v>0</v>
      </c>
      <c r="R25" s="1263">
        <v>0</v>
      </c>
      <c r="S25" s="1238">
        <v>0</v>
      </c>
      <c r="T25" s="1264"/>
      <c r="U25" s="1224">
        <v>826500</v>
      </c>
      <c r="V25" s="1263">
        <v>2216907.692307692</v>
      </c>
      <c r="W25" s="1263">
        <v>1847423.076923077</v>
      </c>
      <c r="X25" s="1452"/>
      <c r="Y25" s="985">
        <v>0</v>
      </c>
      <c r="Z25" s="1263">
        <v>0</v>
      </c>
      <c r="AA25" s="1238">
        <v>0</v>
      </c>
      <c r="AB25" s="1264"/>
      <c r="AC25" s="985">
        <v>53080</v>
      </c>
      <c r="AD25" s="1263">
        <v>89166.892307692309</v>
      </c>
      <c r="AE25" s="1238">
        <v>74305.743589743593</v>
      </c>
      <c r="AF25" s="1701"/>
      <c r="AG25" s="497"/>
      <c r="AH25" s="1262" t="s">
        <v>368</v>
      </c>
      <c r="AI25" s="1224">
        <v>34600</v>
      </c>
      <c r="AJ25" s="1263">
        <v>46404.705882352944</v>
      </c>
      <c r="AK25" s="1238">
        <v>38670.588235294119</v>
      </c>
      <c r="AL25" s="1264"/>
      <c r="AM25" s="985">
        <v>44750</v>
      </c>
      <c r="AN25" s="1263">
        <v>130584</v>
      </c>
      <c r="AO25" s="1238">
        <v>108820</v>
      </c>
      <c r="AP25" s="1264"/>
      <c r="AQ25" s="985">
        <v>0</v>
      </c>
      <c r="AR25" s="1263">
        <v>0</v>
      </c>
      <c r="AS25" s="1238">
        <v>0</v>
      </c>
      <c r="AT25" s="1264"/>
      <c r="AU25" s="985">
        <v>1125</v>
      </c>
      <c r="AV25" s="1263">
        <v>1800</v>
      </c>
      <c r="AW25" s="1238">
        <v>1500</v>
      </c>
      <c r="AX25" s="1264"/>
      <c r="AY25" s="1239">
        <v>960055</v>
      </c>
      <c r="AZ25" s="1263">
        <v>2484863.2904977379</v>
      </c>
      <c r="BA25" s="1272">
        <v>2070719.4087481149</v>
      </c>
    </row>
    <row r="26" spans="2:53" ht="15" customHeight="1" x14ac:dyDescent="0.2">
      <c r="B26" s="1234" t="s">
        <v>1226</v>
      </c>
      <c r="C26" s="1709">
        <v>21</v>
      </c>
      <c r="D26" s="1223">
        <v>140</v>
      </c>
      <c r="E26" s="1709">
        <v>100</v>
      </c>
      <c r="F26" s="1223">
        <v>40</v>
      </c>
      <c r="G26" s="1236">
        <v>84000</v>
      </c>
      <c r="H26" s="1223">
        <v>1</v>
      </c>
      <c r="I26" s="1709">
        <v>3</v>
      </c>
      <c r="J26" s="2194">
        <v>54</v>
      </c>
      <c r="K26" s="2203">
        <v>84054</v>
      </c>
      <c r="L26" s="2028"/>
      <c r="M26" s="1709"/>
      <c r="N26" s="1691"/>
      <c r="O26" s="494"/>
      <c r="P26" s="1256" t="s">
        <v>1226</v>
      </c>
      <c r="Q26" s="1257"/>
      <c r="R26" s="959"/>
      <c r="S26" s="1235"/>
      <c r="T26" s="1258"/>
      <c r="U26" s="1257">
        <v>450000</v>
      </c>
      <c r="V26" s="968">
        <v>1200000</v>
      </c>
      <c r="W26" s="1709">
        <v>1000000</v>
      </c>
      <c r="X26" s="1925">
        <v>450</v>
      </c>
      <c r="Y26" s="1259"/>
      <c r="Z26" s="959"/>
      <c r="AA26" s="1197"/>
      <c r="AB26" s="1258" t="s">
        <v>1580</v>
      </c>
      <c r="AC26" s="1926">
        <v>36720</v>
      </c>
      <c r="AD26" s="1922">
        <v>58752</v>
      </c>
      <c r="AE26" s="1235">
        <v>48960</v>
      </c>
      <c r="AF26" s="1700">
        <v>750</v>
      </c>
      <c r="AG26" s="495"/>
      <c r="AH26" s="1256" t="s">
        <v>1226</v>
      </c>
      <c r="AI26" s="1257">
        <v>34600</v>
      </c>
      <c r="AJ26" s="1235">
        <v>46404.705882352944</v>
      </c>
      <c r="AK26" s="1235">
        <v>38670.588235294119</v>
      </c>
      <c r="AL26" s="1258">
        <v>894.73684210526312</v>
      </c>
      <c r="AM26" s="1259">
        <v>28000</v>
      </c>
      <c r="AN26" s="1235">
        <v>75264</v>
      </c>
      <c r="AO26" s="1235">
        <v>62720</v>
      </c>
      <c r="AP26" s="1258">
        <v>446.42857142857144</v>
      </c>
      <c r="AQ26" s="1259"/>
      <c r="AR26" s="959"/>
      <c r="AS26" s="1197"/>
      <c r="AT26" s="1258" t="s">
        <v>1580</v>
      </c>
      <c r="AU26" s="1926"/>
      <c r="AV26" s="1922"/>
      <c r="AW26" s="2382"/>
      <c r="AX26" s="1258" t="s">
        <v>1580</v>
      </c>
      <c r="AY26" s="1270">
        <v>549320</v>
      </c>
      <c r="AZ26" s="968">
        <v>1380420.705882353</v>
      </c>
      <c r="BA26" s="1271">
        <v>1150350.5882352942</v>
      </c>
    </row>
    <row r="27" spans="2:53" ht="15" customHeight="1" x14ac:dyDescent="0.2">
      <c r="B27" s="1234" t="s">
        <v>370</v>
      </c>
      <c r="C27" s="1709">
        <v>55</v>
      </c>
      <c r="D27" s="1223">
        <v>99</v>
      </c>
      <c r="E27" s="1709">
        <v>87</v>
      </c>
      <c r="F27" s="1223">
        <v>12</v>
      </c>
      <c r="G27" s="1236">
        <v>10890</v>
      </c>
      <c r="H27" s="1223"/>
      <c r="I27" s="1709"/>
      <c r="J27" s="2194"/>
      <c r="K27" s="2203">
        <v>10890</v>
      </c>
      <c r="L27" s="2028"/>
      <c r="M27" s="1709"/>
      <c r="N27" s="1691"/>
      <c r="O27" s="494"/>
      <c r="P27" s="1256" t="s">
        <v>370</v>
      </c>
      <c r="Q27" s="1257"/>
      <c r="R27" s="959"/>
      <c r="S27" s="1235"/>
      <c r="T27" s="1258"/>
      <c r="U27" s="1198">
        <v>200000</v>
      </c>
      <c r="V27" s="968">
        <v>571200</v>
      </c>
      <c r="W27" s="1709">
        <v>476000</v>
      </c>
      <c r="X27" s="1925">
        <v>420.16806722689074</v>
      </c>
      <c r="Y27" s="1201"/>
      <c r="Z27" s="968"/>
      <c r="AA27" s="1709"/>
      <c r="AB27" s="1258" t="s">
        <v>1580</v>
      </c>
      <c r="AC27" s="1201">
        <v>5436</v>
      </c>
      <c r="AD27" s="968">
        <v>10035.692307692307</v>
      </c>
      <c r="AE27" s="1709">
        <v>8363.076923076922</v>
      </c>
      <c r="AF27" s="1700">
        <v>650.00000000000011</v>
      </c>
      <c r="AG27" s="495"/>
      <c r="AH27" s="1256" t="s">
        <v>370</v>
      </c>
      <c r="AI27" s="1198"/>
      <c r="AJ27" s="968"/>
      <c r="AK27" s="1260"/>
      <c r="AL27" s="1258" t="s">
        <v>1580</v>
      </c>
      <c r="AM27" s="1201">
        <v>16000</v>
      </c>
      <c r="AN27" s="1235">
        <v>53760</v>
      </c>
      <c r="AO27" s="1235">
        <v>44800</v>
      </c>
      <c r="AP27" s="1258">
        <v>357.14285714285717</v>
      </c>
      <c r="AQ27" s="1201"/>
      <c r="AR27" s="968"/>
      <c r="AS27" s="1197"/>
      <c r="AT27" s="1258" t="s">
        <v>1580</v>
      </c>
      <c r="AU27" s="1201"/>
      <c r="AV27" s="968"/>
      <c r="AW27" s="2382"/>
      <c r="AX27" s="1258" t="s">
        <v>1580</v>
      </c>
      <c r="AY27" s="1270">
        <v>221436</v>
      </c>
      <c r="AZ27" s="968">
        <v>634995.69230769225</v>
      </c>
      <c r="BA27" s="1271">
        <v>529163.07692307699</v>
      </c>
    </row>
    <row r="28" spans="2:53" ht="15" customHeight="1" x14ac:dyDescent="0.2">
      <c r="B28" s="1234" t="s">
        <v>371</v>
      </c>
      <c r="C28" s="1709">
        <v>12</v>
      </c>
      <c r="D28" s="1223">
        <v>12</v>
      </c>
      <c r="E28" s="1709">
        <v>12</v>
      </c>
      <c r="F28" s="1223">
        <v>0</v>
      </c>
      <c r="G28" s="1236">
        <v>12000</v>
      </c>
      <c r="H28" s="1223"/>
      <c r="I28" s="1709"/>
      <c r="J28" s="2194"/>
      <c r="K28" s="2203">
        <v>12000</v>
      </c>
      <c r="L28" s="2028"/>
      <c r="M28" s="1709"/>
      <c r="N28" s="1691"/>
      <c r="O28" s="494"/>
      <c r="P28" s="1256" t="s">
        <v>371</v>
      </c>
      <c r="Q28" s="1257"/>
      <c r="R28" s="959"/>
      <c r="S28" s="1235"/>
      <c r="T28" s="1258"/>
      <c r="U28" s="1257">
        <v>6500</v>
      </c>
      <c r="V28" s="959">
        <v>17400</v>
      </c>
      <c r="W28" s="1709">
        <v>14500</v>
      </c>
      <c r="X28" s="1925">
        <v>448.27586206896552</v>
      </c>
      <c r="Y28" s="1259"/>
      <c r="Z28" s="959"/>
      <c r="AA28" s="1197"/>
      <c r="AB28" s="1258" t="s">
        <v>1580</v>
      </c>
      <c r="AC28" s="1926">
        <v>2356</v>
      </c>
      <c r="AD28" s="1922">
        <v>4712</v>
      </c>
      <c r="AE28" s="1235">
        <v>3926.666666666667</v>
      </c>
      <c r="AF28" s="1700">
        <v>600</v>
      </c>
      <c r="AG28" s="495"/>
      <c r="AH28" s="1256" t="s">
        <v>371</v>
      </c>
      <c r="AI28" s="1257"/>
      <c r="AJ28" s="1922"/>
      <c r="AK28" s="1235"/>
      <c r="AL28" s="1258" t="s">
        <v>1580</v>
      </c>
      <c r="AM28" s="1259">
        <v>750</v>
      </c>
      <c r="AN28" s="1235">
        <v>1560</v>
      </c>
      <c r="AO28" s="1235">
        <v>1300</v>
      </c>
      <c r="AP28" s="1258">
        <v>576.92307692307691</v>
      </c>
      <c r="AQ28" s="1259"/>
      <c r="AR28" s="959"/>
      <c r="AS28" s="1197"/>
      <c r="AT28" s="1258" t="s">
        <v>1580</v>
      </c>
      <c r="AU28" s="1926"/>
      <c r="AV28" s="1922"/>
      <c r="AW28" s="2382"/>
      <c r="AX28" s="1258" t="s">
        <v>1580</v>
      </c>
      <c r="AY28" s="1270">
        <v>9606</v>
      </c>
      <c r="AZ28" s="968">
        <v>23672</v>
      </c>
      <c r="BA28" s="1271">
        <v>19726.666666666668</v>
      </c>
    </row>
    <row r="29" spans="2:53" ht="15" customHeight="1" x14ac:dyDescent="0.2">
      <c r="B29" s="1234" t="s">
        <v>372</v>
      </c>
      <c r="C29" s="1709">
        <v>61</v>
      </c>
      <c r="D29" s="1223">
        <v>220</v>
      </c>
      <c r="E29" s="1709">
        <v>180</v>
      </c>
      <c r="F29" s="1223">
        <v>40</v>
      </c>
      <c r="G29" s="1236">
        <v>73200</v>
      </c>
      <c r="H29" s="1223">
        <v>1</v>
      </c>
      <c r="I29" s="1709">
        <v>10</v>
      </c>
      <c r="J29" s="2194">
        <v>350</v>
      </c>
      <c r="K29" s="2203">
        <v>73550</v>
      </c>
      <c r="L29" s="2028"/>
      <c r="M29" s="1709"/>
      <c r="N29" s="1691"/>
      <c r="O29" s="494"/>
      <c r="P29" s="1256" t="s">
        <v>372</v>
      </c>
      <c r="Q29" s="1257"/>
      <c r="R29" s="959"/>
      <c r="S29" s="1235"/>
      <c r="T29" s="1258"/>
      <c r="U29" s="1198">
        <v>40000</v>
      </c>
      <c r="V29" s="968">
        <v>116307.69230769233</v>
      </c>
      <c r="W29" s="1709">
        <v>96923.076923076937</v>
      </c>
      <c r="X29" s="1925">
        <v>412.6984126984126</v>
      </c>
      <c r="Y29" s="1201"/>
      <c r="Z29" s="968"/>
      <c r="AA29" s="1709"/>
      <c r="AB29" s="1258" t="s">
        <v>1580</v>
      </c>
      <c r="AC29" s="1201">
        <v>6120</v>
      </c>
      <c r="AD29" s="968">
        <v>9792</v>
      </c>
      <c r="AE29" s="1709">
        <v>8160</v>
      </c>
      <c r="AF29" s="1700">
        <v>750</v>
      </c>
      <c r="AG29" s="495"/>
      <c r="AH29" s="1256" t="s">
        <v>372</v>
      </c>
      <c r="AI29" s="1198"/>
      <c r="AJ29" s="968"/>
      <c r="AK29" s="1260"/>
      <c r="AL29" s="1258" t="s">
        <v>1580</v>
      </c>
      <c r="AM29" s="1201"/>
      <c r="AN29" s="968"/>
      <c r="AO29" s="1235"/>
      <c r="AP29" s="1258" t="s">
        <v>1580</v>
      </c>
      <c r="AQ29" s="1201"/>
      <c r="AR29" s="968"/>
      <c r="AS29" s="1197"/>
      <c r="AT29" s="1258" t="s">
        <v>1580</v>
      </c>
      <c r="AU29" s="1201">
        <v>1125</v>
      </c>
      <c r="AV29" s="1235">
        <v>1800</v>
      </c>
      <c r="AW29" s="2382">
        <v>1500</v>
      </c>
      <c r="AX29" s="1258">
        <v>750</v>
      </c>
      <c r="AY29" s="1270">
        <v>47245</v>
      </c>
      <c r="AZ29" s="968">
        <v>127899.69230769233</v>
      </c>
      <c r="BA29" s="1271">
        <v>106583.07692307694</v>
      </c>
    </row>
    <row r="30" spans="2:53" ht="15" customHeight="1" x14ac:dyDescent="0.2">
      <c r="B30" s="1234" t="s">
        <v>373</v>
      </c>
      <c r="C30" s="1709">
        <v>17</v>
      </c>
      <c r="D30" s="1223">
        <v>48</v>
      </c>
      <c r="E30" s="1709">
        <v>48</v>
      </c>
      <c r="F30" s="1223">
        <v>0</v>
      </c>
      <c r="G30" s="1236">
        <v>47600</v>
      </c>
      <c r="H30" s="1223"/>
      <c r="I30" s="1709"/>
      <c r="J30" s="2194"/>
      <c r="K30" s="2203">
        <v>47600</v>
      </c>
      <c r="L30" s="2028"/>
      <c r="M30" s="1709"/>
      <c r="N30" s="1691"/>
      <c r="O30" s="494"/>
      <c r="P30" s="1256" t="s">
        <v>373</v>
      </c>
      <c r="Q30" s="1257"/>
      <c r="R30" s="959"/>
      <c r="S30" s="1235"/>
      <c r="T30" s="1258"/>
      <c r="U30" s="1257">
        <v>130000</v>
      </c>
      <c r="V30" s="959">
        <v>312000</v>
      </c>
      <c r="W30" s="1709">
        <v>260000</v>
      </c>
      <c r="X30" s="1925">
        <v>500</v>
      </c>
      <c r="Y30" s="1259"/>
      <c r="Z30" s="959"/>
      <c r="AA30" s="1709"/>
      <c r="AB30" s="1258" t="s">
        <v>1580</v>
      </c>
      <c r="AC30" s="1926">
        <v>2448</v>
      </c>
      <c r="AD30" s="1922">
        <v>5875.2</v>
      </c>
      <c r="AE30" s="1235">
        <v>4896</v>
      </c>
      <c r="AF30" s="1700">
        <v>500</v>
      </c>
      <c r="AG30" s="495"/>
      <c r="AH30" s="1256" t="s">
        <v>373</v>
      </c>
      <c r="AI30" s="1257"/>
      <c r="AJ30" s="1922"/>
      <c r="AK30" s="1235"/>
      <c r="AL30" s="1258" t="s">
        <v>1580</v>
      </c>
      <c r="AM30" s="1259"/>
      <c r="AN30" s="959"/>
      <c r="AO30" s="1235"/>
      <c r="AP30" s="1258" t="s">
        <v>1580</v>
      </c>
      <c r="AQ30" s="1259"/>
      <c r="AR30" s="959"/>
      <c r="AS30" s="1197"/>
      <c r="AT30" s="1258" t="s">
        <v>1580</v>
      </c>
      <c r="AU30" s="1926"/>
      <c r="AV30" s="1922"/>
      <c r="AW30" s="2382"/>
      <c r="AX30" s="1258" t="s">
        <v>1580</v>
      </c>
      <c r="AY30" s="1270">
        <v>132448</v>
      </c>
      <c r="AZ30" s="968">
        <v>317875.20000000001</v>
      </c>
      <c r="BA30" s="1271">
        <v>264896</v>
      </c>
    </row>
    <row r="31" spans="2:53" ht="15" customHeight="1" x14ac:dyDescent="0.2">
      <c r="B31" s="1237" t="s">
        <v>374</v>
      </c>
      <c r="C31" s="1263">
        <v>689</v>
      </c>
      <c r="D31" s="1241">
        <v>2307</v>
      </c>
      <c r="E31" s="1263">
        <v>2008</v>
      </c>
      <c r="F31" s="1241">
        <v>299</v>
      </c>
      <c r="G31" s="1240">
        <v>6304000</v>
      </c>
      <c r="H31" s="1263">
        <v>1</v>
      </c>
      <c r="I31" s="1241">
        <v>3</v>
      </c>
      <c r="J31" s="1240">
        <v>30</v>
      </c>
      <c r="K31" s="2204">
        <v>6304030</v>
      </c>
      <c r="L31" s="985">
        <v>0</v>
      </c>
      <c r="M31" s="1241">
        <v>0</v>
      </c>
      <c r="N31" s="1692">
        <v>0</v>
      </c>
      <c r="O31" s="496"/>
      <c r="P31" s="1262" t="s">
        <v>374</v>
      </c>
      <c r="Q31" s="1224">
        <v>0</v>
      </c>
      <c r="R31" s="1263">
        <v>0</v>
      </c>
      <c r="S31" s="1238">
        <v>0</v>
      </c>
      <c r="T31" s="1265"/>
      <c r="U31" s="1224">
        <v>9372000</v>
      </c>
      <c r="V31" s="1263">
        <v>25344000</v>
      </c>
      <c r="W31" s="1263">
        <v>21120000</v>
      </c>
      <c r="X31" s="1452"/>
      <c r="Y31" s="985">
        <v>480000</v>
      </c>
      <c r="Z31" s="1263">
        <v>972000</v>
      </c>
      <c r="AA31" s="1238">
        <v>810000</v>
      </c>
      <c r="AB31" s="1265"/>
      <c r="AC31" s="985">
        <v>926310</v>
      </c>
      <c r="AD31" s="1263">
        <v>1257225.5579514825</v>
      </c>
      <c r="AE31" s="1238">
        <v>1047688.3495749533</v>
      </c>
      <c r="AF31" s="1702"/>
      <c r="AG31" s="497"/>
      <c r="AH31" s="1262" t="s">
        <v>374</v>
      </c>
      <c r="AI31" s="1224">
        <v>486510</v>
      </c>
      <c r="AJ31" s="1263">
        <v>584475</v>
      </c>
      <c r="AK31" s="1238">
        <v>487062.5</v>
      </c>
      <c r="AL31" s="1265"/>
      <c r="AM31" s="985">
        <v>396275</v>
      </c>
      <c r="AN31" s="1263">
        <v>1366474.2857142859</v>
      </c>
      <c r="AO31" s="1238">
        <v>1138728.5714285716</v>
      </c>
      <c r="AP31" s="1265"/>
      <c r="AQ31" s="985">
        <v>364204</v>
      </c>
      <c r="AR31" s="1263">
        <v>874320</v>
      </c>
      <c r="AS31" s="1238">
        <v>728600</v>
      </c>
      <c r="AT31" s="1265"/>
      <c r="AU31" s="985">
        <v>466952</v>
      </c>
      <c r="AV31" s="1263">
        <v>700428</v>
      </c>
      <c r="AW31" s="1238">
        <v>583690</v>
      </c>
      <c r="AX31" s="1265"/>
      <c r="AY31" s="1239">
        <v>12492251</v>
      </c>
      <c r="AZ31" s="1263">
        <v>31098922.843665767</v>
      </c>
      <c r="BA31" s="1272">
        <v>25915769.42100352</v>
      </c>
    </row>
    <row r="32" spans="2:53" ht="15" customHeight="1" x14ac:dyDescent="0.2">
      <c r="B32" s="2112" t="s">
        <v>375</v>
      </c>
      <c r="C32" s="1709">
        <v>175</v>
      </c>
      <c r="D32" s="1223">
        <v>826</v>
      </c>
      <c r="E32" s="1709">
        <v>711</v>
      </c>
      <c r="F32" s="1223">
        <v>115</v>
      </c>
      <c r="G32" s="1236">
        <v>2625000</v>
      </c>
      <c r="H32" s="1223"/>
      <c r="I32" s="1709"/>
      <c r="J32" s="2194"/>
      <c r="K32" s="2203">
        <v>2625000</v>
      </c>
      <c r="L32" s="2028"/>
      <c r="M32" s="1709"/>
      <c r="N32" s="1691"/>
      <c r="O32" s="498"/>
      <c r="P32" s="1256" t="s">
        <v>375</v>
      </c>
      <c r="Q32" s="1257"/>
      <c r="R32" s="959"/>
      <c r="S32" s="1235"/>
      <c r="T32" s="1258"/>
      <c r="U32" s="1975">
        <v>5200000</v>
      </c>
      <c r="V32" s="959">
        <v>14759999.999999998</v>
      </c>
      <c r="W32" s="1709">
        <v>12299999.999999998</v>
      </c>
      <c r="X32" s="1925">
        <v>422.76422764227652</v>
      </c>
      <c r="Y32" s="1259">
        <v>230000</v>
      </c>
      <c r="Z32" s="959">
        <v>456000</v>
      </c>
      <c r="AA32" s="1197">
        <v>380000</v>
      </c>
      <c r="AB32" s="1258">
        <v>605.26315789473688</v>
      </c>
      <c r="AC32" s="1259">
        <v>535000</v>
      </c>
      <c r="AD32" s="959">
        <v>666226.41509433964</v>
      </c>
      <c r="AE32" s="1197">
        <v>555188.67924528301</v>
      </c>
      <c r="AF32" s="1700">
        <v>963.63636363636363</v>
      </c>
      <c r="AG32" s="495"/>
      <c r="AH32" s="1256" t="s">
        <v>375</v>
      </c>
      <c r="AI32" s="1257">
        <v>485000</v>
      </c>
      <c r="AJ32" s="1235">
        <v>582000</v>
      </c>
      <c r="AK32" s="1235">
        <v>485000</v>
      </c>
      <c r="AL32" s="1258">
        <v>1000</v>
      </c>
      <c r="AM32" s="1259">
        <v>380000</v>
      </c>
      <c r="AN32" s="1235">
        <v>1328914.2857142859</v>
      </c>
      <c r="AO32" s="1235">
        <v>1107428.5714285716</v>
      </c>
      <c r="AP32" s="1258">
        <v>343.13725490196072</v>
      </c>
      <c r="AQ32" s="1259">
        <v>275000</v>
      </c>
      <c r="AR32" s="1197">
        <v>660000</v>
      </c>
      <c r="AS32" s="1197">
        <v>550000</v>
      </c>
      <c r="AT32" s="1258">
        <v>500</v>
      </c>
      <c r="AU32" s="1926">
        <v>464000</v>
      </c>
      <c r="AV32" s="1235">
        <v>696000</v>
      </c>
      <c r="AW32" s="1235">
        <v>580000</v>
      </c>
      <c r="AX32" s="1258">
        <v>800</v>
      </c>
      <c r="AY32" s="1270">
        <v>7569000</v>
      </c>
      <c r="AZ32" s="968">
        <v>19149140.700808626</v>
      </c>
      <c r="BA32" s="1271">
        <v>15957617.250673853</v>
      </c>
    </row>
    <row r="33" spans="2:53" ht="15" customHeight="1" x14ac:dyDescent="0.2">
      <c r="B33" s="1234" t="s">
        <v>376</v>
      </c>
      <c r="C33" s="1709">
        <v>36</v>
      </c>
      <c r="D33" s="1223">
        <v>75</v>
      </c>
      <c r="E33" s="1709">
        <v>68</v>
      </c>
      <c r="F33" s="1223">
        <v>7</v>
      </c>
      <c r="G33" s="1236">
        <v>108000</v>
      </c>
      <c r="H33" s="1223"/>
      <c r="I33" s="1709"/>
      <c r="J33" s="2194"/>
      <c r="K33" s="2203">
        <v>108000</v>
      </c>
      <c r="L33" s="2028"/>
      <c r="M33" s="1709"/>
      <c r="N33" s="1691"/>
      <c r="O33" s="494"/>
      <c r="P33" s="1256" t="s">
        <v>376</v>
      </c>
      <c r="Q33" s="1257"/>
      <c r="R33" s="959"/>
      <c r="S33" s="1235"/>
      <c r="T33" s="1258"/>
      <c r="U33" s="1257">
        <v>210000</v>
      </c>
      <c r="V33" s="959">
        <v>540000</v>
      </c>
      <c r="W33" s="1709">
        <v>450000</v>
      </c>
      <c r="X33" s="1925">
        <v>466.66666666666669</v>
      </c>
      <c r="Y33" s="1259"/>
      <c r="Z33" s="959"/>
      <c r="AA33" s="1197"/>
      <c r="AB33" s="1258" t="s">
        <v>1580</v>
      </c>
      <c r="AC33" s="1259">
        <v>1780</v>
      </c>
      <c r="AD33" s="959">
        <v>2441.1428571428569</v>
      </c>
      <c r="AE33" s="1197">
        <v>2034.2857142857142</v>
      </c>
      <c r="AF33" s="1700">
        <v>875</v>
      </c>
      <c r="AG33" s="495"/>
      <c r="AH33" s="1256" t="s">
        <v>376</v>
      </c>
      <c r="AI33" s="1257"/>
      <c r="AJ33" s="1235"/>
      <c r="AK33" s="1235"/>
      <c r="AL33" s="1258" t="s">
        <v>1580</v>
      </c>
      <c r="AM33" s="1259"/>
      <c r="AN33" s="1235"/>
      <c r="AO33" s="1235"/>
      <c r="AP33" s="1258" t="s">
        <v>1580</v>
      </c>
      <c r="AQ33" s="1259"/>
      <c r="AR33" s="1197"/>
      <c r="AS33" s="1197"/>
      <c r="AT33" s="1258" t="s">
        <v>1580</v>
      </c>
      <c r="AU33" s="1926"/>
      <c r="AV33" s="1235"/>
      <c r="AW33" s="1235"/>
      <c r="AX33" s="1258" t="s">
        <v>1580</v>
      </c>
      <c r="AY33" s="1270">
        <v>211780</v>
      </c>
      <c r="AZ33" s="968">
        <v>542441.14285714284</v>
      </c>
      <c r="BA33" s="1271">
        <v>452034.28571428574</v>
      </c>
    </row>
    <row r="34" spans="2:53" ht="15" customHeight="1" x14ac:dyDescent="0.2">
      <c r="B34" s="1234" t="s">
        <v>377</v>
      </c>
      <c r="C34" s="1709">
        <v>22</v>
      </c>
      <c r="D34" s="1223">
        <v>45</v>
      </c>
      <c r="E34" s="1709">
        <v>44</v>
      </c>
      <c r="F34" s="1223">
        <v>1</v>
      </c>
      <c r="G34" s="1236">
        <v>198000</v>
      </c>
      <c r="H34" s="1223">
        <v>1</v>
      </c>
      <c r="I34" s="1709">
        <v>3</v>
      </c>
      <c r="J34" s="2194">
        <v>30</v>
      </c>
      <c r="K34" s="2203">
        <v>198030</v>
      </c>
      <c r="L34" s="2028"/>
      <c r="M34" s="1709"/>
      <c r="N34" s="1691"/>
      <c r="O34" s="494"/>
      <c r="P34" s="1256" t="s">
        <v>377</v>
      </c>
      <c r="Q34" s="1257"/>
      <c r="R34" s="959"/>
      <c r="S34" s="1235"/>
      <c r="T34" s="1258"/>
      <c r="U34" s="1257">
        <v>100000</v>
      </c>
      <c r="V34" s="959">
        <v>252000.00000000003</v>
      </c>
      <c r="W34" s="1709">
        <v>210000.00000000003</v>
      </c>
      <c r="X34" s="1925">
        <v>476.19047619047609</v>
      </c>
      <c r="Y34" s="1259"/>
      <c r="Z34" s="959"/>
      <c r="AA34" s="1197"/>
      <c r="AB34" s="1258" t="s">
        <v>1580</v>
      </c>
      <c r="AC34" s="1259">
        <v>31800</v>
      </c>
      <c r="AD34" s="959">
        <v>39138</v>
      </c>
      <c r="AE34" s="1197">
        <v>32615.384615384613</v>
      </c>
      <c r="AF34" s="1700">
        <v>975.00000000000011</v>
      </c>
      <c r="AG34" s="495"/>
      <c r="AH34" s="1256" t="s">
        <v>377</v>
      </c>
      <c r="AI34" s="1257"/>
      <c r="AJ34" s="1235"/>
      <c r="AK34" s="1235"/>
      <c r="AL34" s="1258" t="s">
        <v>1580</v>
      </c>
      <c r="AM34" s="1259"/>
      <c r="AN34" s="1235"/>
      <c r="AO34" s="1235"/>
      <c r="AP34" s="1258" t="s">
        <v>1580</v>
      </c>
      <c r="AQ34" s="1259"/>
      <c r="AR34" s="1197"/>
      <c r="AS34" s="1197"/>
      <c r="AT34" s="1258" t="s">
        <v>1580</v>
      </c>
      <c r="AU34" s="1926"/>
      <c r="AV34" s="1235"/>
      <c r="AW34" s="1235"/>
      <c r="AX34" s="1258" t="s">
        <v>1580</v>
      </c>
      <c r="AY34" s="1270">
        <v>131800</v>
      </c>
      <c r="AZ34" s="968">
        <v>291138</v>
      </c>
      <c r="BA34" s="1271">
        <v>242615.38461538465</v>
      </c>
    </row>
    <row r="35" spans="2:53" ht="15" customHeight="1" x14ac:dyDescent="0.2">
      <c r="B35" s="2112" t="s">
        <v>378</v>
      </c>
      <c r="C35" s="1709">
        <v>202</v>
      </c>
      <c r="D35" s="1223">
        <v>775</v>
      </c>
      <c r="E35" s="1709">
        <v>680</v>
      </c>
      <c r="F35" s="1223">
        <v>95</v>
      </c>
      <c r="G35" s="1236">
        <v>2222000</v>
      </c>
      <c r="H35" s="1223"/>
      <c r="I35" s="1709"/>
      <c r="J35" s="2194"/>
      <c r="K35" s="2203">
        <v>2222000</v>
      </c>
      <c r="L35" s="2028"/>
      <c r="M35" s="1709"/>
      <c r="N35" s="1691"/>
      <c r="O35" s="494"/>
      <c r="P35" s="1256" t="s">
        <v>378</v>
      </c>
      <c r="Q35" s="1257"/>
      <c r="R35" s="959"/>
      <c r="S35" s="1235"/>
      <c r="T35" s="1258"/>
      <c r="U35" s="1257">
        <v>3200000</v>
      </c>
      <c r="V35" s="959">
        <v>8040000</v>
      </c>
      <c r="W35" s="1709">
        <v>6700000</v>
      </c>
      <c r="X35" s="1925">
        <v>477.61194029850748</v>
      </c>
      <c r="Y35" s="1259">
        <v>250000</v>
      </c>
      <c r="Z35" s="959">
        <v>516000</v>
      </c>
      <c r="AA35" s="1197">
        <v>430000</v>
      </c>
      <c r="AB35" s="1258">
        <v>581.39534883720933</v>
      </c>
      <c r="AC35" s="1259">
        <v>244800</v>
      </c>
      <c r="AD35" s="959">
        <v>293760</v>
      </c>
      <c r="AE35" s="1197">
        <v>244800</v>
      </c>
      <c r="AF35" s="1700">
        <v>1000</v>
      </c>
      <c r="AG35" s="495"/>
      <c r="AH35" s="1256" t="s">
        <v>378</v>
      </c>
      <c r="AI35" s="1257"/>
      <c r="AJ35" s="1235"/>
      <c r="AK35" s="1235"/>
      <c r="AL35" s="1258" t="s">
        <v>1580</v>
      </c>
      <c r="AM35" s="1259"/>
      <c r="AN35" s="1235"/>
      <c r="AO35" s="1235"/>
      <c r="AP35" s="1258" t="s">
        <v>1580</v>
      </c>
      <c r="AQ35" s="1259">
        <v>87400</v>
      </c>
      <c r="AR35" s="1197">
        <v>209760</v>
      </c>
      <c r="AS35" s="1197">
        <v>174800</v>
      </c>
      <c r="AT35" s="1258">
        <v>500</v>
      </c>
      <c r="AU35" s="1926"/>
      <c r="AV35" s="1235"/>
      <c r="AW35" s="1235"/>
      <c r="AX35" s="1258" t="s">
        <v>1580</v>
      </c>
      <c r="AY35" s="1270">
        <v>3782200</v>
      </c>
      <c r="AZ35" s="968">
        <v>9059520</v>
      </c>
      <c r="BA35" s="1271">
        <v>7549600</v>
      </c>
    </row>
    <row r="36" spans="2:53" ht="15" customHeight="1" x14ac:dyDescent="0.2">
      <c r="B36" s="1234" t="s">
        <v>379</v>
      </c>
      <c r="C36" s="1709">
        <v>41</v>
      </c>
      <c r="D36" s="1223">
        <v>135</v>
      </c>
      <c r="E36" s="1709">
        <v>100</v>
      </c>
      <c r="F36" s="1223">
        <v>35</v>
      </c>
      <c r="G36" s="1236">
        <v>205000</v>
      </c>
      <c r="H36" s="1223"/>
      <c r="I36" s="1709"/>
      <c r="J36" s="2194"/>
      <c r="K36" s="2203">
        <v>205000</v>
      </c>
      <c r="L36" s="2028"/>
      <c r="M36" s="1709"/>
      <c r="N36" s="1691"/>
      <c r="O36" s="494"/>
      <c r="P36" s="1256" t="s">
        <v>379</v>
      </c>
      <c r="Q36" s="1257"/>
      <c r="R36" s="959"/>
      <c r="S36" s="1235"/>
      <c r="T36" s="1258"/>
      <c r="U36" s="1257">
        <v>210000</v>
      </c>
      <c r="V36" s="959">
        <v>540000</v>
      </c>
      <c r="W36" s="1709">
        <v>450000</v>
      </c>
      <c r="X36" s="1925">
        <v>466.66666666666669</v>
      </c>
      <c r="Y36" s="1259"/>
      <c r="Z36" s="959"/>
      <c r="AA36" s="1197"/>
      <c r="AB36" s="1258" t="s">
        <v>1580</v>
      </c>
      <c r="AC36" s="1259">
        <v>101000</v>
      </c>
      <c r="AD36" s="959">
        <v>240000</v>
      </c>
      <c r="AE36" s="1197">
        <v>200000</v>
      </c>
      <c r="AF36" s="1700">
        <v>505</v>
      </c>
      <c r="AG36" s="495"/>
      <c r="AH36" s="1256" t="s">
        <v>379</v>
      </c>
      <c r="AI36" s="1257">
        <v>510</v>
      </c>
      <c r="AJ36" s="1235">
        <v>1275</v>
      </c>
      <c r="AK36" s="1235">
        <v>1062.5</v>
      </c>
      <c r="AL36" s="1258">
        <v>480</v>
      </c>
      <c r="AM36" s="1259">
        <v>5700</v>
      </c>
      <c r="AN36" s="1235">
        <v>13199.999999999998</v>
      </c>
      <c r="AO36" s="1235">
        <v>10999.999999999998</v>
      </c>
      <c r="AP36" s="1258">
        <v>518.18181818181824</v>
      </c>
      <c r="AQ36" s="1259">
        <v>304</v>
      </c>
      <c r="AR36" s="1197">
        <v>960</v>
      </c>
      <c r="AS36" s="1197">
        <v>800</v>
      </c>
      <c r="AT36" s="1258">
        <v>380</v>
      </c>
      <c r="AU36" s="1926"/>
      <c r="AV36" s="1235"/>
      <c r="AW36" s="1235"/>
      <c r="AX36" s="1258" t="s">
        <v>1580</v>
      </c>
      <c r="AY36" s="1270">
        <v>317514</v>
      </c>
      <c r="AZ36" s="968">
        <v>795435</v>
      </c>
      <c r="BA36" s="1271">
        <v>662862.5</v>
      </c>
    </row>
    <row r="37" spans="2:53" ht="15" customHeight="1" x14ac:dyDescent="0.2">
      <c r="B37" s="1234" t="s">
        <v>380</v>
      </c>
      <c r="C37" s="1709">
        <v>65</v>
      </c>
      <c r="D37" s="1223">
        <v>133</v>
      </c>
      <c r="E37" s="1709">
        <v>122</v>
      </c>
      <c r="F37" s="1223">
        <v>11</v>
      </c>
      <c r="G37" s="1236">
        <v>585000</v>
      </c>
      <c r="H37" s="1223"/>
      <c r="I37" s="1709"/>
      <c r="J37" s="2194"/>
      <c r="K37" s="2203">
        <v>585000</v>
      </c>
      <c r="L37" s="2028"/>
      <c r="M37" s="1709"/>
      <c r="N37" s="1691"/>
      <c r="O37" s="494"/>
      <c r="P37" s="1256" t="s">
        <v>380</v>
      </c>
      <c r="Q37" s="1257"/>
      <c r="R37" s="959"/>
      <c r="S37" s="1235"/>
      <c r="T37" s="1258"/>
      <c r="U37" s="1198">
        <v>150000</v>
      </c>
      <c r="V37" s="968">
        <v>420000</v>
      </c>
      <c r="W37" s="1709">
        <v>350000</v>
      </c>
      <c r="X37" s="1925">
        <v>428.57142857142856</v>
      </c>
      <c r="Y37" s="1201"/>
      <c r="Z37" s="968"/>
      <c r="AA37" s="1709"/>
      <c r="AB37" s="1258" t="s">
        <v>1580</v>
      </c>
      <c r="AC37" s="1201">
        <v>7450</v>
      </c>
      <c r="AD37" s="968">
        <v>8940</v>
      </c>
      <c r="AE37" s="968">
        <v>7450</v>
      </c>
      <c r="AF37" s="1700">
        <v>1000</v>
      </c>
      <c r="AG37" s="495"/>
      <c r="AH37" s="1256" t="s">
        <v>380</v>
      </c>
      <c r="AI37" s="1198"/>
      <c r="AJ37" s="1235"/>
      <c r="AK37" s="1235"/>
      <c r="AL37" s="1258" t="s">
        <v>1580</v>
      </c>
      <c r="AM37" s="1201">
        <v>3575</v>
      </c>
      <c r="AN37" s="1235">
        <v>7800</v>
      </c>
      <c r="AO37" s="1235">
        <v>6500</v>
      </c>
      <c r="AP37" s="1258">
        <v>550</v>
      </c>
      <c r="AQ37" s="1201"/>
      <c r="AR37" s="1197"/>
      <c r="AS37" s="1197"/>
      <c r="AT37" s="1258" t="s">
        <v>1580</v>
      </c>
      <c r="AU37" s="1201"/>
      <c r="AV37" s="1260"/>
      <c r="AW37" s="1260"/>
      <c r="AX37" s="1258" t="s">
        <v>1580</v>
      </c>
      <c r="AY37" s="1270">
        <v>161025</v>
      </c>
      <c r="AZ37" s="968">
        <v>436740</v>
      </c>
      <c r="BA37" s="1271">
        <v>363950</v>
      </c>
    </row>
    <row r="38" spans="2:53" ht="15" customHeight="1" x14ac:dyDescent="0.2">
      <c r="B38" s="1234" t="s">
        <v>381</v>
      </c>
      <c r="C38" s="1709">
        <v>65</v>
      </c>
      <c r="D38" s="1223">
        <v>116</v>
      </c>
      <c r="E38" s="1709">
        <v>101</v>
      </c>
      <c r="F38" s="1223">
        <v>15</v>
      </c>
      <c r="G38" s="1236">
        <v>195000</v>
      </c>
      <c r="H38" s="1223"/>
      <c r="I38" s="1709"/>
      <c r="J38" s="2194"/>
      <c r="K38" s="2203">
        <v>195000</v>
      </c>
      <c r="L38" s="2028"/>
      <c r="M38" s="1709"/>
      <c r="N38" s="1691"/>
      <c r="O38" s="494"/>
      <c r="P38" s="1256" t="s">
        <v>381</v>
      </c>
      <c r="Q38" s="1257"/>
      <c r="R38" s="959"/>
      <c r="S38" s="1235"/>
      <c r="T38" s="1258"/>
      <c r="U38" s="1257">
        <v>122000</v>
      </c>
      <c r="V38" s="959">
        <v>360000</v>
      </c>
      <c r="W38" s="1709">
        <v>300000</v>
      </c>
      <c r="X38" s="1925">
        <v>406.66666666666669</v>
      </c>
      <c r="Y38" s="1259"/>
      <c r="Z38" s="959"/>
      <c r="AA38" s="1197"/>
      <c r="AB38" s="1258" t="s">
        <v>1580</v>
      </c>
      <c r="AC38" s="1926"/>
      <c r="AD38" s="1922"/>
      <c r="AE38" s="1197"/>
      <c r="AF38" s="1700" t="s">
        <v>1580</v>
      </c>
      <c r="AG38" s="495"/>
      <c r="AH38" s="1256" t="s">
        <v>381</v>
      </c>
      <c r="AI38" s="1257">
        <v>1000</v>
      </c>
      <c r="AJ38" s="1235">
        <v>1200</v>
      </c>
      <c r="AK38" s="1235">
        <v>1000</v>
      </c>
      <c r="AL38" s="1258">
        <v>1000</v>
      </c>
      <c r="AM38" s="1259">
        <v>7000</v>
      </c>
      <c r="AN38" s="1235">
        <v>16560</v>
      </c>
      <c r="AO38" s="1235">
        <v>13799.999999999998</v>
      </c>
      <c r="AP38" s="1258">
        <v>507.24637681159425</v>
      </c>
      <c r="AQ38" s="1259"/>
      <c r="AR38" s="1197"/>
      <c r="AS38" s="1197"/>
      <c r="AT38" s="1258" t="s">
        <v>1580</v>
      </c>
      <c r="AU38" s="1926">
        <v>2952</v>
      </c>
      <c r="AV38" s="1235">
        <v>4428</v>
      </c>
      <c r="AW38" s="1235">
        <v>3690</v>
      </c>
      <c r="AX38" s="1258">
        <v>800</v>
      </c>
      <c r="AY38" s="1270">
        <v>132952</v>
      </c>
      <c r="AZ38" s="968">
        <v>382188</v>
      </c>
      <c r="BA38" s="1271">
        <v>318490</v>
      </c>
    </row>
    <row r="39" spans="2:53" ht="15" customHeight="1" x14ac:dyDescent="0.2">
      <c r="B39" s="1234" t="s">
        <v>382</v>
      </c>
      <c r="C39" s="1709">
        <v>83</v>
      </c>
      <c r="D39" s="1223">
        <v>202</v>
      </c>
      <c r="E39" s="1709">
        <v>182</v>
      </c>
      <c r="F39" s="1223">
        <v>20</v>
      </c>
      <c r="G39" s="1236">
        <v>166000</v>
      </c>
      <c r="H39" s="1223"/>
      <c r="I39" s="1709"/>
      <c r="J39" s="2194"/>
      <c r="K39" s="2203">
        <v>166000</v>
      </c>
      <c r="L39" s="2028"/>
      <c r="M39" s="1709"/>
      <c r="N39" s="1691"/>
      <c r="O39" s="494"/>
      <c r="P39" s="1256" t="s">
        <v>382</v>
      </c>
      <c r="Q39" s="1257"/>
      <c r="R39" s="959"/>
      <c r="S39" s="1235"/>
      <c r="T39" s="1258"/>
      <c r="U39" s="1257">
        <v>180000</v>
      </c>
      <c r="V39" s="959">
        <v>432000</v>
      </c>
      <c r="W39" s="1709">
        <v>360000</v>
      </c>
      <c r="X39" s="1925">
        <v>500</v>
      </c>
      <c r="Y39" s="1259"/>
      <c r="Z39" s="959"/>
      <c r="AA39" s="1197"/>
      <c r="AB39" s="1258" t="s">
        <v>1580</v>
      </c>
      <c r="AC39" s="1926">
        <v>4480</v>
      </c>
      <c r="AD39" s="1922">
        <v>6720</v>
      </c>
      <c r="AE39" s="1197">
        <v>5600</v>
      </c>
      <c r="AF39" s="1700">
        <v>800</v>
      </c>
      <c r="AG39" s="495"/>
      <c r="AH39" s="1256" t="s">
        <v>382</v>
      </c>
      <c r="AI39" s="1257"/>
      <c r="AJ39" s="1235"/>
      <c r="AK39" s="1235"/>
      <c r="AL39" s="1258" t="s">
        <v>1580</v>
      </c>
      <c r="AM39" s="1259"/>
      <c r="AN39" s="1235"/>
      <c r="AO39" s="1235"/>
      <c r="AP39" s="1258" t="s">
        <v>1580</v>
      </c>
      <c r="AQ39" s="1259">
        <v>1500</v>
      </c>
      <c r="AR39" s="1197">
        <v>3600</v>
      </c>
      <c r="AS39" s="1197">
        <v>3000</v>
      </c>
      <c r="AT39" s="1258">
        <v>500</v>
      </c>
      <c r="AU39" s="1926"/>
      <c r="AV39" s="1922"/>
      <c r="AW39" s="1235"/>
      <c r="AX39" s="1258" t="s">
        <v>1580</v>
      </c>
      <c r="AY39" s="1270">
        <v>185980</v>
      </c>
      <c r="AZ39" s="968">
        <v>442320</v>
      </c>
      <c r="BA39" s="1271">
        <v>368600</v>
      </c>
    </row>
    <row r="40" spans="2:53" ht="15" customHeight="1" x14ac:dyDescent="0.2">
      <c r="B40" s="1237" t="s">
        <v>383</v>
      </c>
      <c r="C40" s="1263">
        <v>508</v>
      </c>
      <c r="D40" s="1241">
        <v>1220</v>
      </c>
      <c r="E40" s="1263">
        <v>1045</v>
      </c>
      <c r="F40" s="1241">
        <v>175</v>
      </c>
      <c r="G40" s="1240">
        <v>500310</v>
      </c>
      <c r="H40" s="1263">
        <v>0</v>
      </c>
      <c r="I40" s="1241">
        <v>0</v>
      </c>
      <c r="J40" s="1240">
        <v>0</v>
      </c>
      <c r="K40" s="2204">
        <v>500310</v>
      </c>
      <c r="L40" s="985">
        <v>0</v>
      </c>
      <c r="M40" s="1241">
        <v>0</v>
      </c>
      <c r="N40" s="1692">
        <v>0</v>
      </c>
      <c r="O40" s="496"/>
      <c r="P40" s="1262" t="s">
        <v>383</v>
      </c>
      <c r="Q40" s="1224">
        <v>0</v>
      </c>
      <c r="R40" s="1263">
        <v>0</v>
      </c>
      <c r="S40" s="1238">
        <v>0</v>
      </c>
      <c r="T40" s="1265"/>
      <c r="U40" s="1224">
        <v>1459140</v>
      </c>
      <c r="V40" s="1263">
        <v>3898628.5714285718</v>
      </c>
      <c r="W40" s="1263">
        <v>3248857.1428571427</v>
      </c>
      <c r="X40" s="1452"/>
      <c r="Y40" s="985">
        <v>8660</v>
      </c>
      <c r="Z40" s="1263">
        <v>21349.333333333336</v>
      </c>
      <c r="AA40" s="1238">
        <v>17791.111111111109</v>
      </c>
      <c r="AB40" s="1265"/>
      <c r="AC40" s="985">
        <v>201982</v>
      </c>
      <c r="AD40" s="1263">
        <v>367719.30845231778</v>
      </c>
      <c r="AE40" s="1238">
        <v>306432.75704359822</v>
      </c>
      <c r="AF40" s="1702"/>
      <c r="AG40" s="497"/>
      <c r="AH40" s="1262" t="s">
        <v>383</v>
      </c>
      <c r="AI40" s="1224">
        <v>7160</v>
      </c>
      <c r="AJ40" s="1263">
        <v>13080.829726987295</v>
      </c>
      <c r="AK40" s="1238">
        <v>10900.691439156079</v>
      </c>
      <c r="AL40" s="1265"/>
      <c r="AM40" s="985">
        <v>468900</v>
      </c>
      <c r="AN40" s="1263">
        <v>1111602.3722943722</v>
      </c>
      <c r="AO40" s="1238">
        <v>926335.31024531019</v>
      </c>
      <c r="AP40" s="1265"/>
      <c r="AQ40" s="985">
        <v>5471.9</v>
      </c>
      <c r="AR40" s="1263">
        <v>13146.566037735849</v>
      </c>
      <c r="AS40" s="1238">
        <v>10955.471698113208</v>
      </c>
      <c r="AT40" s="1265"/>
      <c r="AU40" s="985">
        <v>2618</v>
      </c>
      <c r="AV40" s="1263">
        <v>8167.6491228070181</v>
      </c>
      <c r="AW40" s="1238">
        <v>6806.3742690058489</v>
      </c>
      <c r="AX40" s="1265"/>
      <c r="AY40" s="1239">
        <v>2153931.9</v>
      </c>
      <c r="AZ40" s="1263">
        <v>5433694.6303961249</v>
      </c>
      <c r="BA40" s="1272">
        <v>4528078.8586634379</v>
      </c>
    </row>
    <row r="41" spans="2:53" ht="15" customHeight="1" x14ac:dyDescent="0.2">
      <c r="B41" s="1234" t="s">
        <v>1361</v>
      </c>
      <c r="C41" s="1709">
        <v>90</v>
      </c>
      <c r="D41" s="1223">
        <v>305</v>
      </c>
      <c r="E41" s="1709">
        <v>250</v>
      </c>
      <c r="F41" s="1223">
        <v>55</v>
      </c>
      <c r="G41" s="1236">
        <v>124110</v>
      </c>
      <c r="H41" s="1223"/>
      <c r="I41" s="1709"/>
      <c r="J41" s="2194"/>
      <c r="K41" s="2203">
        <v>124110</v>
      </c>
      <c r="L41" s="2028"/>
      <c r="M41" s="1709"/>
      <c r="N41" s="1691"/>
      <c r="O41" s="494"/>
      <c r="P41" s="1256" t="s">
        <v>384</v>
      </c>
      <c r="Q41" s="1257"/>
      <c r="R41" s="959"/>
      <c r="S41" s="1235"/>
      <c r="T41" s="1258"/>
      <c r="U41" s="1198">
        <v>850000</v>
      </c>
      <c r="V41" s="968">
        <v>2244000.0000000005</v>
      </c>
      <c r="W41" s="1709">
        <v>1870000.0000000002</v>
      </c>
      <c r="X41" s="1925">
        <v>454.54545454545445</v>
      </c>
      <c r="Y41" s="1201"/>
      <c r="Z41" s="968"/>
      <c r="AA41" s="1709"/>
      <c r="AB41" s="1258" t="s">
        <v>1580</v>
      </c>
      <c r="AC41" s="1201">
        <v>50200</v>
      </c>
      <c r="AD41" s="968">
        <v>70870.588235294126</v>
      </c>
      <c r="AE41" s="1709">
        <v>59058.823529411769</v>
      </c>
      <c r="AF41" s="1700">
        <v>850</v>
      </c>
      <c r="AG41" s="495"/>
      <c r="AH41" s="1256" t="s">
        <v>384</v>
      </c>
      <c r="AI41" s="1198">
        <v>3620</v>
      </c>
      <c r="AJ41" s="1235">
        <v>4713.5459154929576</v>
      </c>
      <c r="AK41" s="1235">
        <v>3927.9549295774646</v>
      </c>
      <c r="AL41" s="1258">
        <v>921.59916926272069</v>
      </c>
      <c r="AM41" s="1201">
        <v>130000</v>
      </c>
      <c r="AN41" s="1235">
        <v>323142.8571428571</v>
      </c>
      <c r="AO41" s="1235">
        <v>269285.71428571426</v>
      </c>
      <c r="AP41" s="1258">
        <v>482.75862068965517</v>
      </c>
      <c r="AQ41" s="1201">
        <v>252</v>
      </c>
      <c r="AR41" s="1235">
        <v>570.56603773584902</v>
      </c>
      <c r="AS41" s="1235">
        <v>475.47169811320754</v>
      </c>
      <c r="AT41" s="1258">
        <v>530</v>
      </c>
      <c r="AU41" s="1201">
        <v>2415</v>
      </c>
      <c r="AV41" s="1235">
        <v>7626.3157894736851</v>
      </c>
      <c r="AW41" s="1235">
        <v>6355.2631578947376</v>
      </c>
      <c r="AX41" s="1258">
        <v>379.99999999999994</v>
      </c>
      <c r="AY41" s="1270">
        <v>1036487</v>
      </c>
      <c r="AZ41" s="968">
        <v>2650923.8731208541</v>
      </c>
      <c r="BA41" s="1271">
        <v>2209103.2276007119</v>
      </c>
    </row>
    <row r="42" spans="2:53" ht="15" customHeight="1" x14ac:dyDescent="0.2">
      <c r="B42" s="1234" t="s">
        <v>385</v>
      </c>
      <c r="C42" s="1709">
        <v>89</v>
      </c>
      <c r="D42" s="1223">
        <v>154</v>
      </c>
      <c r="E42" s="1709">
        <v>129</v>
      </c>
      <c r="F42" s="1223">
        <v>25</v>
      </c>
      <c r="G42" s="1236">
        <v>80100</v>
      </c>
      <c r="H42" s="1223"/>
      <c r="I42" s="1709"/>
      <c r="J42" s="2194"/>
      <c r="K42" s="2203">
        <v>80100</v>
      </c>
      <c r="L42" s="2028"/>
      <c r="M42" s="1709"/>
      <c r="N42" s="1691"/>
      <c r="O42" s="494"/>
      <c r="P42" s="1256" t="s">
        <v>385</v>
      </c>
      <c r="Q42" s="1257"/>
      <c r="R42" s="959"/>
      <c r="S42" s="1261"/>
      <c r="T42" s="1258"/>
      <c r="U42" s="1257">
        <v>110000</v>
      </c>
      <c r="V42" s="959">
        <v>384000</v>
      </c>
      <c r="W42" s="1709">
        <v>320000</v>
      </c>
      <c r="X42" s="1925">
        <v>343.75</v>
      </c>
      <c r="Y42" s="1259">
        <v>1150</v>
      </c>
      <c r="Z42" s="959">
        <v>2760</v>
      </c>
      <c r="AA42" s="1197">
        <v>2300</v>
      </c>
      <c r="AB42" s="1258">
        <v>500</v>
      </c>
      <c r="AC42" s="1926">
        <v>55080</v>
      </c>
      <c r="AD42" s="1922">
        <v>146880</v>
      </c>
      <c r="AE42" s="1235">
        <v>122400</v>
      </c>
      <c r="AF42" s="1700">
        <v>450</v>
      </c>
      <c r="AG42" s="495"/>
      <c r="AH42" s="1256" t="s">
        <v>385</v>
      </c>
      <c r="AI42" s="1257">
        <v>1220</v>
      </c>
      <c r="AJ42" s="1235">
        <v>3660</v>
      </c>
      <c r="AK42" s="1235">
        <v>3050</v>
      </c>
      <c r="AL42" s="1258">
        <v>400</v>
      </c>
      <c r="AM42" s="1259">
        <v>5000</v>
      </c>
      <c r="AN42" s="1261">
        <v>12000</v>
      </c>
      <c r="AO42" s="1261">
        <v>10000</v>
      </c>
      <c r="AP42" s="1258">
        <v>500</v>
      </c>
      <c r="AQ42" s="1259">
        <v>5000</v>
      </c>
      <c r="AR42" s="1197">
        <v>12000</v>
      </c>
      <c r="AS42" s="1197">
        <v>10000</v>
      </c>
      <c r="AT42" s="1258">
        <v>500</v>
      </c>
      <c r="AU42" s="1926"/>
      <c r="AV42" s="1235"/>
      <c r="AW42" s="1235"/>
      <c r="AX42" s="1258" t="s">
        <v>1580</v>
      </c>
      <c r="AY42" s="1270">
        <v>177450</v>
      </c>
      <c r="AZ42" s="968">
        <v>561300</v>
      </c>
      <c r="BA42" s="1271">
        <v>467750</v>
      </c>
    </row>
    <row r="43" spans="2:53" ht="15" customHeight="1" x14ac:dyDescent="0.2">
      <c r="B43" s="1234" t="s">
        <v>386</v>
      </c>
      <c r="C43" s="1709">
        <v>8</v>
      </c>
      <c r="D43" s="1223">
        <v>13</v>
      </c>
      <c r="E43" s="1709">
        <v>13</v>
      </c>
      <c r="F43" s="1223">
        <v>0</v>
      </c>
      <c r="G43" s="1236">
        <v>7200</v>
      </c>
      <c r="H43" s="1223"/>
      <c r="I43" s="1709"/>
      <c r="J43" s="2194"/>
      <c r="K43" s="2203">
        <v>7200</v>
      </c>
      <c r="L43" s="2028"/>
      <c r="M43" s="1709"/>
      <c r="N43" s="1691"/>
      <c r="O43" s="494"/>
      <c r="P43" s="1256" t="s">
        <v>386</v>
      </c>
      <c r="Q43" s="1257"/>
      <c r="R43" s="959"/>
      <c r="S43" s="1235"/>
      <c r="T43" s="1258"/>
      <c r="U43" s="1257">
        <v>90000</v>
      </c>
      <c r="V43" s="959">
        <v>224400</v>
      </c>
      <c r="W43" s="1709">
        <v>187000</v>
      </c>
      <c r="X43" s="1925">
        <v>481.28342245989302</v>
      </c>
      <c r="Y43" s="1259"/>
      <c r="Z43" s="959"/>
      <c r="AA43" s="1197"/>
      <c r="AB43" s="1258" t="s">
        <v>1580</v>
      </c>
      <c r="AC43" s="1926">
        <v>2514</v>
      </c>
      <c r="AD43" s="1922">
        <v>5692.0754716981128</v>
      </c>
      <c r="AE43" s="1235">
        <v>4743.3962264150941</v>
      </c>
      <c r="AF43" s="1700">
        <v>530</v>
      </c>
      <c r="AG43" s="495"/>
      <c r="AH43" s="1256" t="s">
        <v>386</v>
      </c>
      <c r="AI43" s="1257">
        <v>105</v>
      </c>
      <c r="AJ43" s="1235">
        <v>179.23186344238979</v>
      </c>
      <c r="AK43" s="1235">
        <v>149.35988620199149</v>
      </c>
      <c r="AL43" s="1258">
        <v>702.99999999999989</v>
      </c>
      <c r="AM43" s="1259">
        <v>1000</v>
      </c>
      <c r="AN43" s="1235">
        <v>2400</v>
      </c>
      <c r="AO43" s="1235">
        <v>2000</v>
      </c>
      <c r="AP43" s="1258">
        <v>500</v>
      </c>
      <c r="AQ43" s="1201">
        <v>138.9</v>
      </c>
      <c r="AR43" s="1235">
        <v>360</v>
      </c>
      <c r="AS43" s="1235">
        <v>300</v>
      </c>
      <c r="AT43" s="1258">
        <v>463</v>
      </c>
      <c r="AU43" s="1926"/>
      <c r="AV43" s="1235"/>
      <c r="AW43" s="1235"/>
      <c r="AX43" s="1258" t="s">
        <v>1580</v>
      </c>
      <c r="AY43" s="1270">
        <v>93757.9</v>
      </c>
      <c r="AZ43" s="968">
        <v>233031.3073351405</v>
      </c>
      <c r="BA43" s="1271">
        <v>194192.75611261709</v>
      </c>
    </row>
    <row r="44" spans="2:53" ht="15" customHeight="1" x14ac:dyDescent="0.2">
      <c r="B44" s="1234" t="s">
        <v>387</v>
      </c>
      <c r="C44" s="1709">
        <v>88</v>
      </c>
      <c r="D44" s="1223">
        <v>136</v>
      </c>
      <c r="E44" s="1709">
        <v>128</v>
      </c>
      <c r="F44" s="1223">
        <v>8</v>
      </c>
      <c r="G44" s="1236">
        <v>79200</v>
      </c>
      <c r="H44" s="1223"/>
      <c r="I44" s="1709"/>
      <c r="J44" s="2194"/>
      <c r="K44" s="2203">
        <v>79200</v>
      </c>
      <c r="L44" s="2028"/>
      <c r="M44" s="1709"/>
      <c r="N44" s="1691"/>
      <c r="O44" s="494"/>
      <c r="P44" s="1256" t="s">
        <v>387</v>
      </c>
      <c r="Q44" s="1257"/>
      <c r="R44" s="959"/>
      <c r="S44" s="1235"/>
      <c r="T44" s="1258"/>
      <c r="U44" s="1257">
        <v>95000</v>
      </c>
      <c r="V44" s="959">
        <v>240000</v>
      </c>
      <c r="W44" s="1709">
        <v>200000</v>
      </c>
      <c r="X44" s="1925">
        <v>475</v>
      </c>
      <c r="Y44" s="1259">
        <v>890</v>
      </c>
      <c r="Z44" s="959">
        <v>2136</v>
      </c>
      <c r="AA44" s="1197">
        <v>1780</v>
      </c>
      <c r="AB44" s="1258">
        <v>500</v>
      </c>
      <c r="AC44" s="1926">
        <v>538</v>
      </c>
      <c r="AD44" s="1922">
        <v>1076</v>
      </c>
      <c r="AE44" s="1235">
        <v>896.66666666666663</v>
      </c>
      <c r="AF44" s="1700">
        <v>600</v>
      </c>
      <c r="AG44" s="495"/>
      <c r="AH44" s="1256" t="s">
        <v>387</v>
      </c>
      <c r="AI44" s="1257">
        <v>1215</v>
      </c>
      <c r="AJ44" s="1235">
        <v>2650.909090909091</v>
      </c>
      <c r="AK44" s="1235">
        <v>2209.090909090909</v>
      </c>
      <c r="AL44" s="1258">
        <v>550</v>
      </c>
      <c r="AM44" s="1259">
        <v>1200</v>
      </c>
      <c r="AN44" s="1235">
        <v>2618.181818181818</v>
      </c>
      <c r="AO44" s="1235">
        <v>2181.8181818181815</v>
      </c>
      <c r="AP44" s="1258">
        <v>550</v>
      </c>
      <c r="AQ44" s="1259"/>
      <c r="AR44" s="1197"/>
      <c r="AS44" s="1197"/>
      <c r="AT44" s="1258" t="s">
        <v>1580</v>
      </c>
      <c r="AU44" s="1926"/>
      <c r="AV44" s="1235"/>
      <c r="AW44" s="1235"/>
      <c r="AX44" s="1258" t="s">
        <v>1580</v>
      </c>
      <c r="AY44" s="1270">
        <v>98843</v>
      </c>
      <c r="AZ44" s="968">
        <v>248481.09090909091</v>
      </c>
      <c r="BA44" s="1271">
        <v>207067.57575757575</v>
      </c>
    </row>
    <row r="45" spans="2:53" ht="15" customHeight="1" x14ac:dyDescent="0.2">
      <c r="B45" s="1234" t="s">
        <v>388</v>
      </c>
      <c r="C45" s="1709">
        <v>44</v>
      </c>
      <c r="D45" s="1223">
        <v>98</v>
      </c>
      <c r="E45" s="1709">
        <v>86</v>
      </c>
      <c r="F45" s="1223">
        <v>12</v>
      </c>
      <c r="G45" s="1236">
        <v>39600</v>
      </c>
      <c r="H45" s="1223"/>
      <c r="I45" s="1709"/>
      <c r="J45" s="2194"/>
      <c r="K45" s="2203">
        <v>39600</v>
      </c>
      <c r="L45" s="2028"/>
      <c r="M45" s="1709"/>
      <c r="N45" s="1691"/>
      <c r="O45" s="494"/>
      <c r="P45" s="1256" t="s">
        <v>388</v>
      </c>
      <c r="Q45" s="1257"/>
      <c r="R45" s="959"/>
      <c r="S45" s="1235"/>
      <c r="T45" s="1258"/>
      <c r="U45" s="1257">
        <v>45000</v>
      </c>
      <c r="V45" s="959">
        <v>126000</v>
      </c>
      <c r="W45" s="1709">
        <v>105000</v>
      </c>
      <c r="X45" s="1925">
        <v>428.57142857142856</v>
      </c>
      <c r="Y45" s="1201"/>
      <c r="Z45" s="968"/>
      <c r="AA45" s="1709"/>
      <c r="AB45" s="1258" t="s">
        <v>1580</v>
      </c>
      <c r="AC45" s="1201">
        <v>30300</v>
      </c>
      <c r="AD45" s="968">
        <v>46521.212121212127</v>
      </c>
      <c r="AE45" s="1709">
        <v>38767.67676767677</v>
      </c>
      <c r="AF45" s="1700">
        <v>781.57894736842104</v>
      </c>
      <c r="AG45" s="495"/>
      <c r="AH45" s="1256" t="s">
        <v>388</v>
      </c>
      <c r="AI45" s="1198">
        <v>430</v>
      </c>
      <c r="AJ45" s="1235">
        <v>737.14285714285722</v>
      </c>
      <c r="AK45" s="1235">
        <v>614.28571428571433</v>
      </c>
      <c r="AL45" s="1258">
        <v>700</v>
      </c>
      <c r="AM45" s="1201">
        <v>28000</v>
      </c>
      <c r="AN45" s="1235">
        <v>57792</v>
      </c>
      <c r="AO45" s="1235">
        <v>48160</v>
      </c>
      <c r="AP45" s="1258">
        <v>581.39534883720933</v>
      </c>
      <c r="AQ45" s="1201"/>
      <c r="AR45" s="1197"/>
      <c r="AS45" s="1197"/>
      <c r="AT45" s="1258" t="s">
        <v>1580</v>
      </c>
      <c r="AU45" s="1201"/>
      <c r="AV45" s="1235"/>
      <c r="AW45" s="1235"/>
      <c r="AX45" s="1258" t="s">
        <v>1580</v>
      </c>
      <c r="AY45" s="1270">
        <v>103730</v>
      </c>
      <c r="AZ45" s="968">
        <v>231050.354978355</v>
      </c>
      <c r="BA45" s="1271">
        <v>192541.96248196249</v>
      </c>
    </row>
    <row r="46" spans="2:53" ht="15" customHeight="1" x14ac:dyDescent="0.2">
      <c r="B46" s="1234" t="s">
        <v>389</v>
      </c>
      <c r="C46" s="1709">
        <v>37</v>
      </c>
      <c r="D46" s="1223">
        <v>76</v>
      </c>
      <c r="E46" s="1709">
        <v>76</v>
      </c>
      <c r="F46" s="1223">
        <v>0</v>
      </c>
      <c r="G46" s="1236">
        <v>33300</v>
      </c>
      <c r="H46" s="1223"/>
      <c r="I46" s="1709"/>
      <c r="J46" s="2194"/>
      <c r="K46" s="2203">
        <v>33300</v>
      </c>
      <c r="L46" s="2028"/>
      <c r="M46" s="1709"/>
      <c r="N46" s="1691"/>
      <c r="O46" s="494"/>
      <c r="P46" s="1256" t="s">
        <v>389</v>
      </c>
      <c r="Q46" s="1257"/>
      <c r="R46" s="959"/>
      <c r="S46" s="1235"/>
      <c r="T46" s="1258"/>
      <c r="U46" s="1257">
        <v>4140</v>
      </c>
      <c r="V46" s="959">
        <v>11828.571428571428</v>
      </c>
      <c r="W46" s="1709">
        <v>9857.1428571428569</v>
      </c>
      <c r="X46" s="1925">
        <v>420</v>
      </c>
      <c r="Y46" s="1259"/>
      <c r="Z46" s="959"/>
      <c r="AA46" s="1197"/>
      <c r="AB46" s="1258" t="s">
        <v>1580</v>
      </c>
      <c r="AC46" s="1926"/>
      <c r="AD46" s="1922"/>
      <c r="AE46" s="1235"/>
      <c r="AF46" s="1700" t="s">
        <v>1580</v>
      </c>
      <c r="AG46" s="495"/>
      <c r="AH46" s="1256" t="s">
        <v>389</v>
      </c>
      <c r="AI46" s="1257"/>
      <c r="AJ46" s="1235"/>
      <c r="AK46" s="1235"/>
      <c r="AL46" s="1258" t="s">
        <v>1580</v>
      </c>
      <c r="AM46" s="1259">
        <v>283000</v>
      </c>
      <c r="AN46" s="1235">
        <v>665616</v>
      </c>
      <c r="AO46" s="1235">
        <v>554680</v>
      </c>
      <c r="AP46" s="1258">
        <v>510.20408163265307</v>
      </c>
      <c r="AQ46" s="1259"/>
      <c r="AR46" s="1197"/>
      <c r="AS46" s="1197"/>
      <c r="AT46" s="1258" t="s">
        <v>1580</v>
      </c>
      <c r="AU46" s="1926"/>
      <c r="AV46" s="1235"/>
      <c r="AW46" s="1235"/>
      <c r="AX46" s="1258" t="s">
        <v>1580</v>
      </c>
      <c r="AY46" s="1270">
        <v>287140</v>
      </c>
      <c r="AZ46" s="968">
        <v>677444.57142857148</v>
      </c>
      <c r="BA46" s="1271">
        <v>564537.14285714284</v>
      </c>
    </row>
    <row r="47" spans="2:53" ht="15" customHeight="1" x14ac:dyDescent="0.2">
      <c r="B47" s="1234" t="s">
        <v>390</v>
      </c>
      <c r="C47" s="1709">
        <v>54</v>
      </c>
      <c r="D47" s="1223">
        <v>124</v>
      </c>
      <c r="E47" s="1709">
        <v>99</v>
      </c>
      <c r="F47" s="1223">
        <v>25</v>
      </c>
      <c r="G47" s="1236">
        <v>48600</v>
      </c>
      <c r="H47" s="1223"/>
      <c r="I47" s="1709"/>
      <c r="J47" s="2194"/>
      <c r="K47" s="2203">
        <v>48600</v>
      </c>
      <c r="L47" s="2028"/>
      <c r="M47" s="1709"/>
      <c r="N47" s="1691"/>
      <c r="O47" s="494"/>
      <c r="P47" s="1256" t="s">
        <v>390</v>
      </c>
      <c r="Q47" s="1257"/>
      <c r="R47" s="959"/>
      <c r="S47" s="1235"/>
      <c r="T47" s="1258"/>
      <c r="U47" s="1257">
        <v>85000</v>
      </c>
      <c r="V47" s="959">
        <v>216000</v>
      </c>
      <c r="W47" s="1709">
        <v>180000</v>
      </c>
      <c r="X47" s="1925">
        <v>472.22222222222223</v>
      </c>
      <c r="Y47" s="1201">
        <v>4500</v>
      </c>
      <c r="Z47" s="968">
        <v>10800</v>
      </c>
      <c r="AA47" s="1709">
        <v>9000</v>
      </c>
      <c r="AB47" s="1258">
        <v>500</v>
      </c>
      <c r="AC47" s="1201"/>
      <c r="AD47" s="968"/>
      <c r="AE47" s="1709"/>
      <c r="AF47" s="1700" t="s">
        <v>1580</v>
      </c>
      <c r="AG47" s="495"/>
      <c r="AH47" s="1256" t="s">
        <v>390</v>
      </c>
      <c r="AI47" s="1198"/>
      <c r="AJ47" s="1235"/>
      <c r="AK47" s="1235"/>
      <c r="AL47" s="1258" t="s">
        <v>1580</v>
      </c>
      <c r="AM47" s="1201">
        <v>15000</v>
      </c>
      <c r="AN47" s="1235">
        <v>36000</v>
      </c>
      <c r="AO47" s="1235">
        <v>30000</v>
      </c>
      <c r="AP47" s="1258">
        <v>500</v>
      </c>
      <c r="AQ47" s="1201"/>
      <c r="AR47" s="1197"/>
      <c r="AS47" s="1197"/>
      <c r="AT47" s="1258" t="s">
        <v>1580</v>
      </c>
      <c r="AU47" s="1201"/>
      <c r="AV47" s="1235"/>
      <c r="AW47" s="1235"/>
      <c r="AX47" s="1258" t="s">
        <v>1580</v>
      </c>
      <c r="AY47" s="1270">
        <v>104500</v>
      </c>
      <c r="AZ47" s="968">
        <v>262800</v>
      </c>
      <c r="BA47" s="1271">
        <v>219000</v>
      </c>
    </row>
    <row r="48" spans="2:53" ht="15" customHeight="1" x14ac:dyDescent="0.2">
      <c r="B48" s="1234" t="s">
        <v>941</v>
      </c>
      <c r="C48" s="1709">
        <v>46</v>
      </c>
      <c r="D48" s="1223">
        <v>189</v>
      </c>
      <c r="E48" s="1709">
        <v>164</v>
      </c>
      <c r="F48" s="1223">
        <v>25</v>
      </c>
      <c r="G48" s="1236">
        <v>41400</v>
      </c>
      <c r="H48" s="1223"/>
      <c r="I48" s="1709"/>
      <c r="J48" s="2194"/>
      <c r="K48" s="2203">
        <v>41400</v>
      </c>
      <c r="L48" s="2028"/>
      <c r="M48" s="1709"/>
      <c r="N48" s="1691"/>
      <c r="O48" s="494"/>
      <c r="P48" s="1256" t="s">
        <v>941</v>
      </c>
      <c r="Q48" s="1257"/>
      <c r="R48" s="959"/>
      <c r="S48" s="1235"/>
      <c r="T48" s="1258"/>
      <c r="U48" s="1257">
        <v>100000</v>
      </c>
      <c r="V48" s="959">
        <v>252000.00000000003</v>
      </c>
      <c r="W48" s="1709">
        <v>210000.00000000003</v>
      </c>
      <c r="X48" s="1925">
        <v>476.19047619047609</v>
      </c>
      <c r="Y48" s="1201"/>
      <c r="Z48" s="968"/>
      <c r="AA48" s="1709"/>
      <c r="AB48" s="1258" t="s">
        <v>1580</v>
      </c>
      <c r="AC48" s="1201">
        <v>61200</v>
      </c>
      <c r="AD48" s="968">
        <v>91800</v>
      </c>
      <c r="AE48" s="1709">
        <v>76500</v>
      </c>
      <c r="AF48" s="1700">
        <v>800</v>
      </c>
      <c r="AG48" s="495"/>
      <c r="AH48" s="1256" t="s">
        <v>941</v>
      </c>
      <c r="AI48" s="1198"/>
      <c r="AJ48" s="1235"/>
      <c r="AK48" s="1235"/>
      <c r="AL48" s="1258" t="s">
        <v>1580</v>
      </c>
      <c r="AM48" s="1201">
        <v>5700</v>
      </c>
      <c r="AN48" s="1235">
        <v>12033.333333333332</v>
      </c>
      <c r="AO48" s="1235">
        <v>10027.777777777777</v>
      </c>
      <c r="AP48" s="1258">
        <v>568.42105263157896</v>
      </c>
      <c r="AQ48" s="1201"/>
      <c r="AR48" s="1197"/>
      <c r="AS48" s="1197"/>
      <c r="AT48" s="1258" t="s">
        <v>1580</v>
      </c>
      <c r="AU48" s="1201"/>
      <c r="AV48" s="1235"/>
      <c r="AW48" s="1235"/>
      <c r="AX48" s="1258" t="s">
        <v>1580</v>
      </c>
      <c r="AY48" s="1270">
        <v>166900</v>
      </c>
      <c r="AZ48" s="968">
        <v>355833.33333333331</v>
      </c>
      <c r="BA48" s="1271">
        <v>296527.77777777775</v>
      </c>
    </row>
    <row r="49" spans="2:53" ht="15" customHeight="1" x14ac:dyDescent="0.2">
      <c r="B49" s="1234" t="s">
        <v>392</v>
      </c>
      <c r="C49" s="1709">
        <v>52</v>
      </c>
      <c r="D49" s="1223">
        <v>125</v>
      </c>
      <c r="E49" s="1709">
        <v>100</v>
      </c>
      <c r="F49" s="1223">
        <v>25</v>
      </c>
      <c r="G49" s="1236">
        <v>46800</v>
      </c>
      <c r="H49" s="1223"/>
      <c r="I49" s="1709"/>
      <c r="J49" s="2194"/>
      <c r="K49" s="2203">
        <v>46800</v>
      </c>
      <c r="L49" s="2028"/>
      <c r="M49" s="1709"/>
      <c r="N49" s="1691"/>
      <c r="O49" s="494"/>
      <c r="P49" s="1256" t="s">
        <v>392</v>
      </c>
      <c r="Q49" s="1257"/>
      <c r="R49" s="959"/>
      <c r="S49" s="1235"/>
      <c r="T49" s="1258"/>
      <c r="U49" s="1257">
        <v>80000</v>
      </c>
      <c r="V49" s="959">
        <v>200400</v>
      </c>
      <c r="W49" s="1709">
        <v>167000</v>
      </c>
      <c r="X49" s="1925">
        <v>479.04191616766468</v>
      </c>
      <c r="Y49" s="1201">
        <v>2120</v>
      </c>
      <c r="Z49" s="968">
        <v>5653.3333333333339</v>
      </c>
      <c r="AA49" s="1709">
        <v>4711.1111111111113</v>
      </c>
      <c r="AB49" s="1258">
        <v>449.99999999999994</v>
      </c>
      <c r="AC49" s="1201">
        <v>2150</v>
      </c>
      <c r="AD49" s="968">
        <v>4879.432624113475</v>
      </c>
      <c r="AE49" s="1709">
        <v>4066.1938534278956</v>
      </c>
      <c r="AF49" s="1700">
        <v>528.75</v>
      </c>
      <c r="AG49" s="495"/>
      <c r="AH49" s="1256" t="s">
        <v>392</v>
      </c>
      <c r="AI49" s="1198">
        <v>570</v>
      </c>
      <c r="AJ49" s="1235">
        <v>1140</v>
      </c>
      <c r="AK49" s="1235">
        <v>950</v>
      </c>
      <c r="AL49" s="1258">
        <v>600</v>
      </c>
      <c r="AM49" s="1201"/>
      <c r="AN49" s="968"/>
      <c r="AO49" s="1260"/>
      <c r="AP49" s="1258" t="s">
        <v>1580</v>
      </c>
      <c r="AQ49" s="1201">
        <v>81</v>
      </c>
      <c r="AR49" s="1260">
        <v>216</v>
      </c>
      <c r="AS49" s="1260">
        <v>180</v>
      </c>
      <c r="AT49" s="1258">
        <v>450</v>
      </c>
      <c r="AU49" s="1201">
        <v>203</v>
      </c>
      <c r="AV49" s="1235">
        <v>541.33333333333337</v>
      </c>
      <c r="AW49" s="1235">
        <v>451.11111111111114</v>
      </c>
      <c r="AX49" s="1258">
        <v>449.99999999999994</v>
      </c>
      <c r="AY49" s="1270">
        <v>85124</v>
      </c>
      <c r="AZ49" s="968">
        <v>212830.09929078017</v>
      </c>
      <c r="BA49" s="1271">
        <v>177358.41607565014</v>
      </c>
    </row>
    <row r="50" spans="2:53" ht="15" customHeight="1" thickBot="1" x14ac:dyDescent="0.25">
      <c r="B50" s="499"/>
      <c r="C50" s="1710"/>
      <c r="D50" s="494"/>
      <c r="E50" s="1710"/>
      <c r="F50" s="1223"/>
      <c r="G50" s="1233"/>
      <c r="H50" s="494"/>
      <c r="I50" s="1710"/>
      <c r="J50" s="2195"/>
      <c r="K50" s="2203"/>
      <c r="L50" s="2197"/>
      <c r="M50" s="1710"/>
      <c r="N50" s="1693"/>
      <c r="O50" s="494"/>
      <c r="P50" s="1249"/>
      <c r="Q50" s="1250"/>
      <c r="R50" s="1251"/>
      <c r="S50" s="1252"/>
      <c r="T50" s="1253"/>
      <c r="U50" s="1686"/>
      <c r="V50" s="1687"/>
      <c r="W50" s="1687"/>
      <c r="X50" s="1925"/>
      <c r="Y50" s="1254"/>
      <c r="Z50" s="1251"/>
      <c r="AA50" s="1924"/>
      <c r="AB50" s="1253"/>
      <c r="AC50" s="1254"/>
      <c r="AD50" s="1251"/>
      <c r="AE50" s="1252"/>
      <c r="AF50" s="1703"/>
      <c r="AG50" s="180"/>
      <c r="AH50" s="1249"/>
      <c r="AI50" s="1250"/>
      <c r="AJ50" s="1251"/>
      <c r="AK50" s="1252"/>
      <c r="AL50" s="1253"/>
      <c r="AM50" s="1254"/>
      <c r="AN50" s="1251"/>
      <c r="AO50" s="1252"/>
      <c r="AP50" s="1253"/>
      <c r="AQ50" s="1254"/>
      <c r="AR50" s="1251"/>
      <c r="AS50" s="1255"/>
      <c r="AT50" s="1253"/>
      <c r="AU50" s="1254"/>
      <c r="AV50" s="1251"/>
      <c r="AW50" s="1252"/>
      <c r="AX50" s="1253"/>
      <c r="AY50" s="1268"/>
      <c r="AZ50" s="1251"/>
      <c r="BA50" s="1269"/>
    </row>
    <row r="51" spans="2:53" ht="15" customHeight="1" thickBot="1" x14ac:dyDescent="0.25">
      <c r="B51" s="500" t="s">
        <v>393</v>
      </c>
      <c r="C51" s="1706">
        <v>2153</v>
      </c>
      <c r="D51" s="502">
        <v>9138</v>
      </c>
      <c r="E51" s="1706">
        <v>7852</v>
      </c>
      <c r="F51" s="502">
        <v>1286</v>
      </c>
      <c r="G51" s="501">
        <v>19326613</v>
      </c>
      <c r="H51" s="1706">
        <v>35</v>
      </c>
      <c r="I51" s="502">
        <v>126</v>
      </c>
      <c r="J51" s="501">
        <v>10251</v>
      </c>
      <c r="K51" s="2205">
        <v>19336864</v>
      </c>
      <c r="L51" s="2198">
        <v>44</v>
      </c>
      <c r="M51" s="1706">
        <v>1103</v>
      </c>
      <c r="N51" s="1694">
        <v>306648</v>
      </c>
      <c r="O51" s="503"/>
      <c r="P51" s="1697" t="s">
        <v>393</v>
      </c>
      <c r="Q51" s="460">
        <v>21985000</v>
      </c>
      <c r="R51" s="504">
        <v>68700000</v>
      </c>
      <c r="S51" s="505">
        <v>36900000</v>
      </c>
      <c r="T51" s="444">
        <v>595.79945799457994</v>
      </c>
      <c r="U51" s="1705">
        <v>38097640</v>
      </c>
      <c r="V51" s="1706">
        <v>100434964.83516483</v>
      </c>
      <c r="W51" s="1706">
        <v>83695804.029304042</v>
      </c>
      <c r="X51" s="444">
        <v>455.19175592913888</v>
      </c>
      <c r="Y51" s="462">
        <v>8186660</v>
      </c>
      <c r="Z51" s="504">
        <v>14752069.333333334</v>
      </c>
      <c r="AA51" s="505">
        <v>12293391.111111112</v>
      </c>
      <c r="AB51" s="444">
        <v>665.93992869881663</v>
      </c>
      <c r="AC51" s="462">
        <v>3125442</v>
      </c>
      <c r="AD51" s="504">
        <v>4435308.0471414663</v>
      </c>
      <c r="AE51" s="505">
        <v>3696090.5429475592</v>
      </c>
      <c r="AF51" s="1704">
        <v>845.60753143983368</v>
      </c>
      <c r="AG51" s="181"/>
      <c r="AH51" s="1697" t="s">
        <v>393</v>
      </c>
      <c r="AI51" s="460">
        <v>540120</v>
      </c>
      <c r="AJ51" s="504">
        <v>664192.5356093403</v>
      </c>
      <c r="AK51" s="505">
        <v>553493.77967445017</v>
      </c>
      <c r="AL51" s="444">
        <v>975.83752489085566</v>
      </c>
      <c r="AM51" s="462">
        <v>1146925</v>
      </c>
      <c r="AN51" s="504">
        <v>3206309.4007552732</v>
      </c>
      <c r="AO51" s="505">
        <v>2671924.5006293943</v>
      </c>
      <c r="AP51" s="444">
        <v>429.2505270002323</v>
      </c>
      <c r="AQ51" s="462">
        <v>405810.9</v>
      </c>
      <c r="AR51" s="504">
        <v>980594.08441816526</v>
      </c>
      <c r="AS51" s="505">
        <v>817161.73701513768</v>
      </c>
      <c r="AT51" s="444">
        <v>496.61025671896147</v>
      </c>
      <c r="AU51" s="462">
        <v>496285</v>
      </c>
      <c r="AV51" s="504">
        <v>765595.64912280696</v>
      </c>
      <c r="AW51" s="505">
        <v>637996.37426900584</v>
      </c>
      <c r="AX51" s="444">
        <v>777.88059621596778</v>
      </c>
      <c r="AY51" s="507">
        <v>73983882.900000006</v>
      </c>
      <c r="AZ51" s="504">
        <v>193939033.88554522</v>
      </c>
      <c r="BA51" s="508">
        <v>141265862.0749507</v>
      </c>
    </row>
    <row r="52" spans="2:53" ht="13.5" thickTop="1" x14ac:dyDescent="0.2">
      <c r="B52" s="7" t="s">
        <v>1934</v>
      </c>
      <c r="M52" s="2192"/>
      <c r="N52" s="301"/>
      <c r="O52" s="301"/>
      <c r="P52" s="7" t="s">
        <v>1934</v>
      </c>
      <c r="W52" s="301"/>
      <c r="X52" s="301"/>
      <c r="AH52" s="7" t="s">
        <v>1934</v>
      </c>
      <c r="AO52" s="301"/>
      <c r="AP52" s="301"/>
    </row>
    <row r="53" spans="2:53" x14ac:dyDescent="0.2">
      <c r="B53" t="s">
        <v>2029</v>
      </c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0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</row>
    <row r="54" spans="2:53" x14ac:dyDescent="0.2">
      <c r="P54" s="969" t="s">
        <v>1701</v>
      </c>
      <c r="Q54" s="966" t="s">
        <v>1699</v>
      </c>
      <c r="R54" s="966" t="s">
        <v>1830</v>
      </c>
      <c r="S54" s="966" t="s">
        <v>1706</v>
      </c>
      <c r="T54" s="966" t="s">
        <v>1830</v>
      </c>
      <c r="U54" s="966" t="s">
        <v>1700</v>
      </c>
      <c r="V54" s="966" t="s">
        <v>1831</v>
      </c>
      <c r="AU54" s="176"/>
    </row>
    <row r="55" spans="2:53" x14ac:dyDescent="0.2">
      <c r="G55" s="176"/>
      <c r="H55" s="176"/>
      <c r="I55" s="176"/>
      <c r="J55" s="176"/>
      <c r="K55" s="176"/>
      <c r="P55" s="2108" t="s">
        <v>1696</v>
      </c>
      <c r="Q55" s="2109">
        <v>12</v>
      </c>
      <c r="R55" s="2133">
        <v>228</v>
      </c>
      <c r="S55" s="2109">
        <v>88</v>
      </c>
      <c r="T55" s="2133">
        <v>1672</v>
      </c>
      <c r="U55" s="2265">
        <v>100</v>
      </c>
      <c r="V55" s="2133">
        <v>1900</v>
      </c>
      <c r="W55" s="176"/>
      <c r="AH55" s="7" t="s">
        <v>1702</v>
      </c>
      <c r="AY55" s="176"/>
    </row>
    <row r="56" spans="2:53" x14ac:dyDescent="0.2">
      <c r="N56" s="397"/>
      <c r="P56" s="2108" t="s">
        <v>1697</v>
      </c>
      <c r="Q56" s="2109">
        <v>35</v>
      </c>
      <c r="R56" s="2133">
        <v>3898.6499999999996</v>
      </c>
      <c r="S56" s="2109">
        <v>65</v>
      </c>
      <c r="T56" s="2133">
        <v>7240.35</v>
      </c>
      <c r="U56" s="2265">
        <v>100</v>
      </c>
      <c r="V56" s="2133">
        <v>11139</v>
      </c>
      <c r="W56" s="176"/>
      <c r="AY56" s="176"/>
    </row>
    <row r="57" spans="2:53" x14ac:dyDescent="0.2">
      <c r="P57" s="2108" t="s">
        <v>1698</v>
      </c>
      <c r="Q57" s="2109">
        <v>16</v>
      </c>
      <c r="R57" s="2133">
        <v>1431.3600000000001</v>
      </c>
      <c r="S57" s="2109">
        <v>84</v>
      </c>
      <c r="T57" s="2133">
        <v>7514.6399999999994</v>
      </c>
      <c r="U57" s="2265">
        <v>100</v>
      </c>
      <c r="V57" s="2133">
        <v>8946</v>
      </c>
      <c r="W57" s="176"/>
      <c r="X57" s="176"/>
      <c r="AY57" s="176"/>
    </row>
    <row r="58" spans="2:53" x14ac:dyDescent="0.2">
      <c r="N58" s="176"/>
      <c r="P58" s="2110" t="s">
        <v>433</v>
      </c>
      <c r="Q58" s="2111">
        <v>25.280918808278376</v>
      </c>
      <c r="R58" s="2133">
        <v>5558.01</v>
      </c>
      <c r="S58" s="2111">
        <v>74.719081191721614</v>
      </c>
      <c r="T58" s="2133">
        <v>16426.989999999998</v>
      </c>
      <c r="U58" s="2266">
        <v>99.999999999999986</v>
      </c>
      <c r="V58" s="2133">
        <v>21985</v>
      </c>
      <c r="W58" s="176"/>
    </row>
    <row r="59" spans="2:53" x14ac:dyDescent="0.2">
      <c r="D59" s="176"/>
      <c r="E59" s="176"/>
      <c r="F59" s="176"/>
      <c r="Q59" s="2260"/>
      <c r="R59" s="2261"/>
    </row>
    <row r="60" spans="2:53" x14ac:dyDescent="0.2">
      <c r="G60" s="176"/>
      <c r="H60" s="176"/>
      <c r="I60" s="176"/>
      <c r="J60" s="176"/>
      <c r="K60" s="176"/>
      <c r="P60" s="7" t="s">
        <v>1702</v>
      </c>
      <c r="U60" s="176"/>
    </row>
    <row r="61" spans="2:53" x14ac:dyDescent="0.2">
      <c r="G61" s="176"/>
      <c r="H61" s="176"/>
      <c r="I61" s="176"/>
      <c r="J61" s="176"/>
      <c r="K61" s="176"/>
      <c r="Q61" s="176"/>
    </row>
    <row r="62" spans="2:53" x14ac:dyDescent="0.2">
      <c r="U62" s="2113">
        <f>Q51+U51</f>
        <v>60082640</v>
      </c>
    </row>
    <row r="63" spans="2:53" x14ac:dyDescent="0.2">
      <c r="U63" s="176">
        <f>Q51</f>
        <v>21985000</v>
      </c>
    </row>
    <row r="64" spans="2:53" x14ac:dyDescent="0.2">
      <c r="U64" s="176">
        <f>AY51-Q51</f>
        <v>51998882.900000006</v>
      </c>
    </row>
    <row r="65" spans="6:23" x14ac:dyDescent="0.2">
      <c r="Q65" s="176"/>
      <c r="R65" s="176"/>
      <c r="U65" s="176">
        <f>SUM(U63:U64)</f>
        <v>73983882.900000006</v>
      </c>
      <c r="W65" s="176"/>
    </row>
    <row r="66" spans="6:23" x14ac:dyDescent="0.2">
      <c r="U66" s="176"/>
    </row>
    <row r="67" spans="6:23" x14ac:dyDescent="0.2">
      <c r="L67" s="176"/>
      <c r="Q67" s="348"/>
      <c r="R67" s="176"/>
    </row>
    <row r="68" spans="6:23" x14ac:dyDescent="0.2">
      <c r="L68" s="176"/>
      <c r="Q68" s="348"/>
      <c r="R68" s="176"/>
    </row>
    <row r="69" spans="6:23" x14ac:dyDescent="0.2">
      <c r="L69" s="176"/>
      <c r="Q69" s="348"/>
      <c r="R69" s="176"/>
    </row>
    <row r="70" spans="6:23" x14ac:dyDescent="0.2">
      <c r="F70" s="9"/>
      <c r="L70" s="176"/>
    </row>
    <row r="71" spans="6:23" x14ac:dyDescent="0.2">
      <c r="L71" s="176"/>
    </row>
    <row r="72" spans="6:23" x14ac:dyDescent="0.2">
      <c r="L72" s="176"/>
    </row>
    <row r="73" spans="6:23" x14ac:dyDescent="0.2">
      <c r="L73" s="176"/>
    </row>
    <row r="74" spans="6:23" x14ac:dyDescent="0.2">
      <c r="L74" s="176"/>
    </row>
    <row r="75" spans="6:23" x14ac:dyDescent="0.2">
      <c r="L75" s="176"/>
    </row>
    <row r="76" spans="6:23" x14ac:dyDescent="0.2">
      <c r="L76" s="176"/>
    </row>
    <row r="77" spans="6:23" x14ac:dyDescent="0.2">
      <c r="L77" s="176"/>
    </row>
    <row r="79" spans="6:23" x14ac:dyDescent="0.2">
      <c r="L79" s="176"/>
    </row>
    <row r="80" spans="6:23" x14ac:dyDescent="0.2">
      <c r="L80" s="176"/>
    </row>
    <row r="81" spans="12:12" x14ac:dyDescent="0.2">
      <c r="L81" s="176"/>
    </row>
    <row r="82" spans="12:12" x14ac:dyDescent="0.2">
      <c r="L82" s="176"/>
    </row>
    <row r="83" spans="12:12" x14ac:dyDescent="0.2">
      <c r="L83" s="176"/>
    </row>
    <row r="84" spans="12:12" x14ac:dyDescent="0.2">
      <c r="L84" s="176"/>
    </row>
  </sheetData>
  <mergeCells count="38">
    <mergeCell ref="B2:N2"/>
    <mergeCell ref="P2:AF2"/>
    <mergeCell ref="B3:N3"/>
    <mergeCell ref="P3:AF3"/>
    <mergeCell ref="B4:N4"/>
    <mergeCell ref="AH2:BA2"/>
    <mergeCell ref="AH3:BA3"/>
    <mergeCell ref="AH4:BA4"/>
    <mergeCell ref="AY5:BA5"/>
    <mergeCell ref="Q6:T6"/>
    <mergeCell ref="AQ6:AT6"/>
    <mergeCell ref="BC5:BD5"/>
    <mergeCell ref="AZ7:BA7"/>
    <mergeCell ref="AY6:BA6"/>
    <mergeCell ref="AU6:AX6"/>
    <mergeCell ref="AV7:AW7"/>
    <mergeCell ref="AI5:AX5"/>
    <mergeCell ref="AJ7:AK7"/>
    <mergeCell ref="AM6:AP6"/>
    <mergeCell ref="AI6:AL6"/>
    <mergeCell ref="AN7:AO7"/>
    <mergeCell ref="AR7:AS7"/>
    <mergeCell ref="C6:K6"/>
    <mergeCell ref="K7:K8"/>
    <mergeCell ref="I7:I8"/>
    <mergeCell ref="P4:AF4"/>
    <mergeCell ref="L6:N6"/>
    <mergeCell ref="Q5:T5"/>
    <mergeCell ref="U5:AF5"/>
    <mergeCell ref="Y6:AB6"/>
    <mergeCell ref="AC6:AF6"/>
    <mergeCell ref="U6:X6"/>
    <mergeCell ref="V7:W7"/>
    <mergeCell ref="AD7:AE7"/>
    <mergeCell ref="Z7:AA7"/>
    <mergeCell ref="D7:F7"/>
    <mergeCell ref="R7:S7"/>
    <mergeCell ref="C5:N5"/>
  </mergeCells>
  <phoneticPr fontId="13" type="noConversion"/>
  <hyperlinks>
    <hyperlink ref="BC5:BD5" r:id="rId1" location="ÍNDICE!A1" display="VOLVER AL ÍNDICE"/>
  </hyperlinks>
  <pageMargins left="0.59055118110236204" right="0.39370078740157499" top="0.39370078740157499" bottom="0.39370078740157499" header="0" footer="0"/>
  <pageSetup scale="62" orientation="landscape" horizontalDpi="4294967293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"/>
  <sheetViews>
    <sheetView workbookViewId="0">
      <selection activeCell="A3" sqref="A3:B3"/>
    </sheetView>
  </sheetViews>
  <sheetFormatPr baseColWidth="10" defaultColWidth="11.42578125" defaultRowHeight="12.75" x14ac:dyDescent="0.2"/>
  <sheetData>
    <row r="2" spans="1:2" ht="13.5" thickBot="1" x14ac:dyDescent="0.25"/>
    <row r="3" spans="1:2" ht="16.5" thickBot="1" x14ac:dyDescent="0.3">
      <c r="A3" s="3142" t="s">
        <v>1151</v>
      </c>
      <c r="B3" s="3143"/>
    </row>
  </sheetData>
  <mergeCells count="1">
    <mergeCell ref="A3:B3"/>
  </mergeCells>
  <phoneticPr fontId="13" type="noConversion"/>
  <hyperlinks>
    <hyperlink ref="A3:B3" r:id="rId1" location="ÍNDICE!A1" display="VOLVER AL ÍNDICE"/>
  </hyperlinks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89"/>
  <sheetViews>
    <sheetView zoomScale="75" workbookViewId="0"/>
  </sheetViews>
  <sheetFormatPr baseColWidth="10" defaultColWidth="11.42578125" defaultRowHeight="12.75" x14ac:dyDescent="0.2"/>
  <cols>
    <col min="1" max="1" width="41.85546875" customWidth="1"/>
    <col min="2" max="2" width="13.28515625" customWidth="1"/>
    <col min="3" max="3" width="13.85546875" bestFit="1" customWidth="1"/>
    <col min="4" max="4" width="16.28515625" customWidth="1"/>
    <col min="5" max="5" width="13.42578125" customWidth="1"/>
    <col min="6" max="6" width="14" customWidth="1"/>
    <col min="7" max="7" width="18.140625" customWidth="1"/>
    <col min="8" max="8" width="10.28515625" bestFit="1" customWidth="1"/>
    <col min="9" max="9" width="10.42578125" bestFit="1" customWidth="1"/>
    <col min="10" max="10" width="12.5703125" bestFit="1" customWidth="1"/>
    <col min="11" max="12" width="14.7109375" bestFit="1" customWidth="1"/>
    <col min="13" max="13" width="15.42578125" customWidth="1"/>
  </cols>
  <sheetData>
    <row r="3" spans="1:13" ht="16.5" thickBot="1" x14ac:dyDescent="0.25">
      <c r="A3" s="3152" t="s">
        <v>1983</v>
      </c>
      <c r="B3" s="3152"/>
      <c r="C3" s="3152"/>
      <c r="D3" s="3152"/>
      <c r="E3" s="3152"/>
      <c r="F3" s="3152"/>
      <c r="G3" s="3152"/>
      <c r="H3" s="3152"/>
      <c r="I3" s="3152"/>
      <c r="J3" s="3152"/>
      <c r="K3" s="3152"/>
      <c r="L3" s="3152"/>
      <c r="M3" s="3152"/>
    </row>
    <row r="4" spans="1:13" ht="16.5" thickBot="1" x14ac:dyDescent="0.25">
      <c r="A4" s="3153" t="s">
        <v>1362</v>
      </c>
      <c r="B4" s="3156">
        <v>2022</v>
      </c>
      <c r="C4" s="3157"/>
      <c r="D4" s="3158" t="s">
        <v>1363</v>
      </c>
      <c r="E4" s="3160">
        <v>2023</v>
      </c>
      <c r="F4" s="3157"/>
      <c r="G4" s="3158" t="s">
        <v>1363</v>
      </c>
      <c r="H4" s="3161" t="s">
        <v>1364</v>
      </c>
      <c r="I4" s="3162"/>
      <c r="J4" s="3162"/>
      <c r="K4" s="3162"/>
      <c r="L4" s="3162"/>
      <c r="M4" s="3163"/>
    </row>
    <row r="5" spans="1:13" ht="15.75" x14ac:dyDescent="0.2">
      <c r="A5" s="3154"/>
      <c r="B5" s="3164" t="s">
        <v>1365</v>
      </c>
      <c r="C5" s="3165"/>
      <c r="D5" s="3159"/>
      <c r="E5" s="3166" t="s">
        <v>1365</v>
      </c>
      <c r="F5" s="3165"/>
      <c r="G5" s="3159"/>
      <c r="H5" s="3167" t="s">
        <v>1366</v>
      </c>
      <c r="I5" s="3168"/>
      <c r="J5" s="3169"/>
      <c r="K5" s="3167" t="s">
        <v>1367</v>
      </c>
      <c r="L5" s="3168"/>
      <c r="M5" s="3169"/>
    </row>
    <row r="6" spans="1:13" ht="15.75" x14ac:dyDescent="0.2">
      <c r="A6" s="3154"/>
      <c r="B6" s="516"/>
      <c r="C6" s="517"/>
      <c r="D6" s="3159">
        <v>2022</v>
      </c>
      <c r="E6" s="518"/>
      <c r="F6" s="517"/>
      <c r="G6" s="3159">
        <v>2023</v>
      </c>
      <c r="H6" s="3171" t="s">
        <v>1984</v>
      </c>
      <c r="I6" s="3173" t="s">
        <v>1985</v>
      </c>
      <c r="J6" s="519" t="s">
        <v>433</v>
      </c>
      <c r="K6" s="3171" t="s">
        <v>1984</v>
      </c>
      <c r="L6" s="3173" t="s">
        <v>1985</v>
      </c>
      <c r="M6" s="519" t="s">
        <v>433</v>
      </c>
    </row>
    <row r="7" spans="1:13" ht="16.5" thickBot="1" x14ac:dyDescent="0.25">
      <c r="A7" s="3155"/>
      <c r="B7" s="520" t="s">
        <v>349</v>
      </c>
      <c r="C7" s="521" t="s">
        <v>351</v>
      </c>
      <c r="D7" s="3170"/>
      <c r="E7" s="522" t="s">
        <v>349</v>
      </c>
      <c r="F7" s="521" t="s">
        <v>351</v>
      </c>
      <c r="G7" s="3170"/>
      <c r="H7" s="3172"/>
      <c r="I7" s="3174"/>
      <c r="J7" s="2373" t="s">
        <v>1986</v>
      </c>
      <c r="K7" s="3172"/>
      <c r="L7" s="3174"/>
      <c r="M7" s="2373" t="s">
        <v>1986</v>
      </c>
    </row>
    <row r="8" spans="1:13" ht="15.75" x14ac:dyDescent="0.2">
      <c r="A8" s="1303" t="s">
        <v>1368</v>
      </c>
      <c r="B8" s="523"/>
      <c r="C8" s="524"/>
      <c r="D8" s="525"/>
      <c r="E8" s="526"/>
      <c r="F8" s="527"/>
      <c r="G8" s="528"/>
      <c r="H8" s="526"/>
      <c r="I8" s="527"/>
      <c r="J8" s="529"/>
      <c r="K8" s="530"/>
      <c r="L8" s="531"/>
      <c r="M8" s="532"/>
    </row>
    <row r="9" spans="1:13" ht="15" x14ac:dyDescent="0.2">
      <c r="A9" s="602" t="s">
        <v>1369</v>
      </c>
      <c r="B9" s="533">
        <v>474</v>
      </c>
      <c r="C9" s="1273"/>
      <c r="D9" s="535">
        <v>474</v>
      </c>
      <c r="E9" s="536">
        <v>179</v>
      </c>
      <c r="F9" s="534"/>
      <c r="G9" s="537">
        <v>179</v>
      </c>
      <c r="H9" s="1288">
        <v>-62.236286919831223</v>
      </c>
      <c r="I9" s="539"/>
      <c r="J9" s="540">
        <v>-62.236286919831223</v>
      </c>
      <c r="K9" s="600">
        <v>-295</v>
      </c>
      <c r="L9" s="542"/>
      <c r="M9" s="543">
        <v>-295</v>
      </c>
    </row>
    <row r="10" spans="1:13" ht="15" x14ac:dyDescent="0.2">
      <c r="A10" s="602" t="s">
        <v>1370</v>
      </c>
      <c r="B10" s="533">
        <v>474</v>
      </c>
      <c r="C10" s="1273"/>
      <c r="D10" s="535">
        <v>474</v>
      </c>
      <c r="E10" s="536">
        <v>179</v>
      </c>
      <c r="F10" s="534"/>
      <c r="G10" s="537">
        <v>179</v>
      </c>
      <c r="H10" s="1288">
        <v>-62.236286919831223</v>
      </c>
      <c r="I10" s="539"/>
      <c r="J10" s="540">
        <v>-62.236286919831223</v>
      </c>
      <c r="K10" s="600">
        <v>-295</v>
      </c>
      <c r="L10" s="542"/>
      <c r="M10" s="543">
        <v>-295</v>
      </c>
    </row>
    <row r="11" spans="1:13" ht="15" x14ac:dyDescent="0.2">
      <c r="A11" s="602" t="s">
        <v>1478</v>
      </c>
      <c r="B11" s="533">
        <v>1187</v>
      </c>
      <c r="C11" s="1273"/>
      <c r="D11" s="535">
        <v>1187</v>
      </c>
      <c r="E11" s="536">
        <v>447.7</v>
      </c>
      <c r="F11" s="534"/>
      <c r="G11" s="537">
        <v>447.7</v>
      </c>
      <c r="H11" s="1288">
        <v>-62.283066554338667</v>
      </c>
      <c r="I11" s="539"/>
      <c r="J11" s="540">
        <v>-62.283066554338667</v>
      </c>
      <c r="K11" s="600">
        <v>-739.3</v>
      </c>
      <c r="L11" s="542"/>
      <c r="M11" s="543">
        <v>-739.3</v>
      </c>
    </row>
    <row r="12" spans="1:13" ht="15" x14ac:dyDescent="0.2">
      <c r="A12" s="602" t="s">
        <v>1372</v>
      </c>
      <c r="B12" s="1289">
        <v>2.5042194092827006</v>
      </c>
      <c r="C12" s="1290"/>
      <c r="D12" s="1291">
        <v>2.5042194092827006</v>
      </c>
      <c r="E12" s="1332">
        <v>2.501117318435754</v>
      </c>
      <c r="F12" s="1292"/>
      <c r="G12" s="1293">
        <v>2.501117318435754</v>
      </c>
      <c r="H12" s="1288">
        <v>-0.12387456288564636</v>
      </c>
      <c r="I12" s="539"/>
      <c r="J12" s="540">
        <v>-0.12387456288564636</v>
      </c>
      <c r="K12" s="1294">
        <v>-3.1020908469465702E-3</v>
      </c>
      <c r="L12" s="1295"/>
      <c r="M12" s="1296">
        <v>-3.1020908469465702E-3</v>
      </c>
    </row>
    <row r="13" spans="1:13" ht="15.75" x14ac:dyDescent="0.2">
      <c r="A13" s="557" t="s">
        <v>1373</v>
      </c>
      <c r="B13" s="533"/>
      <c r="C13" s="1273"/>
      <c r="D13" s="535"/>
      <c r="E13" s="536"/>
      <c r="F13" s="534"/>
      <c r="G13" s="537"/>
      <c r="H13" s="538"/>
      <c r="I13" s="539"/>
      <c r="J13" s="540"/>
      <c r="K13" s="541"/>
      <c r="L13" s="542"/>
      <c r="M13" s="543"/>
    </row>
    <row r="14" spans="1:13" ht="15" x14ac:dyDescent="0.2">
      <c r="A14" s="602" t="s">
        <v>1369</v>
      </c>
      <c r="B14" s="533">
        <v>16016</v>
      </c>
      <c r="C14" s="1273">
        <v>17266</v>
      </c>
      <c r="D14" s="535">
        <v>33282</v>
      </c>
      <c r="E14" s="536">
        <v>18639</v>
      </c>
      <c r="F14" s="534">
        <v>16171</v>
      </c>
      <c r="G14" s="537">
        <v>34810</v>
      </c>
      <c r="H14" s="538">
        <v>16.377372627372623</v>
      </c>
      <c r="I14" s="539">
        <v>-6.3419437043901326</v>
      </c>
      <c r="J14" s="540">
        <v>4.5910702481821914</v>
      </c>
      <c r="K14" s="541">
        <v>2623</v>
      </c>
      <c r="L14" s="542">
        <v>-1095</v>
      </c>
      <c r="M14" s="543">
        <v>1528</v>
      </c>
    </row>
    <row r="15" spans="1:13" ht="15" x14ac:dyDescent="0.2">
      <c r="A15" s="602" t="s">
        <v>1370</v>
      </c>
      <c r="B15" s="533">
        <v>15982</v>
      </c>
      <c r="C15" s="1273">
        <v>17236.5</v>
      </c>
      <c r="D15" s="535">
        <v>33218.5</v>
      </c>
      <c r="E15" s="536">
        <v>18629</v>
      </c>
      <c r="F15" s="534">
        <v>16171</v>
      </c>
      <c r="G15" s="537">
        <v>34800</v>
      </c>
      <c r="H15" s="538">
        <v>16.562382680515569</v>
      </c>
      <c r="I15" s="539">
        <v>-6.1816494067821139</v>
      </c>
      <c r="J15" s="540">
        <v>4.7609013049957127</v>
      </c>
      <c r="K15" s="541">
        <v>2647</v>
      </c>
      <c r="L15" s="542">
        <v>-1065.5</v>
      </c>
      <c r="M15" s="543">
        <v>1581.5</v>
      </c>
    </row>
    <row r="16" spans="1:13" ht="15" x14ac:dyDescent="0.2">
      <c r="A16" s="602" t="s">
        <v>1479</v>
      </c>
      <c r="B16" s="533">
        <v>125375.84999999999</v>
      </c>
      <c r="C16" s="1273">
        <v>137566.54999999999</v>
      </c>
      <c r="D16" s="535">
        <v>262942.39999999997</v>
      </c>
      <c r="E16" s="536">
        <v>137686.79999999999</v>
      </c>
      <c r="F16" s="534">
        <v>119553.7</v>
      </c>
      <c r="G16" s="537">
        <v>257240.5</v>
      </c>
      <c r="H16" s="538">
        <v>9.8192355226305494</v>
      </c>
      <c r="I16" s="539">
        <v>-13.093917089583186</v>
      </c>
      <c r="J16" s="540">
        <v>-2.168497739428858</v>
      </c>
      <c r="K16" s="541">
        <v>12310.949999999997</v>
      </c>
      <c r="L16" s="542">
        <v>-18012.849999999991</v>
      </c>
      <c r="M16" s="543">
        <v>-5701.8999999999651</v>
      </c>
    </row>
    <row r="17" spans="1:13" ht="15" x14ac:dyDescent="0.2">
      <c r="A17" s="602" t="s">
        <v>1374</v>
      </c>
      <c r="B17" s="1289">
        <v>7.8448160430484286</v>
      </c>
      <c r="C17" s="1297">
        <v>7.981118556551503</v>
      </c>
      <c r="D17" s="1291">
        <v>7.9155410388789367</v>
      </c>
      <c r="E17" s="1332">
        <v>7.390992538515218</v>
      </c>
      <c r="F17" s="1292">
        <v>7.3930925731247292</v>
      </c>
      <c r="G17" s="1293">
        <v>7.3919683908045979</v>
      </c>
      <c r="H17" s="538">
        <v>-5.7850114272005158</v>
      </c>
      <c r="I17" s="539">
        <v>-7.3677139270670011</v>
      </c>
      <c r="J17" s="540">
        <v>-6.6144897171614048</v>
      </c>
      <c r="K17" s="1298">
        <v>-0.45382350453321063</v>
      </c>
      <c r="L17" s="1299">
        <v>-0.58802598342677381</v>
      </c>
      <c r="M17" s="1300">
        <v>-0.52357264807433879</v>
      </c>
    </row>
    <row r="18" spans="1:13" ht="15.75" x14ac:dyDescent="0.2">
      <c r="A18" s="557" t="s">
        <v>1475</v>
      </c>
      <c r="B18" s="533"/>
      <c r="C18" s="1273"/>
      <c r="D18" s="535"/>
      <c r="E18" s="536"/>
      <c r="F18" s="534"/>
      <c r="G18" s="537"/>
      <c r="H18" s="548"/>
      <c r="I18" s="549"/>
      <c r="J18" s="550"/>
      <c r="K18" s="541"/>
      <c r="L18" s="542"/>
      <c r="M18" s="543"/>
    </row>
    <row r="19" spans="1:13" ht="15" x14ac:dyDescent="0.2">
      <c r="A19" s="602" t="s">
        <v>1369</v>
      </c>
      <c r="B19" s="533">
        <v>5029.6000000000004</v>
      </c>
      <c r="C19" s="1273">
        <v>4463</v>
      </c>
      <c r="D19" s="535">
        <v>9492.6</v>
      </c>
      <c r="E19" s="536">
        <v>5962.5</v>
      </c>
      <c r="F19" s="534">
        <v>4721.5</v>
      </c>
      <c r="G19" s="537">
        <v>10684</v>
      </c>
      <c r="H19" s="538">
        <v>18.548194687450277</v>
      </c>
      <c r="I19" s="539">
        <v>5.7920681156172975</v>
      </c>
      <c r="J19" s="540">
        <v>12.550829066852074</v>
      </c>
      <c r="K19" s="541">
        <v>932.89999999999964</v>
      </c>
      <c r="L19" s="542">
        <v>258.5</v>
      </c>
      <c r="M19" s="543">
        <v>1191.3999999999996</v>
      </c>
    </row>
    <row r="20" spans="1:13" ht="15" x14ac:dyDescent="0.2">
      <c r="A20" s="602" t="s">
        <v>1370</v>
      </c>
      <c r="B20" s="533">
        <v>4856.34</v>
      </c>
      <c r="C20" s="1273">
        <v>4312.2000000000007</v>
      </c>
      <c r="D20" s="535">
        <v>9168.5400000000009</v>
      </c>
      <c r="E20" s="536">
        <v>5880.5</v>
      </c>
      <c r="F20" s="534">
        <v>4641.5</v>
      </c>
      <c r="G20" s="537">
        <v>10522</v>
      </c>
      <c r="H20" s="538">
        <v>21.089132968449491</v>
      </c>
      <c r="I20" s="539">
        <v>7.6364732619080655</v>
      </c>
      <c r="J20" s="540">
        <v>14.762001365539106</v>
      </c>
      <c r="K20" s="541">
        <v>1024.1599999999999</v>
      </c>
      <c r="L20" s="542">
        <v>329.29999999999927</v>
      </c>
      <c r="M20" s="543">
        <v>1353.4599999999991</v>
      </c>
    </row>
    <row r="21" spans="1:13" ht="15" x14ac:dyDescent="0.2">
      <c r="A21" s="602" t="s">
        <v>1480</v>
      </c>
      <c r="B21" s="533">
        <v>22670.063999999998</v>
      </c>
      <c r="C21" s="1273">
        <v>19889.509999999998</v>
      </c>
      <c r="D21" s="535">
        <v>42559.573999999993</v>
      </c>
      <c r="E21" s="536">
        <v>28840.7</v>
      </c>
      <c r="F21" s="534">
        <v>22378.32</v>
      </c>
      <c r="G21" s="537">
        <v>51219.020000000004</v>
      </c>
      <c r="H21" s="538">
        <v>27.219314422755929</v>
      </c>
      <c r="I21" s="539">
        <v>12.513179057704306</v>
      </c>
      <c r="J21" s="540">
        <v>20.346646326864118</v>
      </c>
      <c r="K21" s="541">
        <v>6170.6360000000022</v>
      </c>
      <c r="L21" s="542">
        <v>2488.8100000000013</v>
      </c>
      <c r="M21" s="543">
        <v>8659.4460000000108</v>
      </c>
    </row>
    <row r="22" spans="1:13" ht="15" x14ac:dyDescent="0.2">
      <c r="A22" s="602" t="s">
        <v>1372</v>
      </c>
      <c r="B22" s="1289">
        <v>4.6681377333547482</v>
      </c>
      <c r="C22" s="1297">
        <v>4.612381151152543</v>
      </c>
      <c r="D22" s="1291">
        <v>4.6419139797612257</v>
      </c>
      <c r="E22" s="1332">
        <v>4.9044639061304309</v>
      </c>
      <c r="F22" s="1292">
        <v>4.8213551653560272</v>
      </c>
      <c r="G22" s="1293">
        <v>4.8678026991066341</v>
      </c>
      <c r="H22" s="538">
        <v>5.0625364176186736</v>
      </c>
      <c r="I22" s="539">
        <v>4.5307186755644722</v>
      </c>
      <c r="J22" s="540">
        <v>4.8662840442602828</v>
      </c>
      <c r="K22" s="1301">
        <v>0.23632617277568269</v>
      </c>
      <c r="L22" s="1292">
        <v>0.20897401420348416</v>
      </c>
      <c r="M22" s="1293">
        <v>0.22588871934540844</v>
      </c>
    </row>
    <row r="23" spans="1:13" ht="15.75" x14ac:dyDescent="0.2">
      <c r="A23" s="557" t="s">
        <v>1476</v>
      </c>
      <c r="B23" s="533"/>
      <c r="C23" s="1273"/>
      <c r="D23" s="535"/>
      <c r="E23" s="1332"/>
      <c r="F23" s="1292"/>
      <c r="G23" s="537"/>
      <c r="H23" s="538"/>
      <c r="I23" s="539"/>
      <c r="J23" s="540"/>
      <c r="K23" s="541"/>
      <c r="L23" s="542"/>
      <c r="M23" s="543"/>
    </row>
    <row r="24" spans="1:13" ht="15" x14ac:dyDescent="0.2">
      <c r="A24" s="602" t="s">
        <v>1369</v>
      </c>
      <c r="B24" s="533">
        <v>5124.8119999999999</v>
      </c>
      <c r="C24" s="1273">
        <v>4844.91</v>
      </c>
      <c r="D24" s="535">
        <v>9969.7219999999998</v>
      </c>
      <c r="E24" s="536">
        <v>4939</v>
      </c>
      <c r="F24" s="534">
        <v>4725.7</v>
      </c>
      <c r="G24" s="537">
        <v>9664.7000000000007</v>
      </c>
      <c r="H24" s="538">
        <v>-3.6257330024984356</v>
      </c>
      <c r="I24" s="539">
        <v>-2.4605204224639863</v>
      </c>
      <c r="J24" s="540">
        <v>-3.0594835041538744</v>
      </c>
      <c r="K24" s="541">
        <v>-185.8119999999999</v>
      </c>
      <c r="L24" s="542">
        <v>-119.21000000000004</v>
      </c>
      <c r="M24" s="543">
        <v>-305.02199999999903</v>
      </c>
    </row>
    <row r="25" spans="1:13" ht="15" x14ac:dyDescent="0.2">
      <c r="A25" s="602" t="s">
        <v>1370</v>
      </c>
      <c r="B25" s="533">
        <v>5012.5707999999995</v>
      </c>
      <c r="C25" s="1273">
        <v>4723.4699999999993</v>
      </c>
      <c r="D25" s="535">
        <v>9736.0407999999989</v>
      </c>
      <c r="E25" s="536">
        <v>4731</v>
      </c>
      <c r="F25" s="534">
        <v>4625.7</v>
      </c>
      <c r="G25" s="537">
        <v>9356.7000000000007</v>
      </c>
      <c r="H25" s="538">
        <v>-5.617293226062742</v>
      </c>
      <c r="I25" s="539">
        <v>-2.0698765949609026</v>
      </c>
      <c r="J25" s="540">
        <v>-3.8962531874352777</v>
      </c>
      <c r="K25" s="541">
        <v>-281.57079999999951</v>
      </c>
      <c r="L25" s="542">
        <v>-97.769999999999527</v>
      </c>
      <c r="M25" s="543">
        <v>-379.34079999999813</v>
      </c>
    </row>
    <row r="26" spans="1:13" ht="15" x14ac:dyDescent="0.2">
      <c r="A26" s="602" t="s">
        <v>1480</v>
      </c>
      <c r="B26" s="533">
        <v>8429.2296000000006</v>
      </c>
      <c r="C26" s="1273">
        <v>7925.518</v>
      </c>
      <c r="D26" s="535">
        <v>16354.747600000001</v>
      </c>
      <c r="E26" s="536">
        <v>8011.9000000000005</v>
      </c>
      <c r="F26" s="534">
        <v>7746.5</v>
      </c>
      <c r="G26" s="537">
        <v>15758.400000000001</v>
      </c>
      <c r="H26" s="538">
        <v>-4.9509815226767557</v>
      </c>
      <c r="I26" s="539">
        <v>-2.2587545697328579</v>
      </c>
      <c r="J26" s="540">
        <v>-3.646327137448452</v>
      </c>
      <c r="K26" s="541">
        <v>-417.32960000000003</v>
      </c>
      <c r="L26" s="542">
        <v>-179.01800000000003</v>
      </c>
      <c r="M26" s="543">
        <v>-596.34759999999915</v>
      </c>
    </row>
    <row r="27" spans="1:13" ht="15" x14ac:dyDescent="0.2">
      <c r="A27" s="602" t="s">
        <v>1372</v>
      </c>
      <c r="B27" s="1289">
        <v>1.6816180631304003</v>
      </c>
      <c r="C27" s="1297">
        <v>1.6779016274052765</v>
      </c>
      <c r="D27" s="1291">
        <v>1.6798150229608737</v>
      </c>
      <c r="E27" s="1332">
        <v>1.6934897484675546</v>
      </c>
      <c r="F27" s="1292">
        <v>1.6746654560390861</v>
      </c>
      <c r="G27" s="1293">
        <v>1.6841835262432268</v>
      </c>
      <c r="H27" s="538">
        <v>0.70596799579179503</v>
      </c>
      <c r="I27" s="539">
        <v>-0.19287014884149301</v>
      </c>
      <c r="J27" s="540">
        <v>0.26005859113303131</v>
      </c>
      <c r="K27" s="1302">
        <v>1.1871685337154325E-2</v>
      </c>
      <c r="L27" s="1295">
        <v>-3.2361713661903657E-3</v>
      </c>
      <c r="M27" s="1296">
        <v>4.3685032823530534E-3</v>
      </c>
    </row>
    <row r="28" spans="1:13" ht="15.75" x14ac:dyDescent="0.2">
      <c r="A28" s="557" t="s">
        <v>1375</v>
      </c>
      <c r="B28" s="533"/>
      <c r="C28" s="1273"/>
      <c r="D28" s="535"/>
      <c r="E28" s="536"/>
      <c r="F28" s="534"/>
      <c r="G28" s="537"/>
      <c r="H28" s="538"/>
      <c r="I28" s="539"/>
      <c r="J28" s="540"/>
      <c r="K28" s="541"/>
      <c r="L28" s="542"/>
      <c r="M28" s="543"/>
    </row>
    <row r="29" spans="1:13" ht="15" x14ac:dyDescent="0.2">
      <c r="A29" s="602" t="s">
        <v>1369</v>
      </c>
      <c r="B29" s="533">
        <v>6046.42</v>
      </c>
      <c r="C29" s="1273">
        <v>6186.9</v>
      </c>
      <c r="D29" s="535">
        <v>12233.32</v>
      </c>
      <c r="E29" s="536">
        <v>7234</v>
      </c>
      <c r="F29" s="534">
        <v>6317</v>
      </c>
      <c r="G29" s="537">
        <v>13551</v>
      </c>
      <c r="H29" s="538">
        <v>19.641043791202065</v>
      </c>
      <c r="I29" s="539">
        <v>2.1028301734309593</v>
      </c>
      <c r="J29" s="540">
        <v>10.771237897806984</v>
      </c>
      <c r="K29" s="541">
        <v>1187.58</v>
      </c>
      <c r="L29" s="542">
        <v>130.10000000000036</v>
      </c>
      <c r="M29" s="543">
        <v>1317.6800000000003</v>
      </c>
    </row>
    <row r="30" spans="1:13" ht="15" x14ac:dyDescent="0.2">
      <c r="A30" s="602" t="s">
        <v>1370</v>
      </c>
      <c r="B30" s="533">
        <v>5236.2719999999999</v>
      </c>
      <c r="C30" s="1273">
        <v>5997.56</v>
      </c>
      <c r="D30" s="535">
        <v>11233.832</v>
      </c>
      <c r="E30" s="536">
        <v>6905</v>
      </c>
      <c r="F30" s="534">
        <v>6154</v>
      </c>
      <c r="G30" s="537">
        <v>13059</v>
      </c>
      <c r="H30" s="538">
        <v>31.868627145419481</v>
      </c>
      <c r="I30" s="539">
        <v>2.608394080259302</v>
      </c>
      <c r="J30" s="540">
        <v>16.247065115447697</v>
      </c>
      <c r="K30" s="541">
        <v>1668.7280000000001</v>
      </c>
      <c r="L30" s="542">
        <v>156.4399999999996</v>
      </c>
      <c r="M30" s="543">
        <v>1825.1679999999997</v>
      </c>
    </row>
    <row r="31" spans="1:13" ht="15" x14ac:dyDescent="0.2">
      <c r="A31" s="602" t="s">
        <v>1480</v>
      </c>
      <c r="B31" s="533">
        <v>7989.9392800000005</v>
      </c>
      <c r="C31" s="1273">
        <v>9564.101999999999</v>
      </c>
      <c r="D31" s="535">
        <v>17554.041279999998</v>
      </c>
      <c r="E31" s="536">
        <v>10056.5</v>
      </c>
      <c r="F31" s="534">
        <v>8723.2999999999993</v>
      </c>
      <c r="G31" s="537">
        <v>18779.8</v>
      </c>
      <c r="H31" s="538">
        <v>25.864535981805361</v>
      </c>
      <c r="I31" s="539">
        <v>-8.7912278643619572</v>
      </c>
      <c r="J31" s="540">
        <v>6.982772231466484</v>
      </c>
      <c r="K31" s="541">
        <v>2066.5607199999995</v>
      </c>
      <c r="L31" s="542">
        <v>-840.80199999999968</v>
      </c>
      <c r="M31" s="543">
        <v>1225.7587200000016</v>
      </c>
    </row>
    <row r="32" spans="1:13" ht="15" x14ac:dyDescent="0.2">
      <c r="A32" s="602" t="s">
        <v>1372</v>
      </c>
      <c r="B32" s="1289">
        <v>1.5258831626775693</v>
      </c>
      <c r="C32" s="1297">
        <v>1.5946654973022361</v>
      </c>
      <c r="D32" s="1291">
        <v>1.5626049312469688</v>
      </c>
      <c r="E32" s="1332">
        <v>1.4564083997103547</v>
      </c>
      <c r="F32" s="1292">
        <v>1.417500812479688</v>
      </c>
      <c r="G32" s="1293">
        <v>1.4380733593690176</v>
      </c>
      <c r="H32" s="538">
        <v>-4.5530853650224827</v>
      </c>
      <c r="I32" s="539">
        <v>-11.109833700062183</v>
      </c>
      <c r="J32" s="540">
        <v>-7.9694854014427108</v>
      </c>
      <c r="K32" s="1302">
        <v>-6.9474762967214554E-2</v>
      </c>
      <c r="L32" s="1295">
        <v>-0.1771646848225481</v>
      </c>
      <c r="M32" s="1296">
        <v>-0.12453157187795116</v>
      </c>
    </row>
    <row r="33" spans="1:13" ht="15.75" x14ac:dyDescent="0.2">
      <c r="A33" s="557" t="s">
        <v>1376</v>
      </c>
      <c r="B33" s="533"/>
      <c r="C33" s="1273"/>
      <c r="D33" s="535"/>
      <c r="E33" s="536"/>
      <c r="F33" s="534"/>
      <c r="G33" s="537"/>
      <c r="H33" s="538"/>
      <c r="I33" s="539"/>
      <c r="J33" s="540"/>
      <c r="K33" s="541"/>
      <c r="L33" s="542"/>
      <c r="M33" s="543"/>
    </row>
    <row r="34" spans="1:13" ht="15" x14ac:dyDescent="0.2">
      <c r="A34" s="602" t="s">
        <v>1369</v>
      </c>
      <c r="B34" s="533">
        <v>1971.92</v>
      </c>
      <c r="C34" s="1273">
        <v>1340.2</v>
      </c>
      <c r="D34" s="535">
        <v>3312.12</v>
      </c>
      <c r="E34" s="536">
        <v>1620.7</v>
      </c>
      <c r="F34" s="534">
        <v>1330</v>
      </c>
      <c r="G34" s="537">
        <v>2950.7</v>
      </c>
      <c r="H34" s="538">
        <v>-17.811067386100859</v>
      </c>
      <c r="I34" s="539">
        <v>-0.76108043575585782</v>
      </c>
      <c r="J34" s="540">
        <v>-10.912044249604477</v>
      </c>
      <c r="K34" s="541">
        <v>-351.22</v>
      </c>
      <c r="L34" s="542">
        <v>-10.200000000000045</v>
      </c>
      <c r="M34" s="543">
        <v>-361.42000000000007</v>
      </c>
    </row>
    <row r="35" spans="1:13" ht="15" x14ac:dyDescent="0.2">
      <c r="A35" s="602" t="s">
        <v>1370</v>
      </c>
      <c r="B35" s="533">
        <v>1832.328</v>
      </c>
      <c r="C35" s="1273">
        <v>1341.38</v>
      </c>
      <c r="D35" s="535">
        <v>3173.7080000000001</v>
      </c>
      <c r="E35" s="536">
        <v>1521.2</v>
      </c>
      <c r="F35" s="534">
        <v>1268</v>
      </c>
      <c r="G35" s="537">
        <v>2789.2</v>
      </c>
      <c r="H35" s="538">
        <v>-16.97992935762592</v>
      </c>
      <c r="I35" s="539">
        <v>-5.4704856192876008</v>
      </c>
      <c r="J35" s="540">
        <v>-12.115418305653833</v>
      </c>
      <c r="K35" s="541">
        <v>-311.12799999999993</v>
      </c>
      <c r="L35" s="542">
        <v>-73.380000000000109</v>
      </c>
      <c r="M35" s="543">
        <v>-384.50800000000027</v>
      </c>
    </row>
    <row r="36" spans="1:13" ht="15" x14ac:dyDescent="0.2">
      <c r="A36" s="602" t="s">
        <v>1480</v>
      </c>
      <c r="B36" s="533">
        <v>2003.3207199999999</v>
      </c>
      <c r="C36" s="1273">
        <v>1363.8244</v>
      </c>
      <c r="D36" s="535">
        <v>3367.1451200000001</v>
      </c>
      <c r="E36" s="536">
        <v>1259</v>
      </c>
      <c r="F36" s="534">
        <v>1077.2</v>
      </c>
      <c r="G36" s="537">
        <v>2336.1999999999998</v>
      </c>
      <c r="H36" s="538">
        <v>-37.154346409395686</v>
      </c>
      <c r="I36" s="539">
        <v>-21.016224669392912</v>
      </c>
      <c r="J36" s="540">
        <v>-30.617781035823015</v>
      </c>
      <c r="K36" s="541">
        <v>-744.32071999999994</v>
      </c>
      <c r="L36" s="542">
        <v>-286.62439999999992</v>
      </c>
      <c r="M36" s="543">
        <v>-1030.9451200000003</v>
      </c>
    </row>
    <row r="37" spans="1:13" ht="15" x14ac:dyDescent="0.2">
      <c r="A37" s="602" t="s">
        <v>1372</v>
      </c>
      <c r="B37" s="1289">
        <v>1.0933199296195877</v>
      </c>
      <c r="C37" s="1297">
        <v>1.0167323204461076</v>
      </c>
      <c r="D37" s="1291">
        <v>1.0609498794470065</v>
      </c>
      <c r="E37" s="1332">
        <v>0.82763607678148832</v>
      </c>
      <c r="F37" s="1292">
        <v>0.84952681388012619</v>
      </c>
      <c r="G37" s="1293">
        <v>0.8375878388068263</v>
      </c>
      <c r="H37" s="538">
        <v>-24.300650307412027</v>
      </c>
      <c r="I37" s="539">
        <v>-16.445381267374032</v>
      </c>
      <c r="J37" s="540">
        <v>-21.053024743883469</v>
      </c>
      <c r="K37" s="1301">
        <v>-0.26568385283809937</v>
      </c>
      <c r="L37" s="1292">
        <v>-0.16720550656598143</v>
      </c>
      <c r="M37" s="1296">
        <v>-0.22336204064018017</v>
      </c>
    </row>
    <row r="38" spans="1:13" ht="15.75" x14ac:dyDescent="0.2">
      <c r="A38" s="557" t="s">
        <v>1377</v>
      </c>
      <c r="B38" s="533"/>
      <c r="C38" s="1273"/>
      <c r="D38" s="535"/>
      <c r="E38" s="536"/>
      <c r="F38" s="534"/>
      <c r="G38" s="537"/>
      <c r="H38" s="538"/>
      <c r="I38" s="539"/>
      <c r="J38" s="540"/>
      <c r="K38" s="541"/>
      <c r="L38" s="542"/>
      <c r="M38" s="543"/>
    </row>
    <row r="39" spans="1:13" ht="15" x14ac:dyDescent="0.2">
      <c r="A39" s="602" t="s">
        <v>1369</v>
      </c>
      <c r="B39" s="533">
        <v>60</v>
      </c>
      <c r="C39" s="1273">
        <v>65.5</v>
      </c>
      <c r="D39" s="535">
        <v>125.5</v>
      </c>
      <c r="E39" s="536">
        <v>46</v>
      </c>
      <c r="F39" s="534">
        <v>38</v>
      </c>
      <c r="G39" s="537">
        <v>84</v>
      </c>
      <c r="H39" s="538">
        <v>-23.333333333333329</v>
      </c>
      <c r="I39" s="539">
        <v>-41.984732824427482</v>
      </c>
      <c r="J39" s="540">
        <v>-33.067729083665341</v>
      </c>
      <c r="K39" s="541">
        <v>-14</v>
      </c>
      <c r="L39" s="542">
        <v>-27.5</v>
      </c>
      <c r="M39" s="543">
        <v>-41.5</v>
      </c>
    </row>
    <row r="40" spans="1:13" ht="15" x14ac:dyDescent="0.2">
      <c r="A40" s="602" t="s">
        <v>1370</v>
      </c>
      <c r="B40" s="533">
        <v>59</v>
      </c>
      <c r="C40" s="1273">
        <v>59.5</v>
      </c>
      <c r="D40" s="535">
        <v>118.5</v>
      </c>
      <c r="E40" s="536">
        <v>57.5</v>
      </c>
      <c r="F40" s="534">
        <v>38</v>
      </c>
      <c r="G40" s="537">
        <v>95.5</v>
      </c>
      <c r="H40" s="538">
        <v>-2.5423728813559308</v>
      </c>
      <c r="I40" s="539">
        <v>-36.134453781512612</v>
      </c>
      <c r="J40" s="540">
        <v>-19.40928270042194</v>
      </c>
      <c r="K40" s="541">
        <v>-1.5</v>
      </c>
      <c r="L40" s="542">
        <v>-21.5</v>
      </c>
      <c r="M40" s="543">
        <v>-23</v>
      </c>
    </row>
    <row r="41" spans="1:13" ht="15" x14ac:dyDescent="0.2">
      <c r="A41" s="602" t="s">
        <v>1480</v>
      </c>
      <c r="B41" s="533">
        <v>368.5</v>
      </c>
      <c r="C41" s="1273">
        <v>333.25</v>
      </c>
      <c r="D41" s="535">
        <v>701.75</v>
      </c>
      <c r="E41" s="536">
        <v>264.5</v>
      </c>
      <c r="F41" s="534">
        <v>168</v>
      </c>
      <c r="G41" s="537">
        <v>432.5</v>
      </c>
      <c r="H41" s="538">
        <v>-28.222523744911811</v>
      </c>
      <c r="I41" s="539">
        <v>-49.587396849212304</v>
      </c>
      <c r="J41" s="540">
        <v>-38.36836480228002</v>
      </c>
      <c r="K41" s="541">
        <v>-104</v>
      </c>
      <c r="L41" s="542">
        <v>-165.25</v>
      </c>
      <c r="M41" s="543">
        <v>-269.25</v>
      </c>
    </row>
    <row r="42" spans="1:13" ht="15" x14ac:dyDescent="0.2">
      <c r="A42" s="602" t="s">
        <v>1372</v>
      </c>
      <c r="B42" s="1289">
        <v>6.2457627118644066</v>
      </c>
      <c r="C42" s="1297">
        <v>5.6008403361344534</v>
      </c>
      <c r="D42" s="1291">
        <v>5.9219409282700424</v>
      </c>
      <c r="E42" s="1332">
        <v>4.5999999999999996</v>
      </c>
      <c r="F42" s="1292">
        <v>4.4210526315789478</v>
      </c>
      <c r="G42" s="1293">
        <v>4.5287958115183242</v>
      </c>
      <c r="H42" s="538">
        <v>-26.350067842605156</v>
      </c>
      <c r="I42" s="539">
        <v>-21.064476645477143</v>
      </c>
      <c r="J42" s="540">
        <v>-23.525143759897205</v>
      </c>
      <c r="K42" s="1301">
        <v>-1.6457627118644069</v>
      </c>
      <c r="L42" s="1292">
        <v>-1.1797877045555056</v>
      </c>
      <c r="M42" s="1293">
        <v>-1.3931451167517181</v>
      </c>
    </row>
    <row r="43" spans="1:13" ht="15.75" x14ac:dyDescent="0.2">
      <c r="A43" s="557" t="s">
        <v>1379</v>
      </c>
      <c r="B43" s="533"/>
      <c r="C43" s="1273"/>
      <c r="D43" s="535"/>
      <c r="E43" s="536"/>
      <c r="F43" s="534"/>
      <c r="G43" s="537"/>
      <c r="H43" s="538"/>
      <c r="I43" s="539"/>
      <c r="J43" s="540"/>
      <c r="K43" s="541"/>
      <c r="L43" s="542"/>
      <c r="M43" s="543"/>
    </row>
    <row r="44" spans="1:13" ht="15" x14ac:dyDescent="0.2">
      <c r="A44" s="602" t="s">
        <v>1369</v>
      </c>
      <c r="B44" s="533">
        <v>0</v>
      </c>
      <c r="C44" s="1273">
        <v>0</v>
      </c>
      <c r="D44" s="535">
        <v>0</v>
      </c>
      <c r="E44" s="536">
        <v>0</v>
      </c>
      <c r="F44" s="534">
        <v>0</v>
      </c>
      <c r="G44" s="537">
        <v>0</v>
      </c>
      <c r="H44" s="538" t="e">
        <v>#DIV/0!</v>
      </c>
      <c r="I44" s="539" t="e">
        <v>#DIV/0!</v>
      </c>
      <c r="J44" s="540" t="e">
        <v>#DIV/0!</v>
      </c>
      <c r="K44" s="1301">
        <v>0</v>
      </c>
      <c r="L44" s="1292">
        <v>0</v>
      </c>
      <c r="M44" s="543">
        <v>0</v>
      </c>
    </row>
    <row r="45" spans="1:13" ht="15" x14ac:dyDescent="0.2">
      <c r="A45" s="602" t="s">
        <v>1370</v>
      </c>
      <c r="B45" s="533">
        <v>0</v>
      </c>
      <c r="C45" s="1273">
        <v>0</v>
      </c>
      <c r="D45" s="535">
        <v>0</v>
      </c>
      <c r="E45" s="536">
        <v>0</v>
      </c>
      <c r="F45" s="534">
        <v>0</v>
      </c>
      <c r="G45" s="537">
        <v>0</v>
      </c>
      <c r="H45" s="538" t="e">
        <v>#DIV/0!</v>
      </c>
      <c r="I45" s="539" t="e">
        <v>#DIV/0!</v>
      </c>
      <c r="J45" s="540" t="e">
        <v>#DIV/0!</v>
      </c>
      <c r="K45" s="1301">
        <v>0</v>
      </c>
      <c r="L45" s="1292">
        <v>0</v>
      </c>
      <c r="M45" s="543">
        <v>0</v>
      </c>
    </row>
    <row r="46" spans="1:13" ht="15" x14ac:dyDescent="0.2">
      <c r="A46" s="602" t="s">
        <v>1481</v>
      </c>
      <c r="B46" s="533">
        <v>0</v>
      </c>
      <c r="C46" s="1273">
        <v>0</v>
      </c>
      <c r="D46" s="535">
        <v>0</v>
      </c>
      <c r="E46" s="536">
        <v>0</v>
      </c>
      <c r="F46" s="534">
        <v>0</v>
      </c>
      <c r="G46" s="537">
        <v>0</v>
      </c>
      <c r="H46" s="538" t="e">
        <v>#DIV/0!</v>
      </c>
      <c r="I46" s="539" t="e">
        <v>#DIV/0!</v>
      </c>
      <c r="J46" s="540" t="e">
        <v>#DIV/0!</v>
      </c>
      <c r="K46" s="1301">
        <v>0</v>
      </c>
      <c r="L46" s="1292">
        <v>0</v>
      </c>
      <c r="M46" s="543">
        <v>0</v>
      </c>
    </row>
    <row r="47" spans="1:13" ht="15" x14ac:dyDescent="0.2">
      <c r="A47" s="629" t="s">
        <v>1372</v>
      </c>
      <c r="B47" s="1829" t="e">
        <v>#DIV/0!</v>
      </c>
      <c r="C47" s="1830" t="e">
        <v>#DIV/0!</v>
      </c>
      <c r="D47" s="1831" t="e">
        <v>#DIV/0!</v>
      </c>
      <c r="E47" s="1830" t="e">
        <v>#DIV/0!</v>
      </c>
      <c r="F47" s="1830" t="e">
        <v>#DIV/0!</v>
      </c>
      <c r="G47" s="1831" t="e">
        <v>#DIV/0!</v>
      </c>
      <c r="H47" s="579" t="e">
        <v>#DIV/0!</v>
      </c>
      <c r="I47" s="580" t="e">
        <v>#DIV/0!</v>
      </c>
      <c r="J47" s="551" t="e">
        <v>#DIV/0!</v>
      </c>
      <c r="K47" s="581" t="e">
        <v>#DIV/0!</v>
      </c>
      <c r="L47" s="582" t="e">
        <v>#DIV/0!</v>
      </c>
      <c r="M47" s="552" t="e">
        <v>#DIV/0!</v>
      </c>
    </row>
    <row r="48" spans="1:13" ht="15.75" x14ac:dyDescent="0.2">
      <c r="A48" s="557" t="s">
        <v>1378</v>
      </c>
      <c r="B48" s="1289"/>
      <c r="C48" s="1297"/>
      <c r="D48" s="1293"/>
      <c r="E48" s="1297"/>
      <c r="F48" s="1297"/>
      <c r="G48" s="1293"/>
      <c r="H48" s="538"/>
      <c r="I48" s="539"/>
      <c r="J48" s="540"/>
      <c r="K48" s="1301"/>
      <c r="L48" s="1292"/>
      <c r="M48" s="1293"/>
    </row>
    <row r="49" spans="1:13" ht="15" x14ac:dyDescent="0.2">
      <c r="A49" s="602" t="s">
        <v>1369</v>
      </c>
      <c r="B49" s="1289">
        <v>0</v>
      </c>
      <c r="C49" s="1297">
        <v>0</v>
      </c>
      <c r="D49" s="535">
        <v>0</v>
      </c>
      <c r="E49" s="536">
        <v>0</v>
      </c>
      <c r="F49" s="534">
        <v>0</v>
      </c>
      <c r="G49" s="1293">
        <v>0</v>
      </c>
      <c r="H49" s="1312" t="e">
        <v>#DIV/0!</v>
      </c>
      <c r="I49" s="539" t="e">
        <v>#DIV/0!</v>
      </c>
      <c r="J49" s="540" t="e">
        <v>#DIV/0!</v>
      </c>
      <c r="K49" s="1301">
        <v>0</v>
      </c>
      <c r="L49" s="1292">
        <v>0</v>
      </c>
      <c r="M49" s="1293">
        <v>0</v>
      </c>
    </row>
    <row r="50" spans="1:13" ht="15" x14ac:dyDescent="0.2">
      <c r="A50" s="602" t="s">
        <v>1370</v>
      </c>
      <c r="B50" s="1289">
        <v>0</v>
      </c>
      <c r="C50" s="1297">
        <v>0</v>
      </c>
      <c r="D50" s="535">
        <v>0</v>
      </c>
      <c r="E50" s="536">
        <v>0</v>
      </c>
      <c r="F50" s="534">
        <v>0</v>
      </c>
      <c r="G50" s="1293">
        <v>0</v>
      </c>
      <c r="H50" s="1312" t="e">
        <v>#DIV/0!</v>
      </c>
      <c r="I50" s="539" t="e">
        <v>#DIV/0!</v>
      </c>
      <c r="J50" s="540" t="e">
        <v>#DIV/0!</v>
      </c>
      <c r="K50" s="1301">
        <v>0</v>
      </c>
      <c r="L50" s="1292">
        <v>0</v>
      </c>
      <c r="M50" s="1293">
        <v>0</v>
      </c>
    </row>
    <row r="51" spans="1:13" ht="15" x14ac:dyDescent="0.2">
      <c r="A51" s="602" t="s">
        <v>1481</v>
      </c>
      <c r="B51" s="1289">
        <v>0</v>
      </c>
      <c r="C51" s="1297">
        <v>0</v>
      </c>
      <c r="D51" s="535">
        <v>0</v>
      </c>
      <c r="E51" s="536">
        <v>0</v>
      </c>
      <c r="F51" s="534">
        <v>0</v>
      </c>
      <c r="G51" s="1293">
        <v>0</v>
      </c>
      <c r="H51" s="1312" t="e">
        <v>#DIV/0!</v>
      </c>
      <c r="I51" s="539" t="e">
        <v>#DIV/0!</v>
      </c>
      <c r="J51" s="540" t="e">
        <v>#DIV/0!</v>
      </c>
      <c r="K51" s="1301">
        <v>0</v>
      </c>
      <c r="L51" s="1292">
        <v>0</v>
      </c>
      <c r="M51" s="1293">
        <v>0</v>
      </c>
    </row>
    <row r="52" spans="1:13" ht="15.75" thickBot="1" x14ac:dyDescent="0.25">
      <c r="A52" s="629" t="s">
        <v>1372</v>
      </c>
      <c r="B52" s="1829">
        <v>0</v>
      </c>
      <c r="C52" s="1830">
        <v>0</v>
      </c>
      <c r="D52" s="1831">
        <v>0</v>
      </c>
      <c r="E52" s="1830">
        <v>0</v>
      </c>
      <c r="F52" s="1830">
        <v>0</v>
      </c>
      <c r="G52" s="1293">
        <v>0</v>
      </c>
      <c r="H52" s="579" t="e">
        <v>#DIV/0!</v>
      </c>
      <c r="I52" s="580" t="e">
        <v>#DIV/0!</v>
      </c>
      <c r="J52" s="551" t="e">
        <v>#DIV/0!</v>
      </c>
      <c r="K52" s="581">
        <v>0</v>
      </c>
      <c r="L52" s="582">
        <v>0</v>
      </c>
      <c r="M52" s="552">
        <v>0</v>
      </c>
    </row>
    <row r="53" spans="1:13" ht="16.5" thickBot="1" x14ac:dyDescent="0.25">
      <c r="A53" s="553" t="s">
        <v>1380</v>
      </c>
      <c r="B53" s="554">
        <v>34722.751999999993</v>
      </c>
      <c r="C53" s="554">
        <v>34166.509999999995</v>
      </c>
      <c r="D53" s="1833">
        <v>68889.262000000002</v>
      </c>
      <c r="E53" s="1832">
        <v>38620.199999999997</v>
      </c>
      <c r="F53" s="554">
        <v>33303.199999999997</v>
      </c>
      <c r="G53" s="1833">
        <v>71923.399999999994</v>
      </c>
      <c r="H53" s="555">
        <v>11.224478981389495</v>
      </c>
      <c r="I53" s="556">
        <v>-2.5267725617863732</v>
      </c>
      <c r="J53" s="1932">
        <v>4.4043700163313986</v>
      </c>
      <c r="K53" s="554">
        <v>3897.448000000004</v>
      </c>
      <c r="L53" s="1283">
        <v>-863.30999999999767</v>
      </c>
      <c r="M53" s="1280">
        <v>3034.1379999999917</v>
      </c>
    </row>
    <row r="54" spans="1:13" ht="16.5" thickBot="1" x14ac:dyDescent="0.25">
      <c r="A54" s="557" t="s">
        <v>1381</v>
      </c>
      <c r="B54" s="554">
        <v>33452.510799999996</v>
      </c>
      <c r="C54" s="554">
        <v>33670.61</v>
      </c>
      <c r="D54" s="1834">
        <v>67123.120800000004</v>
      </c>
      <c r="E54" s="1832">
        <v>37903.199999999997</v>
      </c>
      <c r="F54" s="554">
        <v>32898.199999999997</v>
      </c>
      <c r="G54" s="1833">
        <v>70801.399999999994</v>
      </c>
      <c r="H54" s="558">
        <v>13.304499702904209</v>
      </c>
      <c r="I54" s="559">
        <v>-2.2940184332864959</v>
      </c>
      <c r="J54" s="1933">
        <v>5.4798989620279883</v>
      </c>
      <c r="K54" s="1284">
        <v>4450.6892000000007</v>
      </c>
      <c r="L54" s="1285">
        <v>-772.41000000000349</v>
      </c>
      <c r="M54" s="1281">
        <v>3678.2791999999899</v>
      </c>
    </row>
    <row r="55" spans="1:13" ht="16.5" thickBot="1" x14ac:dyDescent="0.25">
      <c r="A55" s="1835" t="s">
        <v>1383</v>
      </c>
      <c r="B55" s="564">
        <v>168023.90359999996</v>
      </c>
      <c r="C55" s="564">
        <v>176642.75440000001</v>
      </c>
      <c r="D55" s="564">
        <v>344666.65799999994</v>
      </c>
      <c r="E55" s="1880">
        <v>186567.1</v>
      </c>
      <c r="F55" s="1880">
        <v>159647.01999999999</v>
      </c>
      <c r="G55" s="1834">
        <v>346214.12000000005</v>
      </c>
      <c r="H55" s="565">
        <v>11.036046659256442</v>
      </c>
      <c r="I55" s="566">
        <v>-9.6215293164608937</v>
      </c>
      <c r="J55" s="1934">
        <v>0.44897351225661453</v>
      </c>
      <c r="K55" s="1286">
        <v>18543.196400000044</v>
      </c>
      <c r="L55" s="1287">
        <v>-16995.734400000016</v>
      </c>
      <c r="M55" s="1282">
        <v>1547.4620000001159</v>
      </c>
    </row>
    <row r="56" spans="1:13" ht="15" x14ac:dyDescent="0.2">
      <c r="A56" s="7" t="s">
        <v>1934</v>
      </c>
      <c r="B56" s="571"/>
      <c r="C56" s="571"/>
      <c r="D56" s="571"/>
      <c r="E56" s="572"/>
      <c r="F56" s="572"/>
      <c r="G56" s="573" t="s">
        <v>1384</v>
      </c>
      <c r="H56" s="510"/>
      <c r="I56" s="510"/>
      <c r="J56" s="510"/>
      <c r="K56" s="510"/>
      <c r="L56" s="572"/>
      <c r="M56" s="572"/>
    </row>
    <row r="57" spans="1:13" ht="15" x14ac:dyDescent="0.2">
      <c r="A57" s="575"/>
      <c r="B57" s="510"/>
      <c r="C57" s="510"/>
      <c r="D57" s="510"/>
      <c r="E57" s="510"/>
      <c r="F57" s="512"/>
      <c r="G57" s="575" t="s">
        <v>1477</v>
      </c>
      <c r="H57" s="510"/>
      <c r="I57" s="510"/>
      <c r="J57" s="510"/>
      <c r="K57" s="510"/>
      <c r="L57" s="512"/>
      <c r="M57" s="512"/>
    </row>
    <row r="58" spans="1:13" ht="15" x14ac:dyDescent="0.2">
      <c r="A58" s="576"/>
      <c r="B58" s="510"/>
      <c r="C58" s="510"/>
      <c r="D58" s="510"/>
      <c r="E58" s="510"/>
      <c r="F58" s="512"/>
      <c r="G58" s="513"/>
      <c r="H58" s="512"/>
      <c r="I58" s="512"/>
      <c r="J58" s="512"/>
      <c r="K58" s="512"/>
      <c r="L58" s="512"/>
      <c r="M58" s="512"/>
    </row>
    <row r="59" spans="1:13" ht="15" x14ac:dyDescent="0.2">
      <c r="A59" s="576"/>
      <c r="B59" s="510"/>
      <c r="C59" s="510"/>
      <c r="D59" s="510"/>
      <c r="E59" s="510"/>
      <c r="F59" s="512"/>
      <c r="G59" s="513"/>
      <c r="H59" s="512"/>
      <c r="I59" s="512"/>
      <c r="J59" s="512"/>
      <c r="K59" s="512"/>
      <c r="L59" s="512"/>
      <c r="M59" s="512"/>
    </row>
    <row r="60" spans="1:13" ht="15" x14ac:dyDescent="0.2">
      <c r="A60" s="576"/>
      <c r="B60" s="510"/>
      <c r="C60" s="510"/>
      <c r="D60" s="510"/>
      <c r="E60" s="510"/>
      <c r="F60" s="512"/>
      <c r="G60" s="513"/>
      <c r="H60" s="512"/>
      <c r="I60" s="512"/>
      <c r="J60" s="512"/>
      <c r="K60" s="512"/>
      <c r="L60" s="512"/>
      <c r="M60" s="512"/>
    </row>
    <row r="61" spans="1:13" ht="15" x14ac:dyDescent="0.2">
      <c r="A61" s="576"/>
      <c r="B61" s="510"/>
      <c r="C61" s="510"/>
      <c r="D61" s="510"/>
      <c r="E61" s="510"/>
      <c r="F61" s="512"/>
      <c r="G61" s="513"/>
      <c r="H61" s="512"/>
      <c r="I61" s="512"/>
      <c r="J61" s="512"/>
      <c r="K61" s="512"/>
      <c r="L61" s="512"/>
      <c r="M61" s="512"/>
    </row>
    <row r="62" spans="1:13" ht="15" x14ac:dyDescent="0.2">
      <c r="A62" s="576"/>
      <c r="B62" s="510"/>
      <c r="C62" s="510"/>
      <c r="D62" s="510"/>
      <c r="E62" s="510"/>
      <c r="F62" s="512"/>
      <c r="G62" s="513"/>
      <c r="H62" s="512"/>
      <c r="I62" s="512"/>
      <c r="J62" s="512"/>
      <c r="K62" s="512"/>
      <c r="L62" s="512"/>
      <c r="M62" s="512"/>
    </row>
    <row r="63" spans="1:13" ht="15.75" x14ac:dyDescent="0.2">
      <c r="A63" s="510"/>
      <c r="B63" s="510"/>
      <c r="C63" s="511"/>
      <c r="D63" s="510"/>
      <c r="E63" s="510"/>
      <c r="F63" s="510"/>
      <c r="G63" s="263"/>
      <c r="H63" s="512"/>
      <c r="I63" s="512"/>
      <c r="J63" s="512"/>
      <c r="K63" s="512"/>
      <c r="L63" s="512"/>
      <c r="M63" s="512"/>
    </row>
    <row r="64" spans="1:13" ht="15.75" x14ac:dyDescent="0.2">
      <c r="A64" s="510"/>
      <c r="B64" s="510"/>
      <c r="C64" s="511"/>
      <c r="D64" s="510"/>
      <c r="E64" s="510"/>
      <c r="F64" s="510"/>
      <c r="G64" s="263"/>
      <c r="H64" s="512"/>
      <c r="I64" s="512"/>
      <c r="J64" s="512"/>
      <c r="K64" s="512"/>
      <c r="L64" s="512"/>
      <c r="M64" s="512"/>
    </row>
    <row r="65" spans="1:13" ht="15" x14ac:dyDescent="0.2">
      <c r="A65" s="510"/>
      <c r="B65" s="510"/>
      <c r="C65" s="510"/>
      <c r="D65" s="510"/>
      <c r="E65" s="510"/>
      <c r="F65" s="510"/>
      <c r="G65" s="263"/>
      <c r="H65" s="512"/>
      <c r="I65" s="512"/>
      <c r="J65" s="512"/>
      <c r="K65" s="512"/>
      <c r="L65" s="512"/>
      <c r="M65" s="512"/>
    </row>
    <row r="66" spans="1:13" ht="15.75" x14ac:dyDescent="0.2">
      <c r="A66" s="3152" t="s">
        <v>1987</v>
      </c>
      <c r="B66" s="3152"/>
      <c r="C66" s="3152"/>
      <c r="D66" s="3152"/>
      <c r="E66" s="3152"/>
      <c r="F66" s="3152"/>
      <c r="G66" s="3152"/>
      <c r="H66" s="3152"/>
      <c r="I66" s="3152"/>
      <c r="J66" s="3152"/>
      <c r="K66" s="3152"/>
      <c r="L66" s="3152"/>
      <c r="M66" s="3152"/>
    </row>
    <row r="67" spans="1:13" ht="15.75" thickBot="1" x14ac:dyDescent="0.25">
      <c r="A67" s="512"/>
      <c r="B67" s="512"/>
      <c r="C67" s="512"/>
      <c r="D67" s="512"/>
      <c r="E67" s="512"/>
      <c r="F67" s="512"/>
      <c r="G67" s="513"/>
      <c r="H67" s="512"/>
      <c r="I67" s="512"/>
      <c r="J67" s="512"/>
      <c r="K67" s="512"/>
      <c r="L67" s="512"/>
      <c r="M67" s="512"/>
    </row>
    <row r="68" spans="1:13" ht="18" customHeight="1" thickBot="1" x14ac:dyDescent="0.25">
      <c r="A68" s="3153" t="s">
        <v>1385</v>
      </c>
      <c r="B68" s="3156">
        <v>2022</v>
      </c>
      <c r="C68" s="3157"/>
      <c r="D68" s="3158" t="s">
        <v>1363</v>
      </c>
      <c r="E68" s="3160">
        <v>2023</v>
      </c>
      <c r="F68" s="3157"/>
      <c r="G68" s="3158" t="s">
        <v>1363</v>
      </c>
      <c r="H68" s="3161" t="s">
        <v>1364</v>
      </c>
      <c r="I68" s="3162"/>
      <c r="J68" s="3162"/>
      <c r="K68" s="3162"/>
      <c r="L68" s="3162"/>
      <c r="M68" s="3163"/>
    </row>
    <row r="69" spans="1:13" ht="18" customHeight="1" x14ac:dyDescent="0.2">
      <c r="A69" s="3154"/>
      <c r="B69" s="3164" t="s">
        <v>1365</v>
      </c>
      <c r="C69" s="3165"/>
      <c r="D69" s="3159"/>
      <c r="E69" s="3166" t="s">
        <v>1365</v>
      </c>
      <c r="F69" s="3165"/>
      <c r="G69" s="3159"/>
      <c r="H69" s="3167" t="s">
        <v>1366</v>
      </c>
      <c r="I69" s="3168"/>
      <c r="J69" s="3169"/>
      <c r="K69" s="3167" t="s">
        <v>1367</v>
      </c>
      <c r="L69" s="3168"/>
      <c r="M69" s="3169"/>
    </row>
    <row r="70" spans="1:13" ht="18" customHeight="1" x14ac:dyDescent="0.2">
      <c r="A70" s="3154"/>
      <c r="B70" s="516"/>
      <c r="C70" s="517"/>
      <c r="D70" s="3159">
        <v>2022</v>
      </c>
      <c r="E70" s="518"/>
      <c r="F70" s="517"/>
      <c r="G70" s="3159">
        <v>2023</v>
      </c>
      <c r="H70" s="3171" t="s">
        <v>1984</v>
      </c>
      <c r="I70" s="3173" t="s">
        <v>1985</v>
      </c>
      <c r="J70" s="519" t="s">
        <v>433</v>
      </c>
      <c r="K70" s="3171" t="s">
        <v>1984</v>
      </c>
      <c r="L70" s="3173" t="s">
        <v>1985</v>
      </c>
      <c r="M70" s="519" t="s">
        <v>433</v>
      </c>
    </row>
    <row r="71" spans="1:13" ht="18" customHeight="1" thickBot="1" x14ac:dyDescent="0.25">
      <c r="A71" s="3155"/>
      <c r="B71" s="2374" t="s">
        <v>349</v>
      </c>
      <c r="C71" s="521" t="s">
        <v>351</v>
      </c>
      <c r="D71" s="3170"/>
      <c r="E71" s="2375" t="s">
        <v>349</v>
      </c>
      <c r="F71" s="521" t="s">
        <v>351</v>
      </c>
      <c r="G71" s="3170"/>
      <c r="H71" s="3172"/>
      <c r="I71" s="3174"/>
      <c r="J71" s="2373" t="s">
        <v>1986</v>
      </c>
      <c r="K71" s="3172"/>
      <c r="L71" s="3174"/>
      <c r="M71" s="2373" t="s">
        <v>1986</v>
      </c>
    </row>
    <row r="72" spans="1:13" ht="18" customHeight="1" x14ac:dyDescent="0.2">
      <c r="A72" s="1304" t="s">
        <v>1386</v>
      </c>
      <c r="B72" s="577"/>
      <c r="C72" s="527"/>
      <c r="D72" s="525"/>
      <c r="E72" s="526"/>
      <c r="F72" s="527"/>
      <c r="G72" s="528"/>
      <c r="H72" s="526"/>
      <c r="I72" s="527"/>
      <c r="J72" s="529"/>
      <c r="K72" s="530"/>
      <c r="L72" s="531"/>
      <c r="M72" s="532"/>
    </row>
    <row r="73" spans="1:13" ht="18" customHeight="1" x14ac:dyDescent="0.2">
      <c r="A73" s="602" t="s">
        <v>1369</v>
      </c>
      <c r="B73" s="533">
        <v>420.5</v>
      </c>
      <c r="C73" s="534">
        <v>383.3</v>
      </c>
      <c r="D73" s="535">
        <v>803.8</v>
      </c>
      <c r="E73" s="536">
        <v>453</v>
      </c>
      <c r="F73" s="534">
        <v>417</v>
      </c>
      <c r="G73" s="537">
        <v>870</v>
      </c>
      <c r="H73" s="538">
        <v>7.7288941736028534</v>
      </c>
      <c r="I73" s="539">
        <v>8.7920688755543921</v>
      </c>
      <c r="J73" s="540">
        <v>8.235879572032843</v>
      </c>
      <c r="K73" s="541">
        <v>32.5</v>
      </c>
      <c r="L73" s="542">
        <v>33.699999999999989</v>
      </c>
      <c r="M73" s="543">
        <v>66.200000000000045</v>
      </c>
    </row>
    <row r="74" spans="1:13" ht="18" customHeight="1" x14ac:dyDescent="0.2">
      <c r="A74" s="602" t="s">
        <v>1370</v>
      </c>
      <c r="B74" s="533">
        <v>407.56799999999998</v>
      </c>
      <c r="C74" s="534">
        <v>366.52</v>
      </c>
      <c r="D74" s="535">
        <v>774.08799999999997</v>
      </c>
      <c r="E74" s="536">
        <v>439</v>
      </c>
      <c r="F74" s="534">
        <v>387.5</v>
      </c>
      <c r="G74" s="537">
        <v>826.5</v>
      </c>
      <c r="H74" s="538">
        <v>7.7120873081301795</v>
      </c>
      <c r="I74" s="539">
        <v>5.7241078249481632</v>
      </c>
      <c r="J74" s="540">
        <v>6.7708064199419198</v>
      </c>
      <c r="K74" s="541">
        <v>31.432000000000016</v>
      </c>
      <c r="L74" s="542">
        <v>20.980000000000018</v>
      </c>
      <c r="M74" s="543">
        <v>52.412000000000035</v>
      </c>
    </row>
    <row r="75" spans="1:13" ht="18" customHeight="1" x14ac:dyDescent="0.2">
      <c r="A75" s="602" t="s">
        <v>1483</v>
      </c>
      <c r="B75" s="547">
        <v>4385.0859999999993</v>
      </c>
      <c r="C75" s="534">
        <v>3666.32</v>
      </c>
      <c r="D75" s="535">
        <v>8051.405999999999</v>
      </c>
      <c r="E75" s="536">
        <v>5082</v>
      </c>
      <c r="F75" s="534">
        <v>3698</v>
      </c>
      <c r="G75" s="578">
        <v>8780</v>
      </c>
      <c r="H75" s="538">
        <v>15.892823994785971</v>
      </c>
      <c r="I75" s="539">
        <v>0.86408169499661369</v>
      </c>
      <c r="J75" s="540">
        <v>9.0492766108180405</v>
      </c>
      <c r="K75" s="541">
        <v>696.91400000000067</v>
      </c>
      <c r="L75" s="542">
        <v>31.679999999999836</v>
      </c>
      <c r="M75" s="543">
        <v>728.59400000000096</v>
      </c>
    </row>
    <row r="76" spans="1:13" ht="18" customHeight="1" x14ac:dyDescent="0.2">
      <c r="A76" s="602" t="s">
        <v>1372</v>
      </c>
      <c r="B76" s="1301">
        <v>10.759151847053742</v>
      </c>
      <c r="C76" s="1292">
        <v>10.003055767761651</v>
      </c>
      <c r="D76" s="1291">
        <v>10.401150773555461</v>
      </c>
      <c r="E76" s="536">
        <v>11.57630979498861</v>
      </c>
      <c r="F76" s="534">
        <v>9.5432258064516127</v>
      </c>
      <c r="G76" s="1291">
        <v>10.623109497882638</v>
      </c>
      <c r="H76" s="538">
        <v>7.5950033938654542</v>
      </c>
      <c r="I76" s="539">
        <v>-4.5968949087737911</v>
      </c>
      <c r="J76" s="540">
        <v>2.133982375214643</v>
      </c>
      <c r="K76" s="1301">
        <v>0.81715794793486829</v>
      </c>
      <c r="L76" s="1292">
        <v>-0.45982996131003873</v>
      </c>
      <c r="M76" s="1293">
        <v>0.22195872432717678</v>
      </c>
    </row>
    <row r="77" spans="1:13" ht="18" customHeight="1" x14ac:dyDescent="0.2">
      <c r="A77" s="557" t="s">
        <v>1387</v>
      </c>
      <c r="B77" s="547"/>
      <c r="C77" s="534"/>
      <c r="D77" s="535"/>
      <c r="E77" s="536"/>
      <c r="F77" s="534"/>
      <c r="G77" s="578"/>
      <c r="H77" s="538"/>
      <c r="I77" s="539"/>
      <c r="J77" s="540"/>
      <c r="K77" s="541"/>
      <c r="L77" s="542"/>
      <c r="M77" s="543"/>
    </row>
    <row r="78" spans="1:13" ht="18" customHeight="1" x14ac:dyDescent="0.2">
      <c r="A78" s="602" t="s">
        <v>1369</v>
      </c>
      <c r="B78" s="547">
        <v>515.01</v>
      </c>
      <c r="C78" s="534">
        <v>550.48</v>
      </c>
      <c r="D78" s="535">
        <v>1065.49</v>
      </c>
      <c r="E78" s="536">
        <v>574.25</v>
      </c>
      <c r="F78" s="534">
        <v>548.5</v>
      </c>
      <c r="G78" s="578">
        <v>1122.75</v>
      </c>
      <c r="H78" s="538">
        <v>11.502689268169547</v>
      </c>
      <c r="I78" s="539">
        <v>-0.35968609213777825</v>
      </c>
      <c r="J78" s="540">
        <v>5.3740532524941642</v>
      </c>
      <c r="K78" s="541">
        <v>59.240000000000009</v>
      </c>
      <c r="L78" s="542">
        <v>-1.9800000000000182</v>
      </c>
      <c r="M78" s="543">
        <v>57.259999999999991</v>
      </c>
    </row>
    <row r="79" spans="1:13" ht="18" customHeight="1" x14ac:dyDescent="0.2">
      <c r="A79" s="602" t="s">
        <v>1370</v>
      </c>
      <c r="B79" s="547">
        <v>485.69</v>
      </c>
      <c r="C79" s="534">
        <v>504.53</v>
      </c>
      <c r="D79" s="535">
        <v>990.22</v>
      </c>
      <c r="E79" s="536">
        <v>560.25</v>
      </c>
      <c r="F79" s="534">
        <v>544.5</v>
      </c>
      <c r="G79" s="578">
        <v>1104.75</v>
      </c>
      <c r="H79" s="538">
        <v>15.35135580308426</v>
      </c>
      <c r="I79" s="539">
        <v>7.9222246447188525</v>
      </c>
      <c r="J79" s="540">
        <v>11.566116620548968</v>
      </c>
      <c r="K79" s="541">
        <v>74.56</v>
      </c>
      <c r="L79" s="542">
        <v>39.970000000000027</v>
      </c>
      <c r="M79" s="543">
        <v>114.52999999999997</v>
      </c>
    </row>
    <row r="80" spans="1:13" ht="18" customHeight="1" x14ac:dyDescent="0.2">
      <c r="A80" s="602" t="s">
        <v>1484</v>
      </c>
      <c r="B80" s="547">
        <v>1555.2497599999999</v>
      </c>
      <c r="C80" s="534">
        <v>1488.79952</v>
      </c>
      <c r="D80" s="535">
        <v>3044.0492800000002</v>
      </c>
      <c r="E80" s="536">
        <v>2356.1025</v>
      </c>
      <c r="F80" s="534">
        <v>2339.9</v>
      </c>
      <c r="G80" s="578">
        <v>4696.0025000000005</v>
      </c>
      <c r="H80" s="538">
        <v>51.493513170514831</v>
      </c>
      <c r="I80" s="539">
        <v>57.166896453593694</v>
      </c>
      <c r="J80" s="540">
        <v>54.268281096947305</v>
      </c>
      <c r="K80" s="541">
        <v>800.85274000000004</v>
      </c>
      <c r="L80" s="542">
        <v>851.10048000000006</v>
      </c>
      <c r="M80" s="543">
        <v>1651.9532200000003</v>
      </c>
    </row>
    <row r="81" spans="1:13" ht="18" customHeight="1" x14ac:dyDescent="0.2">
      <c r="A81" s="602" t="s">
        <v>1372</v>
      </c>
      <c r="B81" s="1301">
        <v>3.202144907245362</v>
      </c>
      <c r="C81" s="1292">
        <v>2.950864210255089</v>
      </c>
      <c r="D81" s="1291">
        <v>3.0741141160550183</v>
      </c>
      <c r="E81" s="536">
        <v>4.205448460508701</v>
      </c>
      <c r="F81" s="534">
        <v>4.2973370064279157</v>
      </c>
      <c r="G81" s="1291">
        <v>4.2507377234668482</v>
      </c>
      <c r="H81" s="538">
        <v>31.332234559192017</v>
      </c>
      <c r="I81" s="539">
        <v>45.629778269479573</v>
      </c>
      <c r="J81" s="540">
        <v>38.275209149417634</v>
      </c>
      <c r="K81" s="1301">
        <v>1.003303553263339</v>
      </c>
      <c r="L81" s="1292">
        <v>1.3464727961728267</v>
      </c>
      <c r="M81" s="1293">
        <v>1.1766236074118299</v>
      </c>
    </row>
    <row r="82" spans="1:13" ht="18" customHeight="1" x14ac:dyDescent="0.2">
      <c r="A82" s="557" t="s">
        <v>1388</v>
      </c>
      <c r="B82" s="547"/>
      <c r="C82" s="534"/>
      <c r="D82" s="535"/>
      <c r="E82" s="536"/>
      <c r="F82" s="534"/>
      <c r="G82" s="578"/>
      <c r="H82" s="548"/>
      <c r="I82" s="549"/>
      <c r="J82" s="550"/>
      <c r="K82" s="541"/>
      <c r="L82" s="542"/>
      <c r="M82" s="543"/>
    </row>
    <row r="83" spans="1:13" ht="18" customHeight="1" x14ac:dyDescent="0.2">
      <c r="A83" s="602" t="s">
        <v>1369</v>
      </c>
      <c r="B83" s="547">
        <v>284.5</v>
      </c>
      <c r="C83" s="534">
        <v>262.55</v>
      </c>
      <c r="D83" s="535">
        <v>547.04999999999995</v>
      </c>
      <c r="E83" s="536">
        <v>319.5</v>
      </c>
      <c r="F83" s="534">
        <v>282</v>
      </c>
      <c r="G83" s="578">
        <v>601.5</v>
      </c>
      <c r="H83" s="538">
        <v>12.302284710017574</v>
      </c>
      <c r="I83" s="539">
        <v>7.4081127404303828</v>
      </c>
      <c r="J83" s="540">
        <v>9.9533863449410518</v>
      </c>
      <c r="K83" s="541">
        <v>35</v>
      </c>
      <c r="L83" s="542">
        <v>19.449999999999989</v>
      </c>
      <c r="M83" s="543">
        <v>54.450000000000045</v>
      </c>
    </row>
    <row r="84" spans="1:13" ht="18" customHeight="1" x14ac:dyDescent="0.2">
      <c r="A84" s="602" t="s">
        <v>1370</v>
      </c>
      <c r="B84" s="547">
        <v>273.75</v>
      </c>
      <c r="C84" s="534">
        <v>254.84000000000003</v>
      </c>
      <c r="D84" s="535">
        <v>528.59</v>
      </c>
      <c r="E84" s="536">
        <v>309</v>
      </c>
      <c r="F84" s="534">
        <v>267</v>
      </c>
      <c r="G84" s="578">
        <v>576</v>
      </c>
      <c r="H84" s="538">
        <v>12.876712328767127</v>
      </c>
      <c r="I84" s="539">
        <v>4.7716214095118374</v>
      </c>
      <c r="J84" s="540">
        <v>8.9691443273614624</v>
      </c>
      <c r="K84" s="541">
        <v>35.25</v>
      </c>
      <c r="L84" s="542">
        <v>12.159999999999968</v>
      </c>
      <c r="M84" s="543">
        <v>47.409999999999968</v>
      </c>
    </row>
    <row r="85" spans="1:13" ht="18" customHeight="1" x14ac:dyDescent="0.2">
      <c r="A85" s="602" t="s">
        <v>1484</v>
      </c>
      <c r="B85" s="547">
        <v>1730.98</v>
      </c>
      <c r="C85" s="534">
        <v>1529.6699999999998</v>
      </c>
      <c r="D85" s="535">
        <v>3260.6499999999996</v>
      </c>
      <c r="E85" s="536">
        <v>2128</v>
      </c>
      <c r="F85" s="534">
        <v>1638.5</v>
      </c>
      <c r="G85" s="578">
        <v>3766.5</v>
      </c>
      <c r="H85" s="538">
        <v>22.936140221146402</v>
      </c>
      <c r="I85" s="539">
        <v>7.1146064183778179</v>
      </c>
      <c r="J85" s="540">
        <v>15.513777927713818</v>
      </c>
      <c r="K85" s="541">
        <v>397.02</v>
      </c>
      <c r="L85" s="542">
        <v>108.83000000000015</v>
      </c>
      <c r="M85" s="543">
        <v>505.85000000000036</v>
      </c>
    </row>
    <row r="86" spans="1:13" ht="18" customHeight="1" x14ac:dyDescent="0.2">
      <c r="A86" s="602" t="s">
        <v>1372</v>
      </c>
      <c r="B86" s="1301">
        <v>6.323214611872146</v>
      </c>
      <c r="C86" s="1292">
        <v>6.0024721393815712</v>
      </c>
      <c r="D86" s="1291">
        <v>6.1685805633856097</v>
      </c>
      <c r="E86" s="536">
        <v>6.8867313915857604</v>
      </c>
      <c r="F86" s="534">
        <v>6.1367041198501875</v>
      </c>
      <c r="G86" s="1291">
        <v>6.5390625</v>
      </c>
      <c r="H86" s="538">
        <v>8.9118717978602859</v>
      </c>
      <c r="I86" s="539">
        <v>2.2362782758779503</v>
      </c>
      <c r="J86" s="540">
        <v>6.0059511715455614</v>
      </c>
      <c r="K86" s="1301">
        <v>0.56351677971361447</v>
      </c>
      <c r="L86" s="1292">
        <v>0.13423198046861629</v>
      </c>
      <c r="M86" s="1293">
        <v>0.37048193661439033</v>
      </c>
    </row>
    <row r="87" spans="1:13" ht="18" customHeight="1" x14ac:dyDescent="0.2">
      <c r="A87" s="557" t="s">
        <v>1389</v>
      </c>
      <c r="B87" s="547"/>
      <c r="C87" s="534"/>
      <c r="D87" s="535"/>
      <c r="E87" s="536"/>
      <c r="F87" s="534"/>
      <c r="G87" s="578"/>
      <c r="H87" s="538"/>
      <c r="I87" s="539"/>
      <c r="J87" s="540"/>
      <c r="K87" s="541"/>
      <c r="L87" s="542"/>
      <c r="M87" s="543"/>
    </row>
    <row r="88" spans="1:13" ht="18" customHeight="1" x14ac:dyDescent="0.2">
      <c r="A88" s="602" t="s">
        <v>1369</v>
      </c>
      <c r="B88" s="547">
        <v>939.7</v>
      </c>
      <c r="C88" s="534">
        <v>800.04</v>
      </c>
      <c r="D88" s="535">
        <v>1739.74</v>
      </c>
      <c r="E88" s="536">
        <v>584.5</v>
      </c>
      <c r="F88" s="534">
        <v>486.5</v>
      </c>
      <c r="G88" s="578">
        <v>1071</v>
      </c>
      <c r="H88" s="538">
        <v>-37.799297648185593</v>
      </c>
      <c r="I88" s="539">
        <v>-39.190540472976345</v>
      </c>
      <c r="J88" s="540">
        <v>-38.439077103475228</v>
      </c>
      <c r="K88" s="541">
        <v>-355.20000000000005</v>
      </c>
      <c r="L88" s="542">
        <v>-313.53999999999996</v>
      </c>
      <c r="M88" s="543">
        <v>-668.74</v>
      </c>
    </row>
    <row r="89" spans="1:13" ht="18" customHeight="1" x14ac:dyDescent="0.2">
      <c r="A89" s="602" t="s">
        <v>1370</v>
      </c>
      <c r="B89" s="547">
        <v>897.03</v>
      </c>
      <c r="C89" s="534">
        <v>763.14</v>
      </c>
      <c r="D89" s="535">
        <v>1660.17</v>
      </c>
      <c r="E89" s="536">
        <v>548.5</v>
      </c>
      <c r="F89" s="534">
        <v>468</v>
      </c>
      <c r="G89" s="578">
        <v>1016.5</v>
      </c>
      <c r="H89" s="538">
        <v>-38.853773006476935</v>
      </c>
      <c r="I89" s="539">
        <v>-38.674424089944182</v>
      </c>
      <c r="J89" s="540">
        <v>-38.771330646861472</v>
      </c>
      <c r="K89" s="541">
        <v>-348.53</v>
      </c>
      <c r="L89" s="542">
        <v>-295.14</v>
      </c>
      <c r="M89" s="543">
        <v>-643.67000000000007</v>
      </c>
    </row>
    <row r="90" spans="1:13" ht="18" customHeight="1" x14ac:dyDescent="0.2">
      <c r="A90" s="602" t="s">
        <v>1485</v>
      </c>
      <c r="B90" s="547">
        <v>5239.2510000000002</v>
      </c>
      <c r="C90" s="534">
        <v>4387.6080000000002</v>
      </c>
      <c r="D90" s="535">
        <v>9626.8590000000004</v>
      </c>
      <c r="E90" s="536">
        <v>3263.89</v>
      </c>
      <c r="F90" s="534">
        <v>2571.08</v>
      </c>
      <c r="G90" s="578">
        <v>5834.9699999999993</v>
      </c>
      <c r="H90" s="538">
        <v>-37.703118251062996</v>
      </c>
      <c r="I90" s="539">
        <v>-41.40132846872374</v>
      </c>
      <c r="J90" s="540">
        <v>-39.388641715849381</v>
      </c>
      <c r="K90" s="541">
        <v>-1975.3610000000003</v>
      </c>
      <c r="L90" s="542">
        <v>-1816.5280000000002</v>
      </c>
      <c r="M90" s="543">
        <v>-3791.889000000001</v>
      </c>
    </row>
    <row r="91" spans="1:13" ht="18" customHeight="1" x14ac:dyDescent="0.2">
      <c r="A91" s="602" t="s">
        <v>1372</v>
      </c>
      <c r="B91" s="1301">
        <v>5.8406641918330493</v>
      </c>
      <c r="C91" s="1292">
        <v>5.7494142621275257</v>
      </c>
      <c r="D91" s="1291">
        <v>5.7987188059054189</v>
      </c>
      <c r="E91" s="536">
        <v>5.9505742935278025</v>
      </c>
      <c r="F91" s="534">
        <v>5.4937606837606836</v>
      </c>
      <c r="G91" s="1291">
        <v>5.740255779636005</v>
      </c>
      <c r="H91" s="538">
        <v>1.8818082684575472</v>
      </c>
      <c r="I91" s="539">
        <v>-4.4466021530380999</v>
      </c>
      <c r="J91" s="540">
        <v>-1.0082059197261799</v>
      </c>
      <c r="K91" s="1301">
        <v>0.10991010169475324</v>
      </c>
      <c r="L91" s="1292">
        <v>-0.2556535783668421</v>
      </c>
      <c r="M91" s="1293">
        <v>-5.8463026269413909E-2</v>
      </c>
    </row>
    <row r="92" spans="1:13" ht="18" customHeight="1" x14ac:dyDescent="0.2">
      <c r="A92" s="557" t="s">
        <v>1390</v>
      </c>
      <c r="B92" s="547"/>
      <c r="C92" s="534"/>
      <c r="D92" s="535"/>
      <c r="E92" s="536"/>
      <c r="F92" s="534"/>
      <c r="G92" s="578"/>
      <c r="H92" s="538"/>
      <c r="I92" s="539"/>
      <c r="J92" s="540"/>
      <c r="K92" s="541"/>
      <c r="L92" s="542"/>
      <c r="M92" s="543"/>
    </row>
    <row r="93" spans="1:13" ht="18" customHeight="1" x14ac:dyDescent="0.2">
      <c r="A93" s="602" t="s">
        <v>1369</v>
      </c>
      <c r="B93" s="547">
        <v>61.7</v>
      </c>
      <c r="C93" s="534">
        <v>32.300000000000004</v>
      </c>
      <c r="D93" s="535">
        <v>94</v>
      </c>
      <c r="E93" s="536">
        <v>48.5</v>
      </c>
      <c r="F93" s="534">
        <v>44</v>
      </c>
      <c r="G93" s="578">
        <v>92.5</v>
      </c>
      <c r="H93" s="538">
        <v>-21.393841166936795</v>
      </c>
      <c r="I93" s="539">
        <v>36.222910216718248</v>
      </c>
      <c r="J93" s="540">
        <v>-1.5957446808510696</v>
      </c>
      <c r="K93" s="541">
        <v>-13.200000000000003</v>
      </c>
      <c r="L93" s="542">
        <v>11.699999999999996</v>
      </c>
      <c r="M93" s="543">
        <v>-1.5</v>
      </c>
    </row>
    <row r="94" spans="1:13" ht="18" customHeight="1" x14ac:dyDescent="0.2">
      <c r="A94" s="602" t="s">
        <v>1370</v>
      </c>
      <c r="B94" s="547">
        <v>58.000000000000007</v>
      </c>
      <c r="C94" s="534">
        <v>28.61</v>
      </c>
      <c r="D94" s="535">
        <v>86.610000000000014</v>
      </c>
      <c r="E94" s="536">
        <v>47.5</v>
      </c>
      <c r="F94" s="534">
        <v>43</v>
      </c>
      <c r="G94" s="578">
        <v>90.5</v>
      </c>
      <c r="H94" s="538">
        <v>-18.103448275862078</v>
      </c>
      <c r="I94" s="539">
        <v>50.297098916462772</v>
      </c>
      <c r="J94" s="540">
        <v>4.4913982219143094</v>
      </c>
      <c r="K94" s="541">
        <v>-10.500000000000007</v>
      </c>
      <c r="L94" s="542">
        <v>14.39</v>
      </c>
      <c r="M94" s="543">
        <v>3.8899999999999864</v>
      </c>
    </row>
    <row r="95" spans="1:13" ht="18" customHeight="1" x14ac:dyDescent="0.2">
      <c r="A95" s="602" t="s">
        <v>1486</v>
      </c>
      <c r="B95" s="547">
        <v>325.60000000000002</v>
      </c>
      <c r="C95" s="534">
        <v>308.01</v>
      </c>
      <c r="D95" s="535">
        <v>633.61</v>
      </c>
      <c r="E95" s="536">
        <v>419</v>
      </c>
      <c r="F95" s="534">
        <v>356</v>
      </c>
      <c r="G95" s="578">
        <v>775</v>
      </c>
      <c r="H95" s="538">
        <v>28.685503685503676</v>
      </c>
      <c r="I95" s="539">
        <v>15.580662965488145</v>
      </c>
      <c r="J95" s="540">
        <v>22.314988715455868</v>
      </c>
      <c r="K95" s="541">
        <v>93.399999999999977</v>
      </c>
      <c r="L95" s="542">
        <v>47.990000000000009</v>
      </c>
      <c r="M95" s="543">
        <v>141.38999999999999</v>
      </c>
    </row>
    <row r="96" spans="1:13" ht="18" customHeight="1" x14ac:dyDescent="0.2">
      <c r="A96" s="602" t="s">
        <v>1372</v>
      </c>
      <c r="B96" s="1301">
        <v>5.613793103448276</v>
      </c>
      <c r="C96" s="1292">
        <v>10.76581614819993</v>
      </c>
      <c r="D96" s="1291">
        <v>7.3156679367278592</v>
      </c>
      <c r="E96" s="536">
        <v>8.8210526315789473</v>
      </c>
      <c r="F96" s="534">
        <v>8.279069767441861</v>
      </c>
      <c r="G96" s="1291">
        <v>8.5635359116022105</v>
      </c>
      <c r="H96" s="538">
        <v>57.131772921246608</v>
      </c>
      <c r="I96" s="539">
        <v>-23.098540292032183</v>
      </c>
      <c r="J96" s="540">
        <v>17.057471520946251</v>
      </c>
      <c r="K96" s="1301">
        <v>3.2072595281306713</v>
      </c>
      <c r="L96" s="1292">
        <v>-2.4867463807580688</v>
      </c>
      <c r="M96" s="1293">
        <v>1.2478679748743513</v>
      </c>
    </row>
    <row r="97" spans="1:13" ht="18" customHeight="1" x14ac:dyDescent="0.2">
      <c r="A97" s="557" t="s">
        <v>1391</v>
      </c>
      <c r="B97" s="547"/>
      <c r="C97" s="534"/>
      <c r="D97" s="535"/>
      <c r="E97" s="536"/>
      <c r="F97" s="534"/>
      <c r="G97" s="578"/>
      <c r="H97" s="538"/>
      <c r="I97" s="539"/>
      <c r="J97" s="540"/>
      <c r="K97" s="541"/>
      <c r="L97" s="542"/>
      <c r="M97" s="543"/>
    </row>
    <row r="98" spans="1:13" ht="18" customHeight="1" x14ac:dyDescent="0.2">
      <c r="A98" s="602" t="s">
        <v>1369</v>
      </c>
      <c r="B98" s="547">
        <v>424.87</v>
      </c>
      <c r="C98" s="534">
        <v>437</v>
      </c>
      <c r="D98" s="535">
        <v>861.87</v>
      </c>
      <c r="E98" s="536">
        <v>458</v>
      </c>
      <c r="F98" s="534">
        <v>401</v>
      </c>
      <c r="G98" s="578">
        <v>859</v>
      </c>
      <c r="H98" s="538">
        <v>7.7976792901357896</v>
      </c>
      <c r="I98" s="539">
        <v>-8.2379862700228728</v>
      </c>
      <c r="J98" s="540">
        <v>-0.33299685567429549</v>
      </c>
      <c r="K98" s="541">
        <v>33.129999999999995</v>
      </c>
      <c r="L98" s="542">
        <v>-36</v>
      </c>
      <c r="M98" s="543">
        <v>-2.8700000000000045</v>
      </c>
    </row>
    <row r="99" spans="1:13" ht="18" customHeight="1" x14ac:dyDescent="0.2">
      <c r="A99" s="602" t="s">
        <v>1370</v>
      </c>
      <c r="B99" s="547">
        <v>416.48</v>
      </c>
      <c r="C99" s="534">
        <v>409.5</v>
      </c>
      <c r="D99" s="535">
        <v>825.98</v>
      </c>
      <c r="E99" s="536">
        <v>450</v>
      </c>
      <c r="F99" s="534">
        <v>399</v>
      </c>
      <c r="G99" s="578">
        <v>849</v>
      </c>
      <c r="H99" s="538">
        <v>8.0484056857472126</v>
      </c>
      <c r="I99" s="539">
        <v>-2.5641025641025692</v>
      </c>
      <c r="J99" s="540">
        <v>2.7869924211239834</v>
      </c>
      <c r="K99" s="541">
        <v>33.519999999999982</v>
      </c>
      <c r="L99" s="542">
        <v>-10.5</v>
      </c>
      <c r="M99" s="543">
        <v>23.019999999999982</v>
      </c>
    </row>
    <row r="100" spans="1:13" ht="18" customHeight="1" x14ac:dyDescent="0.2">
      <c r="A100" s="602" t="s">
        <v>1483</v>
      </c>
      <c r="B100" s="547">
        <v>8711.73</v>
      </c>
      <c r="C100" s="534">
        <v>9529.33</v>
      </c>
      <c r="D100" s="535">
        <v>18241.059999999998</v>
      </c>
      <c r="E100" s="536">
        <v>9225</v>
      </c>
      <c r="F100" s="534">
        <v>8429</v>
      </c>
      <c r="G100" s="578">
        <v>17654</v>
      </c>
      <c r="H100" s="538">
        <v>5.8917115199851366</v>
      </c>
      <c r="I100" s="539">
        <v>-11.546771913660251</v>
      </c>
      <c r="J100" s="540">
        <v>-3.2183436708173616</v>
      </c>
      <c r="K100" s="541">
        <v>513.27000000000044</v>
      </c>
      <c r="L100" s="542">
        <v>-1100.33</v>
      </c>
      <c r="M100" s="543">
        <v>-587.05999999999767</v>
      </c>
    </row>
    <row r="101" spans="1:13" ht="18" customHeight="1" x14ac:dyDescent="0.2">
      <c r="A101" s="602" t="s">
        <v>1372</v>
      </c>
      <c r="B101" s="1301">
        <v>20.917523050326544</v>
      </c>
      <c r="C101" s="1292">
        <v>23.270647130647131</v>
      </c>
      <c r="D101" s="1291">
        <v>22.084142473183366</v>
      </c>
      <c r="E101" s="536">
        <v>20.5</v>
      </c>
      <c r="F101" s="534">
        <v>21.125313283208019</v>
      </c>
      <c r="G101" s="1291">
        <v>20.793875147232036</v>
      </c>
      <c r="H101" s="538">
        <v>-1.9960444136813038</v>
      </c>
      <c r="I101" s="539">
        <v>-9.219055385072366</v>
      </c>
      <c r="J101" s="540">
        <v>-5.8425058954319553</v>
      </c>
      <c r="K101" s="1301">
        <v>-0.41752305032654391</v>
      </c>
      <c r="L101" s="1292">
        <v>-2.1453338474391117</v>
      </c>
      <c r="M101" s="1293">
        <v>-1.29026732595133</v>
      </c>
    </row>
    <row r="102" spans="1:13" ht="15" x14ac:dyDescent="0.2">
      <c r="A102" s="583"/>
      <c r="B102" s="584"/>
      <c r="C102" s="584"/>
      <c r="D102" s="584"/>
      <c r="E102" s="584"/>
      <c r="F102" s="584"/>
      <c r="G102" s="584"/>
      <c r="H102" s="585"/>
      <c r="I102" s="585"/>
      <c r="J102" s="585"/>
      <c r="K102" s="584"/>
      <c r="L102" s="584"/>
      <c r="M102" s="584"/>
    </row>
    <row r="103" spans="1:13" ht="15" x14ac:dyDescent="0.2">
      <c r="A103" s="7" t="s">
        <v>1934</v>
      </c>
      <c r="B103" s="572"/>
      <c r="C103" s="572"/>
      <c r="D103" s="572"/>
      <c r="E103" s="572"/>
      <c r="F103" s="572"/>
      <c r="G103" s="513"/>
      <c r="H103" s="512"/>
      <c r="I103" s="512"/>
      <c r="J103" s="512"/>
      <c r="K103" s="512"/>
      <c r="L103" s="512"/>
      <c r="M103" s="512"/>
    </row>
    <row r="104" spans="1:13" ht="15.75" x14ac:dyDescent="0.2">
      <c r="A104" s="511" t="s">
        <v>1392</v>
      </c>
      <c r="B104" s="512"/>
      <c r="C104" s="512"/>
      <c r="D104" s="512"/>
      <c r="E104" s="512"/>
      <c r="F104" s="512"/>
      <c r="G104" s="513"/>
      <c r="H104" s="512"/>
      <c r="I104" s="512"/>
      <c r="J104" s="512"/>
      <c r="K104" s="512"/>
      <c r="L104" s="512"/>
      <c r="M104" s="512"/>
    </row>
    <row r="105" spans="1:13" ht="15" x14ac:dyDescent="0.2">
      <c r="A105" s="575"/>
      <c r="B105" s="512"/>
      <c r="C105" s="512"/>
      <c r="D105" s="512"/>
      <c r="E105" s="512"/>
      <c r="F105" s="512"/>
      <c r="G105" s="513"/>
      <c r="H105" s="512"/>
      <c r="I105" s="512"/>
      <c r="J105" s="512"/>
      <c r="K105" s="512"/>
      <c r="L105" s="512"/>
      <c r="M105" s="512"/>
    </row>
    <row r="106" spans="1:13" ht="15" x14ac:dyDescent="0.2">
      <c r="A106" s="512"/>
      <c r="B106" s="512"/>
      <c r="C106" s="512"/>
      <c r="D106" s="512"/>
      <c r="E106" s="512"/>
      <c r="F106" s="512"/>
      <c r="G106" s="513"/>
      <c r="H106" s="512"/>
      <c r="I106" s="512"/>
      <c r="J106" s="512"/>
      <c r="K106" s="512"/>
      <c r="L106" s="512"/>
      <c r="M106" s="512"/>
    </row>
    <row r="107" spans="1:13" ht="15" x14ac:dyDescent="0.2">
      <c r="A107" s="512"/>
      <c r="B107" s="512"/>
      <c r="C107" s="512"/>
      <c r="D107" s="512"/>
      <c r="E107" s="512"/>
      <c r="F107" s="512"/>
      <c r="G107" s="513"/>
      <c r="H107" s="512"/>
      <c r="I107" s="512"/>
      <c r="J107" s="512"/>
      <c r="K107" s="512"/>
      <c r="L107" s="512"/>
      <c r="M107" s="512"/>
    </row>
    <row r="108" spans="1:13" ht="15" x14ac:dyDescent="0.2">
      <c r="A108" s="512"/>
      <c r="B108" s="512"/>
      <c r="C108" s="512"/>
      <c r="D108" s="512"/>
      <c r="E108" s="512"/>
      <c r="F108" s="512"/>
      <c r="G108" s="513"/>
      <c r="H108" s="512"/>
      <c r="I108" s="512"/>
      <c r="J108" s="512"/>
      <c r="K108" s="512"/>
      <c r="L108" s="512"/>
      <c r="M108" s="512"/>
    </row>
    <row r="109" spans="1:13" ht="15" x14ac:dyDescent="0.2">
      <c r="A109" s="512"/>
      <c r="B109" s="512"/>
      <c r="C109" s="512"/>
      <c r="D109" s="512"/>
      <c r="E109" s="512"/>
      <c r="F109" s="512"/>
      <c r="G109" s="513"/>
      <c r="H109" s="512"/>
      <c r="I109" s="512"/>
      <c r="J109" s="512"/>
      <c r="K109" s="512"/>
      <c r="L109" s="512"/>
      <c r="M109" s="512"/>
    </row>
    <row r="110" spans="1:13" ht="15" x14ac:dyDescent="0.2">
      <c r="A110" s="512"/>
      <c r="B110" s="512"/>
      <c r="C110" s="512"/>
      <c r="D110" s="512"/>
      <c r="E110" s="512"/>
      <c r="F110" s="512"/>
      <c r="G110" s="513"/>
      <c r="H110" s="512"/>
      <c r="I110" s="512"/>
      <c r="J110" s="512"/>
      <c r="K110" s="512"/>
      <c r="L110" s="512"/>
      <c r="M110" s="512"/>
    </row>
    <row r="111" spans="1:13" ht="15.75" x14ac:dyDescent="0.2">
      <c r="A111" s="510"/>
      <c r="B111" s="510"/>
      <c r="C111" s="511"/>
      <c r="D111" s="510"/>
      <c r="E111" s="510"/>
      <c r="F111" s="510"/>
      <c r="G111" s="263"/>
      <c r="H111" s="512"/>
      <c r="I111" s="512"/>
      <c r="J111" s="512"/>
      <c r="K111" s="512"/>
      <c r="L111" s="512"/>
      <c r="M111" s="512"/>
    </row>
    <row r="112" spans="1:13" ht="15.75" x14ac:dyDescent="0.2">
      <c r="A112" s="510"/>
      <c r="B112" s="510"/>
      <c r="C112" s="511"/>
      <c r="D112" s="510"/>
      <c r="E112" s="510"/>
      <c r="F112" s="510"/>
      <c r="G112" s="263"/>
      <c r="H112" s="512"/>
      <c r="I112" s="512"/>
      <c r="J112" s="512"/>
      <c r="K112" s="512"/>
      <c r="L112" s="512"/>
      <c r="M112" s="512"/>
    </row>
    <row r="113" spans="1:13" ht="15.75" x14ac:dyDescent="0.2">
      <c r="A113" s="510"/>
      <c r="B113" s="510"/>
      <c r="C113" s="511"/>
      <c r="D113" s="510"/>
      <c r="E113" s="510"/>
      <c r="F113" s="510"/>
      <c r="G113" s="263"/>
      <c r="H113" s="512"/>
      <c r="I113" s="512"/>
      <c r="J113" s="512"/>
      <c r="K113" s="512"/>
      <c r="L113" s="512"/>
      <c r="M113" s="512"/>
    </row>
    <row r="114" spans="1:13" ht="15" x14ac:dyDescent="0.2">
      <c r="A114" s="510"/>
      <c r="B114" s="510"/>
      <c r="C114" s="510"/>
      <c r="D114" s="510"/>
      <c r="E114" s="510"/>
      <c r="F114" s="510"/>
      <c r="G114" s="263"/>
      <c r="H114" s="512"/>
      <c r="I114" s="512"/>
      <c r="J114" s="512"/>
      <c r="K114" s="512"/>
      <c r="L114" s="512"/>
      <c r="M114" s="512"/>
    </row>
    <row r="115" spans="1:13" ht="15.75" x14ac:dyDescent="0.2">
      <c r="A115" s="3152" t="s">
        <v>1988</v>
      </c>
      <c r="B115" s="3152"/>
      <c r="C115" s="3152"/>
      <c r="D115" s="3152"/>
      <c r="E115" s="3152"/>
      <c r="F115" s="3152"/>
      <c r="G115" s="3152"/>
      <c r="H115" s="3152"/>
      <c r="I115" s="3152"/>
      <c r="J115" s="3152"/>
      <c r="K115" s="3152"/>
      <c r="L115" s="3152"/>
      <c r="M115" s="3152"/>
    </row>
    <row r="116" spans="1:13" ht="15.75" thickBot="1" x14ac:dyDescent="0.25">
      <c r="A116" s="512"/>
      <c r="B116" s="512"/>
      <c r="C116" s="512"/>
      <c r="D116" s="512"/>
      <c r="E116" s="512"/>
      <c r="F116" s="512"/>
      <c r="G116" s="513"/>
      <c r="H116" s="512"/>
      <c r="I116" s="512"/>
      <c r="J116" s="512"/>
      <c r="K116" s="512"/>
      <c r="L116" s="512"/>
      <c r="M116" s="512"/>
    </row>
    <row r="117" spans="1:13" ht="18" customHeight="1" thickBot="1" x14ac:dyDescent="0.25">
      <c r="A117" s="3153" t="s">
        <v>1385</v>
      </c>
      <c r="B117" s="3156">
        <v>2022</v>
      </c>
      <c r="C117" s="3157"/>
      <c r="D117" s="3158" t="s">
        <v>1363</v>
      </c>
      <c r="E117" s="3160">
        <v>2023</v>
      </c>
      <c r="F117" s="3157"/>
      <c r="G117" s="3158" t="s">
        <v>1363</v>
      </c>
      <c r="H117" s="3161" t="s">
        <v>1364</v>
      </c>
      <c r="I117" s="3162"/>
      <c r="J117" s="3162"/>
      <c r="K117" s="3162"/>
      <c r="L117" s="3162"/>
      <c r="M117" s="3163"/>
    </row>
    <row r="118" spans="1:13" ht="18" customHeight="1" x14ac:dyDescent="0.2">
      <c r="A118" s="3154"/>
      <c r="B118" s="3164" t="s">
        <v>1365</v>
      </c>
      <c r="C118" s="3165"/>
      <c r="D118" s="3159"/>
      <c r="E118" s="3166" t="s">
        <v>1365</v>
      </c>
      <c r="F118" s="3165"/>
      <c r="G118" s="3159"/>
      <c r="H118" s="3167" t="s">
        <v>1366</v>
      </c>
      <c r="I118" s="3168"/>
      <c r="J118" s="3169"/>
      <c r="K118" s="3167" t="s">
        <v>1367</v>
      </c>
      <c r="L118" s="3168"/>
      <c r="M118" s="3169"/>
    </row>
    <row r="119" spans="1:13" ht="18" customHeight="1" x14ac:dyDescent="0.2">
      <c r="A119" s="3154"/>
      <c r="B119" s="516"/>
      <c r="C119" s="517"/>
      <c r="D119" s="3159">
        <v>2022</v>
      </c>
      <c r="E119" s="518"/>
      <c r="F119" s="517"/>
      <c r="G119" s="3159">
        <v>2023</v>
      </c>
      <c r="H119" s="3171" t="s">
        <v>1984</v>
      </c>
      <c r="I119" s="3173" t="s">
        <v>1985</v>
      </c>
      <c r="J119" s="519" t="s">
        <v>433</v>
      </c>
      <c r="K119" s="3171" t="s">
        <v>1984</v>
      </c>
      <c r="L119" s="3173" t="s">
        <v>1985</v>
      </c>
      <c r="M119" s="519" t="s">
        <v>433</v>
      </c>
    </row>
    <row r="120" spans="1:13" ht="18" customHeight="1" thickBot="1" x14ac:dyDescent="0.25">
      <c r="A120" s="3155"/>
      <c r="B120" s="2374" t="s">
        <v>349</v>
      </c>
      <c r="C120" s="521" t="s">
        <v>351</v>
      </c>
      <c r="D120" s="3170"/>
      <c r="E120" s="2375" t="s">
        <v>349</v>
      </c>
      <c r="F120" s="521" t="s">
        <v>351</v>
      </c>
      <c r="G120" s="3170"/>
      <c r="H120" s="3172"/>
      <c r="I120" s="3174"/>
      <c r="J120" s="2373" t="s">
        <v>1986</v>
      </c>
      <c r="K120" s="3172"/>
      <c r="L120" s="3174"/>
      <c r="M120" s="2373" t="s">
        <v>1986</v>
      </c>
    </row>
    <row r="121" spans="1:13" ht="18" customHeight="1" x14ac:dyDescent="0.2">
      <c r="A121" s="1304" t="s">
        <v>1393</v>
      </c>
      <c r="B121" s="577"/>
      <c r="C121" s="527"/>
      <c r="D121" s="525"/>
      <c r="E121" s="526"/>
      <c r="F121" s="527"/>
      <c r="G121" s="528"/>
      <c r="H121" s="526"/>
      <c r="I121" s="527"/>
      <c r="J121" s="529"/>
      <c r="K121" s="530"/>
      <c r="L121" s="531"/>
      <c r="M121" s="532"/>
    </row>
    <row r="122" spans="1:13" ht="18" customHeight="1" x14ac:dyDescent="0.2">
      <c r="A122" s="602" t="s">
        <v>1369</v>
      </c>
      <c r="B122" s="533">
        <v>29</v>
      </c>
      <c r="C122" s="534">
        <v>17</v>
      </c>
      <c r="D122" s="535">
        <v>46</v>
      </c>
      <c r="E122" s="536">
        <v>26</v>
      </c>
      <c r="F122" s="534">
        <v>30</v>
      </c>
      <c r="G122" s="537">
        <v>56</v>
      </c>
      <c r="H122" s="538">
        <v>-10.34482758620689</v>
      </c>
      <c r="I122" s="539">
        <v>76.470588235294116</v>
      </c>
      <c r="J122" s="540">
        <v>21.739130434782624</v>
      </c>
      <c r="K122" s="541">
        <v>-3</v>
      </c>
      <c r="L122" s="542">
        <v>13</v>
      </c>
      <c r="M122" s="543">
        <v>10</v>
      </c>
    </row>
    <row r="123" spans="1:13" ht="18" customHeight="1" x14ac:dyDescent="0.2">
      <c r="A123" s="602" t="s">
        <v>1370</v>
      </c>
      <c r="B123" s="547">
        <v>26</v>
      </c>
      <c r="C123" s="534">
        <v>17</v>
      </c>
      <c r="D123" s="535">
        <v>43</v>
      </c>
      <c r="E123" s="536">
        <v>26</v>
      </c>
      <c r="F123" s="534">
        <v>27.5</v>
      </c>
      <c r="G123" s="537">
        <v>53.5</v>
      </c>
      <c r="H123" s="538">
        <v>0</v>
      </c>
      <c r="I123" s="539">
        <v>61.764705882352956</v>
      </c>
      <c r="J123" s="540">
        <v>24.418604651162795</v>
      </c>
      <c r="K123" s="541">
        <v>0</v>
      </c>
      <c r="L123" s="542">
        <v>10.5</v>
      </c>
      <c r="M123" s="543">
        <v>10.5</v>
      </c>
    </row>
    <row r="124" spans="1:13" ht="18" customHeight="1" x14ac:dyDescent="0.2">
      <c r="A124" s="602" t="s">
        <v>1487</v>
      </c>
      <c r="B124" s="547">
        <v>158.19999999999999</v>
      </c>
      <c r="C124" s="534">
        <v>93.2</v>
      </c>
      <c r="D124" s="535">
        <v>251.39999999999998</v>
      </c>
      <c r="E124" s="536">
        <v>162</v>
      </c>
      <c r="F124" s="534">
        <v>168.5</v>
      </c>
      <c r="G124" s="578">
        <v>330.5</v>
      </c>
      <c r="H124" s="538">
        <v>2.4020227560050671</v>
      </c>
      <c r="I124" s="539">
        <v>80.793991416309012</v>
      </c>
      <c r="J124" s="540">
        <v>31.463802704852839</v>
      </c>
      <c r="K124" s="541">
        <v>3.8000000000000114</v>
      </c>
      <c r="L124" s="542">
        <v>75.3</v>
      </c>
      <c r="M124" s="543">
        <v>79.100000000000023</v>
      </c>
    </row>
    <row r="125" spans="1:13" ht="18" customHeight="1" x14ac:dyDescent="0.2">
      <c r="A125" s="602" t="s">
        <v>1372</v>
      </c>
      <c r="B125" s="1301">
        <v>6.0846153846153843</v>
      </c>
      <c r="C125" s="1292">
        <v>5.4823529411764707</v>
      </c>
      <c r="D125" s="1291">
        <v>5.8465116279069766</v>
      </c>
      <c r="E125" s="536">
        <v>6.2307692307692308</v>
      </c>
      <c r="F125" s="534">
        <v>6.127272727272727</v>
      </c>
      <c r="G125" s="1291">
        <v>6.1775700934579438</v>
      </c>
      <c r="H125" s="538">
        <v>2.4020227560050671</v>
      </c>
      <c r="I125" s="539">
        <v>11.763558330081935</v>
      </c>
      <c r="J125" s="540">
        <v>5.6624956319377873</v>
      </c>
      <c r="K125" s="1301">
        <v>0.14615384615384652</v>
      </c>
      <c r="L125" s="1292">
        <v>0.64491978609625633</v>
      </c>
      <c r="M125" s="1293">
        <v>0.33105846555096718</v>
      </c>
    </row>
    <row r="126" spans="1:13" ht="18" customHeight="1" x14ac:dyDescent="0.2">
      <c r="A126" s="557" t="s">
        <v>1394</v>
      </c>
      <c r="B126" s="547"/>
      <c r="C126" s="534"/>
      <c r="D126" s="535"/>
      <c r="E126" s="536"/>
      <c r="F126" s="534"/>
      <c r="G126" s="578"/>
      <c r="H126" s="538"/>
      <c r="I126" s="539"/>
      <c r="J126" s="540"/>
      <c r="K126" s="541"/>
      <c r="L126" s="542"/>
      <c r="M126" s="543"/>
    </row>
    <row r="127" spans="1:13" ht="18" customHeight="1" x14ac:dyDescent="0.2">
      <c r="A127" s="602" t="s">
        <v>1369</v>
      </c>
      <c r="B127" s="547">
        <v>107.84</v>
      </c>
      <c r="C127" s="534">
        <v>166.17000000000002</v>
      </c>
      <c r="D127" s="535">
        <v>274.01</v>
      </c>
      <c r="E127" s="536">
        <v>94</v>
      </c>
      <c r="F127" s="534">
        <v>119.2</v>
      </c>
      <c r="G127" s="578">
        <v>213.2</v>
      </c>
      <c r="H127" s="538">
        <v>-12.833827893175069</v>
      </c>
      <c r="I127" s="539"/>
      <c r="J127" s="540">
        <v>-22.192620707273463</v>
      </c>
      <c r="K127" s="541">
        <v>-13.840000000000003</v>
      </c>
      <c r="L127" s="542">
        <v>-46.970000000000013</v>
      </c>
      <c r="M127" s="543">
        <v>-60.81</v>
      </c>
    </row>
    <row r="128" spans="1:13" ht="18" customHeight="1" x14ac:dyDescent="0.2">
      <c r="A128" s="602" t="s">
        <v>1370</v>
      </c>
      <c r="B128" s="547">
        <v>101.85</v>
      </c>
      <c r="C128" s="534">
        <v>161.12</v>
      </c>
      <c r="D128" s="535">
        <v>262.97000000000003</v>
      </c>
      <c r="E128" s="536">
        <v>88</v>
      </c>
      <c r="F128" s="534">
        <v>111.2</v>
      </c>
      <c r="G128" s="578">
        <v>199.2</v>
      </c>
      <c r="H128" s="538">
        <v>-13.598429062346582</v>
      </c>
      <c r="I128" s="539"/>
      <c r="J128" s="540">
        <v>-24.249914438909386</v>
      </c>
      <c r="K128" s="541">
        <v>-13.849999999999994</v>
      </c>
      <c r="L128" s="542">
        <v>-49.92</v>
      </c>
      <c r="M128" s="543">
        <v>-63.770000000000039</v>
      </c>
    </row>
    <row r="129" spans="1:13" ht="18" customHeight="1" x14ac:dyDescent="0.2">
      <c r="A129" s="602" t="s">
        <v>1488</v>
      </c>
      <c r="B129" s="547">
        <v>1153.9099999999999</v>
      </c>
      <c r="C129" s="534">
        <v>1942.1399999999999</v>
      </c>
      <c r="D129" s="535">
        <v>3096.0499999999997</v>
      </c>
      <c r="E129" s="536">
        <v>1132</v>
      </c>
      <c r="F129" s="534">
        <v>1509.3</v>
      </c>
      <c r="G129" s="578">
        <v>2641.3</v>
      </c>
      <c r="H129" s="538">
        <v>-1.8987616018580269</v>
      </c>
      <c r="I129" s="539"/>
      <c r="J129" s="540">
        <v>-14.688070283102647</v>
      </c>
      <c r="K129" s="541">
        <v>-21.909999999999854</v>
      </c>
      <c r="L129" s="542">
        <v>-432.83999999999992</v>
      </c>
      <c r="M129" s="543">
        <v>-454.74999999999955</v>
      </c>
    </row>
    <row r="130" spans="1:13" ht="18" customHeight="1" x14ac:dyDescent="0.2">
      <c r="A130" s="602" t="s">
        <v>1372</v>
      </c>
      <c r="B130" s="1301">
        <v>11.329504172803141</v>
      </c>
      <c r="C130" s="1292">
        <v>12.053997020854021</v>
      </c>
      <c r="D130" s="1291">
        <v>11.77339620489029</v>
      </c>
      <c r="E130" s="536">
        <v>12.863636363636363</v>
      </c>
      <c r="F130" s="534">
        <v>13.572841726618705</v>
      </c>
      <c r="G130" s="1291">
        <v>13.259538152610443</v>
      </c>
      <c r="H130" s="538">
        <v>13.541035577849556</v>
      </c>
      <c r="I130" s="539"/>
      <c r="J130" s="540">
        <v>12.622882317532614</v>
      </c>
      <c r="K130" s="1301">
        <v>1.5341321908332226</v>
      </c>
      <c r="L130" s="1292"/>
      <c r="M130" s="1293">
        <v>1.486141947720153</v>
      </c>
    </row>
    <row r="131" spans="1:13" ht="18" customHeight="1" x14ac:dyDescent="0.2">
      <c r="A131" s="557" t="s">
        <v>1395</v>
      </c>
      <c r="B131" s="547"/>
      <c r="C131" s="534"/>
      <c r="D131" s="535"/>
      <c r="E131" s="536"/>
      <c r="F131" s="534"/>
      <c r="G131" s="578"/>
      <c r="H131" s="548"/>
      <c r="I131" s="549"/>
      <c r="J131" s="550"/>
      <c r="K131" s="541"/>
      <c r="L131" s="542"/>
      <c r="M131" s="543"/>
    </row>
    <row r="132" spans="1:13" ht="18" customHeight="1" x14ac:dyDescent="0.2">
      <c r="A132" s="602" t="s">
        <v>1369</v>
      </c>
      <c r="B132" s="547">
        <v>140.11000000000001</v>
      </c>
      <c r="C132" s="534">
        <v>128</v>
      </c>
      <c r="D132" s="535">
        <v>268.11</v>
      </c>
      <c r="E132" s="536">
        <v>161.75</v>
      </c>
      <c r="F132" s="534">
        <v>148.25</v>
      </c>
      <c r="G132" s="578">
        <v>310</v>
      </c>
      <c r="H132" s="538">
        <v>15.445007494111749</v>
      </c>
      <c r="I132" s="539">
        <v>15.8203125</v>
      </c>
      <c r="J132" s="540">
        <v>15.624184103539591</v>
      </c>
      <c r="K132" s="541">
        <v>21.639999999999986</v>
      </c>
      <c r="L132" s="542">
        <v>20.25</v>
      </c>
      <c r="M132" s="543">
        <v>41.889999999999986</v>
      </c>
    </row>
    <row r="133" spans="1:13" ht="18" customHeight="1" x14ac:dyDescent="0.2">
      <c r="A133" s="602" t="s">
        <v>1370</v>
      </c>
      <c r="B133" s="547">
        <v>130.72</v>
      </c>
      <c r="C133" s="534">
        <v>114.98</v>
      </c>
      <c r="D133" s="535">
        <v>245.7</v>
      </c>
      <c r="E133" s="536">
        <v>148.75</v>
      </c>
      <c r="F133" s="534">
        <v>133.75</v>
      </c>
      <c r="G133" s="578">
        <v>282.5</v>
      </c>
      <c r="H133" s="538">
        <v>13.792839657282755</v>
      </c>
      <c r="I133" s="539">
        <v>16.32457818751088</v>
      </c>
      <c r="J133" s="540">
        <v>14.977614977614991</v>
      </c>
      <c r="K133" s="541">
        <v>18.03</v>
      </c>
      <c r="L133" s="542">
        <v>18.769999999999996</v>
      </c>
      <c r="M133" s="543">
        <v>36.800000000000011</v>
      </c>
    </row>
    <row r="134" spans="1:13" ht="18" customHeight="1" x14ac:dyDescent="0.2">
      <c r="A134" s="602" t="s">
        <v>1488</v>
      </c>
      <c r="B134" s="547">
        <v>1243.1399999999999</v>
      </c>
      <c r="C134" s="534">
        <v>1055.46</v>
      </c>
      <c r="D134" s="535">
        <v>2298.6</v>
      </c>
      <c r="E134" s="536">
        <v>1474</v>
      </c>
      <c r="F134" s="534">
        <v>1362</v>
      </c>
      <c r="G134" s="578">
        <v>2836</v>
      </c>
      <c r="H134" s="538">
        <v>18.570716089901396</v>
      </c>
      <c r="I134" s="539">
        <v>29.043260758342342</v>
      </c>
      <c r="J134" s="540">
        <v>23.379448359871219</v>
      </c>
      <c r="K134" s="541">
        <v>230.86000000000013</v>
      </c>
      <c r="L134" s="542">
        <v>306.53999999999996</v>
      </c>
      <c r="M134" s="543">
        <v>537.40000000000009</v>
      </c>
    </row>
    <row r="135" spans="1:13" ht="18" customHeight="1" x14ac:dyDescent="0.2">
      <c r="A135" s="602" t="s">
        <v>1372</v>
      </c>
      <c r="B135" s="1301">
        <v>9.5099449204406348</v>
      </c>
      <c r="C135" s="1292">
        <v>9.1795094799095498</v>
      </c>
      <c r="D135" s="1291">
        <v>9.3553113553113558</v>
      </c>
      <c r="E135" s="536">
        <v>9.9092436974789919</v>
      </c>
      <c r="F135" s="534">
        <v>10.183177570093457</v>
      </c>
      <c r="G135" s="1291">
        <v>10.038938053097345</v>
      </c>
      <c r="H135" s="538">
        <v>4.1987496287187298</v>
      </c>
      <c r="I135" s="539">
        <v>10.93378782799401</v>
      </c>
      <c r="J135" s="540">
        <v>7.3073644673286964</v>
      </c>
      <c r="K135" s="1301">
        <v>0.39929877703835714</v>
      </c>
      <c r="L135" s="1292">
        <v>1.0036680901839077</v>
      </c>
      <c r="M135" s="1293">
        <v>0.68362669778598928</v>
      </c>
    </row>
    <row r="136" spans="1:13" ht="18" customHeight="1" x14ac:dyDescent="0.2">
      <c r="A136" s="557" t="s">
        <v>1396</v>
      </c>
      <c r="B136" s="547"/>
      <c r="C136" s="534"/>
      <c r="D136" s="535"/>
      <c r="E136" s="536"/>
      <c r="F136" s="534"/>
      <c r="G136" s="578"/>
      <c r="H136" s="538"/>
      <c r="I136" s="539"/>
      <c r="J136" s="540"/>
      <c r="K136" s="541"/>
      <c r="L136" s="542"/>
      <c r="M136" s="543"/>
    </row>
    <row r="137" spans="1:13" ht="18" customHeight="1" x14ac:dyDescent="0.2">
      <c r="A137" s="602" t="s">
        <v>1369</v>
      </c>
      <c r="B137" s="547">
        <v>128.1</v>
      </c>
      <c r="C137" s="534">
        <v>156.1</v>
      </c>
      <c r="D137" s="535">
        <v>284.2</v>
      </c>
      <c r="E137" s="536">
        <v>107.5</v>
      </c>
      <c r="F137" s="534">
        <v>125.5</v>
      </c>
      <c r="G137" s="578">
        <v>233</v>
      </c>
      <c r="H137" s="538">
        <v>-16.08118657298985</v>
      </c>
      <c r="I137" s="539">
        <v>-19.602818705957716</v>
      </c>
      <c r="J137" s="540">
        <v>-18.015482054890924</v>
      </c>
      <c r="K137" s="541">
        <v>-20.599999999999994</v>
      </c>
      <c r="L137" s="542">
        <v>-30.599999999999994</v>
      </c>
      <c r="M137" s="543">
        <v>-51.199999999999989</v>
      </c>
    </row>
    <row r="138" spans="1:13" ht="18" customHeight="1" x14ac:dyDescent="0.2">
      <c r="A138" s="602" t="s">
        <v>1370</v>
      </c>
      <c r="B138" s="547">
        <v>122.89999999999999</v>
      </c>
      <c r="C138" s="534">
        <v>114.89999999999999</v>
      </c>
      <c r="D138" s="535">
        <v>237.79999999999998</v>
      </c>
      <c r="E138" s="536">
        <v>104.5</v>
      </c>
      <c r="F138" s="534">
        <v>121.5</v>
      </c>
      <c r="G138" s="578">
        <v>226</v>
      </c>
      <c r="H138" s="538">
        <v>-14.971521562245726</v>
      </c>
      <c r="I138" s="539">
        <v>5.7441253263707637</v>
      </c>
      <c r="J138" s="540">
        <v>-4.962153069806547</v>
      </c>
      <c r="K138" s="541">
        <v>-18.399999999999991</v>
      </c>
      <c r="L138" s="542">
        <v>6.6000000000000085</v>
      </c>
      <c r="M138" s="543">
        <v>-11.799999999999983</v>
      </c>
    </row>
    <row r="139" spans="1:13" ht="18" customHeight="1" x14ac:dyDescent="0.2">
      <c r="A139" s="602" t="s">
        <v>1483</v>
      </c>
      <c r="B139" s="547">
        <v>2191.92</v>
      </c>
      <c r="C139" s="534">
        <v>1894.2399999999998</v>
      </c>
      <c r="D139" s="535">
        <v>4086.16</v>
      </c>
      <c r="E139" s="536">
        <v>1807.5</v>
      </c>
      <c r="F139" s="534">
        <v>2102</v>
      </c>
      <c r="G139" s="578">
        <v>3909.5</v>
      </c>
      <c r="H139" s="538">
        <v>-17.53804883389904</v>
      </c>
      <c r="I139" s="539">
        <v>10.967987161077815</v>
      </c>
      <c r="J139" s="540">
        <v>-4.3233745129901848</v>
      </c>
      <c r="K139" s="541">
        <v>-384.42000000000007</v>
      </c>
      <c r="L139" s="542">
        <v>207.76000000000022</v>
      </c>
      <c r="M139" s="543">
        <v>-176.65999999999985</v>
      </c>
    </row>
    <row r="140" spans="1:13" ht="18" customHeight="1" x14ac:dyDescent="0.2">
      <c r="A140" s="602" t="s">
        <v>1372</v>
      </c>
      <c r="B140" s="1301">
        <v>17.83498779495525</v>
      </c>
      <c r="C140" s="1292">
        <v>16.485987815491733</v>
      </c>
      <c r="D140" s="1291">
        <v>17.18317914213625</v>
      </c>
      <c r="E140" s="536">
        <v>17.296650717703351</v>
      </c>
      <c r="F140" s="534">
        <v>17.300411522633745</v>
      </c>
      <c r="G140" s="1291">
        <v>17.298672566371682</v>
      </c>
      <c r="H140" s="538">
        <v>-3.0184325520209825</v>
      </c>
      <c r="I140" s="539">
        <v>4.9400965004760451</v>
      </c>
      <c r="J140" s="540">
        <v>0.67213071155278215</v>
      </c>
      <c r="K140" s="1301">
        <v>-0.53833707725189939</v>
      </c>
      <c r="L140" s="1292">
        <v>0.81442370714201218</v>
      </c>
      <c r="M140" s="1293">
        <v>0.11549342423543152</v>
      </c>
    </row>
    <row r="141" spans="1:13" ht="18" customHeight="1" x14ac:dyDescent="0.2">
      <c r="A141" s="557" t="s">
        <v>1397</v>
      </c>
      <c r="B141" s="547"/>
      <c r="C141" s="534"/>
      <c r="D141" s="535"/>
      <c r="E141" s="536"/>
      <c r="F141" s="534"/>
      <c r="G141" s="578"/>
      <c r="H141" s="538"/>
      <c r="I141" s="539"/>
      <c r="J141" s="540"/>
      <c r="K141" s="541"/>
      <c r="L141" s="542"/>
      <c r="M141" s="543"/>
    </row>
    <row r="142" spans="1:13" ht="18" customHeight="1" x14ac:dyDescent="0.2">
      <c r="A142" s="602" t="s">
        <v>1369</v>
      </c>
      <c r="B142" s="547">
        <v>690.14</v>
      </c>
      <c r="C142" s="534">
        <v>679.8</v>
      </c>
      <c r="D142" s="535">
        <v>1369.94</v>
      </c>
      <c r="E142" s="536">
        <v>592</v>
      </c>
      <c r="F142" s="534">
        <v>631.5</v>
      </c>
      <c r="G142" s="578">
        <v>1223.5</v>
      </c>
      <c r="H142" s="538">
        <v>-14.220303126901797</v>
      </c>
      <c r="I142" s="539">
        <v>-7.1050308914386591</v>
      </c>
      <c r="J142" s="540">
        <v>-10.689519249018204</v>
      </c>
      <c r="K142" s="541">
        <v>-98.139999999999986</v>
      </c>
      <c r="L142" s="542">
        <v>-48.299999999999955</v>
      </c>
      <c r="M142" s="543">
        <v>-146.44000000000005</v>
      </c>
    </row>
    <row r="143" spans="1:13" ht="18" customHeight="1" x14ac:dyDescent="0.2">
      <c r="A143" s="602" t="s">
        <v>1370</v>
      </c>
      <c r="B143" s="547">
        <v>657.63</v>
      </c>
      <c r="C143" s="534">
        <v>651.42000000000007</v>
      </c>
      <c r="D143" s="535">
        <v>1309.0500000000002</v>
      </c>
      <c r="E143" s="536">
        <v>569.79999999999995</v>
      </c>
      <c r="F143" s="534">
        <v>590.5</v>
      </c>
      <c r="G143" s="578">
        <v>1160.3</v>
      </c>
      <c r="H143" s="538">
        <v>-13.355534266989039</v>
      </c>
      <c r="I143" s="539">
        <v>-9.3518774369838411</v>
      </c>
      <c r="J143" s="540">
        <v>-11.363202322294811</v>
      </c>
      <c r="K143" s="541">
        <v>-87.830000000000041</v>
      </c>
      <c r="L143" s="542">
        <v>-60.920000000000073</v>
      </c>
      <c r="M143" s="543">
        <v>-148.75000000000023</v>
      </c>
    </row>
    <row r="144" spans="1:13" ht="18" customHeight="1" x14ac:dyDescent="0.2">
      <c r="A144" s="602" t="s">
        <v>1485</v>
      </c>
      <c r="B144" s="547">
        <v>11486.130000000001</v>
      </c>
      <c r="C144" s="534">
        <v>11116.962</v>
      </c>
      <c r="D144" s="535">
        <v>22603.092000000001</v>
      </c>
      <c r="E144" s="536">
        <v>10755.25</v>
      </c>
      <c r="F144" s="534">
        <v>10929.5</v>
      </c>
      <c r="G144" s="578">
        <v>21684.75</v>
      </c>
      <c r="H144" s="538">
        <v>-6.3631527764355837</v>
      </c>
      <c r="I144" s="539">
        <v>-1.686270043920274</v>
      </c>
      <c r="J144" s="540">
        <v>-4.0629043141531298</v>
      </c>
      <c r="K144" s="541">
        <v>-730.88000000000102</v>
      </c>
      <c r="L144" s="542">
        <v>-187.46199999999953</v>
      </c>
      <c r="M144" s="543">
        <v>-918.34200000000055</v>
      </c>
    </row>
    <row r="145" spans="1:13" ht="18" customHeight="1" x14ac:dyDescent="0.2">
      <c r="A145" s="729" t="s">
        <v>1372</v>
      </c>
      <c r="B145" s="589">
        <v>17.465945896628806</v>
      </c>
      <c r="C145" s="1305">
        <v>17.065736391268302</v>
      </c>
      <c r="D145" s="1306">
        <v>17.266790420533972</v>
      </c>
      <c r="E145" s="545">
        <v>18.875482625482626</v>
      </c>
      <c r="F145" s="544">
        <v>18.508890770533448</v>
      </c>
      <c r="G145" s="1306">
        <v>18.688916659484615</v>
      </c>
      <c r="H145" s="586">
        <v>8.0701997887551187</v>
      </c>
      <c r="I145" s="587">
        <v>8.4564436375774221</v>
      </c>
      <c r="J145" s="588">
        <v>8.2361933185881782</v>
      </c>
      <c r="K145" s="589">
        <v>1.4095367288538192</v>
      </c>
      <c r="L145" s="590">
        <v>1.4431543792651453</v>
      </c>
      <c r="M145" s="591">
        <v>1.4221262389506428</v>
      </c>
    </row>
    <row r="146" spans="1:13" ht="18" customHeight="1" x14ac:dyDescent="0.2">
      <c r="A146" s="557" t="s">
        <v>1398</v>
      </c>
      <c r="B146" s="592">
        <v>3741.47</v>
      </c>
      <c r="C146" s="592">
        <v>3612.74</v>
      </c>
      <c r="D146" s="592">
        <v>7354.2099999999991</v>
      </c>
      <c r="E146" s="592">
        <v>3419</v>
      </c>
      <c r="F146" s="592">
        <v>3233.45</v>
      </c>
      <c r="G146" s="593">
        <v>6652.45</v>
      </c>
      <c r="H146" s="594">
        <v>-8.6188049082312546</v>
      </c>
      <c r="I146" s="594">
        <v>-10.498679672492344</v>
      </c>
      <c r="J146" s="595">
        <v>-9.5422893825441406</v>
      </c>
      <c r="K146" s="561">
        <v>-322.4699999999998</v>
      </c>
      <c r="L146" s="562">
        <v>-379.28999999999996</v>
      </c>
      <c r="M146" s="563">
        <v>-701.75999999999931</v>
      </c>
    </row>
    <row r="147" spans="1:13" ht="18" customHeight="1" x14ac:dyDescent="0.2">
      <c r="A147" s="557" t="s">
        <v>1399</v>
      </c>
      <c r="B147" s="592">
        <v>3577.6179999999999</v>
      </c>
      <c r="C147" s="592">
        <v>3386.5599999999995</v>
      </c>
      <c r="D147" s="592">
        <v>6964.1780000000008</v>
      </c>
      <c r="E147" s="592">
        <v>3291.3</v>
      </c>
      <c r="F147" s="592">
        <v>3093.45</v>
      </c>
      <c r="G147" s="593">
        <v>6384.75</v>
      </c>
      <c r="H147" s="594">
        <v>-8.00303442122663</v>
      </c>
      <c r="I147" s="594">
        <v>-8.6550954360767207</v>
      </c>
      <c r="J147" s="595">
        <v>-8.3201204794018793</v>
      </c>
      <c r="K147" s="561">
        <v>-286.31799999999976</v>
      </c>
      <c r="L147" s="562">
        <v>-293.10999999999967</v>
      </c>
      <c r="M147" s="563">
        <v>-579.42800000000079</v>
      </c>
    </row>
    <row r="148" spans="1:13" ht="18" customHeight="1" thickBot="1" x14ac:dyDescent="0.25">
      <c r="A148" s="596" t="s">
        <v>1400</v>
      </c>
      <c r="B148" s="1307">
        <v>38181.196760000006</v>
      </c>
      <c r="C148" s="1307">
        <v>37011.739520000003</v>
      </c>
      <c r="D148" s="1307">
        <v>75192.936280000009</v>
      </c>
      <c r="E148" s="1307">
        <v>37804.7425</v>
      </c>
      <c r="F148" s="1307">
        <v>35103.78</v>
      </c>
      <c r="G148" s="1308">
        <v>72908.522500000006</v>
      </c>
      <c r="H148" s="565">
        <v>-0.98596768028600934</v>
      </c>
      <c r="I148" s="565">
        <v>-5.1550117469323453</v>
      </c>
      <c r="J148" s="567">
        <v>-3.0380696552311974</v>
      </c>
      <c r="K148" s="568">
        <v>-376.45426000000589</v>
      </c>
      <c r="L148" s="569">
        <v>-1907.959520000004</v>
      </c>
      <c r="M148" s="570">
        <v>-2284.4137800000026</v>
      </c>
    </row>
    <row r="149" spans="1:13" ht="15" x14ac:dyDescent="0.2">
      <c r="A149" s="7" t="s">
        <v>1934</v>
      </c>
      <c r="B149" s="572"/>
      <c r="C149" s="572"/>
      <c r="D149" s="572"/>
      <c r="E149" s="572"/>
      <c r="F149" s="572"/>
      <c r="G149" s="513"/>
      <c r="H149" s="512"/>
      <c r="I149" s="512"/>
      <c r="J149" s="512"/>
      <c r="K149" s="512"/>
      <c r="L149" s="512"/>
      <c r="M149" s="512"/>
    </row>
    <row r="150" spans="1:13" ht="15.75" x14ac:dyDescent="0.2">
      <c r="A150" s="511" t="s">
        <v>1392</v>
      </c>
      <c r="B150" s="512"/>
      <c r="C150" s="512"/>
      <c r="D150" s="512"/>
      <c r="E150" s="512"/>
      <c r="F150" s="512"/>
      <c r="G150" s="513"/>
      <c r="H150" s="512"/>
      <c r="I150" s="512"/>
      <c r="J150" s="512"/>
      <c r="K150" s="512"/>
      <c r="L150" s="512"/>
      <c r="M150" s="512"/>
    </row>
    <row r="151" spans="1:13" ht="15" x14ac:dyDescent="0.2">
      <c r="A151" s="575"/>
      <c r="B151" s="512"/>
      <c r="C151" s="512"/>
      <c r="D151" s="512"/>
      <c r="E151" s="512"/>
      <c r="F151" s="512"/>
      <c r="G151" s="513"/>
      <c r="H151" s="512"/>
      <c r="I151" s="512"/>
      <c r="J151" s="512"/>
      <c r="K151" s="512"/>
      <c r="L151" s="512"/>
      <c r="M151" s="512"/>
    </row>
    <row r="152" spans="1:13" ht="15" x14ac:dyDescent="0.2">
      <c r="A152" s="597"/>
      <c r="B152" s="512"/>
      <c r="C152" s="512"/>
      <c r="D152" s="512"/>
      <c r="E152" s="512"/>
      <c r="F152" s="512"/>
      <c r="G152" s="513"/>
      <c r="H152" s="512"/>
      <c r="I152" s="512"/>
      <c r="J152" s="512"/>
      <c r="K152" s="512"/>
      <c r="L152" s="512"/>
      <c r="M152" s="512"/>
    </row>
    <row r="153" spans="1:13" ht="15" x14ac:dyDescent="0.2">
      <c r="A153" s="597"/>
      <c r="B153" s="512"/>
      <c r="C153" s="512"/>
      <c r="D153" s="512"/>
      <c r="E153" s="512"/>
      <c r="F153" s="512"/>
      <c r="G153" s="513"/>
      <c r="H153" s="512"/>
      <c r="I153" s="512"/>
      <c r="J153" s="512"/>
      <c r="K153" s="512"/>
      <c r="L153" s="512"/>
      <c r="M153" s="512"/>
    </row>
    <row r="154" spans="1:13" ht="15" x14ac:dyDescent="0.2">
      <c r="A154" s="597"/>
      <c r="B154" s="512"/>
      <c r="C154" s="512"/>
      <c r="D154" s="512"/>
      <c r="E154" s="512"/>
      <c r="F154" s="512"/>
      <c r="G154" s="513"/>
      <c r="H154" s="512"/>
      <c r="I154" s="512"/>
      <c r="J154" s="512"/>
      <c r="K154" s="512"/>
      <c r="L154" s="512"/>
      <c r="M154" s="512"/>
    </row>
    <row r="155" spans="1:13" ht="15" x14ac:dyDescent="0.2">
      <c r="A155" s="597"/>
      <c r="B155" s="512"/>
      <c r="C155" s="512"/>
      <c r="D155" s="512"/>
      <c r="E155" s="512"/>
      <c r="F155" s="512"/>
      <c r="G155" s="513"/>
      <c r="H155" s="512"/>
      <c r="I155" s="512"/>
      <c r="J155" s="512"/>
      <c r="K155" s="512"/>
      <c r="L155" s="512"/>
      <c r="M155" s="512"/>
    </row>
    <row r="156" spans="1:13" ht="15" x14ac:dyDescent="0.2">
      <c r="A156" s="597"/>
      <c r="B156" s="512"/>
      <c r="C156" s="512"/>
      <c r="D156" s="512"/>
      <c r="E156" s="512"/>
      <c r="F156" s="512"/>
      <c r="G156" s="513"/>
      <c r="H156" s="512"/>
      <c r="I156" s="512"/>
      <c r="J156" s="512"/>
      <c r="K156" s="512"/>
      <c r="L156" s="512"/>
      <c r="M156" s="512"/>
    </row>
    <row r="157" spans="1:13" ht="15" x14ac:dyDescent="0.2">
      <c r="A157" s="597"/>
      <c r="B157" s="512"/>
      <c r="C157" s="512"/>
      <c r="D157" s="512"/>
      <c r="E157" s="512"/>
      <c r="F157" s="512"/>
      <c r="G157" s="513"/>
      <c r="H157" s="512"/>
      <c r="I157" s="512"/>
      <c r="J157" s="512"/>
      <c r="K157" s="512"/>
      <c r="L157" s="512"/>
      <c r="M157" s="512"/>
    </row>
    <row r="158" spans="1:13" ht="15" x14ac:dyDescent="0.2">
      <c r="A158" s="597"/>
      <c r="B158" s="512"/>
      <c r="C158" s="512"/>
      <c r="D158" s="512"/>
      <c r="E158" s="512"/>
      <c r="F158" s="512"/>
      <c r="G158" s="513"/>
      <c r="H158" s="512"/>
      <c r="I158" s="512"/>
      <c r="J158" s="512"/>
      <c r="K158" s="512"/>
      <c r="L158" s="512"/>
      <c r="M158" s="512"/>
    </row>
    <row r="159" spans="1:13" ht="15" x14ac:dyDescent="0.2">
      <c r="A159" s="597"/>
      <c r="B159" s="512"/>
      <c r="C159" s="512"/>
      <c r="D159" s="512"/>
      <c r="E159" s="512"/>
      <c r="F159" s="512"/>
      <c r="G159" s="513"/>
      <c r="H159" s="512"/>
      <c r="I159" s="512"/>
      <c r="J159" s="512"/>
      <c r="K159" s="512"/>
      <c r="L159" s="512"/>
      <c r="M159" s="512"/>
    </row>
    <row r="160" spans="1:13" ht="15" x14ac:dyDescent="0.2">
      <c r="A160" s="597"/>
      <c r="B160" s="512"/>
      <c r="C160" s="512"/>
      <c r="D160" s="512"/>
      <c r="E160" s="512"/>
      <c r="F160" s="512"/>
      <c r="G160" s="513"/>
      <c r="H160" s="512"/>
      <c r="I160" s="512"/>
      <c r="J160" s="512"/>
      <c r="K160" s="512"/>
      <c r="L160" s="512"/>
      <c r="M160" s="512"/>
    </row>
    <row r="161" spans="1:13" ht="15" x14ac:dyDescent="0.2">
      <c r="A161" s="597"/>
      <c r="B161" s="512"/>
      <c r="C161" s="512"/>
      <c r="D161" s="512"/>
      <c r="E161" s="512"/>
      <c r="F161" s="512"/>
      <c r="G161" s="513"/>
      <c r="H161" s="512"/>
      <c r="I161" s="512"/>
      <c r="J161" s="512"/>
      <c r="K161" s="512"/>
      <c r="L161" s="512"/>
      <c r="M161" s="512"/>
    </row>
    <row r="162" spans="1:13" ht="15" x14ac:dyDescent="0.2">
      <c r="A162" s="597"/>
      <c r="B162" s="512"/>
      <c r="C162" s="512"/>
      <c r="D162" s="512"/>
      <c r="E162" s="512"/>
      <c r="F162" s="512"/>
      <c r="G162" s="513"/>
      <c r="H162" s="512"/>
      <c r="I162" s="512"/>
      <c r="J162" s="512"/>
      <c r="K162" s="512"/>
      <c r="L162" s="512"/>
      <c r="M162" s="512"/>
    </row>
    <row r="163" spans="1:13" ht="15" x14ac:dyDescent="0.2">
      <c r="A163" s="597"/>
      <c r="B163" s="512"/>
      <c r="C163" s="512"/>
      <c r="D163" s="512"/>
      <c r="E163" s="512"/>
      <c r="F163" s="512"/>
      <c r="G163" s="513"/>
      <c r="H163" s="512"/>
      <c r="I163" s="512"/>
      <c r="J163" s="512"/>
      <c r="K163" s="512"/>
      <c r="L163" s="512"/>
      <c r="M163" s="512"/>
    </row>
    <row r="164" spans="1:13" ht="15" x14ac:dyDescent="0.2">
      <c r="A164" s="597"/>
      <c r="B164" s="512"/>
      <c r="C164" s="512"/>
      <c r="D164" s="512"/>
      <c r="E164" s="512"/>
      <c r="F164" s="512"/>
      <c r="G164" s="513"/>
      <c r="H164" s="512"/>
      <c r="I164" s="512"/>
      <c r="J164" s="512"/>
      <c r="K164" s="512"/>
      <c r="L164" s="512"/>
      <c r="M164" s="512"/>
    </row>
    <row r="165" spans="1:13" ht="15" x14ac:dyDescent="0.2">
      <c r="A165" s="597"/>
      <c r="B165" s="512"/>
      <c r="C165" s="512"/>
      <c r="D165" s="512"/>
      <c r="E165" s="512"/>
      <c r="F165" s="512"/>
      <c r="G165" s="513"/>
      <c r="H165" s="512"/>
      <c r="I165" s="512"/>
      <c r="J165" s="512"/>
      <c r="K165" s="512"/>
      <c r="L165" s="512"/>
      <c r="M165" s="512"/>
    </row>
    <row r="166" spans="1:13" ht="15" x14ac:dyDescent="0.2">
      <c r="A166" s="597"/>
      <c r="B166" s="512"/>
      <c r="C166" s="512"/>
      <c r="D166" s="512"/>
      <c r="E166" s="512"/>
      <c r="F166" s="512"/>
      <c r="G166" s="513"/>
      <c r="H166" s="512"/>
      <c r="I166" s="512"/>
      <c r="J166" s="512"/>
      <c r="K166" s="512"/>
      <c r="L166" s="512"/>
      <c r="M166" s="512"/>
    </row>
    <row r="167" spans="1:13" ht="15" x14ac:dyDescent="0.2">
      <c r="A167" s="597"/>
      <c r="B167" s="512"/>
      <c r="C167" s="512"/>
      <c r="D167" s="512"/>
      <c r="E167" s="512"/>
      <c r="F167" s="512"/>
      <c r="G167" s="513"/>
      <c r="H167" s="512"/>
      <c r="I167" s="512"/>
      <c r="J167" s="512"/>
      <c r="K167" s="512"/>
      <c r="L167" s="512"/>
      <c r="M167" s="512"/>
    </row>
    <row r="168" spans="1:13" ht="15" x14ac:dyDescent="0.2">
      <c r="A168" s="597"/>
      <c r="B168" s="512"/>
      <c r="C168" s="512"/>
      <c r="D168" s="512"/>
      <c r="E168" s="512"/>
      <c r="F168" s="512"/>
      <c r="G168" s="513"/>
      <c r="H168" s="512"/>
      <c r="I168" s="512"/>
      <c r="J168" s="512"/>
      <c r="K168" s="512"/>
      <c r="L168" s="512"/>
      <c r="M168" s="512"/>
    </row>
    <row r="169" spans="1:13" ht="15" x14ac:dyDescent="0.2">
      <c r="A169" s="597"/>
      <c r="B169" s="512"/>
      <c r="C169" s="512"/>
      <c r="D169" s="512"/>
      <c r="E169" s="512"/>
      <c r="F169" s="512"/>
      <c r="G169" s="513"/>
      <c r="H169" s="512"/>
      <c r="I169" s="512"/>
      <c r="J169" s="512"/>
      <c r="K169" s="512"/>
      <c r="L169" s="512"/>
      <c r="M169" s="512"/>
    </row>
    <row r="170" spans="1:13" ht="16.5" thickBot="1" x14ac:dyDescent="0.25">
      <c r="A170" s="3152" t="s">
        <v>1989</v>
      </c>
      <c r="B170" s="3152"/>
      <c r="C170" s="3152"/>
      <c r="D170" s="3152"/>
      <c r="E170" s="3152"/>
      <c r="F170" s="3152"/>
      <c r="G170" s="3152"/>
      <c r="H170" s="3152"/>
      <c r="I170" s="3152"/>
      <c r="J170" s="3152"/>
      <c r="K170" s="3152"/>
      <c r="L170" s="3152"/>
      <c r="M170" s="3152"/>
    </row>
    <row r="171" spans="1:13" ht="16.5" thickBot="1" x14ac:dyDescent="0.25">
      <c r="A171" s="3182" t="s">
        <v>1401</v>
      </c>
      <c r="B171" s="3156"/>
      <c r="C171" s="3160"/>
      <c r="D171" s="3157"/>
      <c r="E171" s="3187"/>
      <c r="F171" s="3160"/>
      <c r="G171" s="3188"/>
      <c r="H171" s="3161" t="s">
        <v>1364</v>
      </c>
      <c r="I171" s="3162"/>
      <c r="J171" s="3162"/>
      <c r="K171" s="3162"/>
      <c r="L171" s="3162"/>
      <c r="M171" s="3163"/>
    </row>
    <row r="172" spans="1:13" ht="15.75" x14ac:dyDescent="0.2">
      <c r="A172" s="3183"/>
      <c r="B172" s="3184"/>
      <c r="C172" s="3185"/>
      <c r="D172" s="3186"/>
      <c r="E172" s="3189"/>
      <c r="F172" s="3185"/>
      <c r="G172" s="3190"/>
      <c r="H172" s="3156" t="s">
        <v>1366</v>
      </c>
      <c r="I172" s="3160"/>
      <c r="J172" s="3188"/>
      <c r="K172" s="3156" t="s">
        <v>1367</v>
      </c>
      <c r="L172" s="3160"/>
      <c r="M172" s="3188"/>
    </row>
    <row r="173" spans="1:13" ht="16.5" thickBot="1" x14ac:dyDescent="0.25">
      <c r="A173" s="3183"/>
      <c r="B173" s="3194">
        <v>2022</v>
      </c>
      <c r="C173" s="3195"/>
      <c r="D173" s="3196"/>
      <c r="E173" s="3197">
        <v>2023</v>
      </c>
      <c r="F173" s="3192"/>
      <c r="G173" s="3193"/>
      <c r="H173" s="3191" t="s">
        <v>1986</v>
      </c>
      <c r="I173" s="3192"/>
      <c r="J173" s="3193"/>
      <c r="K173" s="3191" t="s">
        <v>1986</v>
      </c>
      <c r="L173" s="3192"/>
      <c r="M173" s="3193"/>
    </row>
    <row r="174" spans="1:13" ht="15.75" x14ac:dyDescent="0.2">
      <c r="A174" s="1303" t="s">
        <v>1402</v>
      </c>
      <c r="B174" s="577"/>
      <c r="C174" s="526"/>
      <c r="D174" s="529"/>
      <c r="E174" s="577"/>
      <c r="F174" s="526"/>
      <c r="G174" s="1311"/>
      <c r="H174" s="577"/>
      <c r="I174" s="526"/>
      <c r="J174" s="529"/>
      <c r="K174" s="530"/>
      <c r="L174" s="598"/>
      <c r="M174" s="532"/>
    </row>
    <row r="175" spans="1:13" ht="15" x14ac:dyDescent="0.2">
      <c r="A175" s="602" t="s">
        <v>1369</v>
      </c>
      <c r="B175" s="3179">
        <v>98</v>
      </c>
      <c r="C175" s="3180"/>
      <c r="D175" s="3181"/>
      <c r="E175" s="3177">
        <v>135.5</v>
      </c>
      <c r="F175" s="3214"/>
      <c r="G175" s="3215"/>
      <c r="H175" s="602"/>
      <c r="I175" s="538"/>
      <c r="J175" s="540">
        <v>38.265306122448976</v>
      </c>
      <c r="K175" s="541"/>
      <c r="L175" s="601"/>
      <c r="M175" s="599">
        <v>37.5</v>
      </c>
    </row>
    <row r="176" spans="1:13" ht="15" x14ac:dyDescent="0.2">
      <c r="A176" s="602" t="s">
        <v>1370</v>
      </c>
      <c r="B176" s="3179">
        <v>95.5</v>
      </c>
      <c r="C176" s="3180"/>
      <c r="D176" s="3181"/>
      <c r="E176" s="3177">
        <v>135.5</v>
      </c>
      <c r="F176" s="3178"/>
      <c r="G176" s="3178"/>
      <c r="H176" s="1312"/>
      <c r="I176" s="538"/>
      <c r="J176" s="540">
        <v>41.884816753926714</v>
      </c>
      <c r="K176" s="541"/>
      <c r="L176" s="601"/>
      <c r="M176" s="599">
        <v>40</v>
      </c>
    </row>
    <row r="177" spans="1:13" ht="15" x14ac:dyDescent="0.2">
      <c r="A177" s="602" t="s">
        <v>1489</v>
      </c>
      <c r="B177" s="3179">
        <v>252.63</v>
      </c>
      <c r="C177" s="3180"/>
      <c r="D177" s="3181"/>
      <c r="E177" s="3177">
        <v>337.4</v>
      </c>
      <c r="F177" s="3178"/>
      <c r="G177" s="3178"/>
      <c r="H177" s="1312"/>
      <c r="I177" s="538"/>
      <c r="J177" s="540">
        <v>33.5550013854253</v>
      </c>
      <c r="K177" s="541"/>
      <c r="L177" s="601"/>
      <c r="M177" s="599">
        <v>84.769999999999982</v>
      </c>
    </row>
    <row r="178" spans="1:13" ht="15" x14ac:dyDescent="0.2">
      <c r="A178" s="602" t="s">
        <v>1372</v>
      </c>
      <c r="B178" s="3179">
        <v>2.6453403141361256</v>
      </c>
      <c r="C178" s="3180"/>
      <c r="D178" s="3181"/>
      <c r="E178" s="3175">
        <v>2.4900369003690037</v>
      </c>
      <c r="F178" s="3176"/>
      <c r="G178" s="3176"/>
      <c r="H178" s="1312"/>
      <c r="I178" s="538"/>
      <c r="J178" s="540">
        <v>-5.870829281858903</v>
      </c>
      <c r="K178" s="541"/>
      <c r="L178" s="601"/>
      <c r="M178" s="1293">
        <v>-0.15530341376712187</v>
      </c>
    </row>
    <row r="179" spans="1:13" ht="15.75" x14ac:dyDescent="0.2">
      <c r="A179" s="557" t="s">
        <v>1403</v>
      </c>
      <c r="B179" s="3207"/>
      <c r="C179" s="3208"/>
      <c r="D179" s="3209"/>
      <c r="E179" s="3207"/>
      <c r="F179" s="3208"/>
      <c r="G179" s="3209"/>
      <c r="H179" s="1312"/>
      <c r="I179" s="538"/>
      <c r="J179" s="540"/>
      <c r="K179" s="541"/>
      <c r="L179" s="601"/>
      <c r="M179" s="543"/>
    </row>
    <row r="180" spans="1:13" ht="15" x14ac:dyDescent="0.2">
      <c r="A180" s="602" t="s">
        <v>1369</v>
      </c>
      <c r="B180" s="3179">
        <v>436.27</v>
      </c>
      <c r="C180" s="3180"/>
      <c r="D180" s="3181"/>
      <c r="E180" s="3177">
        <v>604.29999999999995</v>
      </c>
      <c r="F180" s="3178"/>
      <c r="G180" s="3178"/>
      <c r="H180" s="1312"/>
      <c r="I180" s="538"/>
      <c r="J180" s="540">
        <v>38.515139707062133</v>
      </c>
      <c r="K180" s="541"/>
      <c r="L180" s="601"/>
      <c r="M180" s="599">
        <v>168.02999999999997</v>
      </c>
    </row>
    <row r="181" spans="1:13" ht="15" x14ac:dyDescent="0.2">
      <c r="A181" s="602" t="s">
        <v>1370</v>
      </c>
      <c r="B181" s="3179">
        <v>395.57</v>
      </c>
      <c r="C181" s="3180"/>
      <c r="D181" s="3181"/>
      <c r="E181" s="3177">
        <v>578.29999999999995</v>
      </c>
      <c r="F181" s="3178"/>
      <c r="G181" s="3178"/>
      <c r="H181" s="1312"/>
      <c r="I181" s="538"/>
      <c r="J181" s="540">
        <v>46.194099653664324</v>
      </c>
      <c r="K181" s="541"/>
      <c r="L181" s="601"/>
      <c r="M181" s="599">
        <v>182.72999999999996</v>
      </c>
    </row>
    <row r="182" spans="1:13" ht="15" x14ac:dyDescent="0.2">
      <c r="A182" s="602" t="s">
        <v>1487</v>
      </c>
      <c r="B182" s="3179">
        <v>3719.5389999999998</v>
      </c>
      <c r="C182" s="3180"/>
      <c r="D182" s="3181"/>
      <c r="E182" s="3177">
        <v>5976.1</v>
      </c>
      <c r="F182" s="3178"/>
      <c r="G182" s="3178"/>
      <c r="H182" s="1312"/>
      <c r="I182" s="538"/>
      <c r="J182" s="540">
        <v>60.667760171354587</v>
      </c>
      <c r="K182" s="541"/>
      <c r="L182" s="601"/>
      <c r="M182" s="599">
        <v>2256.5610000000006</v>
      </c>
    </row>
    <row r="183" spans="1:13" ht="15" x14ac:dyDescent="0.2">
      <c r="A183" s="602" t="s">
        <v>1372</v>
      </c>
      <c r="B183" s="3179">
        <v>9.4029855651338572</v>
      </c>
      <c r="C183" s="3180"/>
      <c r="D183" s="3181"/>
      <c r="E183" s="3175">
        <v>10.333909735431439</v>
      </c>
      <c r="F183" s="3176"/>
      <c r="G183" s="3176"/>
      <c r="H183" s="1312"/>
      <c r="I183" s="538"/>
      <c r="J183" s="540">
        <v>9.9003041517944581</v>
      </c>
      <c r="K183" s="541"/>
      <c r="L183" s="601"/>
      <c r="M183" s="1296">
        <v>0.93092417029758145</v>
      </c>
    </row>
    <row r="184" spans="1:13" ht="15.75" x14ac:dyDescent="0.2">
      <c r="A184" s="557" t="s">
        <v>1404</v>
      </c>
      <c r="B184" s="3207"/>
      <c r="C184" s="3208"/>
      <c r="D184" s="3209"/>
      <c r="E184" s="3207"/>
      <c r="F184" s="3208"/>
      <c r="G184" s="3209"/>
      <c r="H184" s="1312"/>
      <c r="I184" s="538"/>
      <c r="J184" s="540"/>
      <c r="K184" s="541"/>
      <c r="L184" s="601"/>
      <c r="M184" s="543"/>
    </row>
    <row r="185" spans="1:13" ht="15" x14ac:dyDescent="0.2">
      <c r="A185" s="602" t="s">
        <v>1369</v>
      </c>
      <c r="B185" s="3179">
        <v>326.95</v>
      </c>
      <c r="C185" s="3180"/>
      <c r="D185" s="3181"/>
      <c r="E185" s="3177">
        <v>365.8</v>
      </c>
      <c r="F185" s="3178"/>
      <c r="G185" s="3178"/>
      <c r="H185" s="1312"/>
      <c r="I185" s="538"/>
      <c r="J185" s="540">
        <v>11.882550848753652</v>
      </c>
      <c r="K185" s="541"/>
      <c r="L185" s="601"/>
      <c r="M185" s="599">
        <v>38.850000000000023</v>
      </c>
    </row>
    <row r="186" spans="1:13" ht="15" x14ac:dyDescent="0.2">
      <c r="A186" s="602" t="s">
        <v>1370</v>
      </c>
      <c r="B186" s="3179">
        <v>262.95</v>
      </c>
      <c r="C186" s="3180"/>
      <c r="D186" s="3181"/>
      <c r="E186" s="3177">
        <v>363.8</v>
      </c>
      <c r="F186" s="3178"/>
      <c r="G186" s="3178"/>
      <c r="H186" s="1312"/>
      <c r="I186" s="538"/>
      <c r="J186" s="540">
        <v>38.353299106294003</v>
      </c>
      <c r="K186" s="541"/>
      <c r="L186" s="601"/>
      <c r="M186" s="599">
        <v>100.85000000000002</v>
      </c>
    </row>
    <row r="187" spans="1:13" ht="15" x14ac:dyDescent="0.2">
      <c r="A187" s="602" t="s">
        <v>1490</v>
      </c>
      <c r="B187" s="3179">
        <v>3098.34</v>
      </c>
      <c r="C187" s="3180"/>
      <c r="D187" s="3181"/>
      <c r="E187" s="3177">
        <v>4061.1</v>
      </c>
      <c r="F187" s="3178"/>
      <c r="G187" s="3178"/>
      <c r="H187" s="1312"/>
      <c r="I187" s="538"/>
      <c r="J187" s="540">
        <v>31.073413505296372</v>
      </c>
      <c r="K187" s="541"/>
      <c r="L187" s="601"/>
      <c r="M187" s="599">
        <v>962.75999999999976</v>
      </c>
    </row>
    <row r="188" spans="1:13" ht="15" x14ac:dyDescent="0.2">
      <c r="A188" s="602" t="s">
        <v>1372</v>
      </c>
      <c r="B188" s="3179">
        <v>11.783000570450657</v>
      </c>
      <c r="C188" s="3180"/>
      <c r="D188" s="3181"/>
      <c r="E188" s="3198">
        <v>11.163001649257833</v>
      </c>
      <c r="F188" s="3199"/>
      <c r="G188" s="3199"/>
      <c r="H188" s="1312"/>
      <c r="I188" s="538"/>
      <c r="J188" s="540">
        <v>-5.2618084628431063</v>
      </c>
      <c r="K188" s="541"/>
      <c r="L188" s="601"/>
      <c r="M188" s="1296">
        <v>-0.61999892119282407</v>
      </c>
    </row>
    <row r="189" spans="1:13" ht="15.75" x14ac:dyDescent="0.2">
      <c r="A189" s="557" t="s">
        <v>1405</v>
      </c>
      <c r="B189" s="3216"/>
      <c r="C189" s="3217"/>
      <c r="D189" s="3218"/>
      <c r="E189" s="3216"/>
      <c r="F189" s="3217"/>
      <c r="G189" s="3218"/>
      <c r="H189" s="602"/>
      <c r="I189" s="548"/>
      <c r="J189" s="550"/>
      <c r="K189" s="541"/>
      <c r="L189" s="601"/>
      <c r="M189" s="543"/>
    </row>
    <row r="190" spans="1:13" ht="15" x14ac:dyDescent="0.2">
      <c r="A190" s="602" t="s">
        <v>1369</v>
      </c>
      <c r="B190" s="3179">
        <v>3546.77</v>
      </c>
      <c r="C190" s="3180"/>
      <c r="D190" s="3181"/>
      <c r="E190" s="3177">
        <v>3877</v>
      </c>
      <c r="F190" s="3178"/>
      <c r="G190" s="3178"/>
      <c r="H190" s="1312"/>
      <c r="I190" s="538"/>
      <c r="J190" s="540">
        <v>9.3107249694792671</v>
      </c>
      <c r="K190" s="541"/>
      <c r="L190" s="601"/>
      <c r="M190" s="599">
        <v>330.23</v>
      </c>
    </row>
    <row r="191" spans="1:13" ht="15" x14ac:dyDescent="0.2">
      <c r="A191" s="602" t="s">
        <v>1370</v>
      </c>
      <c r="B191" s="3179">
        <v>3135.4700000000003</v>
      </c>
      <c r="C191" s="3180"/>
      <c r="D191" s="3181"/>
      <c r="E191" s="3177">
        <v>3783</v>
      </c>
      <c r="F191" s="3178"/>
      <c r="G191" s="3178"/>
      <c r="H191" s="1312"/>
      <c r="I191" s="538"/>
      <c r="J191" s="540">
        <v>20.651768315435959</v>
      </c>
      <c r="K191" s="541"/>
      <c r="L191" s="601"/>
      <c r="M191" s="599">
        <v>647.52999999999975</v>
      </c>
    </row>
    <row r="192" spans="1:13" ht="15" x14ac:dyDescent="0.2">
      <c r="A192" s="602" t="s">
        <v>1487</v>
      </c>
      <c r="B192" s="3179">
        <v>28910.989999999998</v>
      </c>
      <c r="C192" s="3180"/>
      <c r="D192" s="3181"/>
      <c r="E192" s="3177">
        <v>38765</v>
      </c>
      <c r="F192" s="3178"/>
      <c r="G192" s="3178"/>
      <c r="H192" s="1312"/>
      <c r="I192" s="538"/>
      <c r="J192" s="540">
        <v>34.083959075770167</v>
      </c>
      <c r="K192" s="541"/>
      <c r="L192" s="601"/>
      <c r="M192" s="599">
        <v>9854.010000000002</v>
      </c>
    </row>
    <row r="193" spans="1:13" ht="15" x14ac:dyDescent="0.2">
      <c r="A193" s="602" t="s">
        <v>1372</v>
      </c>
      <c r="B193" s="3179">
        <v>9.2206240212791055</v>
      </c>
      <c r="C193" s="3180"/>
      <c r="D193" s="3181"/>
      <c r="E193" s="3198">
        <v>10.247158339941844</v>
      </c>
      <c r="F193" s="3199"/>
      <c r="G193" s="3199"/>
      <c r="H193" s="1312"/>
      <c r="I193" s="538"/>
      <c r="J193" s="540">
        <v>11.133024362491412</v>
      </c>
      <c r="K193" s="541"/>
      <c r="L193" s="601"/>
      <c r="M193" s="1296">
        <v>1.0265343186627387</v>
      </c>
    </row>
    <row r="194" spans="1:13" ht="15.75" x14ac:dyDescent="0.2">
      <c r="A194" s="557" t="s">
        <v>1406</v>
      </c>
      <c r="B194" s="3207"/>
      <c r="C194" s="3208"/>
      <c r="D194" s="3209"/>
      <c r="E194" s="3207"/>
      <c r="F194" s="3208"/>
      <c r="G194" s="3209"/>
      <c r="H194" s="1312"/>
      <c r="I194" s="538"/>
      <c r="J194" s="540"/>
      <c r="K194" s="541"/>
      <c r="L194" s="601"/>
      <c r="M194" s="543"/>
    </row>
    <row r="195" spans="1:13" ht="15" x14ac:dyDescent="0.2">
      <c r="A195" s="602" t="s">
        <v>1369</v>
      </c>
      <c r="B195" s="3179">
        <v>7322.3449999999993</v>
      </c>
      <c r="C195" s="3180"/>
      <c r="D195" s="3181"/>
      <c r="E195" s="3177">
        <v>7472.3449999999993</v>
      </c>
      <c r="F195" s="3178"/>
      <c r="G195" s="3178"/>
      <c r="H195" s="1312"/>
      <c r="I195" s="538"/>
      <c r="J195" s="540">
        <v>2.0485240725478064</v>
      </c>
      <c r="K195" s="541"/>
      <c r="L195" s="601"/>
      <c r="M195" s="599">
        <v>150</v>
      </c>
    </row>
    <row r="196" spans="1:13" ht="15" x14ac:dyDescent="0.2">
      <c r="A196" s="602" t="s">
        <v>1370</v>
      </c>
      <c r="B196" s="3179">
        <v>6122.795000000001</v>
      </c>
      <c r="C196" s="3180"/>
      <c r="D196" s="3181"/>
      <c r="E196" s="3177">
        <v>6464.8450000000003</v>
      </c>
      <c r="F196" s="3178"/>
      <c r="G196" s="3178"/>
      <c r="H196" s="1312"/>
      <c r="I196" s="538"/>
      <c r="J196" s="540">
        <v>5.586500936255419</v>
      </c>
      <c r="K196" s="541"/>
      <c r="L196" s="601"/>
      <c r="M196" s="599">
        <v>342.04999999999927</v>
      </c>
    </row>
    <row r="197" spans="1:13" ht="15" x14ac:dyDescent="0.2">
      <c r="A197" s="602" t="s">
        <v>1480</v>
      </c>
      <c r="B197" s="3179">
        <v>4547.6064999999999</v>
      </c>
      <c r="C197" s="3180"/>
      <c r="D197" s="3181"/>
      <c r="E197" s="3177">
        <v>5132.1361999999999</v>
      </c>
      <c r="F197" s="3178"/>
      <c r="G197" s="3178"/>
      <c r="H197" s="1312"/>
      <c r="I197" s="538"/>
      <c r="J197" s="540">
        <v>12.853568135237722</v>
      </c>
      <c r="K197" s="541"/>
      <c r="L197" s="601"/>
      <c r="M197" s="599">
        <v>584.52970000000005</v>
      </c>
    </row>
    <row r="198" spans="1:13" ht="15" x14ac:dyDescent="0.2">
      <c r="A198" s="602" t="s">
        <v>1372</v>
      </c>
      <c r="B198" s="3227">
        <v>0.705509750855008</v>
      </c>
      <c r="C198" s="3228"/>
      <c r="D198" s="3229"/>
      <c r="E198" s="3175">
        <v>0.76486658037555255</v>
      </c>
      <c r="F198" s="3176"/>
      <c r="G198" s="3176"/>
      <c r="H198" s="1312"/>
      <c r="I198" s="538"/>
      <c r="J198" s="540">
        <v>8.4133251806385374</v>
      </c>
      <c r="K198" s="541"/>
      <c r="L198" s="601"/>
      <c r="M198" s="1296">
        <v>5.9356829520544552E-2</v>
      </c>
    </row>
    <row r="199" spans="1:13" ht="15.75" x14ac:dyDescent="0.2">
      <c r="A199" s="557" t="s">
        <v>1407</v>
      </c>
      <c r="B199" s="3207"/>
      <c r="C199" s="3208"/>
      <c r="D199" s="3209"/>
      <c r="E199" s="3207"/>
      <c r="F199" s="3208"/>
      <c r="G199" s="3209"/>
      <c r="H199" s="1312"/>
      <c r="I199" s="538"/>
      <c r="J199" s="540"/>
      <c r="K199" s="541"/>
      <c r="L199" s="601"/>
      <c r="M199" s="543"/>
    </row>
    <row r="200" spans="1:13" ht="15" x14ac:dyDescent="0.2">
      <c r="A200" s="602" t="s">
        <v>1369</v>
      </c>
      <c r="B200" s="3179">
        <v>14243.007000000001</v>
      </c>
      <c r="C200" s="3180"/>
      <c r="D200" s="3181"/>
      <c r="E200" s="3177">
        <v>14427.507000000001</v>
      </c>
      <c r="F200" s="3178"/>
      <c r="G200" s="3178"/>
      <c r="H200" s="1312"/>
      <c r="I200" s="538"/>
      <c r="J200" s="540">
        <v>1.2953725291295655</v>
      </c>
      <c r="K200" s="541"/>
      <c r="L200" s="601"/>
      <c r="M200" s="599">
        <v>184.5</v>
      </c>
    </row>
    <row r="201" spans="1:13" ht="15" x14ac:dyDescent="0.2">
      <c r="A201" s="602" t="s">
        <v>1370</v>
      </c>
      <c r="B201" s="3179">
        <v>6116.5070000000005</v>
      </c>
      <c r="C201" s="3180"/>
      <c r="D201" s="3181"/>
      <c r="E201" s="3177">
        <v>6746</v>
      </c>
      <c r="F201" s="3178"/>
      <c r="G201" s="3178"/>
      <c r="H201" s="1312"/>
      <c r="I201" s="538"/>
      <c r="J201" s="540">
        <v>10.291707342115359</v>
      </c>
      <c r="K201" s="541"/>
      <c r="L201" s="601"/>
      <c r="M201" s="599">
        <v>629.49299999999948</v>
      </c>
    </row>
    <row r="202" spans="1:13" ht="15" x14ac:dyDescent="0.2">
      <c r="A202" s="602" t="s">
        <v>85</v>
      </c>
      <c r="B202" s="3179">
        <v>79514.591</v>
      </c>
      <c r="C202" s="3180"/>
      <c r="D202" s="3181"/>
      <c r="E202" s="3177">
        <v>67460</v>
      </c>
      <c r="F202" s="3178"/>
      <c r="G202" s="3213"/>
      <c r="H202" s="536"/>
      <c r="I202" s="536"/>
      <c r="J202" s="540">
        <v>-15.160225121449727</v>
      </c>
      <c r="K202" s="541"/>
      <c r="L202" s="601"/>
      <c r="M202" s="599">
        <v>-12054.591</v>
      </c>
    </row>
    <row r="203" spans="1:13" ht="15" x14ac:dyDescent="0.2">
      <c r="A203" s="602" t="s">
        <v>1491</v>
      </c>
      <c r="B203" s="3179">
        <v>54562.731500000002</v>
      </c>
      <c r="C203" s="3180"/>
      <c r="D203" s="3181"/>
      <c r="E203" s="3177">
        <v>57840.857499999998</v>
      </c>
      <c r="F203" s="3178"/>
      <c r="G203" s="3178"/>
      <c r="H203" s="1312"/>
      <c r="I203" s="538"/>
      <c r="J203" s="1300">
        <v>6.0079946694017679</v>
      </c>
      <c r="K203" s="541"/>
      <c r="L203" s="601"/>
      <c r="M203" s="599">
        <v>3278.1259999999966</v>
      </c>
    </row>
    <row r="204" spans="1:13" ht="15" x14ac:dyDescent="0.2">
      <c r="A204" s="602" t="s">
        <v>1372</v>
      </c>
      <c r="B204" s="3179">
        <v>8.9205704334189431</v>
      </c>
      <c r="C204" s="3180"/>
      <c r="D204" s="3181"/>
      <c r="E204" s="3198">
        <v>8.5740968722205757</v>
      </c>
      <c r="F204" s="3199"/>
      <c r="G204" s="3199"/>
      <c r="H204" s="1312"/>
      <c r="I204" s="538"/>
      <c r="J204" s="540">
        <v>-3.8839843683132784</v>
      </c>
      <c r="K204" s="541"/>
      <c r="L204" s="601"/>
      <c r="M204" s="1293">
        <v>-0.34647356119836736</v>
      </c>
    </row>
    <row r="205" spans="1:13" ht="15.75" x14ac:dyDescent="0.2">
      <c r="A205" s="557" t="s">
        <v>1</v>
      </c>
      <c r="B205" s="3179"/>
      <c r="C205" s="3180"/>
      <c r="D205" s="3181"/>
      <c r="E205" s="3207"/>
      <c r="F205" s="3208"/>
      <c r="G205" s="3209"/>
      <c r="H205" s="1312"/>
      <c r="I205" s="538"/>
      <c r="J205" s="540"/>
      <c r="K205" s="541"/>
      <c r="L205" s="601"/>
      <c r="M205" s="543"/>
    </row>
    <row r="206" spans="1:13" ht="15" x14ac:dyDescent="0.2">
      <c r="A206" s="602" t="s">
        <v>1369</v>
      </c>
      <c r="B206" s="3179">
        <v>3826.7</v>
      </c>
      <c r="C206" s="3180"/>
      <c r="D206" s="3181"/>
      <c r="E206" s="3177">
        <v>4162.7</v>
      </c>
      <c r="F206" s="3178"/>
      <c r="G206" s="3178"/>
      <c r="H206" s="1312"/>
      <c r="I206" s="538"/>
      <c r="J206" s="540">
        <v>8.7804113204588816</v>
      </c>
      <c r="K206" s="541"/>
      <c r="L206" s="601"/>
      <c r="M206" s="599">
        <v>336</v>
      </c>
    </row>
    <row r="207" spans="1:13" ht="15" x14ac:dyDescent="0.2">
      <c r="A207" s="602" t="s">
        <v>1370</v>
      </c>
      <c r="B207" s="3179">
        <v>2753.2799999999997</v>
      </c>
      <c r="C207" s="3180"/>
      <c r="D207" s="3181"/>
      <c r="E207" s="3177">
        <v>3131.7</v>
      </c>
      <c r="F207" s="3178"/>
      <c r="G207" s="3178"/>
      <c r="H207" s="1312"/>
      <c r="I207" s="538"/>
      <c r="J207" s="540">
        <v>13.744334030683405</v>
      </c>
      <c r="K207" s="541"/>
      <c r="L207" s="601"/>
      <c r="M207" s="599">
        <v>378.42000000000007</v>
      </c>
    </row>
    <row r="208" spans="1:13" ht="15" x14ac:dyDescent="0.2">
      <c r="A208" s="602" t="s">
        <v>1492</v>
      </c>
      <c r="B208" s="3179">
        <v>19234.86</v>
      </c>
      <c r="C208" s="3180"/>
      <c r="D208" s="3181"/>
      <c r="E208" s="3177">
        <v>22097.5</v>
      </c>
      <c r="F208" s="3178"/>
      <c r="G208" s="3178"/>
      <c r="H208" s="1312"/>
      <c r="I208" s="538"/>
      <c r="J208" s="540">
        <v>14.882562181372776</v>
      </c>
      <c r="K208" s="541"/>
      <c r="L208" s="601"/>
      <c r="M208" s="599">
        <v>2862.6399999999994</v>
      </c>
    </row>
    <row r="209" spans="1:13" ht="15" x14ac:dyDescent="0.2">
      <c r="A209" s="602" t="s">
        <v>1372</v>
      </c>
      <c r="B209" s="3201">
        <v>6.986161959553697</v>
      </c>
      <c r="C209" s="3202"/>
      <c r="D209" s="3203"/>
      <c r="E209" s="3198">
        <v>7.0560717820991794</v>
      </c>
      <c r="F209" s="3199"/>
      <c r="G209" s="3199"/>
      <c r="H209" s="1312"/>
      <c r="I209" s="538"/>
      <c r="J209" s="540">
        <v>1.0006899775617057</v>
      </c>
      <c r="K209" s="541"/>
      <c r="L209" s="601"/>
      <c r="M209" s="1293">
        <v>6.9909822545482392E-2</v>
      </c>
    </row>
    <row r="210" spans="1:13" ht="15.75" x14ac:dyDescent="0.2">
      <c r="A210" s="557" t="s">
        <v>2</v>
      </c>
      <c r="B210" s="3210"/>
      <c r="C210" s="3211"/>
      <c r="D210" s="3212"/>
      <c r="E210" s="3210"/>
      <c r="F210" s="3211"/>
      <c r="G210" s="3212"/>
      <c r="H210" s="1312"/>
      <c r="I210" s="538"/>
      <c r="J210" s="540"/>
      <c r="K210" s="541"/>
      <c r="L210" s="601"/>
      <c r="M210" s="1293"/>
    </row>
    <row r="211" spans="1:13" ht="15" x14ac:dyDescent="0.2">
      <c r="A211" s="602" t="s">
        <v>1369</v>
      </c>
      <c r="B211" s="3179">
        <v>26899.776999999998</v>
      </c>
      <c r="C211" s="3180"/>
      <c r="D211" s="3181"/>
      <c r="E211" s="3177">
        <v>27690.776999999998</v>
      </c>
      <c r="F211" s="3178"/>
      <c r="G211" s="3178"/>
      <c r="H211" s="1312"/>
      <c r="I211" s="538"/>
      <c r="J211" s="540">
        <v>2.9405448231039344</v>
      </c>
      <c r="K211" s="541"/>
      <c r="L211" s="601"/>
      <c r="M211" s="599">
        <v>791</v>
      </c>
    </row>
    <row r="212" spans="1:13" ht="15" x14ac:dyDescent="0.2">
      <c r="A212" s="602" t="s">
        <v>1370</v>
      </c>
      <c r="B212" s="3179">
        <v>23952.127</v>
      </c>
      <c r="C212" s="3180"/>
      <c r="D212" s="3181"/>
      <c r="E212" s="3177">
        <v>24741.776999999998</v>
      </c>
      <c r="F212" s="3178"/>
      <c r="G212" s="3178"/>
      <c r="H212" s="1312"/>
      <c r="I212" s="538"/>
      <c r="J212" s="540">
        <v>3.296784456762424</v>
      </c>
      <c r="K212" s="541"/>
      <c r="L212" s="601"/>
      <c r="M212" s="599">
        <v>789.64999999999782</v>
      </c>
    </row>
    <row r="213" spans="1:13" ht="15" x14ac:dyDescent="0.2">
      <c r="A213" s="602" t="s">
        <v>1492</v>
      </c>
      <c r="B213" s="3179">
        <v>86968.347999999998</v>
      </c>
      <c r="C213" s="3180"/>
      <c r="D213" s="3181"/>
      <c r="E213" s="3177">
        <v>89533.946400000001</v>
      </c>
      <c r="F213" s="3178"/>
      <c r="G213" s="3178"/>
      <c r="H213" s="1312"/>
      <c r="I213" s="538"/>
      <c r="J213" s="540">
        <v>2.9500369490748568</v>
      </c>
      <c r="K213" s="541"/>
      <c r="L213" s="601"/>
      <c r="M213" s="599">
        <v>2565.5984000000026</v>
      </c>
    </row>
    <row r="214" spans="1:13" ht="15" x14ac:dyDescent="0.2">
      <c r="A214" s="602" t="s">
        <v>1372</v>
      </c>
      <c r="B214" s="3201">
        <v>3.6309238006294806</v>
      </c>
      <c r="C214" s="3202"/>
      <c r="D214" s="3203"/>
      <c r="E214" s="3198">
        <v>3.6187354853291258</v>
      </c>
      <c r="F214" s="3199"/>
      <c r="G214" s="3199"/>
      <c r="H214" s="1312"/>
      <c r="I214" s="538"/>
      <c r="J214" s="540">
        <v>-0.33568083412386329</v>
      </c>
      <c r="K214" s="541"/>
      <c r="L214" s="601"/>
      <c r="M214" s="1296">
        <v>-1.2188315300354802E-2</v>
      </c>
    </row>
    <row r="215" spans="1:13" ht="15.75" x14ac:dyDescent="0.2">
      <c r="A215" s="557" t="s">
        <v>1408</v>
      </c>
      <c r="B215" s="3207"/>
      <c r="C215" s="3208"/>
      <c r="D215" s="3209"/>
      <c r="E215" s="3207"/>
      <c r="F215" s="3208"/>
      <c r="G215" s="3209"/>
      <c r="H215" s="538"/>
      <c r="I215" s="538"/>
      <c r="J215" s="540"/>
      <c r="K215" s="541"/>
      <c r="L215" s="601"/>
      <c r="M215" s="543"/>
    </row>
    <row r="216" spans="1:13" ht="15" x14ac:dyDescent="0.2">
      <c r="A216" s="602" t="s">
        <v>1369</v>
      </c>
      <c r="B216" s="3179">
        <v>145740.77000000002</v>
      </c>
      <c r="C216" s="3180"/>
      <c r="D216" s="3181"/>
      <c r="E216" s="3177">
        <v>147991.64000000001</v>
      </c>
      <c r="F216" s="3178"/>
      <c r="G216" s="3213"/>
      <c r="H216" s="538"/>
      <c r="I216" s="538"/>
      <c r="J216" s="540">
        <v>1.5444339974325629</v>
      </c>
      <c r="K216" s="541"/>
      <c r="L216" s="601"/>
      <c r="M216" s="599">
        <v>2250.8699999999953</v>
      </c>
    </row>
    <row r="217" spans="1:13" ht="15" x14ac:dyDescent="0.2">
      <c r="A217" s="602" t="s">
        <v>1370</v>
      </c>
      <c r="B217" s="3179">
        <v>119416.93000000001</v>
      </c>
      <c r="C217" s="3180"/>
      <c r="D217" s="3181"/>
      <c r="E217" s="3177">
        <v>121423.55999999998</v>
      </c>
      <c r="F217" s="3178"/>
      <c r="G217" s="3213"/>
      <c r="H217" s="538"/>
      <c r="I217" s="538"/>
      <c r="J217" s="540">
        <v>1.680356378279015</v>
      </c>
      <c r="K217" s="541"/>
      <c r="L217" s="601"/>
      <c r="M217" s="599">
        <v>2006.6299999999756</v>
      </c>
    </row>
    <row r="218" spans="1:13" ht="15" x14ac:dyDescent="0.2">
      <c r="A218" s="602" t="s">
        <v>1493</v>
      </c>
      <c r="B218" s="3179">
        <v>148043.5442</v>
      </c>
      <c r="C218" s="3180"/>
      <c r="D218" s="3181"/>
      <c r="E218" s="3177">
        <v>172672.54693302812</v>
      </c>
      <c r="F218" s="3178"/>
      <c r="G218" s="3213"/>
      <c r="H218" s="538"/>
      <c r="I218" s="538"/>
      <c r="J218" s="540">
        <v>16.636323364263333</v>
      </c>
      <c r="K218" s="541"/>
      <c r="L218" s="601"/>
      <c r="M218" s="599">
        <v>24629.002733028115</v>
      </c>
    </row>
    <row r="219" spans="1:13" ht="15" x14ac:dyDescent="0.2">
      <c r="A219" s="629" t="s">
        <v>1372</v>
      </c>
      <c r="B219" s="3201">
        <v>1.2397198973378398</v>
      </c>
      <c r="C219" s="3202"/>
      <c r="D219" s="3203"/>
      <c r="E219" s="3198">
        <v>1.4220678996154301</v>
      </c>
      <c r="F219" s="3199"/>
      <c r="G219" s="3200"/>
      <c r="H219" s="579"/>
      <c r="I219" s="579"/>
      <c r="J219" s="546">
        <v>14.708806615846242</v>
      </c>
      <c r="K219" s="603"/>
      <c r="L219" s="604"/>
      <c r="M219" s="1310">
        <v>0.18234800227759029</v>
      </c>
    </row>
    <row r="220" spans="1:13" ht="15.75" x14ac:dyDescent="0.2">
      <c r="A220" s="557" t="s">
        <v>1409</v>
      </c>
      <c r="B220" s="605"/>
      <c r="C220" s="606"/>
      <c r="D220" s="607">
        <v>202440.58900000004</v>
      </c>
      <c r="E220" s="608"/>
      <c r="F220" s="609"/>
      <c r="G220" s="1313">
        <v>206727.56900000002</v>
      </c>
      <c r="H220" s="558"/>
      <c r="I220" s="558"/>
      <c r="J220" s="560">
        <v>2.1176484524059447</v>
      </c>
      <c r="K220" s="605"/>
      <c r="L220" s="606"/>
      <c r="M220" s="1313">
        <v>4286.9799999999814</v>
      </c>
    </row>
    <row r="221" spans="1:13" ht="15.75" x14ac:dyDescent="0.2">
      <c r="A221" s="557" t="s">
        <v>1410</v>
      </c>
      <c r="B221" s="605"/>
      <c r="C221" s="606"/>
      <c r="D221" s="607">
        <v>162251.12900000002</v>
      </c>
      <c r="E221" s="608"/>
      <c r="F221" s="609"/>
      <c r="G221" s="1313">
        <v>167368.48199999999</v>
      </c>
      <c r="H221" s="558"/>
      <c r="I221" s="558"/>
      <c r="J221" s="560">
        <v>3.1539706574245088</v>
      </c>
      <c r="K221" s="605"/>
      <c r="L221" s="606"/>
      <c r="M221" s="1313">
        <v>5117.3529999999737</v>
      </c>
    </row>
    <row r="222" spans="1:13" ht="16.5" thickBot="1" x14ac:dyDescent="0.25">
      <c r="A222" s="596" t="s">
        <v>1411</v>
      </c>
      <c r="B222" s="611"/>
      <c r="C222" s="612"/>
      <c r="D222" s="613">
        <v>428853.1802</v>
      </c>
      <c r="E222" s="614"/>
      <c r="F222" s="615"/>
      <c r="G222" s="1314">
        <v>463876.58703302813</v>
      </c>
      <c r="H222" s="616"/>
      <c r="I222" s="616"/>
      <c r="J222" s="617">
        <v>8.1667592663518604</v>
      </c>
      <c r="K222" s="611"/>
      <c r="L222" s="612"/>
      <c r="M222" s="1314">
        <v>35023.40683302813</v>
      </c>
    </row>
    <row r="223" spans="1:13" ht="15" x14ac:dyDescent="0.2">
      <c r="A223" s="7" t="s">
        <v>1934</v>
      </c>
      <c r="B223" s="571"/>
      <c r="C223" s="571"/>
      <c r="D223" s="1309"/>
      <c r="E223" s="619"/>
      <c r="F223" s="619"/>
      <c r="G223" s="573" t="s">
        <v>1384</v>
      </c>
      <c r="H223" s="620"/>
      <c r="I223" s="620"/>
      <c r="J223" s="620"/>
      <c r="K223" s="620"/>
      <c r="L223" s="620"/>
      <c r="M223" s="620"/>
    </row>
    <row r="224" spans="1:13" ht="15" x14ac:dyDescent="0.2">
      <c r="A224" s="510" t="s">
        <v>0</v>
      </c>
      <c r="B224" s="510"/>
      <c r="C224" s="510"/>
      <c r="D224" s="510"/>
      <c r="E224" s="1735"/>
      <c r="F224" s="512"/>
      <c r="G224" s="573" t="s">
        <v>1447</v>
      </c>
      <c r="H224" s="620"/>
      <c r="I224" s="620"/>
      <c r="J224" s="620"/>
      <c r="K224" s="620"/>
      <c r="L224" s="620"/>
      <c r="M224" s="620"/>
    </row>
    <row r="225" spans="1:13" ht="15" x14ac:dyDescent="0.2">
      <c r="A225" s="510"/>
      <c r="B225" s="510"/>
      <c r="C225" s="510"/>
      <c r="D225" s="510"/>
      <c r="E225" s="1735"/>
      <c r="F225" s="512"/>
      <c r="G225" s="573"/>
      <c r="H225" s="620"/>
      <c r="I225" s="620"/>
      <c r="J225" s="620"/>
      <c r="K225" s="620"/>
      <c r="L225" s="620"/>
      <c r="M225" s="620"/>
    </row>
    <row r="226" spans="1:13" ht="15" x14ac:dyDescent="0.2">
      <c r="A226" s="510"/>
      <c r="B226" s="510"/>
      <c r="C226" s="510"/>
      <c r="D226" s="510"/>
      <c r="E226" s="1735"/>
      <c r="F226" s="512"/>
      <c r="G226" s="573"/>
      <c r="H226" s="620"/>
      <c r="I226" s="620"/>
      <c r="J226" s="620"/>
      <c r="K226" s="620"/>
      <c r="L226" s="620"/>
      <c r="M226" s="620"/>
    </row>
    <row r="227" spans="1:13" ht="15" x14ac:dyDescent="0.2">
      <c r="A227" s="510"/>
      <c r="B227" s="510"/>
      <c r="C227" s="510"/>
      <c r="D227" s="510"/>
      <c r="E227" s="1735"/>
      <c r="F227" s="512"/>
      <c r="G227" s="573"/>
      <c r="H227" s="620"/>
      <c r="I227" s="620"/>
      <c r="J227" s="620"/>
      <c r="K227" s="620"/>
      <c r="L227" s="620"/>
      <c r="M227" s="620"/>
    </row>
    <row r="228" spans="1:13" ht="15" x14ac:dyDescent="0.2">
      <c r="A228" s="510"/>
      <c r="B228" s="510"/>
      <c r="C228" s="510"/>
      <c r="D228" s="510"/>
      <c r="E228" s="1735"/>
      <c r="F228" s="512"/>
      <c r="G228" s="573"/>
      <c r="H228" s="620"/>
      <c r="I228" s="620"/>
      <c r="J228" s="620"/>
      <c r="K228" s="620"/>
      <c r="L228" s="620"/>
      <c r="M228" s="620"/>
    </row>
    <row r="229" spans="1:13" ht="15.75" x14ac:dyDescent="0.2">
      <c r="A229" s="3152" t="s">
        <v>1990</v>
      </c>
      <c r="B229" s="3152"/>
      <c r="C229" s="3152"/>
      <c r="D229" s="3152"/>
      <c r="E229" s="3152"/>
      <c r="F229" s="3152"/>
      <c r="G229" s="3152"/>
      <c r="H229" s="3152"/>
      <c r="I229" s="3152"/>
      <c r="J229" s="3152"/>
      <c r="K229" s="3152"/>
      <c r="L229" s="3152"/>
      <c r="M229" s="3152"/>
    </row>
    <row r="230" spans="1:13" ht="7.5" customHeight="1" thickBot="1" x14ac:dyDescent="0.25">
      <c r="A230" s="512"/>
      <c r="B230" s="512"/>
      <c r="C230" s="512"/>
      <c r="D230" s="512"/>
      <c r="E230" s="512"/>
      <c r="F230" s="512"/>
      <c r="G230" s="513"/>
      <c r="H230" s="512"/>
      <c r="I230" s="512"/>
      <c r="J230" s="512"/>
      <c r="K230" s="512"/>
      <c r="L230" s="512"/>
      <c r="M230" s="512"/>
    </row>
    <row r="231" spans="1:13" ht="16.5" customHeight="1" thickBot="1" x14ac:dyDescent="0.25">
      <c r="A231" s="3182" t="s">
        <v>1159</v>
      </c>
      <c r="B231" s="3156"/>
      <c r="C231" s="3160"/>
      <c r="D231" s="3157"/>
      <c r="E231" s="3187"/>
      <c r="F231" s="3160"/>
      <c r="G231" s="3188"/>
      <c r="H231" s="3161" t="s">
        <v>1364</v>
      </c>
      <c r="I231" s="3162"/>
      <c r="J231" s="3162"/>
      <c r="K231" s="3162"/>
      <c r="L231" s="3162"/>
      <c r="M231" s="3163"/>
    </row>
    <row r="232" spans="1:13" ht="15.75" x14ac:dyDescent="0.2">
      <c r="A232" s="3183"/>
      <c r="B232" s="3184"/>
      <c r="C232" s="3185"/>
      <c r="D232" s="3186"/>
      <c r="E232" s="3189"/>
      <c r="F232" s="3185"/>
      <c r="G232" s="3190"/>
      <c r="H232" s="3156" t="s">
        <v>1366</v>
      </c>
      <c r="I232" s="3160"/>
      <c r="J232" s="3188"/>
      <c r="K232" s="3156" t="s">
        <v>1367</v>
      </c>
      <c r="L232" s="3160"/>
      <c r="M232" s="3188"/>
    </row>
    <row r="233" spans="1:13" ht="14.45" customHeight="1" x14ac:dyDescent="0.2">
      <c r="A233" s="3183"/>
      <c r="B233" s="3184">
        <v>2022</v>
      </c>
      <c r="C233" s="3185"/>
      <c r="D233" s="3186"/>
      <c r="E233" s="3189">
        <v>2023</v>
      </c>
      <c r="F233" s="3185"/>
      <c r="G233" s="3190"/>
      <c r="H233" s="3184" t="s">
        <v>433</v>
      </c>
      <c r="I233" s="3185"/>
      <c r="J233" s="3190"/>
      <c r="K233" s="3184" t="s">
        <v>433</v>
      </c>
      <c r="L233" s="3185"/>
      <c r="M233" s="3190"/>
    </row>
    <row r="234" spans="1:13" ht="14.45" customHeight="1" thickBot="1" x14ac:dyDescent="0.25">
      <c r="A234" s="3183"/>
      <c r="B234" s="3191"/>
      <c r="C234" s="3192"/>
      <c r="D234" s="3226"/>
      <c r="E234" s="3197"/>
      <c r="F234" s="3192"/>
      <c r="G234" s="3193"/>
      <c r="H234" s="3191" t="s">
        <v>1986</v>
      </c>
      <c r="I234" s="3192"/>
      <c r="J234" s="3193"/>
      <c r="K234" s="3191" t="s">
        <v>1986</v>
      </c>
      <c r="L234" s="3192"/>
      <c r="M234" s="3193"/>
    </row>
    <row r="235" spans="1:13" ht="14.45" customHeight="1" x14ac:dyDescent="0.2">
      <c r="A235" s="553" t="s">
        <v>1448</v>
      </c>
      <c r="B235" s="621"/>
      <c r="C235" s="622"/>
      <c r="D235" s="622"/>
      <c r="E235" s="621"/>
      <c r="F235" s="622"/>
      <c r="G235" s="623"/>
      <c r="H235" s="622"/>
      <c r="I235" s="622"/>
      <c r="J235" s="624"/>
      <c r="K235" s="625"/>
      <c r="L235" s="626"/>
      <c r="M235" s="627"/>
    </row>
    <row r="236" spans="1:13" ht="14.45" customHeight="1" x14ac:dyDescent="0.2">
      <c r="A236" s="602" t="s">
        <v>1369</v>
      </c>
      <c r="B236" s="3179">
        <v>7391.0929999999998</v>
      </c>
      <c r="C236" s="3180"/>
      <c r="D236" s="3181"/>
      <c r="E236" s="3198">
        <v>7901.0929999999998</v>
      </c>
      <c r="F236" s="3199"/>
      <c r="G236" s="3200"/>
      <c r="H236" s="548"/>
      <c r="I236" s="538"/>
      <c r="J236" s="540">
        <v>6.9001973050535383</v>
      </c>
      <c r="K236" s="541"/>
      <c r="L236" s="601"/>
      <c r="M236" s="599">
        <v>510</v>
      </c>
    </row>
    <row r="237" spans="1:13" ht="14.45" customHeight="1" x14ac:dyDescent="0.2">
      <c r="A237" s="602" t="s">
        <v>1370</v>
      </c>
      <c r="B237" s="3179">
        <v>4461.3630000000003</v>
      </c>
      <c r="C237" s="3180"/>
      <c r="D237" s="3181"/>
      <c r="E237" s="3198">
        <v>5380.1930000000002</v>
      </c>
      <c r="F237" s="3199"/>
      <c r="G237" s="3200"/>
      <c r="H237" s="538"/>
      <c r="I237" s="538"/>
      <c r="J237" s="540">
        <v>20.595275479713251</v>
      </c>
      <c r="K237" s="541"/>
      <c r="L237" s="601"/>
      <c r="M237" s="599">
        <v>918.82999999999993</v>
      </c>
    </row>
    <row r="238" spans="1:13" ht="14.45" customHeight="1" x14ac:dyDescent="0.2">
      <c r="A238" s="602" t="s">
        <v>1483</v>
      </c>
      <c r="B238" s="3201">
        <v>45722.5873546</v>
      </c>
      <c r="C238" s="3202"/>
      <c r="D238" s="3203"/>
      <c r="E238" s="3198">
        <v>54301.895000000004</v>
      </c>
      <c r="F238" s="3199"/>
      <c r="G238" s="3200"/>
      <c r="H238" s="538"/>
      <c r="I238" s="538"/>
      <c r="J238" s="540">
        <v>18.7638279935111</v>
      </c>
      <c r="K238" s="541"/>
      <c r="L238" s="601"/>
      <c r="M238" s="599">
        <v>8579.3076454000038</v>
      </c>
    </row>
    <row r="239" spans="1:13" ht="14.45" customHeight="1" x14ac:dyDescent="0.2">
      <c r="A239" s="602" t="s">
        <v>1372</v>
      </c>
      <c r="B239" s="3201">
        <v>10.399118490262596</v>
      </c>
      <c r="C239" s="3202"/>
      <c r="D239" s="3203"/>
      <c r="E239" s="3198">
        <v>10.200575319099976</v>
      </c>
      <c r="F239" s="3199"/>
      <c r="G239" s="3200"/>
      <c r="H239" s="538"/>
      <c r="I239" s="538"/>
      <c r="J239" s="540">
        <v>-1.9092307809410016</v>
      </c>
      <c r="K239" s="541"/>
      <c r="L239" s="601"/>
      <c r="M239" s="1293">
        <v>-0.19854317116262088</v>
      </c>
    </row>
    <row r="240" spans="1:13" ht="14.45" customHeight="1" x14ac:dyDescent="0.2">
      <c r="A240" s="1315" t="s">
        <v>1449</v>
      </c>
      <c r="B240" s="3204"/>
      <c r="C240" s="3205"/>
      <c r="D240" s="3206"/>
      <c r="E240" s="3216"/>
      <c r="F240" s="3217"/>
      <c r="G240" s="3218"/>
      <c r="H240" s="548"/>
      <c r="I240" s="548"/>
      <c r="J240" s="550"/>
      <c r="K240" s="541"/>
      <c r="L240" s="601"/>
      <c r="M240" s="543"/>
    </row>
    <row r="241" spans="1:13" ht="14.45" customHeight="1" x14ac:dyDescent="0.2">
      <c r="A241" s="602" t="s">
        <v>1369</v>
      </c>
      <c r="B241" s="3179">
        <v>140.11500000000001</v>
      </c>
      <c r="C241" s="3180"/>
      <c r="D241" s="3181"/>
      <c r="E241" s="3198">
        <v>168.96499999999997</v>
      </c>
      <c r="F241" s="3199"/>
      <c r="G241" s="3200"/>
      <c r="H241" s="548"/>
      <c r="I241" s="538"/>
      <c r="J241" s="540">
        <v>20.59022945437674</v>
      </c>
      <c r="K241" s="541"/>
      <c r="L241" s="601"/>
      <c r="M241" s="599">
        <v>28.849999999999966</v>
      </c>
    </row>
    <row r="242" spans="1:13" ht="14.45" customHeight="1" x14ac:dyDescent="0.2">
      <c r="A242" s="602" t="s">
        <v>1370</v>
      </c>
      <c r="B242" s="3179">
        <v>84.444999999999993</v>
      </c>
      <c r="C242" s="3180"/>
      <c r="D242" s="3181"/>
      <c r="E242" s="3198">
        <v>127.11499999999999</v>
      </c>
      <c r="F242" s="3199"/>
      <c r="G242" s="3200"/>
      <c r="H242" s="538"/>
      <c r="I242" s="538"/>
      <c r="J242" s="540">
        <v>50.529930724139973</v>
      </c>
      <c r="K242" s="541"/>
      <c r="L242" s="601"/>
      <c r="M242" s="599">
        <v>42.67</v>
      </c>
    </row>
    <row r="243" spans="1:13" ht="14.45" customHeight="1" x14ac:dyDescent="0.2">
      <c r="A243" s="602" t="s">
        <v>1483</v>
      </c>
      <c r="B243" s="3179">
        <v>1292.43</v>
      </c>
      <c r="C243" s="3180"/>
      <c r="D243" s="3181"/>
      <c r="E243" s="3198">
        <v>1570.165</v>
      </c>
      <c r="F243" s="3199"/>
      <c r="G243" s="3200"/>
      <c r="H243" s="538"/>
      <c r="I243" s="538"/>
      <c r="J243" s="540">
        <v>21.489364994622534</v>
      </c>
      <c r="K243" s="541"/>
      <c r="L243" s="601"/>
      <c r="M243" s="599">
        <v>277.7349999999999</v>
      </c>
    </row>
    <row r="244" spans="1:13" ht="14.45" customHeight="1" x14ac:dyDescent="0.2">
      <c r="A244" s="602" t="s">
        <v>1372</v>
      </c>
      <c r="B244" s="3201">
        <v>15.30499141453017</v>
      </c>
      <c r="C244" s="3202"/>
      <c r="D244" s="3203"/>
      <c r="E244" s="3198">
        <v>12.352318766471306</v>
      </c>
      <c r="F244" s="3199"/>
      <c r="G244" s="3200"/>
      <c r="H244" s="538"/>
      <c r="I244" s="538"/>
      <c r="J244" s="540">
        <v>-19.292220218141836</v>
      </c>
      <c r="K244" s="541"/>
      <c r="L244" s="601"/>
      <c r="M244" s="1293">
        <v>-2.9526726480588632</v>
      </c>
    </row>
    <row r="245" spans="1:13" ht="14.45" customHeight="1" x14ac:dyDescent="0.2">
      <c r="A245" s="1315" t="s">
        <v>1450</v>
      </c>
      <c r="B245" s="3219"/>
      <c r="C245" s="3220"/>
      <c r="D245" s="3221"/>
      <c r="E245" s="3207"/>
      <c r="F245" s="3208"/>
      <c r="G245" s="3209"/>
      <c r="H245" s="538"/>
      <c r="I245" s="538"/>
      <c r="J245" s="540"/>
      <c r="K245" s="541"/>
      <c r="L245" s="601"/>
      <c r="M245" s="543"/>
    </row>
    <row r="246" spans="1:13" ht="14.45" customHeight="1" x14ac:dyDescent="0.2">
      <c r="A246" s="602" t="s">
        <v>1369</v>
      </c>
      <c r="B246" s="3179">
        <v>3494.7299999999996</v>
      </c>
      <c r="C246" s="3180"/>
      <c r="D246" s="3181"/>
      <c r="E246" s="3198">
        <v>3915.7299999999996</v>
      </c>
      <c r="F246" s="3199"/>
      <c r="G246" s="3200"/>
      <c r="H246" s="538"/>
      <c r="I246" s="538"/>
      <c r="J246" s="540">
        <v>12.046710332414804</v>
      </c>
      <c r="K246" s="541"/>
      <c r="L246" s="601"/>
      <c r="M246" s="599">
        <v>421</v>
      </c>
    </row>
    <row r="247" spans="1:13" ht="14.45" customHeight="1" x14ac:dyDescent="0.2">
      <c r="A247" s="602" t="s">
        <v>1370</v>
      </c>
      <c r="B247" s="3179">
        <v>2868.2299999999996</v>
      </c>
      <c r="C247" s="3180"/>
      <c r="D247" s="3181"/>
      <c r="E247" s="3198">
        <v>2970.7299999999996</v>
      </c>
      <c r="F247" s="3199"/>
      <c r="G247" s="3200"/>
      <c r="H247" s="538"/>
      <c r="I247" s="538"/>
      <c r="J247" s="540">
        <v>3.5736325190099762</v>
      </c>
      <c r="K247" s="541"/>
      <c r="L247" s="601"/>
      <c r="M247" s="599">
        <v>102.5</v>
      </c>
    </row>
    <row r="248" spans="1:13" ht="14.45" customHeight="1" x14ac:dyDescent="0.2">
      <c r="A248" s="602" t="s">
        <v>1483</v>
      </c>
      <c r="B248" s="3179">
        <v>21503.080600000001</v>
      </c>
      <c r="C248" s="3180"/>
      <c r="D248" s="3181"/>
      <c r="E248" s="3198">
        <v>23646.83</v>
      </c>
      <c r="F248" s="3199"/>
      <c r="G248" s="3200"/>
      <c r="H248" s="538"/>
      <c r="I248" s="538"/>
      <c r="J248" s="540">
        <v>9.9694989749515202</v>
      </c>
      <c r="K248" s="541"/>
      <c r="L248" s="601"/>
      <c r="M248" s="599">
        <v>2143.7494000000006</v>
      </c>
    </row>
    <row r="249" spans="1:13" ht="14.45" customHeight="1" x14ac:dyDescent="0.2">
      <c r="A249" s="602" t="s">
        <v>1372</v>
      </c>
      <c r="B249" s="3201">
        <v>7.4969861552246524</v>
      </c>
      <c r="C249" s="3202"/>
      <c r="D249" s="3203"/>
      <c r="E249" s="3198">
        <v>7.9599391395380952</v>
      </c>
      <c r="F249" s="3199"/>
      <c r="G249" s="3200"/>
      <c r="H249" s="538"/>
      <c r="I249" s="538"/>
      <c r="J249" s="540">
        <v>6.175187931897284</v>
      </c>
      <c r="K249" s="541"/>
      <c r="L249" s="601"/>
      <c r="M249" s="599">
        <v>0.46295298431344278</v>
      </c>
    </row>
    <row r="250" spans="1:13" ht="14.45" customHeight="1" x14ac:dyDescent="0.2">
      <c r="A250" s="1315" t="s">
        <v>1451</v>
      </c>
      <c r="B250" s="3204"/>
      <c r="C250" s="3205"/>
      <c r="D250" s="3206"/>
      <c r="E250" s="3216"/>
      <c r="F250" s="3217"/>
      <c r="G250" s="3218"/>
      <c r="H250" s="548"/>
      <c r="I250" s="548"/>
      <c r="J250" s="550"/>
      <c r="K250" s="541"/>
      <c r="L250" s="601"/>
      <c r="M250" s="543"/>
    </row>
    <row r="251" spans="1:13" ht="14.45" customHeight="1" x14ac:dyDescent="0.2">
      <c r="A251" s="602" t="s">
        <v>1369</v>
      </c>
      <c r="B251" s="3179">
        <v>121</v>
      </c>
      <c r="C251" s="3180"/>
      <c r="D251" s="3181"/>
      <c r="E251" s="3198">
        <v>123</v>
      </c>
      <c r="F251" s="3199"/>
      <c r="G251" s="3200"/>
      <c r="H251" s="538"/>
      <c r="I251" s="538"/>
      <c r="J251" s="540">
        <v>1.6528925619834638</v>
      </c>
      <c r="K251" s="541"/>
      <c r="L251" s="601"/>
      <c r="M251" s="599">
        <v>2</v>
      </c>
    </row>
    <row r="252" spans="1:13" ht="14.45" customHeight="1" x14ac:dyDescent="0.2">
      <c r="A252" s="602" t="s">
        <v>1370</v>
      </c>
      <c r="B252" s="3179">
        <v>92.5</v>
      </c>
      <c r="C252" s="3180"/>
      <c r="D252" s="3181"/>
      <c r="E252" s="3198">
        <v>102</v>
      </c>
      <c r="F252" s="3199"/>
      <c r="G252" s="3200"/>
      <c r="H252" s="538"/>
      <c r="I252" s="538"/>
      <c r="J252" s="540">
        <v>10.270270270270274</v>
      </c>
      <c r="K252" s="541"/>
      <c r="L252" s="601"/>
      <c r="M252" s="599">
        <v>9.5</v>
      </c>
    </row>
    <row r="253" spans="1:13" ht="14.45" customHeight="1" x14ac:dyDescent="0.2">
      <c r="A253" s="602" t="s">
        <v>1483</v>
      </c>
      <c r="B253" s="3201">
        <v>607.22</v>
      </c>
      <c r="C253" s="3202"/>
      <c r="D253" s="3203"/>
      <c r="E253" s="3198">
        <v>659</v>
      </c>
      <c r="F253" s="3199"/>
      <c r="G253" s="3200"/>
      <c r="H253" s="538"/>
      <c r="I253" s="538"/>
      <c r="J253" s="540">
        <v>8.5273871084615109</v>
      </c>
      <c r="K253" s="541"/>
      <c r="L253" s="601"/>
      <c r="M253" s="599">
        <v>51.779999999999973</v>
      </c>
    </row>
    <row r="254" spans="1:13" ht="14.45" customHeight="1" x14ac:dyDescent="0.2">
      <c r="A254" s="602" t="s">
        <v>1372</v>
      </c>
      <c r="B254" s="3201">
        <v>6.5645405405405413</v>
      </c>
      <c r="C254" s="3202"/>
      <c r="D254" s="3203"/>
      <c r="E254" s="3198">
        <v>6.4607843137254903</v>
      </c>
      <c r="F254" s="3199"/>
      <c r="G254" s="3200"/>
      <c r="H254" s="538"/>
      <c r="I254" s="538"/>
      <c r="J254" s="540">
        <v>-1.5805558085030498</v>
      </c>
      <c r="K254" s="541"/>
      <c r="L254" s="601"/>
      <c r="M254" s="1293">
        <v>-0.10375622681505092</v>
      </c>
    </row>
    <row r="255" spans="1:13" ht="14.45" customHeight="1" x14ac:dyDescent="0.2">
      <c r="A255" s="1315" t="s">
        <v>1452</v>
      </c>
      <c r="B255" s="3219"/>
      <c r="C255" s="3220"/>
      <c r="D255" s="3221"/>
      <c r="E255" s="3207"/>
      <c r="F255" s="3208"/>
      <c r="G255" s="3209"/>
      <c r="H255" s="538"/>
      <c r="I255" s="538"/>
      <c r="J255" s="540"/>
      <c r="K255" s="541"/>
      <c r="L255" s="601"/>
      <c r="M255" s="543"/>
    </row>
    <row r="256" spans="1:13" ht="14.45" customHeight="1" x14ac:dyDescent="0.2">
      <c r="A256" s="602" t="s">
        <v>1369</v>
      </c>
      <c r="B256" s="3179">
        <v>2816.8149999999996</v>
      </c>
      <c r="C256" s="3180"/>
      <c r="D256" s="3181"/>
      <c r="E256" s="3198">
        <v>3021.6149999999998</v>
      </c>
      <c r="F256" s="3199"/>
      <c r="G256" s="3200"/>
      <c r="H256" s="538"/>
      <c r="I256" s="538"/>
      <c r="J256" s="540">
        <v>7.2706230263613492</v>
      </c>
      <c r="K256" s="541"/>
      <c r="L256" s="601"/>
      <c r="M256" s="1293">
        <v>204.80000000000018</v>
      </c>
    </row>
    <row r="257" spans="1:13" ht="14.45" customHeight="1" x14ac:dyDescent="0.2">
      <c r="A257" s="602" t="s">
        <v>1370</v>
      </c>
      <c r="B257" s="3179">
        <v>1630.8150000000001</v>
      </c>
      <c r="C257" s="3180"/>
      <c r="D257" s="3181"/>
      <c r="E257" s="3198">
        <v>2359.8149999999996</v>
      </c>
      <c r="F257" s="3199"/>
      <c r="G257" s="3200"/>
      <c r="H257" s="538"/>
      <c r="I257" s="538"/>
      <c r="J257" s="540">
        <v>44.701575592571771</v>
      </c>
      <c r="K257" s="541"/>
      <c r="L257" s="601"/>
      <c r="M257" s="1293">
        <v>728.99999999999955</v>
      </c>
    </row>
    <row r="258" spans="1:13" ht="14.45" customHeight="1" x14ac:dyDescent="0.2">
      <c r="A258" s="602" t="s">
        <v>1483</v>
      </c>
      <c r="B258" s="3179">
        <v>16229.222500000002</v>
      </c>
      <c r="C258" s="3180"/>
      <c r="D258" s="3181"/>
      <c r="E258" s="3198">
        <v>25700.400000000001</v>
      </c>
      <c r="F258" s="3199"/>
      <c r="G258" s="3200"/>
      <c r="H258" s="538"/>
      <c r="I258" s="538"/>
      <c r="J258" s="540">
        <v>58.358787674517373</v>
      </c>
      <c r="K258" s="541"/>
      <c r="L258" s="601"/>
      <c r="M258" s="1293">
        <v>9471.1774999999998</v>
      </c>
    </row>
    <row r="259" spans="1:13" ht="14.45" customHeight="1" x14ac:dyDescent="0.2">
      <c r="A259" s="602" t="s">
        <v>1372</v>
      </c>
      <c r="B259" s="3201">
        <v>9.9516024196490722</v>
      </c>
      <c r="C259" s="3202"/>
      <c r="D259" s="3203"/>
      <c r="E259" s="3198">
        <v>10.89085373217816</v>
      </c>
      <c r="F259" s="3199"/>
      <c r="G259" s="3200"/>
      <c r="H259" s="538"/>
      <c r="I259" s="538"/>
      <c r="J259" s="540">
        <v>9.4381916893561737</v>
      </c>
      <c r="K259" s="541"/>
      <c r="L259" s="601"/>
      <c r="M259" s="1293">
        <v>0.93925131252908756</v>
      </c>
    </row>
    <row r="260" spans="1:13" ht="14.45" customHeight="1" x14ac:dyDescent="0.2">
      <c r="A260" s="1315" t="s">
        <v>1453</v>
      </c>
      <c r="B260" s="3219"/>
      <c r="C260" s="3220"/>
      <c r="D260" s="3221"/>
      <c r="E260" s="3207"/>
      <c r="F260" s="3208"/>
      <c r="G260" s="3209"/>
      <c r="H260" s="538"/>
      <c r="I260" s="538"/>
      <c r="J260" s="540"/>
      <c r="K260" s="541"/>
      <c r="L260" s="601"/>
      <c r="M260" s="543"/>
    </row>
    <row r="261" spans="1:13" ht="14.45" customHeight="1" x14ac:dyDescent="0.2">
      <c r="A261" s="602" t="s">
        <v>1369</v>
      </c>
      <c r="B261" s="3179">
        <v>348.52499999999998</v>
      </c>
      <c r="C261" s="3180"/>
      <c r="D261" s="3181"/>
      <c r="E261" s="3198">
        <v>1019.525</v>
      </c>
      <c r="F261" s="3199"/>
      <c r="G261" s="3200"/>
      <c r="H261" s="538"/>
      <c r="I261" s="538"/>
      <c r="J261" s="540">
        <v>192.52564378452053</v>
      </c>
      <c r="K261" s="541"/>
      <c r="L261" s="601"/>
      <c r="M261" s="1293">
        <v>671</v>
      </c>
    </row>
    <row r="262" spans="1:13" ht="14.45" customHeight="1" x14ac:dyDescent="0.2">
      <c r="A262" s="602" t="s">
        <v>1370</v>
      </c>
      <c r="B262" s="3179">
        <v>267.02499999999998</v>
      </c>
      <c r="C262" s="3180"/>
      <c r="D262" s="3181"/>
      <c r="E262" s="3198">
        <v>272.52499999999998</v>
      </c>
      <c r="F262" s="3199"/>
      <c r="G262" s="3200"/>
      <c r="H262" s="538"/>
      <c r="I262" s="538"/>
      <c r="J262" s="540">
        <v>2.0597322348094877</v>
      </c>
      <c r="K262" s="541"/>
      <c r="L262" s="601"/>
      <c r="M262" s="1293">
        <v>5.5</v>
      </c>
    </row>
    <row r="263" spans="1:13" ht="14.45" customHeight="1" x14ac:dyDescent="0.2">
      <c r="A263" s="602" t="s">
        <v>1483</v>
      </c>
      <c r="B263" s="3179">
        <v>2577.1499999999996</v>
      </c>
      <c r="C263" s="3180"/>
      <c r="D263" s="3181"/>
      <c r="E263" s="3198">
        <v>2058.6999999999998</v>
      </c>
      <c r="F263" s="3199"/>
      <c r="G263" s="3200"/>
      <c r="H263" s="538"/>
      <c r="I263" s="538"/>
      <c r="J263" s="540">
        <v>-20.117183710688153</v>
      </c>
      <c r="K263" s="541"/>
      <c r="L263" s="601"/>
      <c r="M263" s="1293">
        <v>-518.44999999999982</v>
      </c>
    </row>
    <row r="264" spans="1:13" ht="14.45" customHeight="1" x14ac:dyDescent="0.2">
      <c r="A264" s="602" t="s">
        <v>1372</v>
      </c>
      <c r="B264" s="3201">
        <v>9.6513435071622506</v>
      </c>
      <c r="C264" s="3202"/>
      <c r="D264" s="3203"/>
      <c r="E264" s="3198">
        <v>7.5541693422621776</v>
      </c>
      <c r="F264" s="3199"/>
      <c r="G264" s="3200"/>
      <c r="H264" s="538"/>
      <c r="I264" s="538"/>
      <c r="J264" s="540">
        <v>-21.729349528837744</v>
      </c>
      <c r="K264" s="541"/>
      <c r="L264" s="601"/>
      <c r="M264" s="1293">
        <v>-2.097174164900073</v>
      </c>
    </row>
    <row r="265" spans="1:13" ht="14.45" customHeight="1" x14ac:dyDescent="0.2">
      <c r="A265" s="1315" t="s">
        <v>1500</v>
      </c>
      <c r="B265" s="3210"/>
      <c r="C265" s="3211"/>
      <c r="D265" s="3212"/>
      <c r="E265" s="3233"/>
      <c r="F265" s="3234"/>
      <c r="G265" s="3235"/>
      <c r="H265" s="538"/>
      <c r="I265" s="538"/>
      <c r="J265" s="540"/>
      <c r="K265" s="541"/>
      <c r="L265" s="601"/>
      <c r="M265" s="1293"/>
    </row>
    <row r="266" spans="1:13" ht="14.45" customHeight="1" x14ac:dyDescent="0.2">
      <c r="A266" s="602" t="s">
        <v>1369</v>
      </c>
      <c r="B266" s="3201">
        <v>154.30000000000001</v>
      </c>
      <c r="C266" s="3202"/>
      <c r="D266" s="3203"/>
      <c r="E266" s="3198">
        <v>147.30000000000001</v>
      </c>
      <c r="F266" s="3199"/>
      <c r="G266" s="3200"/>
      <c r="H266" s="538"/>
      <c r="I266" s="538"/>
      <c r="J266" s="540">
        <v>-4.5366169799092688</v>
      </c>
      <c r="K266" s="541"/>
      <c r="L266" s="601"/>
      <c r="M266" s="1293">
        <v>-7</v>
      </c>
    </row>
    <row r="267" spans="1:13" ht="14.45" customHeight="1" x14ac:dyDescent="0.2">
      <c r="A267" s="602" t="s">
        <v>1370</v>
      </c>
      <c r="B267" s="3201">
        <v>117.3</v>
      </c>
      <c r="C267" s="3202"/>
      <c r="D267" s="3203"/>
      <c r="E267" s="3198">
        <v>101.3</v>
      </c>
      <c r="F267" s="3199"/>
      <c r="G267" s="3200"/>
      <c r="H267" s="538"/>
      <c r="I267" s="538"/>
      <c r="J267" s="540">
        <v>-13.640238704177321</v>
      </c>
      <c r="K267" s="541"/>
      <c r="L267" s="601"/>
      <c r="M267" s="1293">
        <v>-16</v>
      </c>
    </row>
    <row r="268" spans="1:13" ht="14.45" customHeight="1" x14ac:dyDescent="0.2">
      <c r="A268" s="602" t="s">
        <v>1483</v>
      </c>
      <c r="B268" s="3201">
        <v>875</v>
      </c>
      <c r="C268" s="3202"/>
      <c r="D268" s="3203"/>
      <c r="E268" s="3198">
        <v>714</v>
      </c>
      <c r="F268" s="3199"/>
      <c r="G268" s="3200"/>
      <c r="H268" s="538"/>
      <c r="I268" s="538"/>
      <c r="J268" s="540">
        <v>-18.400000000000006</v>
      </c>
      <c r="K268" s="541"/>
      <c r="L268" s="601"/>
      <c r="M268" s="1293">
        <v>-161</v>
      </c>
    </row>
    <row r="269" spans="1:13" ht="14.45" customHeight="1" x14ac:dyDescent="0.2">
      <c r="A269" s="602" t="s">
        <v>1372</v>
      </c>
      <c r="B269" s="3201">
        <v>7.4595055413469735</v>
      </c>
      <c r="C269" s="3202"/>
      <c r="D269" s="3203"/>
      <c r="E269" s="3198">
        <v>7.0483711747285289</v>
      </c>
      <c r="F269" s="3199"/>
      <c r="G269" s="3200"/>
      <c r="H269" s="538"/>
      <c r="I269" s="538"/>
      <c r="J269" s="540">
        <v>-5.5115498519249826</v>
      </c>
      <c r="K269" s="541"/>
      <c r="L269" s="601"/>
      <c r="M269" s="1293">
        <v>-0.4111343666184446</v>
      </c>
    </row>
    <row r="270" spans="1:13" ht="14.45" customHeight="1" x14ac:dyDescent="0.2">
      <c r="A270" s="1315" t="s">
        <v>1474</v>
      </c>
      <c r="B270" s="3219"/>
      <c r="C270" s="3220"/>
      <c r="D270" s="3221"/>
      <c r="E270" s="3207"/>
      <c r="F270" s="3208"/>
      <c r="G270" s="3209"/>
      <c r="H270" s="538"/>
      <c r="I270" s="538"/>
      <c r="J270" s="540"/>
      <c r="K270" s="541"/>
      <c r="L270" s="601"/>
      <c r="M270" s="543"/>
    </row>
    <row r="271" spans="1:13" ht="14.45" customHeight="1" x14ac:dyDescent="0.2">
      <c r="A271" s="602" t="s">
        <v>1369</v>
      </c>
      <c r="B271" s="3179">
        <v>439.68999999999994</v>
      </c>
      <c r="C271" s="3180"/>
      <c r="D271" s="3181"/>
      <c r="E271" s="3198">
        <v>471.68999999999994</v>
      </c>
      <c r="F271" s="3199"/>
      <c r="G271" s="3200"/>
      <c r="H271" s="538"/>
      <c r="I271" s="538"/>
      <c r="J271" s="540">
        <v>7.2778548522822888</v>
      </c>
      <c r="K271" s="541"/>
      <c r="L271" s="601"/>
      <c r="M271" s="1293">
        <v>32</v>
      </c>
    </row>
    <row r="272" spans="1:13" ht="14.45" customHeight="1" x14ac:dyDescent="0.2">
      <c r="A272" s="602" t="s">
        <v>1370</v>
      </c>
      <c r="B272" s="3179">
        <v>342.09</v>
      </c>
      <c r="C272" s="3180"/>
      <c r="D272" s="3181"/>
      <c r="E272" s="3198">
        <v>356.68999999999994</v>
      </c>
      <c r="F272" s="3199"/>
      <c r="G272" s="3200"/>
      <c r="H272" s="538"/>
      <c r="I272" s="538"/>
      <c r="J272" s="540">
        <v>4.2678827209213779</v>
      </c>
      <c r="K272" s="541"/>
      <c r="L272" s="601"/>
      <c r="M272" s="1293">
        <v>14.599999999999966</v>
      </c>
    </row>
    <row r="273" spans="1:13" ht="14.45" customHeight="1" x14ac:dyDescent="0.2">
      <c r="A273" s="602" t="s">
        <v>1483</v>
      </c>
      <c r="B273" s="3179">
        <v>2616.91</v>
      </c>
      <c r="C273" s="3180"/>
      <c r="D273" s="3181"/>
      <c r="E273" s="3198">
        <v>2607.06</v>
      </c>
      <c r="F273" s="3199"/>
      <c r="G273" s="3200"/>
      <c r="H273" s="538"/>
      <c r="I273" s="538"/>
      <c r="J273" s="540">
        <v>-0.37639811839153481</v>
      </c>
      <c r="K273" s="541"/>
      <c r="L273" s="601"/>
      <c r="M273" s="1293">
        <v>-9.8499999999999091</v>
      </c>
    </row>
    <row r="274" spans="1:13" ht="14.45" customHeight="1" x14ac:dyDescent="0.2">
      <c r="A274" s="602" t="s">
        <v>1372</v>
      </c>
      <c r="B274" s="3201">
        <v>7.6497705282235673</v>
      </c>
      <c r="C274" s="3202"/>
      <c r="D274" s="3203"/>
      <c r="E274" s="3198">
        <v>7.3090358574672694</v>
      </c>
      <c r="F274" s="3199"/>
      <c r="G274" s="3200"/>
      <c r="H274" s="538"/>
      <c r="I274" s="538"/>
      <c r="J274" s="540">
        <v>-4.4541815927571804</v>
      </c>
      <c r="K274" s="541"/>
      <c r="L274" s="601"/>
      <c r="M274" s="1293">
        <v>-0.34073467075629793</v>
      </c>
    </row>
    <row r="275" spans="1:13" ht="14.45" customHeight="1" x14ac:dyDescent="0.2">
      <c r="A275" s="1315" t="s">
        <v>1454</v>
      </c>
      <c r="B275" s="3219"/>
      <c r="C275" s="3220"/>
      <c r="D275" s="3221"/>
      <c r="E275" s="3207"/>
      <c r="F275" s="3208"/>
      <c r="G275" s="3209"/>
      <c r="H275" s="538"/>
      <c r="I275" s="538"/>
      <c r="J275" s="540"/>
      <c r="K275" s="541"/>
      <c r="L275" s="601"/>
      <c r="M275" s="543"/>
    </row>
    <row r="276" spans="1:13" ht="14.45" customHeight="1" x14ac:dyDescent="0.2">
      <c r="A276" s="602" t="s">
        <v>1369</v>
      </c>
      <c r="B276" s="3179">
        <v>600.18000000000006</v>
      </c>
      <c r="C276" s="3180"/>
      <c r="D276" s="3181"/>
      <c r="E276" s="3198">
        <v>620.18000000000006</v>
      </c>
      <c r="F276" s="3199"/>
      <c r="G276" s="3200"/>
      <c r="H276" s="538"/>
      <c r="I276" s="538"/>
      <c r="J276" s="540">
        <v>3.3323336332433655</v>
      </c>
      <c r="K276" s="541"/>
      <c r="L276" s="601"/>
      <c r="M276" s="1293">
        <v>20</v>
      </c>
    </row>
    <row r="277" spans="1:13" ht="14.45" customHeight="1" x14ac:dyDescent="0.2">
      <c r="A277" s="602" t="s">
        <v>1370</v>
      </c>
      <c r="B277" s="3179">
        <v>493.78000000000009</v>
      </c>
      <c r="C277" s="3180"/>
      <c r="D277" s="3181"/>
      <c r="E277" s="3198">
        <v>498.68000000000006</v>
      </c>
      <c r="F277" s="3199"/>
      <c r="G277" s="3200"/>
      <c r="H277" s="538"/>
      <c r="I277" s="538"/>
      <c r="J277" s="540">
        <v>0.99234476892542034</v>
      </c>
      <c r="K277" s="541"/>
      <c r="L277" s="601"/>
      <c r="M277" s="1293">
        <v>4.8999999999999773</v>
      </c>
    </row>
    <row r="278" spans="1:13" ht="14.45" customHeight="1" x14ac:dyDescent="0.2">
      <c r="A278" s="602" t="s">
        <v>1483</v>
      </c>
      <c r="B278" s="3179">
        <v>7338.5649999999996</v>
      </c>
      <c r="C278" s="3180"/>
      <c r="D278" s="3181"/>
      <c r="E278" s="3198">
        <v>5124.32</v>
      </c>
      <c r="F278" s="3199"/>
      <c r="G278" s="3200"/>
      <c r="H278" s="538"/>
      <c r="I278" s="538"/>
      <c r="J278" s="540">
        <v>-30.172724504041327</v>
      </c>
      <c r="K278" s="541"/>
      <c r="L278" s="601"/>
      <c r="M278" s="1293">
        <v>-2214.2449999999999</v>
      </c>
    </row>
    <row r="279" spans="1:13" ht="14.45" customHeight="1" x14ac:dyDescent="0.2">
      <c r="A279" s="602" t="s">
        <v>1372</v>
      </c>
      <c r="B279" s="3201">
        <v>14.862013447284212</v>
      </c>
      <c r="C279" s="3202"/>
      <c r="D279" s="3203"/>
      <c r="E279" s="3198">
        <v>10.275768027592843</v>
      </c>
      <c r="F279" s="3199"/>
      <c r="G279" s="3200"/>
      <c r="H279" s="538"/>
      <c r="I279" s="538"/>
      <c r="J279" s="540">
        <v>-30.858843157145913</v>
      </c>
      <c r="K279" s="541"/>
      <c r="L279" s="601"/>
      <c r="M279" s="1293">
        <v>-4.5862454196913696</v>
      </c>
    </row>
    <row r="280" spans="1:13" ht="14.45" customHeight="1" x14ac:dyDescent="0.2">
      <c r="A280" s="1315" t="s">
        <v>1455</v>
      </c>
      <c r="B280" s="3219"/>
      <c r="C280" s="3220"/>
      <c r="D280" s="3221"/>
      <c r="E280" s="3207"/>
      <c r="F280" s="3208"/>
      <c r="G280" s="3209"/>
      <c r="H280" s="538"/>
      <c r="I280" s="538"/>
      <c r="J280" s="540"/>
      <c r="K280" s="541"/>
      <c r="L280" s="601"/>
      <c r="M280" s="543"/>
    </row>
    <row r="281" spans="1:13" ht="14.45" customHeight="1" x14ac:dyDescent="0.2">
      <c r="A281" s="602" t="s">
        <v>1369</v>
      </c>
      <c r="B281" s="3179">
        <v>1063.3599999999999</v>
      </c>
      <c r="C281" s="3180"/>
      <c r="D281" s="3181"/>
      <c r="E281" s="3198">
        <v>1117.8599999999999</v>
      </c>
      <c r="F281" s="3199"/>
      <c r="G281" s="3200"/>
      <c r="H281" s="538"/>
      <c r="I281" s="538"/>
      <c r="J281" s="540">
        <v>5.1252633162804671</v>
      </c>
      <c r="K281" s="541"/>
      <c r="L281" s="601"/>
      <c r="M281" s="1293">
        <v>54.5</v>
      </c>
    </row>
    <row r="282" spans="1:13" ht="14.45" customHeight="1" x14ac:dyDescent="0.2">
      <c r="A282" s="602" t="s">
        <v>1370</v>
      </c>
      <c r="B282" s="3179">
        <v>832.9899999999999</v>
      </c>
      <c r="C282" s="3180"/>
      <c r="D282" s="3181"/>
      <c r="E282" s="3198">
        <v>905.8599999999999</v>
      </c>
      <c r="F282" s="3199"/>
      <c r="G282" s="3200"/>
      <c r="H282" s="538"/>
      <c r="I282" s="538"/>
      <c r="J282" s="540">
        <v>8.7480041777212136</v>
      </c>
      <c r="K282" s="541"/>
      <c r="L282" s="601"/>
      <c r="M282" s="1293">
        <v>72.87</v>
      </c>
    </row>
    <row r="283" spans="1:13" ht="14.45" customHeight="1" x14ac:dyDescent="0.2">
      <c r="A283" s="602" t="s">
        <v>1483</v>
      </c>
      <c r="B283" s="3179">
        <v>9288.14</v>
      </c>
      <c r="C283" s="3180"/>
      <c r="D283" s="3181"/>
      <c r="E283" s="3198">
        <v>10498.4</v>
      </c>
      <c r="F283" s="3199"/>
      <c r="G283" s="3200"/>
      <c r="H283" s="538"/>
      <c r="I283" s="538"/>
      <c r="J283" s="540">
        <v>13.030165350651473</v>
      </c>
      <c r="K283" s="541"/>
      <c r="L283" s="601"/>
      <c r="M283" s="1293">
        <v>1210.2600000000002</v>
      </c>
    </row>
    <row r="284" spans="1:13" ht="14.45" customHeight="1" x14ac:dyDescent="0.2">
      <c r="A284" s="602" t="s">
        <v>1372</v>
      </c>
      <c r="B284" s="3201">
        <v>11.15036194912304</v>
      </c>
      <c r="C284" s="3202"/>
      <c r="D284" s="3203"/>
      <c r="E284" s="3198">
        <v>11.589428830062042</v>
      </c>
      <c r="F284" s="3199"/>
      <c r="G284" s="3200"/>
      <c r="H284" s="538"/>
      <c r="I284" s="538"/>
      <c r="J284" s="540">
        <v>3.9376917354107377</v>
      </c>
      <c r="K284" s="541"/>
      <c r="L284" s="601"/>
      <c r="M284" s="1293">
        <v>0.43906688093900215</v>
      </c>
    </row>
    <row r="285" spans="1:13" ht="14.45" customHeight="1" x14ac:dyDescent="0.2">
      <c r="A285" s="1315" t="s">
        <v>1456</v>
      </c>
      <c r="B285" s="3219"/>
      <c r="C285" s="3220"/>
      <c r="D285" s="3221"/>
      <c r="E285" s="3207"/>
      <c r="F285" s="3208"/>
      <c r="G285" s="3209"/>
      <c r="H285" s="538"/>
      <c r="I285" s="538"/>
      <c r="J285" s="540"/>
      <c r="K285" s="541"/>
      <c r="L285" s="601"/>
      <c r="M285" s="543"/>
    </row>
    <row r="286" spans="1:13" ht="14.45" customHeight="1" x14ac:dyDescent="0.2">
      <c r="A286" s="602" t="s">
        <v>1369</v>
      </c>
      <c r="B286" s="3179">
        <v>2402.17</v>
      </c>
      <c r="C286" s="3180"/>
      <c r="D286" s="3181"/>
      <c r="E286" s="3198">
        <v>2464.17</v>
      </c>
      <c r="F286" s="3199"/>
      <c r="G286" s="3200"/>
      <c r="H286" s="538"/>
      <c r="I286" s="538"/>
      <c r="J286" s="540">
        <v>2.5809996794564825</v>
      </c>
      <c r="K286" s="541"/>
      <c r="L286" s="601"/>
      <c r="M286" s="1293">
        <v>62</v>
      </c>
    </row>
    <row r="287" spans="1:13" ht="14.45" customHeight="1" x14ac:dyDescent="0.2">
      <c r="A287" s="602" t="s">
        <v>1370</v>
      </c>
      <c r="B287" s="3179">
        <v>1831.47</v>
      </c>
      <c r="C287" s="3180"/>
      <c r="D287" s="3181"/>
      <c r="E287" s="3198">
        <v>2042.67</v>
      </c>
      <c r="F287" s="3199"/>
      <c r="G287" s="3200"/>
      <c r="H287" s="538"/>
      <c r="I287" s="538"/>
      <c r="J287" s="540">
        <v>11.531720421300932</v>
      </c>
      <c r="K287" s="541"/>
      <c r="L287" s="601"/>
      <c r="M287" s="1293">
        <v>211.20000000000005</v>
      </c>
    </row>
    <row r="288" spans="1:13" ht="14.45" customHeight="1" x14ac:dyDescent="0.2">
      <c r="A288" s="602" t="s">
        <v>1483</v>
      </c>
      <c r="B288" s="3179">
        <v>13285.315000000001</v>
      </c>
      <c r="C288" s="3180"/>
      <c r="D288" s="3181"/>
      <c r="E288" s="3198">
        <v>14603.83</v>
      </c>
      <c r="F288" s="3199"/>
      <c r="G288" s="3200"/>
      <c r="H288" s="538"/>
      <c r="I288" s="538"/>
      <c r="J288" s="540">
        <v>9.9246047233354915</v>
      </c>
      <c r="K288" s="541"/>
      <c r="L288" s="601"/>
      <c r="M288" s="1293">
        <v>1318.5149999999994</v>
      </c>
    </row>
    <row r="289" spans="1:13" ht="14.45" customHeight="1" thickBot="1" x14ac:dyDescent="0.25">
      <c r="A289" s="1813" t="s">
        <v>1372</v>
      </c>
      <c r="B289" s="3230">
        <v>7.2539080629221342</v>
      </c>
      <c r="C289" s="3231"/>
      <c r="D289" s="3232"/>
      <c r="E289" s="3236">
        <v>7.1493829154978528</v>
      </c>
      <c r="F289" s="3237"/>
      <c r="G289" s="3238"/>
      <c r="H289" s="579"/>
      <c r="I289" s="579"/>
      <c r="J289" s="540">
        <v>-1.4409494374288414</v>
      </c>
      <c r="K289" s="603"/>
      <c r="L289" s="604"/>
      <c r="M289" s="1293">
        <v>-0.10452514742428143</v>
      </c>
    </row>
    <row r="290" spans="1:13" ht="15.75" x14ac:dyDescent="0.2">
      <c r="A290" s="7" t="s">
        <v>1934</v>
      </c>
      <c r="B290" s="571"/>
      <c r="C290" s="571"/>
      <c r="D290" s="571"/>
      <c r="E290" s="630"/>
      <c r="G290" s="631" t="s">
        <v>1016</v>
      </c>
      <c r="H290" s="630"/>
      <c r="I290" s="630"/>
      <c r="J290" s="526"/>
      <c r="K290" s="526"/>
      <c r="L290" s="526"/>
      <c r="M290" s="630"/>
    </row>
    <row r="291" spans="1:13" x14ac:dyDescent="0.2">
      <c r="A291" s="510" t="s">
        <v>814</v>
      </c>
      <c r="B291" s="510"/>
      <c r="C291" s="510"/>
      <c r="D291" s="510"/>
      <c r="E291" s="510"/>
      <c r="F291" s="510"/>
      <c r="G291" s="263"/>
      <c r="H291" s="510"/>
      <c r="I291" s="510"/>
      <c r="J291" s="510"/>
      <c r="K291" s="510"/>
      <c r="L291" s="510"/>
      <c r="M291" s="510"/>
    </row>
    <row r="292" spans="1:13" x14ac:dyDescent="0.2">
      <c r="A292" s="510"/>
      <c r="B292" s="510"/>
      <c r="C292" s="510"/>
      <c r="D292" s="510"/>
      <c r="E292" s="510"/>
      <c r="F292" s="510"/>
      <c r="G292" s="263"/>
      <c r="H292" s="510"/>
      <c r="I292" s="510"/>
      <c r="J292" s="510"/>
      <c r="K292" s="510"/>
      <c r="L292" s="510"/>
      <c r="M292" s="510"/>
    </row>
    <row r="293" spans="1:13" ht="16.5" thickBot="1" x14ac:dyDescent="0.25">
      <c r="A293" s="3152" t="s">
        <v>1991</v>
      </c>
      <c r="B293" s="3152"/>
      <c r="C293" s="3152"/>
      <c r="D293" s="3152"/>
      <c r="E293" s="3152"/>
      <c r="F293" s="3152"/>
      <c r="G293" s="3152"/>
      <c r="H293" s="3152"/>
      <c r="I293" s="3152"/>
      <c r="J293" s="3152"/>
      <c r="K293" s="3152"/>
      <c r="L293" s="3152"/>
      <c r="M293" s="3152"/>
    </row>
    <row r="294" spans="1:13" ht="12.95" customHeight="1" thickBot="1" x14ac:dyDescent="0.25">
      <c r="A294" s="3182" t="s">
        <v>1159</v>
      </c>
      <c r="B294" s="3156"/>
      <c r="C294" s="3160"/>
      <c r="D294" s="3157"/>
      <c r="E294" s="3187"/>
      <c r="F294" s="3160"/>
      <c r="G294" s="3188"/>
      <c r="H294" s="3161" t="s">
        <v>1364</v>
      </c>
      <c r="I294" s="3162"/>
      <c r="J294" s="3162"/>
      <c r="K294" s="3162"/>
      <c r="L294" s="3162"/>
      <c r="M294" s="3163"/>
    </row>
    <row r="295" spans="1:13" ht="12.95" customHeight="1" x14ac:dyDescent="0.2">
      <c r="A295" s="3183"/>
      <c r="B295" s="3184"/>
      <c r="C295" s="3185"/>
      <c r="D295" s="3186"/>
      <c r="E295" s="3189"/>
      <c r="F295" s="3185"/>
      <c r="G295" s="3190"/>
      <c r="H295" s="3156" t="s">
        <v>1366</v>
      </c>
      <c r="I295" s="3160"/>
      <c r="J295" s="3188"/>
      <c r="K295" s="3156" t="s">
        <v>1367</v>
      </c>
      <c r="L295" s="3160"/>
      <c r="M295" s="3188"/>
    </row>
    <row r="296" spans="1:13" ht="12.95" customHeight="1" x14ac:dyDescent="0.2">
      <c r="A296" s="3183"/>
      <c r="B296" s="3184">
        <v>2022</v>
      </c>
      <c r="C296" s="3185"/>
      <c r="D296" s="3186"/>
      <c r="E296" s="3189">
        <v>2023</v>
      </c>
      <c r="F296" s="3185"/>
      <c r="G296" s="3190"/>
      <c r="H296" s="3184" t="s">
        <v>433</v>
      </c>
      <c r="I296" s="3185"/>
      <c r="J296" s="3190"/>
      <c r="K296" s="3184" t="s">
        <v>433</v>
      </c>
      <c r="L296" s="3185"/>
      <c r="M296" s="3190"/>
    </row>
    <row r="297" spans="1:13" ht="12.95" customHeight="1" thickBot="1" x14ac:dyDescent="0.25">
      <c r="A297" s="3183"/>
      <c r="B297" s="3191"/>
      <c r="C297" s="3192"/>
      <c r="D297" s="3226"/>
      <c r="E297" s="3197"/>
      <c r="F297" s="3192"/>
      <c r="G297" s="3193"/>
      <c r="H297" s="3191" t="s">
        <v>1986</v>
      </c>
      <c r="I297" s="3192"/>
      <c r="J297" s="3193"/>
      <c r="K297" s="3191" t="s">
        <v>1986</v>
      </c>
      <c r="L297" s="3192"/>
      <c r="M297" s="3193"/>
    </row>
    <row r="298" spans="1:13" ht="14.45" customHeight="1" x14ac:dyDescent="0.2">
      <c r="A298" s="553" t="s">
        <v>1458</v>
      </c>
      <c r="B298" s="621"/>
      <c r="C298" s="622"/>
      <c r="D298" s="622"/>
      <c r="E298" s="621"/>
      <c r="F298" s="622"/>
      <c r="G298" s="623"/>
      <c r="H298" s="622"/>
      <c r="I298" s="622"/>
      <c r="J298" s="624"/>
      <c r="K298" s="625"/>
      <c r="L298" s="626"/>
      <c r="M298" s="627"/>
    </row>
    <row r="299" spans="1:13" ht="14.45" customHeight="1" x14ac:dyDescent="0.2">
      <c r="A299" s="602" t="s">
        <v>1369</v>
      </c>
      <c r="B299" s="3179">
        <v>471.5</v>
      </c>
      <c r="C299" s="3180"/>
      <c r="D299" s="3181"/>
      <c r="E299" s="3198">
        <v>497.5</v>
      </c>
      <c r="F299" s="3199"/>
      <c r="G299" s="3200"/>
      <c r="H299" s="548"/>
      <c r="I299" s="538"/>
      <c r="J299" s="540">
        <v>5.5143160127253452</v>
      </c>
      <c r="K299" s="541"/>
      <c r="L299" s="601"/>
      <c r="M299" s="599">
        <v>26</v>
      </c>
    </row>
    <row r="300" spans="1:13" ht="14.45" customHeight="1" x14ac:dyDescent="0.2">
      <c r="A300" s="602" t="s">
        <v>1370</v>
      </c>
      <c r="B300" s="3179">
        <v>399.9</v>
      </c>
      <c r="C300" s="3180"/>
      <c r="D300" s="3181"/>
      <c r="E300" s="3198">
        <v>394.5</v>
      </c>
      <c r="F300" s="3199"/>
      <c r="G300" s="3200"/>
      <c r="H300" s="538"/>
      <c r="I300" s="538"/>
      <c r="J300" s="540">
        <v>-1.3503375843960868</v>
      </c>
      <c r="K300" s="541"/>
      <c r="L300" s="601"/>
      <c r="M300" s="599">
        <v>-5.3999999999999773</v>
      </c>
    </row>
    <row r="301" spans="1:13" ht="14.45" customHeight="1" x14ac:dyDescent="0.2">
      <c r="A301" s="602" t="s">
        <v>1483</v>
      </c>
      <c r="B301" s="3179">
        <v>6531.701</v>
      </c>
      <c r="C301" s="3180"/>
      <c r="D301" s="3181"/>
      <c r="E301" s="3198">
        <v>4286.7</v>
      </c>
      <c r="F301" s="3199"/>
      <c r="G301" s="3200"/>
      <c r="H301" s="538"/>
      <c r="I301" s="538"/>
      <c r="J301" s="540">
        <v>-34.370847655151394</v>
      </c>
      <c r="K301" s="541"/>
      <c r="L301" s="601"/>
      <c r="M301" s="599">
        <v>-2245.0010000000002</v>
      </c>
    </row>
    <row r="302" spans="1:13" ht="14.45" customHeight="1" x14ac:dyDescent="0.2">
      <c r="A302" s="602" t="s">
        <v>1372</v>
      </c>
      <c r="B302" s="3201">
        <v>16.33333583395849</v>
      </c>
      <c r="C302" s="3202"/>
      <c r="D302" s="3203"/>
      <c r="E302" s="3198">
        <v>10.86615969581749</v>
      </c>
      <c r="F302" s="3199"/>
      <c r="G302" s="3200"/>
      <c r="H302" s="538"/>
      <c r="I302" s="538"/>
      <c r="J302" s="540">
        <v>-33.472501843586926</v>
      </c>
      <c r="K302" s="541"/>
      <c r="L302" s="601"/>
      <c r="M302" s="1293">
        <v>-5.4671761381409993</v>
      </c>
    </row>
    <row r="303" spans="1:13" ht="14.45" customHeight="1" x14ac:dyDescent="0.2">
      <c r="A303" s="1315" t="s">
        <v>1459</v>
      </c>
      <c r="B303" s="3204"/>
      <c r="C303" s="3205"/>
      <c r="D303" s="3206"/>
      <c r="E303" s="3216"/>
      <c r="F303" s="3217"/>
      <c r="G303" s="3218"/>
      <c r="H303" s="548"/>
      <c r="I303" s="548"/>
      <c r="J303" s="550"/>
      <c r="K303" s="541"/>
      <c r="L303" s="601"/>
      <c r="M303" s="543"/>
    </row>
    <row r="304" spans="1:13" ht="14.45" customHeight="1" x14ac:dyDescent="0.2">
      <c r="A304" s="602" t="s">
        <v>1369</v>
      </c>
      <c r="B304" s="3179">
        <v>1317.8700000000001</v>
      </c>
      <c r="C304" s="3180"/>
      <c r="D304" s="3181"/>
      <c r="E304" s="3198">
        <v>1375.8700000000001</v>
      </c>
      <c r="F304" s="3199"/>
      <c r="G304" s="3200"/>
      <c r="H304" s="548"/>
      <c r="I304" s="538"/>
      <c r="J304" s="540">
        <v>4.4010410738540173</v>
      </c>
      <c r="K304" s="541"/>
      <c r="L304" s="601"/>
      <c r="M304" s="1293">
        <v>58</v>
      </c>
    </row>
    <row r="305" spans="1:13" ht="14.45" customHeight="1" x14ac:dyDescent="0.2">
      <c r="A305" s="602" t="s">
        <v>1370</v>
      </c>
      <c r="B305" s="3179">
        <v>983.58</v>
      </c>
      <c r="C305" s="3180"/>
      <c r="D305" s="3181"/>
      <c r="E305" s="3198">
        <v>1174.8700000000001</v>
      </c>
      <c r="F305" s="3199"/>
      <c r="G305" s="3200"/>
      <c r="H305" s="538"/>
      <c r="I305" s="538"/>
      <c r="J305" s="540">
        <v>19.448341771894519</v>
      </c>
      <c r="K305" s="541"/>
      <c r="L305" s="601"/>
      <c r="M305" s="1293">
        <v>191.29000000000008</v>
      </c>
    </row>
    <row r="306" spans="1:13" ht="14.45" customHeight="1" x14ac:dyDescent="0.2">
      <c r="A306" s="602" t="s">
        <v>1483</v>
      </c>
      <c r="B306" s="3179">
        <v>12970.492</v>
      </c>
      <c r="C306" s="3180"/>
      <c r="D306" s="3181"/>
      <c r="E306" s="3198">
        <v>16316.32</v>
      </c>
      <c r="F306" s="3199"/>
      <c r="G306" s="3200"/>
      <c r="H306" s="538"/>
      <c r="I306" s="538"/>
      <c r="J306" s="540">
        <v>25.795690710884372</v>
      </c>
      <c r="K306" s="541"/>
      <c r="L306" s="601"/>
      <c r="M306" s="1293">
        <v>3345.8279999999995</v>
      </c>
    </row>
    <row r="307" spans="1:13" ht="14.45" customHeight="1" x14ac:dyDescent="0.2">
      <c r="A307" s="602" t="s">
        <v>1372</v>
      </c>
      <c r="B307" s="3201">
        <v>13.187022916285406</v>
      </c>
      <c r="C307" s="3202"/>
      <c r="D307" s="3203"/>
      <c r="E307" s="3198">
        <v>13.887766306059392</v>
      </c>
      <c r="F307" s="3199"/>
      <c r="G307" s="3200"/>
      <c r="H307" s="538"/>
      <c r="I307" s="538"/>
      <c r="J307" s="540">
        <v>5.3138861911629789</v>
      </c>
      <c r="K307" s="541"/>
      <c r="L307" s="601"/>
      <c r="M307" s="1293">
        <v>0.70074338977398654</v>
      </c>
    </row>
    <row r="308" spans="1:13" ht="14.45" customHeight="1" x14ac:dyDescent="0.2">
      <c r="A308" s="1315" t="s">
        <v>1460</v>
      </c>
      <c r="B308" s="3219"/>
      <c r="C308" s="3220"/>
      <c r="D308" s="3221"/>
      <c r="E308" s="3207"/>
      <c r="F308" s="3208"/>
      <c r="G308" s="3209"/>
      <c r="H308" s="538"/>
      <c r="I308" s="538"/>
      <c r="J308" s="540"/>
      <c r="K308" s="541"/>
      <c r="L308" s="601"/>
      <c r="M308" s="543"/>
    </row>
    <row r="309" spans="1:13" ht="14.45" customHeight="1" x14ac:dyDescent="0.2">
      <c r="A309" s="602" t="s">
        <v>1369</v>
      </c>
      <c r="B309" s="3179">
        <v>1540.05</v>
      </c>
      <c r="C309" s="3180"/>
      <c r="D309" s="3181"/>
      <c r="E309" s="3198">
        <v>1645.0500000000002</v>
      </c>
      <c r="F309" s="3199"/>
      <c r="G309" s="3200"/>
      <c r="H309" s="538"/>
      <c r="I309" s="538"/>
      <c r="J309" s="540">
        <v>6.8179604558293647</v>
      </c>
      <c r="K309" s="541"/>
      <c r="L309" s="601"/>
      <c r="M309" s="1293">
        <v>105.00000000000023</v>
      </c>
    </row>
    <row r="310" spans="1:13" ht="14.45" customHeight="1" x14ac:dyDescent="0.2">
      <c r="A310" s="602" t="s">
        <v>1370</v>
      </c>
      <c r="B310" s="3179">
        <v>1179.22</v>
      </c>
      <c r="C310" s="3180"/>
      <c r="D310" s="3181"/>
      <c r="E310" s="3198">
        <v>1436.55</v>
      </c>
      <c r="F310" s="3199"/>
      <c r="G310" s="3200"/>
      <c r="H310" s="538"/>
      <c r="I310" s="538"/>
      <c r="J310" s="540">
        <v>21.822051864791973</v>
      </c>
      <c r="K310" s="541"/>
      <c r="L310" s="601"/>
      <c r="M310" s="1293">
        <v>257.32999999999993</v>
      </c>
    </row>
    <row r="311" spans="1:13" ht="14.45" customHeight="1" x14ac:dyDescent="0.2">
      <c r="A311" s="602" t="s">
        <v>1483</v>
      </c>
      <c r="B311" s="3179">
        <v>7555.9049999999997</v>
      </c>
      <c r="C311" s="3180"/>
      <c r="D311" s="3181"/>
      <c r="E311" s="3198">
        <v>9700.1</v>
      </c>
      <c r="F311" s="3199"/>
      <c r="G311" s="3200"/>
      <c r="H311" s="538"/>
      <c r="I311" s="538"/>
      <c r="J311" s="540">
        <v>28.377739000159494</v>
      </c>
      <c r="K311" s="541"/>
      <c r="L311" s="601"/>
      <c r="M311" s="1293">
        <v>2144.1950000000006</v>
      </c>
    </row>
    <row r="312" spans="1:13" ht="14.45" customHeight="1" x14ac:dyDescent="0.2">
      <c r="A312" s="602" t="s">
        <v>1372</v>
      </c>
      <c r="B312" s="3201">
        <v>6.4075448177608925</v>
      </c>
      <c r="C312" s="3202"/>
      <c r="D312" s="3203"/>
      <c r="E312" s="3198">
        <v>6.7523580801225158</v>
      </c>
      <c r="F312" s="3199"/>
      <c r="G312" s="3200"/>
      <c r="H312" s="538"/>
      <c r="I312" s="538"/>
      <c r="J312" s="540">
        <v>5.3813632548592523</v>
      </c>
      <c r="K312" s="541"/>
      <c r="L312" s="601"/>
      <c r="M312" s="1293">
        <v>0.34481326236162335</v>
      </c>
    </row>
    <row r="313" spans="1:13" ht="14.45" customHeight="1" x14ac:dyDescent="0.2">
      <c r="A313" s="1315" t="s">
        <v>1461</v>
      </c>
      <c r="B313" s="3204"/>
      <c r="C313" s="3205"/>
      <c r="D313" s="3206"/>
      <c r="E313" s="3216"/>
      <c r="F313" s="3217"/>
      <c r="G313" s="3218"/>
      <c r="H313" s="548"/>
      <c r="I313" s="548"/>
      <c r="J313" s="550"/>
      <c r="K313" s="541"/>
      <c r="L313" s="601"/>
      <c r="M313" s="543"/>
    </row>
    <row r="314" spans="1:13" ht="14.45" customHeight="1" x14ac:dyDescent="0.2">
      <c r="A314" s="602" t="s">
        <v>1369</v>
      </c>
      <c r="B314" s="3179">
        <v>568.04</v>
      </c>
      <c r="C314" s="3180"/>
      <c r="D314" s="3181"/>
      <c r="E314" s="3198">
        <v>623.04</v>
      </c>
      <c r="F314" s="3199"/>
      <c r="G314" s="3200"/>
      <c r="H314" s="538"/>
      <c r="I314" s="538"/>
      <c r="J314" s="540">
        <v>9.682416731216108</v>
      </c>
      <c r="K314" s="541"/>
      <c r="L314" s="601"/>
      <c r="M314" s="1293">
        <v>55</v>
      </c>
    </row>
    <row r="315" spans="1:13" ht="14.45" customHeight="1" x14ac:dyDescent="0.2">
      <c r="A315" s="602" t="s">
        <v>1370</v>
      </c>
      <c r="B315" s="3179">
        <v>324.84000000000003</v>
      </c>
      <c r="C315" s="3180"/>
      <c r="D315" s="3181"/>
      <c r="E315" s="3198">
        <v>405.03999999999996</v>
      </c>
      <c r="F315" s="3199"/>
      <c r="G315" s="3200"/>
      <c r="H315" s="538"/>
      <c r="I315" s="538"/>
      <c r="J315" s="540">
        <v>24.689077699790658</v>
      </c>
      <c r="K315" s="541"/>
      <c r="L315" s="601"/>
      <c r="M315" s="1293">
        <v>80.199999999999932</v>
      </c>
    </row>
    <row r="316" spans="1:13" ht="14.45" customHeight="1" x14ac:dyDescent="0.2">
      <c r="A316" s="602" t="s">
        <v>1483</v>
      </c>
      <c r="B316" s="3179">
        <v>5216.29</v>
      </c>
      <c r="C316" s="3180"/>
      <c r="D316" s="3181"/>
      <c r="E316" s="3198">
        <v>6394.52</v>
      </c>
      <c r="F316" s="3199"/>
      <c r="G316" s="3200"/>
      <c r="H316" s="538"/>
      <c r="I316" s="538"/>
      <c r="J316" s="540">
        <v>22.587509513466486</v>
      </c>
      <c r="K316" s="541"/>
      <c r="L316" s="601"/>
      <c r="M316" s="1293">
        <v>1178.2300000000005</v>
      </c>
    </row>
    <row r="317" spans="1:13" ht="14.45" customHeight="1" x14ac:dyDescent="0.2">
      <c r="A317" s="602" t="s">
        <v>1372</v>
      </c>
      <c r="B317" s="3201">
        <v>16.058028567910355</v>
      </c>
      <c r="C317" s="3202"/>
      <c r="D317" s="3203"/>
      <c r="E317" s="3198">
        <v>15.7873790242939</v>
      </c>
      <c r="F317" s="3199"/>
      <c r="G317" s="3200"/>
      <c r="H317" s="538"/>
      <c r="I317" s="538"/>
      <c r="J317" s="540">
        <v>-1.6854468932587992</v>
      </c>
      <c r="K317" s="541"/>
      <c r="L317" s="601"/>
      <c r="M317" s="1293">
        <v>-0.27064954361645555</v>
      </c>
    </row>
    <row r="318" spans="1:13" ht="14.45" customHeight="1" x14ac:dyDescent="0.2">
      <c r="A318" s="1315" t="s">
        <v>1462</v>
      </c>
      <c r="B318" s="3219"/>
      <c r="C318" s="3220"/>
      <c r="D318" s="3221"/>
      <c r="E318" s="3207"/>
      <c r="F318" s="3208"/>
      <c r="G318" s="3209"/>
      <c r="H318" s="538"/>
      <c r="I318" s="538"/>
      <c r="J318" s="540"/>
      <c r="K318" s="541"/>
      <c r="L318" s="601"/>
      <c r="M318" s="543"/>
    </row>
    <row r="319" spans="1:13" ht="14.45" customHeight="1" x14ac:dyDescent="0.2">
      <c r="A319" s="602" t="s">
        <v>1369</v>
      </c>
      <c r="B319" s="3179">
        <v>561.6</v>
      </c>
      <c r="C319" s="3180"/>
      <c r="D319" s="3181"/>
      <c r="E319" s="3198">
        <v>580.6</v>
      </c>
      <c r="F319" s="3199"/>
      <c r="G319" s="3200"/>
      <c r="H319" s="538"/>
      <c r="I319" s="538"/>
      <c r="J319" s="540">
        <v>3.3831908831908777</v>
      </c>
      <c r="K319" s="541"/>
      <c r="L319" s="601"/>
      <c r="M319" s="1293">
        <v>19</v>
      </c>
    </row>
    <row r="320" spans="1:13" ht="14.45" customHeight="1" x14ac:dyDescent="0.2">
      <c r="A320" s="602" t="s">
        <v>1370</v>
      </c>
      <c r="B320" s="3179">
        <v>421.99999999999994</v>
      </c>
      <c r="C320" s="3180"/>
      <c r="D320" s="3181"/>
      <c r="E320" s="3198">
        <v>467.59999999999997</v>
      </c>
      <c r="F320" s="3199"/>
      <c r="G320" s="3200"/>
      <c r="H320" s="538"/>
      <c r="I320" s="538"/>
      <c r="J320" s="540">
        <v>10.805687203791464</v>
      </c>
      <c r="K320" s="541"/>
      <c r="L320" s="601"/>
      <c r="M320" s="1293">
        <v>45.600000000000023</v>
      </c>
    </row>
    <row r="321" spans="1:13" ht="14.45" customHeight="1" x14ac:dyDescent="0.2">
      <c r="A321" s="602" t="s">
        <v>1483</v>
      </c>
      <c r="B321" s="3179">
        <v>8682.7099999999991</v>
      </c>
      <c r="C321" s="3180"/>
      <c r="D321" s="3181"/>
      <c r="E321" s="3198">
        <v>8916.1999999999989</v>
      </c>
      <c r="F321" s="3199"/>
      <c r="G321" s="3200"/>
      <c r="H321" s="538"/>
      <c r="I321" s="538"/>
      <c r="J321" s="540">
        <v>2.6891373776159782</v>
      </c>
      <c r="K321" s="541"/>
      <c r="L321" s="601"/>
      <c r="M321" s="1293">
        <v>233.48999999999978</v>
      </c>
    </row>
    <row r="322" spans="1:13" ht="14.45" customHeight="1" x14ac:dyDescent="0.2">
      <c r="A322" s="602" t="s">
        <v>1372</v>
      </c>
      <c r="B322" s="3201">
        <v>20.575142180094787</v>
      </c>
      <c r="C322" s="3202"/>
      <c r="D322" s="3203"/>
      <c r="E322" s="3198">
        <v>19.068006843455944</v>
      </c>
      <c r="F322" s="3199"/>
      <c r="G322" s="3200"/>
      <c r="H322" s="538"/>
      <c r="I322" s="538"/>
      <c r="J322" s="540">
        <v>-7.3250299971044939</v>
      </c>
      <c r="K322" s="541"/>
      <c r="L322" s="601"/>
      <c r="M322" s="1293">
        <v>-1.5071353366388429</v>
      </c>
    </row>
    <row r="323" spans="1:13" ht="14.45" customHeight="1" x14ac:dyDescent="0.2">
      <c r="A323" s="1315" t="s">
        <v>1463</v>
      </c>
      <c r="B323" s="3219"/>
      <c r="C323" s="3220"/>
      <c r="D323" s="3221"/>
      <c r="E323" s="3207"/>
      <c r="F323" s="3208"/>
      <c r="G323" s="3209"/>
      <c r="H323" s="538"/>
      <c r="I323" s="538"/>
      <c r="J323" s="540"/>
      <c r="K323" s="541"/>
      <c r="L323" s="601"/>
      <c r="M323" s="543"/>
    </row>
    <row r="324" spans="1:13" ht="14.45" customHeight="1" x14ac:dyDescent="0.2">
      <c r="A324" s="602" t="s">
        <v>1369</v>
      </c>
      <c r="B324" s="3179">
        <v>1155.79</v>
      </c>
      <c r="C324" s="3180"/>
      <c r="D324" s="3181"/>
      <c r="E324" s="3198">
        <v>1230.79</v>
      </c>
      <c r="F324" s="3199"/>
      <c r="G324" s="3200"/>
      <c r="H324" s="538"/>
      <c r="I324" s="538"/>
      <c r="J324" s="540">
        <v>6.4890680833023424</v>
      </c>
      <c r="K324" s="541"/>
      <c r="L324" s="601"/>
      <c r="M324" s="1293">
        <v>75</v>
      </c>
    </row>
    <row r="325" spans="1:13" ht="14.45" customHeight="1" x14ac:dyDescent="0.2">
      <c r="A325" s="602" t="s">
        <v>1370</v>
      </c>
      <c r="B325" s="3179">
        <v>723.96</v>
      </c>
      <c r="C325" s="3180"/>
      <c r="D325" s="3181"/>
      <c r="E325" s="3198">
        <v>872.49</v>
      </c>
      <c r="F325" s="3199"/>
      <c r="G325" s="3200"/>
      <c r="H325" s="538"/>
      <c r="I325" s="538"/>
      <c r="J325" s="540">
        <v>20.516326868887774</v>
      </c>
      <c r="K325" s="541"/>
      <c r="L325" s="601"/>
      <c r="M325" s="1293">
        <v>148.52999999999997</v>
      </c>
    </row>
    <row r="326" spans="1:13" ht="14.45" customHeight="1" x14ac:dyDescent="0.2">
      <c r="A326" s="602" t="s">
        <v>1483</v>
      </c>
      <c r="B326" s="3179">
        <v>8407.5249999999996</v>
      </c>
      <c r="C326" s="3180"/>
      <c r="D326" s="3181"/>
      <c r="E326" s="3198">
        <v>9233.31</v>
      </c>
      <c r="F326" s="3199"/>
      <c r="G326" s="3200"/>
      <c r="H326" s="538"/>
      <c r="I326" s="538"/>
      <c r="J326" s="540">
        <v>9.8219749569582007</v>
      </c>
      <c r="K326" s="541"/>
      <c r="L326" s="601"/>
      <c r="M326" s="1293">
        <v>825.78499999999985</v>
      </c>
    </row>
    <row r="327" spans="1:13" ht="14.45" customHeight="1" x14ac:dyDescent="0.2">
      <c r="A327" s="602" t="s">
        <v>1372</v>
      </c>
      <c r="B327" s="3201">
        <v>11.613245206917508</v>
      </c>
      <c r="C327" s="3202"/>
      <c r="D327" s="3203"/>
      <c r="E327" s="3198">
        <v>10.582711549702575</v>
      </c>
      <c r="F327" s="3199"/>
      <c r="G327" s="3200"/>
      <c r="H327" s="538"/>
      <c r="I327" s="538"/>
      <c r="J327" s="540">
        <v>-8.8737785076740607</v>
      </c>
      <c r="K327" s="541"/>
      <c r="L327" s="601"/>
      <c r="M327" s="1293">
        <v>-1.0305336572149333</v>
      </c>
    </row>
    <row r="328" spans="1:13" ht="14.45" customHeight="1" x14ac:dyDescent="0.2">
      <c r="A328" s="1315" t="s">
        <v>1464</v>
      </c>
      <c r="B328" s="3219"/>
      <c r="C328" s="3220"/>
      <c r="D328" s="3221"/>
      <c r="E328" s="3207"/>
      <c r="F328" s="3208"/>
      <c r="G328" s="3209"/>
      <c r="H328" s="538"/>
      <c r="I328" s="538"/>
      <c r="J328" s="540"/>
      <c r="K328" s="541"/>
      <c r="L328" s="601"/>
      <c r="M328" s="543"/>
    </row>
    <row r="329" spans="1:13" ht="14.45" customHeight="1" x14ac:dyDescent="0.2">
      <c r="A329" s="602" t="s">
        <v>1369</v>
      </c>
      <c r="B329" s="3179">
        <v>788.35</v>
      </c>
      <c r="C329" s="3180"/>
      <c r="D329" s="3181"/>
      <c r="E329" s="3198">
        <v>786.35</v>
      </c>
      <c r="F329" s="3199"/>
      <c r="G329" s="3200"/>
      <c r="H329" s="538"/>
      <c r="I329" s="538"/>
      <c r="J329" s="540">
        <v>-0.25369442506500661</v>
      </c>
      <c r="K329" s="541"/>
      <c r="L329" s="601"/>
      <c r="M329" s="1293">
        <v>-2</v>
      </c>
    </row>
    <row r="330" spans="1:13" ht="14.45" customHeight="1" x14ac:dyDescent="0.2">
      <c r="A330" s="602" t="s">
        <v>1370</v>
      </c>
      <c r="B330" s="3179">
        <v>601.75</v>
      </c>
      <c r="C330" s="3180"/>
      <c r="D330" s="3181"/>
      <c r="E330" s="3198">
        <v>665.84999999999991</v>
      </c>
      <c r="F330" s="3199"/>
      <c r="G330" s="3200"/>
      <c r="H330" s="538"/>
      <c r="I330" s="538"/>
      <c r="J330" s="540">
        <v>10.652264229331095</v>
      </c>
      <c r="K330" s="541"/>
      <c r="L330" s="601"/>
      <c r="M330" s="1293">
        <v>64.099999999999909</v>
      </c>
    </row>
    <row r="331" spans="1:13" ht="14.45" customHeight="1" x14ac:dyDescent="0.2">
      <c r="A331" s="602" t="s">
        <v>1483</v>
      </c>
      <c r="B331" s="3179">
        <v>3484.8510000000001</v>
      </c>
      <c r="C331" s="3180"/>
      <c r="D331" s="3181"/>
      <c r="E331" s="3198">
        <v>4641.75</v>
      </c>
      <c r="F331" s="3199"/>
      <c r="G331" s="3200"/>
      <c r="H331" s="538"/>
      <c r="I331" s="538"/>
      <c r="J331" s="540">
        <v>33.197947344090181</v>
      </c>
      <c r="K331" s="541"/>
      <c r="L331" s="601"/>
      <c r="M331" s="1293">
        <v>1156.8989999999999</v>
      </c>
    </row>
    <row r="332" spans="1:13" ht="14.45" customHeight="1" x14ac:dyDescent="0.2">
      <c r="A332" s="602" t="s">
        <v>1372</v>
      </c>
      <c r="B332" s="3201">
        <v>5.791194017449107</v>
      </c>
      <c r="C332" s="3202"/>
      <c r="D332" s="3203"/>
      <c r="E332" s="3198">
        <v>6.9711646767289936</v>
      </c>
      <c r="F332" s="3199"/>
      <c r="G332" s="3200"/>
      <c r="H332" s="538"/>
      <c r="I332" s="538"/>
      <c r="J332" s="540">
        <v>20.375256911175583</v>
      </c>
      <c r="K332" s="541"/>
      <c r="L332" s="601"/>
      <c r="M332" s="1293">
        <v>1.1799706592798866</v>
      </c>
    </row>
    <row r="333" spans="1:13" ht="14.45" customHeight="1" x14ac:dyDescent="0.2">
      <c r="A333" s="1315" t="s">
        <v>1465</v>
      </c>
      <c r="B333" s="3219"/>
      <c r="C333" s="3220"/>
      <c r="D333" s="3221"/>
      <c r="E333" s="3207"/>
      <c r="F333" s="3208"/>
      <c r="G333" s="3209"/>
      <c r="H333" s="538"/>
      <c r="I333" s="538"/>
      <c r="J333" s="540"/>
      <c r="K333" s="541"/>
      <c r="L333" s="601"/>
      <c r="M333" s="543"/>
    </row>
    <row r="334" spans="1:13" ht="14.45" customHeight="1" x14ac:dyDescent="0.2">
      <c r="A334" s="602" t="s">
        <v>1369</v>
      </c>
      <c r="B334" s="3179">
        <v>1045.6599999999999</v>
      </c>
      <c r="C334" s="3180"/>
      <c r="D334" s="3181"/>
      <c r="E334" s="3198">
        <v>1122.6600000000001</v>
      </c>
      <c r="F334" s="3199"/>
      <c r="G334" s="3200"/>
      <c r="H334" s="538"/>
      <c r="I334" s="538"/>
      <c r="J334" s="540">
        <v>7.363770250368205</v>
      </c>
      <c r="K334" s="541"/>
      <c r="L334" s="601"/>
      <c r="M334" s="1293">
        <v>77.000000000000227</v>
      </c>
    </row>
    <row r="335" spans="1:13" ht="14.45" customHeight="1" x14ac:dyDescent="0.2">
      <c r="A335" s="602" t="s">
        <v>1370</v>
      </c>
      <c r="B335" s="3179">
        <v>700.22</v>
      </c>
      <c r="C335" s="3180"/>
      <c r="D335" s="3181"/>
      <c r="E335" s="3198">
        <v>874.16</v>
      </c>
      <c r="F335" s="3199"/>
      <c r="G335" s="3200"/>
      <c r="H335" s="538"/>
      <c r="I335" s="538"/>
      <c r="J335" s="540">
        <v>24.840764331210181</v>
      </c>
      <c r="K335" s="541"/>
      <c r="L335" s="601"/>
      <c r="M335" s="1293">
        <v>173.93999999999994</v>
      </c>
    </row>
    <row r="336" spans="1:13" ht="14.45" customHeight="1" x14ac:dyDescent="0.2">
      <c r="A336" s="602" t="s">
        <v>1483</v>
      </c>
      <c r="B336" s="3179">
        <v>8907.2690000000002</v>
      </c>
      <c r="C336" s="3180"/>
      <c r="D336" s="3181"/>
      <c r="E336" s="3198">
        <v>10900.789999999999</v>
      </c>
      <c r="F336" s="3199"/>
      <c r="G336" s="3200"/>
      <c r="H336" s="538"/>
      <c r="I336" s="538"/>
      <c r="J336" s="540">
        <v>22.380833002798028</v>
      </c>
      <c r="K336" s="541"/>
      <c r="L336" s="601"/>
      <c r="M336" s="1293">
        <v>1993.5209999999988</v>
      </c>
    </row>
    <row r="337" spans="1:13" ht="14.45" customHeight="1" x14ac:dyDescent="0.2">
      <c r="A337" s="602" t="s">
        <v>1372</v>
      </c>
      <c r="B337" s="3201">
        <v>12.720672074490874</v>
      </c>
      <c r="C337" s="3202"/>
      <c r="D337" s="3203"/>
      <c r="E337" s="3198">
        <v>12.470016930539032</v>
      </c>
      <c r="F337" s="3199"/>
      <c r="G337" s="3200"/>
      <c r="H337" s="538"/>
      <c r="I337" s="538"/>
      <c r="J337" s="540">
        <v>-1.9704551967382997</v>
      </c>
      <c r="K337" s="541"/>
      <c r="L337" s="601"/>
      <c r="M337" s="1293">
        <v>-0.25065514395184252</v>
      </c>
    </row>
    <row r="338" spans="1:13" ht="14.45" customHeight="1" x14ac:dyDescent="0.2">
      <c r="A338" s="1315" t="s">
        <v>1161</v>
      </c>
      <c r="B338" s="3207"/>
      <c r="C338" s="3208"/>
      <c r="D338" s="3209"/>
      <c r="E338" s="3207"/>
      <c r="F338" s="3208"/>
      <c r="G338" s="3209"/>
      <c r="H338" s="538"/>
      <c r="I338" s="538"/>
      <c r="J338" s="540"/>
      <c r="K338" s="541"/>
      <c r="L338" s="601"/>
      <c r="M338" s="543"/>
    </row>
    <row r="339" spans="1:13" ht="14.45" customHeight="1" x14ac:dyDescent="0.2">
      <c r="A339" s="602" t="s">
        <v>1369</v>
      </c>
      <c r="B339" s="3179">
        <v>0</v>
      </c>
      <c r="C339" s="3180"/>
      <c r="D339" s="3181"/>
      <c r="E339" s="3177">
        <v>0</v>
      </c>
      <c r="F339" s="3178"/>
      <c r="G339" s="3213"/>
      <c r="H339" s="538"/>
      <c r="I339" s="538"/>
      <c r="J339" s="599" t="e">
        <v>#DIV/0!</v>
      </c>
      <c r="K339" s="541"/>
      <c r="L339" s="601"/>
      <c r="M339" s="1293">
        <v>0</v>
      </c>
    </row>
    <row r="340" spans="1:13" ht="14.45" customHeight="1" x14ac:dyDescent="0.2">
      <c r="A340" s="602" t="s">
        <v>1370</v>
      </c>
      <c r="B340" s="3179">
        <v>0</v>
      </c>
      <c r="C340" s="3180"/>
      <c r="D340" s="3181"/>
      <c r="E340" s="3177">
        <v>0</v>
      </c>
      <c r="F340" s="3178"/>
      <c r="G340" s="3213"/>
      <c r="H340" s="538"/>
      <c r="I340" s="538"/>
      <c r="J340" s="599" t="e">
        <v>#DIV/0!</v>
      </c>
      <c r="K340" s="541"/>
      <c r="L340" s="601"/>
      <c r="M340" s="1293">
        <v>0</v>
      </c>
    </row>
    <row r="341" spans="1:13" ht="14.45" customHeight="1" x14ac:dyDescent="0.2">
      <c r="A341" s="602" t="s">
        <v>1481</v>
      </c>
      <c r="B341" s="3201">
        <v>0</v>
      </c>
      <c r="C341" s="3202"/>
      <c r="D341" s="3203"/>
      <c r="E341" s="3177">
        <v>0</v>
      </c>
      <c r="F341" s="3178"/>
      <c r="G341" s="3213"/>
      <c r="H341" s="538"/>
      <c r="I341" s="538"/>
      <c r="J341" s="599" t="e">
        <v>#DIV/0!</v>
      </c>
      <c r="K341" s="541"/>
      <c r="L341" s="601"/>
      <c r="M341" s="1293">
        <v>0</v>
      </c>
    </row>
    <row r="342" spans="1:13" ht="14.45" customHeight="1" x14ac:dyDescent="0.2">
      <c r="A342" s="629" t="s">
        <v>1372</v>
      </c>
      <c r="B342" s="3201" t="e">
        <v>#DIV/0!</v>
      </c>
      <c r="C342" s="3202"/>
      <c r="D342" s="3203"/>
      <c r="E342" s="3223" t="e">
        <v>#DIV/0!</v>
      </c>
      <c r="F342" s="3224"/>
      <c r="G342" s="3225"/>
      <c r="H342" s="579"/>
      <c r="I342" s="579"/>
      <c r="J342" s="1839" t="e">
        <v>#DIV/0!</v>
      </c>
      <c r="K342" s="603"/>
      <c r="L342" s="604"/>
      <c r="M342" s="1840" t="e">
        <v>#DIV/0!</v>
      </c>
    </row>
    <row r="343" spans="1:13" ht="14.45" customHeight="1" x14ac:dyDescent="0.2">
      <c r="A343" s="557" t="s">
        <v>815</v>
      </c>
      <c r="B343" s="3219"/>
      <c r="C343" s="3220"/>
      <c r="D343" s="3221"/>
      <c r="E343" s="3233"/>
      <c r="F343" s="3234"/>
      <c r="G343" s="3235"/>
      <c r="H343" s="538"/>
      <c r="I343" s="538"/>
      <c r="J343" s="540"/>
      <c r="K343" s="541"/>
      <c r="L343" s="601"/>
      <c r="M343" s="1293"/>
    </row>
    <row r="344" spans="1:13" ht="14.45" customHeight="1" x14ac:dyDescent="0.2">
      <c r="A344" s="602" t="s">
        <v>1369</v>
      </c>
      <c r="B344" s="3179">
        <v>153.35</v>
      </c>
      <c r="C344" s="3180"/>
      <c r="D344" s="3181"/>
      <c r="E344" s="3177">
        <v>156.85</v>
      </c>
      <c r="F344" s="3178"/>
      <c r="G344" s="3213"/>
      <c r="H344" s="538"/>
      <c r="I344" s="538"/>
      <c r="J344" s="540">
        <v>2.282360612976845</v>
      </c>
      <c r="K344" s="541"/>
      <c r="L344" s="601"/>
      <c r="M344" s="1840">
        <v>3.5</v>
      </c>
    </row>
    <row r="345" spans="1:13" ht="14.45" customHeight="1" x14ac:dyDescent="0.2">
      <c r="A345" s="602" t="s">
        <v>1370</v>
      </c>
      <c r="B345" s="3179">
        <v>92.85</v>
      </c>
      <c r="C345" s="3180"/>
      <c r="D345" s="3181"/>
      <c r="E345" s="3177">
        <v>123.35</v>
      </c>
      <c r="F345" s="3178"/>
      <c r="G345" s="3213"/>
      <c r="H345" s="538"/>
      <c r="I345" s="538"/>
      <c r="J345" s="540">
        <v>32.848680667743679</v>
      </c>
      <c r="K345" s="541"/>
      <c r="L345" s="601"/>
      <c r="M345" s="1840">
        <v>30.5</v>
      </c>
    </row>
    <row r="346" spans="1:13" ht="14.45" customHeight="1" x14ac:dyDescent="0.2">
      <c r="A346" s="602" t="s">
        <v>1483</v>
      </c>
      <c r="B346" s="3179">
        <v>628.80000000000007</v>
      </c>
      <c r="C346" s="3180"/>
      <c r="D346" s="3181"/>
      <c r="E346" s="3177">
        <v>884.8</v>
      </c>
      <c r="F346" s="3178"/>
      <c r="G346" s="3213"/>
      <c r="H346" s="538"/>
      <c r="I346" s="538"/>
      <c r="J346" s="540">
        <v>40.712468193384211</v>
      </c>
      <c r="K346" s="541"/>
      <c r="L346" s="601"/>
      <c r="M346" s="1840">
        <v>255.99999999999989</v>
      </c>
    </row>
    <row r="347" spans="1:13" ht="14.45" customHeight="1" x14ac:dyDescent="0.2">
      <c r="A347" s="629" t="s">
        <v>1372</v>
      </c>
      <c r="B347" s="3201">
        <v>6.7722132471728607</v>
      </c>
      <c r="C347" s="3202"/>
      <c r="D347" s="3203"/>
      <c r="E347" s="3223">
        <v>7.1730847182813129</v>
      </c>
      <c r="F347" s="3224"/>
      <c r="G347" s="3225"/>
      <c r="H347" s="579"/>
      <c r="I347" s="579"/>
      <c r="J347" s="540">
        <v>5.9193568849268132</v>
      </c>
      <c r="K347" s="603"/>
      <c r="L347" s="604"/>
      <c r="M347" s="1840">
        <v>0.40087147110845223</v>
      </c>
    </row>
    <row r="348" spans="1:13" ht="14.45" customHeight="1" x14ac:dyDescent="0.2">
      <c r="A348" s="557" t="s">
        <v>811</v>
      </c>
      <c r="B348" s="605"/>
      <c r="C348" s="606"/>
      <c r="D348" s="609">
        <v>26574.187999999995</v>
      </c>
      <c r="E348" s="605"/>
      <c r="F348" s="606"/>
      <c r="G348" s="1313">
        <v>28989.837999999996</v>
      </c>
      <c r="H348" s="558"/>
      <c r="I348" s="558"/>
      <c r="J348" s="560">
        <v>9.0902119003598614</v>
      </c>
      <c r="K348" s="605"/>
      <c r="L348" s="606"/>
      <c r="M348" s="610">
        <v>2415.6500000000015</v>
      </c>
    </row>
    <row r="349" spans="1:13" ht="14.45" customHeight="1" x14ac:dyDescent="0.2">
      <c r="A349" s="557" t="s">
        <v>812</v>
      </c>
      <c r="B349" s="605"/>
      <c r="C349" s="606"/>
      <c r="D349" s="609">
        <v>18450.327999999998</v>
      </c>
      <c r="E349" s="605"/>
      <c r="F349" s="606"/>
      <c r="G349" s="1313">
        <v>21531.987999999998</v>
      </c>
      <c r="H349" s="558"/>
      <c r="I349" s="558"/>
      <c r="J349" s="560">
        <v>16.702467294890383</v>
      </c>
      <c r="K349" s="605"/>
      <c r="L349" s="606"/>
      <c r="M349" s="610">
        <v>3081.66</v>
      </c>
    </row>
    <row r="350" spans="1:13" ht="14.45" customHeight="1" thickBot="1" x14ac:dyDescent="0.25">
      <c r="A350" s="596" t="s">
        <v>813</v>
      </c>
      <c r="B350" s="611"/>
      <c r="C350" s="612"/>
      <c r="D350" s="615">
        <v>183721.1634546</v>
      </c>
      <c r="E350" s="611"/>
      <c r="F350" s="612"/>
      <c r="G350" s="1314">
        <v>212759.09</v>
      </c>
      <c r="H350" s="616"/>
      <c r="I350" s="616"/>
      <c r="J350" s="617">
        <v>15.805433625275114</v>
      </c>
      <c r="K350" s="611"/>
      <c r="L350" s="612"/>
      <c r="M350" s="618">
        <v>29037.926545399998</v>
      </c>
    </row>
    <row r="351" spans="1:13" ht="15.75" x14ac:dyDescent="0.2">
      <c r="A351" s="7" t="s">
        <v>1934</v>
      </c>
      <c r="B351" s="571"/>
      <c r="C351" s="571"/>
      <c r="D351" s="572"/>
      <c r="E351" s="510"/>
      <c r="G351" s="511" t="s">
        <v>1457</v>
      </c>
      <c r="H351" s="510"/>
      <c r="I351" s="510"/>
      <c r="J351" s="512"/>
      <c r="K351" s="512"/>
      <c r="L351" s="512"/>
      <c r="M351" s="510"/>
    </row>
    <row r="352" spans="1:13" ht="15" x14ac:dyDescent="0.2">
      <c r="A352" s="597"/>
      <c r="B352" s="572"/>
      <c r="C352" s="572"/>
      <c r="D352" s="572"/>
      <c r="E352" s="572"/>
      <c r="F352" s="572"/>
      <c r="G352" s="575"/>
      <c r="H352" s="512"/>
      <c r="I352" s="512"/>
      <c r="J352" s="512"/>
      <c r="K352" s="512"/>
      <c r="L352" s="512"/>
      <c r="M352" s="512"/>
    </row>
    <row r="353" spans="1:13" ht="15" x14ac:dyDescent="0.2">
      <c r="A353" s="597"/>
      <c r="B353" s="572"/>
      <c r="C353" s="572"/>
      <c r="D353" s="572"/>
      <c r="E353" s="572"/>
      <c r="F353" s="572"/>
      <c r="G353" s="575"/>
      <c r="H353" s="512"/>
      <c r="I353" s="512"/>
      <c r="J353" s="512"/>
      <c r="K353" s="512"/>
      <c r="L353" s="512"/>
      <c r="M353" s="512"/>
    </row>
    <row r="354" spans="1:13" ht="15" x14ac:dyDescent="0.2">
      <c r="A354" s="597"/>
      <c r="B354" s="572"/>
      <c r="C354" s="572"/>
      <c r="D354" s="572"/>
      <c r="E354" s="572"/>
      <c r="F354" s="572"/>
      <c r="G354" s="575"/>
      <c r="H354" s="512"/>
      <c r="I354" s="512"/>
      <c r="J354" s="512"/>
      <c r="K354" s="512"/>
      <c r="L354" s="512"/>
      <c r="M354" s="512"/>
    </row>
    <row r="355" spans="1:13" ht="18" customHeight="1" x14ac:dyDescent="0.2">
      <c r="A355" s="510"/>
      <c r="B355" s="510"/>
      <c r="C355" s="510"/>
      <c r="D355" s="510"/>
      <c r="E355" s="510"/>
      <c r="F355" s="510"/>
      <c r="G355" s="263"/>
      <c r="H355" s="510"/>
      <c r="I355" s="512"/>
      <c r="J355" s="512"/>
      <c r="K355" s="512"/>
      <c r="L355" s="512"/>
      <c r="M355" s="512"/>
    </row>
    <row r="356" spans="1:13" ht="18" customHeight="1" x14ac:dyDescent="0.2">
      <c r="A356" s="510"/>
      <c r="B356" s="510"/>
      <c r="C356" s="510"/>
      <c r="D356" s="510"/>
      <c r="E356" s="510"/>
      <c r="F356" s="510"/>
      <c r="G356" s="263"/>
      <c r="H356" s="510"/>
      <c r="I356" s="512"/>
      <c r="J356" s="512"/>
      <c r="K356" s="512"/>
      <c r="L356" s="512"/>
      <c r="M356" s="512"/>
    </row>
    <row r="357" spans="1:13" ht="18" customHeight="1" x14ac:dyDescent="0.2">
      <c r="A357" s="510"/>
      <c r="B357" s="510"/>
      <c r="C357" s="510"/>
      <c r="D357" s="510"/>
      <c r="E357" s="510"/>
      <c r="F357" s="510"/>
      <c r="G357" s="263"/>
      <c r="H357" s="510"/>
      <c r="I357" s="512"/>
      <c r="J357" s="512"/>
      <c r="K357" s="512"/>
      <c r="L357" s="512"/>
      <c r="M357" s="512"/>
    </row>
    <row r="358" spans="1:13" ht="18" customHeight="1" x14ac:dyDescent="0.2">
      <c r="A358" s="510"/>
      <c r="B358" s="510"/>
      <c r="C358" s="510"/>
      <c r="D358" s="510"/>
      <c r="E358" s="510"/>
      <c r="F358" s="510"/>
      <c r="G358" s="263"/>
      <c r="H358" s="510"/>
      <c r="I358" s="512"/>
      <c r="J358" s="512"/>
      <c r="K358" s="512"/>
      <c r="L358" s="512"/>
      <c r="M358" s="512"/>
    </row>
    <row r="359" spans="1:13" ht="18" customHeight="1" x14ac:dyDescent="0.2">
      <c r="A359" s="3222" t="s">
        <v>1992</v>
      </c>
      <c r="B359" s="3222"/>
      <c r="C359" s="3222"/>
      <c r="D359" s="3222"/>
      <c r="E359" s="3222"/>
      <c r="F359" s="3222"/>
      <c r="G359" s="3222"/>
      <c r="H359" s="3222"/>
      <c r="I359" s="3222"/>
      <c r="J359" s="3222"/>
      <c r="K359" s="3222"/>
      <c r="L359" s="3222"/>
      <c r="M359" s="3222"/>
    </row>
    <row r="360" spans="1:13" ht="18" customHeight="1" x14ac:dyDescent="0.2">
      <c r="A360" s="632"/>
      <c r="B360" s="632"/>
      <c r="C360" s="632"/>
      <c r="D360" s="632"/>
      <c r="E360" s="632"/>
      <c r="F360" s="632"/>
      <c r="G360" s="632"/>
      <c r="H360" s="632"/>
      <c r="I360" s="632"/>
      <c r="J360" s="632"/>
      <c r="K360" s="632"/>
      <c r="L360" s="632"/>
      <c r="M360" s="632"/>
    </row>
    <row r="361" spans="1:13" ht="18" customHeight="1" thickBot="1" x14ac:dyDescent="0.25">
      <c r="A361" s="633"/>
      <c r="B361" s="633"/>
      <c r="C361" s="633"/>
      <c r="D361" s="633"/>
      <c r="E361" s="633"/>
      <c r="F361" s="633"/>
      <c r="G361" s="634"/>
      <c r="H361" s="633"/>
      <c r="I361" s="633"/>
      <c r="J361" s="633"/>
      <c r="K361" s="633"/>
      <c r="L361" s="633"/>
      <c r="M361" s="633"/>
    </row>
    <row r="362" spans="1:13" ht="18" customHeight="1" thickBot="1" x14ac:dyDescent="0.25">
      <c r="A362" s="3156" t="s">
        <v>1466</v>
      </c>
      <c r="B362" s="3156">
        <v>2022</v>
      </c>
      <c r="C362" s="3157"/>
      <c r="D362" s="3158" t="s">
        <v>1363</v>
      </c>
      <c r="E362" s="3156">
        <v>2023</v>
      </c>
      <c r="F362" s="3157"/>
      <c r="G362" s="3158" t="s">
        <v>1363</v>
      </c>
      <c r="H362" s="3161" t="s">
        <v>1364</v>
      </c>
      <c r="I362" s="3162"/>
      <c r="J362" s="3162"/>
      <c r="K362" s="3162"/>
      <c r="L362" s="3162"/>
      <c r="M362" s="3163"/>
    </row>
    <row r="363" spans="1:13" ht="18" customHeight="1" x14ac:dyDescent="0.2">
      <c r="A363" s="3184"/>
      <c r="B363" s="3164" t="s">
        <v>1365</v>
      </c>
      <c r="C363" s="3165"/>
      <c r="D363" s="3159"/>
      <c r="E363" s="3164" t="s">
        <v>1365</v>
      </c>
      <c r="F363" s="3165"/>
      <c r="G363" s="3159"/>
      <c r="H363" s="3167" t="s">
        <v>1366</v>
      </c>
      <c r="I363" s="3168"/>
      <c r="J363" s="3169"/>
      <c r="K363" s="3167" t="s">
        <v>1367</v>
      </c>
      <c r="L363" s="3168"/>
      <c r="M363" s="3169"/>
    </row>
    <row r="364" spans="1:13" ht="18" customHeight="1" x14ac:dyDescent="0.2">
      <c r="A364" s="3184"/>
      <c r="B364" s="635"/>
      <c r="C364" s="636"/>
      <c r="D364" s="3159">
        <v>2022</v>
      </c>
      <c r="E364" s="635"/>
      <c r="F364" s="636"/>
      <c r="G364" s="3159">
        <v>2023</v>
      </c>
      <c r="H364" s="3171" t="s">
        <v>1984</v>
      </c>
      <c r="I364" s="3173" t="s">
        <v>1985</v>
      </c>
      <c r="J364" s="519" t="s">
        <v>1228</v>
      </c>
      <c r="K364" s="3171" t="s">
        <v>1984</v>
      </c>
      <c r="L364" s="3173" t="s">
        <v>1985</v>
      </c>
      <c r="M364" s="519" t="s">
        <v>1228</v>
      </c>
    </row>
    <row r="365" spans="1:13" ht="18" customHeight="1" thickBot="1" x14ac:dyDescent="0.25">
      <c r="A365" s="3191"/>
      <c r="B365" s="520" t="s">
        <v>349</v>
      </c>
      <c r="C365" s="521" t="s">
        <v>351</v>
      </c>
      <c r="D365" s="3170"/>
      <c r="E365" s="520" t="s">
        <v>349</v>
      </c>
      <c r="F365" s="521" t="s">
        <v>351</v>
      </c>
      <c r="G365" s="3170"/>
      <c r="H365" s="3172"/>
      <c r="I365" s="3174"/>
      <c r="J365" s="2373" t="s">
        <v>1986</v>
      </c>
      <c r="K365" s="3172"/>
      <c r="L365" s="3174"/>
      <c r="M365" s="2373" t="s">
        <v>1986</v>
      </c>
    </row>
    <row r="366" spans="1:13" ht="39" customHeight="1" thickBot="1" x14ac:dyDescent="0.25">
      <c r="A366" s="637" t="s">
        <v>1467</v>
      </c>
      <c r="B366" s="638"/>
      <c r="C366" s="639"/>
      <c r="D366" s="640"/>
      <c r="E366" s="641"/>
      <c r="F366" s="639"/>
      <c r="G366" s="642"/>
      <c r="H366" s="643"/>
      <c r="I366" s="644"/>
      <c r="J366" s="645"/>
      <c r="K366" s="646"/>
      <c r="L366" s="647"/>
      <c r="M366" s="648"/>
    </row>
    <row r="367" spans="1:13" ht="30" customHeight="1" x14ac:dyDescent="0.2">
      <c r="A367" s="649" t="s">
        <v>1369</v>
      </c>
      <c r="B367" s="650">
        <v>38464.221999999994</v>
      </c>
      <c r="C367" s="651">
        <v>37779.249999999993</v>
      </c>
      <c r="D367" s="652">
        <v>76243.47199999998</v>
      </c>
      <c r="E367" s="653">
        <v>42039.199999999997</v>
      </c>
      <c r="F367" s="651">
        <v>36536.649999999994</v>
      </c>
      <c r="G367" s="654">
        <v>78575.849999999991</v>
      </c>
      <c r="H367" s="655">
        <v>9.2942943184968243</v>
      </c>
      <c r="I367" s="656">
        <v>-3.2891071156785756</v>
      </c>
      <c r="J367" s="657">
        <v>3.0591182940882078</v>
      </c>
      <c r="K367" s="1323">
        <v>3574.9780000000028</v>
      </c>
      <c r="L367" s="1323">
        <v>-1242.5999999999985</v>
      </c>
      <c r="M367" s="1319">
        <v>2332.3780000000115</v>
      </c>
    </row>
    <row r="368" spans="1:13" ht="30" customHeight="1" x14ac:dyDescent="0.2">
      <c r="A368" s="659" t="s">
        <v>1370</v>
      </c>
      <c r="B368" s="660">
        <v>37030.128799999999</v>
      </c>
      <c r="C368" s="661">
        <v>37057.17</v>
      </c>
      <c r="D368" s="662">
        <v>74087.29879999999</v>
      </c>
      <c r="E368" s="660">
        <v>41194.5</v>
      </c>
      <c r="F368" s="661">
        <v>35991.649999999994</v>
      </c>
      <c r="G368" s="663">
        <v>77186.149999999994</v>
      </c>
      <c r="H368" s="664">
        <v>11.245899852230608</v>
      </c>
      <c r="I368" s="665">
        <v>-2.8753409933894147</v>
      </c>
      <c r="J368" s="666">
        <v>4.1827023662522862</v>
      </c>
      <c r="K368" s="1324">
        <v>4164.3712000000014</v>
      </c>
      <c r="L368" s="1324">
        <v>-1065.5200000000041</v>
      </c>
      <c r="M368" s="1320">
        <v>3098.8512000000046</v>
      </c>
    </row>
    <row r="369" spans="1:13" ht="30" customHeight="1" thickBot="1" x14ac:dyDescent="0.25">
      <c r="A369" s="649" t="s">
        <v>1371</v>
      </c>
      <c r="B369" s="668">
        <v>206205.10035999998</v>
      </c>
      <c r="C369" s="669">
        <v>213654.49392000001</v>
      </c>
      <c r="D369" s="670">
        <v>419859.59427999996</v>
      </c>
      <c r="E369" s="671">
        <v>224371.8425</v>
      </c>
      <c r="F369" s="669">
        <v>194750.8</v>
      </c>
      <c r="G369" s="672">
        <v>419122.64249999996</v>
      </c>
      <c r="H369" s="655">
        <v>8.8100353038231844</v>
      </c>
      <c r="I369" s="673">
        <v>-8.8477867107622217</v>
      </c>
      <c r="J369" s="657">
        <v>-0.17552338687502811</v>
      </c>
      <c r="K369" s="1325">
        <v>18166.742140000017</v>
      </c>
      <c r="L369" s="1325">
        <v>-18903.69392000002</v>
      </c>
      <c r="M369" s="1321">
        <v>-736.95178000000305</v>
      </c>
    </row>
    <row r="370" spans="1:13" ht="39.75" customHeight="1" thickBot="1" x14ac:dyDescent="0.25">
      <c r="A370" s="674" t="s">
        <v>817</v>
      </c>
      <c r="B370" s="675"/>
      <c r="C370" s="676"/>
      <c r="D370" s="677"/>
      <c r="E370" s="678"/>
      <c r="F370" s="676"/>
      <c r="G370" s="679"/>
      <c r="H370" s="675"/>
      <c r="I370" s="676"/>
      <c r="J370" s="677"/>
      <c r="K370" s="678"/>
      <c r="L370" s="676"/>
      <c r="M370" s="1322"/>
    </row>
    <row r="371" spans="1:13" ht="30" customHeight="1" x14ac:dyDescent="0.2">
      <c r="A371" s="649" t="s">
        <v>1468</v>
      </c>
      <c r="B371" s="793"/>
      <c r="C371" s="680"/>
      <c r="D371" s="1274">
        <v>4407.99</v>
      </c>
      <c r="E371" s="794"/>
      <c r="F371" s="680"/>
      <c r="G371" s="1274">
        <v>4982.6000000000004</v>
      </c>
      <c r="H371" s="633"/>
      <c r="I371" s="680"/>
      <c r="J371" s="1845">
        <v>13.035646632592204</v>
      </c>
      <c r="K371" s="633"/>
      <c r="L371" s="680"/>
      <c r="M371" s="1728">
        <v>574.61000000000058</v>
      </c>
    </row>
    <row r="372" spans="1:13" ht="30" customHeight="1" x14ac:dyDescent="0.2">
      <c r="A372" s="659" t="s">
        <v>1370</v>
      </c>
      <c r="B372" s="1347"/>
      <c r="C372" s="685"/>
      <c r="D372" s="662">
        <v>3889.4900000000002</v>
      </c>
      <c r="E372" s="1348"/>
      <c r="F372" s="685"/>
      <c r="G372" s="662">
        <v>4860.6000000000004</v>
      </c>
      <c r="H372" s="1348"/>
      <c r="I372" s="685"/>
      <c r="J372" s="666">
        <v>24.967540731561201</v>
      </c>
      <c r="K372" s="1348"/>
      <c r="L372" s="685"/>
      <c r="M372" s="1320">
        <v>971.11000000000013</v>
      </c>
    </row>
    <row r="373" spans="1:13" ht="30" customHeight="1" thickBot="1" x14ac:dyDescent="0.25">
      <c r="A373" s="649" t="s">
        <v>1371</v>
      </c>
      <c r="B373" s="649"/>
      <c r="C373" s="1844"/>
      <c r="D373" s="670">
        <v>35981.498999999996</v>
      </c>
      <c r="E373" s="633"/>
      <c r="F373" s="1844"/>
      <c r="G373" s="670">
        <v>49139.6</v>
      </c>
      <c r="H373" s="633"/>
      <c r="I373" s="1844"/>
      <c r="J373" s="657">
        <v>36.569074012175008</v>
      </c>
      <c r="K373" s="633"/>
      <c r="L373" s="1844"/>
      <c r="M373" s="1321">
        <v>13158.101000000002</v>
      </c>
    </row>
    <row r="374" spans="1:13" ht="36.75" thickBot="1" x14ac:dyDescent="0.25">
      <c r="A374" s="1846" t="s">
        <v>818</v>
      </c>
      <c r="B374" s="675"/>
      <c r="C374" s="676"/>
      <c r="D374" s="677"/>
      <c r="E374" s="678"/>
      <c r="F374" s="676"/>
      <c r="G374" s="679"/>
      <c r="H374" s="678"/>
      <c r="I374" s="676"/>
      <c r="J374" s="677"/>
      <c r="K374" s="678"/>
      <c r="L374" s="676"/>
      <c r="M374" s="1322"/>
    </row>
    <row r="375" spans="1:13" ht="30" customHeight="1" x14ac:dyDescent="0.2">
      <c r="A375" s="649" t="s">
        <v>1468</v>
      </c>
      <c r="B375" s="799"/>
      <c r="C375" s="1841"/>
      <c r="D375" s="670">
        <v>224606.78700000004</v>
      </c>
      <c r="E375" s="1842"/>
      <c r="F375" s="1843"/>
      <c r="G375" s="670">
        <v>230734.807</v>
      </c>
      <c r="H375" s="655"/>
      <c r="I375" s="1844"/>
      <c r="J375" s="1845">
        <v>2.7283325147249258</v>
      </c>
      <c r="K375" s="681"/>
      <c r="L375" s="1841"/>
      <c r="M375" s="1728">
        <v>6128.0199999999604</v>
      </c>
    </row>
    <row r="376" spans="1:13" ht="30" customHeight="1" x14ac:dyDescent="0.2">
      <c r="A376" s="659" t="s">
        <v>1370</v>
      </c>
      <c r="B376" s="682"/>
      <c r="C376" s="683"/>
      <c r="D376" s="662">
        <v>176811.96700000003</v>
      </c>
      <c r="E376" s="667"/>
      <c r="F376" s="683"/>
      <c r="G376" s="662">
        <v>184039.86999999997</v>
      </c>
      <c r="H376" s="684"/>
      <c r="I376" s="685"/>
      <c r="J376" s="666">
        <v>4.0879037333485115</v>
      </c>
      <c r="K376" s="686"/>
      <c r="L376" s="683"/>
      <c r="M376" s="1320">
        <v>7227.9029999999329</v>
      </c>
    </row>
    <row r="377" spans="1:13" ht="30" customHeight="1" thickBot="1" x14ac:dyDescent="0.25">
      <c r="A377" s="649" t="s">
        <v>1371</v>
      </c>
      <c r="B377" s="687"/>
      <c r="C377" s="688"/>
      <c r="D377" s="1275">
        <v>576592.84465460002</v>
      </c>
      <c r="E377" s="689"/>
      <c r="F377" s="690"/>
      <c r="G377" s="1275">
        <v>627496.07703302812</v>
      </c>
      <c r="H377" s="655"/>
      <c r="I377" s="691"/>
      <c r="J377" s="657">
        <v>8.828280276166268</v>
      </c>
      <c r="K377" s="692"/>
      <c r="L377" s="688"/>
      <c r="M377" s="1321">
        <v>50903.232378428103</v>
      </c>
    </row>
    <row r="378" spans="1:13" ht="46.5" customHeight="1" thickBot="1" x14ac:dyDescent="0.25">
      <c r="A378" s="693" t="s">
        <v>1469</v>
      </c>
      <c r="B378" s="694"/>
      <c r="C378" s="695"/>
      <c r="D378" s="1276"/>
      <c r="E378" s="696"/>
      <c r="F378" s="695"/>
      <c r="G378" s="697"/>
      <c r="H378" s="698"/>
      <c r="I378" s="699"/>
      <c r="J378" s="700"/>
      <c r="K378" s="696"/>
      <c r="L378" s="695"/>
      <c r="M378" s="697"/>
    </row>
    <row r="379" spans="1:13" ht="30" customHeight="1" x14ac:dyDescent="0.2">
      <c r="A379" s="701" t="s">
        <v>1470</v>
      </c>
      <c r="B379" s="702"/>
      <c r="C379" s="703"/>
      <c r="D379" s="1277">
        <v>305258.24900000001</v>
      </c>
      <c r="E379" s="703"/>
      <c r="F379" s="704"/>
      <c r="G379" s="1277">
        <v>314293.25699999998</v>
      </c>
      <c r="H379" s="705"/>
      <c r="I379" s="706"/>
      <c r="J379" s="1732">
        <v>2.9597915960004002</v>
      </c>
      <c r="K379" s="707"/>
      <c r="L379" s="704"/>
      <c r="M379" s="1316">
        <v>9035.0079999999725</v>
      </c>
    </row>
    <row r="380" spans="1:13" ht="30" customHeight="1" x14ac:dyDescent="0.2">
      <c r="A380" s="708" t="s">
        <v>1471</v>
      </c>
      <c r="B380" s="709"/>
      <c r="C380" s="710"/>
      <c r="D380" s="1278">
        <v>254788.75580000004</v>
      </c>
      <c r="E380" s="711"/>
      <c r="F380" s="712"/>
      <c r="G380" s="1278">
        <v>266086.62</v>
      </c>
      <c r="H380" s="713"/>
      <c r="I380" s="714"/>
      <c r="J380" s="1733">
        <v>4.4342083168177169</v>
      </c>
      <c r="K380" s="711"/>
      <c r="L380" s="712"/>
      <c r="M380" s="1317">
        <v>11297.864199999953</v>
      </c>
    </row>
    <row r="381" spans="1:13" ht="30" customHeight="1" thickBot="1" x14ac:dyDescent="0.25">
      <c r="A381" s="715" t="s">
        <v>1472</v>
      </c>
      <c r="B381" s="716"/>
      <c r="C381" s="717"/>
      <c r="D381" s="1279">
        <v>1032433.9379346</v>
      </c>
      <c r="E381" s="718"/>
      <c r="F381" s="719"/>
      <c r="G381" s="1279">
        <v>1095758.3195330282</v>
      </c>
      <c r="H381" s="720"/>
      <c r="I381" s="721"/>
      <c r="J381" s="1734">
        <v>6.1335044569640615</v>
      </c>
      <c r="K381" s="722"/>
      <c r="L381" s="723"/>
      <c r="M381" s="1318">
        <v>63324.381598428125</v>
      </c>
    </row>
    <row r="382" spans="1:13" ht="18" customHeight="1" x14ac:dyDescent="0.2">
      <c r="A382" s="574"/>
      <c r="B382" s="633"/>
      <c r="C382" s="633"/>
      <c r="D382" s="633"/>
      <c r="E382" s="633"/>
      <c r="F382" s="633"/>
      <c r="G382" s="634"/>
      <c r="H382" s="633"/>
      <c r="I382" s="633"/>
      <c r="J382" s="633"/>
      <c r="K382" s="633"/>
      <c r="L382" s="633"/>
      <c r="M382" s="633"/>
    </row>
    <row r="383" spans="1:13" ht="18" customHeight="1" x14ac:dyDescent="0.2">
      <c r="A383" s="575" t="s">
        <v>1473</v>
      </c>
      <c r="B383" s="510"/>
      <c r="C383" s="510"/>
      <c r="D383" s="510"/>
      <c r="E383" s="510"/>
      <c r="F383" s="510"/>
      <c r="G383" s="263"/>
      <c r="H383" s="510"/>
      <c r="I383" s="510"/>
      <c r="J383" s="510"/>
      <c r="K383" s="510"/>
      <c r="L383" s="510"/>
      <c r="M383" s="1815"/>
    </row>
    <row r="384" spans="1:13" ht="18" customHeight="1" x14ac:dyDescent="0.2">
      <c r="A384" s="7" t="s">
        <v>1934</v>
      </c>
      <c r="B384" s="572"/>
      <c r="C384" s="572"/>
      <c r="D384" s="572"/>
      <c r="E384" s="572"/>
      <c r="F384" s="572"/>
      <c r="G384" s="513"/>
      <c r="H384" s="510"/>
      <c r="I384" s="510"/>
      <c r="J384" s="510"/>
      <c r="K384" s="510"/>
      <c r="L384" s="510"/>
      <c r="M384" s="510"/>
    </row>
    <row r="385" spans="1:13" ht="18" customHeight="1" x14ac:dyDescent="0.2">
      <c r="A385" s="576" t="s">
        <v>1710</v>
      </c>
      <c r="B385" s="510"/>
      <c r="C385" s="510"/>
      <c r="D385" s="510"/>
      <c r="E385" s="510"/>
      <c r="F385" s="510"/>
      <c r="G385" s="263"/>
      <c r="H385" s="510"/>
      <c r="I385" s="510"/>
      <c r="J385" s="510"/>
      <c r="K385" s="510"/>
      <c r="L385" s="510"/>
      <c r="M385" s="510"/>
    </row>
    <row r="386" spans="1:13" ht="18" customHeight="1" x14ac:dyDescent="0.2">
      <c r="A386" s="510" t="s">
        <v>945</v>
      </c>
      <c r="B386" s="510"/>
      <c r="C386" s="510"/>
      <c r="D386" s="510"/>
      <c r="E386" s="510"/>
      <c r="F386" s="510"/>
      <c r="G386" s="2044"/>
      <c r="H386" s="510"/>
      <c r="I386" s="510"/>
      <c r="J386" s="510"/>
      <c r="K386" s="510"/>
      <c r="L386" s="510"/>
      <c r="M386" s="510"/>
    </row>
    <row r="387" spans="1:13" ht="18" customHeight="1" x14ac:dyDescent="0.2">
      <c r="A387" s="510" t="s">
        <v>1862</v>
      </c>
      <c r="B387" s="510"/>
      <c r="C387" s="510"/>
      <c r="D387" s="510"/>
      <c r="E387" s="510"/>
      <c r="F387" s="510"/>
      <c r="G387" s="2279"/>
      <c r="H387" s="510"/>
      <c r="I387" s="510"/>
      <c r="J387" s="510"/>
      <c r="K387" s="510"/>
      <c r="L387" s="510"/>
      <c r="M387" s="510"/>
    </row>
    <row r="388" spans="1:13" ht="18" customHeight="1" x14ac:dyDescent="0.2">
      <c r="A388" s="2003" t="s">
        <v>1573</v>
      </c>
      <c r="B388" s="510"/>
      <c r="C388" s="510"/>
      <c r="D388" s="1815"/>
      <c r="E388" s="510"/>
      <c r="F388" s="510"/>
      <c r="G388" s="2044"/>
      <c r="H388" s="510"/>
      <c r="I388" s="1815"/>
      <c r="J388" s="510"/>
      <c r="K388" s="510"/>
      <c r="L388" s="510"/>
      <c r="M388" s="510"/>
    </row>
    <row r="389" spans="1:13" x14ac:dyDescent="0.2">
      <c r="A389" s="510"/>
      <c r="B389" s="510"/>
      <c r="C389" s="1810"/>
      <c r="D389" s="510"/>
      <c r="E389" s="510"/>
      <c r="F389" s="510"/>
      <c r="G389" s="2044"/>
      <c r="H389" s="510"/>
      <c r="I389" s="510"/>
      <c r="J389" s="510"/>
      <c r="K389" s="510"/>
      <c r="L389" s="510"/>
      <c r="M389" s="510"/>
    </row>
  </sheetData>
  <mergeCells count="401">
    <mergeCell ref="E330:G330"/>
    <mergeCell ref="E331:G331"/>
    <mergeCell ref="E326:G326"/>
    <mergeCell ref="E286:G286"/>
    <mergeCell ref="E287:G287"/>
    <mergeCell ref="E325:G325"/>
    <mergeCell ref="E288:G288"/>
    <mergeCell ref="E289:G289"/>
    <mergeCell ref="E296:G297"/>
    <mergeCell ref="E270:G270"/>
    <mergeCell ref="E275:G275"/>
    <mergeCell ref="E280:G280"/>
    <mergeCell ref="E285:G285"/>
    <mergeCell ref="E303:G303"/>
    <mergeCell ref="E308:G308"/>
    <mergeCell ref="E313:G313"/>
    <mergeCell ref="K296:M296"/>
    <mergeCell ref="H297:J297"/>
    <mergeCell ref="K297:M297"/>
    <mergeCell ref="H296:J296"/>
    <mergeCell ref="H294:M294"/>
    <mergeCell ref="H295:J295"/>
    <mergeCell ref="E281:G281"/>
    <mergeCell ref="E304:G304"/>
    <mergeCell ref="E312:G312"/>
    <mergeCell ref="E284:G284"/>
    <mergeCell ref="E311:G311"/>
    <mergeCell ref="E327:G327"/>
    <mergeCell ref="E329:G329"/>
    <mergeCell ref="E271:G271"/>
    <mergeCell ref="E272:G272"/>
    <mergeCell ref="E273:G273"/>
    <mergeCell ref="E274:G274"/>
    <mergeCell ref="E276:G276"/>
    <mergeCell ref="E277:G277"/>
    <mergeCell ref="E300:G300"/>
    <mergeCell ref="E301:G301"/>
    <mergeCell ref="E302:G302"/>
    <mergeCell ref="E317:G317"/>
    <mergeCell ref="E319:G319"/>
    <mergeCell ref="E320:G320"/>
    <mergeCell ref="E321:G321"/>
    <mergeCell ref="E328:G328"/>
    <mergeCell ref="E179:G179"/>
    <mergeCell ref="E184:G184"/>
    <mergeCell ref="E189:G189"/>
    <mergeCell ref="E194:G194"/>
    <mergeCell ref="E199:G199"/>
    <mergeCell ref="E205:G205"/>
    <mergeCell ref="E210:G210"/>
    <mergeCell ref="E215:G215"/>
    <mergeCell ref="E240:G240"/>
    <mergeCell ref="E183:G183"/>
    <mergeCell ref="E185:G185"/>
    <mergeCell ref="E186:G186"/>
    <mergeCell ref="E192:G192"/>
    <mergeCell ref="E196:G196"/>
    <mergeCell ref="E200:G200"/>
    <mergeCell ref="E187:G187"/>
    <mergeCell ref="E198:G198"/>
    <mergeCell ref="E201:G201"/>
    <mergeCell ref="E238:G238"/>
    <mergeCell ref="E209:G209"/>
    <mergeCell ref="E197:G197"/>
    <mergeCell ref="E211:G211"/>
    <mergeCell ref="E204:G204"/>
    <mergeCell ref="E212:G212"/>
    <mergeCell ref="B322:D322"/>
    <mergeCell ref="B323:D323"/>
    <mergeCell ref="B324:D324"/>
    <mergeCell ref="B325:D325"/>
    <mergeCell ref="E323:G323"/>
    <mergeCell ref="B315:D315"/>
    <mergeCell ref="B316:D316"/>
    <mergeCell ref="B317:D317"/>
    <mergeCell ref="B318:D318"/>
    <mergeCell ref="B319:D319"/>
    <mergeCell ref="B320:D320"/>
    <mergeCell ref="B321:D321"/>
    <mergeCell ref="E322:G322"/>
    <mergeCell ref="E324:G324"/>
    <mergeCell ref="E315:G315"/>
    <mergeCell ref="E316:G316"/>
    <mergeCell ref="B284:D284"/>
    <mergeCell ref="B285:D285"/>
    <mergeCell ref="B286:D286"/>
    <mergeCell ref="B287:D287"/>
    <mergeCell ref="B288:D288"/>
    <mergeCell ref="E282:G282"/>
    <mergeCell ref="E283:G283"/>
    <mergeCell ref="B294:D295"/>
    <mergeCell ref="E294:G295"/>
    <mergeCell ref="B331:D331"/>
    <mergeCell ref="B332:D332"/>
    <mergeCell ref="E338:G338"/>
    <mergeCell ref="E343:G343"/>
    <mergeCell ref="B333:D333"/>
    <mergeCell ref="B334:D334"/>
    <mergeCell ref="B335:D335"/>
    <mergeCell ref="B336:D336"/>
    <mergeCell ref="B337:D337"/>
    <mergeCell ref="B338:D338"/>
    <mergeCell ref="B339:D339"/>
    <mergeCell ref="E334:G334"/>
    <mergeCell ref="E335:G335"/>
    <mergeCell ref="E336:G336"/>
    <mergeCell ref="E332:G332"/>
    <mergeCell ref="E342:G342"/>
    <mergeCell ref="E337:G337"/>
    <mergeCell ref="E339:G339"/>
    <mergeCell ref="E340:G340"/>
    <mergeCell ref="E333:G333"/>
    <mergeCell ref="B273:D273"/>
    <mergeCell ref="B274:D274"/>
    <mergeCell ref="B275:D275"/>
    <mergeCell ref="B276:D276"/>
    <mergeCell ref="B277:D277"/>
    <mergeCell ref="B278:D278"/>
    <mergeCell ref="B279:D279"/>
    <mergeCell ref="B329:D329"/>
    <mergeCell ref="B330:D330"/>
    <mergeCell ref="B289:D289"/>
    <mergeCell ref="B299:D299"/>
    <mergeCell ref="B296:D297"/>
    <mergeCell ref="A293:M293"/>
    <mergeCell ref="E278:G278"/>
    <mergeCell ref="E279:G279"/>
    <mergeCell ref="B326:D326"/>
    <mergeCell ref="B327:D327"/>
    <mergeCell ref="B328:D328"/>
    <mergeCell ref="E318:G318"/>
    <mergeCell ref="K295:M295"/>
    <mergeCell ref="B280:D280"/>
    <mergeCell ref="B281:D281"/>
    <mergeCell ref="B282:D282"/>
    <mergeCell ref="B283:D283"/>
    <mergeCell ref="B264:D264"/>
    <mergeCell ref="B270:D270"/>
    <mergeCell ref="B265:D265"/>
    <mergeCell ref="B266:D266"/>
    <mergeCell ref="B267:D267"/>
    <mergeCell ref="B268:D268"/>
    <mergeCell ref="B271:D271"/>
    <mergeCell ref="B272:D272"/>
    <mergeCell ref="B269:D269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193:D193"/>
    <mergeCell ref="B196:D196"/>
    <mergeCell ref="B195:D195"/>
    <mergeCell ref="B186:D186"/>
    <mergeCell ref="B187:D187"/>
    <mergeCell ref="B198:D198"/>
    <mergeCell ref="B200:D200"/>
    <mergeCell ref="B203:D203"/>
    <mergeCell ref="B202:D202"/>
    <mergeCell ref="B197:D197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E252:G252"/>
    <mergeCell ref="E233:G234"/>
    <mergeCell ref="H233:J233"/>
    <mergeCell ref="K233:M233"/>
    <mergeCell ref="H234:J234"/>
    <mergeCell ref="A229:M229"/>
    <mergeCell ref="A231:A234"/>
    <mergeCell ref="B231:D232"/>
    <mergeCell ref="E231:G232"/>
    <mergeCell ref="H231:M231"/>
    <mergeCell ref="B233:D234"/>
    <mergeCell ref="E248:G248"/>
    <mergeCell ref="E249:G249"/>
    <mergeCell ref="E251:G251"/>
    <mergeCell ref="E245:G245"/>
    <mergeCell ref="E250:G250"/>
    <mergeCell ref="E241:G241"/>
    <mergeCell ref="E242:G242"/>
    <mergeCell ref="E243:G243"/>
    <mergeCell ref="E244:G244"/>
    <mergeCell ref="E246:G246"/>
    <mergeCell ref="E247:G247"/>
    <mergeCell ref="B217:D217"/>
    <mergeCell ref="E217:G217"/>
    <mergeCell ref="B218:D218"/>
    <mergeCell ref="E218:G218"/>
    <mergeCell ref="B219:D219"/>
    <mergeCell ref="B191:D191"/>
    <mergeCell ref="L364:L365"/>
    <mergeCell ref="G364:G365"/>
    <mergeCell ref="H364:H365"/>
    <mergeCell ref="I364:I365"/>
    <mergeCell ref="K364:K365"/>
    <mergeCell ref="A359:M359"/>
    <mergeCell ref="E344:G344"/>
    <mergeCell ref="E345:G345"/>
    <mergeCell ref="E346:G346"/>
    <mergeCell ref="E347:G347"/>
    <mergeCell ref="B346:D346"/>
    <mergeCell ref="B347:D347"/>
    <mergeCell ref="B340:D340"/>
    <mergeCell ref="B341:D341"/>
    <mergeCell ref="B342:D342"/>
    <mergeCell ref="B343:D343"/>
    <mergeCell ref="E341:G341"/>
    <mergeCell ref="B344:D344"/>
    <mergeCell ref="A362:A365"/>
    <mergeCell ref="D364:D365"/>
    <mergeCell ref="B362:C362"/>
    <mergeCell ref="D362:D363"/>
    <mergeCell ref="B363:C363"/>
    <mergeCell ref="E363:F363"/>
    <mergeCell ref="H362:M362"/>
    <mergeCell ref="K363:M363"/>
    <mergeCell ref="H363:J363"/>
    <mergeCell ref="E362:F362"/>
    <mergeCell ref="G362:G363"/>
    <mergeCell ref="B345:D345"/>
    <mergeCell ref="A294:A297"/>
    <mergeCell ref="E314:G314"/>
    <mergeCell ref="E299:G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E305:G305"/>
    <mergeCell ref="E306:G306"/>
    <mergeCell ref="E307:G307"/>
    <mergeCell ref="E309:G309"/>
    <mergeCell ref="E310:G310"/>
    <mergeCell ref="E267:G267"/>
    <mergeCell ref="E268:G268"/>
    <mergeCell ref="E269:G269"/>
    <mergeCell ref="E253:G253"/>
    <mergeCell ref="E254:G254"/>
    <mergeCell ref="E256:G256"/>
    <mergeCell ref="E257:G257"/>
    <mergeCell ref="E258:G258"/>
    <mergeCell ref="E259:G259"/>
    <mergeCell ref="E261:G261"/>
    <mergeCell ref="E262:G262"/>
    <mergeCell ref="E263:G263"/>
    <mergeCell ref="E264:G264"/>
    <mergeCell ref="E255:G255"/>
    <mergeCell ref="E260:G260"/>
    <mergeCell ref="E265:G265"/>
    <mergeCell ref="E266:G266"/>
    <mergeCell ref="B175:D175"/>
    <mergeCell ref="E195:G195"/>
    <mergeCell ref="B176:D176"/>
    <mergeCell ref="B177:D177"/>
    <mergeCell ref="E180:G180"/>
    <mergeCell ref="E181:G181"/>
    <mergeCell ref="E182:G182"/>
    <mergeCell ref="E175:G175"/>
    <mergeCell ref="E176:G176"/>
    <mergeCell ref="E177:G177"/>
    <mergeCell ref="B182:D182"/>
    <mergeCell ref="B178:D178"/>
    <mergeCell ref="B180:D180"/>
    <mergeCell ref="B179:D179"/>
    <mergeCell ref="B184:D184"/>
    <mergeCell ref="B194:D194"/>
    <mergeCell ref="B189:D189"/>
    <mergeCell ref="B192:D192"/>
    <mergeCell ref="E188:G188"/>
    <mergeCell ref="E190:G190"/>
    <mergeCell ref="E191:G191"/>
    <mergeCell ref="B190:D190"/>
    <mergeCell ref="E193:G193"/>
    <mergeCell ref="B181:D181"/>
    <mergeCell ref="B206:D206"/>
    <mergeCell ref="E236:G236"/>
    <mergeCell ref="E237:G237"/>
    <mergeCell ref="B199:D199"/>
    <mergeCell ref="B210:D210"/>
    <mergeCell ref="B215:D215"/>
    <mergeCell ref="B208:D208"/>
    <mergeCell ref="B204:D204"/>
    <mergeCell ref="B201:D201"/>
    <mergeCell ref="E219:G219"/>
    <mergeCell ref="E208:G208"/>
    <mergeCell ref="B209:D209"/>
    <mergeCell ref="B236:D236"/>
    <mergeCell ref="B237:D237"/>
    <mergeCell ref="E203:G203"/>
    <mergeCell ref="E202:G202"/>
    <mergeCell ref="E213:G213"/>
    <mergeCell ref="E214:G214"/>
    <mergeCell ref="B212:D212"/>
    <mergeCell ref="B213:D213"/>
    <mergeCell ref="B216:D216"/>
    <mergeCell ref="E216:G216"/>
    <mergeCell ref="B214:D214"/>
    <mergeCell ref="B211:D211"/>
    <mergeCell ref="E239:G239"/>
    <mergeCell ref="B238:D238"/>
    <mergeCell ref="B239:D239"/>
    <mergeCell ref="B240:D240"/>
    <mergeCell ref="B241:D241"/>
    <mergeCell ref="B242:D242"/>
    <mergeCell ref="B243:D243"/>
    <mergeCell ref="H232:J232"/>
    <mergeCell ref="K232:M232"/>
    <mergeCell ref="K234:M234"/>
    <mergeCell ref="A170:M170"/>
    <mergeCell ref="A171:A173"/>
    <mergeCell ref="B171:D172"/>
    <mergeCell ref="E171:G172"/>
    <mergeCell ref="H171:M171"/>
    <mergeCell ref="H172:J172"/>
    <mergeCell ref="K172:M172"/>
    <mergeCell ref="H173:J173"/>
    <mergeCell ref="K173:M173"/>
    <mergeCell ref="B173:D173"/>
    <mergeCell ref="E173:G173"/>
    <mergeCell ref="E178:G178"/>
    <mergeCell ref="E206:G206"/>
    <mergeCell ref="B205:D205"/>
    <mergeCell ref="B207:D207"/>
    <mergeCell ref="E207:G207"/>
    <mergeCell ref="B183:D183"/>
    <mergeCell ref="B185:D185"/>
    <mergeCell ref="B188:D188"/>
    <mergeCell ref="A115:M115"/>
    <mergeCell ref="A117:A120"/>
    <mergeCell ref="B117:C117"/>
    <mergeCell ref="D117:D118"/>
    <mergeCell ref="E117:F117"/>
    <mergeCell ref="G117:G118"/>
    <mergeCell ref="H117:M117"/>
    <mergeCell ref="B118:C118"/>
    <mergeCell ref="E118:F118"/>
    <mergeCell ref="H118:J118"/>
    <mergeCell ref="K118:M118"/>
    <mergeCell ref="D119:D120"/>
    <mergeCell ref="G119:G120"/>
    <mergeCell ref="H119:H120"/>
    <mergeCell ref="I119:I120"/>
    <mergeCell ref="K119:K120"/>
    <mergeCell ref="L119:L120"/>
    <mergeCell ref="H68:M68"/>
    <mergeCell ref="B69:C69"/>
    <mergeCell ref="E69:F69"/>
    <mergeCell ref="H69:J69"/>
    <mergeCell ref="K69:M69"/>
    <mergeCell ref="D70:D71"/>
    <mergeCell ref="G70:G71"/>
    <mergeCell ref="H70:H71"/>
    <mergeCell ref="I70:I71"/>
    <mergeCell ref="K70:K71"/>
    <mergeCell ref="L70:L71"/>
    <mergeCell ref="A66:M66"/>
    <mergeCell ref="A68:A71"/>
    <mergeCell ref="B68:C68"/>
    <mergeCell ref="D68:D69"/>
    <mergeCell ref="E68:F68"/>
    <mergeCell ref="G68:G69"/>
    <mergeCell ref="A3:M3"/>
    <mergeCell ref="A4:A7"/>
    <mergeCell ref="B4:C4"/>
    <mergeCell ref="D4:D5"/>
    <mergeCell ref="E4:F4"/>
    <mergeCell ref="G4:G5"/>
    <mergeCell ref="H4:M4"/>
    <mergeCell ref="B5:C5"/>
    <mergeCell ref="E5:F5"/>
    <mergeCell ref="H5:J5"/>
    <mergeCell ref="K5:M5"/>
    <mergeCell ref="D6:D7"/>
    <mergeCell ref="G6:G7"/>
    <mergeCell ref="H6:H7"/>
    <mergeCell ref="I6:I7"/>
    <mergeCell ref="K6:K7"/>
    <mergeCell ref="L6:L7"/>
  </mergeCells>
  <phoneticPr fontId="13" type="noConversion"/>
  <pageMargins left="0.39370078740157499" right="0.196850393700787" top="0.2" bottom="0.2" header="0.39370078740157499" footer="0"/>
  <pageSetup scale="65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"/>
  <sheetViews>
    <sheetView zoomScale="70" zoomScaleNormal="70" workbookViewId="0">
      <selection sqref="A1:E1"/>
    </sheetView>
  </sheetViews>
  <sheetFormatPr baseColWidth="10" defaultColWidth="11.42578125" defaultRowHeight="12.75" x14ac:dyDescent="0.2"/>
  <cols>
    <col min="1" max="1" width="41.28515625" customWidth="1"/>
    <col min="2" max="3" width="16.7109375" customWidth="1"/>
    <col min="4" max="4" width="18.140625" bestFit="1" customWidth="1"/>
    <col min="5" max="5" width="17.85546875" bestFit="1" customWidth="1"/>
  </cols>
  <sheetData>
    <row r="1" spans="1:5" ht="30" customHeight="1" x14ac:dyDescent="0.2">
      <c r="A1" s="3240" t="s">
        <v>1993</v>
      </c>
      <c r="B1" s="3240"/>
      <c r="C1" s="3240"/>
      <c r="D1" s="3240"/>
      <c r="E1" s="3240"/>
    </row>
    <row r="2" spans="1:5" ht="13.5" thickBot="1" x14ac:dyDescent="0.25">
      <c r="A2" s="510"/>
      <c r="B2" s="510"/>
      <c r="C2" s="510"/>
      <c r="D2" s="510"/>
      <c r="E2" s="510"/>
    </row>
    <row r="3" spans="1:5" ht="18" customHeight="1" x14ac:dyDescent="0.2">
      <c r="A3" s="3153" t="s">
        <v>408</v>
      </c>
      <c r="B3" s="514"/>
      <c r="C3" s="724"/>
      <c r="D3" s="3156" t="s">
        <v>3</v>
      </c>
      <c r="E3" s="3188"/>
    </row>
    <row r="4" spans="1:5" ht="18" customHeight="1" thickBot="1" x14ac:dyDescent="0.25">
      <c r="A4" s="3154"/>
      <c r="B4" s="725"/>
      <c r="C4" s="726"/>
      <c r="D4" s="3184"/>
      <c r="E4" s="3190"/>
    </row>
    <row r="5" spans="1:5" ht="18" customHeight="1" x14ac:dyDescent="0.2">
      <c r="A5" s="3154"/>
      <c r="B5" s="515">
        <v>2022</v>
      </c>
      <c r="C5" s="515">
        <v>2023</v>
      </c>
      <c r="D5" s="514" t="s">
        <v>4</v>
      </c>
      <c r="E5" s="514" t="s">
        <v>5</v>
      </c>
    </row>
    <row r="6" spans="1:5" ht="18" customHeight="1" thickBot="1" x14ac:dyDescent="0.25">
      <c r="A6" s="3155"/>
      <c r="B6" s="727"/>
      <c r="C6" s="727"/>
      <c r="D6" s="1981" t="s">
        <v>1994</v>
      </c>
      <c r="E6" s="2378" t="s">
        <v>1994</v>
      </c>
    </row>
    <row r="7" spans="1:5" ht="18" customHeight="1" x14ac:dyDescent="0.2">
      <c r="A7" s="728" t="s">
        <v>1368</v>
      </c>
      <c r="B7" s="729"/>
      <c r="C7" s="729"/>
      <c r="D7" s="730"/>
      <c r="E7" s="730"/>
    </row>
    <row r="8" spans="1:5" ht="18" customHeight="1" x14ac:dyDescent="0.2">
      <c r="A8" s="731" t="s">
        <v>9</v>
      </c>
      <c r="B8" s="603">
        <v>11614521.293634493</v>
      </c>
      <c r="C8" s="603">
        <v>12057868.137423173</v>
      </c>
      <c r="D8" s="732">
        <v>443346.84378867969</v>
      </c>
      <c r="E8" s="733">
        <v>3.8171770715308213</v>
      </c>
    </row>
    <row r="9" spans="1:5" ht="18" customHeight="1" x14ac:dyDescent="0.2">
      <c r="A9" s="731" t="s">
        <v>10</v>
      </c>
      <c r="B9" s="603">
        <v>5152000</v>
      </c>
      <c r="C9" s="603">
        <v>5667200.0000000009</v>
      </c>
      <c r="D9" s="732">
        <v>515200.00000000093</v>
      </c>
      <c r="E9" s="733">
        <v>10.000000000000014</v>
      </c>
    </row>
    <row r="10" spans="1:5" ht="18" customHeight="1" x14ac:dyDescent="0.2">
      <c r="A10" s="628" t="s">
        <v>1373</v>
      </c>
      <c r="B10" s="541"/>
      <c r="C10" s="541"/>
      <c r="D10" s="734"/>
      <c r="E10" s="735"/>
    </row>
    <row r="11" spans="1:5" ht="18" customHeight="1" x14ac:dyDescent="0.2">
      <c r="A11" s="731" t="s">
        <v>9</v>
      </c>
      <c r="B11" s="603">
        <v>11413708.552924972</v>
      </c>
      <c r="C11" s="603">
        <v>11844209.49672818</v>
      </c>
      <c r="D11" s="732">
        <v>430500.94380320795</v>
      </c>
      <c r="E11" s="733">
        <v>3.7717884752969582</v>
      </c>
    </row>
    <row r="12" spans="1:5" ht="18" customHeight="1" x14ac:dyDescent="0.2">
      <c r="A12" s="730" t="s">
        <v>10</v>
      </c>
      <c r="B12" s="736">
        <v>1750490</v>
      </c>
      <c r="C12" s="603">
        <v>1753716.5000000002</v>
      </c>
      <c r="D12" s="737">
        <v>3226.5000000002328</v>
      </c>
      <c r="E12" s="738">
        <v>0.18431981902212158</v>
      </c>
    </row>
    <row r="13" spans="1:5" ht="18" customHeight="1" x14ac:dyDescent="0.2">
      <c r="A13" s="628" t="s">
        <v>1387</v>
      </c>
      <c r="B13" s="541"/>
      <c r="C13" s="541"/>
      <c r="D13" s="734"/>
      <c r="E13" s="735"/>
    </row>
    <row r="14" spans="1:5" ht="18" customHeight="1" x14ac:dyDescent="0.2">
      <c r="A14" s="731" t="s">
        <v>9</v>
      </c>
      <c r="B14" s="603">
        <v>14852767.289999999</v>
      </c>
      <c r="C14" s="603">
        <v>16092075.706607999</v>
      </c>
      <c r="D14" s="732">
        <v>1239308.4166080002</v>
      </c>
      <c r="E14" s="733">
        <v>8.3439563309013494</v>
      </c>
    </row>
    <row r="15" spans="1:5" ht="18" customHeight="1" x14ac:dyDescent="0.2">
      <c r="A15" s="731" t="s">
        <v>10</v>
      </c>
      <c r="B15" s="603">
        <v>4379000</v>
      </c>
      <c r="C15" s="603">
        <v>4129499.9999999995</v>
      </c>
      <c r="D15" s="732">
        <v>-249500.00000000047</v>
      </c>
      <c r="E15" s="733">
        <v>-5.6976478648093263</v>
      </c>
    </row>
    <row r="16" spans="1:5" ht="18" customHeight="1" x14ac:dyDescent="0.2">
      <c r="A16" s="628" t="s">
        <v>1375</v>
      </c>
      <c r="B16" s="541"/>
      <c r="C16" s="541"/>
      <c r="D16" s="734"/>
      <c r="E16" s="735"/>
    </row>
    <row r="17" spans="1:5" ht="18" customHeight="1" x14ac:dyDescent="0.2">
      <c r="A17" s="731" t="s">
        <v>9</v>
      </c>
      <c r="B17" s="603">
        <v>11253297.383686313</v>
      </c>
      <c r="C17" s="603">
        <v>12054596.552708667</v>
      </c>
      <c r="D17" s="732">
        <v>801299.16902235337</v>
      </c>
      <c r="E17" s="733">
        <v>7.1205722349787095</v>
      </c>
    </row>
    <row r="18" spans="1:5" ht="18" customHeight="1" x14ac:dyDescent="0.2">
      <c r="A18" s="730" t="s">
        <v>10</v>
      </c>
      <c r="B18" s="736">
        <v>8121500</v>
      </c>
      <c r="C18" s="603">
        <v>8328229.0000000009</v>
      </c>
      <c r="D18" s="737">
        <v>206729.00000000093</v>
      </c>
      <c r="E18" s="738">
        <v>2.5454534260912425</v>
      </c>
    </row>
    <row r="19" spans="1:5" ht="18" customHeight="1" x14ac:dyDescent="0.2">
      <c r="A19" s="628" t="s">
        <v>1376</v>
      </c>
      <c r="B19" s="541"/>
      <c r="C19" s="541"/>
      <c r="D19" s="734"/>
      <c r="E19" s="735"/>
    </row>
    <row r="20" spans="1:5" ht="18" customHeight="1" x14ac:dyDescent="0.2">
      <c r="A20" s="731" t="s">
        <v>9</v>
      </c>
      <c r="B20" s="603">
        <v>3131260.8187500001</v>
      </c>
      <c r="C20" s="603">
        <v>3408823.8108000006</v>
      </c>
      <c r="D20" s="732">
        <v>277562.99205000047</v>
      </c>
      <c r="E20" s="733">
        <v>8.8642565444549462</v>
      </c>
    </row>
    <row r="21" spans="1:5" ht="18" customHeight="1" x14ac:dyDescent="0.2">
      <c r="A21" s="731" t="s">
        <v>10</v>
      </c>
      <c r="B21" s="603">
        <v>6275000</v>
      </c>
      <c r="C21" s="603">
        <v>7090000</v>
      </c>
      <c r="D21" s="732">
        <v>815000</v>
      </c>
      <c r="E21" s="733">
        <v>12.988047808764946</v>
      </c>
    </row>
    <row r="22" spans="1:5" ht="18" customHeight="1" x14ac:dyDescent="0.2">
      <c r="A22" s="628" t="s">
        <v>1165</v>
      </c>
      <c r="B22" s="541"/>
      <c r="C22" s="541"/>
      <c r="D22" s="734"/>
      <c r="E22" s="735"/>
    </row>
    <row r="23" spans="1:5" ht="18" customHeight="1" x14ac:dyDescent="0.2">
      <c r="A23" s="731" t="s">
        <v>9</v>
      </c>
      <c r="B23" s="603">
        <v>6454970.8263971917</v>
      </c>
      <c r="C23" s="603">
        <v>6624516.3329927344</v>
      </c>
      <c r="D23" s="732">
        <v>169545.50659554265</v>
      </c>
      <c r="E23" s="733">
        <v>2.6265882705805126</v>
      </c>
    </row>
    <row r="24" spans="1:5" ht="18" customHeight="1" x14ac:dyDescent="0.2">
      <c r="A24" s="730" t="s">
        <v>10</v>
      </c>
      <c r="B24" s="736">
        <v>1580000</v>
      </c>
      <c r="C24" s="603">
        <v>1693750</v>
      </c>
      <c r="D24" s="737">
        <v>113750</v>
      </c>
      <c r="E24" s="738">
        <v>7.1993670886076018</v>
      </c>
    </row>
    <row r="25" spans="1:5" ht="18" customHeight="1" x14ac:dyDescent="0.2">
      <c r="A25" s="628" t="s">
        <v>1166</v>
      </c>
      <c r="B25" s="541"/>
      <c r="C25" s="541"/>
      <c r="D25" s="734"/>
      <c r="E25" s="735"/>
    </row>
    <row r="26" spans="1:5" ht="18" customHeight="1" x14ac:dyDescent="0.2">
      <c r="A26" s="731" t="s">
        <v>9</v>
      </c>
      <c r="B26" s="603">
        <v>6454970.8263971917</v>
      </c>
      <c r="C26" s="603">
        <v>6624516.3329927307</v>
      </c>
      <c r="D26" s="732">
        <v>169545.50659553893</v>
      </c>
      <c r="E26" s="733">
        <v>2.62658827058047</v>
      </c>
    </row>
    <row r="27" spans="1:5" ht="18" customHeight="1" x14ac:dyDescent="0.2">
      <c r="A27" s="730" t="s">
        <v>10</v>
      </c>
      <c r="B27" s="736">
        <v>1613500</v>
      </c>
      <c r="C27" s="603">
        <v>1582000</v>
      </c>
      <c r="D27" s="737">
        <v>-31500</v>
      </c>
      <c r="E27" s="738">
        <v>-1.952277657266805</v>
      </c>
    </row>
    <row r="28" spans="1:5" ht="18" customHeight="1" x14ac:dyDescent="0.2">
      <c r="A28" s="628" t="s">
        <v>1167</v>
      </c>
      <c r="B28" s="541"/>
      <c r="C28" s="541"/>
      <c r="D28" s="734"/>
      <c r="E28" s="735"/>
    </row>
    <row r="29" spans="1:5" ht="18" customHeight="1" x14ac:dyDescent="0.2">
      <c r="A29" s="731" t="s">
        <v>9</v>
      </c>
      <c r="B29" s="603">
        <v>3021709.1096915854</v>
      </c>
      <c r="C29" s="603">
        <v>3130853.1077512531</v>
      </c>
      <c r="D29" s="732">
        <v>109143.99805966765</v>
      </c>
      <c r="E29" s="733">
        <v>3.6119955329124309</v>
      </c>
    </row>
    <row r="30" spans="1:5" ht="18" customHeight="1" x14ac:dyDescent="0.2">
      <c r="A30" s="730" t="s">
        <v>10</v>
      </c>
      <c r="B30" s="736">
        <v>1455000</v>
      </c>
      <c r="C30" s="603">
        <v>1693749.9999999995</v>
      </c>
      <c r="D30" s="737">
        <v>238749.99999999953</v>
      </c>
      <c r="E30" s="738">
        <v>16.40893470790374</v>
      </c>
    </row>
    <row r="31" spans="1:5" ht="18" customHeight="1" x14ac:dyDescent="0.2">
      <c r="A31" s="628" t="s">
        <v>1168</v>
      </c>
      <c r="B31" s="541"/>
      <c r="C31" s="541"/>
      <c r="D31" s="734"/>
      <c r="E31" s="735"/>
    </row>
    <row r="32" spans="1:5" ht="18" customHeight="1" x14ac:dyDescent="0.2">
      <c r="A32" s="731" t="s">
        <v>9</v>
      </c>
      <c r="B32" s="603">
        <v>3021709.1096915854</v>
      </c>
      <c r="C32" s="603">
        <v>3130853.107751254</v>
      </c>
      <c r="D32" s="732">
        <v>109143.99805966858</v>
      </c>
      <c r="E32" s="733">
        <v>3.6119955329124451</v>
      </c>
    </row>
    <row r="33" spans="1:5" ht="18" customHeight="1" x14ac:dyDescent="0.2">
      <c r="A33" s="731" t="s">
        <v>10</v>
      </c>
      <c r="B33" s="603">
        <v>1450000</v>
      </c>
      <c r="C33" s="603">
        <v>1582000</v>
      </c>
      <c r="D33" s="732">
        <v>132000</v>
      </c>
      <c r="E33" s="733">
        <v>9.1034482758620641</v>
      </c>
    </row>
    <row r="34" spans="1:5" ht="18" customHeight="1" x14ac:dyDescent="0.2">
      <c r="A34" s="628" t="s">
        <v>1377</v>
      </c>
      <c r="B34" s="541"/>
      <c r="C34" s="541"/>
      <c r="D34" s="734"/>
      <c r="E34" s="735"/>
    </row>
    <row r="35" spans="1:5" ht="18" customHeight="1" x14ac:dyDescent="0.2">
      <c r="A35" s="731" t="s">
        <v>9</v>
      </c>
      <c r="B35" s="603">
        <v>5075062.208321346</v>
      </c>
      <c r="C35" s="603">
        <v>5027077.2387764119</v>
      </c>
      <c r="D35" s="732">
        <v>-47984.969544934109</v>
      </c>
      <c r="E35" s="733">
        <v>-0.94550505147022079</v>
      </c>
    </row>
    <row r="36" spans="1:5" ht="18" customHeight="1" x14ac:dyDescent="0.2">
      <c r="A36" s="730" t="s">
        <v>10</v>
      </c>
      <c r="B36" s="736">
        <v>1100000</v>
      </c>
      <c r="C36" s="603">
        <v>1255000</v>
      </c>
      <c r="D36" s="737">
        <v>155000</v>
      </c>
      <c r="E36" s="738">
        <v>14.090909090909093</v>
      </c>
    </row>
    <row r="37" spans="1:5" ht="18" customHeight="1" x14ac:dyDescent="0.2">
      <c r="A37" s="628" t="s">
        <v>11</v>
      </c>
      <c r="B37" s="541"/>
      <c r="C37" s="541"/>
      <c r="D37" s="734"/>
      <c r="E37" s="735"/>
    </row>
    <row r="38" spans="1:5" ht="18" customHeight="1" x14ac:dyDescent="0.2">
      <c r="A38" s="731" t="s">
        <v>9</v>
      </c>
      <c r="B38" s="603" t="e">
        <v>#DIV/0!</v>
      </c>
      <c r="C38" s="603" t="e">
        <v>#DIV/0!</v>
      </c>
      <c r="D38" s="732" t="e">
        <v>#DIV/0!</v>
      </c>
      <c r="E38" s="733" t="e">
        <v>#DIV/0!</v>
      </c>
    </row>
    <row r="39" spans="1:5" ht="18" customHeight="1" x14ac:dyDescent="0.2">
      <c r="A39" s="730" t="s">
        <v>10</v>
      </c>
      <c r="B39" s="736" t="e">
        <v>#DIV/0!</v>
      </c>
      <c r="C39" s="603" t="e">
        <v>#DIV/0!</v>
      </c>
      <c r="D39" s="737" t="e">
        <v>#DIV/0!</v>
      </c>
      <c r="E39" s="738" t="e">
        <v>#DIV/0!</v>
      </c>
    </row>
    <row r="40" spans="1:5" ht="18" customHeight="1" x14ac:dyDescent="0.2">
      <c r="A40" s="628" t="s">
        <v>12</v>
      </c>
      <c r="B40" s="541"/>
      <c r="C40" s="541"/>
      <c r="D40" s="734"/>
      <c r="E40" s="735"/>
    </row>
    <row r="41" spans="1:5" ht="18" customHeight="1" x14ac:dyDescent="0.2">
      <c r="A41" s="731" t="s">
        <v>9</v>
      </c>
      <c r="B41" s="603">
        <v>29919045.738662913</v>
      </c>
      <c r="C41" s="603">
        <v>32504965.836568229</v>
      </c>
      <c r="D41" s="732">
        <v>2585920.0979053155</v>
      </c>
      <c r="E41" s="733">
        <v>8.6430567354748717</v>
      </c>
    </row>
    <row r="42" spans="1:5" ht="18" customHeight="1" thickBot="1" x14ac:dyDescent="0.25">
      <c r="A42" s="739" t="s">
        <v>10</v>
      </c>
      <c r="B42" s="740">
        <v>1913000.0000000002</v>
      </c>
      <c r="C42" s="741">
        <v>2215500</v>
      </c>
      <c r="D42" s="741">
        <v>302499.99999999977</v>
      </c>
      <c r="E42" s="742">
        <v>15.81285938316779</v>
      </c>
    </row>
    <row r="43" spans="1:5" x14ac:dyDescent="0.2">
      <c r="A43" s="7" t="s">
        <v>1934</v>
      </c>
      <c r="B43" s="743"/>
      <c r="C43" s="743"/>
      <c r="D43" s="743"/>
      <c r="E43" s="743"/>
    </row>
    <row r="44" spans="1:5" x14ac:dyDescent="0.2">
      <c r="A44" s="260" t="s">
        <v>647</v>
      </c>
      <c r="B44" s="743"/>
      <c r="C44" s="743"/>
      <c r="D44" s="743"/>
      <c r="E44" s="743"/>
    </row>
    <row r="45" spans="1:5" ht="30" customHeight="1" thickBot="1" x14ac:dyDescent="0.25">
      <c r="A45" s="3239" t="s">
        <v>1995</v>
      </c>
      <c r="B45" s="3239"/>
      <c r="C45" s="3239"/>
      <c r="D45" s="3239"/>
      <c r="E45" s="3239"/>
    </row>
    <row r="46" spans="1:5" ht="20.100000000000001" customHeight="1" x14ac:dyDescent="0.2">
      <c r="A46" s="3153" t="s">
        <v>408</v>
      </c>
      <c r="B46" s="2376"/>
      <c r="C46" s="724"/>
      <c r="D46" s="3156" t="s">
        <v>3</v>
      </c>
      <c r="E46" s="3188"/>
    </row>
    <row r="47" spans="1:5" ht="20.100000000000001" customHeight="1" thickBot="1" x14ac:dyDescent="0.25">
      <c r="A47" s="3154"/>
      <c r="B47" s="725"/>
      <c r="C47" s="726"/>
      <c r="D47" s="3184"/>
      <c r="E47" s="3190"/>
    </row>
    <row r="48" spans="1:5" ht="20.100000000000001" customHeight="1" x14ac:dyDescent="0.2">
      <c r="A48" s="3154"/>
      <c r="B48" s="2377">
        <v>2022</v>
      </c>
      <c r="C48" s="2377">
        <v>2023</v>
      </c>
      <c r="D48" s="2376" t="s">
        <v>4</v>
      </c>
      <c r="E48" s="2376" t="s">
        <v>5</v>
      </c>
    </row>
    <row r="49" spans="1:5" ht="20.100000000000001" customHeight="1" thickBot="1" x14ac:dyDescent="0.25">
      <c r="A49" s="3155"/>
      <c r="B49" s="727"/>
      <c r="C49" s="727"/>
      <c r="D49" s="2378" t="s">
        <v>1994</v>
      </c>
      <c r="E49" s="2378" t="s">
        <v>1994</v>
      </c>
    </row>
    <row r="50" spans="1:5" ht="20.100000000000001" customHeight="1" thickBot="1" x14ac:dyDescent="0.25">
      <c r="A50" s="744" t="s">
        <v>13</v>
      </c>
      <c r="B50" s="745"/>
      <c r="C50" s="745"/>
      <c r="D50" s="746"/>
      <c r="E50" s="746"/>
    </row>
    <row r="51" spans="1:5" ht="20.100000000000001" customHeight="1" x14ac:dyDescent="0.2">
      <c r="A51" s="731" t="s">
        <v>9</v>
      </c>
      <c r="B51" s="603">
        <v>6037730.3944332451</v>
      </c>
      <c r="C51" s="603">
        <v>6741527.7291359399</v>
      </c>
      <c r="D51" s="732">
        <v>703797.33470269479</v>
      </c>
      <c r="E51" s="733">
        <v>11.656653886890879</v>
      </c>
    </row>
    <row r="52" spans="1:5" ht="20.100000000000001" customHeight="1" thickBot="1" x14ac:dyDescent="0.25">
      <c r="A52" s="731" t="s">
        <v>10</v>
      </c>
      <c r="B52" s="603">
        <v>5544000</v>
      </c>
      <c r="C52" s="603">
        <v>6100000</v>
      </c>
      <c r="D52" s="732">
        <v>556000</v>
      </c>
      <c r="E52" s="733">
        <v>10.028860028860038</v>
      </c>
    </row>
    <row r="53" spans="1:5" ht="20.100000000000001" customHeight="1" thickBot="1" x14ac:dyDescent="0.25">
      <c r="A53" s="744" t="s">
        <v>14</v>
      </c>
      <c r="B53" s="747"/>
      <c r="C53" s="747"/>
      <c r="D53" s="748"/>
      <c r="E53" s="749"/>
    </row>
    <row r="54" spans="1:5" ht="20.100000000000001" customHeight="1" x14ac:dyDescent="0.2">
      <c r="A54" s="731" t="s">
        <v>9</v>
      </c>
      <c r="B54" s="603">
        <v>10764847.662500001</v>
      </c>
      <c r="C54" s="603">
        <v>11689263.633119998</v>
      </c>
      <c r="D54" s="732">
        <v>924415.97061999701</v>
      </c>
      <c r="E54" s="733">
        <v>8.5873576626658235</v>
      </c>
    </row>
    <row r="55" spans="1:5" ht="20.100000000000001" customHeight="1" x14ac:dyDescent="0.2">
      <c r="A55" s="730" t="s">
        <v>10</v>
      </c>
      <c r="B55" s="736">
        <v>2035000</v>
      </c>
      <c r="C55" s="603">
        <v>3022000.0000000005</v>
      </c>
      <c r="D55" s="737">
        <v>987000.00000000047</v>
      </c>
      <c r="E55" s="738">
        <v>48.501228501228525</v>
      </c>
    </row>
    <row r="56" spans="1:5" ht="20.100000000000001" customHeight="1" x14ac:dyDescent="0.2">
      <c r="A56" s="628" t="s">
        <v>1404</v>
      </c>
      <c r="B56" s="541"/>
      <c r="C56" s="541"/>
      <c r="D56" s="734"/>
      <c r="E56" s="735"/>
    </row>
    <row r="57" spans="1:5" ht="20.100000000000001" customHeight="1" x14ac:dyDescent="0.2">
      <c r="A57" s="731" t="s">
        <v>9</v>
      </c>
      <c r="B57" s="603">
        <v>17718679.074999999</v>
      </c>
      <c r="C57" s="603">
        <v>19221471.651039995</v>
      </c>
      <c r="D57" s="732">
        <v>1502792.576039996</v>
      </c>
      <c r="E57" s="733">
        <v>8.4814029853971959</v>
      </c>
    </row>
    <row r="58" spans="1:5" ht="20.100000000000001" customHeight="1" thickBot="1" x14ac:dyDescent="0.25">
      <c r="A58" s="731" t="s">
        <v>10</v>
      </c>
      <c r="B58" s="603">
        <v>1650000</v>
      </c>
      <c r="C58" s="603">
        <v>2324000</v>
      </c>
      <c r="D58" s="732">
        <v>674000</v>
      </c>
      <c r="E58" s="733">
        <v>40.848484848484844</v>
      </c>
    </row>
    <row r="59" spans="1:5" ht="20.100000000000001" customHeight="1" thickBot="1" x14ac:dyDescent="0.25">
      <c r="A59" s="744" t="s">
        <v>15</v>
      </c>
      <c r="B59" s="747"/>
      <c r="C59" s="747"/>
      <c r="D59" s="748"/>
      <c r="E59" s="749"/>
    </row>
    <row r="60" spans="1:5" ht="20.100000000000001" customHeight="1" x14ac:dyDescent="0.2">
      <c r="A60" s="731" t="s">
        <v>9</v>
      </c>
      <c r="B60" s="603">
        <v>8479866.8000000007</v>
      </c>
      <c r="C60" s="603">
        <v>9195256.2799999993</v>
      </c>
      <c r="D60" s="732">
        <v>715389.47999999858</v>
      </c>
      <c r="E60" s="733">
        <v>8.4363292121522306</v>
      </c>
    </row>
    <row r="61" spans="1:5" ht="20.100000000000001" customHeight="1" thickBot="1" x14ac:dyDescent="0.25">
      <c r="A61" s="731" t="s">
        <v>10</v>
      </c>
      <c r="B61" s="603">
        <v>2892999.9999999995</v>
      </c>
      <c r="C61" s="603">
        <v>2403999.9999999995</v>
      </c>
      <c r="D61" s="732">
        <v>-489000</v>
      </c>
      <c r="E61" s="733">
        <v>-16.90286899412375</v>
      </c>
    </row>
    <row r="62" spans="1:5" ht="20.100000000000001" customHeight="1" thickBot="1" x14ac:dyDescent="0.25">
      <c r="A62" s="744" t="s">
        <v>16</v>
      </c>
      <c r="B62" s="747"/>
      <c r="C62" s="747"/>
      <c r="D62" s="748"/>
      <c r="E62" s="749"/>
    </row>
    <row r="63" spans="1:5" ht="20.100000000000001" customHeight="1" x14ac:dyDescent="0.2">
      <c r="A63" s="731" t="s">
        <v>17</v>
      </c>
      <c r="B63" s="732">
        <v>21463666.125</v>
      </c>
      <c r="C63" s="603">
        <v>22836230.630400006</v>
      </c>
      <c r="D63" s="732">
        <v>1372564.5054000057</v>
      </c>
      <c r="E63" s="733">
        <v>6.3948278798527269</v>
      </c>
    </row>
    <row r="64" spans="1:5" ht="20.100000000000001" customHeight="1" x14ac:dyDescent="0.2">
      <c r="A64" s="731" t="s">
        <v>18</v>
      </c>
      <c r="B64" s="732">
        <v>7124009.9809999987</v>
      </c>
      <c r="C64" s="603">
        <v>6629975.2879551994</v>
      </c>
      <c r="D64" s="732">
        <v>-494034.69304479938</v>
      </c>
      <c r="E64" s="733">
        <v>-6.9347838417184704</v>
      </c>
    </row>
    <row r="65" spans="1:5" ht="20.100000000000001" customHeight="1" thickBot="1" x14ac:dyDescent="0.25">
      <c r="A65" s="731" t="s">
        <v>10</v>
      </c>
      <c r="B65" s="603">
        <v>8663000</v>
      </c>
      <c r="C65" s="603">
        <v>12137000</v>
      </c>
      <c r="D65" s="732">
        <v>3474000</v>
      </c>
      <c r="E65" s="733">
        <v>40.101581438300826</v>
      </c>
    </row>
    <row r="66" spans="1:5" ht="20.100000000000001" customHeight="1" thickBot="1" x14ac:dyDescent="0.25">
      <c r="A66" s="744" t="s">
        <v>19</v>
      </c>
      <c r="B66" s="747"/>
      <c r="C66" s="747"/>
      <c r="D66" s="748"/>
      <c r="E66" s="749"/>
    </row>
    <row r="67" spans="1:5" ht="20.100000000000001" customHeight="1" x14ac:dyDescent="0.2">
      <c r="A67" s="731" t="s">
        <v>17</v>
      </c>
      <c r="B67" s="732">
        <v>16017969.412500001</v>
      </c>
      <c r="C67" s="603">
        <v>16946495.760480002</v>
      </c>
      <c r="D67" s="732">
        <v>928526.34798000008</v>
      </c>
      <c r="E67" s="733">
        <v>5.7967793798844554</v>
      </c>
    </row>
    <row r="68" spans="1:5" ht="20.100000000000001" customHeight="1" x14ac:dyDescent="0.2">
      <c r="A68" s="731" t="s">
        <v>18</v>
      </c>
      <c r="B68" s="732">
        <v>15925843.574999997</v>
      </c>
      <c r="C68" s="603">
        <v>17178290.749955527</v>
      </c>
      <c r="D68" s="732">
        <v>1252447.1749555301</v>
      </c>
      <c r="E68" s="733">
        <v>7.8642438565803303</v>
      </c>
    </row>
    <row r="69" spans="1:5" ht="20.100000000000001" customHeight="1" x14ac:dyDescent="0.2">
      <c r="A69" s="730" t="s">
        <v>10</v>
      </c>
      <c r="B69" s="736">
        <v>3122000</v>
      </c>
      <c r="C69" s="603">
        <v>3000000</v>
      </c>
      <c r="D69" s="737">
        <v>-122000</v>
      </c>
      <c r="E69" s="738">
        <v>-3.9077514413837378</v>
      </c>
    </row>
    <row r="70" spans="1:5" ht="20.100000000000001" customHeight="1" x14ac:dyDescent="0.2">
      <c r="A70" s="628" t="s">
        <v>62</v>
      </c>
      <c r="B70" s="541"/>
      <c r="C70" s="541"/>
      <c r="D70" s="734"/>
      <c r="E70" s="735"/>
    </row>
    <row r="71" spans="1:5" ht="20.100000000000001" customHeight="1" x14ac:dyDescent="0.2">
      <c r="A71" s="750" t="s">
        <v>17</v>
      </c>
      <c r="B71" s="751">
        <v>5072071.9657500004</v>
      </c>
      <c r="C71" s="603">
        <v>4978011.1799408002</v>
      </c>
      <c r="D71" s="732">
        <v>-94060.785809200257</v>
      </c>
      <c r="E71" s="752">
        <v>-1.8544844482562723</v>
      </c>
    </row>
    <row r="72" spans="1:5" ht="20.100000000000001" customHeight="1" x14ac:dyDescent="0.2">
      <c r="A72" s="731" t="s">
        <v>18</v>
      </c>
      <c r="B72" s="732">
        <v>3803388.8580000009</v>
      </c>
      <c r="C72" s="603">
        <v>3558347.73076736</v>
      </c>
      <c r="D72" s="732">
        <v>-245041.12723264098</v>
      </c>
      <c r="E72" s="733">
        <v>-6.442705081738481</v>
      </c>
    </row>
    <row r="73" spans="1:5" ht="20.100000000000001" customHeight="1" thickBot="1" x14ac:dyDescent="0.25">
      <c r="A73" s="731" t="s">
        <v>10</v>
      </c>
      <c r="B73" s="603">
        <v>1565000</v>
      </c>
      <c r="C73" s="603">
        <v>1850000.0000000002</v>
      </c>
      <c r="D73" s="732">
        <v>285000.00000000023</v>
      </c>
      <c r="E73" s="733">
        <v>18.210862619808339</v>
      </c>
    </row>
    <row r="74" spans="1:5" ht="20.100000000000001" customHeight="1" thickBot="1" x14ac:dyDescent="0.25">
      <c r="A74" s="744" t="s">
        <v>63</v>
      </c>
      <c r="B74" s="747"/>
      <c r="C74" s="747"/>
      <c r="D74" s="748"/>
      <c r="E74" s="749"/>
    </row>
    <row r="75" spans="1:5" ht="20.100000000000001" customHeight="1" x14ac:dyDescent="0.2">
      <c r="A75" s="731" t="s">
        <v>17</v>
      </c>
      <c r="B75" s="732">
        <v>12256103.925000004</v>
      </c>
      <c r="C75" s="603">
        <v>12756931.344799999</v>
      </c>
      <c r="D75" s="732">
        <v>500827.41979999468</v>
      </c>
      <c r="E75" s="733">
        <v>4.0863509551221142</v>
      </c>
    </row>
    <row r="76" spans="1:5" ht="20.100000000000001" customHeight="1" x14ac:dyDescent="0.2">
      <c r="A76" s="731" t="s">
        <v>18</v>
      </c>
      <c r="B76" s="732">
        <v>6090040.7875000015</v>
      </c>
      <c r="C76" s="603">
        <v>6497227.6390399989</v>
      </c>
      <c r="D76" s="732">
        <v>407186.85153999738</v>
      </c>
      <c r="E76" s="733">
        <v>6.6861104177784938</v>
      </c>
    </row>
    <row r="77" spans="1:5" ht="20.100000000000001" customHeight="1" thickBot="1" x14ac:dyDescent="0.25">
      <c r="A77" s="731" t="s">
        <v>10</v>
      </c>
      <c r="B77" s="603">
        <v>1564999.9999999998</v>
      </c>
      <c r="C77" s="603">
        <v>1850000.0000000005</v>
      </c>
      <c r="D77" s="732">
        <v>285000.0000000007</v>
      </c>
      <c r="E77" s="733">
        <v>18.210862619808353</v>
      </c>
    </row>
    <row r="78" spans="1:5" ht="20.100000000000001" customHeight="1" thickBot="1" x14ac:dyDescent="0.25">
      <c r="A78" s="744" t="s">
        <v>64</v>
      </c>
      <c r="B78" s="747"/>
      <c r="C78" s="747"/>
      <c r="D78" s="748"/>
      <c r="E78" s="749"/>
    </row>
    <row r="79" spans="1:5" ht="20.100000000000001" customHeight="1" x14ac:dyDescent="0.2">
      <c r="A79" s="731" t="s">
        <v>65</v>
      </c>
      <c r="B79" s="732">
        <v>18592499.999999996</v>
      </c>
      <c r="C79" s="603">
        <v>18838119.999999996</v>
      </c>
      <c r="D79" s="732">
        <v>245620</v>
      </c>
      <c r="E79" s="733">
        <v>1.3210703240553983</v>
      </c>
    </row>
    <row r="80" spans="1:5" ht="20.100000000000001" customHeight="1" x14ac:dyDescent="0.2">
      <c r="A80" s="731" t="s">
        <v>66</v>
      </c>
      <c r="B80" s="732">
        <v>11189955</v>
      </c>
      <c r="C80" s="603">
        <v>12064621.666666666</v>
      </c>
      <c r="D80" s="732">
        <v>874666.66666666605</v>
      </c>
      <c r="E80" s="733">
        <v>7.8165342636915511</v>
      </c>
    </row>
    <row r="81" spans="1:5" ht="20.100000000000001" customHeight="1" x14ac:dyDescent="0.2">
      <c r="A81" s="731" t="s">
        <v>67</v>
      </c>
      <c r="B81" s="603">
        <v>17201365</v>
      </c>
      <c r="C81" s="603">
        <v>13024549.999999996</v>
      </c>
      <c r="D81" s="732">
        <v>-4176815.0000000037</v>
      </c>
      <c r="E81" s="733">
        <v>-24.281881118155468</v>
      </c>
    </row>
    <row r="82" spans="1:5" ht="20.100000000000001" customHeight="1" thickBot="1" x14ac:dyDescent="0.25">
      <c r="A82" s="739" t="s">
        <v>68</v>
      </c>
      <c r="B82" s="740">
        <v>19351731</v>
      </c>
      <c r="C82" s="2379">
        <v>14978232.499999994</v>
      </c>
      <c r="D82" s="741">
        <v>-4373498.5000000056</v>
      </c>
      <c r="E82" s="742">
        <v>-22.600037691718668</v>
      </c>
    </row>
    <row r="83" spans="1:5" ht="15" x14ac:dyDescent="0.2">
      <c r="A83" s="7" t="s">
        <v>1934</v>
      </c>
      <c r="B83" s="743"/>
      <c r="C83" s="743"/>
      <c r="D83" s="743"/>
      <c r="E83" s="579"/>
    </row>
    <row r="84" spans="1:5" ht="15" x14ac:dyDescent="0.2">
      <c r="A84" s="262" t="s">
        <v>1815</v>
      </c>
      <c r="B84" s="604"/>
      <c r="C84" s="604"/>
      <c r="D84" s="604"/>
      <c r="E84" s="579"/>
    </row>
    <row r="85" spans="1:5" ht="30" customHeight="1" thickBot="1" x14ac:dyDescent="0.25">
      <c r="A85" s="3239" t="s">
        <v>1996</v>
      </c>
      <c r="B85" s="3239"/>
      <c r="C85" s="3239"/>
      <c r="D85" s="3239"/>
      <c r="E85" s="3239"/>
    </row>
    <row r="86" spans="1:5" ht="20.100000000000001" customHeight="1" x14ac:dyDescent="0.2">
      <c r="A86" s="3153" t="s">
        <v>408</v>
      </c>
      <c r="B86" s="2376"/>
      <c r="C86" s="724"/>
      <c r="D86" s="3156" t="s">
        <v>3</v>
      </c>
      <c r="E86" s="3188"/>
    </row>
    <row r="87" spans="1:5" ht="20.100000000000001" customHeight="1" thickBot="1" x14ac:dyDescent="0.25">
      <c r="A87" s="3154"/>
      <c r="B87" s="725"/>
      <c r="C87" s="726"/>
      <c r="D87" s="3184"/>
      <c r="E87" s="3190"/>
    </row>
    <row r="88" spans="1:5" ht="20.100000000000001" customHeight="1" x14ac:dyDescent="0.2">
      <c r="A88" s="3154"/>
      <c r="B88" s="2377">
        <v>2022</v>
      </c>
      <c r="C88" s="2377">
        <v>2023</v>
      </c>
      <c r="D88" s="2376" t="s">
        <v>4</v>
      </c>
      <c r="E88" s="2376" t="s">
        <v>5</v>
      </c>
    </row>
    <row r="89" spans="1:5" ht="20.100000000000001" customHeight="1" thickBot="1" x14ac:dyDescent="0.25">
      <c r="A89" s="3155"/>
      <c r="B89" s="727"/>
      <c r="C89" s="727"/>
      <c r="D89" s="2378" t="s">
        <v>1994</v>
      </c>
      <c r="E89" s="2378" t="s">
        <v>1994</v>
      </c>
    </row>
    <row r="90" spans="1:5" ht="20.100000000000001" customHeight="1" thickBot="1" x14ac:dyDescent="0.25">
      <c r="A90" s="753"/>
      <c r="B90" s="629"/>
      <c r="C90" s="629"/>
      <c r="D90" s="731"/>
      <c r="E90" s="731"/>
    </row>
    <row r="91" spans="1:5" ht="20.100000000000001" customHeight="1" thickBot="1" x14ac:dyDescent="0.25">
      <c r="A91" s="2383" t="s">
        <v>1725</v>
      </c>
      <c r="B91" s="747"/>
      <c r="C91" s="747"/>
      <c r="D91" s="748"/>
      <c r="E91" s="749"/>
    </row>
    <row r="92" spans="1:5" ht="20.100000000000001" customHeight="1" x14ac:dyDescent="0.2">
      <c r="A92" s="731" t="s">
        <v>17</v>
      </c>
      <c r="B92" s="732">
        <v>14002084.9625</v>
      </c>
      <c r="C92" s="603">
        <v>15012211.34736</v>
      </c>
      <c r="D92" s="732">
        <v>1010126.3848599996</v>
      </c>
      <c r="E92" s="733">
        <v>7.2141140949029534</v>
      </c>
    </row>
    <row r="93" spans="1:5" ht="20.100000000000001" customHeight="1" x14ac:dyDescent="0.2">
      <c r="A93" s="731" t="s">
        <v>18</v>
      </c>
      <c r="B93" s="732">
        <v>11265661.302000001</v>
      </c>
      <c r="C93" s="603">
        <v>11231825.979430402</v>
      </c>
      <c r="D93" s="732">
        <v>-33835.322569599375</v>
      </c>
      <c r="E93" s="733">
        <v>-0.30034031436389341</v>
      </c>
    </row>
    <row r="94" spans="1:5" ht="20.100000000000001" customHeight="1" thickBot="1" x14ac:dyDescent="0.25">
      <c r="A94" s="739" t="s">
        <v>10</v>
      </c>
      <c r="B94" s="740">
        <v>1499999.9999999998</v>
      </c>
      <c r="C94" s="603">
        <v>1599999.9999999995</v>
      </c>
      <c r="D94" s="741">
        <v>99999.999999999767</v>
      </c>
      <c r="E94" s="742">
        <v>6.666666666666643</v>
      </c>
    </row>
    <row r="95" spans="1:5" ht="20.100000000000001" customHeight="1" thickBot="1" x14ac:dyDescent="0.25">
      <c r="A95" s="744" t="s">
        <v>1453</v>
      </c>
      <c r="B95" s="747"/>
      <c r="C95" s="747"/>
      <c r="D95" s="748"/>
      <c r="E95" s="749"/>
    </row>
    <row r="96" spans="1:5" ht="20.100000000000001" customHeight="1" x14ac:dyDescent="0.2">
      <c r="A96" s="731" t="s">
        <v>17</v>
      </c>
      <c r="B96" s="732">
        <v>18945286.34375</v>
      </c>
      <c r="C96" s="603">
        <v>20573950.995439995</v>
      </c>
      <c r="D96" s="732">
        <v>1628664.6516899951</v>
      </c>
      <c r="E96" s="733">
        <v>8.5966747724944668</v>
      </c>
    </row>
    <row r="97" spans="1:5" ht="20.100000000000001" customHeight="1" x14ac:dyDescent="0.2">
      <c r="A97" s="731" t="s">
        <v>18</v>
      </c>
      <c r="B97" s="732">
        <v>9168186.9987499993</v>
      </c>
      <c r="C97" s="603">
        <v>10025213.581488002</v>
      </c>
      <c r="D97" s="732">
        <v>857026.58273800276</v>
      </c>
      <c r="E97" s="733">
        <v>9.3478305236886143</v>
      </c>
    </row>
    <row r="98" spans="1:5" ht="20.100000000000001" customHeight="1" thickBot="1" x14ac:dyDescent="0.25">
      <c r="A98" s="739" t="s">
        <v>10</v>
      </c>
      <c r="B98" s="740">
        <v>2000000</v>
      </c>
      <c r="C98" s="603">
        <v>2244000</v>
      </c>
      <c r="D98" s="741">
        <v>244000</v>
      </c>
      <c r="E98" s="742">
        <v>12.200000000000017</v>
      </c>
    </row>
    <row r="99" spans="1:5" ht="20.100000000000001" customHeight="1" thickBot="1" x14ac:dyDescent="0.25">
      <c r="A99" s="744" t="s">
        <v>70</v>
      </c>
      <c r="B99" s="747"/>
      <c r="C99" s="747"/>
      <c r="D99" s="748"/>
      <c r="E99" s="749"/>
    </row>
    <row r="100" spans="1:5" ht="20.100000000000001" customHeight="1" x14ac:dyDescent="0.2">
      <c r="A100" s="731" t="s">
        <v>17</v>
      </c>
      <c r="B100" s="732">
        <v>25936635.625000004</v>
      </c>
      <c r="C100" s="603">
        <v>27228636.236399997</v>
      </c>
      <c r="D100" s="732">
        <v>1292000.6113999933</v>
      </c>
      <c r="E100" s="733">
        <v>4.9813731822436154</v>
      </c>
    </row>
    <row r="101" spans="1:5" ht="20.100000000000001" customHeight="1" x14ac:dyDescent="0.2">
      <c r="A101" s="731" t="s">
        <v>18</v>
      </c>
      <c r="B101" s="732">
        <v>16619622.512500005</v>
      </c>
      <c r="C101" s="603">
        <v>18179773.134799998</v>
      </c>
      <c r="D101" s="732">
        <v>1560150.6222999934</v>
      </c>
      <c r="E101" s="733">
        <v>9.3874010744020637</v>
      </c>
    </row>
    <row r="102" spans="1:5" ht="20.100000000000001" customHeight="1" thickBot="1" x14ac:dyDescent="0.25">
      <c r="A102" s="739" t="s">
        <v>10</v>
      </c>
      <c r="B102" s="740">
        <v>4450000.0000000019</v>
      </c>
      <c r="C102" s="603">
        <v>4800000</v>
      </c>
      <c r="D102" s="741">
        <v>349999.99999999814</v>
      </c>
      <c r="E102" s="742">
        <v>7.8651685393257935</v>
      </c>
    </row>
    <row r="103" spans="1:5" ht="20.100000000000001" customHeight="1" thickBot="1" x14ac:dyDescent="0.25">
      <c r="A103" s="744" t="s">
        <v>71</v>
      </c>
      <c r="B103" s="747"/>
      <c r="C103" s="747"/>
      <c r="D103" s="748"/>
      <c r="E103" s="749"/>
    </row>
    <row r="104" spans="1:5" ht="20.100000000000001" customHeight="1" x14ac:dyDescent="0.2">
      <c r="A104" s="731" t="s">
        <v>17</v>
      </c>
      <c r="B104" s="732">
        <v>14723265.500000004</v>
      </c>
      <c r="C104" s="603">
        <v>15276068.252400003</v>
      </c>
      <c r="D104" s="732">
        <v>552802.75239999965</v>
      </c>
      <c r="E104" s="733">
        <v>3.7546205520779381</v>
      </c>
    </row>
    <row r="105" spans="1:5" ht="20.100000000000001" customHeight="1" x14ac:dyDescent="0.2">
      <c r="A105" s="731" t="s">
        <v>18</v>
      </c>
      <c r="B105" s="732">
        <v>11144504.775</v>
      </c>
      <c r="C105" s="603">
        <v>11881205.391840002</v>
      </c>
      <c r="D105" s="732">
        <v>736700.6168400012</v>
      </c>
      <c r="E105" s="733">
        <v>6.6104383435018974</v>
      </c>
    </row>
    <row r="106" spans="1:5" ht="20.100000000000001" customHeight="1" thickBot="1" x14ac:dyDescent="0.25">
      <c r="A106" s="739" t="s">
        <v>10</v>
      </c>
      <c r="B106" s="740">
        <v>3434000.0000000009</v>
      </c>
      <c r="C106" s="603">
        <v>3100000.0000000005</v>
      </c>
      <c r="D106" s="741">
        <v>-334000.00000000047</v>
      </c>
      <c r="E106" s="742">
        <v>-9.7262667443214923</v>
      </c>
    </row>
    <row r="107" spans="1:5" ht="20.100000000000001" customHeight="1" thickBot="1" x14ac:dyDescent="0.25">
      <c r="A107" s="744" t="s">
        <v>72</v>
      </c>
      <c r="B107" s="747"/>
      <c r="C107" s="747"/>
      <c r="D107" s="748"/>
      <c r="E107" s="749"/>
    </row>
    <row r="108" spans="1:5" ht="20.100000000000001" customHeight="1" x14ac:dyDescent="0.2">
      <c r="A108" s="731" t="s">
        <v>17</v>
      </c>
      <c r="B108" s="732">
        <v>29070834.46416666</v>
      </c>
      <c r="C108" s="603">
        <v>30634878.278400004</v>
      </c>
      <c r="D108" s="732">
        <v>1564043.814233344</v>
      </c>
      <c r="E108" s="733">
        <v>5.3801132408538734</v>
      </c>
    </row>
    <row r="109" spans="1:5" ht="20.100000000000001" customHeight="1" x14ac:dyDescent="0.2">
      <c r="A109" s="731" t="s">
        <v>18</v>
      </c>
      <c r="B109" s="732">
        <v>15307888.570532391</v>
      </c>
      <c r="C109" s="603">
        <v>16033099.501559999</v>
      </c>
      <c r="D109" s="732">
        <v>725210.93102760799</v>
      </c>
      <c r="E109" s="733">
        <v>4.7374981055430254</v>
      </c>
    </row>
    <row r="110" spans="1:5" ht="20.100000000000001" customHeight="1" thickBot="1" x14ac:dyDescent="0.25">
      <c r="A110" s="739" t="s">
        <v>10</v>
      </c>
      <c r="B110" s="740">
        <v>2267000.0000000009</v>
      </c>
      <c r="C110" s="603">
        <v>2744000.0000000005</v>
      </c>
      <c r="D110" s="741">
        <v>476999.99999999953</v>
      </c>
      <c r="E110" s="742">
        <v>21.041023378914844</v>
      </c>
    </row>
    <row r="111" spans="1:5" ht="20.100000000000001" customHeight="1" thickBot="1" x14ac:dyDescent="0.25">
      <c r="A111" s="744" t="s">
        <v>73</v>
      </c>
      <c r="B111" s="747"/>
      <c r="C111" s="747"/>
      <c r="D111" s="748"/>
      <c r="E111" s="749"/>
    </row>
    <row r="112" spans="1:5" ht="20.100000000000001" customHeight="1" x14ac:dyDescent="0.2">
      <c r="A112" s="731" t="s">
        <v>17</v>
      </c>
      <c r="B112" s="732">
        <v>20302842.811818186</v>
      </c>
      <c r="C112" s="603">
        <v>22070600.904319994</v>
      </c>
      <c r="D112" s="732">
        <v>1767758.092501808</v>
      </c>
      <c r="E112" s="733">
        <v>8.7069486223515753</v>
      </c>
    </row>
    <row r="113" spans="1:5" ht="20.100000000000001" customHeight="1" x14ac:dyDescent="0.2">
      <c r="A113" s="731" t="s">
        <v>18</v>
      </c>
      <c r="B113" s="732">
        <v>11216906.060780948</v>
      </c>
      <c r="C113" s="603">
        <v>11988502.798764002</v>
      </c>
      <c r="D113" s="732">
        <v>771596.73798305355</v>
      </c>
      <c r="E113" s="733">
        <v>6.8788731384751713</v>
      </c>
    </row>
    <row r="114" spans="1:5" ht="20.100000000000001" customHeight="1" thickBot="1" x14ac:dyDescent="0.25">
      <c r="A114" s="739" t="s">
        <v>10</v>
      </c>
      <c r="B114" s="740">
        <v>6611000.0000000009</v>
      </c>
      <c r="C114" s="603">
        <v>2549999.9999999991</v>
      </c>
      <c r="D114" s="741">
        <v>-4061000.0000000019</v>
      </c>
      <c r="E114" s="742">
        <v>-61.42792315837243</v>
      </c>
    </row>
    <row r="115" spans="1:5" ht="20.100000000000001" customHeight="1" thickBot="1" x14ac:dyDescent="0.25">
      <c r="A115" s="744" t="s">
        <v>74</v>
      </c>
      <c r="B115" s="747"/>
      <c r="C115" s="747"/>
      <c r="D115" s="748"/>
      <c r="E115" s="749"/>
    </row>
    <row r="116" spans="1:5" ht="20.100000000000001" customHeight="1" x14ac:dyDescent="0.2">
      <c r="A116" s="731" t="s">
        <v>17</v>
      </c>
      <c r="B116" s="732">
        <v>12596763.449999999</v>
      </c>
      <c r="C116" s="603">
        <v>13353598.597920002</v>
      </c>
      <c r="D116" s="732">
        <v>756835.14792000316</v>
      </c>
      <c r="E116" s="733">
        <v>6.0081714713790433</v>
      </c>
    </row>
    <row r="117" spans="1:5" ht="20.100000000000001" customHeight="1" x14ac:dyDescent="0.2">
      <c r="A117" s="731" t="s">
        <v>18</v>
      </c>
      <c r="B117" s="732">
        <v>10005805.049999999</v>
      </c>
      <c r="C117" s="603">
        <v>10726907.353815185</v>
      </c>
      <c r="D117" s="732">
        <v>721102.30381518602</v>
      </c>
      <c r="E117" s="733">
        <v>7.2068394318274898</v>
      </c>
    </row>
    <row r="118" spans="1:5" ht="20.100000000000001" customHeight="1" thickBot="1" x14ac:dyDescent="0.25">
      <c r="A118" s="739" t="s">
        <v>10</v>
      </c>
      <c r="B118" s="740">
        <v>2247000</v>
      </c>
      <c r="C118" s="603">
        <v>2445000.0000000005</v>
      </c>
      <c r="D118" s="741">
        <v>198000.00000000047</v>
      </c>
      <c r="E118" s="742">
        <v>8.8117489986649105</v>
      </c>
    </row>
    <row r="119" spans="1:5" ht="20.100000000000001" customHeight="1" thickBot="1" x14ac:dyDescent="0.25">
      <c r="A119" s="744" t="s">
        <v>75</v>
      </c>
      <c r="B119" s="747"/>
      <c r="C119" s="747"/>
      <c r="D119" s="748"/>
      <c r="E119" s="749"/>
    </row>
    <row r="120" spans="1:5" ht="20.100000000000001" customHeight="1" x14ac:dyDescent="0.2">
      <c r="A120" s="731" t="s">
        <v>17</v>
      </c>
      <c r="B120" s="732">
        <v>47804198.129583336</v>
      </c>
      <c r="C120" s="603">
        <v>53736749.675439991</v>
      </c>
      <c r="D120" s="732">
        <v>5932551.5458566546</v>
      </c>
      <c r="E120" s="733">
        <v>12.410105760534293</v>
      </c>
    </row>
    <row r="121" spans="1:5" ht="20.100000000000001" customHeight="1" x14ac:dyDescent="0.2">
      <c r="A121" s="731" t="s">
        <v>18</v>
      </c>
      <c r="B121" s="732">
        <v>19299175.69847222</v>
      </c>
      <c r="C121" s="603">
        <v>19799805.849616889</v>
      </c>
      <c r="D121" s="732">
        <v>500630.15114466846</v>
      </c>
      <c r="E121" s="733">
        <v>2.5940493986191342</v>
      </c>
    </row>
    <row r="122" spans="1:5" ht="20.100000000000001" customHeight="1" thickBot="1" x14ac:dyDescent="0.25">
      <c r="A122" s="739" t="s">
        <v>10</v>
      </c>
      <c r="B122" s="603">
        <v>1810000</v>
      </c>
      <c r="C122" s="603">
        <v>1850000.0000000002</v>
      </c>
      <c r="D122" s="732">
        <v>40000.000000000233</v>
      </c>
      <c r="E122" s="733">
        <v>2.2099447513812294</v>
      </c>
    </row>
    <row r="123" spans="1:5" x14ac:dyDescent="0.2">
      <c r="A123" s="7" t="s">
        <v>1934</v>
      </c>
      <c r="B123" s="1326"/>
      <c r="C123" s="1326"/>
      <c r="D123" s="1326"/>
      <c r="E123" s="630"/>
    </row>
    <row r="124" spans="1:5" x14ac:dyDescent="0.2">
      <c r="A124" s="262"/>
      <c r="B124" s="510"/>
      <c r="C124" s="510"/>
      <c r="D124" s="510"/>
      <c r="E124" s="510"/>
    </row>
  </sheetData>
  <mergeCells count="9">
    <mergeCell ref="A85:E85"/>
    <mergeCell ref="A86:A89"/>
    <mergeCell ref="D86:E87"/>
    <mergeCell ref="A1:E1"/>
    <mergeCell ref="A3:A6"/>
    <mergeCell ref="D3:E4"/>
    <mergeCell ref="A45:E45"/>
    <mergeCell ref="A46:A49"/>
    <mergeCell ref="D46:E47"/>
  </mergeCells>
  <phoneticPr fontId="13" type="noConversion"/>
  <pageMargins left="0.59055118110236227" right="0.59055118110236227" top="0.98425196850393704" bottom="0.78740157480314965" header="0.59055118110236227" footer="0"/>
  <pageSetup scale="85" orientation="portrait" horizontalDpi="4294967293" r:id="rId1"/>
  <headerFooter alignWithMargins="0">
    <oddHeader>&amp;C&amp;"Arial,Negrita"&amp;12GOBERNACIÓN DEL HUILA&amp;"Arial,Normal"&amp;10
&amp;"Arial,Negrita"&amp;12Secretarìa de Agricultura y Minería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zoomScale="75" workbookViewId="0">
      <selection activeCell="B1" sqref="B1:H1"/>
    </sheetView>
  </sheetViews>
  <sheetFormatPr baseColWidth="10" defaultColWidth="11.42578125" defaultRowHeight="12.75" x14ac:dyDescent="0.2"/>
  <cols>
    <col min="1" max="1" width="2" customWidth="1"/>
    <col min="2" max="2" width="41.28515625" customWidth="1"/>
    <col min="3" max="3" width="19" bestFit="1" customWidth="1"/>
    <col min="4" max="4" width="19" customWidth="1"/>
    <col min="5" max="5" width="15.5703125" customWidth="1"/>
    <col min="6" max="6" width="16.42578125" customWidth="1"/>
    <col min="7" max="7" width="16" customWidth="1"/>
    <col min="8" max="8" width="12.28515625" customWidth="1"/>
    <col min="9" max="9" width="5.140625" customWidth="1"/>
    <col min="10" max="10" width="41.85546875" customWidth="1"/>
    <col min="11" max="11" width="17.140625" customWidth="1"/>
    <col min="12" max="12" width="15" customWidth="1"/>
    <col min="13" max="13" width="14.85546875" customWidth="1"/>
    <col min="14" max="14" width="15.42578125" customWidth="1"/>
    <col min="15" max="15" width="15.5703125" customWidth="1"/>
    <col min="16" max="16" width="14.5703125" customWidth="1"/>
  </cols>
  <sheetData>
    <row r="1" spans="1:16" ht="15.75" x14ac:dyDescent="0.2">
      <c r="A1" s="295"/>
      <c r="B1" s="3152" t="s">
        <v>1997</v>
      </c>
      <c r="C1" s="3152"/>
      <c r="D1" s="3152"/>
      <c r="E1" s="3152"/>
      <c r="F1" s="3152"/>
      <c r="G1" s="3152"/>
      <c r="H1" s="3152"/>
      <c r="I1" s="510"/>
      <c r="J1" s="3152" t="s">
        <v>1999</v>
      </c>
      <c r="K1" s="3152"/>
      <c r="L1" s="3152"/>
      <c r="M1" s="3152"/>
      <c r="N1" s="3152"/>
      <c r="O1" s="3152"/>
      <c r="P1" s="3152"/>
    </row>
    <row r="2" spans="1:16" ht="16.5" thickBot="1" x14ac:dyDescent="0.25">
      <c r="A2" s="295"/>
      <c r="B2" s="754"/>
      <c r="C2" s="754"/>
      <c r="D2" s="754"/>
      <c r="E2" s="754"/>
      <c r="F2" s="754"/>
      <c r="G2" s="754"/>
      <c r="H2" s="1983" t="s">
        <v>1549</v>
      </c>
      <c r="I2" s="510"/>
      <c r="J2" s="755"/>
      <c r="K2" s="755"/>
      <c r="L2" s="755"/>
      <c r="M2" s="755"/>
      <c r="N2" s="755"/>
      <c r="O2" s="755"/>
      <c r="P2" s="1983" t="s">
        <v>1549</v>
      </c>
    </row>
    <row r="3" spans="1:16" ht="14.45" customHeight="1" x14ac:dyDescent="0.2">
      <c r="A3" s="295"/>
      <c r="B3" s="3153" t="s">
        <v>408</v>
      </c>
      <c r="C3" s="514" t="s">
        <v>76</v>
      </c>
      <c r="D3" s="3187" t="s">
        <v>77</v>
      </c>
      <c r="E3" s="3188"/>
      <c r="F3" s="3156" t="s">
        <v>78</v>
      </c>
      <c r="G3" s="3160"/>
      <c r="H3" s="3188"/>
      <c r="I3" s="510"/>
      <c r="J3" s="3153" t="s">
        <v>408</v>
      </c>
      <c r="K3" s="514" t="s">
        <v>76</v>
      </c>
      <c r="L3" s="3187" t="s">
        <v>77</v>
      </c>
      <c r="M3" s="3188"/>
      <c r="N3" s="3156" t="s">
        <v>78</v>
      </c>
      <c r="O3" s="3160"/>
      <c r="P3" s="3188"/>
    </row>
    <row r="4" spans="1:16" ht="14.45" customHeight="1" thickBot="1" x14ac:dyDescent="0.25">
      <c r="A4" s="295"/>
      <c r="B4" s="3154"/>
      <c r="C4" s="515" t="s">
        <v>79</v>
      </c>
      <c r="D4" s="3189"/>
      <c r="E4" s="3190"/>
      <c r="F4" s="3191" t="s">
        <v>1550</v>
      </c>
      <c r="G4" s="3192"/>
      <c r="H4" s="3193"/>
      <c r="I4" s="510"/>
      <c r="J4" s="3154"/>
      <c r="K4" s="515" t="s">
        <v>79</v>
      </c>
      <c r="L4" s="3189"/>
      <c r="M4" s="3190"/>
      <c r="N4" s="3191" t="s">
        <v>1550</v>
      </c>
      <c r="O4" s="3192"/>
      <c r="P4" s="3193"/>
    </row>
    <row r="5" spans="1:16" ht="14.45" customHeight="1" x14ac:dyDescent="0.2">
      <c r="A5" s="295"/>
      <c r="B5" s="3154"/>
      <c r="C5" s="515" t="s">
        <v>843</v>
      </c>
      <c r="D5" s="3158" t="s">
        <v>1903</v>
      </c>
      <c r="E5" s="3158" t="s">
        <v>1998</v>
      </c>
      <c r="F5" s="3153">
        <v>2022</v>
      </c>
      <c r="G5" s="3153">
        <v>2023</v>
      </c>
      <c r="H5" s="3153" t="s">
        <v>80</v>
      </c>
      <c r="I5" s="510"/>
      <c r="J5" s="3154"/>
      <c r="K5" s="515" t="s">
        <v>843</v>
      </c>
      <c r="L5" s="3158" t="s">
        <v>1903</v>
      </c>
      <c r="M5" s="3158" t="s">
        <v>1998</v>
      </c>
      <c r="N5" s="3153">
        <v>2022</v>
      </c>
      <c r="O5" s="3153">
        <v>2023</v>
      </c>
      <c r="P5" s="3153" t="s">
        <v>80</v>
      </c>
    </row>
    <row r="6" spans="1:16" ht="14.45" customHeight="1" thickBot="1" x14ac:dyDescent="0.25">
      <c r="A6" s="295"/>
      <c r="B6" s="3155"/>
      <c r="C6" s="1981" t="s">
        <v>1551</v>
      </c>
      <c r="D6" s="3170"/>
      <c r="E6" s="3170"/>
      <c r="F6" s="3155"/>
      <c r="G6" s="3155"/>
      <c r="H6" s="3155"/>
      <c r="I6" s="510"/>
      <c r="J6" s="3155"/>
      <c r="K6" s="1981" t="s">
        <v>1551</v>
      </c>
      <c r="L6" s="3170"/>
      <c r="M6" s="3170"/>
      <c r="N6" s="3155"/>
      <c r="O6" s="3155"/>
      <c r="P6" s="3155"/>
    </row>
    <row r="7" spans="1:16" ht="14.45" customHeight="1" x14ac:dyDescent="0.2">
      <c r="A7" s="295"/>
      <c r="B7" s="756"/>
      <c r="C7" s="529"/>
      <c r="D7" s="757"/>
      <c r="E7" s="757"/>
      <c r="F7" s="757"/>
      <c r="G7" s="757"/>
      <c r="H7" s="757"/>
      <c r="I7" s="510"/>
      <c r="J7" s="756"/>
      <c r="K7" s="529"/>
      <c r="L7" s="757"/>
      <c r="M7" s="757"/>
      <c r="N7" s="757"/>
      <c r="O7" s="757"/>
      <c r="P7" s="757"/>
    </row>
    <row r="8" spans="1:16" ht="14.45" customHeight="1" x14ac:dyDescent="0.2">
      <c r="A8" s="295"/>
      <c r="B8" s="1330" t="s">
        <v>410</v>
      </c>
      <c r="C8" s="734">
        <v>1680780</v>
      </c>
      <c r="D8" s="1331">
        <v>1187</v>
      </c>
      <c r="E8" s="1331">
        <v>447.7</v>
      </c>
      <c r="F8" s="1331">
        <v>1995.0858599999999</v>
      </c>
      <c r="G8" s="1332">
        <v>752.48520599999995</v>
      </c>
      <c r="H8" s="1331">
        <v>-62.283066554338674</v>
      </c>
      <c r="I8" s="510"/>
      <c r="J8" s="1330" t="s">
        <v>410</v>
      </c>
      <c r="K8" s="734">
        <v>1680780</v>
      </c>
      <c r="L8" s="1331">
        <v>1187</v>
      </c>
      <c r="M8" s="1331">
        <v>447.7</v>
      </c>
      <c r="N8" s="1331">
        <v>1995.0858599999999</v>
      </c>
      <c r="O8" s="1332">
        <v>752.48520599999995</v>
      </c>
      <c r="P8" s="1331">
        <v>-62.283066554338674</v>
      </c>
    </row>
    <row r="9" spans="1:16" ht="14.45" customHeight="1" x14ac:dyDescent="0.2">
      <c r="A9" s="295"/>
      <c r="B9" s="1330" t="s">
        <v>411</v>
      </c>
      <c r="C9" s="601">
        <v>565848</v>
      </c>
      <c r="D9" s="1331">
        <v>262942.39999999997</v>
      </c>
      <c r="E9" s="1331">
        <v>257240.5</v>
      </c>
      <c r="F9" s="1331">
        <v>148785.43115519997</v>
      </c>
      <c r="G9" s="1332">
        <v>145559.022444</v>
      </c>
      <c r="H9" s="1331">
        <v>-2.1684977394288438</v>
      </c>
      <c r="I9" s="510"/>
      <c r="J9" s="1330" t="s">
        <v>411</v>
      </c>
      <c r="K9" s="601">
        <v>565848</v>
      </c>
      <c r="L9" s="1331">
        <v>262942.39999999997</v>
      </c>
      <c r="M9" s="1331">
        <v>257240.5</v>
      </c>
      <c r="N9" s="1331">
        <v>148785.43115519997</v>
      </c>
      <c r="O9" s="1332">
        <v>145559.022444</v>
      </c>
      <c r="P9" s="1331">
        <v>-2.1684977394288438</v>
      </c>
    </row>
    <row r="10" spans="1:16" ht="14.45" customHeight="1" x14ac:dyDescent="0.2">
      <c r="A10" s="295"/>
      <c r="B10" s="1330" t="s">
        <v>1173</v>
      </c>
      <c r="C10" s="601">
        <v>510083</v>
      </c>
      <c r="D10" s="1331">
        <v>42559.573999999993</v>
      </c>
      <c r="E10" s="1331">
        <v>51219.020000000004</v>
      </c>
      <c r="F10" s="1331">
        <v>21708.915184641999</v>
      </c>
      <c r="G10" s="1332">
        <v>26125.951378660004</v>
      </c>
      <c r="H10" s="1331">
        <v>20.346646326864089</v>
      </c>
      <c r="I10" s="510"/>
      <c r="J10" s="1330" t="s">
        <v>1169</v>
      </c>
      <c r="K10" s="601">
        <v>510083</v>
      </c>
      <c r="L10" s="1331">
        <v>42559.573999999993</v>
      </c>
      <c r="M10" s="1331">
        <v>51219.020000000004</v>
      </c>
      <c r="N10" s="1331">
        <v>21708.915184641999</v>
      </c>
      <c r="O10" s="1332">
        <v>26125.951378660004</v>
      </c>
      <c r="P10" s="1331">
        <v>20.346646326864089</v>
      </c>
    </row>
    <row r="11" spans="1:16" ht="14.45" customHeight="1" x14ac:dyDescent="0.2">
      <c r="A11" s="295"/>
      <c r="B11" s="1330" t="s">
        <v>1171</v>
      </c>
      <c r="C11" s="601">
        <v>506221</v>
      </c>
      <c r="D11" s="1331">
        <v>16354.747600000001</v>
      </c>
      <c r="E11" s="1331">
        <v>15758.400000000001</v>
      </c>
      <c r="F11" s="1331">
        <v>8279.1166848196008</v>
      </c>
      <c r="G11" s="1332">
        <v>7977.2330064000007</v>
      </c>
      <c r="H11" s="1331">
        <v>-3.6463271374484663</v>
      </c>
      <c r="I11" s="510"/>
      <c r="J11" s="1330" t="s">
        <v>211</v>
      </c>
      <c r="K11" s="601">
        <v>506221</v>
      </c>
      <c r="L11" s="1331">
        <v>16354.747600000001</v>
      </c>
      <c r="M11" s="1331">
        <v>15758.400000000001</v>
      </c>
      <c r="N11" s="1331">
        <v>8279.1166848196008</v>
      </c>
      <c r="O11" s="1332">
        <v>7977.2330064000007</v>
      </c>
      <c r="P11" s="1331">
        <v>-3.6463271374484663</v>
      </c>
    </row>
    <row r="12" spans="1:16" ht="14.45" customHeight="1" x14ac:dyDescent="0.2">
      <c r="A12" s="295"/>
      <c r="B12" s="1330" t="s">
        <v>81</v>
      </c>
      <c r="C12" s="601">
        <v>1170013</v>
      </c>
      <c r="D12" s="1331">
        <v>17554.041279999998</v>
      </c>
      <c r="E12" s="1331">
        <v>18779.8</v>
      </c>
      <c r="F12" s="1331">
        <v>20538.456500136639</v>
      </c>
      <c r="G12" s="1332">
        <v>21972.610137399999</v>
      </c>
      <c r="H12" s="1331">
        <v>6.9827722314664555</v>
      </c>
      <c r="I12" s="510"/>
      <c r="J12" s="1330" t="s">
        <v>81</v>
      </c>
      <c r="K12" s="601">
        <v>1170013</v>
      </c>
      <c r="L12" s="1331">
        <v>17554.041279999998</v>
      </c>
      <c r="M12" s="1331">
        <v>18779.8</v>
      </c>
      <c r="N12" s="1331">
        <v>20538.456500136639</v>
      </c>
      <c r="O12" s="1332">
        <v>21972.610137399999</v>
      </c>
      <c r="P12" s="1331">
        <v>6.9827722314664555</v>
      </c>
    </row>
    <row r="13" spans="1:16" ht="14.45" customHeight="1" x14ac:dyDescent="0.2">
      <c r="A13" s="295"/>
      <c r="B13" s="1330" t="s">
        <v>87</v>
      </c>
      <c r="C13" s="601">
        <v>1170013</v>
      </c>
      <c r="D13" s="1331">
        <v>3367.1451200000001</v>
      </c>
      <c r="E13" s="1331">
        <v>2336.1999999999998</v>
      </c>
      <c r="F13" s="1331">
        <v>3939.6035632865601</v>
      </c>
      <c r="G13" s="1332">
        <v>2733.3843705999998</v>
      </c>
      <c r="H13" s="1331">
        <v>-30.617781035823015</v>
      </c>
      <c r="I13" s="510"/>
      <c r="J13" s="1330" t="s">
        <v>87</v>
      </c>
      <c r="K13" s="601">
        <v>1170013</v>
      </c>
      <c r="L13" s="1331">
        <v>3367.1451200000001</v>
      </c>
      <c r="M13" s="1331">
        <v>2336.1999999999998</v>
      </c>
      <c r="N13" s="1331">
        <v>3939.6035632865601</v>
      </c>
      <c r="O13" s="1332">
        <v>2733.3843705999998</v>
      </c>
      <c r="P13" s="1331">
        <v>-30.617781035823015</v>
      </c>
    </row>
    <row r="14" spans="1:16" ht="14.45" customHeight="1" x14ac:dyDescent="0.2">
      <c r="A14" s="295"/>
      <c r="B14" s="1330" t="s">
        <v>429</v>
      </c>
      <c r="C14" s="601">
        <v>445559</v>
      </c>
      <c r="D14" s="1331">
        <v>701.75</v>
      </c>
      <c r="E14" s="1331">
        <v>432.5</v>
      </c>
      <c r="F14" s="1331">
        <v>312.67102825000001</v>
      </c>
      <c r="G14" s="1332">
        <v>192.70426749999999</v>
      </c>
      <c r="H14" s="1331">
        <v>-38.36836480228002</v>
      </c>
      <c r="I14" s="510"/>
      <c r="J14" s="1330" t="s">
        <v>429</v>
      </c>
      <c r="K14" s="601">
        <v>445559</v>
      </c>
      <c r="L14" s="1331">
        <v>701.75</v>
      </c>
      <c r="M14" s="1331">
        <v>432.5</v>
      </c>
      <c r="N14" s="1331">
        <v>312.67102825000001</v>
      </c>
      <c r="O14" s="1332">
        <v>192.70426749999999</v>
      </c>
      <c r="P14" s="1331">
        <v>-38.36836480228002</v>
      </c>
    </row>
    <row r="15" spans="1:16" ht="14.45" customHeight="1" x14ac:dyDescent="0.2">
      <c r="A15" s="295"/>
      <c r="B15" s="1330" t="s">
        <v>431</v>
      </c>
      <c r="C15" s="601">
        <v>4200000</v>
      </c>
      <c r="D15" s="1331">
        <v>0</v>
      </c>
      <c r="E15" s="1331">
        <v>0</v>
      </c>
      <c r="F15" s="1331">
        <v>0</v>
      </c>
      <c r="G15" s="1332">
        <v>0</v>
      </c>
      <c r="H15" s="1331" t="e">
        <v>#DIV/0!</v>
      </c>
      <c r="I15" s="510"/>
      <c r="J15" s="1330" t="s">
        <v>431</v>
      </c>
      <c r="K15" s="601">
        <v>4200000</v>
      </c>
      <c r="L15" s="1331">
        <v>0</v>
      </c>
      <c r="M15" s="1331">
        <v>0</v>
      </c>
      <c r="N15" s="1331">
        <v>0</v>
      </c>
      <c r="O15" s="1332">
        <v>0</v>
      </c>
      <c r="P15" s="1331" t="e">
        <v>#DIV/0!</v>
      </c>
    </row>
    <row r="16" spans="1:16" ht="14.45" customHeight="1" x14ac:dyDescent="0.2">
      <c r="A16" s="295"/>
      <c r="B16" s="1330" t="s">
        <v>430</v>
      </c>
      <c r="C16" s="601">
        <v>829088</v>
      </c>
      <c r="D16" s="1331">
        <v>0</v>
      </c>
      <c r="E16" s="1331">
        <v>0</v>
      </c>
      <c r="F16" s="1331">
        <v>0</v>
      </c>
      <c r="G16" s="1332">
        <v>0</v>
      </c>
      <c r="H16" s="1331" t="e">
        <v>#DIV/0!</v>
      </c>
      <c r="I16" s="510"/>
      <c r="J16" s="1330" t="s">
        <v>430</v>
      </c>
      <c r="K16" s="601">
        <v>829088</v>
      </c>
      <c r="L16" s="1331">
        <v>0</v>
      </c>
      <c r="M16" s="1331">
        <v>0</v>
      </c>
      <c r="N16" s="1331">
        <v>0</v>
      </c>
      <c r="O16" s="1332">
        <v>0</v>
      </c>
      <c r="P16" s="1331" t="e">
        <v>#DIV/0!</v>
      </c>
    </row>
    <row r="17" spans="1:16" ht="14.45" customHeight="1" x14ac:dyDescent="0.2">
      <c r="A17" s="295"/>
      <c r="B17" s="1315" t="s">
        <v>88</v>
      </c>
      <c r="C17" s="1333"/>
      <c r="D17" s="1334">
        <v>344666.65799999994</v>
      </c>
      <c r="E17" s="1334">
        <v>346214.12000000005</v>
      </c>
      <c r="F17" s="1334">
        <v>205559.27997633477</v>
      </c>
      <c r="G17" s="1334">
        <v>205313.39081056</v>
      </c>
      <c r="H17" s="1334">
        <v>-0.11961958895901148</v>
      </c>
      <c r="I17" s="510"/>
      <c r="J17" s="1315" t="s">
        <v>88</v>
      </c>
      <c r="K17" s="1333"/>
      <c r="L17" s="1334">
        <v>344666.65799999994</v>
      </c>
      <c r="M17" s="1334">
        <v>346214.12000000005</v>
      </c>
      <c r="N17" s="1334">
        <v>205559.27997633477</v>
      </c>
      <c r="O17" s="1334">
        <v>205313.39081056</v>
      </c>
      <c r="P17" s="1334">
        <v>-0.11961958895901148</v>
      </c>
    </row>
    <row r="18" spans="1:16" ht="14.45" customHeight="1" x14ac:dyDescent="0.2">
      <c r="A18" s="295"/>
      <c r="B18" s="1330" t="s">
        <v>413</v>
      </c>
      <c r="C18" s="601">
        <v>269569</v>
      </c>
      <c r="D18" s="1331">
        <v>8051.405999999999</v>
      </c>
      <c r="E18" s="1331">
        <v>8780</v>
      </c>
      <c r="F18" s="1331">
        <v>2170.4094640140002</v>
      </c>
      <c r="G18" s="1332">
        <v>2366.8158199999998</v>
      </c>
      <c r="H18" s="1331">
        <v>9.0492766108180263</v>
      </c>
      <c r="I18" s="510"/>
      <c r="J18" s="1330" t="s">
        <v>413</v>
      </c>
      <c r="K18" s="601">
        <v>269569</v>
      </c>
      <c r="L18" s="1331">
        <v>8051.405999999999</v>
      </c>
      <c r="M18" s="1331">
        <v>8780</v>
      </c>
      <c r="N18" s="1331">
        <v>2170.4094640140002</v>
      </c>
      <c r="O18" s="1332">
        <v>2366.8158199999998</v>
      </c>
      <c r="P18" s="1331">
        <v>9.0492766108180263</v>
      </c>
    </row>
    <row r="19" spans="1:16" ht="14.45" customHeight="1" x14ac:dyDescent="0.2">
      <c r="A19" s="295"/>
      <c r="B19" s="1330" t="s">
        <v>412</v>
      </c>
      <c r="C19" s="601">
        <v>1497959</v>
      </c>
      <c r="D19" s="1331">
        <v>3044.0492800000002</v>
      </c>
      <c r="E19" s="1331">
        <v>4696.0025000000005</v>
      </c>
      <c r="F19" s="1331">
        <v>4559.8610154195203</v>
      </c>
      <c r="G19" s="1332">
        <v>7034.4192088975005</v>
      </c>
      <c r="H19" s="1331">
        <v>54.268281096947277</v>
      </c>
      <c r="I19" s="510"/>
      <c r="J19" s="1330" t="s">
        <v>412</v>
      </c>
      <c r="K19" s="601">
        <v>1497959</v>
      </c>
      <c r="L19" s="1331">
        <v>3044.0492800000002</v>
      </c>
      <c r="M19" s="1331">
        <v>4696.0025000000005</v>
      </c>
      <c r="N19" s="1331">
        <v>4559.8610154195203</v>
      </c>
      <c r="O19" s="1332">
        <v>7034.4192088975005</v>
      </c>
      <c r="P19" s="1331">
        <v>54.268281096947277</v>
      </c>
    </row>
    <row r="20" spans="1:16" ht="14.45" customHeight="1" x14ac:dyDescent="0.2">
      <c r="A20" s="295"/>
      <c r="B20" s="1330" t="s">
        <v>417</v>
      </c>
      <c r="C20" s="601">
        <v>667937</v>
      </c>
      <c r="D20" s="1331">
        <v>3260.6499999999996</v>
      </c>
      <c r="E20" s="1331">
        <v>3766.5</v>
      </c>
      <c r="F20" s="1331">
        <v>2177.9087790499998</v>
      </c>
      <c r="G20" s="1332">
        <v>2515.7847105000001</v>
      </c>
      <c r="H20" s="1331">
        <v>15.513777927713804</v>
      </c>
      <c r="I20" s="510"/>
      <c r="J20" s="1330" t="s">
        <v>417</v>
      </c>
      <c r="K20" s="601">
        <v>667937</v>
      </c>
      <c r="L20" s="1331">
        <v>3260.6499999999996</v>
      </c>
      <c r="M20" s="1331">
        <v>3766.5</v>
      </c>
      <c r="N20" s="1331">
        <v>2177.9087790499998</v>
      </c>
      <c r="O20" s="1332">
        <v>2515.7847105000001</v>
      </c>
      <c r="P20" s="1331">
        <v>15.513777927713804</v>
      </c>
    </row>
    <row r="21" spans="1:16" ht="14.45" customHeight="1" x14ac:dyDescent="0.2">
      <c r="A21" s="295"/>
      <c r="B21" s="1330" t="s">
        <v>89</v>
      </c>
      <c r="C21" s="601">
        <v>697473</v>
      </c>
      <c r="D21" s="1331">
        <v>9626.8590000000004</v>
      </c>
      <c r="E21" s="1331">
        <v>5834.9699999999993</v>
      </c>
      <c r="F21" s="1331">
        <v>6714.4742273070005</v>
      </c>
      <c r="G21" s="1332">
        <v>4069.7340308099992</v>
      </c>
      <c r="H21" s="1331">
        <v>-39.388641715849396</v>
      </c>
      <c r="I21" s="510"/>
      <c r="J21" s="1330" t="s">
        <v>89</v>
      </c>
      <c r="K21" s="601">
        <v>697473</v>
      </c>
      <c r="L21" s="1331">
        <v>9626.8590000000004</v>
      </c>
      <c r="M21" s="1331">
        <v>5834.9699999999993</v>
      </c>
      <c r="N21" s="1331">
        <v>6714.4742273070005</v>
      </c>
      <c r="O21" s="1332">
        <v>4069.7340308099992</v>
      </c>
      <c r="P21" s="1331">
        <v>-39.388641715849396</v>
      </c>
    </row>
    <row r="22" spans="1:16" ht="14.45" customHeight="1" x14ac:dyDescent="0.2">
      <c r="A22" s="295"/>
      <c r="B22" s="1330" t="s">
        <v>90</v>
      </c>
      <c r="C22" s="601">
        <v>724820</v>
      </c>
      <c r="D22" s="1331">
        <v>633.61</v>
      </c>
      <c r="E22" s="1331">
        <v>775</v>
      </c>
      <c r="F22" s="1331">
        <v>459.25320019999998</v>
      </c>
      <c r="G22" s="1332">
        <v>561.7355</v>
      </c>
      <c r="H22" s="1331">
        <v>22.314988715455897</v>
      </c>
      <c r="I22" s="510"/>
      <c r="J22" s="1330" t="s">
        <v>90</v>
      </c>
      <c r="K22" s="601">
        <v>724820</v>
      </c>
      <c r="L22" s="1331">
        <v>633.61</v>
      </c>
      <c r="M22" s="1331">
        <v>775</v>
      </c>
      <c r="N22" s="1331">
        <v>459.25320019999998</v>
      </c>
      <c r="O22" s="1332">
        <v>561.7355</v>
      </c>
      <c r="P22" s="1331">
        <v>22.314988715455897</v>
      </c>
    </row>
    <row r="23" spans="1:16" ht="14.45" customHeight="1" x14ac:dyDescent="0.2">
      <c r="A23" s="295"/>
      <c r="B23" s="1330" t="s">
        <v>423</v>
      </c>
      <c r="C23" s="601">
        <v>402500</v>
      </c>
      <c r="D23" s="1331">
        <v>18241.059999999998</v>
      </c>
      <c r="E23" s="1331">
        <v>17654</v>
      </c>
      <c r="F23" s="1331">
        <v>7342.0266499999989</v>
      </c>
      <c r="G23" s="1332">
        <v>7105.7349999999997</v>
      </c>
      <c r="H23" s="1331">
        <v>-3.2183436708173616</v>
      </c>
      <c r="I23" s="510"/>
      <c r="J23" s="1330" t="s">
        <v>423</v>
      </c>
      <c r="K23" s="601">
        <v>402500</v>
      </c>
      <c r="L23" s="1331">
        <v>18241.059999999998</v>
      </c>
      <c r="M23" s="1331">
        <v>17654</v>
      </c>
      <c r="N23" s="1331">
        <v>7342.0266499999989</v>
      </c>
      <c r="O23" s="1332">
        <v>7105.7349999999997</v>
      </c>
      <c r="P23" s="1331">
        <v>-3.2183436708173616</v>
      </c>
    </row>
    <row r="24" spans="1:16" ht="14.45" customHeight="1" x14ac:dyDescent="0.2">
      <c r="A24" s="295"/>
      <c r="B24" s="1330" t="s">
        <v>424</v>
      </c>
      <c r="C24" s="601">
        <v>529416</v>
      </c>
      <c r="D24" s="1331">
        <v>251.39999999999998</v>
      </c>
      <c r="E24" s="1331">
        <v>330.5</v>
      </c>
      <c r="F24" s="1331">
        <v>133.0951824</v>
      </c>
      <c r="G24" s="1332">
        <v>174.97198800000001</v>
      </c>
      <c r="H24" s="1331">
        <v>31.463802704852839</v>
      </c>
      <c r="I24" s="510"/>
      <c r="J24" s="1330" t="s">
        <v>424</v>
      </c>
      <c r="K24" s="601">
        <v>529416</v>
      </c>
      <c r="L24" s="1331">
        <v>251.39999999999998</v>
      </c>
      <c r="M24" s="1331">
        <v>330.5</v>
      </c>
      <c r="N24" s="1331">
        <v>133.0951824</v>
      </c>
      <c r="O24" s="1332">
        <v>174.97198800000001</v>
      </c>
      <c r="P24" s="1331">
        <v>31.463802704852839</v>
      </c>
    </row>
    <row r="25" spans="1:16" ht="14.45" customHeight="1" x14ac:dyDescent="0.2">
      <c r="A25" s="295"/>
      <c r="B25" s="1330" t="s">
        <v>91</v>
      </c>
      <c r="C25" s="601">
        <v>226875</v>
      </c>
      <c r="D25" s="1331">
        <v>3096.0499999999997</v>
      </c>
      <c r="E25" s="1331">
        <v>2641.3</v>
      </c>
      <c r="F25" s="1331">
        <v>702.4163437499999</v>
      </c>
      <c r="G25" s="1332">
        <v>599.24493749999999</v>
      </c>
      <c r="H25" s="1331">
        <v>-14.688070283102647</v>
      </c>
      <c r="I25" s="510"/>
      <c r="J25" s="1330" t="s">
        <v>91</v>
      </c>
      <c r="K25" s="601">
        <v>226875</v>
      </c>
      <c r="L25" s="1331">
        <v>3096.0499999999997</v>
      </c>
      <c r="M25" s="1331">
        <v>2641.3</v>
      </c>
      <c r="N25" s="1331">
        <v>702.4163437499999</v>
      </c>
      <c r="O25" s="1332">
        <v>599.24493749999999</v>
      </c>
      <c r="P25" s="1331">
        <v>-14.688070283102647</v>
      </c>
    </row>
    <row r="26" spans="1:16" ht="14.45" customHeight="1" x14ac:dyDescent="0.2">
      <c r="A26" s="295"/>
      <c r="B26" s="1330" t="s">
        <v>427</v>
      </c>
      <c r="C26" s="601">
        <v>702692</v>
      </c>
      <c r="D26" s="1331">
        <v>2298.6</v>
      </c>
      <c r="E26" s="1331">
        <v>2836</v>
      </c>
      <c r="F26" s="1331">
        <v>1615.2078312000001</v>
      </c>
      <c r="G26" s="1332">
        <v>1992.8345119999999</v>
      </c>
      <c r="H26" s="1331">
        <v>23.379448359871205</v>
      </c>
      <c r="I26" s="510"/>
      <c r="J26" s="1330" t="s">
        <v>427</v>
      </c>
      <c r="K26" s="601">
        <v>702692</v>
      </c>
      <c r="L26" s="1331">
        <v>2298.6</v>
      </c>
      <c r="M26" s="1331">
        <v>2836</v>
      </c>
      <c r="N26" s="1331">
        <v>1615.2078312000001</v>
      </c>
      <c r="O26" s="1332">
        <v>1992.8345119999999</v>
      </c>
      <c r="P26" s="1331">
        <v>23.379448359871205</v>
      </c>
    </row>
    <row r="27" spans="1:16" ht="14.45" customHeight="1" x14ac:dyDescent="0.2">
      <c r="A27" s="295"/>
      <c r="B27" s="1330" t="s">
        <v>428</v>
      </c>
      <c r="C27" s="601">
        <v>365031</v>
      </c>
      <c r="D27" s="1331">
        <v>4086.16</v>
      </c>
      <c r="E27" s="1331">
        <v>3909.5</v>
      </c>
      <c r="F27" s="1331">
        <v>1491.5750709599999</v>
      </c>
      <c r="G27" s="1332">
        <v>1427.0886945</v>
      </c>
      <c r="H27" s="1331">
        <v>-4.3233745129901848</v>
      </c>
      <c r="I27" s="510"/>
      <c r="J27" s="1330" t="s">
        <v>428</v>
      </c>
      <c r="K27" s="601">
        <v>365031</v>
      </c>
      <c r="L27" s="1331">
        <v>4086.16</v>
      </c>
      <c r="M27" s="1331">
        <v>3909.5</v>
      </c>
      <c r="N27" s="1331">
        <v>1491.5750709599999</v>
      </c>
      <c r="O27" s="1332">
        <v>1427.0886945</v>
      </c>
      <c r="P27" s="1331">
        <v>-4.3233745129901848</v>
      </c>
    </row>
    <row r="28" spans="1:16" ht="14.45" customHeight="1" x14ac:dyDescent="0.2">
      <c r="A28" s="295"/>
      <c r="B28" s="1330" t="s">
        <v>92</v>
      </c>
      <c r="C28" s="601">
        <v>655297</v>
      </c>
      <c r="D28" s="1331">
        <v>22603.092000000001</v>
      </c>
      <c r="E28" s="1331">
        <v>21684.75</v>
      </c>
      <c r="F28" s="1331">
        <v>14811.738378324002</v>
      </c>
      <c r="G28" s="1332">
        <v>14209.95162075</v>
      </c>
      <c r="H28" s="1331">
        <v>-4.0629043141531298</v>
      </c>
      <c r="I28" s="510"/>
      <c r="J28" s="1330" t="s">
        <v>92</v>
      </c>
      <c r="K28" s="601">
        <v>655297</v>
      </c>
      <c r="L28" s="1331">
        <v>22603.092000000001</v>
      </c>
      <c r="M28" s="1331">
        <v>21684.75</v>
      </c>
      <c r="N28" s="1331">
        <v>14811.738378324002</v>
      </c>
      <c r="O28" s="1332">
        <v>14209.95162075</v>
      </c>
      <c r="P28" s="1331">
        <v>-4.0629043141531298</v>
      </c>
    </row>
    <row r="29" spans="1:16" ht="17.25" customHeight="1" x14ac:dyDescent="0.2">
      <c r="A29" s="295"/>
      <c r="B29" s="1315" t="s">
        <v>93</v>
      </c>
      <c r="C29" s="606"/>
      <c r="D29" s="1334">
        <v>75192.936280000009</v>
      </c>
      <c r="E29" s="1334">
        <v>72908.522500000006</v>
      </c>
      <c r="F29" s="1334">
        <v>42177.966142624522</v>
      </c>
      <c r="G29" s="1334">
        <v>42058.316022957501</v>
      </c>
      <c r="H29" s="1334">
        <v>-0.28367920649000666</v>
      </c>
      <c r="I29" s="510"/>
      <c r="J29" s="1315" t="s">
        <v>93</v>
      </c>
      <c r="K29" s="606"/>
      <c r="L29" s="1334">
        <v>75192.936280000009</v>
      </c>
      <c r="M29" s="1334">
        <v>72908.522500000006</v>
      </c>
      <c r="N29" s="1334">
        <v>42177.966142624522</v>
      </c>
      <c r="O29" s="1334">
        <v>42058.316022957501</v>
      </c>
      <c r="P29" s="1334">
        <v>-0.28367920649000666</v>
      </c>
    </row>
    <row r="30" spans="1:16" ht="14.45" customHeight="1" x14ac:dyDescent="0.2">
      <c r="A30" s="295"/>
      <c r="B30" s="1330" t="s">
        <v>1556</v>
      </c>
      <c r="C30" s="601">
        <v>2244245</v>
      </c>
      <c r="D30" s="1331">
        <v>252.63</v>
      </c>
      <c r="E30" s="1331">
        <v>337.4</v>
      </c>
      <c r="F30" s="1331">
        <v>566.96361435000006</v>
      </c>
      <c r="G30" s="1332">
        <v>757.20826299999999</v>
      </c>
      <c r="H30" s="1331">
        <v>33.5550013854253</v>
      </c>
      <c r="I30" s="510"/>
      <c r="J30" s="1330" t="s">
        <v>94</v>
      </c>
      <c r="K30" s="601">
        <v>2244245</v>
      </c>
      <c r="L30" s="1331">
        <v>252.63</v>
      </c>
      <c r="M30" s="1331">
        <v>337.4</v>
      </c>
      <c r="N30" s="1331">
        <v>566.96361435000006</v>
      </c>
      <c r="O30" s="1332">
        <v>757.20826299999999</v>
      </c>
      <c r="P30" s="1331">
        <v>33.5550013854253</v>
      </c>
    </row>
    <row r="31" spans="1:16" ht="14.45" customHeight="1" x14ac:dyDescent="0.2">
      <c r="A31" s="295"/>
      <c r="B31" s="1330" t="s">
        <v>906</v>
      </c>
      <c r="C31" s="601">
        <v>548918</v>
      </c>
      <c r="D31" s="1331">
        <v>3719.5389999999998</v>
      </c>
      <c r="E31" s="1331">
        <v>5976.1</v>
      </c>
      <c r="F31" s="1331">
        <v>2041.7219088019999</v>
      </c>
      <c r="G31" s="1332">
        <v>3280.3888598000003</v>
      </c>
      <c r="H31" s="1331">
        <v>60.667760171354587</v>
      </c>
      <c r="I31" s="510"/>
      <c r="J31" s="1330" t="s">
        <v>906</v>
      </c>
      <c r="K31" s="601">
        <v>548918</v>
      </c>
      <c r="L31" s="1331">
        <v>3719.5389999999998</v>
      </c>
      <c r="M31" s="1331">
        <v>5976.1</v>
      </c>
      <c r="N31" s="1331">
        <v>2041.7219088019999</v>
      </c>
      <c r="O31" s="1332">
        <v>3280.3888598000003</v>
      </c>
      <c r="P31" s="1331">
        <v>60.667760171354587</v>
      </c>
    </row>
    <row r="32" spans="1:16" ht="14.45" customHeight="1" x14ac:dyDescent="0.2">
      <c r="A32" s="295"/>
      <c r="B32" s="1330" t="s">
        <v>1557</v>
      </c>
      <c r="C32" s="601">
        <v>637616</v>
      </c>
      <c r="D32" s="1331">
        <v>3098.34</v>
      </c>
      <c r="E32" s="1331">
        <v>4061.1</v>
      </c>
      <c r="F32" s="1331">
        <v>1975.55115744</v>
      </c>
      <c r="G32" s="1332">
        <v>2589.4223376</v>
      </c>
      <c r="H32" s="1331">
        <v>31.073413505296372</v>
      </c>
      <c r="I32" s="510"/>
      <c r="J32" s="1330" t="s">
        <v>95</v>
      </c>
      <c r="K32" s="601">
        <v>637616</v>
      </c>
      <c r="L32" s="1331">
        <v>3098.34</v>
      </c>
      <c r="M32" s="1331">
        <v>4061.1</v>
      </c>
      <c r="N32" s="1331">
        <v>1975.55115744</v>
      </c>
      <c r="O32" s="1332">
        <v>2589.4223376</v>
      </c>
      <c r="P32" s="1331">
        <v>31.073413505296372</v>
      </c>
    </row>
    <row r="33" spans="1:16" ht="14.45" customHeight="1" x14ac:dyDescent="0.2">
      <c r="A33" s="295"/>
      <c r="B33" s="1330" t="s">
        <v>908</v>
      </c>
      <c r="C33" s="601">
        <v>317670</v>
      </c>
      <c r="D33" s="1331">
        <v>28910.989999999998</v>
      </c>
      <c r="E33" s="1331">
        <v>38765</v>
      </c>
      <c r="F33" s="1331">
        <v>9184.154193299999</v>
      </c>
      <c r="G33" s="1332">
        <v>12314.47755</v>
      </c>
      <c r="H33" s="1331">
        <v>34.083959075770139</v>
      </c>
      <c r="I33" s="510"/>
      <c r="J33" s="1330" t="s">
        <v>908</v>
      </c>
      <c r="K33" s="601">
        <v>317670</v>
      </c>
      <c r="L33" s="1331">
        <v>28910.989999999998</v>
      </c>
      <c r="M33" s="1331">
        <v>38765</v>
      </c>
      <c r="N33" s="1331">
        <v>9184.154193299999</v>
      </c>
      <c r="O33" s="1332">
        <v>12314.47755</v>
      </c>
      <c r="P33" s="1331">
        <v>34.083959075770139</v>
      </c>
    </row>
    <row r="34" spans="1:16" ht="14.45" customHeight="1" x14ac:dyDescent="0.2">
      <c r="A34" s="295"/>
      <c r="B34" s="1330" t="s">
        <v>955</v>
      </c>
      <c r="C34" s="601">
        <v>3300000</v>
      </c>
      <c r="D34" s="1331">
        <v>4547.6064999999999</v>
      </c>
      <c r="E34" s="1331">
        <v>5132.1361999999999</v>
      </c>
      <c r="F34" s="1331">
        <v>15007.10145</v>
      </c>
      <c r="G34" s="1332">
        <v>16936.049459999998</v>
      </c>
      <c r="H34" s="1331">
        <v>12.853568135237722</v>
      </c>
      <c r="I34" s="510"/>
      <c r="J34" s="1330" t="s">
        <v>955</v>
      </c>
      <c r="K34" s="601">
        <v>3300000</v>
      </c>
      <c r="L34" s="1331">
        <v>4547.6064999999999</v>
      </c>
      <c r="M34" s="1331">
        <v>5132.1361999999999</v>
      </c>
      <c r="N34" s="1331">
        <v>15007.10145</v>
      </c>
      <c r="O34" s="1332">
        <v>16936.049459999998</v>
      </c>
      <c r="P34" s="1331">
        <v>12.853568135237722</v>
      </c>
    </row>
    <row r="35" spans="1:16" ht="14.45" customHeight="1" x14ac:dyDescent="0.2">
      <c r="A35" s="295"/>
      <c r="B35" s="1330" t="s">
        <v>82</v>
      </c>
      <c r="C35" s="601">
        <v>590020</v>
      </c>
      <c r="D35" s="1331">
        <v>54562.731500000002</v>
      </c>
      <c r="E35" s="1331">
        <v>57840.857499999998</v>
      </c>
      <c r="F35" s="1331">
        <v>32193.102839630003</v>
      </c>
      <c r="G35" s="1332">
        <v>34127.26274215</v>
      </c>
      <c r="H35" s="1331">
        <v>6.0079946694017679</v>
      </c>
      <c r="I35" s="510"/>
      <c r="J35" s="1330" t="s">
        <v>82</v>
      </c>
      <c r="K35" s="601">
        <v>590020</v>
      </c>
      <c r="L35" s="1331">
        <v>54562.731500000002</v>
      </c>
      <c r="M35" s="1331">
        <v>57840.857499999998</v>
      </c>
      <c r="N35" s="1331">
        <v>32193.102839630003</v>
      </c>
      <c r="O35" s="1332">
        <v>34127.26274215</v>
      </c>
      <c r="P35" s="1331">
        <v>6.0079946694017679</v>
      </c>
    </row>
    <row r="36" spans="1:16" ht="14.45" customHeight="1" x14ac:dyDescent="0.2">
      <c r="A36" s="295"/>
      <c r="B36" s="1330" t="s">
        <v>1112</v>
      </c>
      <c r="C36" s="601">
        <v>15000</v>
      </c>
      <c r="D36" s="1331">
        <v>79514.591</v>
      </c>
      <c r="E36" s="1331">
        <v>67460</v>
      </c>
      <c r="F36" s="1331">
        <v>1192.7188650000001</v>
      </c>
      <c r="G36" s="1332">
        <v>1011.9</v>
      </c>
      <c r="H36" s="1331">
        <v>-15.160225121449727</v>
      </c>
      <c r="I36" s="510"/>
      <c r="J36" s="1330" t="s">
        <v>1112</v>
      </c>
      <c r="K36" s="601">
        <v>15000</v>
      </c>
      <c r="L36" s="1331">
        <v>79514.591</v>
      </c>
      <c r="M36" s="1331">
        <v>67460</v>
      </c>
      <c r="N36" s="1331">
        <v>1192.7188650000001</v>
      </c>
      <c r="O36" s="1332">
        <v>1011.9</v>
      </c>
      <c r="P36" s="1331">
        <v>-15.160225121449727</v>
      </c>
    </row>
    <row r="37" spans="1:16" ht="14.45" customHeight="1" x14ac:dyDescent="0.2">
      <c r="A37" s="295"/>
      <c r="B37" s="1330" t="s">
        <v>97</v>
      </c>
      <c r="C37" s="601">
        <v>500153</v>
      </c>
      <c r="D37" s="1331">
        <v>106203.208</v>
      </c>
      <c r="E37" s="1331">
        <v>111631.4464</v>
      </c>
      <c r="F37" s="1331">
        <v>53117.853090823999</v>
      </c>
      <c r="G37" s="1332">
        <v>55832.802811299203</v>
      </c>
      <c r="H37" s="1331">
        <v>5.1111811989709395</v>
      </c>
      <c r="I37" s="510"/>
      <c r="J37" s="1330" t="s">
        <v>97</v>
      </c>
      <c r="K37" s="601">
        <v>500153</v>
      </c>
      <c r="L37" s="1331">
        <v>106203.208</v>
      </c>
      <c r="M37" s="1331">
        <v>111631.4464</v>
      </c>
      <c r="N37" s="1331">
        <v>53117.853090823999</v>
      </c>
      <c r="O37" s="1332">
        <v>55832.802811299203</v>
      </c>
      <c r="P37" s="1331">
        <v>5.1111811989709395</v>
      </c>
    </row>
    <row r="38" spans="1:16" ht="14.45" customHeight="1" x14ac:dyDescent="0.2">
      <c r="A38" s="295"/>
      <c r="B38" s="1330" t="s">
        <v>956</v>
      </c>
      <c r="C38" s="601">
        <v>3545104</v>
      </c>
      <c r="D38" s="1331">
        <v>148043.5442</v>
      </c>
      <c r="E38" s="1331">
        <v>172672.54693302812</v>
      </c>
      <c r="F38" s="1331">
        <v>524829.76071759686</v>
      </c>
      <c r="G38" s="1332">
        <v>612142.13682246569</v>
      </c>
      <c r="H38" s="1331">
        <v>16.636323364263305</v>
      </c>
      <c r="I38" s="510"/>
      <c r="J38" s="1330"/>
      <c r="K38" s="601"/>
      <c r="L38" s="1331"/>
      <c r="M38" s="1293"/>
      <c r="N38" s="1331"/>
      <c r="O38" s="1332"/>
      <c r="P38" s="1331"/>
    </row>
    <row r="39" spans="1:16" ht="14.45" customHeight="1" x14ac:dyDescent="0.2">
      <c r="A39" s="295"/>
      <c r="B39" s="1315" t="s">
        <v>98</v>
      </c>
      <c r="C39" s="1335"/>
      <c r="D39" s="1334">
        <v>428853.1802</v>
      </c>
      <c r="E39" s="1336">
        <v>463876.58703302813</v>
      </c>
      <c r="F39" s="1334">
        <v>640108.92783694284</v>
      </c>
      <c r="G39" s="1334">
        <v>738991.64884631487</v>
      </c>
      <c r="H39" s="1334">
        <v>15.447795946779976</v>
      </c>
      <c r="I39" s="510"/>
      <c r="J39" s="1315" t="s">
        <v>98</v>
      </c>
      <c r="K39" s="1335"/>
      <c r="L39" s="1334">
        <v>280809.636</v>
      </c>
      <c r="M39" s="1336">
        <v>291204.04009999998</v>
      </c>
      <c r="N39" s="1334">
        <v>115279.16711934601</v>
      </c>
      <c r="O39" s="1334">
        <v>126849.51202384919</v>
      </c>
      <c r="P39" s="1334">
        <v>10.036804735520562</v>
      </c>
    </row>
    <row r="40" spans="1:16" ht="14.45" customHeight="1" x14ac:dyDescent="0.2">
      <c r="A40" s="295"/>
      <c r="B40" s="2022"/>
      <c r="C40" s="2023"/>
      <c r="D40" s="2024"/>
      <c r="E40" s="2025"/>
      <c r="F40" s="2024"/>
      <c r="G40" s="2026"/>
      <c r="H40" s="2024"/>
      <c r="I40" s="2027"/>
      <c r="J40" s="2022"/>
      <c r="K40" s="2023"/>
      <c r="L40" s="2024"/>
      <c r="M40" s="2025"/>
      <c r="N40" s="2024"/>
      <c r="O40" s="2026"/>
      <c r="P40" s="2024"/>
    </row>
    <row r="41" spans="1:16" ht="14.45" customHeight="1" x14ac:dyDescent="0.2">
      <c r="A41" s="295"/>
      <c r="B41" s="1330" t="s">
        <v>961</v>
      </c>
      <c r="C41" s="601">
        <v>529657</v>
      </c>
      <c r="D41" s="1331">
        <v>45722.5873546</v>
      </c>
      <c r="E41" s="1331">
        <v>54301.895000000004</v>
      </c>
      <c r="F41" s="1331">
        <v>24217.288450475371</v>
      </c>
      <c r="G41" s="1332">
        <v>28761.378800015002</v>
      </c>
      <c r="H41" s="1331">
        <v>18.763827993511114</v>
      </c>
      <c r="I41" s="510"/>
      <c r="J41" s="1330" t="s">
        <v>961</v>
      </c>
      <c r="K41" s="601">
        <v>529657</v>
      </c>
      <c r="L41" s="1331">
        <v>45722.5873546</v>
      </c>
      <c r="M41" s="1331">
        <v>54301.895000000004</v>
      </c>
      <c r="N41" s="1331">
        <v>24217.288450475371</v>
      </c>
      <c r="O41" s="1332">
        <v>28761.378800015002</v>
      </c>
      <c r="P41" s="1331">
        <v>18.763827993511114</v>
      </c>
    </row>
    <row r="42" spans="1:16" ht="14.45" customHeight="1" x14ac:dyDescent="0.2">
      <c r="A42" s="295"/>
      <c r="B42" s="1330" t="s">
        <v>962</v>
      </c>
      <c r="C42" s="601">
        <v>493505</v>
      </c>
      <c r="D42" s="1331">
        <v>1292.43</v>
      </c>
      <c r="E42" s="1331">
        <v>1570.165</v>
      </c>
      <c r="F42" s="1331">
        <v>637.82066714999996</v>
      </c>
      <c r="G42" s="1332">
        <v>774.88427832499997</v>
      </c>
      <c r="H42" s="1331">
        <v>21.48936499462252</v>
      </c>
      <c r="I42" s="510"/>
      <c r="J42" s="1330" t="s">
        <v>962</v>
      </c>
      <c r="K42" s="601">
        <v>493505</v>
      </c>
      <c r="L42" s="1331">
        <v>1292.43</v>
      </c>
      <c r="M42" s="1331">
        <v>1570.165</v>
      </c>
      <c r="N42" s="1331">
        <v>637.82066714999996</v>
      </c>
      <c r="O42" s="1332">
        <v>774.88427832499997</v>
      </c>
      <c r="P42" s="1331">
        <v>21.48936499462252</v>
      </c>
    </row>
    <row r="43" spans="1:16" ht="14.45" customHeight="1" x14ac:dyDescent="0.2">
      <c r="A43" s="295"/>
      <c r="B43" s="1330" t="s">
        <v>963</v>
      </c>
      <c r="C43" s="601">
        <v>296201</v>
      </c>
      <c r="D43" s="1331">
        <v>21503.080600000001</v>
      </c>
      <c r="E43" s="1331">
        <v>23646.83</v>
      </c>
      <c r="F43" s="1331">
        <v>6369.2339768006004</v>
      </c>
      <c r="G43" s="1332">
        <v>7004.2146928300008</v>
      </c>
      <c r="H43" s="1331">
        <v>9.9694989749515344</v>
      </c>
      <c r="I43" s="510"/>
      <c r="J43" s="1330" t="s">
        <v>963</v>
      </c>
      <c r="K43" s="601">
        <v>296201</v>
      </c>
      <c r="L43" s="1331">
        <v>21503.080600000001</v>
      </c>
      <c r="M43" s="1331">
        <v>23646.83</v>
      </c>
      <c r="N43" s="1331">
        <v>6369.2339768006004</v>
      </c>
      <c r="O43" s="1332">
        <v>7004.2146928300008</v>
      </c>
      <c r="P43" s="1331">
        <v>9.9694989749515344</v>
      </c>
    </row>
    <row r="44" spans="1:16" ht="14.45" customHeight="1" x14ac:dyDescent="0.2">
      <c r="A44" s="295"/>
      <c r="B44" s="1330" t="s">
        <v>964</v>
      </c>
      <c r="C44" s="601">
        <v>768641</v>
      </c>
      <c r="D44" s="1331">
        <v>607.22</v>
      </c>
      <c r="E44" s="1331">
        <v>659</v>
      </c>
      <c r="F44" s="1331">
        <v>466.73418802000003</v>
      </c>
      <c r="G44" s="1332">
        <v>506.53441900000001</v>
      </c>
      <c r="H44" s="1331">
        <v>8.5273871084614967</v>
      </c>
      <c r="I44" s="510"/>
      <c r="J44" s="1330" t="s">
        <v>964</v>
      </c>
      <c r="K44" s="601">
        <v>768641</v>
      </c>
      <c r="L44" s="1331">
        <v>607.22</v>
      </c>
      <c r="M44" s="1331">
        <v>659</v>
      </c>
      <c r="N44" s="1331">
        <v>466.73418802000003</v>
      </c>
      <c r="O44" s="1332">
        <v>506.53441900000001</v>
      </c>
      <c r="P44" s="1331">
        <v>8.5273871084614967</v>
      </c>
    </row>
    <row r="45" spans="1:16" ht="14.45" customHeight="1" x14ac:dyDescent="0.2">
      <c r="A45" s="295"/>
      <c r="B45" s="1330" t="s">
        <v>965</v>
      </c>
      <c r="C45" s="601">
        <v>485446</v>
      </c>
      <c r="D45" s="1331">
        <v>16229.222500000002</v>
      </c>
      <c r="E45" s="1331">
        <v>25700.400000000001</v>
      </c>
      <c r="F45" s="1331">
        <v>7878.4111457350009</v>
      </c>
      <c r="G45" s="1332">
        <v>12476.156378400001</v>
      </c>
      <c r="H45" s="1331">
        <v>58.358787674517345</v>
      </c>
      <c r="I45" s="510"/>
      <c r="J45" s="1330" t="s">
        <v>965</v>
      </c>
      <c r="K45" s="601">
        <v>485446</v>
      </c>
      <c r="L45" s="1331">
        <v>16229.222500000002</v>
      </c>
      <c r="M45" s="1331">
        <v>25700.400000000001</v>
      </c>
      <c r="N45" s="1331">
        <v>7878.4111457350009</v>
      </c>
      <c r="O45" s="1332">
        <v>12476.156378400001</v>
      </c>
      <c r="P45" s="1331">
        <v>58.358787674517345</v>
      </c>
    </row>
    <row r="46" spans="1:16" ht="14.45" customHeight="1" x14ac:dyDescent="0.2">
      <c r="A46" s="295"/>
      <c r="B46" s="1330" t="s">
        <v>966</v>
      </c>
      <c r="C46" s="601">
        <v>701044</v>
      </c>
      <c r="D46" s="1331">
        <v>2577.1499999999996</v>
      </c>
      <c r="E46" s="1331">
        <v>2058.6999999999998</v>
      </c>
      <c r="F46" s="1331">
        <v>1806.6955445999997</v>
      </c>
      <c r="G46" s="1332">
        <v>1443.2392828</v>
      </c>
      <c r="H46" s="1331">
        <v>-20.117183710688153</v>
      </c>
      <c r="I46" s="510"/>
      <c r="J46" s="1330" t="s">
        <v>966</v>
      </c>
      <c r="K46" s="601">
        <v>701044</v>
      </c>
      <c r="L46" s="1331">
        <v>2577.1499999999996</v>
      </c>
      <c r="M46" s="1331">
        <v>2058.6999999999998</v>
      </c>
      <c r="N46" s="1331">
        <v>1806.6955445999997</v>
      </c>
      <c r="O46" s="1332">
        <v>1443.2392828</v>
      </c>
      <c r="P46" s="1331">
        <v>-20.117183710688153</v>
      </c>
    </row>
    <row r="47" spans="1:16" ht="14.45" customHeight="1" x14ac:dyDescent="0.2">
      <c r="A47" s="295"/>
      <c r="B47" s="1330" t="s">
        <v>1499</v>
      </c>
      <c r="C47" s="601">
        <v>1500000</v>
      </c>
      <c r="D47" s="1331">
        <v>875</v>
      </c>
      <c r="E47" s="1331">
        <v>714</v>
      </c>
      <c r="F47" s="1331">
        <v>1312.5</v>
      </c>
      <c r="G47" s="1332">
        <v>1071</v>
      </c>
      <c r="H47" s="1331">
        <v>-18.400000000000006</v>
      </c>
      <c r="I47" s="510"/>
      <c r="J47" s="1330" t="s">
        <v>1499</v>
      </c>
      <c r="K47" s="601">
        <v>1500000</v>
      </c>
      <c r="L47" s="1331">
        <v>875</v>
      </c>
      <c r="M47" s="1331">
        <v>714</v>
      </c>
      <c r="N47" s="1331">
        <v>1312.5</v>
      </c>
      <c r="O47" s="1332">
        <v>1071</v>
      </c>
      <c r="P47" s="1331">
        <v>-18.400000000000006</v>
      </c>
    </row>
    <row r="48" spans="1:16" ht="14.45" customHeight="1" x14ac:dyDescent="0.2">
      <c r="A48" s="295"/>
      <c r="B48" s="1330" t="s">
        <v>816</v>
      </c>
      <c r="C48" s="601">
        <v>701044</v>
      </c>
      <c r="D48" s="1331">
        <v>628.80000000000007</v>
      </c>
      <c r="E48" s="1331">
        <v>884.8</v>
      </c>
      <c r="F48" s="1331">
        <v>440.81646720000003</v>
      </c>
      <c r="G48" s="1332">
        <v>620.28373119999992</v>
      </c>
      <c r="H48" s="1331">
        <v>40.712468193384183</v>
      </c>
      <c r="I48" s="510"/>
      <c r="J48" s="1330" t="s">
        <v>816</v>
      </c>
      <c r="K48" s="601">
        <v>701044</v>
      </c>
      <c r="L48" s="1331">
        <v>628.80000000000007</v>
      </c>
      <c r="M48" s="1331">
        <v>884.8</v>
      </c>
      <c r="N48" s="1331">
        <v>440.81646720000003</v>
      </c>
      <c r="O48" s="1332">
        <v>620.28373119999992</v>
      </c>
      <c r="P48" s="1331">
        <v>40.712468193384183</v>
      </c>
    </row>
    <row r="49" spans="1:16" ht="14.45" customHeight="1" x14ac:dyDescent="0.2">
      <c r="A49" s="295"/>
      <c r="B49" s="1330" t="s">
        <v>967</v>
      </c>
      <c r="C49" s="601">
        <v>424248</v>
      </c>
      <c r="D49" s="1331">
        <v>2616.91</v>
      </c>
      <c r="E49" s="1331">
        <v>2607.06</v>
      </c>
      <c r="F49" s="1331">
        <v>1110.2188336799998</v>
      </c>
      <c r="G49" s="1332">
        <v>1106.0399908799998</v>
      </c>
      <c r="H49" s="1331">
        <v>-0.37639811839153481</v>
      </c>
      <c r="I49" s="510"/>
      <c r="J49" s="1330" t="s">
        <v>967</v>
      </c>
      <c r="K49" s="601">
        <v>424248</v>
      </c>
      <c r="L49" s="1331">
        <v>2616.91</v>
      </c>
      <c r="M49" s="1331">
        <v>2607.06</v>
      </c>
      <c r="N49" s="1331">
        <v>1110.2188336799998</v>
      </c>
      <c r="O49" s="1332">
        <v>1106.0399908799998</v>
      </c>
      <c r="P49" s="1331">
        <v>-0.37639811839153481</v>
      </c>
    </row>
    <row r="50" spans="1:16" ht="14.45" customHeight="1" x14ac:dyDescent="0.2">
      <c r="A50" s="295"/>
      <c r="B50" s="1330" t="s">
        <v>968</v>
      </c>
      <c r="C50" s="601">
        <v>948513</v>
      </c>
      <c r="D50" s="1331">
        <v>7338.5649999999996</v>
      </c>
      <c r="E50" s="1331">
        <v>5124.32</v>
      </c>
      <c r="F50" s="1331">
        <v>6960.7243038449997</v>
      </c>
      <c r="G50" s="1332">
        <v>4860.4841361600002</v>
      </c>
      <c r="H50" s="1331">
        <v>-30.172724504041312</v>
      </c>
      <c r="I50" s="510"/>
      <c r="J50" s="1330" t="s">
        <v>968</v>
      </c>
      <c r="K50" s="601">
        <v>948513</v>
      </c>
      <c r="L50" s="1331">
        <v>7338.5649999999996</v>
      </c>
      <c r="M50" s="1331">
        <v>5124.32</v>
      </c>
      <c r="N50" s="1331">
        <v>6960.7243038449997</v>
      </c>
      <c r="O50" s="1332">
        <v>4860.4841361600002</v>
      </c>
      <c r="P50" s="1331">
        <v>-30.172724504041312</v>
      </c>
    </row>
    <row r="51" spans="1:16" ht="14.45" customHeight="1" x14ac:dyDescent="0.2">
      <c r="A51" s="295"/>
      <c r="B51" s="1330" t="s">
        <v>969</v>
      </c>
      <c r="C51" s="601">
        <v>1120647</v>
      </c>
      <c r="D51" s="1331">
        <v>9288.14</v>
      </c>
      <c r="E51" s="1331">
        <v>10498.4</v>
      </c>
      <c r="F51" s="1331">
        <v>10408.72622658</v>
      </c>
      <c r="G51" s="1332">
        <v>11765.000464799999</v>
      </c>
      <c r="H51" s="1331">
        <v>13.030165350651473</v>
      </c>
      <c r="I51" s="510"/>
      <c r="J51" s="1330" t="s">
        <v>969</v>
      </c>
      <c r="K51" s="601">
        <v>1120647</v>
      </c>
      <c r="L51" s="1331">
        <v>9288.14</v>
      </c>
      <c r="M51" s="1331">
        <v>10498.4</v>
      </c>
      <c r="N51" s="1331">
        <v>10408.72622658</v>
      </c>
      <c r="O51" s="1332">
        <v>11765.000464799999</v>
      </c>
      <c r="P51" s="1331">
        <v>13.030165350651473</v>
      </c>
    </row>
    <row r="52" spans="1:16" ht="14.45" customHeight="1" x14ac:dyDescent="0.2">
      <c r="A52" s="295"/>
      <c r="B52" s="1330" t="s">
        <v>970</v>
      </c>
      <c r="C52" s="601">
        <v>1452453</v>
      </c>
      <c r="D52" s="1331">
        <v>13285.315000000001</v>
      </c>
      <c r="E52" s="1331">
        <v>14603.83</v>
      </c>
      <c r="F52" s="1331">
        <v>19296.295627694999</v>
      </c>
      <c r="G52" s="1332">
        <v>21211.376694990002</v>
      </c>
      <c r="H52" s="1331">
        <v>9.9246047233355057</v>
      </c>
      <c r="I52" s="510"/>
      <c r="J52" s="1330" t="s">
        <v>970</v>
      </c>
      <c r="K52" s="601">
        <v>1452453</v>
      </c>
      <c r="L52" s="1331">
        <v>13285.315000000001</v>
      </c>
      <c r="M52" s="1331">
        <v>14603.83</v>
      </c>
      <c r="N52" s="1331">
        <v>19296.295627694999</v>
      </c>
      <c r="O52" s="1332">
        <v>21211.376694990002</v>
      </c>
      <c r="P52" s="1331">
        <v>9.9246047233355057</v>
      </c>
    </row>
    <row r="53" spans="1:16" ht="14.45" customHeight="1" x14ac:dyDescent="0.2">
      <c r="A53" s="295"/>
      <c r="B53" s="1330" t="s">
        <v>971</v>
      </c>
      <c r="C53" s="601">
        <v>593328</v>
      </c>
      <c r="D53" s="1331">
        <v>6531.701</v>
      </c>
      <c r="E53" s="1331">
        <v>4286.7</v>
      </c>
      <c r="F53" s="1331">
        <v>3875.441090928</v>
      </c>
      <c r="G53" s="1332">
        <v>2543.4191375999999</v>
      </c>
      <c r="H53" s="1331">
        <v>-34.370847655151394</v>
      </c>
      <c r="I53" s="510"/>
      <c r="J53" s="1330" t="s">
        <v>971</v>
      </c>
      <c r="K53" s="601">
        <v>593328</v>
      </c>
      <c r="L53" s="1331">
        <v>6531.701</v>
      </c>
      <c r="M53" s="1331">
        <v>4286.7</v>
      </c>
      <c r="N53" s="1331">
        <v>3875.441090928</v>
      </c>
      <c r="O53" s="1332">
        <v>2543.4191375999999</v>
      </c>
      <c r="P53" s="1331">
        <v>-34.370847655151394</v>
      </c>
    </row>
    <row r="54" spans="1:16" ht="14.45" customHeight="1" x14ac:dyDescent="0.2">
      <c r="A54" s="295"/>
      <c r="B54" s="1330" t="s">
        <v>972</v>
      </c>
      <c r="C54" s="601">
        <v>603258</v>
      </c>
      <c r="D54" s="1331">
        <v>12970.492</v>
      </c>
      <c r="E54" s="1331">
        <v>16316.32</v>
      </c>
      <c r="F54" s="1331">
        <v>7824.5530629360001</v>
      </c>
      <c r="G54" s="1332">
        <v>9842.9505705599986</v>
      </c>
      <c r="H54" s="1331">
        <v>25.795690710884344</v>
      </c>
      <c r="I54" s="510"/>
      <c r="J54" s="1330" t="s">
        <v>972</v>
      </c>
      <c r="K54" s="601">
        <v>603258</v>
      </c>
      <c r="L54" s="1331">
        <v>12970.492</v>
      </c>
      <c r="M54" s="1331">
        <v>16316.32</v>
      </c>
      <c r="N54" s="1331">
        <v>7824.5530629360001</v>
      </c>
      <c r="O54" s="1332">
        <v>9842.9505705599986</v>
      </c>
      <c r="P54" s="1331">
        <v>25.795690710884344</v>
      </c>
    </row>
    <row r="55" spans="1:16" ht="14.45" customHeight="1" x14ac:dyDescent="0.2">
      <c r="A55" s="295"/>
      <c r="B55" s="1330" t="s">
        <v>973</v>
      </c>
      <c r="C55" s="601">
        <v>1095532</v>
      </c>
      <c r="D55" s="1331">
        <v>7555.9049999999997</v>
      </c>
      <c r="E55" s="1331">
        <v>9700.1</v>
      </c>
      <c r="F55" s="1331">
        <v>8277.7357164599998</v>
      </c>
      <c r="G55" s="1332">
        <v>10626.769953200001</v>
      </c>
      <c r="H55" s="1331">
        <v>28.377739000159465</v>
      </c>
      <c r="I55" s="510"/>
      <c r="J55" s="1330" t="s">
        <v>973</v>
      </c>
      <c r="K55" s="601">
        <v>1095532</v>
      </c>
      <c r="L55" s="1331">
        <v>7555.9049999999997</v>
      </c>
      <c r="M55" s="1331">
        <v>9700.1</v>
      </c>
      <c r="N55" s="1331">
        <v>8277.7357164599998</v>
      </c>
      <c r="O55" s="1332">
        <v>10626.769953200001</v>
      </c>
      <c r="P55" s="1331">
        <v>28.377739000159465</v>
      </c>
    </row>
    <row r="56" spans="1:16" ht="14.45" customHeight="1" x14ac:dyDescent="0.2">
      <c r="A56" s="295"/>
      <c r="B56" s="1330" t="s">
        <v>974</v>
      </c>
      <c r="C56" s="601">
        <v>596860</v>
      </c>
      <c r="D56" s="1331">
        <v>5216.29</v>
      </c>
      <c r="E56" s="1331">
        <v>6394.52</v>
      </c>
      <c r="F56" s="1331">
        <v>3113.3948494000001</v>
      </c>
      <c r="G56" s="1332">
        <v>3816.6332072000005</v>
      </c>
      <c r="H56" s="1331">
        <v>22.587509513466486</v>
      </c>
      <c r="I56" s="510"/>
      <c r="J56" s="1330" t="s">
        <v>974</v>
      </c>
      <c r="K56" s="601">
        <v>596860</v>
      </c>
      <c r="L56" s="1331">
        <v>5216.29</v>
      </c>
      <c r="M56" s="1331">
        <v>6394.52</v>
      </c>
      <c r="N56" s="1331">
        <v>3113.3948494000001</v>
      </c>
      <c r="O56" s="1332">
        <v>3816.6332072000005</v>
      </c>
      <c r="P56" s="1331">
        <v>22.587509513466486</v>
      </c>
    </row>
    <row r="57" spans="1:16" ht="14.45" customHeight="1" x14ac:dyDescent="0.2">
      <c r="A57" s="295"/>
      <c r="B57" s="1330" t="s">
        <v>975</v>
      </c>
      <c r="C57" s="601">
        <v>749113</v>
      </c>
      <c r="D57" s="1331">
        <v>8682.7099999999991</v>
      </c>
      <c r="E57" s="1331">
        <v>8916.1999999999989</v>
      </c>
      <c r="F57" s="1331">
        <v>6504.3309362299997</v>
      </c>
      <c r="G57" s="1332">
        <v>6679.2413305999999</v>
      </c>
      <c r="H57" s="1331">
        <v>2.6891373776159782</v>
      </c>
      <c r="I57" s="510"/>
      <c r="J57" s="1330" t="s">
        <v>975</v>
      </c>
      <c r="K57" s="601">
        <v>749113</v>
      </c>
      <c r="L57" s="1331">
        <v>8682.7099999999991</v>
      </c>
      <c r="M57" s="1331">
        <v>8916.1999999999989</v>
      </c>
      <c r="N57" s="1331">
        <v>6504.3309362299997</v>
      </c>
      <c r="O57" s="1332">
        <v>6679.2413305999999</v>
      </c>
      <c r="P57" s="1331">
        <v>2.6891373776159782</v>
      </c>
    </row>
    <row r="58" spans="1:16" ht="14.45" customHeight="1" x14ac:dyDescent="0.2">
      <c r="A58" s="295"/>
      <c r="B58" s="1330" t="s">
        <v>976</v>
      </c>
      <c r="C58" s="601">
        <v>1533571</v>
      </c>
      <c r="D58" s="1331">
        <v>8407.5249999999996</v>
      </c>
      <c r="E58" s="1331">
        <v>9233.31</v>
      </c>
      <c r="F58" s="1331">
        <v>12893.536521775</v>
      </c>
      <c r="G58" s="1332">
        <v>14159.936450009998</v>
      </c>
      <c r="H58" s="1331">
        <v>9.8219749569581865</v>
      </c>
      <c r="I58" s="510"/>
      <c r="J58" s="1330" t="s">
        <v>976</v>
      </c>
      <c r="K58" s="601">
        <v>1533571</v>
      </c>
      <c r="L58" s="1331">
        <v>8407.5249999999996</v>
      </c>
      <c r="M58" s="1331">
        <v>9233.31</v>
      </c>
      <c r="N58" s="1331">
        <v>12893.536521775</v>
      </c>
      <c r="O58" s="1332">
        <v>14159.936450009998</v>
      </c>
      <c r="P58" s="1331">
        <v>9.8219749569581865</v>
      </c>
    </row>
    <row r="59" spans="1:16" ht="14.45" customHeight="1" x14ac:dyDescent="0.2">
      <c r="A59" s="295"/>
      <c r="B59" s="1330" t="s">
        <v>99</v>
      </c>
      <c r="C59" s="601">
        <v>709221</v>
      </c>
      <c r="D59" s="1331">
        <v>3484.8510000000001</v>
      </c>
      <c r="E59" s="1331">
        <v>4641.75</v>
      </c>
      <c r="F59" s="1331">
        <v>2471.5295110709999</v>
      </c>
      <c r="G59" s="1332">
        <v>3292.02657675</v>
      </c>
      <c r="H59" s="1331">
        <v>33.197947344090181</v>
      </c>
      <c r="I59" s="510"/>
      <c r="J59" s="1330" t="s">
        <v>99</v>
      </c>
      <c r="K59" s="601">
        <v>709221</v>
      </c>
      <c r="L59" s="1331">
        <v>3484.8510000000001</v>
      </c>
      <c r="M59" s="1331">
        <v>4641.75</v>
      </c>
      <c r="N59" s="1331">
        <v>2471.5295110709999</v>
      </c>
      <c r="O59" s="1332">
        <v>3292.02657675</v>
      </c>
      <c r="P59" s="1331">
        <v>33.197947344090181</v>
      </c>
    </row>
    <row r="60" spans="1:16" ht="14.45" customHeight="1" x14ac:dyDescent="0.2">
      <c r="A60" s="295"/>
      <c r="B60" s="1330" t="s">
        <v>978</v>
      </c>
      <c r="C60" s="601">
        <v>1372952</v>
      </c>
      <c r="D60" s="1331">
        <v>8907.2690000000002</v>
      </c>
      <c r="E60" s="1331">
        <v>10900.789999999999</v>
      </c>
      <c r="F60" s="1331">
        <v>12229.252788088001</v>
      </c>
      <c r="G60" s="1332">
        <v>14966.261432079998</v>
      </c>
      <c r="H60" s="1331">
        <v>22.380833002798042</v>
      </c>
      <c r="I60" s="510"/>
      <c r="J60" s="1330" t="s">
        <v>978</v>
      </c>
      <c r="K60" s="601">
        <v>1372952</v>
      </c>
      <c r="L60" s="1331">
        <v>8907.2690000000002</v>
      </c>
      <c r="M60" s="1331">
        <v>10900.789999999999</v>
      </c>
      <c r="N60" s="1331">
        <v>12229.252788088001</v>
      </c>
      <c r="O60" s="1332">
        <v>14966.261432079998</v>
      </c>
      <c r="P60" s="1331">
        <v>22.380833002798042</v>
      </c>
    </row>
    <row r="61" spans="1:16" ht="14.45" customHeight="1" x14ac:dyDescent="0.2">
      <c r="A61" s="295"/>
      <c r="B61" s="1330" t="s">
        <v>1162</v>
      </c>
      <c r="C61" s="601">
        <v>5800000</v>
      </c>
      <c r="D61" s="1331">
        <v>0</v>
      </c>
      <c r="E61" s="1331">
        <v>0</v>
      </c>
      <c r="F61" s="1331">
        <v>0</v>
      </c>
      <c r="G61" s="1332">
        <v>0</v>
      </c>
      <c r="H61" s="1331" t="e">
        <v>#DIV/0!</v>
      </c>
      <c r="I61" s="510"/>
      <c r="J61" s="1330" t="s">
        <v>1162</v>
      </c>
      <c r="K61" s="601">
        <v>5800000</v>
      </c>
      <c r="L61" s="1331">
        <v>0</v>
      </c>
      <c r="M61" s="1331">
        <v>0</v>
      </c>
      <c r="N61" s="1331">
        <v>0</v>
      </c>
      <c r="O61" s="1332">
        <v>0</v>
      </c>
      <c r="P61" s="1331" t="e">
        <v>#DIV/0!</v>
      </c>
    </row>
    <row r="62" spans="1:16" ht="14.45" customHeight="1" thickBot="1" x14ac:dyDescent="0.25">
      <c r="A62" s="295"/>
      <c r="B62" s="1327" t="s">
        <v>100</v>
      </c>
      <c r="C62" s="1328"/>
      <c r="D62" s="1329">
        <v>183721.1634546</v>
      </c>
      <c r="E62" s="1329">
        <v>212759.09000000003</v>
      </c>
      <c r="F62" s="1329">
        <v>138095.239908669</v>
      </c>
      <c r="G62" s="1329">
        <v>157527.83152740001</v>
      </c>
      <c r="H62" s="1329">
        <v>14.071876504637657</v>
      </c>
      <c r="I62" s="510"/>
      <c r="J62" s="1327" t="s">
        <v>100</v>
      </c>
      <c r="K62" s="1328"/>
      <c r="L62" s="1329">
        <v>183721.1634546</v>
      </c>
      <c r="M62" s="1329">
        <v>212759.09000000003</v>
      </c>
      <c r="N62" s="1329">
        <v>138095.239908669</v>
      </c>
      <c r="O62" s="1329">
        <v>157527.83152740001</v>
      </c>
      <c r="P62" s="1329">
        <v>14.071876504637657</v>
      </c>
    </row>
    <row r="63" spans="1:16" ht="14.45" customHeight="1" thickBot="1" x14ac:dyDescent="0.25">
      <c r="A63" s="295"/>
      <c r="B63" s="758" t="s">
        <v>1467</v>
      </c>
      <c r="C63" s="759"/>
      <c r="D63" s="761">
        <v>419859.59427999996</v>
      </c>
      <c r="E63" s="760">
        <v>419122.64250000007</v>
      </c>
      <c r="F63" s="760">
        <v>247737.2461189593</v>
      </c>
      <c r="G63" s="760">
        <v>247371.7068335175</v>
      </c>
      <c r="H63" s="761">
        <v>-0.14755120240025121</v>
      </c>
      <c r="I63" s="510"/>
      <c r="J63" s="758" t="s">
        <v>1467</v>
      </c>
      <c r="K63" s="759"/>
      <c r="L63" s="761">
        <v>419859.59427999996</v>
      </c>
      <c r="M63" s="760">
        <v>419122.64250000007</v>
      </c>
      <c r="N63" s="760">
        <v>247737.2461189593</v>
      </c>
      <c r="O63" s="760">
        <v>247371.7068335175</v>
      </c>
      <c r="P63" s="761">
        <v>-0.14755120240025121</v>
      </c>
    </row>
    <row r="64" spans="1:16" ht="14.45" customHeight="1" thickBot="1" x14ac:dyDescent="0.25">
      <c r="A64" s="295"/>
      <c r="B64" s="758" t="s">
        <v>101</v>
      </c>
      <c r="C64" s="759"/>
      <c r="D64" s="761">
        <v>612574.34365459997</v>
      </c>
      <c r="E64" s="760">
        <v>676635.6770330281</v>
      </c>
      <c r="F64" s="760">
        <v>778204.16774561186</v>
      </c>
      <c r="G64" s="760">
        <v>896519.48037371482</v>
      </c>
      <c r="H64" s="761">
        <v>15.203633896083076</v>
      </c>
      <c r="I64" s="510"/>
      <c r="J64" s="758" t="s">
        <v>101</v>
      </c>
      <c r="K64" s="759"/>
      <c r="L64" s="761">
        <v>464530.79945459997</v>
      </c>
      <c r="M64" s="760">
        <v>503963.13010000001</v>
      </c>
      <c r="N64" s="760">
        <v>253374.407028015</v>
      </c>
      <c r="O64" s="760">
        <v>284377.34355124919</v>
      </c>
      <c r="P64" s="761">
        <v>12.236017396897651</v>
      </c>
    </row>
    <row r="65" spans="1:16" ht="14.45" customHeight="1" thickBot="1" x14ac:dyDescent="0.25">
      <c r="A65" s="295"/>
      <c r="B65" s="762" t="s">
        <v>1469</v>
      </c>
      <c r="C65" s="759"/>
      <c r="D65" s="761">
        <v>1032433.9379345999</v>
      </c>
      <c r="E65" s="761">
        <v>1095758.3195330282</v>
      </c>
      <c r="F65" s="763">
        <v>1025941.4138645711</v>
      </c>
      <c r="G65" s="761">
        <v>1143891.1872072322</v>
      </c>
      <c r="H65" s="761">
        <v>11.496735753980488</v>
      </c>
      <c r="I65" s="510"/>
      <c r="J65" s="762" t="s">
        <v>1469</v>
      </c>
      <c r="K65" s="759"/>
      <c r="L65" s="761">
        <v>884390.39373459993</v>
      </c>
      <c r="M65" s="761">
        <v>923085.77260000003</v>
      </c>
      <c r="N65" s="763">
        <v>501111.65314697428</v>
      </c>
      <c r="O65" s="761">
        <v>531749.05038476666</v>
      </c>
      <c r="P65" s="761">
        <v>6.1138864054327939</v>
      </c>
    </row>
    <row r="66" spans="1:16" ht="14.45" customHeight="1" x14ac:dyDescent="0.2">
      <c r="A66" s="295"/>
      <c r="B66" s="573" t="s">
        <v>1170</v>
      </c>
      <c r="C66" s="764"/>
      <c r="D66" s="764"/>
      <c r="E66" s="764"/>
      <c r="F66" s="764"/>
      <c r="G66" s="764"/>
      <c r="H66" s="579"/>
      <c r="I66" s="510"/>
      <c r="J66" s="573" t="s">
        <v>1170</v>
      </c>
      <c r="K66" s="764"/>
      <c r="L66" s="764"/>
      <c r="M66" s="765"/>
      <c r="N66" s="765"/>
      <c r="O66" s="765"/>
      <c r="P66" s="579"/>
    </row>
    <row r="67" spans="1:16" ht="14.45" customHeight="1" x14ac:dyDescent="0.2">
      <c r="A67" s="295"/>
      <c r="B67" s="573" t="s">
        <v>1174</v>
      </c>
      <c r="C67" s="764"/>
      <c r="D67" s="764"/>
      <c r="E67" s="764"/>
      <c r="F67" s="1816"/>
      <c r="G67" s="764"/>
      <c r="H67" s="1875"/>
      <c r="I67" s="510"/>
      <c r="J67" s="573" t="s">
        <v>1174</v>
      </c>
      <c r="K67" s="764"/>
      <c r="L67" s="764"/>
      <c r="M67" s="765"/>
      <c r="N67" s="765"/>
      <c r="O67" s="765"/>
      <c r="P67" s="579"/>
    </row>
    <row r="68" spans="1:16" ht="14.45" customHeight="1" x14ac:dyDescent="0.2">
      <c r="A68" s="295"/>
      <c r="B68" s="7" t="s">
        <v>1934</v>
      </c>
      <c r="C68" s="620"/>
      <c r="D68" s="620"/>
      <c r="E68" s="620"/>
      <c r="F68" s="620"/>
      <c r="G68" s="620"/>
      <c r="H68" s="512"/>
      <c r="I68" s="510"/>
      <c r="J68" s="7" t="s">
        <v>1934</v>
      </c>
      <c r="K68" s="512"/>
      <c r="L68" s="512"/>
      <c r="M68" s="512"/>
      <c r="N68" s="512"/>
      <c r="O68" s="512"/>
      <c r="P68" s="512"/>
    </row>
    <row r="69" spans="1:16" ht="14.45" customHeight="1" x14ac:dyDescent="0.2">
      <c r="A69" s="295"/>
      <c r="B69" s="261" t="s">
        <v>1884</v>
      </c>
      <c r="C69" s="620"/>
      <c r="D69" s="620"/>
      <c r="E69" s="620"/>
      <c r="F69" s="620"/>
      <c r="G69" s="620"/>
      <c r="H69" s="512"/>
      <c r="I69" s="510"/>
      <c r="J69" s="261" t="s">
        <v>638</v>
      </c>
      <c r="K69" s="512"/>
      <c r="L69" s="512"/>
      <c r="M69" s="512"/>
      <c r="N69" s="512"/>
      <c r="O69" s="512"/>
      <c r="P69" s="512"/>
    </row>
    <row r="70" spans="1:16" ht="14.45" customHeight="1" x14ac:dyDescent="0.2">
      <c r="A70" s="295"/>
      <c r="B70" s="620" t="s">
        <v>1552</v>
      </c>
      <c r="C70" s="620"/>
      <c r="D70" s="620"/>
      <c r="E70" s="620"/>
      <c r="F70" s="620"/>
      <c r="G70" s="620"/>
      <c r="H70" s="512"/>
      <c r="I70" s="510"/>
      <c r="J70" s="620" t="s">
        <v>1552</v>
      </c>
      <c r="K70" s="512"/>
      <c r="L70" s="512"/>
      <c r="M70" s="512"/>
      <c r="N70" s="512"/>
      <c r="O70" s="512"/>
      <c r="P70" s="512"/>
    </row>
    <row r="72" spans="1:16" x14ac:dyDescent="0.2">
      <c r="D72" s="397"/>
      <c r="E72" s="397"/>
    </row>
    <row r="73" spans="1:16" x14ac:dyDescent="0.2">
      <c r="B73" s="295"/>
      <c r="C73" s="295"/>
      <c r="D73" s="1814"/>
      <c r="E73" s="295"/>
      <c r="F73" s="295"/>
      <c r="G73" s="295"/>
    </row>
    <row r="74" spans="1:16" ht="15.75" x14ac:dyDescent="0.25">
      <c r="B74" s="3241" t="s">
        <v>1295</v>
      </c>
      <c r="C74" s="3241"/>
      <c r="D74" s="3241"/>
      <c r="E74" s="3241"/>
      <c r="F74" s="3241"/>
      <c r="G74" s="3241"/>
      <c r="K74" s="3242"/>
      <c r="L74" s="3242"/>
    </row>
    <row r="75" spans="1:16" ht="15.75" x14ac:dyDescent="0.25">
      <c r="B75" s="3241" t="s">
        <v>2000</v>
      </c>
      <c r="C75" s="3241"/>
      <c r="D75" s="3241"/>
      <c r="E75" s="3241"/>
      <c r="F75" s="3241"/>
      <c r="G75" s="3241"/>
    </row>
    <row r="76" spans="1:16" ht="15.75" x14ac:dyDescent="0.25">
      <c r="B76" s="766"/>
      <c r="C76" s="766"/>
      <c r="D76" s="766"/>
      <c r="E76" s="766"/>
      <c r="F76" s="295"/>
      <c r="G76" s="295"/>
    </row>
    <row r="77" spans="1:16" ht="13.5" thickBot="1" x14ac:dyDescent="0.25">
      <c r="B77" s="295"/>
      <c r="C77" s="295"/>
      <c r="D77" s="295"/>
      <c r="E77" s="767"/>
      <c r="F77" s="295"/>
      <c r="G77" s="1984" t="s">
        <v>1549</v>
      </c>
    </row>
    <row r="78" spans="1:16" ht="16.5" x14ac:dyDescent="0.25">
      <c r="B78" s="3243" t="s">
        <v>408</v>
      </c>
      <c r="C78" s="3246" t="s">
        <v>102</v>
      </c>
      <c r="D78" s="3247"/>
      <c r="E78" s="3248"/>
      <c r="F78" s="3249" t="s">
        <v>103</v>
      </c>
      <c r="G78" s="3250"/>
    </row>
    <row r="79" spans="1:16" ht="17.25" thickBot="1" x14ac:dyDescent="0.3">
      <c r="B79" s="3244"/>
      <c r="C79" s="3251" t="s">
        <v>1571</v>
      </c>
      <c r="D79" s="3252"/>
      <c r="E79" s="3253"/>
      <c r="F79" s="3254" t="s">
        <v>104</v>
      </c>
      <c r="G79" s="3255"/>
    </row>
    <row r="80" spans="1:16" ht="16.5" x14ac:dyDescent="0.25">
      <c r="B80" s="3244"/>
      <c r="C80" s="3256">
        <v>2022</v>
      </c>
      <c r="D80" s="3256">
        <v>2023</v>
      </c>
      <c r="E80" s="3243" t="s">
        <v>80</v>
      </c>
      <c r="F80" s="768">
        <v>2022</v>
      </c>
      <c r="G80" s="768">
        <v>2023</v>
      </c>
    </row>
    <row r="81" spans="2:7" ht="17.25" thickBot="1" x14ac:dyDescent="0.3">
      <c r="B81" s="3245"/>
      <c r="C81" s="3257"/>
      <c r="D81" s="3257"/>
      <c r="E81" s="3245"/>
      <c r="F81" s="769" t="s">
        <v>1221</v>
      </c>
      <c r="G81" s="770" t="s">
        <v>1221</v>
      </c>
    </row>
    <row r="82" spans="2:7" ht="30" customHeight="1" x14ac:dyDescent="0.2">
      <c r="B82" s="771" t="s">
        <v>88</v>
      </c>
      <c r="C82" s="827">
        <v>205559.27997633477</v>
      </c>
      <c r="D82" s="827">
        <v>205313.39081056</v>
      </c>
      <c r="E82" s="773">
        <v>-0.11961958895899727</v>
      </c>
      <c r="F82" s="774">
        <v>20.036161636367037</v>
      </c>
      <c r="G82" s="774">
        <v>17.948681929425909</v>
      </c>
    </row>
    <row r="83" spans="2:7" ht="30" customHeight="1" x14ac:dyDescent="0.2">
      <c r="B83" s="771" t="s">
        <v>93</v>
      </c>
      <c r="C83" s="829">
        <v>42177.966142624522</v>
      </c>
      <c r="D83" s="829">
        <v>42058.316022957501</v>
      </c>
      <c r="E83" s="773">
        <v>-0.28367920649000666</v>
      </c>
      <c r="F83" s="775">
        <v>4.1111476320803053</v>
      </c>
      <c r="G83" s="775">
        <v>3.6767759462892018</v>
      </c>
    </row>
    <row r="84" spans="2:7" ht="30" customHeight="1" x14ac:dyDescent="0.2">
      <c r="B84" s="771" t="s">
        <v>105</v>
      </c>
      <c r="C84" s="773">
        <v>640108.92783694284</v>
      </c>
      <c r="D84" s="773">
        <v>738991.64884631487</v>
      </c>
      <c r="E84" s="773">
        <v>15.447795946779991</v>
      </c>
      <c r="F84" s="775">
        <v>62.392347085955542</v>
      </c>
      <c r="G84" s="775">
        <v>64.603316916055235</v>
      </c>
    </row>
    <row r="85" spans="2:7" ht="30" customHeight="1" thickBot="1" x14ac:dyDescent="0.25">
      <c r="B85" s="777" t="s">
        <v>100</v>
      </c>
      <c r="C85" s="773">
        <v>138095.239908669</v>
      </c>
      <c r="D85" s="1337">
        <v>157527.83152740001</v>
      </c>
      <c r="E85" s="773">
        <v>14.071876504637657</v>
      </c>
      <c r="F85" s="775">
        <v>13.460343645597115</v>
      </c>
      <c r="G85" s="775">
        <v>13.771225208229669</v>
      </c>
    </row>
    <row r="86" spans="2:7" ht="30" customHeight="1" thickBot="1" x14ac:dyDescent="0.25">
      <c r="B86" s="778" t="s">
        <v>106</v>
      </c>
      <c r="C86" s="1338">
        <v>247737.2461189593</v>
      </c>
      <c r="D86" s="1338">
        <v>247371.7068335175</v>
      </c>
      <c r="E86" s="779">
        <v>-0.14755120240025121</v>
      </c>
      <c r="F86" s="780">
        <v>24.147309268447344</v>
      </c>
      <c r="G86" s="780">
        <v>21.625457875715114</v>
      </c>
    </row>
    <row r="87" spans="2:7" ht="30" customHeight="1" thickBot="1" x14ac:dyDescent="0.25">
      <c r="B87" s="778" t="s">
        <v>107</v>
      </c>
      <c r="C87" s="1338">
        <v>778204.16774561186</v>
      </c>
      <c r="D87" s="1338">
        <v>896519.48037371482</v>
      </c>
      <c r="E87" s="779">
        <v>15.203633896083062</v>
      </c>
      <c r="F87" s="780">
        <v>75.852690731552656</v>
      </c>
      <c r="G87" s="780">
        <v>78.374542124284901</v>
      </c>
    </row>
    <row r="88" spans="2:7" ht="30" customHeight="1" thickBot="1" x14ac:dyDescent="0.25">
      <c r="B88" s="825" t="s">
        <v>108</v>
      </c>
      <c r="C88" s="832">
        <v>1025941.4138645711</v>
      </c>
      <c r="D88" s="2120">
        <v>1143891.1872072322</v>
      </c>
      <c r="E88" s="1339">
        <v>11.496735753980488</v>
      </c>
      <c r="F88" s="833">
        <v>100</v>
      </c>
      <c r="G88" s="833">
        <v>100</v>
      </c>
    </row>
    <row r="89" spans="2:7" x14ac:dyDescent="0.2">
      <c r="B89" s="7" t="s">
        <v>1934</v>
      </c>
      <c r="C89" s="260"/>
      <c r="D89" s="260"/>
      <c r="E89" s="260"/>
      <c r="F89" s="295"/>
      <c r="G89" s="295"/>
    </row>
    <row r="90" spans="2:7" x14ac:dyDescent="0.2">
      <c r="B90" s="260"/>
      <c r="C90" s="260"/>
      <c r="D90" s="260"/>
      <c r="E90" s="260"/>
      <c r="F90" s="295"/>
      <c r="G90" s="295"/>
    </row>
    <row r="91" spans="2:7" x14ac:dyDescent="0.2">
      <c r="B91" s="260"/>
      <c r="C91" s="260"/>
      <c r="D91" s="260"/>
      <c r="E91" s="260"/>
      <c r="F91" s="295"/>
      <c r="G91" s="295"/>
    </row>
    <row r="92" spans="2:7" x14ac:dyDescent="0.2">
      <c r="B92" s="295"/>
      <c r="C92" s="295"/>
      <c r="D92" s="295"/>
      <c r="E92" s="295"/>
      <c r="F92" s="295"/>
      <c r="G92" s="295"/>
    </row>
    <row r="93" spans="2:7" ht="15.75" x14ac:dyDescent="0.25">
      <c r="B93" s="3241"/>
      <c r="C93" s="3241"/>
      <c r="D93" s="3241"/>
      <c r="E93" s="3241"/>
      <c r="F93" s="3241"/>
      <c r="G93" s="3241"/>
    </row>
    <row r="94" spans="2:7" ht="15.75" x14ac:dyDescent="0.25">
      <c r="B94" s="3241"/>
      <c r="C94" s="3241"/>
      <c r="D94" s="3241"/>
      <c r="E94" s="3241"/>
      <c r="F94" s="3241"/>
      <c r="G94" s="3241"/>
    </row>
    <row r="95" spans="2:7" x14ac:dyDescent="0.2">
      <c r="B95" s="295"/>
      <c r="C95" s="295"/>
      <c r="D95" s="295"/>
      <c r="E95" s="295"/>
      <c r="F95" s="295"/>
      <c r="G95" s="295"/>
    </row>
    <row r="96" spans="2:7" ht="15.75" x14ac:dyDescent="0.25">
      <c r="B96" s="3241" t="s">
        <v>1296</v>
      </c>
      <c r="C96" s="3241"/>
      <c r="D96" s="3241"/>
      <c r="E96" s="3241"/>
      <c r="F96" s="3241"/>
      <c r="G96" s="3241"/>
    </row>
    <row r="97" spans="2:7" ht="15.75" x14ac:dyDescent="0.25">
      <c r="B97" s="3241" t="s">
        <v>2001</v>
      </c>
      <c r="C97" s="3241"/>
      <c r="D97" s="3241"/>
      <c r="E97" s="3241"/>
      <c r="F97" s="3241"/>
      <c r="G97" s="3241"/>
    </row>
    <row r="98" spans="2:7" ht="15.75" x14ac:dyDescent="0.25">
      <c r="B98" s="766"/>
      <c r="C98" s="766"/>
      <c r="D98" s="766"/>
      <c r="E98" s="766"/>
      <c r="F98" s="295"/>
      <c r="G98" s="295"/>
    </row>
    <row r="99" spans="2:7" ht="13.5" thickBot="1" x14ac:dyDescent="0.25">
      <c r="B99" s="295"/>
      <c r="C99" s="295"/>
      <c r="D99" s="295"/>
      <c r="E99" s="767"/>
      <c r="F99" s="295"/>
      <c r="G99" s="1984" t="s">
        <v>1549</v>
      </c>
    </row>
    <row r="100" spans="2:7" ht="16.5" x14ac:dyDescent="0.25">
      <c r="B100" s="3243" t="s">
        <v>408</v>
      </c>
      <c r="C100" s="3246" t="s">
        <v>102</v>
      </c>
      <c r="D100" s="3247"/>
      <c r="E100" s="3248"/>
      <c r="F100" s="3249" t="s">
        <v>103</v>
      </c>
      <c r="G100" s="3250"/>
    </row>
    <row r="101" spans="2:7" ht="17.25" thickBot="1" x14ac:dyDescent="0.3">
      <c r="B101" s="3244"/>
      <c r="C101" s="3251" t="s">
        <v>1571</v>
      </c>
      <c r="D101" s="3252"/>
      <c r="E101" s="3253"/>
      <c r="F101" s="3254" t="s">
        <v>104</v>
      </c>
      <c r="G101" s="3255"/>
    </row>
    <row r="102" spans="2:7" ht="16.5" x14ac:dyDescent="0.25">
      <c r="B102" s="3244"/>
      <c r="C102" s="3256">
        <v>2022</v>
      </c>
      <c r="D102" s="3256">
        <v>2023</v>
      </c>
      <c r="E102" s="3243" t="s">
        <v>80</v>
      </c>
      <c r="F102" s="768">
        <v>2022</v>
      </c>
      <c r="G102" s="768">
        <v>2023</v>
      </c>
    </row>
    <row r="103" spans="2:7" ht="17.25" thickBot="1" x14ac:dyDescent="0.3">
      <c r="B103" s="3245"/>
      <c r="C103" s="3257"/>
      <c r="D103" s="3257"/>
      <c r="E103" s="3245"/>
      <c r="F103" s="769" t="s">
        <v>1221</v>
      </c>
      <c r="G103" s="770" t="s">
        <v>1221</v>
      </c>
    </row>
    <row r="104" spans="2:7" ht="30" customHeight="1" x14ac:dyDescent="0.2">
      <c r="B104" s="771" t="s">
        <v>88</v>
      </c>
      <c r="C104" s="1341">
        <v>205559.27997633477</v>
      </c>
      <c r="D104" s="1341">
        <v>205313.39081056</v>
      </c>
      <c r="E104" s="773">
        <v>-0.11961958895899727</v>
      </c>
      <c r="F104" s="774">
        <v>41.020654515899864</v>
      </c>
      <c r="G104" s="774">
        <v>38.610955799920639</v>
      </c>
    </row>
    <row r="105" spans="2:7" ht="30" customHeight="1" x14ac:dyDescent="0.2">
      <c r="B105" s="771" t="s">
        <v>93</v>
      </c>
      <c r="C105" s="773">
        <v>42177.966142624522</v>
      </c>
      <c r="D105" s="773">
        <v>42058.316022957501</v>
      </c>
      <c r="E105" s="773">
        <v>-0.28367920649000666</v>
      </c>
      <c r="F105" s="775">
        <v>8.4168799264091092</v>
      </c>
      <c r="G105" s="775">
        <v>7.9094294559669924</v>
      </c>
    </row>
    <row r="106" spans="2:7" ht="30" customHeight="1" x14ac:dyDescent="0.2">
      <c r="B106" s="771" t="s">
        <v>105</v>
      </c>
      <c r="C106" s="773">
        <v>115279.16711934601</v>
      </c>
      <c r="D106" s="773">
        <v>126849.51202384919</v>
      </c>
      <c r="E106" s="773">
        <v>10.036804735520576</v>
      </c>
      <c r="F106" s="775">
        <v>23.004686958563909</v>
      </c>
      <c r="G106" s="775">
        <v>23.855145943760981</v>
      </c>
    </row>
    <row r="107" spans="2:7" ht="30" customHeight="1" thickBot="1" x14ac:dyDescent="0.25">
      <c r="B107" s="777" t="s">
        <v>100</v>
      </c>
      <c r="C107" s="829">
        <v>138095.239908669</v>
      </c>
      <c r="D107" s="829">
        <v>157527.83152740001</v>
      </c>
      <c r="E107" s="773">
        <v>14.071876504637657</v>
      </c>
      <c r="F107" s="775">
        <v>27.557778599127118</v>
      </c>
      <c r="G107" s="775">
        <v>29.624468800351391</v>
      </c>
    </row>
    <row r="108" spans="2:7" ht="30" customHeight="1" thickBot="1" x14ac:dyDescent="0.25">
      <c r="B108" s="778" t="s">
        <v>106</v>
      </c>
      <c r="C108" s="1338">
        <v>247737.2461189593</v>
      </c>
      <c r="D108" s="1338">
        <v>247371.7068335175</v>
      </c>
      <c r="E108" s="779">
        <v>-0.14755120240025121</v>
      </c>
      <c r="F108" s="780">
        <v>49.437534442308973</v>
      </c>
      <c r="G108" s="780">
        <v>46.520385255887639</v>
      </c>
    </row>
    <row r="109" spans="2:7" ht="30" customHeight="1" thickBot="1" x14ac:dyDescent="0.25">
      <c r="B109" s="778" t="s">
        <v>107</v>
      </c>
      <c r="C109" s="1338">
        <v>253374.407028015</v>
      </c>
      <c r="D109" s="1338">
        <v>284377.34355124919</v>
      </c>
      <c r="E109" s="779">
        <v>12.236017396897665</v>
      </c>
      <c r="F109" s="780">
        <v>50.562465557691027</v>
      </c>
      <c r="G109" s="780">
        <v>53.479614744112368</v>
      </c>
    </row>
    <row r="110" spans="2:7" ht="30" customHeight="1" thickBot="1" x14ac:dyDescent="0.25">
      <c r="B110" s="825" t="s">
        <v>108</v>
      </c>
      <c r="C110" s="832">
        <v>501111.65314697428</v>
      </c>
      <c r="D110" s="832">
        <v>531749.05038476666</v>
      </c>
      <c r="E110" s="1339">
        <v>6.1138864054327939</v>
      </c>
      <c r="F110" s="1340">
        <v>100</v>
      </c>
      <c r="G110" s="1340">
        <v>100</v>
      </c>
    </row>
    <row r="111" spans="2:7" x14ac:dyDescent="0.2">
      <c r="B111" s="7" t="s">
        <v>1934</v>
      </c>
      <c r="C111" s="260"/>
      <c r="D111" s="260"/>
      <c r="E111" s="260"/>
      <c r="F111" s="295"/>
      <c r="G111" s="295"/>
    </row>
    <row r="112" spans="2:7" x14ac:dyDescent="0.2">
      <c r="B112" s="260"/>
      <c r="C112" s="260"/>
      <c r="D112" s="260"/>
      <c r="E112" s="260"/>
      <c r="F112" s="295"/>
      <c r="G112" s="295"/>
    </row>
    <row r="113" spans="2:7" x14ac:dyDescent="0.2">
      <c r="B113" s="782"/>
      <c r="C113" s="295"/>
      <c r="D113" s="295"/>
      <c r="E113" s="295"/>
      <c r="F113" s="295"/>
      <c r="G113" s="295"/>
    </row>
    <row r="114" spans="2:7" x14ac:dyDescent="0.2">
      <c r="B114" s="295"/>
      <c r="C114" s="295"/>
      <c r="D114" s="295"/>
      <c r="E114" s="295"/>
      <c r="F114" s="295"/>
      <c r="G114" s="295"/>
    </row>
  </sheetData>
  <mergeCells count="43">
    <mergeCell ref="C102:C103"/>
    <mergeCell ref="D102:D103"/>
    <mergeCell ref="E102:E103"/>
    <mergeCell ref="E80:E81"/>
    <mergeCell ref="B93:G93"/>
    <mergeCell ref="B94:G94"/>
    <mergeCell ref="B96:G96"/>
    <mergeCell ref="B97:G97"/>
    <mergeCell ref="B100:B103"/>
    <mergeCell ref="C100:E100"/>
    <mergeCell ref="F100:G100"/>
    <mergeCell ref="C101:E101"/>
    <mergeCell ref="F101:G101"/>
    <mergeCell ref="K74:L74"/>
    <mergeCell ref="B75:G75"/>
    <mergeCell ref="B78:B81"/>
    <mergeCell ref="C78:E78"/>
    <mergeCell ref="F78:G78"/>
    <mergeCell ref="C79:E79"/>
    <mergeCell ref="F79:G79"/>
    <mergeCell ref="C80:C81"/>
    <mergeCell ref="D80:D81"/>
    <mergeCell ref="E5:E6"/>
    <mergeCell ref="F5:F6"/>
    <mergeCell ref="G5:G6"/>
    <mergeCell ref="B1:H1"/>
    <mergeCell ref="B74:G74"/>
    <mergeCell ref="J1:P1"/>
    <mergeCell ref="B3:B6"/>
    <mergeCell ref="D3:E4"/>
    <mergeCell ref="F3:H3"/>
    <mergeCell ref="J3:J6"/>
    <mergeCell ref="L3:M4"/>
    <mergeCell ref="N3:P3"/>
    <mergeCell ref="F4:H4"/>
    <mergeCell ref="N4:P4"/>
    <mergeCell ref="O5:O6"/>
    <mergeCell ref="P5:P6"/>
    <mergeCell ref="H5:H6"/>
    <mergeCell ref="L5:L6"/>
    <mergeCell ref="M5:M6"/>
    <mergeCell ref="N5:N6"/>
    <mergeCell ref="D5:D6"/>
  </mergeCells>
  <phoneticPr fontId="13" type="noConversion"/>
  <pageMargins left="0.59055118110236227" right="0.39370078740157483" top="0.98425196850393704" bottom="0.39370078740157483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70" workbookViewId="0"/>
  </sheetViews>
  <sheetFormatPr baseColWidth="10" defaultColWidth="11.42578125" defaultRowHeight="12.75" x14ac:dyDescent="0.2"/>
  <cols>
    <col min="1" max="1" width="48.5703125" customWidth="1"/>
    <col min="3" max="3" width="6.42578125" customWidth="1"/>
    <col min="4" max="4" width="17.85546875" customWidth="1"/>
    <col min="6" max="6" width="7.42578125" customWidth="1"/>
    <col min="7" max="7" width="18.85546875" customWidth="1"/>
    <col min="12" max="12" width="7.7109375" customWidth="1"/>
    <col min="13" max="13" width="19.140625" customWidth="1"/>
  </cols>
  <sheetData>
    <row r="1" spans="1:13" x14ac:dyDescent="0.2">
      <c r="A1" s="510"/>
      <c r="B1" s="510"/>
      <c r="C1" s="510"/>
      <c r="D1" s="510"/>
      <c r="E1" s="510"/>
      <c r="F1" s="510"/>
      <c r="G1" s="263"/>
      <c r="H1" s="510"/>
      <c r="I1" s="510"/>
      <c r="J1" s="510"/>
      <c r="K1" s="510"/>
      <c r="L1" s="510"/>
      <c r="M1" s="510"/>
    </row>
    <row r="2" spans="1:13" ht="18" x14ac:dyDescent="0.2">
      <c r="A2" s="3222" t="s">
        <v>2002</v>
      </c>
      <c r="B2" s="3222"/>
      <c r="C2" s="3222"/>
      <c r="D2" s="3222"/>
      <c r="E2" s="3222"/>
      <c r="F2" s="3222"/>
      <c r="G2" s="3222"/>
      <c r="H2" s="3222"/>
      <c r="I2" s="3222"/>
      <c r="J2" s="3222"/>
      <c r="K2" s="3222"/>
      <c r="L2" s="3222"/>
      <c r="M2" s="3222"/>
    </row>
    <row r="3" spans="1:13" ht="15.75" thickBot="1" x14ac:dyDescent="0.25">
      <c r="A3" s="512"/>
      <c r="B3" s="512"/>
      <c r="C3" s="512"/>
      <c r="D3" s="512"/>
      <c r="E3" s="512"/>
      <c r="F3" s="512"/>
      <c r="G3" s="513"/>
      <c r="H3" s="512"/>
      <c r="I3" s="512"/>
      <c r="J3" s="512"/>
      <c r="K3" s="512"/>
      <c r="L3" s="512"/>
      <c r="M3" s="512"/>
    </row>
    <row r="4" spans="1:13" ht="18.75" thickBot="1" x14ac:dyDescent="0.25">
      <c r="A4" s="783"/>
      <c r="B4" s="3258"/>
      <c r="C4" s="3259"/>
      <c r="D4" s="3260"/>
      <c r="E4" s="784"/>
      <c r="F4" s="784"/>
      <c r="G4" s="785"/>
      <c r="H4" s="3261" t="s">
        <v>1364</v>
      </c>
      <c r="I4" s="3262"/>
      <c r="J4" s="3262"/>
      <c r="K4" s="3262"/>
      <c r="L4" s="3262"/>
      <c r="M4" s="3263"/>
    </row>
    <row r="5" spans="1:13" ht="18" x14ac:dyDescent="0.2">
      <c r="A5" s="786" t="s">
        <v>109</v>
      </c>
      <c r="B5" s="3264" t="s">
        <v>1363</v>
      </c>
      <c r="C5" s="3265"/>
      <c r="D5" s="3266"/>
      <c r="E5" s="3267" t="s">
        <v>1363</v>
      </c>
      <c r="F5" s="3265"/>
      <c r="G5" s="3268"/>
      <c r="H5" s="3269" t="s">
        <v>1366</v>
      </c>
      <c r="I5" s="3270"/>
      <c r="J5" s="3271"/>
      <c r="K5" s="3269" t="s">
        <v>1367</v>
      </c>
      <c r="L5" s="3270"/>
      <c r="M5" s="3271"/>
    </row>
    <row r="6" spans="1:13" ht="18" x14ac:dyDescent="0.2">
      <c r="A6" s="701"/>
      <c r="B6" s="787"/>
      <c r="C6" s="788"/>
      <c r="D6" s="789"/>
      <c r="E6" s="790"/>
      <c r="F6" s="788"/>
      <c r="G6" s="791"/>
      <c r="H6" s="3272" t="s">
        <v>433</v>
      </c>
      <c r="I6" s="3273"/>
      <c r="J6" s="3274"/>
      <c r="K6" s="3272" t="s">
        <v>433</v>
      </c>
      <c r="L6" s="3273"/>
      <c r="M6" s="3274"/>
    </row>
    <row r="7" spans="1:13" ht="18.75" thickBot="1" x14ac:dyDescent="0.25">
      <c r="A7" s="715"/>
      <c r="B7" s="3275">
        <v>2022</v>
      </c>
      <c r="C7" s="3276"/>
      <c r="D7" s="3277"/>
      <c r="E7" s="3278">
        <v>2023</v>
      </c>
      <c r="F7" s="3276"/>
      <c r="G7" s="3279"/>
      <c r="H7" s="3280" t="s">
        <v>1986</v>
      </c>
      <c r="I7" s="3281"/>
      <c r="J7" s="3282"/>
      <c r="K7" s="3280" t="s">
        <v>1986</v>
      </c>
      <c r="L7" s="3281"/>
      <c r="M7" s="3282"/>
    </row>
    <row r="8" spans="1:13" ht="18" x14ac:dyDescent="0.2">
      <c r="A8" s="792"/>
      <c r="B8" s="793"/>
      <c r="C8" s="794"/>
      <c r="D8" s="795"/>
      <c r="E8" s="794"/>
      <c r="F8" s="794"/>
      <c r="G8" s="796"/>
      <c r="H8" s="794"/>
      <c r="I8" s="794"/>
      <c r="J8" s="797"/>
      <c r="K8" s="638"/>
      <c r="L8" s="641"/>
      <c r="M8" s="658"/>
    </row>
    <row r="9" spans="1:13" ht="18" x14ac:dyDescent="0.2">
      <c r="A9" s="1346" t="s">
        <v>110</v>
      </c>
      <c r="B9" s="1347"/>
      <c r="C9" s="1348"/>
      <c r="D9" s="1349"/>
      <c r="E9" s="1350"/>
      <c r="F9" s="1348"/>
      <c r="G9" s="1351"/>
      <c r="H9" s="1348"/>
      <c r="I9" s="664"/>
      <c r="J9" s="1352"/>
      <c r="K9" s="682"/>
      <c r="L9" s="686"/>
      <c r="M9" s="1353"/>
    </row>
    <row r="10" spans="1:13" ht="18" x14ac:dyDescent="0.2">
      <c r="A10" s="798" t="s">
        <v>111</v>
      </c>
      <c r="B10" s="682"/>
      <c r="C10" s="686"/>
      <c r="D10" s="1354"/>
      <c r="E10" s="1355"/>
      <c r="F10" s="686"/>
      <c r="G10" s="1356"/>
      <c r="H10" s="664"/>
      <c r="I10" s="664"/>
      <c r="J10" s="1352"/>
      <c r="K10" s="682"/>
      <c r="L10" s="686"/>
      <c r="M10" s="1353"/>
    </row>
    <row r="11" spans="1:13" ht="18" x14ac:dyDescent="0.2">
      <c r="A11" s="659" t="s">
        <v>112</v>
      </c>
      <c r="B11" s="682"/>
      <c r="C11" s="686"/>
      <c r="D11" s="1349">
        <v>32921.089999999997</v>
      </c>
      <c r="E11" s="1355"/>
      <c r="F11" s="686"/>
      <c r="G11" s="1351">
        <v>32674.68</v>
      </c>
      <c r="H11" s="664"/>
      <c r="I11" s="664"/>
      <c r="J11" s="1357">
        <v>-0.74848676031078298</v>
      </c>
      <c r="K11" s="682"/>
      <c r="L11" s="686"/>
      <c r="M11" s="1353">
        <v>-246.40999999999622</v>
      </c>
    </row>
    <row r="12" spans="1:13" ht="18" x14ac:dyDescent="0.2">
      <c r="A12" s="659" t="s">
        <v>113</v>
      </c>
      <c r="B12" s="682"/>
      <c r="C12" s="686"/>
      <c r="D12" s="1354">
        <v>144022065</v>
      </c>
      <c r="E12" s="1355"/>
      <c r="F12" s="686"/>
      <c r="G12" s="1351">
        <v>135159865</v>
      </c>
      <c r="H12" s="664"/>
      <c r="I12" s="664"/>
      <c r="J12" s="1357">
        <v>-6.1533626809197557</v>
      </c>
      <c r="K12" s="682"/>
      <c r="L12" s="686"/>
      <c r="M12" s="1353">
        <v>-8862200</v>
      </c>
    </row>
    <row r="13" spans="1:13" ht="18" x14ac:dyDescent="0.2">
      <c r="A13" s="798"/>
      <c r="B13" s="1347"/>
      <c r="C13" s="1348"/>
      <c r="D13" s="1354"/>
      <c r="E13" s="1355"/>
      <c r="F13" s="686"/>
      <c r="G13" s="1356"/>
      <c r="H13" s="1348"/>
      <c r="I13" s="1348"/>
      <c r="J13" s="1358"/>
      <c r="K13" s="682"/>
      <c r="L13" s="686"/>
      <c r="M13" s="1353"/>
    </row>
    <row r="14" spans="1:13" ht="18" x14ac:dyDescent="0.2">
      <c r="A14" s="798" t="s">
        <v>1300</v>
      </c>
      <c r="B14" s="1347"/>
      <c r="C14" s="1348"/>
      <c r="D14" s="1354"/>
      <c r="E14" s="1355"/>
      <c r="F14" s="686"/>
      <c r="G14" s="1356"/>
      <c r="H14" s="1348"/>
      <c r="I14" s="664"/>
      <c r="J14" s="1352"/>
      <c r="K14" s="682"/>
      <c r="L14" s="686"/>
      <c r="M14" s="1353"/>
    </row>
    <row r="15" spans="1:13" ht="18" x14ac:dyDescent="0.2">
      <c r="A15" s="659" t="s">
        <v>114</v>
      </c>
      <c r="B15" s="682"/>
      <c r="C15" s="686"/>
      <c r="D15" s="1349">
        <v>5294.2999999999993</v>
      </c>
      <c r="E15" s="1355"/>
      <c r="F15" s="686"/>
      <c r="G15" s="1351">
        <v>5289.8000000000011</v>
      </c>
      <c r="H15" s="664"/>
      <c r="I15" s="664"/>
      <c r="J15" s="1352">
        <v>-8.4997072323034217E-2</v>
      </c>
      <c r="K15" s="682"/>
      <c r="L15" s="686"/>
      <c r="M15" s="1353">
        <v>-4.499999999998181</v>
      </c>
    </row>
    <row r="16" spans="1:13" ht="18" x14ac:dyDescent="0.2">
      <c r="A16" s="659"/>
      <c r="B16" s="682"/>
      <c r="C16" s="686"/>
      <c r="D16" s="1354"/>
      <c r="E16" s="1355"/>
      <c r="F16" s="686"/>
      <c r="G16" s="1356"/>
      <c r="H16" s="664"/>
      <c r="I16" s="664"/>
      <c r="J16" s="1352"/>
      <c r="K16" s="682"/>
      <c r="L16" s="686"/>
      <c r="M16" s="1353"/>
    </row>
    <row r="17" spans="1:13" ht="18" x14ac:dyDescent="0.2">
      <c r="A17" s="659"/>
      <c r="B17" s="682"/>
      <c r="C17" s="686"/>
      <c r="D17" s="1354"/>
      <c r="E17" s="1355"/>
      <c r="F17" s="686"/>
      <c r="G17" s="1356"/>
      <c r="H17" s="664"/>
      <c r="I17" s="664"/>
      <c r="J17" s="1357"/>
      <c r="K17" s="682"/>
      <c r="L17" s="686"/>
      <c r="M17" s="1359"/>
    </row>
    <row r="18" spans="1:13" ht="18" x14ac:dyDescent="0.2">
      <c r="A18" s="798" t="s">
        <v>115</v>
      </c>
      <c r="B18" s="682"/>
      <c r="C18" s="686"/>
      <c r="D18" s="1354"/>
      <c r="E18" s="1355"/>
      <c r="F18" s="686"/>
      <c r="G18" s="1356"/>
      <c r="H18" s="664"/>
      <c r="I18" s="664"/>
      <c r="J18" s="1352"/>
      <c r="K18" s="682"/>
      <c r="L18" s="686"/>
      <c r="M18" s="1353"/>
    </row>
    <row r="19" spans="1:13" ht="18" x14ac:dyDescent="0.2">
      <c r="A19" s="659" t="s">
        <v>116</v>
      </c>
      <c r="B19" s="682"/>
      <c r="C19" s="686"/>
      <c r="D19" s="1349">
        <v>9765.9160500000016</v>
      </c>
      <c r="E19" s="1355"/>
      <c r="F19" s="686"/>
      <c r="G19" s="1351">
        <v>10668.647550000002</v>
      </c>
      <c r="H19" s="664"/>
      <c r="I19" s="664"/>
      <c r="J19" s="1357">
        <v>9.2436950653492289</v>
      </c>
      <c r="K19" s="682"/>
      <c r="L19" s="686"/>
      <c r="M19" s="1353">
        <v>902.73149999999987</v>
      </c>
    </row>
    <row r="20" spans="1:13" ht="18" x14ac:dyDescent="0.2">
      <c r="A20" s="659" t="s">
        <v>117</v>
      </c>
      <c r="B20" s="682"/>
      <c r="C20" s="686"/>
      <c r="D20" s="1354">
        <v>610334000</v>
      </c>
      <c r="E20" s="1355"/>
      <c r="F20" s="686"/>
      <c r="G20" s="1356">
        <v>613959000</v>
      </c>
      <c r="H20" s="664"/>
      <c r="I20" s="664"/>
      <c r="J20" s="1357">
        <v>0.59393709018340246</v>
      </c>
      <c r="K20" s="682"/>
      <c r="L20" s="686"/>
      <c r="M20" s="1353">
        <v>3625000</v>
      </c>
    </row>
    <row r="21" spans="1:13" ht="18" x14ac:dyDescent="0.2">
      <c r="A21" s="659"/>
      <c r="B21" s="682"/>
      <c r="C21" s="686"/>
      <c r="D21" s="1354"/>
      <c r="E21" s="1355"/>
      <c r="F21" s="686"/>
      <c r="G21" s="1356"/>
      <c r="H21" s="664"/>
      <c r="I21" s="664"/>
      <c r="J21" s="1352"/>
      <c r="K21" s="682"/>
      <c r="L21" s="686"/>
      <c r="M21" s="1353"/>
    </row>
    <row r="22" spans="1:13" ht="18" x14ac:dyDescent="0.2">
      <c r="A22" s="659"/>
      <c r="B22" s="682"/>
      <c r="C22" s="686"/>
      <c r="D22" s="1354"/>
      <c r="E22" s="1355"/>
      <c r="F22" s="686"/>
      <c r="G22" s="1356"/>
      <c r="H22" s="664"/>
      <c r="I22" s="664"/>
      <c r="J22" s="1357"/>
      <c r="K22" s="682"/>
      <c r="L22" s="686"/>
      <c r="M22" s="1359"/>
    </row>
    <row r="23" spans="1:13" ht="18" x14ac:dyDescent="0.2">
      <c r="A23" s="798" t="s">
        <v>1335</v>
      </c>
      <c r="B23" s="1347"/>
      <c r="C23" s="1348"/>
      <c r="D23" s="1354"/>
      <c r="E23" s="1355"/>
      <c r="F23" s="686"/>
      <c r="G23" s="1356"/>
      <c r="H23" s="1348"/>
      <c r="I23" s="1348"/>
      <c r="J23" s="1358"/>
      <c r="K23" s="682"/>
      <c r="L23" s="686"/>
      <c r="M23" s="1353"/>
    </row>
    <row r="24" spans="1:13" ht="18" x14ac:dyDescent="0.2">
      <c r="A24" s="659" t="s">
        <v>118</v>
      </c>
      <c r="B24" s="682"/>
      <c r="C24" s="686"/>
      <c r="D24" s="1349">
        <v>369.26</v>
      </c>
      <c r="E24" s="1355"/>
      <c r="F24" s="686"/>
      <c r="G24" s="1356">
        <v>377.53</v>
      </c>
      <c r="H24" s="664"/>
      <c r="I24" s="664"/>
      <c r="J24" s="1352">
        <v>2.2396143638628701</v>
      </c>
      <c r="K24" s="682"/>
      <c r="L24" s="686"/>
      <c r="M24" s="1320">
        <v>8.2699999999999818</v>
      </c>
    </row>
    <row r="25" spans="1:13" ht="18" x14ac:dyDescent="0.2">
      <c r="A25" s="659"/>
      <c r="B25" s="682"/>
      <c r="C25" s="686"/>
      <c r="D25" s="1360"/>
      <c r="E25" s="1355"/>
      <c r="F25" s="686"/>
      <c r="G25" s="1361"/>
      <c r="H25" s="664"/>
      <c r="I25" s="664"/>
      <c r="J25" s="1352"/>
      <c r="K25" s="682"/>
      <c r="L25" s="686"/>
      <c r="M25" s="1353"/>
    </row>
    <row r="26" spans="1:13" ht="18" x14ac:dyDescent="0.2">
      <c r="A26" s="798"/>
      <c r="B26" s="682"/>
      <c r="C26" s="686"/>
      <c r="D26" s="1354"/>
      <c r="E26" s="1355"/>
      <c r="F26" s="686"/>
      <c r="G26" s="1356"/>
      <c r="H26" s="664"/>
      <c r="I26" s="664"/>
      <c r="J26" s="1352"/>
      <c r="K26" s="682"/>
      <c r="L26" s="686"/>
      <c r="M26" s="1353"/>
    </row>
    <row r="27" spans="1:13" ht="18" x14ac:dyDescent="0.2">
      <c r="A27" s="1346" t="s">
        <v>119</v>
      </c>
      <c r="B27" s="682"/>
      <c r="C27" s="686"/>
      <c r="D27" s="1354"/>
      <c r="E27" s="1355"/>
      <c r="F27" s="686"/>
      <c r="G27" s="1356"/>
      <c r="H27" s="664"/>
      <c r="I27" s="664"/>
      <c r="J27" s="1352"/>
      <c r="K27" s="682"/>
      <c r="L27" s="686"/>
      <c r="M27" s="1353"/>
    </row>
    <row r="28" spans="1:13" ht="18" x14ac:dyDescent="0.2">
      <c r="A28" s="1362" t="s">
        <v>120</v>
      </c>
      <c r="B28" s="682"/>
      <c r="C28" s="686"/>
      <c r="D28" s="1354"/>
      <c r="E28" s="1355"/>
      <c r="F28" s="686"/>
      <c r="G28" s="1356"/>
      <c r="H28" s="664"/>
      <c r="I28" s="664"/>
      <c r="J28" s="1352"/>
      <c r="K28" s="682"/>
      <c r="L28" s="686"/>
      <c r="M28" s="1353"/>
    </row>
    <row r="29" spans="1:13" ht="18" x14ac:dyDescent="0.2">
      <c r="A29" s="1362"/>
      <c r="B29" s="682"/>
      <c r="C29" s="686"/>
      <c r="D29" s="1354"/>
      <c r="E29" s="1355"/>
      <c r="F29" s="686"/>
      <c r="G29" s="1356"/>
      <c r="H29" s="664"/>
      <c r="I29" s="664"/>
      <c r="J29" s="1352"/>
      <c r="K29" s="682"/>
      <c r="L29" s="686"/>
      <c r="M29" s="1353"/>
    </row>
    <row r="30" spans="1:13" ht="18" x14ac:dyDescent="0.2">
      <c r="A30" s="659" t="s">
        <v>1137</v>
      </c>
      <c r="B30" s="682"/>
      <c r="C30" s="686"/>
      <c r="D30" s="1349">
        <v>72907.154999999999</v>
      </c>
      <c r="E30" s="1355"/>
      <c r="F30" s="686"/>
      <c r="G30" s="1351">
        <v>68269.3</v>
      </c>
      <c r="H30" s="664"/>
      <c r="I30" s="664"/>
      <c r="J30" s="1352">
        <v>-6.3613166636388314</v>
      </c>
      <c r="K30" s="682"/>
      <c r="L30" s="686"/>
      <c r="M30" s="1320">
        <v>-4637.8549999999959</v>
      </c>
    </row>
    <row r="31" spans="1:13" ht="18" x14ac:dyDescent="0.2">
      <c r="A31" s="659" t="s">
        <v>1349</v>
      </c>
      <c r="B31" s="682"/>
      <c r="C31" s="686"/>
      <c r="D31" s="1349">
        <v>3077.915</v>
      </c>
      <c r="E31" s="1355"/>
      <c r="F31" s="686"/>
      <c r="G31" s="1351">
        <v>3125.442</v>
      </c>
      <c r="H31" s="664"/>
      <c r="I31" s="664"/>
      <c r="J31" s="1352">
        <v>1.5441297111843539</v>
      </c>
      <c r="K31" s="682"/>
      <c r="L31" s="686"/>
      <c r="M31" s="1320">
        <v>47.527000000000044</v>
      </c>
    </row>
    <row r="32" spans="1:13" ht="18" x14ac:dyDescent="0.2">
      <c r="A32" s="659" t="s">
        <v>1350</v>
      </c>
      <c r="B32" s="682"/>
      <c r="C32" s="686"/>
      <c r="D32" s="1349">
        <v>534.29092000000003</v>
      </c>
      <c r="E32" s="1355"/>
      <c r="F32" s="686"/>
      <c r="G32" s="1351">
        <v>540.12</v>
      </c>
      <c r="H32" s="664"/>
      <c r="I32" s="664"/>
      <c r="J32" s="1352">
        <v>1.0909936481795341</v>
      </c>
      <c r="K32" s="682"/>
      <c r="L32" s="686"/>
      <c r="M32" s="1320">
        <v>5.8290799999999763</v>
      </c>
    </row>
    <row r="33" spans="1:13" ht="18" x14ac:dyDescent="0.2">
      <c r="A33" s="659" t="s">
        <v>1351</v>
      </c>
      <c r="B33" s="682"/>
      <c r="C33" s="686"/>
      <c r="D33" s="1349">
        <v>1099.8544999999999</v>
      </c>
      <c r="E33" s="1355"/>
      <c r="F33" s="686"/>
      <c r="G33" s="1351">
        <v>1146.925</v>
      </c>
      <c r="H33" s="664"/>
      <c r="I33" s="664"/>
      <c r="J33" s="1352">
        <v>4.2797024515515574</v>
      </c>
      <c r="K33" s="682"/>
      <c r="L33" s="686"/>
      <c r="M33" s="1320">
        <v>47.070500000000038</v>
      </c>
    </row>
    <row r="34" spans="1:13" ht="18" x14ac:dyDescent="0.2">
      <c r="A34" s="659" t="s">
        <v>646</v>
      </c>
      <c r="B34" s="682"/>
      <c r="C34" s="686"/>
      <c r="D34" s="1349">
        <v>405.81065000000001</v>
      </c>
      <c r="E34" s="1355"/>
      <c r="F34" s="686"/>
      <c r="G34" s="1351">
        <v>405.8109</v>
      </c>
      <c r="H34" s="664"/>
      <c r="I34" s="664"/>
      <c r="J34" s="1352">
        <v>6.1605086017380017E-5</v>
      </c>
      <c r="K34" s="682"/>
      <c r="L34" s="686"/>
      <c r="M34" s="1320">
        <v>2.4999999999408828E-4</v>
      </c>
    </row>
    <row r="35" spans="1:13" ht="18" x14ac:dyDescent="0.2">
      <c r="A35" s="659" t="s">
        <v>1778</v>
      </c>
      <c r="B35" s="682"/>
      <c r="C35" s="686"/>
      <c r="D35" s="1349">
        <v>496.28440000000001</v>
      </c>
      <c r="E35" s="1355"/>
      <c r="F35" s="686"/>
      <c r="G35" s="1351">
        <v>496.28500000000003</v>
      </c>
      <c r="H35" s="664"/>
      <c r="I35" s="664"/>
      <c r="J35" s="1352">
        <v>1.2089842033446985E-4</v>
      </c>
      <c r="K35" s="682"/>
      <c r="L35" s="686"/>
      <c r="M35" s="1320">
        <v>6.0000000001991793E-4</v>
      </c>
    </row>
    <row r="36" spans="1:13" ht="18" x14ac:dyDescent="0.2">
      <c r="A36" s="804" t="s">
        <v>121</v>
      </c>
      <c r="B36" s="805"/>
      <c r="C36" s="710"/>
      <c r="D36" s="1847">
        <v>78521.310469999997</v>
      </c>
      <c r="E36" s="1345"/>
      <c r="F36" s="710"/>
      <c r="G36" s="1317">
        <v>73983.882899999997</v>
      </c>
      <c r="H36" s="806"/>
      <c r="I36" s="806"/>
      <c r="J36" s="1737">
        <v>-5.7785937891772505</v>
      </c>
      <c r="K36" s="805"/>
      <c r="L36" s="710"/>
      <c r="M36" s="1317">
        <v>-4537.4275699999998</v>
      </c>
    </row>
    <row r="37" spans="1:13" ht="18" x14ac:dyDescent="0.2">
      <c r="A37" s="1725" t="s">
        <v>265</v>
      </c>
      <c r="B37" s="799"/>
      <c r="C37" s="681"/>
      <c r="D37" s="800"/>
      <c r="E37" s="801"/>
      <c r="F37" s="681"/>
      <c r="G37" s="802"/>
      <c r="H37" s="655"/>
      <c r="I37" s="655"/>
      <c r="J37" s="803"/>
      <c r="K37" s="799"/>
      <c r="L37" s="681"/>
      <c r="M37" s="1728"/>
    </row>
    <row r="38" spans="1:13" ht="18" x14ac:dyDescent="0.2">
      <c r="A38" s="804" t="s">
        <v>122</v>
      </c>
      <c r="B38" s="805"/>
      <c r="C38" s="710"/>
      <c r="D38" s="1847">
        <v>126502.61652</v>
      </c>
      <c r="E38" s="1345"/>
      <c r="F38" s="710"/>
      <c r="G38" s="711">
        <v>122617.01045</v>
      </c>
      <c r="H38" s="806"/>
      <c r="I38" s="806"/>
      <c r="J38" s="807">
        <v>-3.0715618197396566</v>
      </c>
      <c r="K38" s="805"/>
      <c r="L38" s="710"/>
      <c r="M38" s="1317">
        <v>-3885.6060699999944</v>
      </c>
    </row>
    <row r="39" spans="1:13" ht="18" x14ac:dyDescent="0.2">
      <c r="A39" s="804" t="s">
        <v>123</v>
      </c>
      <c r="B39" s="805"/>
      <c r="C39" s="710"/>
      <c r="D39" s="1848">
        <v>369.26</v>
      </c>
      <c r="E39" s="710"/>
      <c r="F39" s="710"/>
      <c r="G39" s="711">
        <v>377.53</v>
      </c>
      <c r="H39" s="806"/>
      <c r="I39" s="806"/>
      <c r="J39" s="807">
        <v>2.2396143638628701</v>
      </c>
      <c r="K39" s="805"/>
      <c r="L39" s="710"/>
      <c r="M39" s="1317">
        <v>8.2699999999999818</v>
      </c>
    </row>
    <row r="40" spans="1:13" ht="18" x14ac:dyDescent="0.2">
      <c r="A40" s="804" t="s">
        <v>124</v>
      </c>
      <c r="B40" s="805"/>
      <c r="C40" s="710"/>
      <c r="D40" s="711">
        <v>144022065</v>
      </c>
      <c r="E40" s="710"/>
      <c r="F40" s="710"/>
      <c r="G40" s="711">
        <v>135159865</v>
      </c>
      <c r="H40" s="806"/>
      <c r="I40" s="806"/>
      <c r="J40" s="807">
        <v>-6.1533626809197557</v>
      </c>
      <c r="K40" s="805"/>
      <c r="L40" s="710"/>
      <c r="M40" s="1317">
        <v>-8862200</v>
      </c>
    </row>
    <row r="41" spans="1:13" ht="18.75" thickBot="1" x14ac:dyDescent="0.25">
      <c r="A41" s="808" t="s">
        <v>125</v>
      </c>
      <c r="B41" s="809"/>
      <c r="C41" s="810"/>
      <c r="D41" s="718">
        <v>610334000</v>
      </c>
      <c r="E41" s="810"/>
      <c r="F41" s="810"/>
      <c r="G41" s="718">
        <v>613959000</v>
      </c>
      <c r="H41" s="811"/>
      <c r="I41" s="811"/>
      <c r="J41" s="812">
        <v>0.59393709018340246</v>
      </c>
      <c r="K41" s="809"/>
      <c r="L41" s="810"/>
      <c r="M41" s="1729">
        <v>3625000</v>
      </c>
    </row>
    <row r="42" spans="1:13" ht="15" x14ac:dyDescent="0.2">
      <c r="A42" s="7" t="s">
        <v>1934</v>
      </c>
      <c r="B42" s="572"/>
      <c r="C42" s="572"/>
      <c r="D42" s="572"/>
      <c r="E42" s="572"/>
      <c r="F42" s="572"/>
      <c r="G42" s="513"/>
      <c r="H42" s="512"/>
      <c r="I42" s="512"/>
      <c r="J42" s="512"/>
      <c r="K42" s="512"/>
      <c r="L42" s="512"/>
      <c r="M42" s="512"/>
    </row>
    <row r="43" spans="1:13" ht="15" x14ac:dyDescent="0.2">
      <c r="A43" s="576"/>
      <c r="B43" s="510"/>
      <c r="C43" s="510"/>
      <c r="D43" s="510"/>
      <c r="E43" s="510"/>
      <c r="F43" s="512"/>
      <c r="G43" s="513"/>
      <c r="H43" s="512"/>
      <c r="I43" s="512"/>
      <c r="J43" s="512"/>
      <c r="K43" s="512"/>
      <c r="L43" s="512"/>
      <c r="M43" s="512"/>
    </row>
    <row r="45" spans="1:13" ht="18" x14ac:dyDescent="0.25">
      <c r="D45" s="2206"/>
    </row>
  </sheetData>
  <mergeCells count="13">
    <mergeCell ref="H6:J6"/>
    <mergeCell ref="K6:M6"/>
    <mergeCell ref="B7:D7"/>
    <mergeCell ref="E7:G7"/>
    <mergeCell ref="H7:J7"/>
    <mergeCell ref="K7:M7"/>
    <mergeCell ref="A2:M2"/>
    <mergeCell ref="B4:D4"/>
    <mergeCell ref="H4:M4"/>
    <mergeCell ref="B5:D5"/>
    <mergeCell ref="E5:G5"/>
    <mergeCell ref="H5:J5"/>
    <mergeCell ref="K5:M5"/>
  </mergeCells>
  <phoneticPr fontId="13" type="noConversion"/>
  <pageMargins left="0.78740157480314965" right="0.39370078740157483" top="0.98425196850393704" bottom="0.59055118110236227" header="0.59055118110236227" footer="0"/>
  <pageSetup scale="65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75" workbookViewId="0"/>
  </sheetViews>
  <sheetFormatPr baseColWidth="10" defaultColWidth="11.42578125" defaultRowHeight="12.75" x14ac:dyDescent="0.2"/>
  <cols>
    <col min="1" max="1" width="5.7109375" customWidth="1"/>
    <col min="2" max="2" width="46.42578125" customWidth="1"/>
    <col min="3" max="3" width="20" customWidth="1"/>
    <col min="4" max="4" width="22.140625" customWidth="1"/>
    <col min="5" max="5" width="23.7109375" customWidth="1"/>
    <col min="6" max="6" width="21" customWidth="1"/>
    <col min="7" max="7" width="18.85546875" customWidth="1"/>
    <col min="8" max="8" width="16.5703125" customWidth="1"/>
  </cols>
  <sheetData>
    <row r="1" spans="1:9" ht="15.75" x14ac:dyDescent="0.2">
      <c r="A1" s="295"/>
      <c r="B1" s="3152" t="s">
        <v>324</v>
      </c>
      <c r="C1" s="3152"/>
      <c r="D1" s="3152"/>
      <c r="E1" s="3152"/>
      <c r="F1" s="3152"/>
      <c r="G1" s="3152"/>
      <c r="H1" s="3152"/>
      <c r="I1" s="510"/>
    </row>
    <row r="2" spans="1:9" ht="15.75" x14ac:dyDescent="0.2">
      <c r="A2" s="295"/>
      <c r="B2" s="3152" t="s">
        <v>127</v>
      </c>
      <c r="C2" s="3152"/>
      <c r="D2" s="3152"/>
      <c r="E2" s="3152"/>
      <c r="F2" s="3152"/>
      <c r="G2" s="3152"/>
      <c r="H2" s="3152"/>
      <c r="I2" s="510"/>
    </row>
    <row r="3" spans="1:9" x14ac:dyDescent="0.2">
      <c r="A3" s="295"/>
      <c r="B3" s="510"/>
      <c r="C3" s="510"/>
      <c r="D3" s="510"/>
      <c r="E3" s="510"/>
      <c r="F3" s="510"/>
      <c r="G3" s="510"/>
      <c r="H3" s="510"/>
      <c r="I3" s="510"/>
    </row>
    <row r="4" spans="1:9" ht="16.5" customHeight="1" x14ac:dyDescent="0.2">
      <c r="A4" s="295"/>
      <c r="B4" s="510"/>
      <c r="C4" s="510"/>
      <c r="D4" s="510"/>
      <c r="E4" s="510"/>
      <c r="F4" s="510"/>
      <c r="G4" s="510"/>
      <c r="H4" s="1989" t="s">
        <v>1816</v>
      </c>
      <c r="I4" s="510"/>
    </row>
    <row r="5" spans="1:9" ht="16.5" thickBot="1" x14ac:dyDescent="0.25">
      <c r="A5" s="295"/>
      <c r="B5" s="3283" t="s">
        <v>2003</v>
      </c>
      <c r="C5" s="3283"/>
      <c r="D5" s="3283"/>
      <c r="E5" s="3283"/>
      <c r="F5" s="3283"/>
      <c r="G5" s="3283"/>
      <c r="H5" s="3283"/>
      <c r="I5" s="510"/>
    </row>
    <row r="6" spans="1:9" ht="15.75" x14ac:dyDescent="0.2">
      <c r="A6" s="295"/>
      <c r="B6" s="3153" t="s">
        <v>109</v>
      </c>
      <c r="C6" s="514" t="s">
        <v>76</v>
      </c>
      <c r="D6" s="3187" t="s">
        <v>128</v>
      </c>
      <c r="E6" s="3188"/>
      <c r="F6" s="3156" t="s">
        <v>78</v>
      </c>
      <c r="G6" s="3160"/>
      <c r="H6" s="3188"/>
      <c r="I6" s="510"/>
    </row>
    <row r="7" spans="1:9" ht="16.5" thickBot="1" x14ac:dyDescent="0.25">
      <c r="A7" s="295"/>
      <c r="B7" s="3154"/>
      <c r="C7" s="515" t="s">
        <v>79</v>
      </c>
      <c r="D7" s="3189"/>
      <c r="E7" s="3190"/>
      <c r="F7" s="3191" t="s">
        <v>1553</v>
      </c>
      <c r="G7" s="3192"/>
      <c r="H7" s="3193"/>
      <c r="I7" s="510"/>
    </row>
    <row r="8" spans="1:9" ht="15.75" x14ac:dyDescent="0.2">
      <c r="A8" s="295"/>
      <c r="B8" s="3154"/>
      <c r="C8" s="515" t="s">
        <v>843</v>
      </c>
      <c r="D8" s="3158" t="s">
        <v>1903</v>
      </c>
      <c r="E8" s="3158" t="s">
        <v>1998</v>
      </c>
      <c r="F8" s="3153">
        <v>2022</v>
      </c>
      <c r="G8" s="3153">
        <v>2023</v>
      </c>
      <c r="H8" s="3153" t="s">
        <v>80</v>
      </c>
      <c r="I8" s="510"/>
    </row>
    <row r="9" spans="1:9" ht="16.5" thickBot="1" x14ac:dyDescent="0.25">
      <c r="A9" s="295"/>
      <c r="B9" s="3155"/>
      <c r="C9" s="1981" t="s">
        <v>1551</v>
      </c>
      <c r="D9" s="3170"/>
      <c r="E9" s="3170"/>
      <c r="F9" s="3155"/>
      <c r="G9" s="3155"/>
      <c r="H9" s="3155"/>
      <c r="I9" s="510"/>
    </row>
    <row r="10" spans="1:9" ht="18" x14ac:dyDescent="0.2">
      <c r="A10" s="295"/>
      <c r="B10" s="1366" t="s">
        <v>110</v>
      </c>
      <c r="C10" s="1367"/>
      <c r="D10" s="1367"/>
      <c r="E10" s="1368"/>
      <c r="F10" s="813"/>
      <c r="G10" s="814"/>
      <c r="H10" s="813"/>
      <c r="I10" s="510"/>
    </row>
    <row r="11" spans="1:9" ht="18" x14ac:dyDescent="0.2">
      <c r="A11" s="295"/>
      <c r="B11" s="798" t="s">
        <v>111</v>
      </c>
      <c r="C11" s="601"/>
      <c r="D11" s="734"/>
      <c r="E11" s="601"/>
      <c r="F11" s="1331"/>
      <c r="G11" s="1332"/>
      <c r="H11" s="1331"/>
      <c r="I11" s="510"/>
    </row>
    <row r="12" spans="1:9" ht="18" x14ac:dyDescent="0.2">
      <c r="A12" s="295"/>
      <c r="B12" s="659" t="s">
        <v>112</v>
      </c>
      <c r="C12" s="686">
        <v>2850000</v>
      </c>
      <c r="D12" s="1369">
        <v>32921.089999999997</v>
      </c>
      <c r="E12" s="1356">
        <v>32674.68</v>
      </c>
      <c r="F12" s="773">
        <v>93825.10649999998</v>
      </c>
      <c r="G12" s="1854">
        <v>93122.838000000003</v>
      </c>
      <c r="H12" s="773">
        <v>-0.74848676031076877</v>
      </c>
      <c r="I12" s="510"/>
    </row>
    <row r="13" spans="1:9" ht="18" x14ac:dyDescent="0.2">
      <c r="A13" s="295"/>
      <c r="B13" s="659" t="s">
        <v>113</v>
      </c>
      <c r="C13" s="686">
        <v>535</v>
      </c>
      <c r="D13" s="1369">
        <v>144022065</v>
      </c>
      <c r="E13" s="1356">
        <v>135159865</v>
      </c>
      <c r="F13" s="773">
        <v>77051.804774999997</v>
      </c>
      <c r="G13" s="1854">
        <v>72310.527774999995</v>
      </c>
      <c r="H13" s="773">
        <v>-6.1533626809197557</v>
      </c>
      <c r="I13" s="510"/>
    </row>
    <row r="14" spans="1:9" ht="18" x14ac:dyDescent="0.2">
      <c r="A14" s="295"/>
      <c r="B14" s="708" t="s">
        <v>433</v>
      </c>
      <c r="C14" s="815"/>
      <c r="D14" s="816"/>
      <c r="E14" s="817"/>
      <c r="F14" s="818">
        <v>170876.91127499996</v>
      </c>
      <c r="G14" s="819">
        <v>165433.36577500001</v>
      </c>
      <c r="H14" s="818">
        <v>-3.1856530290621947</v>
      </c>
      <c r="I14" s="510"/>
    </row>
    <row r="15" spans="1:9" ht="18" x14ac:dyDescent="0.2">
      <c r="A15" s="295"/>
      <c r="B15" s="798"/>
      <c r="C15" s="686"/>
      <c r="D15" s="1369"/>
      <c r="E15" s="1356"/>
      <c r="F15" s="1331"/>
      <c r="G15" s="1332"/>
      <c r="H15" s="1331"/>
      <c r="I15" s="510"/>
    </row>
    <row r="16" spans="1:9" ht="18" x14ac:dyDescent="0.2">
      <c r="A16" s="295"/>
      <c r="B16" s="798" t="s">
        <v>1300</v>
      </c>
      <c r="C16" s="686"/>
      <c r="D16" s="1369"/>
      <c r="E16" s="1356"/>
      <c r="F16" s="1331"/>
      <c r="G16" s="1332"/>
      <c r="H16" s="1331"/>
      <c r="I16" s="510"/>
    </row>
    <row r="17" spans="1:9" ht="18" x14ac:dyDescent="0.2">
      <c r="A17" s="295"/>
      <c r="B17" s="659" t="s">
        <v>114</v>
      </c>
      <c r="C17" s="686">
        <v>4000000</v>
      </c>
      <c r="D17" s="1369">
        <v>5294.2999999999993</v>
      </c>
      <c r="E17" s="1356">
        <v>5289.8000000000011</v>
      </c>
      <c r="F17" s="773">
        <v>21177.199999999997</v>
      </c>
      <c r="G17" s="1854">
        <v>21159.200000000004</v>
      </c>
      <c r="H17" s="773">
        <v>-8.4997072323034217E-2</v>
      </c>
      <c r="I17" s="510"/>
    </row>
    <row r="18" spans="1:9" ht="18" x14ac:dyDescent="0.2">
      <c r="A18" s="295"/>
      <c r="B18" s="708" t="s">
        <v>433</v>
      </c>
      <c r="C18" s="815"/>
      <c r="D18" s="816"/>
      <c r="E18" s="817"/>
      <c r="F18" s="818">
        <v>21177.199999999997</v>
      </c>
      <c r="G18" s="819">
        <v>21159.200000000004</v>
      </c>
      <c r="H18" s="818">
        <v>-8.4997072323034217E-2</v>
      </c>
      <c r="I18" s="510"/>
    </row>
    <row r="19" spans="1:9" ht="18" x14ac:dyDescent="0.2">
      <c r="A19" s="295"/>
      <c r="B19" s="659"/>
      <c r="C19" s="686"/>
      <c r="D19" s="1369"/>
      <c r="E19" s="1356"/>
      <c r="F19" s="1331"/>
      <c r="G19" s="1332"/>
      <c r="H19" s="1331"/>
      <c r="I19" s="510"/>
    </row>
    <row r="20" spans="1:9" ht="18" x14ac:dyDescent="0.2">
      <c r="A20" s="295"/>
      <c r="B20" s="798" t="s">
        <v>115</v>
      </c>
      <c r="C20" s="686"/>
      <c r="D20" s="1369"/>
      <c r="E20" s="1356"/>
      <c r="F20" s="1331"/>
      <c r="G20" s="1332"/>
      <c r="H20" s="1331"/>
      <c r="I20" s="510"/>
    </row>
    <row r="21" spans="1:9" ht="18" x14ac:dyDescent="0.2">
      <c r="A21" s="295"/>
      <c r="B21" s="659" t="s">
        <v>116</v>
      </c>
      <c r="C21" s="686">
        <v>4050000</v>
      </c>
      <c r="D21" s="1369">
        <v>9765.9160500000016</v>
      </c>
      <c r="E21" s="1356">
        <v>10668.647550000002</v>
      </c>
      <c r="F21" s="773">
        <v>39551.960002500011</v>
      </c>
      <c r="G21" s="1854">
        <v>43208.022577500007</v>
      </c>
      <c r="H21" s="773">
        <v>9.2436950653492431</v>
      </c>
      <c r="I21" s="510"/>
    </row>
    <row r="22" spans="1:9" ht="18" x14ac:dyDescent="0.2">
      <c r="A22" s="295"/>
      <c r="B22" s="659" t="s">
        <v>117</v>
      </c>
      <c r="C22" s="686">
        <v>162</v>
      </c>
      <c r="D22" s="1369">
        <v>610334000</v>
      </c>
      <c r="E22" s="1356">
        <v>613959000</v>
      </c>
      <c r="F22" s="773">
        <v>98874.107999999993</v>
      </c>
      <c r="G22" s="1854">
        <v>99461.357999999993</v>
      </c>
      <c r="H22" s="773">
        <v>0.59393709018340246</v>
      </c>
      <c r="I22" s="510"/>
    </row>
    <row r="23" spans="1:9" ht="18" x14ac:dyDescent="0.2">
      <c r="A23" s="295"/>
      <c r="B23" s="708" t="s">
        <v>433</v>
      </c>
      <c r="C23" s="815"/>
      <c r="D23" s="816"/>
      <c r="E23" s="817"/>
      <c r="F23" s="818">
        <v>138426.06800249999</v>
      </c>
      <c r="G23" s="819">
        <v>142669.38057750001</v>
      </c>
      <c r="H23" s="818">
        <v>3.0653999179716607</v>
      </c>
      <c r="I23" s="510"/>
    </row>
    <row r="24" spans="1:9" ht="18" x14ac:dyDescent="0.2">
      <c r="A24" s="295"/>
      <c r="B24" s="659"/>
      <c r="C24" s="686"/>
      <c r="D24" s="1369"/>
      <c r="E24" s="1356"/>
      <c r="F24" s="1331"/>
      <c r="G24" s="1332"/>
      <c r="H24" s="1331"/>
      <c r="I24" s="510"/>
    </row>
    <row r="25" spans="1:9" ht="18" x14ac:dyDescent="0.2">
      <c r="A25" s="295"/>
      <c r="B25" s="798" t="s">
        <v>1335</v>
      </c>
      <c r="C25" s="686"/>
      <c r="D25" s="1369"/>
      <c r="E25" s="1356"/>
      <c r="F25" s="1331"/>
      <c r="G25" s="1332"/>
      <c r="H25" s="1331"/>
      <c r="I25" s="510"/>
    </row>
    <row r="26" spans="1:9" ht="18" x14ac:dyDescent="0.2">
      <c r="A26" s="295"/>
      <c r="B26" s="659" t="s">
        <v>118</v>
      </c>
      <c r="C26" s="686">
        <v>5500000</v>
      </c>
      <c r="D26" s="1369">
        <v>369.26</v>
      </c>
      <c r="E26" s="1356">
        <v>377.53</v>
      </c>
      <c r="F26" s="773">
        <v>2030.93</v>
      </c>
      <c r="G26" s="1854">
        <v>2076.415</v>
      </c>
      <c r="H26" s="773">
        <v>2.2396143638628558</v>
      </c>
      <c r="I26" s="510"/>
    </row>
    <row r="27" spans="1:9" ht="18" x14ac:dyDescent="0.2">
      <c r="A27" s="295"/>
      <c r="B27" s="708" t="s">
        <v>433</v>
      </c>
      <c r="C27" s="710"/>
      <c r="D27" s="818"/>
      <c r="E27" s="820"/>
      <c r="F27" s="818">
        <v>2030.93</v>
      </c>
      <c r="G27" s="819">
        <v>2076.415</v>
      </c>
      <c r="H27" s="818">
        <v>2.2396143638628558</v>
      </c>
      <c r="I27" s="510"/>
    </row>
    <row r="28" spans="1:9" ht="18" x14ac:dyDescent="0.2">
      <c r="A28" s="295"/>
      <c r="B28" s="798"/>
      <c r="C28" s="1370"/>
      <c r="D28" s="1371"/>
      <c r="E28" s="1372"/>
      <c r="F28" s="1371"/>
      <c r="G28" s="1373"/>
      <c r="H28" s="1371"/>
      <c r="I28" s="510"/>
    </row>
    <row r="29" spans="1:9" ht="18" x14ac:dyDescent="0.2">
      <c r="A29" s="295"/>
      <c r="B29" s="708" t="s">
        <v>129</v>
      </c>
      <c r="C29" s="710"/>
      <c r="D29" s="818"/>
      <c r="E29" s="820"/>
      <c r="F29" s="818">
        <v>332511.10927749996</v>
      </c>
      <c r="G29" s="818">
        <v>331338.36135249998</v>
      </c>
      <c r="H29" s="818">
        <v>-0.35269435885862777</v>
      </c>
      <c r="I29" s="510"/>
    </row>
    <row r="30" spans="1:9" ht="18" x14ac:dyDescent="0.2">
      <c r="A30" s="295"/>
      <c r="B30" s="798"/>
      <c r="C30" s="686"/>
      <c r="D30" s="1369"/>
      <c r="E30" s="1356"/>
      <c r="F30" s="1331"/>
      <c r="G30" s="1332"/>
      <c r="H30" s="1331"/>
      <c r="I30" s="510"/>
    </row>
    <row r="31" spans="1:9" ht="18" x14ac:dyDescent="0.2">
      <c r="A31" s="295"/>
      <c r="B31" s="1346" t="s">
        <v>119</v>
      </c>
      <c r="C31" s="686"/>
      <c r="D31" s="1369"/>
      <c r="E31" s="1356"/>
      <c r="F31" s="1331"/>
      <c r="G31" s="1332"/>
      <c r="H31" s="1331"/>
      <c r="I31" s="510"/>
    </row>
    <row r="32" spans="1:9" ht="18" x14ac:dyDescent="0.2">
      <c r="A32" s="295"/>
      <c r="B32" s="659" t="s">
        <v>1516</v>
      </c>
      <c r="C32" s="686">
        <v>4150000</v>
      </c>
      <c r="D32" s="1923">
        <v>72907.154999999999</v>
      </c>
      <c r="E32" s="1351">
        <v>68269.3</v>
      </c>
      <c r="F32" s="773">
        <v>302564.69325000001</v>
      </c>
      <c r="G32" s="1854">
        <v>283317.59499999997</v>
      </c>
      <c r="H32" s="773">
        <v>-6.3613166636388598</v>
      </c>
      <c r="I32" s="510"/>
    </row>
    <row r="33" spans="1:9" ht="18" x14ac:dyDescent="0.2">
      <c r="A33" s="295"/>
      <c r="B33" s="659" t="s">
        <v>130</v>
      </c>
      <c r="C33" s="686">
        <v>3800000</v>
      </c>
      <c r="D33" s="1923">
        <v>3077.915</v>
      </c>
      <c r="E33" s="1351">
        <v>3125.442</v>
      </c>
      <c r="F33" s="773">
        <v>11696.076999999999</v>
      </c>
      <c r="G33" s="1854">
        <v>11876.679599999999</v>
      </c>
      <c r="H33" s="773">
        <v>1.5441297111843539</v>
      </c>
      <c r="I33" s="510"/>
    </row>
    <row r="34" spans="1:9" ht="18" x14ac:dyDescent="0.2">
      <c r="A34" s="295"/>
      <c r="B34" s="659" t="s">
        <v>131</v>
      </c>
      <c r="C34" s="686">
        <v>3800000</v>
      </c>
      <c r="D34" s="1923">
        <v>534.29092000000003</v>
      </c>
      <c r="E34" s="1351">
        <v>540.12</v>
      </c>
      <c r="F34" s="773">
        <v>2030.3054959999999</v>
      </c>
      <c r="G34" s="1854">
        <v>2052.4560000000001</v>
      </c>
      <c r="H34" s="773">
        <v>1.0909936481795341</v>
      </c>
      <c r="I34" s="510"/>
    </row>
    <row r="35" spans="1:9" ht="18" x14ac:dyDescent="0.2">
      <c r="A35" s="295"/>
      <c r="B35" s="659" t="s">
        <v>132</v>
      </c>
      <c r="C35" s="686">
        <v>4500000</v>
      </c>
      <c r="D35" s="1923">
        <v>1099.8544999999999</v>
      </c>
      <c r="E35" s="1351">
        <v>1146.925</v>
      </c>
      <c r="F35" s="773">
        <v>4949.3452500000003</v>
      </c>
      <c r="G35" s="1854">
        <v>5161.1625000000004</v>
      </c>
      <c r="H35" s="773">
        <v>4.2797024515515574</v>
      </c>
      <c r="I35" s="510"/>
    </row>
    <row r="36" spans="1:9" ht="18" x14ac:dyDescent="0.2">
      <c r="A36" s="295"/>
      <c r="B36" s="659" t="s">
        <v>1779</v>
      </c>
      <c r="C36" s="686">
        <v>3100000</v>
      </c>
      <c r="D36" s="1923">
        <v>405.81065000000001</v>
      </c>
      <c r="E36" s="1351">
        <v>405.8109</v>
      </c>
      <c r="F36" s="773">
        <v>1258.013015</v>
      </c>
      <c r="G36" s="1854">
        <v>1258.01379</v>
      </c>
      <c r="H36" s="773">
        <v>6.1605086017380017E-5</v>
      </c>
      <c r="I36" s="510"/>
    </row>
    <row r="37" spans="1:9" ht="18" x14ac:dyDescent="0.2">
      <c r="A37" s="295"/>
      <c r="B37" s="659" t="s">
        <v>1780</v>
      </c>
      <c r="C37" s="686">
        <v>3850000</v>
      </c>
      <c r="D37" s="1923">
        <v>496.28440000000001</v>
      </c>
      <c r="E37" s="1351">
        <v>496.28500000000003</v>
      </c>
      <c r="F37" s="773">
        <v>1910.6949400000001</v>
      </c>
      <c r="G37" s="1854">
        <v>1910.6972499999999</v>
      </c>
      <c r="H37" s="773">
        <v>1.2089842033446985E-4</v>
      </c>
      <c r="I37" s="510"/>
    </row>
    <row r="38" spans="1:9" ht="18" x14ac:dyDescent="0.2">
      <c r="A38" s="295"/>
      <c r="B38" s="708" t="s">
        <v>133</v>
      </c>
      <c r="C38" s="606"/>
      <c r="D38" s="2207">
        <v>78521.310469999997</v>
      </c>
      <c r="E38" s="1317">
        <v>73983.882899999997</v>
      </c>
      <c r="F38" s="818">
        <v>324409.12895099999</v>
      </c>
      <c r="G38" s="819">
        <v>305576.60413999995</v>
      </c>
      <c r="H38" s="818">
        <v>-5.8051772069104004</v>
      </c>
      <c r="I38" s="510"/>
    </row>
    <row r="39" spans="1:9" ht="16.5" thickBot="1" x14ac:dyDescent="0.25">
      <c r="A39" s="295"/>
      <c r="B39" s="1726" t="s">
        <v>265</v>
      </c>
      <c r="C39" s="1363"/>
      <c r="D39" s="821"/>
      <c r="E39" s="821"/>
      <c r="F39" s="822"/>
      <c r="G39" s="822"/>
      <c r="H39" s="822"/>
      <c r="I39" s="510"/>
    </row>
    <row r="40" spans="1:9" ht="18.75" thickBot="1" x14ac:dyDescent="0.25">
      <c r="A40" s="295"/>
      <c r="B40" s="823" t="s">
        <v>134</v>
      </c>
      <c r="C40" s="1364"/>
      <c r="D40" s="2189">
        <v>126502.61652</v>
      </c>
      <c r="E40" s="1855">
        <v>122617.01045</v>
      </c>
      <c r="F40" s="1855">
        <v>478963.39545349998</v>
      </c>
      <c r="G40" s="1855">
        <v>463066.66471749998</v>
      </c>
      <c r="H40" s="1856">
        <v>-3.3189865628350077</v>
      </c>
      <c r="I40" s="510"/>
    </row>
    <row r="41" spans="1:9" ht="18.75" thickBot="1" x14ac:dyDescent="0.25">
      <c r="A41" s="295"/>
      <c r="B41" s="693" t="s">
        <v>123</v>
      </c>
      <c r="C41" s="1365"/>
      <c r="D41" s="2190">
        <v>369.26</v>
      </c>
      <c r="E41" s="1857">
        <v>377.53</v>
      </c>
      <c r="F41" s="1858">
        <v>2030.93</v>
      </c>
      <c r="G41" s="1858">
        <v>2076.415</v>
      </c>
      <c r="H41" s="1858">
        <v>2.2396143638628558</v>
      </c>
      <c r="I41" s="510"/>
    </row>
    <row r="42" spans="1:9" ht="18.75" thickBot="1" x14ac:dyDescent="0.25">
      <c r="A42" s="295"/>
      <c r="B42" s="693" t="s">
        <v>124</v>
      </c>
      <c r="C42" s="759"/>
      <c r="D42" s="1857">
        <v>144022065</v>
      </c>
      <c r="E42" s="1857">
        <v>135159865</v>
      </c>
      <c r="F42" s="1857">
        <v>77051.804774999997</v>
      </c>
      <c r="G42" s="1857">
        <v>72310.527774999995</v>
      </c>
      <c r="H42" s="1858">
        <v>-6.1533626809197557</v>
      </c>
      <c r="I42" s="510"/>
    </row>
    <row r="43" spans="1:9" ht="18.75" thickBot="1" x14ac:dyDescent="0.25">
      <c r="A43" s="295"/>
      <c r="B43" s="824" t="s">
        <v>125</v>
      </c>
      <c r="C43" s="759"/>
      <c r="D43" s="1857">
        <v>610334000</v>
      </c>
      <c r="E43" s="1857">
        <v>613959000</v>
      </c>
      <c r="F43" s="1857">
        <v>98874.107999999993</v>
      </c>
      <c r="G43" s="1857">
        <v>99461.357999999993</v>
      </c>
      <c r="H43" s="1858">
        <v>0.59393709018340246</v>
      </c>
      <c r="I43" s="510"/>
    </row>
    <row r="44" spans="1:9" ht="18.75" thickBot="1" x14ac:dyDescent="0.25">
      <c r="A44" s="295"/>
      <c r="B44" s="825" t="s">
        <v>135</v>
      </c>
      <c r="C44" s="759"/>
      <c r="D44" s="759"/>
      <c r="E44" s="759"/>
      <c r="F44" s="1723">
        <v>656920.23822850001</v>
      </c>
      <c r="G44" s="1723">
        <v>636914.96549249999</v>
      </c>
      <c r="H44" s="1723">
        <v>-3.0453122878277696</v>
      </c>
      <c r="I44" s="510"/>
    </row>
    <row r="45" spans="1:9" ht="15" x14ac:dyDescent="0.2">
      <c r="A45" s="295"/>
      <c r="B45" s="7" t="s">
        <v>1934</v>
      </c>
      <c r="C45" s="572"/>
      <c r="D45" s="572"/>
      <c r="E45" s="572"/>
      <c r="F45" s="512"/>
      <c r="G45" s="512"/>
      <c r="H45" s="512"/>
      <c r="I45" s="510"/>
    </row>
    <row r="46" spans="1:9" ht="15" x14ac:dyDescent="0.2">
      <c r="A46" s="295"/>
      <c r="B46" s="576"/>
      <c r="C46" s="510"/>
      <c r="D46" s="510"/>
      <c r="E46" s="510"/>
      <c r="F46" s="512"/>
      <c r="G46" s="512"/>
      <c r="I46" s="510"/>
    </row>
    <row r="57" spans="2:9" x14ac:dyDescent="0.2">
      <c r="D57" s="295"/>
      <c r="E57" s="295"/>
      <c r="F57" s="295"/>
      <c r="G57" s="295"/>
      <c r="H57" s="295"/>
      <c r="I57" s="295"/>
    </row>
    <row r="58" spans="2:9" ht="15.75" x14ac:dyDescent="0.25">
      <c r="D58" s="3241"/>
      <c r="E58" s="3241"/>
      <c r="F58" s="3241"/>
      <c r="G58" s="3241"/>
      <c r="H58" s="3241"/>
      <c r="I58" s="3241"/>
    </row>
    <row r="59" spans="2:9" ht="15.75" x14ac:dyDescent="0.25">
      <c r="D59" s="3241"/>
      <c r="E59" s="3241"/>
      <c r="F59" s="3241"/>
      <c r="G59" s="3241"/>
      <c r="H59" s="3241"/>
      <c r="I59" s="3241"/>
    </row>
    <row r="60" spans="2:9" x14ac:dyDescent="0.2">
      <c r="D60" s="295"/>
      <c r="E60" s="295"/>
      <c r="F60" s="295"/>
      <c r="G60" s="295"/>
      <c r="H60" s="295"/>
      <c r="I60" s="295"/>
    </row>
    <row r="61" spans="2:9" ht="15.75" x14ac:dyDescent="0.25">
      <c r="B61" s="3241" t="s">
        <v>819</v>
      </c>
      <c r="C61" s="3241"/>
      <c r="D61" s="3241"/>
      <c r="E61" s="3241"/>
      <c r="F61" s="3241"/>
      <c r="G61" s="3241"/>
    </row>
    <row r="62" spans="2:9" ht="15.75" x14ac:dyDescent="0.25">
      <c r="B62" s="3241" t="s">
        <v>2004</v>
      </c>
      <c r="C62" s="3241"/>
      <c r="D62" s="3241"/>
      <c r="E62" s="3241"/>
      <c r="F62" s="3241"/>
      <c r="G62" s="3241"/>
    </row>
    <row r="63" spans="2:9" ht="15.75" x14ac:dyDescent="0.25">
      <c r="B63" s="766"/>
      <c r="C63" s="766"/>
      <c r="D63" s="766"/>
      <c r="E63" s="766"/>
      <c r="F63" s="295"/>
      <c r="G63" s="295"/>
    </row>
    <row r="64" spans="2:9" ht="13.5" thickBot="1" x14ac:dyDescent="0.25">
      <c r="B64" s="295"/>
      <c r="C64" s="295"/>
      <c r="D64" s="295"/>
      <c r="E64" s="767"/>
      <c r="F64" s="295"/>
      <c r="G64" s="1985" t="s">
        <v>1554</v>
      </c>
    </row>
    <row r="65" spans="2:7" ht="16.5" x14ac:dyDescent="0.25">
      <c r="B65" s="3243" t="s">
        <v>109</v>
      </c>
      <c r="C65" s="3246" t="s">
        <v>102</v>
      </c>
      <c r="D65" s="3247"/>
      <c r="E65" s="3248"/>
      <c r="F65" s="3249" t="s">
        <v>103</v>
      </c>
      <c r="G65" s="3250"/>
    </row>
    <row r="66" spans="2:7" ht="17.25" thickBot="1" x14ac:dyDescent="0.3">
      <c r="B66" s="3244"/>
      <c r="C66" s="3251" t="s">
        <v>1570</v>
      </c>
      <c r="D66" s="3252"/>
      <c r="E66" s="3253"/>
      <c r="F66" s="3254" t="s">
        <v>104</v>
      </c>
      <c r="G66" s="3255"/>
    </row>
    <row r="67" spans="2:7" ht="16.5" x14ac:dyDescent="0.25">
      <c r="B67" s="3244"/>
      <c r="C67" s="947">
        <v>2022</v>
      </c>
      <c r="D67" s="947">
        <v>2023</v>
      </c>
      <c r="E67" s="947" t="s">
        <v>80</v>
      </c>
      <c r="F67" s="768">
        <v>2022</v>
      </c>
      <c r="G67" s="768">
        <v>2023</v>
      </c>
    </row>
    <row r="68" spans="2:7" ht="17.25" thickBot="1" x14ac:dyDescent="0.3">
      <c r="B68" s="3245"/>
      <c r="C68" s="948"/>
      <c r="D68" s="948"/>
      <c r="E68" s="948"/>
      <c r="F68" s="770" t="s">
        <v>1221</v>
      </c>
      <c r="G68" s="770" t="s">
        <v>1221</v>
      </c>
    </row>
    <row r="69" spans="2:7" ht="18" x14ac:dyDescent="0.2">
      <c r="B69" s="826" t="s">
        <v>136</v>
      </c>
      <c r="C69" s="827">
        <v>170876.91127499996</v>
      </c>
      <c r="D69" s="827">
        <v>165433.36577500001</v>
      </c>
      <c r="E69" s="827">
        <v>-3.1856530290621947</v>
      </c>
      <c r="F69" s="1375">
        <v>51.389835258825357</v>
      </c>
      <c r="G69" s="1379">
        <v>49.928829580647587</v>
      </c>
    </row>
    <row r="70" spans="2:7" ht="18" x14ac:dyDescent="0.2">
      <c r="B70" s="771" t="s">
        <v>137</v>
      </c>
      <c r="C70" s="773">
        <v>21177.199999999997</v>
      </c>
      <c r="D70" s="773">
        <v>21159.200000000004</v>
      </c>
      <c r="E70" s="773">
        <v>-8.4997072323034217E-2</v>
      </c>
      <c r="F70" s="1376">
        <v>6.3688699141556757</v>
      </c>
      <c r="G70" s="775">
        <v>6.3859795508221966</v>
      </c>
    </row>
    <row r="71" spans="2:7" ht="18" x14ac:dyDescent="0.2">
      <c r="B71" s="771" t="s">
        <v>138</v>
      </c>
      <c r="C71" s="773">
        <v>138426.06800249999</v>
      </c>
      <c r="D71" s="773">
        <v>142669.38057750001</v>
      </c>
      <c r="E71" s="773">
        <v>3.0653999179716607</v>
      </c>
      <c r="F71" s="1376">
        <v>41.630509219159755</v>
      </c>
      <c r="G71" s="775">
        <v>43.058515770746737</v>
      </c>
    </row>
    <row r="72" spans="2:7" ht="18" x14ac:dyDescent="0.2">
      <c r="B72" s="771" t="s">
        <v>139</v>
      </c>
      <c r="C72" s="773">
        <v>2030.93</v>
      </c>
      <c r="D72" s="773">
        <v>2076.415</v>
      </c>
      <c r="E72" s="773">
        <v>2.2396143638628701</v>
      </c>
      <c r="F72" s="1377">
        <v>0.61078560785921598</v>
      </c>
      <c r="G72" s="1380">
        <v>0.62667509778349217</v>
      </c>
    </row>
    <row r="73" spans="2:7" ht="18.75" thickBot="1" x14ac:dyDescent="0.25">
      <c r="B73" s="828" t="s">
        <v>119</v>
      </c>
      <c r="C73" s="829">
        <v>324409.12895099999</v>
      </c>
      <c r="D73" s="829">
        <v>305576.60413999995</v>
      </c>
      <c r="E73" s="829">
        <v>-5.8051772069104004</v>
      </c>
      <c r="F73" s="1378">
        <v>100</v>
      </c>
      <c r="G73" s="1381">
        <v>100</v>
      </c>
    </row>
    <row r="74" spans="2:7" ht="21" thickBot="1" x14ac:dyDescent="0.25">
      <c r="B74" s="830" t="s">
        <v>129</v>
      </c>
      <c r="C74" s="1374">
        <v>332511.10927749996</v>
      </c>
      <c r="D74" s="831">
        <v>331338.36135249998</v>
      </c>
      <c r="E74" s="832">
        <v>-0.35269435885861355</v>
      </c>
      <c r="F74" s="833">
        <v>100</v>
      </c>
      <c r="G74" s="833">
        <v>100.00000000000001</v>
      </c>
    </row>
    <row r="75" spans="2:7" ht="21" thickBot="1" x14ac:dyDescent="0.25">
      <c r="B75" s="830" t="s">
        <v>121</v>
      </c>
      <c r="C75" s="1374">
        <v>324409.12895099999</v>
      </c>
      <c r="D75" s="831">
        <v>305576.60413999995</v>
      </c>
      <c r="E75" s="832">
        <v>-5.8051772069104004</v>
      </c>
      <c r="F75" s="833">
        <v>100</v>
      </c>
      <c r="G75" s="833">
        <v>100</v>
      </c>
    </row>
    <row r="76" spans="2:7" ht="21" thickBot="1" x14ac:dyDescent="0.25">
      <c r="B76" s="830" t="s">
        <v>140</v>
      </c>
      <c r="C76" s="832">
        <v>656920.23822849989</v>
      </c>
      <c r="D76" s="834">
        <v>636914.96549249999</v>
      </c>
      <c r="E76" s="832">
        <v>-3.0453122878277554</v>
      </c>
      <c r="F76" s="833"/>
      <c r="G76" s="833"/>
    </row>
    <row r="77" spans="2:7" ht="15" x14ac:dyDescent="0.2">
      <c r="B77" s="7" t="s">
        <v>1934</v>
      </c>
      <c r="C77" s="572"/>
      <c r="D77" s="260"/>
      <c r="E77" s="260"/>
      <c r="F77" s="295"/>
      <c r="G77" s="295"/>
    </row>
    <row r="78" spans="2:7" x14ac:dyDescent="0.2">
      <c r="B78" s="576" t="s">
        <v>126</v>
      </c>
      <c r="C78" s="260"/>
      <c r="D78" s="260"/>
      <c r="E78" s="260"/>
      <c r="F78" s="295"/>
      <c r="G78" s="295"/>
    </row>
    <row r="79" spans="2:7" x14ac:dyDescent="0.2">
      <c r="B79" s="782"/>
      <c r="C79" s="295"/>
      <c r="D79" s="295"/>
      <c r="E79" s="295"/>
      <c r="F79" s="295"/>
      <c r="G79" s="295"/>
    </row>
    <row r="80" spans="2:7" ht="14.25" x14ac:dyDescent="0.2">
      <c r="B80" s="620" t="s">
        <v>1555</v>
      </c>
      <c r="C80" s="295"/>
      <c r="D80" s="295"/>
      <c r="E80" s="295"/>
      <c r="F80" s="295"/>
      <c r="G80" s="295"/>
    </row>
    <row r="81" spans="4:9" x14ac:dyDescent="0.2">
      <c r="D81" s="295"/>
      <c r="E81" s="295"/>
      <c r="F81" s="295"/>
      <c r="G81" s="295"/>
      <c r="H81" s="295"/>
      <c r="I81" s="295"/>
    </row>
  </sheetData>
  <mergeCells count="21">
    <mergeCell ref="B61:G61"/>
    <mergeCell ref="D59:I59"/>
    <mergeCell ref="B62:G62"/>
    <mergeCell ref="F65:G65"/>
    <mergeCell ref="F66:G66"/>
    <mergeCell ref="C65:E65"/>
    <mergeCell ref="C66:E66"/>
    <mergeCell ref="B65:B68"/>
    <mergeCell ref="G8:G9"/>
    <mergeCell ref="H8:H9"/>
    <mergeCell ref="D58:I58"/>
    <mergeCell ref="F8:F9"/>
    <mergeCell ref="B1:H1"/>
    <mergeCell ref="B2:H2"/>
    <mergeCell ref="B5:H5"/>
    <mergeCell ref="B6:B9"/>
    <mergeCell ref="D6:E7"/>
    <mergeCell ref="F6:H6"/>
    <mergeCell ref="F7:H7"/>
    <mergeCell ref="D8:D9"/>
    <mergeCell ref="E8:E9"/>
  </mergeCells>
  <phoneticPr fontId="13" type="noConversion"/>
  <pageMargins left="0.59055118110236227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75" workbookViewId="0"/>
  </sheetViews>
  <sheetFormatPr baseColWidth="10" defaultColWidth="11.42578125" defaultRowHeight="12.75" x14ac:dyDescent="0.2"/>
  <cols>
    <col min="1" max="1" width="32.85546875" customWidth="1"/>
    <col min="2" max="2" width="17.85546875" customWidth="1"/>
    <col min="3" max="3" width="17.7109375" customWidth="1"/>
    <col min="4" max="4" width="15.5703125" customWidth="1"/>
    <col min="5" max="5" width="18" customWidth="1"/>
    <col min="6" max="6" width="18.5703125" customWidth="1"/>
  </cols>
  <sheetData>
    <row r="1" spans="1:6" x14ac:dyDescent="0.2">
      <c r="A1" s="295"/>
      <c r="B1" s="295"/>
      <c r="C1" s="295"/>
      <c r="D1" s="295"/>
      <c r="E1" s="295"/>
      <c r="F1" s="295"/>
    </row>
    <row r="2" spans="1:6" ht="15.75" x14ac:dyDescent="0.25">
      <c r="A2" s="3284"/>
      <c r="B2" s="3284"/>
      <c r="C2" s="3284"/>
      <c r="D2" s="3284"/>
      <c r="E2" s="3284"/>
      <c r="F2" s="3284"/>
    </row>
    <row r="3" spans="1:6" ht="15.75" x14ac:dyDescent="0.25">
      <c r="A3" s="3284"/>
      <c r="B3" s="3284"/>
      <c r="C3" s="3284"/>
      <c r="D3" s="3284"/>
      <c r="E3" s="3284"/>
      <c r="F3" s="3284"/>
    </row>
    <row r="4" spans="1:6" x14ac:dyDescent="0.2">
      <c r="A4" s="295"/>
      <c r="B4" s="295"/>
      <c r="C4" s="295"/>
      <c r="D4" s="295"/>
      <c r="E4" s="295"/>
      <c r="F4" s="295"/>
    </row>
    <row r="5" spans="1:6" ht="15.75" x14ac:dyDescent="0.25">
      <c r="A5" s="3241" t="s">
        <v>144</v>
      </c>
      <c r="B5" s="3241"/>
      <c r="C5" s="3241"/>
      <c r="D5" s="3241"/>
      <c r="E5" s="3241"/>
      <c r="F5" s="3241"/>
    </row>
    <row r="6" spans="1:6" ht="15.75" x14ac:dyDescent="0.25">
      <c r="A6" s="3284" t="s">
        <v>2005</v>
      </c>
      <c r="B6" s="3284"/>
      <c r="C6" s="3284"/>
      <c r="D6" s="3284"/>
      <c r="E6" s="3284"/>
      <c r="F6" s="3284"/>
    </row>
    <row r="7" spans="1:6" ht="13.5" thickBot="1" x14ac:dyDescent="0.25">
      <c r="A7" s="295"/>
      <c r="B7" s="295"/>
      <c r="C7" s="295"/>
      <c r="D7" s="767"/>
      <c r="E7" s="295"/>
      <c r="F7" s="1986" t="s">
        <v>1554</v>
      </c>
    </row>
    <row r="8" spans="1:6" ht="16.5" x14ac:dyDescent="0.25">
      <c r="A8" s="3243" t="s">
        <v>190</v>
      </c>
      <c r="B8" s="3246" t="s">
        <v>102</v>
      </c>
      <c r="C8" s="3247"/>
      <c r="D8" s="3248"/>
      <c r="E8" s="3249" t="s">
        <v>103</v>
      </c>
      <c r="F8" s="3250"/>
    </row>
    <row r="9" spans="1:6" ht="17.25" thickBot="1" x14ac:dyDescent="0.3">
      <c r="A9" s="3244"/>
      <c r="B9" s="3251" t="s">
        <v>1572</v>
      </c>
      <c r="C9" s="3252"/>
      <c r="D9" s="3253"/>
      <c r="E9" s="3254" t="s">
        <v>104</v>
      </c>
      <c r="F9" s="3255"/>
    </row>
    <row r="10" spans="1:6" ht="16.5" x14ac:dyDescent="0.25">
      <c r="A10" s="3244"/>
      <c r="B10" s="3243">
        <v>2022</v>
      </c>
      <c r="C10" s="3243">
        <v>2023</v>
      </c>
      <c r="D10" s="3243" t="s">
        <v>80</v>
      </c>
      <c r="E10" s="768">
        <v>2022</v>
      </c>
      <c r="F10" s="768">
        <v>2023</v>
      </c>
    </row>
    <row r="11" spans="1:6" ht="17.25" thickBot="1" x14ac:dyDescent="0.3">
      <c r="A11" s="3245"/>
      <c r="B11" s="3245"/>
      <c r="C11" s="3245"/>
      <c r="D11" s="3245"/>
      <c r="E11" s="770" t="s">
        <v>1221</v>
      </c>
      <c r="F11" s="770" t="s">
        <v>1221</v>
      </c>
    </row>
    <row r="12" spans="1:6" ht="30" customHeight="1" x14ac:dyDescent="0.2">
      <c r="A12" s="835" t="s">
        <v>194</v>
      </c>
      <c r="B12" s="772">
        <v>1025941.4138645711</v>
      </c>
      <c r="C12" s="772">
        <v>1143891.1872072322</v>
      </c>
      <c r="D12" s="773">
        <v>11.496735753980488</v>
      </c>
      <c r="E12" s="836">
        <v>60.964097232149136</v>
      </c>
      <c r="F12" s="836">
        <v>64.234458392513631</v>
      </c>
    </row>
    <row r="13" spans="1:6" ht="30" customHeight="1" x14ac:dyDescent="0.2">
      <c r="A13" s="837" t="s">
        <v>129</v>
      </c>
      <c r="B13" s="776">
        <v>332511.10927749996</v>
      </c>
      <c r="C13" s="776">
        <v>331338.36135249998</v>
      </c>
      <c r="D13" s="773">
        <v>-0.35269435885861355</v>
      </c>
      <c r="E13" s="775">
        <v>19.75867171635511</v>
      </c>
      <c r="F13" s="775">
        <v>18.606088082646469</v>
      </c>
    </row>
    <row r="14" spans="1:6" ht="30" customHeight="1" thickBot="1" x14ac:dyDescent="0.25">
      <c r="A14" s="837" t="s">
        <v>121</v>
      </c>
      <c r="B14" s="776">
        <v>324409.12895099999</v>
      </c>
      <c r="C14" s="776">
        <v>305576.60413999995</v>
      </c>
      <c r="D14" s="773">
        <v>-5.8051772069104004</v>
      </c>
      <c r="E14" s="774">
        <v>19.277231051495757</v>
      </c>
      <c r="F14" s="774">
        <v>17.159453524839897</v>
      </c>
    </row>
    <row r="15" spans="1:6" ht="33.75" thickBot="1" x14ac:dyDescent="0.25">
      <c r="A15" s="951" t="s">
        <v>323</v>
      </c>
      <c r="B15" s="781">
        <v>1682861.652093071</v>
      </c>
      <c r="C15" s="781">
        <v>1780806.1526997322</v>
      </c>
      <c r="D15" s="838">
        <v>5.8201160199260755</v>
      </c>
      <c r="E15" s="839">
        <v>100</v>
      </c>
      <c r="F15" s="839">
        <v>100</v>
      </c>
    </row>
    <row r="16" spans="1:6" ht="15" x14ac:dyDescent="0.2">
      <c r="A16" s="7" t="s">
        <v>1934</v>
      </c>
      <c r="B16" s="572"/>
      <c r="C16" s="260"/>
      <c r="D16" s="260"/>
      <c r="E16" s="295"/>
      <c r="F16" s="295"/>
    </row>
    <row r="17" spans="1:6" x14ac:dyDescent="0.2">
      <c r="A17" s="260"/>
      <c r="B17" s="260"/>
      <c r="C17" s="260"/>
      <c r="D17" s="260"/>
      <c r="E17" s="295"/>
      <c r="F17" s="295"/>
    </row>
    <row r="18" spans="1:6" ht="14.25" x14ac:dyDescent="0.2">
      <c r="A18" s="620" t="s">
        <v>1555</v>
      </c>
      <c r="B18" s="295"/>
      <c r="C18" s="295"/>
      <c r="D18" s="295"/>
      <c r="E18" s="295"/>
      <c r="F18" s="295"/>
    </row>
    <row r="19" spans="1:6" x14ac:dyDescent="0.2">
      <c r="A19" s="295"/>
      <c r="B19" s="295"/>
      <c r="C19" s="295"/>
      <c r="D19" s="295"/>
      <c r="E19" s="295"/>
      <c r="F19" s="295"/>
    </row>
    <row r="20" spans="1:6" x14ac:dyDescent="0.2">
      <c r="A20" s="295"/>
      <c r="B20" s="295"/>
      <c r="C20" s="295"/>
      <c r="D20" s="295"/>
      <c r="E20" s="295"/>
      <c r="F20" s="295"/>
    </row>
    <row r="21" spans="1:6" x14ac:dyDescent="0.2">
      <c r="A21" s="295"/>
      <c r="B21" s="295"/>
      <c r="C21" s="295"/>
      <c r="D21" s="295"/>
      <c r="E21" s="295"/>
      <c r="F21" s="295"/>
    </row>
    <row r="22" spans="1:6" ht="15.75" x14ac:dyDescent="0.25">
      <c r="A22" s="3284"/>
      <c r="B22" s="3284"/>
      <c r="C22" s="3284"/>
      <c r="D22" s="3284"/>
      <c r="E22" s="3284"/>
      <c r="F22" s="3284"/>
    </row>
    <row r="23" spans="1:6" ht="15.75" x14ac:dyDescent="0.25">
      <c r="A23" s="3284"/>
      <c r="B23" s="3284"/>
      <c r="C23" s="3284"/>
      <c r="D23" s="3284"/>
      <c r="E23" s="3284"/>
      <c r="F23" s="3284"/>
    </row>
    <row r="24" spans="1:6" x14ac:dyDescent="0.2">
      <c r="A24" s="295"/>
      <c r="B24" s="295"/>
      <c r="C24" s="295"/>
      <c r="D24" s="295"/>
      <c r="E24" s="295"/>
      <c r="F24" s="295"/>
    </row>
    <row r="25" spans="1:6" ht="15.75" x14ac:dyDescent="0.25">
      <c r="A25" s="3241" t="s">
        <v>1150</v>
      </c>
      <c r="B25" s="3241"/>
      <c r="C25" s="3241"/>
      <c r="D25" s="3241"/>
      <c r="E25" s="3241"/>
      <c r="F25" s="3241"/>
    </row>
    <row r="26" spans="1:6" ht="15.75" x14ac:dyDescent="0.25">
      <c r="A26" s="3284" t="s">
        <v>2006</v>
      </c>
      <c r="B26" s="3284"/>
      <c r="C26" s="3284"/>
      <c r="D26" s="3284"/>
      <c r="E26" s="3284"/>
      <c r="F26" s="3284"/>
    </row>
    <row r="27" spans="1:6" ht="13.5" thickBot="1" x14ac:dyDescent="0.25">
      <c r="A27" s="295"/>
      <c r="B27" s="295"/>
      <c r="C27" s="295"/>
      <c r="E27" s="295"/>
      <c r="F27" s="1986" t="s">
        <v>1554</v>
      </c>
    </row>
    <row r="28" spans="1:6" ht="16.5" x14ac:dyDescent="0.25">
      <c r="A28" s="3243" t="s">
        <v>408</v>
      </c>
      <c r="B28" s="3246" t="s">
        <v>102</v>
      </c>
      <c r="C28" s="3247"/>
      <c r="D28" s="3248"/>
      <c r="E28" s="3249" t="s">
        <v>103</v>
      </c>
      <c r="F28" s="3250"/>
    </row>
    <row r="29" spans="1:6" ht="17.25" thickBot="1" x14ac:dyDescent="0.3">
      <c r="A29" s="3244"/>
      <c r="B29" s="3251" t="s">
        <v>1572</v>
      </c>
      <c r="C29" s="3252"/>
      <c r="D29" s="3253"/>
      <c r="E29" s="3254" t="s">
        <v>104</v>
      </c>
      <c r="F29" s="3255"/>
    </row>
    <row r="30" spans="1:6" ht="16.5" x14ac:dyDescent="0.25">
      <c r="A30" s="3244"/>
      <c r="B30" s="3243">
        <v>2022</v>
      </c>
      <c r="C30" s="3243">
        <v>2023</v>
      </c>
      <c r="D30" s="3243" t="s">
        <v>80</v>
      </c>
      <c r="E30" s="768">
        <v>2022</v>
      </c>
      <c r="F30" s="768">
        <v>2023</v>
      </c>
    </row>
    <row r="31" spans="1:6" ht="17.25" thickBot="1" x14ac:dyDescent="0.3">
      <c r="A31" s="3245"/>
      <c r="B31" s="3245"/>
      <c r="C31" s="3245"/>
      <c r="D31" s="3245"/>
      <c r="E31" s="770" t="s">
        <v>1221</v>
      </c>
      <c r="F31" s="770" t="s">
        <v>1221</v>
      </c>
    </row>
    <row r="32" spans="1:6" ht="30" customHeight="1" x14ac:dyDescent="0.2">
      <c r="A32" s="835" t="s">
        <v>194</v>
      </c>
      <c r="B32" s="772">
        <v>501111.65314697428</v>
      </c>
      <c r="C32" s="772">
        <v>531749.05038476666</v>
      </c>
      <c r="D32" s="773">
        <v>6.1138864054327939</v>
      </c>
      <c r="E32" s="836">
        <v>43.272698867711625</v>
      </c>
      <c r="F32" s="836">
        <v>45.500592399570472</v>
      </c>
    </row>
    <row r="33" spans="1:6" ht="30" customHeight="1" x14ac:dyDescent="0.2">
      <c r="A33" s="837" t="s">
        <v>129</v>
      </c>
      <c r="B33" s="776">
        <v>332511.10927749996</v>
      </c>
      <c r="C33" s="776">
        <v>331338.36135249998</v>
      </c>
      <c r="D33" s="773">
        <v>-0.35269435885861355</v>
      </c>
      <c r="E33" s="775">
        <v>28.71346737114067</v>
      </c>
      <c r="F33" s="775">
        <v>28.351892147870942</v>
      </c>
    </row>
    <row r="34" spans="1:6" ht="30" customHeight="1" thickBot="1" x14ac:dyDescent="0.25">
      <c r="A34" s="837" t="s">
        <v>121</v>
      </c>
      <c r="B34" s="776">
        <v>324409.12895099999</v>
      </c>
      <c r="C34" s="776">
        <v>305576.60413999995</v>
      </c>
      <c r="D34" s="773">
        <v>-5.8051772069104004</v>
      </c>
      <c r="E34" s="774">
        <v>28.013833761147712</v>
      </c>
      <c r="F34" s="774">
        <v>26.147515452558583</v>
      </c>
    </row>
    <row r="35" spans="1:6" ht="33.75" thickBot="1" x14ac:dyDescent="0.25">
      <c r="A35" s="951" t="s">
        <v>323</v>
      </c>
      <c r="B35" s="781">
        <v>1158031.8913754742</v>
      </c>
      <c r="C35" s="781">
        <v>1168664.0158772666</v>
      </c>
      <c r="D35" s="838">
        <v>0.91812018140224438</v>
      </c>
      <c r="E35" s="839">
        <v>100</v>
      </c>
      <c r="F35" s="839">
        <v>99.999999999999986</v>
      </c>
    </row>
    <row r="36" spans="1:6" ht="15" x14ac:dyDescent="0.2">
      <c r="A36" s="7" t="s">
        <v>1934</v>
      </c>
      <c r="B36" s="572"/>
      <c r="C36" s="260"/>
      <c r="D36" s="260"/>
      <c r="E36" s="295"/>
      <c r="F36" s="295"/>
    </row>
    <row r="37" spans="1:6" x14ac:dyDescent="0.2">
      <c r="A37" s="260"/>
      <c r="B37" s="260"/>
      <c r="C37" s="260"/>
      <c r="D37" s="260"/>
      <c r="E37" s="295"/>
      <c r="F37" s="295"/>
    </row>
    <row r="38" spans="1:6" ht="14.25" x14ac:dyDescent="0.2">
      <c r="A38" s="620" t="s">
        <v>1555</v>
      </c>
      <c r="B38" s="295"/>
      <c r="C38" s="295"/>
      <c r="D38" s="295"/>
      <c r="E38" s="295"/>
      <c r="F38" s="295"/>
    </row>
    <row r="39" spans="1:6" x14ac:dyDescent="0.2">
      <c r="A39" s="295"/>
      <c r="B39" s="295"/>
      <c r="C39" s="295"/>
      <c r="D39" s="295"/>
      <c r="E39" s="295"/>
      <c r="F39" s="295"/>
    </row>
    <row r="40" spans="1:6" x14ac:dyDescent="0.2">
      <c r="A40" s="295"/>
      <c r="B40" s="295"/>
      <c r="C40" s="295"/>
      <c r="D40" s="295"/>
      <c r="E40" s="295"/>
      <c r="F40" s="295"/>
    </row>
  </sheetData>
  <mergeCells count="24">
    <mergeCell ref="A28:A31"/>
    <mergeCell ref="B28:D28"/>
    <mergeCell ref="E28:F28"/>
    <mergeCell ref="B29:D29"/>
    <mergeCell ref="E29:F29"/>
    <mergeCell ref="B30:B31"/>
    <mergeCell ref="C30:C31"/>
    <mergeCell ref="D30:D31"/>
    <mergeCell ref="A22:F22"/>
    <mergeCell ref="A25:F25"/>
    <mergeCell ref="A26:F26"/>
    <mergeCell ref="A2:F2"/>
    <mergeCell ref="A3:F3"/>
    <mergeCell ref="A5:F5"/>
    <mergeCell ref="A6:F6"/>
    <mergeCell ref="A23:F23"/>
    <mergeCell ref="A8:A11"/>
    <mergeCell ref="B8:D8"/>
    <mergeCell ref="E8:F8"/>
    <mergeCell ref="B9:D9"/>
    <mergeCell ref="E9:F9"/>
    <mergeCell ref="B10:B11"/>
    <mergeCell ref="C10:C11"/>
    <mergeCell ref="D10:D11"/>
  </mergeCells>
  <phoneticPr fontId="13" type="noConversion"/>
  <pageMargins left="0.98425196850393704" right="0.98425196850393704" top="1.1811023622047245" bottom="0.59055118110236227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/>
  </sheetViews>
  <sheetFormatPr baseColWidth="10" defaultColWidth="11.42578125" defaultRowHeight="12.75" x14ac:dyDescent="0.2"/>
  <cols>
    <col min="1" max="1" width="2.5703125" customWidth="1"/>
    <col min="2" max="2" width="27.28515625" customWidth="1"/>
    <col min="3" max="3" width="19.42578125" bestFit="1" customWidth="1"/>
    <col min="4" max="4" width="25.5703125" bestFit="1" customWidth="1"/>
    <col min="5" max="5" width="19.42578125" bestFit="1" customWidth="1"/>
  </cols>
  <sheetData>
    <row r="1" spans="1:5" x14ac:dyDescent="0.2">
      <c r="A1" s="295"/>
      <c r="B1" s="295"/>
      <c r="C1" s="295"/>
      <c r="D1" s="295"/>
      <c r="E1" s="295"/>
    </row>
    <row r="2" spans="1:5" x14ac:dyDescent="0.2">
      <c r="A2" s="295"/>
      <c r="B2" s="3285" t="s">
        <v>195</v>
      </c>
      <c r="C2" s="3285"/>
      <c r="D2" s="3285"/>
      <c r="E2" s="3285"/>
    </row>
    <row r="3" spans="1:5" x14ac:dyDescent="0.2">
      <c r="A3" s="295"/>
      <c r="B3" s="3286" t="s">
        <v>1548</v>
      </c>
      <c r="C3" s="3285"/>
      <c r="D3" s="3285"/>
      <c r="E3" s="3285"/>
    </row>
    <row r="4" spans="1:5" x14ac:dyDescent="0.2">
      <c r="A4" s="295"/>
      <c r="B4" s="295"/>
      <c r="C4" s="295"/>
      <c r="D4" s="295"/>
      <c r="E4" s="295"/>
    </row>
    <row r="5" spans="1:5" ht="13.5" thickBot="1" x14ac:dyDescent="0.25">
      <c r="A5" s="295"/>
      <c r="B5" s="295"/>
      <c r="C5" s="295"/>
      <c r="D5" s="295"/>
      <c r="E5" s="767" t="s">
        <v>1535</v>
      </c>
    </row>
    <row r="6" spans="1:5" ht="18.75" thickBot="1" x14ac:dyDescent="0.3">
      <c r="A6" s="295"/>
      <c r="B6" s="840" t="s">
        <v>197</v>
      </c>
      <c r="C6" s="840" t="s">
        <v>198</v>
      </c>
      <c r="D6" s="840" t="s">
        <v>197</v>
      </c>
      <c r="E6" s="840" t="s">
        <v>198</v>
      </c>
    </row>
    <row r="7" spans="1:5" ht="18" x14ac:dyDescent="0.25">
      <c r="A7" s="295"/>
      <c r="B7" s="841" t="s">
        <v>905</v>
      </c>
      <c r="C7" s="842">
        <v>2244245</v>
      </c>
      <c r="D7" s="1987" t="s">
        <v>424</v>
      </c>
      <c r="E7" s="1988">
        <v>529416</v>
      </c>
    </row>
    <row r="8" spans="1:5" ht="18" x14ac:dyDescent="0.25">
      <c r="A8" s="295"/>
      <c r="B8" s="841" t="s">
        <v>961</v>
      </c>
      <c r="C8" s="842">
        <v>529657</v>
      </c>
      <c r="D8" s="841" t="s">
        <v>974</v>
      </c>
      <c r="E8" s="842">
        <v>596860</v>
      </c>
    </row>
    <row r="9" spans="1:5" ht="18" x14ac:dyDescent="0.25">
      <c r="A9" s="295"/>
      <c r="B9" s="841" t="s">
        <v>413</v>
      </c>
      <c r="C9" s="842">
        <v>269569</v>
      </c>
      <c r="D9" s="841" t="s">
        <v>280</v>
      </c>
      <c r="E9" s="842">
        <v>226875</v>
      </c>
    </row>
    <row r="10" spans="1:5" ht="18" x14ac:dyDescent="0.25">
      <c r="A10" s="295"/>
      <c r="B10" s="841" t="s">
        <v>410</v>
      </c>
      <c r="C10" s="842">
        <v>1680780</v>
      </c>
      <c r="D10" s="841" t="s">
        <v>427</v>
      </c>
      <c r="E10" s="842">
        <v>702692</v>
      </c>
    </row>
    <row r="11" spans="1:5" ht="18" x14ac:dyDescent="0.25">
      <c r="A11" s="295"/>
      <c r="B11" s="841" t="s">
        <v>906</v>
      </c>
      <c r="C11" s="842">
        <v>548918</v>
      </c>
      <c r="D11" s="841" t="s">
        <v>975</v>
      </c>
      <c r="E11" s="842">
        <v>749113</v>
      </c>
    </row>
    <row r="12" spans="1:5" ht="18" x14ac:dyDescent="0.25">
      <c r="A12" s="295"/>
      <c r="B12" s="841" t="s">
        <v>411</v>
      </c>
      <c r="C12" s="842">
        <v>565848</v>
      </c>
      <c r="D12" s="841" t="s">
        <v>976</v>
      </c>
      <c r="E12" s="842">
        <v>1533571</v>
      </c>
    </row>
    <row r="13" spans="1:5" ht="18" x14ac:dyDescent="0.25">
      <c r="A13" s="295"/>
      <c r="B13" s="841" t="s">
        <v>412</v>
      </c>
      <c r="C13" s="842">
        <v>1497959</v>
      </c>
      <c r="D13" s="841" t="s">
        <v>213</v>
      </c>
      <c r="E13" s="842">
        <v>500153</v>
      </c>
    </row>
    <row r="14" spans="1:5" ht="18" x14ac:dyDescent="0.25">
      <c r="A14" s="295"/>
      <c r="B14" s="841" t="s">
        <v>962</v>
      </c>
      <c r="C14" s="842">
        <v>493505</v>
      </c>
      <c r="D14" s="841" t="s">
        <v>428</v>
      </c>
      <c r="E14" s="842">
        <v>365031</v>
      </c>
    </row>
    <row r="15" spans="1:5" ht="18" x14ac:dyDescent="0.25">
      <c r="A15" s="295"/>
      <c r="B15" s="841" t="s">
        <v>963</v>
      </c>
      <c r="C15" s="842">
        <v>296201</v>
      </c>
      <c r="D15" s="841" t="s">
        <v>429</v>
      </c>
      <c r="E15" s="842">
        <v>445559</v>
      </c>
    </row>
    <row r="16" spans="1:5" ht="18" x14ac:dyDescent="0.25">
      <c r="A16" s="295"/>
      <c r="B16" s="841" t="s">
        <v>955</v>
      </c>
      <c r="C16" s="842">
        <v>3300000</v>
      </c>
      <c r="D16" s="841" t="s">
        <v>430</v>
      </c>
      <c r="E16" s="842">
        <v>829088</v>
      </c>
    </row>
    <row r="17" spans="1:5" ht="18" x14ac:dyDescent="0.25">
      <c r="A17" s="295"/>
      <c r="B17" s="841" t="s">
        <v>283</v>
      </c>
      <c r="C17" s="842">
        <v>3545104</v>
      </c>
      <c r="D17" s="841" t="s">
        <v>431</v>
      </c>
      <c r="E17" s="842">
        <v>4200000</v>
      </c>
    </row>
    <row r="18" spans="1:5" ht="18" x14ac:dyDescent="0.25">
      <c r="A18" s="295"/>
      <c r="B18" s="841" t="s">
        <v>1537</v>
      </c>
      <c r="C18" s="842">
        <v>3960000</v>
      </c>
      <c r="D18" s="841" t="s">
        <v>286</v>
      </c>
      <c r="E18" s="842">
        <v>709221</v>
      </c>
    </row>
    <row r="19" spans="1:5" ht="18" x14ac:dyDescent="0.25">
      <c r="A19" s="295"/>
      <c r="B19" s="841" t="s">
        <v>628</v>
      </c>
      <c r="C19" s="842">
        <v>590020</v>
      </c>
      <c r="D19" s="841" t="s">
        <v>92</v>
      </c>
      <c r="E19" s="842">
        <v>655297</v>
      </c>
    </row>
    <row r="20" spans="1:5" ht="18" x14ac:dyDescent="0.25">
      <c r="A20" s="295"/>
      <c r="B20" s="841" t="s">
        <v>90</v>
      </c>
      <c r="C20" s="842">
        <v>724820</v>
      </c>
      <c r="D20" s="841" t="s">
        <v>978</v>
      </c>
      <c r="E20" s="842">
        <v>1372952</v>
      </c>
    </row>
    <row r="21" spans="1:5" ht="18" x14ac:dyDescent="0.25">
      <c r="A21" s="295"/>
      <c r="B21" s="841" t="s">
        <v>907</v>
      </c>
      <c r="C21" s="842">
        <v>637616</v>
      </c>
      <c r="D21" s="841" t="s">
        <v>908</v>
      </c>
      <c r="E21" s="842">
        <v>317670</v>
      </c>
    </row>
    <row r="22" spans="1:5" ht="18" x14ac:dyDescent="0.25">
      <c r="A22" s="295"/>
      <c r="B22" s="841" t="s">
        <v>966</v>
      </c>
      <c r="C22" s="842">
        <v>701044</v>
      </c>
      <c r="D22" s="841" t="s">
        <v>1538</v>
      </c>
      <c r="E22" s="842">
        <v>2850000</v>
      </c>
    </row>
    <row r="23" spans="1:5" ht="18" x14ac:dyDescent="0.25">
      <c r="A23" s="295"/>
      <c r="B23" s="841" t="s">
        <v>965</v>
      </c>
      <c r="C23" s="842">
        <v>485446</v>
      </c>
      <c r="D23" s="841" t="s">
        <v>1539</v>
      </c>
      <c r="E23" s="842">
        <v>535000</v>
      </c>
    </row>
    <row r="24" spans="1:5" ht="18" x14ac:dyDescent="0.25">
      <c r="A24" s="295"/>
      <c r="B24" s="841" t="s">
        <v>964</v>
      </c>
      <c r="C24" s="842">
        <v>768641</v>
      </c>
      <c r="D24" s="841" t="s">
        <v>1540</v>
      </c>
      <c r="E24" s="842">
        <v>4000000</v>
      </c>
    </row>
    <row r="25" spans="1:5" ht="18" x14ac:dyDescent="0.25">
      <c r="A25" s="295"/>
      <c r="B25" s="841" t="s">
        <v>200</v>
      </c>
      <c r="C25" s="842">
        <v>1170013</v>
      </c>
      <c r="D25" s="841" t="s">
        <v>1541</v>
      </c>
      <c r="E25" s="842">
        <v>4050000</v>
      </c>
    </row>
    <row r="26" spans="1:5" ht="18" x14ac:dyDescent="0.25">
      <c r="A26" s="295"/>
      <c r="B26" s="841" t="s">
        <v>969</v>
      </c>
      <c r="C26" s="842">
        <v>1120647</v>
      </c>
      <c r="D26" s="841" t="s">
        <v>1542</v>
      </c>
      <c r="E26" s="842">
        <v>2592000</v>
      </c>
    </row>
    <row r="27" spans="1:5" ht="18" x14ac:dyDescent="0.25">
      <c r="A27" s="295"/>
      <c r="B27" s="841" t="s">
        <v>968</v>
      </c>
      <c r="C27" s="842">
        <v>948513</v>
      </c>
      <c r="D27" s="841" t="s">
        <v>1337</v>
      </c>
      <c r="E27" s="842">
        <v>5500000</v>
      </c>
    </row>
    <row r="28" spans="1:5" ht="18" x14ac:dyDescent="0.25">
      <c r="A28" s="295"/>
      <c r="B28" s="841" t="s">
        <v>967</v>
      </c>
      <c r="C28" s="842">
        <v>424248</v>
      </c>
      <c r="D28" s="841" t="s">
        <v>1543</v>
      </c>
      <c r="E28" s="842">
        <v>4150000</v>
      </c>
    </row>
    <row r="29" spans="1:5" ht="18" x14ac:dyDescent="0.25">
      <c r="A29" s="295"/>
      <c r="B29" s="841" t="s">
        <v>417</v>
      </c>
      <c r="C29" s="842">
        <v>667937</v>
      </c>
      <c r="D29" s="841" t="s">
        <v>209</v>
      </c>
      <c r="E29" s="842">
        <v>3800000</v>
      </c>
    </row>
    <row r="30" spans="1:5" ht="18" x14ac:dyDescent="0.25">
      <c r="A30" s="295"/>
      <c r="B30" s="841" t="s">
        <v>1547</v>
      </c>
      <c r="C30" s="842">
        <v>697473</v>
      </c>
      <c r="D30" s="841" t="s">
        <v>208</v>
      </c>
      <c r="E30" s="842">
        <v>3800000</v>
      </c>
    </row>
    <row r="31" spans="1:5" ht="18" x14ac:dyDescent="0.25">
      <c r="A31" s="295"/>
      <c r="B31" s="841" t="s">
        <v>970</v>
      </c>
      <c r="C31" s="842">
        <v>1452453</v>
      </c>
      <c r="D31" s="841" t="s">
        <v>210</v>
      </c>
      <c r="E31" s="842">
        <v>4500000</v>
      </c>
    </row>
    <row r="32" spans="1:5" ht="18" x14ac:dyDescent="0.25">
      <c r="A32" s="295"/>
      <c r="B32" s="841" t="s">
        <v>201</v>
      </c>
      <c r="C32" s="842">
        <v>510086</v>
      </c>
      <c r="D32" s="841" t="s">
        <v>1544</v>
      </c>
      <c r="E32" s="842">
        <v>3100000</v>
      </c>
    </row>
    <row r="33" spans="1:5" ht="18" x14ac:dyDescent="0.25">
      <c r="A33" s="295"/>
      <c r="B33" s="841" t="s">
        <v>211</v>
      </c>
      <c r="C33" s="842">
        <v>506221</v>
      </c>
      <c r="D33" s="841" t="s">
        <v>1545</v>
      </c>
      <c r="E33" s="842">
        <v>3850000</v>
      </c>
    </row>
    <row r="34" spans="1:5" ht="18" x14ac:dyDescent="0.25">
      <c r="A34" s="295"/>
      <c r="B34" s="841" t="s">
        <v>971</v>
      </c>
      <c r="C34" s="842">
        <v>593328</v>
      </c>
      <c r="D34" s="841" t="s">
        <v>1546</v>
      </c>
      <c r="E34" s="842">
        <v>3850000</v>
      </c>
    </row>
    <row r="35" spans="1:5" ht="18" x14ac:dyDescent="0.25">
      <c r="A35" s="295"/>
      <c r="B35" s="841" t="s">
        <v>972</v>
      </c>
      <c r="C35" s="842">
        <v>603258</v>
      </c>
      <c r="D35" s="841"/>
      <c r="E35" s="842"/>
    </row>
    <row r="36" spans="1:5" ht="18" x14ac:dyDescent="0.25">
      <c r="A36" s="295"/>
      <c r="B36" s="841" t="s">
        <v>423</v>
      </c>
      <c r="C36" s="842">
        <v>402500</v>
      </c>
      <c r="D36" s="841"/>
      <c r="E36" s="842"/>
    </row>
    <row r="37" spans="1:5" ht="18.75" thickBot="1" x14ac:dyDescent="0.3">
      <c r="A37" s="295"/>
      <c r="B37" s="843" t="s">
        <v>973</v>
      </c>
      <c r="C37" s="844">
        <v>1095532</v>
      </c>
      <c r="D37" s="843"/>
      <c r="E37" s="844"/>
    </row>
    <row r="38" spans="1:5" ht="15" x14ac:dyDescent="0.2">
      <c r="A38" s="295"/>
      <c r="B38" s="1982" t="s">
        <v>1533</v>
      </c>
      <c r="C38" s="845"/>
      <c r="D38" s="845"/>
      <c r="E38" s="845"/>
    </row>
    <row r="39" spans="1:5" ht="15" x14ac:dyDescent="0.2">
      <c r="A39" s="295"/>
      <c r="B39" s="1982" t="s">
        <v>1534</v>
      </c>
      <c r="C39" s="295"/>
      <c r="D39" s="295"/>
      <c r="E39" s="295"/>
    </row>
    <row r="40" spans="1:5" x14ac:dyDescent="0.2">
      <c r="B40" s="295" t="s">
        <v>1536</v>
      </c>
    </row>
  </sheetData>
  <mergeCells count="2">
    <mergeCell ref="B2:E2"/>
    <mergeCell ref="B3:E3"/>
  </mergeCells>
  <phoneticPr fontId="13" type="noConversion"/>
  <pageMargins left="0.78740157480314965" right="0.78740157480314965" top="0.98425196850393704" bottom="0.98425196850393704" header="0" footer="0"/>
  <pageSetup scale="90" orientation="portrait" horizontalDpi="4294967293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baseColWidth="10" defaultColWidth="11.42578125" defaultRowHeight="12.75" x14ac:dyDescent="0.2"/>
  <cols>
    <col min="5" max="5" width="10.85546875" customWidth="1"/>
  </cols>
  <sheetData>
    <row r="1" spans="1:2" ht="13.5" thickBot="1" x14ac:dyDescent="0.25"/>
    <row r="2" spans="1:2" ht="16.5" thickBot="1" x14ac:dyDescent="0.3">
      <c r="A2" s="3142" t="s">
        <v>1151</v>
      </c>
      <c r="B2" s="3143"/>
    </row>
  </sheetData>
  <mergeCells count="1">
    <mergeCell ref="A2:B2"/>
  </mergeCells>
  <phoneticPr fontId="13" type="noConversion"/>
  <hyperlinks>
    <hyperlink ref="A2:B2" r:id="rId1" location="ÍNDICE!A1" display="VOLVER AL ÍNDICE"/>
  </hyperlinks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7"/>
  <sheetViews>
    <sheetView zoomScale="80" zoomScaleNormal="80" workbookViewId="0"/>
  </sheetViews>
  <sheetFormatPr baseColWidth="10" defaultColWidth="11.42578125" defaultRowHeight="12.75" x14ac:dyDescent="0.2"/>
  <cols>
    <col min="1" max="1" width="24.85546875" customWidth="1"/>
    <col min="2" max="3" width="11.28515625" customWidth="1"/>
    <col min="5" max="5" width="9.140625" customWidth="1"/>
    <col min="6" max="6" width="13" customWidth="1"/>
    <col min="7" max="7" width="14.5703125" customWidth="1"/>
    <col min="8" max="8" width="3" bestFit="1" customWidth="1"/>
    <col min="9" max="9" width="3.42578125" bestFit="1" customWidth="1"/>
    <col min="10" max="10" width="3" bestFit="1" customWidth="1"/>
    <col min="11" max="12" width="11.28515625" customWidth="1"/>
    <col min="13" max="13" width="13.140625" customWidth="1"/>
    <col min="14" max="14" width="9.140625" bestFit="1" customWidth="1"/>
    <col min="15" max="15" width="14.5703125" customWidth="1"/>
    <col min="16" max="16" width="13.7109375" customWidth="1"/>
    <col min="17" max="18" width="12.85546875" customWidth="1"/>
    <col min="19" max="19" width="11.85546875" customWidth="1"/>
    <col min="20" max="20" width="9.42578125" bestFit="1" customWidth="1"/>
    <col min="21" max="21" width="11.28515625" customWidth="1"/>
    <col min="22" max="22" width="12.42578125" customWidth="1"/>
    <col min="23" max="23" width="14.7109375" customWidth="1"/>
  </cols>
  <sheetData>
    <row r="2" spans="1:23" ht="14.25" x14ac:dyDescent="0.2">
      <c r="A2" s="23"/>
      <c r="B2" s="24"/>
      <c r="C2" s="24"/>
      <c r="D2" s="23"/>
      <c r="E2" s="24"/>
      <c r="F2" s="24"/>
      <c r="G2" s="24"/>
      <c r="H2" s="24"/>
      <c r="I2" s="24"/>
      <c r="J2" s="24"/>
      <c r="K2" s="24"/>
      <c r="L2" s="24"/>
      <c r="M2" s="23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24.75" x14ac:dyDescent="0.5">
      <c r="A3" s="2540" t="s">
        <v>324</v>
      </c>
      <c r="B3" s="2540"/>
      <c r="C3" s="2540"/>
      <c r="D3" s="2540"/>
      <c r="E3" s="2540"/>
      <c r="F3" s="2540"/>
      <c r="G3" s="2540"/>
      <c r="H3" s="2540"/>
      <c r="I3" s="2540"/>
      <c r="J3" s="2540"/>
      <c r="K3" s="2540"/>
      <c r="L3" s="2540"/>
      <c r="M3" s="2540"/>
      <c r="N3" s="2540"/>
      <c r="O3" s="2540"/>
      <c r="P3" s="2540"/>
      <c r="Q3" s="2540"/>
      <c r="R3" s="2540"/>
      <c r="S3" s="2540"/>
      <c r="T3" s="2540"/>
      <c r="U3" s="2540"/>
      <c r="V3" s="2540"/>
      <c r="W3" s="2540"/>
    </row>
    <row r="4" spans="1:23" ht="18" x14ac:dyDescent="0.25">
      <c r="A4" s="2541" t="s">
        <v>407</v>
      </c>
      <c r="B4" s="2541"/>
      <c r="C4" s="2541"/>
      <c r="D4" s="2541"/>
      <c r="E4" s="2541"/>
      <c r="F4" s="2541"/>
      <c r="G4" s="2541"/>
      <c r="H4" s="2541"/>
      <c r="I4" s="2541"/>
      <c r="J4" s="2541"/>
      <c r="K4" s="2541"/>
      <c r="L4" s="2541"/>
      <c r="M4" s="2541"/>
      <c r="N4" s="2541"/>
      <c r="O4" s="2541"/>
      <c r="P4" s="2541"/>
      <c r="Q4" s="2541"/>
      <c r="R4" s="2541"/>
      <c r="S4" s="2541"/>
      <c r="T4" s="2541"/>
      <c r="U4" s="2541"/>
      <c r="V4" s="2541"/>
      <c r="W4" s="2541"/>
    </row>
    <row r="5" spans="1:23" ht="15" x14ac:dyDescent="0.25">
      <c r="A5" s="2542" t="s">
        <v>2036</v>
      </c>
      <c r="B5" s="2542"/>
      <c r="C5" s="2542"/>
      <c r="D5" s="2542"/>
      <c r="E5" s="2542"/>
      <c r="F5" s="2542"/>
      <c r="G5" s="2542"/>
      <c r="H5" s="2542"/>
      <c r="I5" s="2542"/>
      <c r="J5" s="2542"/>
      <c r="K5" s="2542"/>
      <c r="L5" s="2542"/>
      <c r="M5" s="2542"/>
      <c r="N5" s="2542"/>
      <c r="O5" s="2542"/>
      <c r="P5" s="2542"/>
      <c r="Q5" s="2542"/>
      <c r="R5" s="2542"/>
      <c r="S5" s="2542"/>
      <c r="T5" s="2542"/>
      <c r="U5" s="2542"/>
      <c r="V5" s="2542"/>
      <c r="W5" s="2542"/>
    </row>
    <row r="6" spans="1:23" ht="15.75" thickBot="1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193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23" ht="12.95" customHeight="1" thickBot="1" x14ac:dyDescent="0.25">
      <c r="A7" s="2543" t="s">
        <v>408</v>
      </c>
      <c r="B7" s="2546" t="s">
        <v>1935</v>
      </c>
      <c r="C7" s="2547"/>
      <c r="D7" s="2547"/>
      <c r="E7" s="2547"/>
      <c r="F7" s="2547"/>
      <c r="G7" s="2547"/>
      <c r="H7" s="2547"/>
      <c r="I7" s="2547"/>
      <c r="J7" s="2547"/>
      <c r="K7" s="2548" t="s">
        <v>1930</v>
      </c>
      <c r="L7" s="2549"/>
      <c r="M7" s="2549"/>
      <c r="N7" s="2549"/>
      <c r="O7" s="2549"/>
      <c r="P7" s="2549"/>
      <c r="Q7" s="2550" t="s">
        <v>2037</v>
      </c>
      <c r="R7" s="2551"/>
      <c r="S7" s="2551"/>
      <c r="T7" s="2551"/>
      <c r="U7" s="2551"/>
      <c r="V7" s="2551"/>
      <c r="W7" s="2552"/>
    </row>
    <row r="8" spans="1:23" ht="12.75" customHeight="1" x14ac:dyDescent="0.2">
      <c r="A8" s="2544"/>
      <c r="B8" s="2553" t="s">
        <v>328</v>
      </c>
      <c r="C8" s="2554"/>
      <c r="D8" s="1097"/>
      <c r="E8" s="1098"/>
      <c r="F8" s="1097"/>
      <c r="G8" s="1097"/>
      <c r="H8" s="2555" t="s">
        <v>330</v>
      </c>
      <c r="I8" s="2556"/>
      <c r="J8" s="2556"/>
      <c r="K8" s="2534" t="s">
        <v>328</v>
      </c>
      <c r="L8" s="2535"/>
      <c r="M8" s="1103" t="s">
        <v>331</v>
      </c>
      <c r="N8" s="1104" t="s">
        <v>332</v>
      </c>
      <c r="O8" s="1105"/>
      <c r="P8" s="1106"/>
      <c r="Q8" s="2536" t="s">
        <v>328</v>
      </c>
      <c r="R8" s="2537"/>
      <c r="S8" s="1115" t="s">
        <v>331</v>
      </c>
      <c r="T8" s="1115"/>
      <c r="U8" s="1115" t="s">
        <v>329</v>
      </c>
      <c r="V8" s="1116"/>
      <c r="W8" s="2047"/>
    </row>
    <row r="9" spans="1:23" ht="17.25" customHeight="1" x14ac:dyDescent="0.2">
      <c r="A9" s="2544"/>
      <c r="B9" s="1097" t="s">
        <v>334</v>
      </c>
      <c r="C9" s="1097" t="s">
        <v>335</v>
      </c>
      <c r="D9" s="1097" t="s">
        <v>331</v>
      </c>
      <c r="E9" s="1098" t="s">
        <v>332</v>
      </c>
      <c r="F9" s="1097" t="s">
        <v>337</v>
      </c>
      <c r="G9" s="1097" t="s">
        <v>338</v>
      </c>
      <c r="H9" s="2538" t="s">
        <v>332</v>
      </c>
      <c r="I9" s="2539"/>
      <c r="J9" s="2539"/>
      <c r="K9" s="1107" t="s">
        <v>334</v>
      </c>
      <c r="L9" s="1103" t="s">
        <v>335</v>
      </c>
      <c r="M9" s="1103" t="s">
        <v>339</v>
      </c>
      <c r="N9" s="1103"/>
      <c r="O9" s="1108" t="s">
        <v>337</v>
      </c>
      <c r="P9" s="1109" t="s">
        <v>338</v>
      </c>
      <c r="Q9" s="1117" t="s">
        <v>334</v>
      </c>
      <c r="R9" s="1115" t="s">
        <v>335</v>
      </c>
      <c r="S9" s="1115" t="s">
        <v>339</v>
      </c>
      <c r="T9" s="1115" t="s">
        <v>332</v>
      </c>
      <c r="U9" s="1115" t="s">
        <v>340</v>
      </c>
      <c r="V9" s="1115" t="s">
        <v>337</v>
      </c>
      <c r="W9" s="2048" t="s">
        <v>338</v>
      </c>
    </row>
    <row r="10" spans="1:23" ht="12.95" customHeight="1" x14ac:dyDescent="0.2">
      <c r="A10" s="2544"/>
      <c r="B10" s="1097"/>
      <c r="C10" s="1097"/>
      <c r="D10" s="1097"/>
      <c r="E10" s="1098"/>
      <c r="F10" s="1097" t="s">
        <v>342</v>
      </c>
      <c r="G10" s="1097" t="s">
        <v>341</v>
      </c>
      <c r="H10" s="2532" t="s">
        <v>343</v>
      </c>
      <c r="I10" s="2533"/>
      <c r="J10" s="2533"/>
      <c r="K10" s="1107"/>
      <c r="L10" s="1103"/>
      <c r="M10" s="1103"/>
      <c r="N10" s="1103" t="s">
        <v>409</v>
      </c>
      <c r="O10" s="1108" t="s">
        <v>342</v>
      </c>
      <c r="P10" s="1109" t="s">
        <v>341</v>
      </c>
      <c r="Q10" s="1117"/>
      <c r="R10" s="1115"/>
      <c r="S10" s="1115"/>
      <c r="T10" s="1115"/>
      <c r="U10" s="1115" t="s">
        <v>341</v>
      </c>
      <c r="V10" s="1115" t="s">
        <v>342</v>
      </c>
      <c r="W10" s="2048" t="s">
        <v>341</v>
      </c>
    </row>
    <row r="11" spans="1:23" ht="12.95" customHeight="1" thickBot="1" x14ac:dyDescent="0.25">
      <c r="A11" s="2545"/>
      <c r="B11" s="1099" t="s">
        <v>345</v>
      </c>
      <c r="C11" s="1099" t="s">
        <v>345</v>
      </c>
      <c r="D11" s="1099" t="s">
        <v>346</v>
      </c>
      <c r="E11" s="1100" t="s">
        <v>409</v>
      </c>
      <c r="F11" s="1099" t="s">
        <v>347</v>
      </c>
      <c r="G11" s="1099" t="s">
        <v>348</v>
      </c>
      <c r="H11" s="1101" t="s">
        <v>349</v>
      </c>
      <c r="I11" s="1101" t="s">
        <v>350</v>
      </c>
      <c r="J11" s="1102" t="s">
        <v>351</v>
      </c>
      <c r="K11" s="1110" t="s">
        <v>345</v>
      </c>
      <c r="L11" s="1111" t="s">
        <v>345</v>
      </c>
      <c r="M11" s="1111" t="s">
        <v>346</v>
      </c>
      <c r="N11" s="1112"/>
      <c r="O11" s="1113" t="s">
        <v>347</v>
      </c>
      <c r="P11" s="1114" t="s">
        <v>348</v>
      </c>
      <c r="Q11" s="1118" t="s">
        <v>345</v>
      </c>
      <c r="R11" s="1119" t="s">
        <v>345</v>
      </c>
      <c r="S11" s="1119" t="s">
        <v>346</v>
      </c>
      <c r="T11" s="1115" t="s">
        <v>409</v>
      </c>
      <c r="U11" s="1120"/>
      <c r="V11" s="1121" t="s">
        <v>347</v>
      </c>
      <c r="W11" s="2049" t="s">
        <v>348</v>
      </c>
    </row>
    <row r="12" spans="1:23" ht="35.1" customHeight="1" x14ac:dyDescent="0.2">
      <c r="A12" s="1888" t="s">
        <v>410</v>
      </c>
      <c r="B12" s="1889">
        <v>179</v>
      </c>
      <c r="C12" s="1889">
        <v>179</v>
      </c>
      <c r="D12" s="1889">
        <v>447.7</v>
      </c>
      <c r="E12" s="1890">
        <v>2.501117318435754</v>
      </c>
      <c r="F12" s="1891">
        <v>5667200.0000000009</v>
      </c>
      <c r="G12" s="1891">
        <v>12057868.137423173</v>
      </c>
      <c r="H12" s="1889"/>
      <c r="I12" s="1889"/>
      <c r="J12" s="1892"/>
      <c r="K12" s="1893">
        <v>0</v>
      </c>
      <c r="L12" s="1889">
        <v>0</v>
      </c>
      <c r="M12" s="1889">
        <v>0</v>
      </c>
      <c r="N12" s="1890" t="e">
        <v>#DIV/0!</v>
      </c>
      <c r="O12" s="1614" t="e">
        <v>#DIV/0!</v>
      </c>
      <c r="P12" s="1614" t="e">
        <v>#DIV/0!</v>
      </c>
      <c r="Q12" s="1031">
        <v>179</v>
      </c>
      <c r="R12" s="1030">
        <v>179</v>
      </c>
      <c r="S12" s="1030">
        <v>447.7</v>
      </c>
      <c r="T12" s="1714">
        <v>2.501117318435754</v>
      </c>
      <c r="U12" s="1030" t="s">
        <v>982</v>
      </c>
      <c r="V12" s="27">
        <v>5667200.0000000009</v>
      </c>
      <c r="W12" s="2050">
        <v>12057868.137423173</v>
      </c>
    </row>
    <row r="13" spans="1:23" ht="35.1" customHeight="1" x14ac:dyDescent="0.2">
      <c r="A13" s="1038" t="s">
        <v>411</v>
      </c>
      <c r="B13" s="1039">
        <v>18639</v>
      </c>
      <c r="C13" s="1039">
        <v>18629</v>
      </c>
      <c r="D13" s="1039">
        <v>137686.79999999999</v>
      </c>
      <c r="E13" s="1508">
        <v>7.390992538515218</v>
      </c>
      <c r="F13" s="1615">
        <v>1885433.0000000002</v>
      </c>
      <c r="G13" s="1615">
        <v>11862609.007945508</v>
      </c>
      <c r="H13" s="1040"/>
      <c r="I13" s="1040"/>
      <c r="J13" s="1041"/>
      <c r="K13" s="1042">
        <v>16171</v>
      </c>
      <c r="L13" s="1039">
        <v>16171</v>
      </c>
      <c r="M13" s="1039">
        <v>119553.7</v>
      </c>
      <c r="N13" s="1508">
        <v>7.3930925731247292</v>
      </c>
      <c r="O13" s="1615">
        <v>1622000.0000000002</v>
      </c>
      <c r="P13" s="1615">
        <v>11825809.985510852</v>
      </c>
      <c r="Q13" s="1042">
        <v>34810</v>
      </c>
      <c r="R13" s="1039">
        <v>34800</v>
      </c>
      <c r="S13" s="1039">
        <v>257240.5</v>
      </c>
      <c r="T13" s="1715">
        <v>7.3919683908045979</v>
      </c>
      <c r="U13" s="1039" t="s">
        <v>984</v>
      </c>
      <c r="V13" s="1043">
        <v>1753716.5000000002</v>
      </c>
      <c r="W13" s="2051">
        <v>11844209.49672818</v>
      </c>
    </row>
    <row r="14" spans="1:23" ht="35.1" customHeight="1" x14ac:dyDescent="0.2">
      <c r="A14" s="1038" t="s">
        <v>412</v>
      </c>
      <c r="B14" s="1039">
        <v>574.25</v>
      </c>
      <c r="C14" s="1039">
        <v>560.25</v>
      </c>
      <c r="D14" s="1039">
        <v>2356.1025</v>
      </c>
      <c r="E14" s="1508">
        <v>4.205448460508701</v>
      </c>
      <c r="F14" s="1615">
        <v>4475000</v>
      </c>
      <c r="G14" s="1615">
        <v>16092075.706607997</v>
      </c>
      <c r="H14" s="1040"/>
      <c r="I14" s="1040"/>
      <c r="J14" s="1041"/>
      <c r="K14" s="1042">
        <v>548.5</v>
      </c>
      <c r="L14" s="1039">
        <v>544.5</v>
      </c>
      <c r="M14" s="1039">
        <v>2339.9</v>
      </c>
      <c r="N14" s="1508">
        <v>4.2973370064279157</v>
      </c>
      <c r="O14" s="1615">
        <v>3783999.9999999991</v>
      </c>
      <c r="P14" s="1615">
        <v>16092075.706608001</v>
      </c>
      <c r="Q14" s="1042">
        <v>1122.75</v>
      </c>
      <c r="R14" s="1039">
        <v>1104.75</v>
      </c>
      <c r="S14" s="1039">
        <v>4696.0025000000005</v>
      </c>
      <c r="T14" s="1715">
        <v>4.2507377234668482</v>
      </c>
      <c r="U14" s="1039" t="s">
        <v>985</v>
      </c>
      <c r="V14" s="1043">
        <v>4129499.9999999995</v>
      </c>
      <c r="W14" s="2051">
        <v>16092075.706607999</v>
      </c>
    </row>
    <row r="15" spans="1:23" ht="35.1" customHeight="1" x14ac:dyDescent="0.2">
      <c r="A15" s="1038" t="s">
        <v>413</v>
      </c>
      <c r="B15" s="1039">
        <v>453</v>
      </c>
      <c r="C15" s="1039">
        <v>439</v>
      </c>
      <c r="D15" s="1039">
        <v>5082</v>
      </c>
      <c r="E15" s="1508">
        <v>11.57630979498861</v>
      </c>
      <c r="F15" s="1615">
        <v>1145000</v>
      </c>
      <c r="G15" s="1615">
        <v>6722457.4441947704</v>
      </c>
      <c r="H15" s="1040"/>
      <c r="I15" s="1040"/>
      <c r="J15" s="1041"/>
      <c r="K15" s="1042">
        <v>417</v>
      </c>
      <c r="L15" s="1039">
        <v>387.5</v>
      </c>
      <c r="M15" s="1039">
        <v>3698</v>
      </c>
      <c r="N15" s="1508">
        <v>9.5432258064516127</v>
      </c>
      <c r="O15" s="1615">
        <v>1255000</v>
      </c>
      <c r="P15" s="1615">
        <v>6722457.4441947723</v>
      </c>
      <c r="Q15" s="1042">
        <v>870</v>
      </c>
      <c r="R15" s="1039">
        <v>826.5</v>
      </c>
      <c r="S15" s="1039">
        <v>8780</v>
      </c>
      <c r="T15" s="1715">
        <v>10.623109497882638</v>
      </c>
      <c r="U15" s="1039" t="s">
        <v>988</v>
      </c>
      <c r="V15" s="1043">
        <v>1200000</v>
      </c>
      <c r="W15" s="2051">
        <v>6722457.4441947713</v>
      </c>
    </row>
    <row r="16" spans="1:23" ht="35.1" customHeight="1" x14ac:dyDescent="0.2">
      <c r="A16" s="1038" t="s">
        <v>414</v>
      </c>
      <c r="B16" s="1039">
        <v>48.5</v>
      </c>
      <c r="C16" s="1039">
        <v>47.5</v>
      </c>
      <c r="D16" s="1039">
        <v>419</v>
      </c>
      <c r="E16" s="1508">
        <v>8.8210526315789473</v>
      </c>
      <c r="F16" s="1615">
        <v>1781000</v>
      </c>
      <c r="G16" s="1615">
        <v>10450000</v>
      </c>
      <c r="H16" s="1040"/>
      <c r="I16" s="1040"/>
      <c r="J16" s="1041"/>
      <c r="K16" s="1042">
        <v>44</v>
      </c>
      <c r="L16" s="1039">
        <v>43</v>
      </c>
      <c r="M16" s="1039">
        <v>356</v>
      </c>
      <c r="N16" s="1508">
        <v>8.279069767441861</v>
      </c>
      <c r="O16" s="1615">
        <v>1705000.0000000002</v>
      </c>
      <c r="P16" s="1615">
        <v>10450000</v>
      </c>
      <c r="Q16" s="1042">
        <v>92.5</v>
      </c>
      <c r="R16" s="1039">
        <v>90.5</v>
      </c>
      <c r="S16" s="1039">
        <v>775</v>
      </c>
      <c r="T16" s="1715">
        <v>8.5635359116022105</v>
      </c>
      <c r="U16" s="1039" t="s">
        <v>986</v>
      </c>
      <c r="V16" s="1043">
        <v>1743000</v>
      </c>
      <c r="W16" s="2051">
        <v>10450000</v>
      </c>
    </row>
    <row r="17" spans="1:23" ht="35.1" customHeight="1" x14ac:dyDescent="0.2">
      <c r="A17" s="1038" t="s">
        <v>415</v>
      </c>
      <c r="B17" s="1039">
        <v>7234</v>
      </c>
      <c r="C17" s="1039">
        <v>6905</v>
      </c>
      <c r="D17" s="1039">
        <v>10056.5</v>
      </c>
      <c r="E17" s="1508">
        <v>1.4564083997103547</v>
      </c>
      <c r="F17" s="1615">
        <v>10041458</v>
      </c>
      <c r="G17" s="1615">
        <v>12054596.552708667</v>
      </c>
      <c r="H17" s="1040"/>
      <c r="I17" s="1040"/>
      <c r="J17" s="1041"/>
      <c r="K17" s="1042">
        <v>6317</v>
      </c>
      <c r="L17" s="1039">
        <v>6154</v>
      </c>
      <c r="M17" s="1039">
        <v>8723.2999999999993</v>
      </c>
      <c r="N17" s="1508">
        <v>1.417500812479688</v>
      </c>
      <c r="O17" s="1615">
        <v>6615000.0000000019</v>
      </c>
      <c r="P17" s="1615">
        <v>12054596.552708667</v>
      </c>
      <c r="Q17" s="1042">
        <v>13551</v>
      </c>
      <c r="R17" s="1039">
        <v>13059</v>
      </c>
      <c r="S17" s="1039">
        <v>18779.8</v>
      </c>
      <c r="T17" s="1715">
        <v>1.4380733593690176</v>
      </c>
      <c r="U17" s="1039" t="s">
        <v>987</v>
      </c>
      <c r="V17" s="1043">
        <v>8328229.0000000009</v>
      </c>
      <c r="W17" s="2051">
        <v>12054596.552708667</v>
      </c>
    </row>
    <row r="18" spans="1:23" ht="35.1" customHeight="1" x14ac:dyDescent="0.2">
      <c r="A18" s="1038" t="s">
        <v>416</v>
      </c>
      <c r="B18" s="1039">
        <v>1620.7</v>
      </c>
      <c r="C18" s="1039">
        <v>1521.2</v>
      </c>
      <c r="D18" s="1039">
        <v>1259</v>
      </c>
      <c r="E18" s="1508">
        <v>0.82763607678148832</v>
      </c>
      <c r="F18" s="1615">
        <v>8900000.0000000019</v>
      </c>
      <c r="G18" s="1615">
        <v>3408823.810800001</v>
      </c>
      <c r="H18" s="1040"/>
      <c r="I18" s="1040"/>
      <c r="J18" s="1041"/>
      <c r="K18" s="1042">
        <v>1330</v>
      </c>
      <c r="L18" s="1039">
        <v>1268</v>
      </c>
      <c r="M18" s="1039">
        <v>1077.2</v>
      </c>
      <c r="N18" s="1508">
        <v>0.84952681388012619</v>
      </c>
      <c r="O18" s="1615">
        <v>5279999.9999999991</v>
      </c>
      <c r="P18" s="1615">
        <v>3408823.8108000001</v>
      </c>
      <c r="Q18" s="1042">
        <v>2950.7</v>
      </c>
      <c r="R18" s="1039">
        <v>2789.2</v>
      </c>
      <c r="S18" s="1039">
        <v>2336.1999999999998</v>
      </c>
      <c r="T18" s="1715">
        <v>0.8375878388068263</v>
      </c>
      <c r="U18" s="1039" t="s">
        <v>987</v>
      </c>
      <c r="V18" s="1043">
        <v>7090000</v>
      </c>
      <c r="W18" s="2051">
        <v>3408823.8108000006</v>
      </c>
    </row>
    <row r="19" spans="1:23" ht="35.1" customHeight="1" x14ac:dyDescent="0.2">
      <c r="A19" s="1038" t="s">
        <v>417</v>
      </c>
      <c r="B19" s="1039">
        <v>319.5</v>
      </c>
      <c r="C19" s="1039">
        <v>309</v>
      </c>
      <c r="D19" s="1039">
        <v>2128</v>
      </c>
      <c r="E19" s="1508">
        <v>6.8867313915857604</v>
      </c>
      <c r="F19" s="1615">
        <v>2621999.9999999995</v>
      </c>
      <c r="G19" s="1615">
        <v>15431638.262649499</v>
      </c>
      <c r="H19" s="1040"/>
      <c r="I19" s="1040"/>
      <c r="J19" s="1041"/>
      <c r="K19" s="1042">
        <v>282</v>
      </c>
      <c r="L19" s="1039">
        <v>267</v>
      </c>
      <c r="M19" s="1039">
        <v>1638.5</v>
      </c>
      <c r="N19" s="1508">
        <v>6.1367041198501875</v>
      </c>
      <c r="O19" s="1615">
        <v>2505999.9999999995</v>
      </c>
      <c r="P19" s="1615">
        <v>15431638.262649501</v>
      </c>
      <c r="Q19" s="1042">
        <v>601.5</v>
      </c>
      <c r="R19" s="1039">
        <v>576</v>
      </c>
      <c r="S19" s="1039">
        <v>3766.5</v>
      </c>
      <c r="T19" s="1715">
        <v>6.5390625</v>
      </c>
      <c r="U19" s="1039" t="s">
        <v>985</v>
      </c>
      <c r="V19" s="1043">
        <v>2563999.9999999995</v>
      </c>
      <c r="W19" s="2051">
        <v>15431638.262649499</v>
      </c>
    </row>
    <row r="20" spans="1:23" ht="35.1" customHeight="1" x14ac:dyDescent="0.2">
      <c r="A20" s="1038" t="s">
        <v>418</v>
      </c>
      <c r="B20" s="1039">
        <v>584.5</v>
      </c>
      <c r="C20" s="1039">
        <v>548.5</v>
      </c>
      <c r="D20" s="1039">
        <v>3263.89</v>
      </c>
      <c r="E20" s="1508">
        <v>5.9505742935278025</v>
      </c>
      <c r="F20" s="1615">
        <v>2145000</v>
      </c>
      <c r="G20" s="1615">
        <v>6500000.0000000028</v>
      </c>
      <c r="H20" s="1040"/>
      <c r="I20" s="1040"/>
      <c r="J20" s="1041"/>
      <c r="K20" s="1042">
        <v>486.5</v>
      </c>
      <c r="L20" s="1039">
        <v>468</v>
      </c>
      <c r="M20" s="1039">
        <v>2571.08</v>
      </c>
      <c r="N20" s="1508">
        <v>5.4937606837606836</v>
      </c>
      <c r="O20" s="1615">
        <v>2300000</v>
      </c>
      <c r="P20" s="1615">
        <v>6499999.9999999981</v>
      </c>
      <c r="Q20" s="1042">
        <v>1071</v>
      </c>
      <c r="R20" s="1039">
        <v>1016.5</v>
      </c>
      <c r="S20" s="1039">
        <v>5834.9699999999993</v>
      </c>
      <c r="T20" s="1715">
        <v>5.740255779636005</v>
      </c>
      <c r="U20" s="1039" t="s">
        <v>985</v>
      </c>
      <c r="V20" s="1043">
        <v>2222500</v>
      </c>
      <c r="W20" s="2051">
        <v>6500000</v>
      </c>
    </row>
    <row r="21" spans="1:23" ht="35.1" customHeight="1" x14ac:dyDescent="0.2">
      <c r="A21" s="1038" t="s">
        <v>419</v>
      </c>
      <c r="B21" s="1039">
        <v>1844.5</v>
      </c>
      <c r="C21" s="1039">
        <v>1806.5</v>
      </c>
      <c r="D21" s="1039">
        <v>8760.2000000000007</v>
      </c>
      <c r="E21" s="1508">
        <v>4.8492665375034605</v>
      </c>
      <c r="F21" s="1615">
        <v>1929167.0000000002</v>
      </c>
      <c r="G21" s="1615">
        <v>6624516.3329927335</v>
      </c>
      <c r="H21" s="1040"/>
      <c r="I21" s="1040"/>
      <c r="J21" s="1041"/>
      <c r="K21" s="1042">
        <v>1548</v>
      </c>
      <c r="L21" s="1039">
        <v>1508</v>
      </c>
      <c r="M21" s="1039">
        <v>7211.2</v>
      </c>
      <c r="N21" s="1508">
        <v>4.7819628647214856</v>
      </c>
      <c r="O21" s="1615">
        <v>1458333</v>
      </c>
      <c r="P21" s="1615">
        <v>6624516.3329927344</v>
      </c>
      <c r="Q21" s="1042">
        <v>3392.5</v>
      </c>
      <c r="R21" s="1039">
        <v>3314.5</v>
      </c>
      <c r="S21" s="1039">
        <v>15971.400000000001</v>
      </c>
      <c r="T21" s="1715">
        <v>4.8186453462060648</v>
      </c>
      <c r="U21" s="1039" t="s">
        <v>987</v>
      </c>
      <c r="V21" s="1043">
        <v>1693750</v>
      </c>
      <c r="W21" s="2051">
        <v>6624516.3329927344</v>
      </c>
    </row>
    <row r="22" spans="1:23" ht="35.1" customHeight="1" x14ac:dyDescent="0.2">
      <c r="A22" s="1038" t="s">
        <v>420</v>
      </c>
      <c r="B22" s="1039">
        <v>4118</v>
      </c>
      <c r="C22" s="1039">
        <v>4074</v>
      </c>
      <c r="D22" s="1039">
        <v>20080.5</v>
      </c>
      <c r="E22" s="1508">
        <v>4.9289396170839472</v>
      </c>
      <c r="F22" s="1615">
        <v>1764000</v>
      </c>
      <c r="G22" s="1615">
        <v>6624516.3329927307</v>
      </c>
      <c r="H22" s="1040"/>
      <c r="I22" s="1040"/>
      <c r="J22" s="1041"/>
      <c r="K22" s="1042">
        <v>3173.5</v>
      </c>
      <c r="L22" s="1039">
        <v>3133.5</v>
      </c>
      <c r="M22" s="1039">
        <v>15167.119999999999</v>
      </c>
      <c r="N22" s="1508">
        <v>4.8403127493218445</v>
      </c>
      <c r="O22" s="1615">
        <v>1400000</v>
      </c>
      <c r="P22" s="1615">
        <v>6624516.3329927297</v>
      </c>
      <c r="Q22" s="1042">
        <v>7291.5</v>
      </c>
      <c r="R22" s="1039">
        <v>7207.5</v>
      </c>
      <c r="S22" s="1039">
        <v>35247.619999999995</v>
      </c>
      <c r="T22" s="1715">
        <v>4.8904086021505373</v>
      </c>
      <c r="U22" s="1039" t="s">
        <v>987</v>
      </c>
      <c r="V22" s="1043">
        <v>1582000</v>
      </c>
      <c r="W22" s="2051">
        <v>6624516.3329927307</v>
      </c>
    </row>
    <row r="23" spans="1:23" ht="35.1" customHeight="1" x14ac:dyDescent="0.2">
      <c r="A23" s="1038" t="s">
        <v>421</v>
      </c>
      <c r="B23" s="1039">
        <v>1646.5</v>
      </c>
      <c r="C23" s="1039">
        <v>1545.5</v>
      </c>
      <c r="D23" s="1039">
        <v>2503.3000000000002</v>
      </c>
      <c r="E23" s="1508">
        <v>1.6197347136848916</v>
      </c>
      <c r="F23" s="1615">
        <v>1929166.9999999995</v>
      </c>
      <c r="G23" s="1615">
        <v>3130853.1077512531</v>
      </c>
      <c r="H23" s="1040"/>
      <c r="I23" s="1040"/>
      <c r="J23" s="1041"/>
      <c r="K23" s="1042">
        <v>1617</v>
      </c>
      <c r="L23" s="1039">
        <v>1567</v>
      </c>
      <c r="M23" s="1039">
        <v>2517.8000000000002</v>
      </c>
      <c r="N23" s="1508">
        <v>1.6067645181876198</v>
      </c>
      <c r="O23" s="1615">
        <v>1458332.9999999998</v>
      </c>
      <c r="P23" s="1615">
        <v>3130853.1077512535</v>
      </c>
      <c r="Q23" s="1042">
        <v>3263.5</v>
      </c>
      <c r="R23" s="1039">
        <v>3112.5</v>
      </c>
      <c r="S23" s="1044">
        <v>5021.1000000000004</v>
      </c>
      <c r="T23" s="1715">
        <v>1.6132048192771085</v>
      </c>
      <c r="U23" s="1039" t="s">
        <v>987</v>
      </c>
      <c r="V23" s="1043">
        <v>1693749.9999999995</v>
      </c>
      <c r="W23" s="2051">
        <v>3130853.1077512531</v>
      </c>
    </row>
    <row r="24" spans="1:23" ht="35.1" customHeight="1" x14ac:dyDescent="0.2">
      <c r="A24" s="1038" t="s">
        <v>422</v>
      </c>
      <c r="B24" s="1039">
        <v>3292.5</v>
      </c>
      <c r="C24" s="1039">
        <v>3185.5</v>
      </c>
      <c r="D24" s="1039">
        <v>5508.6</v>
      </c>
      <c r="E24" s="1508">
        <v>1.7292732695024331</v>
      </c>
      <c r="F24" s="1615">
        <v>1764000</v>
      </c>
      <c r="G24" s="1615">
        <v>3130853.1077512545</v>
      </c>
      <c r="H24" s="1040"/>
      <c r="I24" s="1040"/>
      <c r="J24" s="1041"/>
      <c r="K24" s="1042">
        <v>3108.7</v>
      </c>
      <c r="L24" s="1039">
        <v>3058.7</v>
      </c>
      <c r="M24" s="1039">
        <v>5228.7</v>
      </c>
      <c r="N24" s="1508">
        <v>1.7094517278582404</v>
      </c>
      <c r="O24" s="1615">
        <v>1400000.0000000002</v>
      </c>
      <c r="P24" s="1615">
        <v>3130853.107751254</v>
      </c>
      <c r="Q24" s="1042">
        <v>6401.2</v>
      </c>
      <c r="R24" s="1039">
        <v>6244.2</v>
      </c>
      <c r="S24" s="1039">
        <v>10737.3</v>
      </c>
      <c r="T24" s="1715">
        <v>1.7195637551647929</v>
      </c>
      <c r="U24" s="1039" t="s">
        <v>987</v>
      </c>
      <c r="V24" s="1043">
        <v>1582000</v>
      </c>
      <c r="W24" s="2051">
        <v>3130853.107751254</v>
      </c>
    </row>
    <row r="25" spans="1:23" ht="35.1" customHeight="1" x14ac:dyDescent="0.2">
      <c r="A25" s="1038" t="s">
        <v>423</v>
      </c>
      <c r="B25" s="1039">
        <v>458</v>
      </c>
      <c r="C25" s="1039">
        <v>450</v>
      </c>
      <c r="D25" s="1039">
        <v>9225</v>
      </c>
      <c r="E25" s="1508">
        <v>20.5</v>
      </c>
      <c r="F25" s="1615">
        <v>2471000</v>
      </c>
      <c r="G25" s="1615">
        <v>26430670.985209994</v>
      </c>
      <c r="H25" s="1040"/>
      <c r="I25" s="1040"/>
      <c r="J25" s="1041"/>
      <c r="K25" s="1042">
        <v>401</v>
      </c>
      <c r="L25" s="1039">
        <v>399</v>
      </c>
      <c r="M25" s="1039">
        <v>8429</v>
      </c>
      <c r="N25" s="1508">
        <v>21.125313283208019</v>
      </c>
      <c r="O25" s="1615">
        <v>2591999.9999999995</v>
      </c>
      <c r="P25" s="1615">
        <v>26430670.985210001</v>
      </c>
      <c r="Q25" s="1042">
        <v>859</v>
      </c>
      <c r="R25" s="1039">
        <v>849</v>
      </c>
      <c r="S25" s="1039">
        <v>17654</v>
      </c>
      <c r="T25" s="1715">
        <v>20.793875147232036</v>
      </c>
      <c r="U25" s="1039" t="s">
        <v>988</v>
      </c>
      <c r="V25" s="1043">
        <v>2531500</v>
      </c>
      <c r="W25" s="2051">
        <v>26430670.985209998</v>
      </c>
    </row>
    <row r="26" spans="1:23" ht="35.1" customHeight="1" x14ac:dyDescent="0.2">
      <c r="A26" s="1038" t="s">
        <v>424</v>
      </c>
      <c r="B26" s="1039">
        <v>26</v>
      </c>
      <c r="C26" s="1039">
        <v>26</v>
      </c>
      <c r="D26" s="1039">
        <v>162</v>
      </c>
      <c r="E26" s="1508">
        <v>6.2307692307692308</v>
      </c>
      <c r="F26" s="1615">
        <v>1380000</v>
      </c>
      <c r="G26" s="1615">
        <v>6878300</v>
      </c>
      <c r="H26" s="1040"/>
      <c r="I26" s="1040"/>
      <c r="J26" s="1041"/>
      <c r="K26" s="1042">
        <v>30</v>
      </c>
      <c r="L26" s="1039">
        <v>27.5</v>
      </c>
      <c r="M26" s="1039">
        <v>168.5</v>
      </c>
      <c r="N26" s="1508">
        <v>6.127272727272727</v>
      </c>
      <c r="O26" s="1615">
        <v>1358000</v>
      </c>
      <c r="P26" s="1615">
        <v>6878299.9999999991</v>
      </c>
      <c r="Q26" s="1042">
        <v>56</v>
      </c>
      <c r="R26" s="1039">
        <v>53.5</v>
      </c>
      <c r="S26" s="1039">
        <v>330.5</v>
      </c>
      <c r="T26" s="1715">
        <v>6.1775700934579438</v>
      </c>
      <c r="U26" s="1039" t="s">
        <v>406</v>
      </c>
      <c r="V26" s="1043">
        <v>1369000</v>
      </c>
      <c r="W26" s="2051">
        <v>6878300</v>
      </c>
    </row>
    <row r="27" spans="1:23" ht="35.1" customHeight="1" x14ac:dyDescent="0.2">
      <c r="A27" s="1038" t="s">
        <v>425</v>
      </c>
      <c r="B27" s="1039">
        <v>94</v>
      </c>
      <c r="C27" s="1039">
        <v>88</v>
      </c>
      <c r="D27" s="1039">
        <v>1132</v>
      </c>
      <c r="E27" s="1508">
        <v>12.863636363636363</v>
      </c>
      <c r="F27" s="1615">
        <v>1675000</v>
      </c>
      <c r="G27" s="1615">
        <v>8350000</v>
      </c>
      <c r="H27" s="1040"/>
      <c r="I27" s="1040"/>
      <c r="J27" s="1041"/>
      <c r="K27" s="1042">
        <v>119.2</v>
      </c>
      <c r="L27" s="1039">
        <v>111.2</v>
      </c>
      <c r="M27" s="1039">
        <v>1509.3</v>
      </c>
      <c r="N27" s="1508">
        <v>13.572841726618705</v>
      </c>
      <c r="O27" s="1615">
        <v>1474000.0000000002</v>
      </c>
      <c r="P27" s="1615">
        <v>8350000.0000000019</v>
      </c>
      <c r="Q27" s="1042">
        <v>213.2</v>
      </c>
      <c r="R27" s="1039">
        <v>199.2</v>
      </c>
      <c r="S27" s="1039">
        <v>2641.3</v>
      </c>
      <c r="T27" s="1715">
        <v>13.259538152610443</v>
      </c>
      <c r="U27" s="1039" t="s">
        <v>988</v>
      </c>
      <c r="V27" s="1043">
        <v>1574500</v>
      </c>
      <c r="W27" s="2051">
        <v>16700000.000000002</v>
      </c>
    </row>
    <row r="28" spans="1:23" ht="35.1" customHeight="1" x14ac:dyDescent="0.2">
      <c r="A28" s="1038" t="s">
        <v>426</v>
      </c>
      <c r="B28" s="1039">
        <v>0</v>
      </c>
      <c r="C28" s="1039">
        <v>0</v>
      </c>
      <c r="D28" s="1039">
        <v>0</v>
      </c>
      <c r="E28" s="1508" t="e">
        <v>#DIV/0!</v>
      </c>
      <c r="F28" s="1615" t="e">
        <v>#DIV/0!</v>
      </c>
      <c r="G28" s="1615" t="e">
        <v>#DIV/0!</v>
      </c>
      <c r="H28" s="1040"/>
      <c r="I28" s="1040"/>
      <c r="J28" s="1041"/>
      <c r="K28" s="1042">
        <v>0</v>
      </c>
      <c r="L28" s="1039">
        <v>0</v>
      </c>
      <c r="M28" s="1039">
        <v>0</v>
      </c>
      <c r="N28" s="1508" t="e">
        <v>#DIV/0!</v>
      </c>
      <c r="O28" s="1615" t="e">
        <v>#DIV/0!</v>
      </c>
      <c r="P28" s="1615" t="e">
        <v>#DIV/0!</v>
      </c>
      <c r="Q28" s="1042">
        <v>0</v>
      </c>
      <c r="R28" s="1039">
        <v>0</v>
      </c>
      <c r="S28" s="1039">
        <v>0</v>
      </c>
      <c r="T28" s="1715" t="e">
        <v>#DIV/0!</v>
      </c>
      <c r="U28" s="1039">
        <v>0</v>
      </c>
      <c r="V28" s="1043" t="e">
        <v>#DIV/0!</v>
      </c>
      <c r="W28" s="2052" t="e">
        <v>#DIV/0!</v>
      </c>
    </row>
    <row r="29" spans="1:23" ht="35.1" customHeight="1" x14ac:dyDescent="0.2">
      <c r="A29" s="1038" t="s">
        <v>427</v>
      </c>
      <c r="B29" s="1039">
        <v>161.75</v>
      </c>
      <c r="C29" s="1039">
        <v>148.75</v>
      </c>
      <c r="D29" s="1039">
        <v>1474</v>
      </c>
      <c r="E29" s="1508">
        <v>9.9092436974789919</v>
      </c>
      <c r="F29" s="1615">
        <v>2503000</v>
      </c>
      <c r="G29" s="1615">
        <v>12691250.000000002</v>
      </c>
      <c r="H29" s="1040"/>
      <c r="I29" s="1040"/>
      <c r="J29" s="1041"/>
      <c r="K29" s="1042">
        <v>148.25</v>
      </c>
      <c r="L29" s="1039">
        <v>133.75</v>
      </c>
      <c r="M29" s="1039">
        <v>1362</v>
      </c>
      <c r="N29" s="1508">
        <v>10.183177570093457</v>
      </c>
      <c r="O29" s="1615">
        <v>1641000.0000000002</v>
      </c>
      <c r="P29" s="1615">
        <v>12691250</v>
      </c>
      <c r="Q29" s="1042">
        <v>310</v>
      </c>
      <c r="R29" s="1039">
        <v>282.5</v>
      </c>
      <c r="S29" s="1039">
        <v>2836</v>
      </c>
      <c r="T29" s="1715">
        <v>10.038938053097345</v>
      </c>
      <c r="U29" s="1039" t="s">
        <v>988</v>
      </c>
      <c r="V29" s="1043">
        <v>2072000</v>
      </c>
      <c r="W29" s="2051">
        <v>12691250</v>
      </c>
    </row>
    <row r="30" spans="1:23" ht="35.1" customHeight="1" x14ac:dyDescent="0.2">
      <c r="A30" s="1038" t="s">
        <v>428</v>
      </c>
      <c r="B30" s="1039">
        <v>107.5</v>
      </c>
      <c r="C30" s="1039">
        <v>104.5</v>
      </c>
      <c r="D30" s="1039">
        <v>1807.5</v>
      </c>
      <c r="E30" s="1508">
        <v>17.296650717703351</v>
      </c>
      <c r="F30" s="1615">
        <v>1302559.9999999998</v>
      </c>
      <c r="G30" s="1615">
        <v>10321150.550978053</v>
      </c>
      <c r="H30" s="1040"/>
      <c r="I30" s="1040"/>
      <c r="J30" s="1041"/>
      <c r="K30" s="1042">
        <v>125.5</v>
      </c>
      <c r="L30" s="1039">
        <v>121.5</v>
      </c>
      <c r="M30" s="1039">
        <v>2102</v>
      </c>
      <c r="N30" s="1508">
        <v>17.300411522633745</v>
      </c>
      <c r="O30" s="1615">
        <v>1350000</v>
      </c>
      <c r="P30" s="1615">
        <v>10321150.550978051</v>
      </c>
      <c r="Q30" s="1042">
        <v>233</v>
      </c>
      <c r="R30" s="1039">
        <v>226</v>
      </c>
      <c r="S30" s="1039">
        <v>3909.5</v>
      </c>
      <c r="T30" s="1715">
        <v>17.298672566371682</v>
      </c>
      <c r="U30" s="1039" t="s">
        <v>988</v>
      </c>
      <c r="V30" s="1043">
        <v>1326280</v>
      </c>
      <c r="W30" s="2051">
        <v>10321150.550978053</v>
      </c>
    </row>
    <row r="31" spans="1:23" ht="35.1" customHeight="1" x14ac:dyDescent="0.2">
      <c r="A31" s="1038" t="s">
        <v>429</v>
      </c>
      <c r="B31" s="1039">
        <v>46</v>
      </c>
      <c r="C31" s="1039">
        <v>57.5</v>
      </c>
      <c r="D31" s="1039">
        <v>264.5</v>
      </c>
      <c r="E31" s="1508">
        <v>4.5999999999999996</v>
      </c>
      <c r="F31" s="1615">
        <v>1255000</v>
      </c>
      <c r="G31" s="1615">
        <v>5027077.2387764119</v>
      </c>
      <c r="H31" s="1040"/>
      <c r="I31" s="1040"/>
      <c r="J31" s="1041"/>
      <c r="K31" s="1042">
        <v>38</v>
      </c>
      <c r="L31" s="1039">
        <v>38</v>
      </c>
      <c r="M31" s="1039">
        <v>168</v>
      </c>
      <c r="N31" s="1508">
        <v>4.4210526315789478</v>
      </c>
      <c r="O31" s="1615">
        <v>1255000</v>
      </c>
      <c r="P31" s="1615">
        <v>5027077.2387764119</v>
      </c>
      <c r="Q31" s="1042">
        <v>84</v>
      </c>
      <c r="R31" s="1039">
        <v>95.5</v>
      </c>
      <c r="S31" s="1039">
        <v>432.5</v>
      </c>
      <c r="T31" s="1715">
        <v>4.5287958115183242</v>
      </c>
      <c r="U31" s="1039" t="s">
        <v>987</v>
      </c>
      <c r="V31" s="1043">
        <v>1255000</v>
      </c>
      <c r="W31" s="2051">
        <v>5027077.2387764119</v>
      </c>
    </row>
    <row r="32" spans="1:23" ht="35.1" customHeight="1" x14ac:dyDescent="0.2">
      <c r="A32" s="1038" t="s">
        <v>430</v>
      </c>
      <c r="B32" s="1039">
        <v>0</v>
      </c>
      <c r="C32" s="1039">
        <v>0</v>
      </c>
      <c r="D32" s="1039">
        <v>0</v>
      </c>
      <c r="E32" s="1508" t="e">
        <v>#DIV/0!</v>
      </c>
      <c r="F32" s="1615">
        <v>0</v>
      </c>
      <c r="G32" s="1615" t="e">
        <v>#DIV/0!</v>
      </c>
      <c r="H32" s="1040"/>
      <c r="I32" s="1040"/>
      <c r="J32" s="1041"/>
      <c r="K32" s="1042">
        <v>0</v>
      </c>
      <c r="L32" s="1039">
        <v>0</v>
      </c>
      <c r="M32" s="1039">
        <v>0</v>
      </c>
      <c r="N32" s="1508" t="e">
        <v>#DIV/0!</v>
      </c>
      <c r="O32" s="1615">
        <v>0</v>
      </c>
      <c r="P32" s="1615" t="e">
        <v>#DIV/0!</v>
      </c>
      <c r="Q32" s="1042">
        <v>0</v>
      </c>
      <c r="R32" s="1039">
        <v>0</v>
      </c>
      <c r="S32" s="1039">
        <v>0</v>
      </c>
      <c r="T32" s="1715" t="e">
        <v>#DIV/0!</v>
      </c>
      <c r="U32" s="1039" t="s">
        <v>1558</v>
      </c>
      <c r="V32" s="1043">
        <v>0</v>
      </c>
      <c r="W32" s="2051" t="e">
        <v>#DIV/0!</v>
      </c>
    </row>
    <row r="33" spans="1:23" ht="35.1" customHeight="1" x14ac:dyDescent="0.2">
      <c r="A33" s="1045" t="s">
        <v>431</v>
      </c>
      <c r="B33" s="1039">
        <v>0</v>
      </c>
      <c r="C33" s="1039">
        <v>0</v>
      </c>
      <c r="D33" s="1039">
        <v>0</v>
      </c>
      <c r="E33" s="1508" t="e">
        <v>#DIV/0!</v>
      </c>
      <c r="F33" s="1615" t="e">
        <v>#DIV/0!</v>
      </c>
      <c r="G33" s="1615" t="e">
        <v>#DIV/0!</v>
      </c>
      <c r="H33" s="1040"/>
      <c r="I33" s="1040"/>
      <c r="J33" s="1041"/>
      <c r="K33" s="1042">
        <v>0</v>
      </c>
      <c r="L33" s="1039">
        <v>0</v>
      </c>
      <c r="M33" s="1039">
        <v>0</v>
      </c>
      <c r="N33" s="1508" t="e">
        <v>#DIV/0!</v>
      </c>
      <c r="O33" s="1615" t="e">
        <v>#DIV/0!</v>
      </c>
      <c r="P33" s="1615" t="e">
        <v>#DIV/0!</v>
      </c>
      <c r="Q33" s="1042">
        <v>0</v>
      </c>
      <c r="R33" s="1039">
        <v>0</v>
      </c>
      <c r="S33" s="1039">
        <v>0</v>
      </c>
      <c r="T33" s="1715" t="e">
        <v>#DIV/0!</v>
      </c>
      <c r="U33" s="1039" t="s">
        <v>989</v>
      </c>
      <c r="V33" s="1043" t="e">
        <v>#DIV/0!</v>
      </c>
      <c r="W33" s="2051" t="e">
        <v>#DIV/0!</v>
      </c>
    </row>
    <row r="34" spans="1:23" ht="35.1" customHeight="1" x14ac:dyDescent="0.2">
      <c r="A34" s="1045" t="s">
        <v>1292</v>
      </c>
      <c r="B34" s="1039">
        <v>0</v>
      </c>
      <c r="C34" s="1039">
        <v>0</v>
      </c>
      <c r="D34" s="1039">
        <v>0</v>
      </c>
      <c r="E34" s="1039" t="e">
        <v>#DIV/0!</v>
      </c>
      <c r="F34" s="1039" t="s">
        <v>989</v>
      </c>
      <c r="G34" s="1039" t="e">
        <v>#DIV/0!</v>
      </c>
      <c r="H34" s="1040"/>
      <c r="I34" s="1040"/>
      <c r="J34" s="1041"/>
      <c r="K34" s="1827">
        <v>0</v>
      </c>
      <c r="L34" s="1039">
        <v>0</v>
      </c>
      <c r="M34" s="1039">
        <v>0</v>
      </c>
      <c r="N34" s="1039" t="e">
        <v>#DIV/0!</v>
      </c>
      <c r="O34" s="1039" t="e">
        <v>#DIV/0!</v>
      </c>
      <c r="P34" s="1828" t="e">
        <v>#DIV/0!</v>
      </c>
      <c r="Q34" s="1042">
        <v>0</v>
      </c>
      <c r="R34" s="1039">
        <v>0</v>
      </c>
      <c r="S34" s="1039">
        <v>0</v>
      </c>
      <c r="T34" s="1715" t="e">
        <v>#DIV/0!</v>
      </c>
      <c r="U34" s="1039" t="s">
        <v>989</v>
      </c>
      <c r="V34" s="1043" t="e">
        <v>#DIV/0!</v>
      </c>
      <c r="W34" s="2051" t="e">
        <v>#DIV/0!</v>
      </c>
    </row>
    <row r="35" spans="1:23" ht="35.1" customHeight="1" thickBot="1" x14ac:dyDescent="0.25">
      <c r="A35" s="1032" t="s">
        <v>432</v>
      </c>
      <c r="B35" s="1884">
        <v>592</v>
      </c>
      <c r="C35" s="1884">
        <v>569.79999999999995</v>
      </c>
      <c r="D35" s="1884">
        <v>10755.25</v>
      </c>
      <c r="E35" s="1885">
        <v>18.875482625482626</v>
      </c>
      <c r="F35" s="1886">
        <v>1811000</v>
      </c>
      <c r="G35" s="1886">
        <v>32504965.836568229</v>
      </c>
      <c r="H35" s="1033"/>
      <c r="I35" s="1033"/>
      <c r="J35" s="1034"/>
      <c r="K35" s="1887">
        <v>631.5</v>
      </c>
      <c r="L35" s="1884">
        <v>590.5</v>
      </c>
      <c r="M35" s="1884">
        <v>10929.5</v>
      </c>
      <c r="N35" s="1885">
        <v>18.508890770533448</v>
      </c>
      <c r="O35" s="1718">
        <v>2620000</v>
      </c>
      <c r="P35" s="1718">
        <v>32504965.836568225</v>
      </c>
      <c r="Q35" s="1719">
        <v>1223.5</v>
      </c>
      <c r="R35" s="1035">
        <v>1160.3</v>
      </c>
      <c r="S35" s="1036">
        <v>21684.75</v>
      </c>
      <c r="T35" s="1716">
        <v>18.688916659484615</v>
      </c>
      <c r="U35" s="1046" t="s">
        <v>985</v>
      </c>
      <c r="V35" s="1037">
        <v>2215500</v>
      </c>
      <c r="W35" s="2053">
        <v>32504965.836568229</v>
      </c>
    </row>
    <row r="36" spans="1:23" ht="35.1" customHeight="1" thickBot="1" x14ac:dyDescent="0.25">
      <c r="A36" s="28" t="s">
        <v>433</v>
      </c>
      <c r="B36" s="29">
        <v>42039.199999999997</v>
      </c>
      <c r="C36" s="29">
        <v>41194.5</v>
      </c>
      <c r="D36" s="30">
        <v>224371.84250000003</v>
      </c>
      <c r="E36" s="31"/>
      <c r="F36" s="31"/>
      <c r="G36" s="31"/>
      <c r="H36" s="31"/>
      <c r="I36" s="31"/>
      <c r="J36" s="31"/>
      <c r="K36" s="32">
        <v>36536.649999999994</v>
      </c>
      <c r="L36" s="29">
        <v>35991.649999999994</v>
      </c>
      <c r="M36" s="30">
        <v>194750.8</v>
      </c>
      <c r="N36" s="33"/>
      <c r="O36" s="33"/>
      <c r="P36" s="33"/>
      <c r="Q36" s="1717">
        <v>78575.849999999991</v>
      </c>
      <c r="R36" s="29">
        <v>77186.149999999994</v>
      </c>
      <c r="S36" s="29">
        <v>419122.64249999996</v>
      </c>
      <c r="T36" s="33"/>
      <c r="U36" s="33"/>
      <c r="V36" s="33"/>
      <c r="W36" s="33"/>
    </row>
    <row r="37" spans="1:23" ht="14.25" x14ac:dyDescent="0.2">
      <c r="A37" s="7" t="s">
        <v>1934</v>
      </c>
      <c r="B37" s="8"/>
      <c r="C37" s="8"/>
      <c r="D37" s="8"/>
      <c r="E37" s="4"/>
      <c r="F37" s="5"/>
      <c r="G37" s="9"/>
      <c r="H37" s="8"/>
      <c r="I37" s="24"/>
      <c r="J37" s="24"/>
      <c r="K37" s="24"/>
      <c r="L37" s="24"/>
      <c r="M37" s="23"/>
      <c r="N37" s="24"/>
      <c r="O37" s="24"/>
      <c r="P37" s="24"/>
      <c r="Q37" s="24"/>
      <c r="R37" s="24"/>
      <c r="S37" s="24"/>
      <c r="T37" s="24"/>
      <c r="U37" s="24"/>
      <c r="V37" s="24"/>
      <c r="W37" s="24"/>
    </row>
    <row r="38" spans="1:23" ht="14.25" x14ac:dyDescent="0.2">
      <c r="A38" s="34" t="s">
        <v>1883</v>
      </c>
      <c r="B38" s="24"/>
      <c r="C38" s="24"/>
      <c r="D38" s="23"/>
      <c r="E38" s="24"/>
      <c r="F38" s="24"/>
      <c r="G38" s="24"/>
      <c r="H38" s="24"/>
      <c r="I38" s="24"/>
      <c r="J38" s="24"/>
      <c r="K38" s="24"/>
      <c r="L38" s="24"/>
      <c r="M38" s="23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1:23" ht="14.25" x14ac:dyDescent="0.2">
      <c r="A39" s="35"/>
      <c r="B39" s="24"/>
      <c r="C39" s="24"/>
      <c r="D39" s="23"/>
      <c r="E39" s="24"/>
      <c r="F39" s="24"/>
      <c r="G39" s="24"/>
      <c r="H39" s="24"/>
      <c r="I39" s="24"/>
      <c r="J39" s="24"/>
      <c r="K39" s="1817"/>
      <c r="L39" s="24"/>
      <c r="M39" s="23"/>
      <c r="N39" s="24"/>
      <c r="O39" s="24"/>
      <c r="P39" s="24"/>
      <c r="Q39" s="24"/>
      <c r="R39" s="24"/>
      <c r="S39" s="24"/>
      <c r="T39" s="24"/>
      <c r="U39" s="24"/>
      <c r="V39" s="24"/>
      <c r="W39" s="24"/>
    </row>
    <row r="40" spans="1:23" ht="14.25" x14ac:dyDescent="0.2">
      <c r="A40" s="1713"/>
      <c r="B40" s="1817"/>
      <c r="C40" s="1817"/>
      <c r="D40" s="2262"/>
      <c r="E40" s="1817"/>
      <c r="F40" s="1817"/>
      <c r="G40" s="1817"/>
      <c r="H40" s="1817"/>
      <c r="I40" s="1817"/>
      <c r="J40" s="1817"/>
      <c r="K40" s="1817"/>
      <c r="L40" s="1817"/>
      <c r="M40" s="2262"/>
      <c r="N40" s="1817"/>
      <c r="O40" s="1817"/>
      <c r="P40" s="1817"/>
      <c r="Q40" s="1817"/>
      <c r="R40" s="1817"/>
      <c r="S40" s="1817"/>
      <c r="T40" s="24"/>
      <c r="U40" s="24"/>
      <c r="V40" s="24"/>
      <c r="W40" s="24"/>
    </row>
    <row r="41" spans="1:23" ht="14.25" x14ac:dyDescent="0.2">
      <c r="A41" s="1713"/>
      <c r="B41" s="37"/>
      <c r="C41" s="37"/>
      <c r="D41" s="36"/>
      <c r="E41" s="37"/>
      <c r="F41" s="37"/>
      <c r="G41" s="37"/>
      <c r="H41" s="37"/>
      <c r="I41" s="37"/>
      <c r="J41" s="37"/>
      <c r="K41" s="37"/>
      <c r="L41" s="37"/>
      <c r="M41" s="36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4.25" x14ac:dyDescent="0.2">
      <c r="A42" s="36"/>
      <c r="B42" s="37"/>
      <c r="C42" s="37"/>
      <c r="D42" s="36"/>
      <c r="E42" s="37"/>
      <c r="F42" s="37"/>
      <c r="G42" s="37"/>
      <c r="H42" s="37"/>
      <c r="I42" s="37"/>
      <c r="J42" s="37"/>
      <c r="K42" s="37"/>
      <c r="L42" s="37"/>
      <c r="M42" s="36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4.25" x14ac:dyDescent="0.2">
      <c r="A43" s="39"/>
      <c r="B43" s="10"/>
      <c r="C43" s="10"/>
      <c r="D43" s="10"/>
      <c r="K43" s="10"/>
      <c r="L43" s="10"/>
      <c r="M43" s="10"/>
      <c r="O43" s="10"/>
      <c r="P43" s="10"/>
      <c r="Q43" s="10"/>
    </row>
    <row r="44" spans="1:23" ht="14.25" x14ac:dyDescent="0.2">
      <c r="A44" s="39"/>
      <c r="D44" s="39"/>
      <c r="M44" s="39"/>
    </row>
    <row r="45" spans="1:23" ht="14.25" x14ac:dyDescent="0.2">
      <c r="A45" s="39"/>
      <c r="D45" s="39"/>
      <c r="M45" s="39"/>
    </row>
    <row r="47" spans="1:23" x14ac:dyDescent="0.2">
      <c r="B47" s="10"/>
      <c r="C47" s="10"/>
      <c r="D47" s="10"/>
      <c r="K47" s="10"/>
      <c r="L47" s="10"/>
      <c r="M47" s="10"/>
      <c r="O47" s="10"/>
      <c r="P47" s="10"/>
      <c r="Q47" s="10"/>
    </row>
  </sheetData>
  <sheetProtection insertHyperlinks="0"/>
  <mergeCells count="13">
    <mergeCell ref="H10:J10"/>
    <mergeCell ref="K8:L8"/>
    <mergeCell ref="Q8:R8"/>
    <mergeCell ref="H9:J9"/>
    <mergeCell ref="A3:W3"/>
    <mergeCell ref="A4:W4"/>
    <mergeCell ref="A5:W5"/>
    <mergeCell ref="A7:A11"/>
    <mergeCell ref="B7:J7"/>
    <mergeCell ref="K7:P7"/>
    <mergeCell ref="Q7:W7"/>
    <mergeCell ref="B8:C8"/>
    <mergeCell ref="H8:J8"/>
  </mergeCells>
  <phoneticPr fontId="13" type="noConversion"/>
  <pageMargins left="0.39370078740157483" right="0.19685039370078741" top="0.59055118110236227" bottom="0.39370078740157483" header="0" footer="0"/>
  <pageSetup scale="50" orientation="landscape" horizontalDpi="4294967295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workbookViewId="0">
      <selection sqref="A1:H1"/>
    </sheetView>
  </sheetViews>
  <sheetFormatPr baseColWidth="10" defaultColWidth="11.42578125" defaultRowHeight="12.75" x14ac:dyDescent="0.2"/>
  <cols>
    <col min="1" max="1" width="22.42578125" customWidth="1"/>
    <col min="2" max="2" width="9.85546875" customWidth="1"/>
    <col min="3" max="3" width="9.5703125" customWidth="1"/>
    <col min="5" max="5" width="17.42578125" bestFit="1" customWidth="1"/>
    <col min="6" max="6" width="12.7109375" customWidth="1"/>
    <col min="7" max="8" width="11.7109375" bestFit="1" customWidth="1"/>
  </cols>
  <sheetData>
    <row r="1" spans="1:8" ht="18" x14ac:dyDescent="0.25">
      <c r="A1" s="2869" t="s">
        <v>214</v>
      </c>
      <c r="B1" s="2869"/>
      <c r="C1" s="2869"/>
      <c r="D1" s="2869"/>
      <c r="E1" s="2869"/>
      <c r="F1" s="2869"/>
      <c r="G1" s="2869"/>
      <c r="H1" s="2869"/>
    </row>
    <row r="2" spans="1:8" ht="18.75" thickBot="1" x14ac:dyDescent="0.3">
      <c r="A2" s="2869" t="s">
        <v>2007</v>
      </c>
      <c r="B2" s="2869"/>
      <c r="C2" s="2869"/>
      <c r="D2" s="2869"/>
      <c r="E2" s="2869"/>
      <c r="F2" s="2869"/>
      <c r="G2" s="2869"/>
      <c r="H2" s="2869"/>
    </row>
    <row r="3" spans="1:8" ht="14.25" thickTop="1" thickBot="1" x14ac:dyDescent="0.25">
      <c r="A3" s="847"/>
      <c r="B3" s="2878" t="s">
        <v>215</v>
      </c>
      <c r="C3" s="2878"/>
      <c r="D3" s="2876" t="s">
        <v>216</v>
      </c>
      <c r="E3" s="2877"/>
      <c r="F3" s="3287" t="s">
        <v>217</v>
      </c>
      <c r="G3" s="3288"/>
      <c r="H3" s="1444" t="s">
        <v>433</v>
      </c>
    </row>
    <row r="4" spans="1:8" x14ac:dyDescent="0.2">
      <c r="A4" s="849"/>
      <c r="B4" s="850" t="s">
        <v>218</v>
      </c>
      <c r="C4" s="851" t="s">
        <v>219</v>
      </c>
      <c r="D4" s="852" t="s">
        <v>1202</v>
      </c>
      <c r="E4" s="853" t="s">
        <v>1202</v>
      </c>
      <c r="F4" s="854"/>
      <c r="G4" s="854"/>
      <c r="H4" s="1445" t="s">
        <v>236</v>
      </c>
    </row>
    <row r="5" spans="1:8" ht="15.75" thickBot="1" x14ac:dyDescent="0.3">
      <c r="A5" s="855" t="s">
        <v>408</v>
      </c>
      <c r="B5" s="856" t="s">
        <v>221</v>
      </c>
      <c r="C5" s="857" t="s">
        <v>842</v>
      </c>
      <c r="D5" s="858" t="s">
        <v>222</v>
      </c>
      <c r="E5" s="859" t="s">
        <v>235</v>
      </c>
      <c r="F5" s="860" t="s">
        <v>222</v>
      </c>
      <c r="G5" s="861" t="s">
        <v>223</v>
      </c>
      <c r="H5" s="1448" t="s">
        <v>237</v>
      </c>
    </row>
    <row r="6" spans="1:8" x14ac:dyDescent="0.2">
      <c r="A6" s="862"/>
      <c r="B6" s="863"/>
      <c r="C6" s="439"/>
      <c r="D6" s="438"/>
      <c r="E6" s="402"/>
      <c r="F6" s="360"/>
      <c r="G6" s="360"/>
      <c r="H6" s="1446"/>
    </row>
    <row r="7" spans="1:8" x14ac:dyDescent="0.2">
      <c r="A7" s="890" t="s">
        <v>224</v>
      </c>
      <c r="B7" s="1449"/>
      <c r="C7" s="1450"/>
      <c r="D7" s="1451"/>
      <c r="E7" s="1452"/>
      <c r="F7" s="891">
        <v>0</v>
      </c>
      <c r="G7" s="891">
        <v>249169.09999999998</v>
      </c>
      <c r="H7" s="1454">
        <v>249169.09999999998</v>
      </c>
    </row>
    <row r="8" spans="1:8" x14ac:dyDescent="0.2">
      <c r="A8" s="885" t="s">
        <v>225</v>
      </c>
      <c r="B8" s="364">
        <v>64</v>
      </c>
      <c r="C8" s="1455"/>
      <c r="D8" s="1456"/>
      <c r="E8" s="1457">
        <v>135.5</v>
      </c>
      <c r="F8" s="886"/>
      <c r="G8" s="886">
        <v>8672</v>
      </c>
      <c r="H8" s="1459">
        <v>8672</v>
      </c>
    </row>
    <row r="9" spans="1:8" x14ac:dyDescent="0.2">
      <c r="A9" s="885" t="s">
        <v>1404</v>
      </c>
      <c r="B9" s="364">
        <v>132</v>
      </c>
      <c r="C9" s="1455"/>
      <c r="D9" s="1456"/>
      <c r="E9" s="1457">
        <v>363.8</v>
      </c>
      <c r="F9" s="886"/>
      <c r="G9" s="886">
        <v>48021.599999999999</v>
      </c>
      <c r="H9" s="1459">
        <v>48021.599999999999</v>
      </c>
    </row>
    <row r="10" spans="1:8" x14ac:dyDescent="0.2">
      <c r="A10" s="885" t="s">
        <v>14</v>
      </c>
      <c r="B10" s="364">
        <v>45</v>
      </c>
      <c r="C10" s="1455"/>
      <c r="D10" s="1456"/>
      <c r="E10" s="1457">
        <v>578.29999999999995</v>
      </c>
      <c r="F10" s="886"/>
      <c r="G10" s="886">
        <v>26023.499999999996</v>
      </c>
      <c r="H10" s="1459">
        <v>26023.499999999996</v>
      </c>
    </row>
    <row r="11" spans="1:8" x14ac:dyDescent="0.2">
      <c r="A11" s="885" t="s">
        <v>15</v>
      </c>
      <c r="B11" s="364">
        <v>44</v>
      </c>
      <c r="C11" s="1455"/>
      <c r="D11" s="1456"/>
      <c r="E11" s="1457">
        <v>3783</v>
      </c>
      <c r="F11" s="886"/>
      <c r="G11" s="886">
        <v>166452</v>
      </c>
      <c r="H11" s="1459">
        <v>166452</v>
      </c>
    </row>
    <row r="12" spans="1:8" x14ac:dyDescent="0.2">
      <c r="A12" s="890" t="s">
        <v>196</v>
      </c>
      <c r="B12" s="1449"/>
      <c r="C12" s="1450"/>
      <c r="D12" s="1451"/>
      <c r="E12" s="1460"/>
      <c r="F12" s="891">
        <v>0</v>
      </c>
      <c r="G12" s="891">
        <v>3401773.7</v>
      </c>
      <c r="H12" s="1454">
        <v>3401773.7</v>
      </c>
    </row>
    <row r="13" spans="1:8" x14ac:dyDescent="0.2">
      <c r="A13" s="885" t="s">
        <v>1386</v>
      </c>
      <c r="B13" s="364">
        <v>38</v>
      </c>
      <c r="C13" s="1455"/>
      <c r="D13" s="1456"/>
      <c r="E13" s="1457">
        <v>870</v>
      </c>
      <c r="F13" s="886"/>
      <c r="G13" s="886">
        <v>33060</v>
      </c>
      <c r="H13" s="1459">
        <v>33060</v>
      </c>
    </row>
    <row r="14" spans="1:8" x14ac:dyDescent="0.2">
      <c r="A14" s="885" t="s">
        <v>1368</v>
      </c>
      <c r="B14" s="364">
        <v>75</v>
      </c>
      <c r="C14" s="1455"/>
      <c r="D14" s="1456"/>
      <c r="E14" s="1457">
        <v>179</v>
      </c>
      <c r="F14" s="886"/>
      <c r="G14" s="886">
        <v>13425</v>
      </c>
      <c r="H14" s="1459">
        <v>13425</v>
      </c>
    </row>
    <row r="15" spans="1:8" x14ac:dyDescent="0.2">
      <c r="A15" s="885" t="s">
        <v>1373</v>
      </c>
      <c r="B15" s="364">
        <v>39</v>
      </c>
      <c r="C15" s="1455"/>
      <c r="D15" s="1456"/>
      <c r="E15" s="1457">
        <v>34810</v>
      </c>
      <c r="F15" s="886"/>
      <c r="G15" s="886">
        <v>1357590</v>
      </c>
      <c r="H15" s="1459">
        <v>1357590</v>
      </c>
    </row>
    <row r="16" spans="1:8" x14ac:dyDescent="0.2">
      <c r="A16" s="885" t="s">
        <v>1387</v>
      </c>
      <c r="B16" s="364">
        <v>90</v>
      </c>
      <c r="C16" s="1455"/>
      <c r="D16" s="1456"/>
      <c r="E16" s="1457">
        <v>1122.75</v>
      </c>
      <c r="F16" s="886"/>
      <c r="G16" s="886">
        <v>101047.5</v>
      </c>
      <c r="H16" s="1459">
        <v>101047.5</v>
      </c>
    </row>
    <row r="17" spans="1:8" x14ac:dyDescent="0.2">
      <c r="A17" s="885" t="s">
        <v>1390</v>
      </c>
      <c r="B17" s="1461">
        <v>100</v>
      </c>
      <c r="C17" s="1455"/>
      <c r="D17" s="1456"/>
      <c r="E17" s="1457">
        <v>92.5</v>
      </c>
      <c r="F17" s="886"/>
      <c r="G17" s="886">
        <v>9250</v>
      </c>
      <c r="H17" s="1459">
        <v>9250</v>
      </c>
    </row>
    <row r="18" spans="1:8" x14ac:dyDescent="0.2">
      <c r="A18" s="885" t="s">
        <v>226</v>
      </c>
      <c r="B18" s="364">
        <v>67</v>
      </c>
      <c r="C18" s="1455"/>
      <c r="D18" s="1456"/>
      <c r="E18" s="1457">
        <v>13551</v>
      </c>
      <c r="F18" s="886"/>
      <c r="G18" s="886">
        <v>907917</v>
      </c>
      <c r="H18" s="1459">
        <v>907917</v>
      </c>
    </row>
    <row r="19" spans="1:8" x14ac:dyDescent="0.2">
      <c r="A19" s="885" t="s">
        <v>1376</v>
      </c>
      <c r="B19" s="364">
        <v>41</v>
      </c>
      <c r="C19" s="1455"/>
      <c r="D19" s="1456"/>
      <c r="E19" s="1457">
        <v>2950.7</v>
      </c>
      <c r="F19" s="886"/>
      <c r="G19" s="886">
        <v>120978.7</v>
      </c>
      <c r="H19" s="1459">
        <v>120978.7</v>
      </c>
    </row>
    <row r="20" spans="1:8" x14ac:dyDescent="0.2">
      <c r="A20" s="885" t="s">
        <v>1388</v>
      </c>
      <c r="B20" s="364">
        <v>72</v>
      </c>
      <c r="C20" s="1455"/>
      <c r="D20" s="1456"/>
      <c r="E20" s="1457">
        <v>601.5</v>
      </c>
      <c r="F20" s="886"/>
      <c r="G20" s="886">
        <v>43308</v>
      </c>
      <c r="H20" s="1459">
        <v>43308</v>
      </c>
    </row>
    <row r="21" spans="1:8" x14ac:dyDescent="0.2">
      <c r="A21" s="885" t="s">
        <v>227</v>
      </c>
      <c r="B21" s="364">
        <v>20</v>
      </c>
      <c r="C21" s="1455"/>
      <c r="D21" s="1456"/>
      <c r="E21" s="1457">
        <v>10684</v>
      </c>
      <c r="F21" s="886"/>
      <c r="G21" s="886">
        <v>213680</v>
      </c>
      <c r="H21" s="1459">
        <v>213680</v>
      </c>
    </row>
    <row r="22" spans="1:8" x14ac:dyDescent="0.2">
      <c r="A22" s="885" t="s">
        <v>228</v>
      </c>
      <c r="B22" s="364">
        <v>25</v>
      </c>
      <c r="C22" s="1455"/>
      <c r="D22" s="1456"/>
      <c r="E22" s="1457">
        <v>9664.7000000000007</v>
      </c>
      <c r="F22" s="886"/>
      <c r="G22" s="886">
        <v>241617.50000000003</v>
      </c>
      <c r="H22" s="1459">
        <v>241617.50000000003</v>
      </c>
    </row>
    <row r="23" spans="1:8" x14ac:dyDescent="0.2">
      <c r="A23" s="2020" t="s">
        <v>1657</v>
      </c>
      <c r="B23" s="364">
        <v>110.5</v>
      </c>
      <c r="C23" s="1455"/>
      <c r="D23" s="1456"/>
      <c r="E23" s="1457">
        <v>859</v>
      </c>
      <c r="F23" s="886"/>
      <c r="G23" s="886">
        <v>94919.5</v>
      </c>
      <c r="H23" s="1459">
        <v>94919.5</v>
      </c>
    </row>
    <row r="24" spans="1:8" x14ac:dyDescent="0.2">
      <c r="A24" s="885" t="s">
        <v>1396</v>
      </c>
      <c r="B24" s="364">
        <v>57</v>
      </c>
      <c r="C24" s="1455"/>
      <c r="D24" s="1456"/>
      <c r="E24" s="1457">
        <v>233</v>
      </c>
      <c r="F24" s="886"/>
      <c r="G24" s="886">
        <v>13281</v>
      </c>
      <c r="H24" s="1459">
        <v>13281</v>
      </c>
    </row>
    <row r="25" spans="1:8" x14ac:dyDescent="0.2">
      <c r="A25" s="885" t="s">
        <v>1377</v>
      </c>
      <c r="B25" s="364">
        <v>10.5</v>
      </c>
      <c r="C25" s="1455"/>
      <c r="D25" s="1456"/>
      <c r="E25" s="1457">
        <v>84</v>
      </c>
      <c r="F25" s="886"/>
      <c r="G25" s="886">
        <v>882</v>
      </c>
      <c r="H25" s="1459">
        <v>882</v>
      </c>
    </row>
    <row r="26" spans="1:8" x14ac:dyDescent="0.2">
      <c r="A26" s="885" t="s">
        <v>1378</v>
      </c>
      <c r="B26" s="1461">
        <v>12</v>
      </c>
      <c r="C26" s="1455"/>
      <c r="D26" s="1456"/>
      <c r="E26" s="1457">
        <v>0</v>
      </c>
      <c r="F26" s="886"/>
      <c r="G26" s="886">
        <v>0</v>
      </c>
      <c r="H26" s="1459">
        <v>0</v>
      </c>
    </row>
    <row r="27" spans="1:8" x14ac:dyDescent="0.2">
      <c r="A27" s="885" t="s">
        <v>11</v>
      </c>
      <c r="B27" s="364">
        <v>228.5</v>
      </c>
      <c r="C27" s="1455"/>
      <c r="D27" s="1456"/>
      <c r="E27" s="1457">
        <v>0</v>
      </c>
      <c r="F27" s="886"/>
      <c r="G27" s="886">
        <v>0</v>
      </c>
      <c r="H27" s="1459">
        <v>0</v>
      </c>
    </row>
    <row r="28" spans="1:8" x14ac:dyDescent="0.2">
      <c r="A28" s="885" t="s">
        <v>1397</v>
      </c>
      <c r="B28" s="364">
        <v>205</v>
      </c>
      <c r="C28" s="1455"/>
      <c r="D28" s="1456"/>
      <c r="E28" s="1457">
        <v>1223.5</v>
      </c>
      <c r="F28" s="886"/>
      <c r="G28" s="886">
        <v>250817.5</v>
      </c>
      <c r="H28" s="1459">
        <v>250817.5</v>
      </c>
    </row>
    <row r="29" spans="1:8" x14ac:dyDescent="0.2">
      <c r="A29" s="890" t="s">
        <v>229</v>
      </c>
      <c r="B29" s="1449"/>
      <c r="C29" s="1450"/>
      <c r="D29" s="1451"/>
      <c r="E29" s="1460"/>
      <c r="F29" s="891">
        <v>7735967.0549999997</v>
      </c>
      <c r="G29" s="891">
        <v>26342634.068000007</v>
      </c>
      <c r="H29" s="1454">
        <v>34078601.123000003</v>
      </c>
    </row>
    <row r="30" spans="1:8" x14ac:dyDescent="0.2">
      <c r="A30" s="885" t="s">
        <v>16</v>
      </c>
      <c r="B30" s="364">
        <v>193</v>
      </c>
      <c r="C30" s="425">
        <v>100</v>
      </c>
      <c r="D30" s="1852">
        <v>457</v>
      </c>
      <c r="E30" s="1457">
        <v>7015.3449999999993</v>
      </c>
      <c r="F30" s="886">
        <v>88201</v>
      </c>
      <c r="G30" s="886">
        <v>701534.49999999988</v>
      </c>
      <c r="H30" s="1459">
        <v>789735.49999999988</v>
      </c>
    </row>
    <row r="31" spans="1:8" x14ac:dyDescent="0.2">
      <c r="A31" s="885" t="s">
        <v>64</v>
      </c>
      <c r="B31" s="1461">
        <v>150</v>
      </c>
      <c r="C31" s="1455">
        <v>200</v>
      </c>
      <c r="D31" s="1852">
        <v>41594.43</v>
      </c>
      <c r="E31" s="1457">
        <v>106397.21000000002</v>
      </c>
      <c r="F31" s="886">
        <v>6239164.5</v>
      </c>
      <c r="G31" s="886">
        <v>21279442.000000004</v>
      </c>
      <c r="H31" s="1459">
        <v>27518606.500000004</v>
      </c>
    </row>
    <row r="32" spans="1:8" x14ac:dyDescent="0.2">
      <c r="A32" s="885" t="s">
        <v>19</v>
      </c>
      <c r="B32" s="364">
        <v>115</v>
      </c>
      <c r="C32" s="425">
        <v>247</v>
      </c>
      <c r="D32" s="1852">
        <v>7681.5070000000005</v>
      </c>
      <c r="E32" s="1457">
        <v>6746.0000000000009</v>
      </c>
      <c r="F32" s="886">
        <v>883373.30500000005</v>
      </c>
      <c r="G32" s="886">
        <v>1666262.0000000002</v>
      </c>
      <c r="H32" s="1459">
        <v>2549635.3050000002</v>
      </c>
    </row>
    <row r="33" spans="1:8" x14ac:dyDescent="0.2">
      <c r="A33" s="885" t="s">
        <v>230</v>
      </c>
      <c r="B33" s="364">
        <v>29</v>
      </c>
      <c r="C33" s="425">
        <v>25</v>
      </c>
      <c r="D33" s="1852">
        <v>2329</v>
      </c>
      <c r="E33" s="1457">
        <v>25361.776999999998</v>
      </c>
      <c r="F33" s="886">
        <v>67541</v>
      </c>
      <c r="G33" s="886">
        <v>634044.42499999993</v>
      </c>
      <c r="H33" s="1459">
        <v>701585.42499999993</v>
      </c>
    </row>
    <row r="34" spans="1:8" x14ac:dyDescent="0.2">
      <c r="A34" s="885" t="s">
        <v>231</v>
      </c>
      <c r="B34" s="364">
        <v>82</v>
      </c>
      <c r="C34" s="425">
        <v>24</v>
      </c>
      <c r="D34" s="1852">
        <v>813</v>
      </c>
      <c r="E34" s="1457">
        <v>3349.7</v>
      </c>
      <c r="F34" s="886">
        <v>66666</v>
      </c>
      <c r="G34" s="886">
        <v>80392.799999999988</v>
      </c>
      <c r="H34" s="1459">
        <v>147058.79999999999</v>
      </c>
    </row>
    <row r="35" spans="1:8" x14ac:dyDescent="0.2">
      <c r="A35" s="885" t="s">
        <v>1448</v>
      </c>
      <c r="B35" s="364">
        <v>99</v>
      </c>
      <c r="C35" s="425">
        <v>76</v>
      </c>
      <c r="D35" s="1852">
        <v>695</v>
      </c>
      <c r="E35" s="1457">
        <v>7842.1930000000002</v>
      </c>
      <c r="F35" s="886">
        <v>68805</v>
      </c>
      <c r="G35" s="886">
        <v>596006.66800000006</v>
      </c>
      <c r="H35" s="1459">
        <v>664811.66800000006</v>
      </c>
    </row>
    <row r="36" spans="1:8" x14ac:dyDescent="0.2">
      <c r="A36" s="885" t="s">
        <v>1449</v>
      </c>
      <c r="B36" s="1461">
        <v>100</v>
      </c>
      <c r="C36" s="1455">
        <v>100</v>
      </c>
      <c r="D36" s="1852">
        <v>35.85</v>
      </c>
      <c r="E36" s="1457">
        <v>133.11499999999998</v>
      </c>
      <c r="F36" s="886">
        <v>3585</v>
      </c>
      <c r="G36" s="886">
        <v>13311.499999999998</v>
      </c>
      <c r="H36" s="1459">
        <v>16896.5</v>
      </c>
    </row>
    <row r="37" spans="1:8" x14ac:dyDescent="0.2">
      <c r="A37" s="885" t="s">
        <v>1452</v>
      </c>
      <c r="B37" s="364">
        <v>103</v>
      </c>
      <c r="C37" s="425">
        <v>76</v>
      </c>
      <c r="D37" s="1852">
        <v>303</v>
      </c>
      <c r="E37" s="1457">
        <v>2718.6149999999998</v>
      </c>
      <c r="F37" s="886">
        <v>31209</v>
      </c>
      <c r="G37" s="886">
        <v>206614.74</v>
      </c>
      <c r="H37" s="1459">
        <v>237823.74</v>
      </c>
    </row>
    <row r="38" spans="1:8" x14ac:dyDescent="0.2">
      <c r="A38" s="885" t="s">
        <v>232</v>
      </c>
      <c r="B38" s="364">
        <v>170</v>
      </c>
      <c r="C38" s="425">
        <v>141</v>
      </c>
      <c r="D38" s="1852">
        <v>723</v>
      </c>
      <c r="E38" s="1457">
        <v>296.52499999999998</v>
      </c>
      <c r="F38" s="886">
        <v>122910</v>
      </c>
      <c r="G38" s="886">
        <v>41810.024999999994</v>
      </c>
      <c r="H38" s="1459">
        <v>164720.02499999999</v>
      </c>
    </row>
    <row r="39" spans="1:8" x14ac:dyDescent="0.2">
      <c r="A39" s="885" t="s">
        <v>1451</v>
      </c>
      <c r="B39" s="1461">
        <v>100</v>
      </c>
      <c r="C39" s="1455">
        <v>100</v>
      </c>
      <c r="D39" s="1852">
        <v>16</v>
      </c>
      <c r="E39" s="1457">
        <v>107</v>
      </c>
      <c r="F39" s="886">
        <v>1600</v>
      </c>
      <c r="G39" s="886">
        <v>10700</v>
      </c>
      <c r="H39" s="1459">
        <v>12300</v>
      </c>
    </row>
    <row r="40" spans="1:8" x14ac:dyDescent="0.2">
      <c r="A40" s="885" t="s">
        <v>1455</v>
      </c>
      <c r="B40" s="364">
        <v>101</v>
      </c>
      <c r="C40" s="425">
        <v>130</v>
      </c>
      <c r="D40" s="1852">
        <v>153</v>
      </c>
      <c r="E40" s="1457">
        <v>964.8599999999999</v>
      </c>
      <c r="F40" s="886">
        <v>15453</v>
      </c>
      <c r="G40" s="886">
        <v>125431.79999999999</v>
      </c>
      <c r="H40" s="1459">
        <v>140884.79999999999</v>
      </c>
    </row>
    <row r="41" spans="1:8" x14ac:dyDescent="0.2">
      <c r="A41" s="885" t="s">
        <v>1456</v>
      </c>
      <c r="B41" s="364">
        <v>104.5</v>
      </c>
      <c r="C41" s="425">
        <v>119</v>
      </c>
      <c r="D41" s="1852">
        <v>259.5</v>
      </c>
      <c r="E41" s="1457">
        <v>2204.67</v>
      </c>
      <c r="F41" s="886">
        <v>27117.75</v>
      </c>
      <c r="G41" s="886">
        <v>262355.73</v>
      </c>
      <c r="H41" s="1459">
        <v>289473.48</v>
      </c>
    </row>
    <row r="42" spans="1:8" x14ac:dyDescent="0.2">
      <c r="A42" s="885" t="s">
        <v>1458</v>
      </c>
      <c r="B42" s="364">
        <v>56</v>
      </c>
      <c r="C42" s="425">
        <v>81</v>
      </c>
      <c r="D42" s="1852">
        <v>58</v>
      </c>
      <c r="E42" s="1457">
        <v>439.5</v>
      </c>
      <c r="F42" s="886">
        <v>3248</v>
      </c>
      <c r="G42" s="886">
        <v>35599.5</v>
      </c>
      <c r="H42" s="1459">
        <v>38847.5</v>
      </c>
    </row>
    <row r="43" spans="1:8" x14ac:dyDescent="0.2">
      <c r="A43" s="885" t="s">
        <v>1459</v>
      </c>
      <c r="B43" s="364">
        <v>123</v>
      </c>
      <c r="C43" s="425">
        <v>114</v>
      </c>
      <c r="D43" s="1852">
        <v>147</v>
      </c>
      <c r="E43" s="1457">
        <v>1228.8700000000001</v>
      </c>
      <c r="F43" s="886">
        <v>18081</v>
      </c>
      <c r="G43" s="886">
        <v>140091.18000000002</v>
      </c>
      <c r="H43" s="1459">
        <v>158172.18000000002</v>
      </c>
    </row>
    <row r="44" spans="1:8" x14ac:dyDescent="0.2">
      <c r="A44" s="885" t="s">
        <v>1460</v>
      </c>
      <c r="B44" s="364">
        <v>115</v>
      </c>
      <c r="C44" s="425">
        <v>103</v>
      </c>
      <c r="D44" s="1852">
        <v>174.5</v>
      </c>
      <c r="E44" s="1457">
        <v>1470.5500000000002</v>
      </c>
      <c r="F44" s="886">
        <v>20067.5</v>
      </c>
      <c r="G44" s="886">
        <v>151466.65000000002</v>
      </c>
      <c r="H44" s="1459">
        <v>171534.15000000002</v>
      </c>
    </row>
    <row r="45" spans="1:8" x14ac:dyDescent="0.2">
      <c r="A45" s="885" t="s">
        <v>1461</v>
      </c>
      <c r="B45" s="1461">
        <v>90</v>
      </c>
      <c r="C45" s="1455">
        <v>90</v>
      </c>
      <c r="D45" s="1852">
        <v>101</v>
      </c>
      <c r="E45" s="1457">
        <v>522.04</v>
      </c>
      <c r="F45" s="886">
        <v>9090</v>
      </c>
      <c r="G45" s="886">
        <v>46983.6</v>
      </c>
      <c r="H45" s="1459">
        <v>56073.599999999999</v>
      </c>
    </row>
    <row r="46" spans="1:8" x14ac:dyDescent="0.2">
      <c r="A46" s="885" t="s">
        <v>1462</v>
      </c>
      <c r="B46" s="364">
        <v>93</v>
      </c>
      <c r="C46" s="425">
        <v>63</v>
      </c>
      <c r="D46" s="1852">
        <v>56</v>
      </c>
      <c r="E46" s="1457">
        <v>524.6</v>
      </c>
      <c r="F46" s="886">
        <v>5208</v>
      </c>
      <c r="G46" s="886">
        <v>33049.800000000003</v>
      </c>
      <c r="H46" s="1459">
        <v>38257.800000000003</v>
      </c>
    </row>
    <row r="47" spans="1:8" x14ac:dyDescent="0.2">
      <c r="A47" s="885" t="s">
        <v>1463</v>
      </c>
      <c r="B47" s="364">
        <v>132</v>
      </c>
      <c r="C47" s="1455">
        <v>100</v>
      </c>
      <c r="D47" s="1852">
        <v>193.5</v>
      </c>
      <c r="E47" s="1457">
        <v>1037.29</v>
      </c>
      <c r="F47" s="886">
        <v>25542</v>
      </c>
      <c r="G47" s="886">
        <v>103729</v>
      </c>
      <c r="H47" s="1459">
        <v>129271</v>
      </c>
    </row>
    <row r="48" spans="1:8" x14ac:dyDescent="0.2">
      <c r="A48" s="885" t="s">
        <v>233</v>
      </c>
      <c r="B48" s="364">
        <v>118</v>
      </c>
      <c r="C48" s="425">
        <v>83</v>
      </c>
      <c r="D48" s="1852">
        <v>81.5</v>
      </c>
      <c r="E48" s="1457">
        <v>704.85</v>
      </c>
      <c r="F48" s="886">
        <v>9617</v>
      </c>
      <c r="G48" s="886">
        <v>58502.55</v>
      </c>
      <c r="H48" s="1459">
        <v>68119.55</v>
      </c>
    </row>
    <row r="49" spans="1:8" ht="13.5" thickBot="1" x14ac:dyDescent="0.25">
      <c r="A49" s="862" t="s">
        <v>1465</v>
      </c>
      <c r="B49" s="361">
        <v>194</v>
      </c>
      <c r="C49" s="1440">
        <v>160</v>
      </c>
      <c r="D49" s="1853">
        <v>152</v>
      </c>
      <c r="E49" s="865">
        <v>970.66000000000008</v>
      </c>
      <c r="F49" s="867">
        <v>29488</v>
      </c>
      <c r="G49" s="867">
        <v>155305.60000000001</v>
      </c>
      <c r="H49" s="1447">
        <v>184793.60000000001</v>
      </c>
    </row>
    <row r="50" spans="1:8" x14ac:dyDescent="0.2">
      <c r="A50" s="869" t="s">
        <v>234</v>
      </c>
      <c r="B50" s="349"/>
      <c r="C50" s="870"/>
      <c r="D50" s="871"/>
      <c r="E50" s="872"/>
      <c r="F50" s="1441"/>
      <c r="G50" s="1441"/>
      <c r="H50" s="1711"/>
    </row>
    <row r="51" spans="1:8" ht="13.5" thickBot="1" x14ac:dyDescent="0.25">
      <c r="A51" s="874" t="s">
        <v>220</v>
      </c>
      <c r="B51" s="875"/>
      <c r="C51" s="876"/>
      <c r="D51" s="877"/>
      <c r="E51" s="878"/>
      <c r="F51" s="1442">
        <v>7735967.0549999997</v>
      </c>
      <c r="G51" s="1442">
        <v>29993576.868000008</v>
      </c>
      <c r="H51" s="1443">
        <v>37729543.923</v>
      </c>
    </row>
    <row r="52" spans="1:8" ht="15" thickTop="1" x14ac:dyDescent="0.2">
      <c r="A52" s="7" t="s">
        <v>1934</v>
      </c>
      <c r="B52" s="879"/>
      <c r="C52" s="879"/>
      <c r="D52" s="879"/>
      <c r="E52" s="879"/>
      <c r="F52" s="879"/>
    </row>
    <row r="53" spans="1:8" x14ac:dyDescent="0.2">
      <c r="A53" s="351" t="s">
        <v>2008</v>
      </c>
    </row>
    <row r="54" spans="1:8" x14ac:dyDescent="0.2">
      <c r="A54" s="351" t="s">
        <v>263</v>
      </c>
    </row>
    <row r="55" spans="1:8" x14ac:dyDescent="0.2">
      <c r="A55" s="351" t="s">
        <v>264</v>
      </c>
    </row>
    <row r="56" spans="1:8" ht="13.5" thickBot="1" x14ac:dyDescent="0.25"/>
    <row r="57" spans="1:8" ht="14.25" thickTop="1" thickBot="1" x14ac:dyDescent="0.25">
      <c r="A57" s="3297" t="s">
        <v>265</v>
      </c>
      <c r="B57" s="3298"/>
      <c r="C57" s="3298"/>
      <c r="D57" s="3298"/>
      <c r="E57" s="3298"/>
      <c r="F57" s="2877"/>
      <c r="G57" s="2876" t="s">
        <v>821</v>
      </c>
      <c r="H57" s="3299"/>
    </row>
    <row r="58" spans="1:8" x14ac:dyDescent="0.2">
      <c r="A58" s="880" t="s">
        <v>266</v>
      </c>
      <c r="B58" s="12"/>
      <c r="C58" s="12"/>
      <c r="D58" s="12"/>
      <c r="E58" s="12"/>
      <c r="F58" s="399"/>
      <c r="G58" s="3300">
        <v>249169.09999999998</v>
      </c>
      <c r="H58" s="3301"/>
    </row>
    <row r="59" spans="1:8" x14ac:dyDescent="0.2">
      <c r="A59" s="391" t="s">
        <v>267</v>
      </c>
      <c r="F59" s="402"/>
      <c r="G59" s="3289">
        <v>3401773.7</v>
      </c>
      <c r="H59" s="3290"/>
    </row>
    <row r="60" spans="1:8" x14ac:dyDescent="0.2">
      <c r="A60" s="391" t="s">
        <v>268</v>
      </c>
      <c r="F60" s="402"/>
      <c r="G60" s="3289">
        <v>34078601.123000003</v>
      </c>
      <c r="H60" s="3290"/>
    </row>
    <row r="61" spans="1:8" x14ac:dyDescent="0.2">
      <c r="A61" s="391" t="s">
        <v>269</v>
      </c>
      <c r="F61" s="402"/>
      <c r="G61" s="3291">
        <v>7735967.0549999997</v>
      </c>
      <c r="H61" s="3292"/>
    </row>
    <row r="62" spans="1:8" ht="13.5" thickBot="1" x14ac:dyDescent="0.25">
      <c r="A62" s="391" t="s">
        <v>270</v>
      </c>
      <c r="F62" s="402"/>
      <c r="G62" s="3293">
        <v>26342634.068000007</v>
      </c>
      <c r="H62" s="3294"/>
    </row>
    <row r="63" spans="1:8" ht="13.5" thickBot="1" x14ac:dyDescent="0.25">
      <c r="A63" s="1936" t="s">
        <v>2009</v>
      </c>
      <c r="B63" s="1462"/>
      <c r="C63" s="1462"/>
      <c r="D63" s="1462"/>
      <c r="E63" s="1462"/>
      <c r="F63" s="1463"/>
      <c r="G63" s="3295">
        <v>37729543.923</v>
      </c>
      <c r="H63" s="3296"/>
    </row>
    <row r="64" spans="1:8" ht="13.5" thickTop="1" x14ac:dyDescent="0.2">
      <c r="A64" s="1568"/>
    </row>
  </sheetData>
  <mergeCells count="13">
    <mergeCell ref="G60:H60"/>
    <mergeCell ref="G61:H61"/>
    <mergeCell ref="G62:H62"/>
    <mergeCell ref="G63:H63"/>
    <mergeCell ref="A57:F57"/>
    <mergeCell ref="G57:H57"/>
    <mergeCell ref="G58:H58"/>
    <mergeCell ref="G59:H59"/>
    <mergeCell ref="A1:H1"/>
    <mergeCell ref="A2:H2"/>
    <mergeCell ref="B3:C3"/>
    <mergeCell ref="D3:E3"/>
    <mergeCell ref="F3:G3"/>
  </mergeCells>
  <phoneticPr fontId="13" type="noConversion"/>
  <pageMargins left="0.78740157480314965" right="0.59055118110236227" top="0.98425196850393704" bottom="0.98425196850393704" header="0" footer="0"/>
  <pageSetup scale="80" orientation="portrait" horizontalDpi="4294967293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sqref="A1:E1"/>
    </sheetView>
  </sheetViews>
  <sheetFormatPr baseColWidth="10" defaultColWidth="11.42578125" defaultRowHeight="12.75" x14ac:dyDescent="0.2"/>
  <cols>
    <col min="1" max="1" width="35.7109375" customWidth="1"/>
    <col min="2" max="2" width="17.5703125" customWidth="1"/>
    <col min="3" max="3" width="15.28515625" customWidth="1"/>
    <col min="4" max="4" width="22.7109375" customWidth="1"/>
    <col min="5" max="5" width="20.140625" customWidth="1"/>
  </cols>
  <sheetData>
    <row r="1" spans="1:5" ht="16.5" customHeight="1" x14ac:dyDescent="0.2">
      <c r="A1" s="3302" t="s">
        <v>1294</v>
      </c>
      <c r="B1" s="3302"/>
      <c r="C1" s="3302"/>
      <c r="D1" s="3302"/>
      <c r="E1" s="3302"/>
    </row>
    <row r="2" spans="1:5" ht="16.5" customHeight="1" x14ac:dyDescent="0.2">
      <c r="A2" s="3302" t="s">
        <v>2007</v>
      </c>
      <c r="B2" s="3302"/>
      <c r="C2" s="3302"/>
      <c r="D2" s="3302"/>
      <c r="E2" s="3302"/>
    </row>
    <row r="3" spans="1:5" ht="14.25" customHeight="1" thickBot="1" x14ac:dyDescent="0.3">
      <c r="A3" s="846"/>
      <c r="B3" s="846"/>
      <c r="C3" s="846"/>
      <c r="D3" s="846"/>
      <c r="E3" s="1882" t="s">
        <v>2010</v>
      </c>
    </row>
    <row r="4" spans="1:5" ht="12.6" customHeight="1" thickTop="1" x14ac:dyDescent="0.2">
      <c r="A4" s="847"/>
      <c r="B4" s="848" t="s">
        <v>271</v>
      </c>
      <c r="C4" s="848" t="s">
        <v>272</v>
      </c>
      <c r="D4" s="848" t="s">
        <v>273</v>
      </c>
      <c r="E4" s="881" t="s">
        <v>274</v>
      </c>
    </row>
    <row r="5" spans="1:5" ht="12.6" customHeight="1" thickBot="1" x14ac:dyDescent="0.25">
      <c r="A5" s="855" t="s">
        <v>408</v>
      </c>
      <c r="B5" s="882" t="s">
        <v>346</v>
      </c>
      <c r="C5" s="882" t="s">
        <v>275</v>
      </c>
      <c r="D5" s="882" t="s">
        <v>276</v>
      </c>
      <c r="E5" s="883" t="s">
        <v>276</v>
      </c>
    </row>
    <row r="6" spans="1:5" ht="8.25" customHeight="1" x14ac:dyDescent="0.2">
      <c r="A6" s="862"/>
      <c r="B6" s="360"/>
      <c r="C6" s="360"/>
      <c r="D6" s="360"/>
      <c r="E6" s="864"/>
    </row>
    <row r="7" spans="1:5" ht="12.6" customHeight="1" x14ac:dyDescent="0.2">
      <c r="A7" s="884" t="s">
        <v>277</v>
      </c>
      <c r="B7" s="360"/>
      <c r="C7" s="360"/>
      <c r="D7" s="360"/>
      <c r="E7" s="864"/>
    </row>
    <row r="8" spans="1:5" ht="12.6" customHeight="1" x14ac:dyDescent="0.2">
      <c r="A8" s="885" t="s">
        <v>410</v>
      </c>
      <c r="B8" s="886">
        <v>447.7</v>
      </c>
      <c r="C8" s="886">
        <v>5667200.0000000009</v>
      </c>
      <c r="D8" s="886">
        <v>2537.2054400000006</v>
      </c>
      <c r="E8" s="864"/>
    </row>
    <row r="9" spans="1:5" ht="12.6" customHeight="1" x14ac:dyDescent="0.2">
      <c r="A9" s="885" t="s">
        <v>411</v>
      </c>
      <c r="B9" s="886">
        <v>257240.5</v>
      </c>
      <c r="C9" s="886">
        <v>1753716.5000000002</v>
      </c>
      <c r="D9" s="886">
        <v>451126.90931825008</v>
      </c>
      <c r="E9" s="864"/>
    </row>
    <row r="10" spans="1:5" ht="12.6" customHeight="1" x14ac:dyDescent="0.2">
      <c r="A10" s="885" t="s">
        <v>278</v>
      </c>
      <c r="B10" s="886">
        <v>66977.42</v>
      </c>
      <c r="C10" s="886">
        <v>1637875</v>
      </c>
      <c r="D10" s="886">
        <v>109700.6417825</v>
      </c>
      <c r="E10" s="864"/>
    </row>
    <row r="11" spans="1:5" ht="12.6" customHeight="1" x14ac:dyDescent="0.2">
      <c r="A11" s="885" t="s">
        <v>200</v>
      </c>
      <c r="B11" s="886">
        <v>21116</v>
      </c>
      <c r="C11" s="886">
        <v>7709114.5</v>
      </c>
      <c r="D11" s="886">
        <v>162785.66178200001</v>
      </c>
      <c r="E11" s="864"/>
    </row>
    <row r="12" spans="1:5" ht="12.6" customHeight="1" x14ac:dyDescent="0.2">
      <c r="A12" s="885" t="s">
        <v>429</v>
      </c>
      <c r="B12" s="886">
        <v>432.5</v>
      </c>
      <c r="C12" s="886">
        <v>1255000</v>
      </c>
      <c r="D12" s="886">
        <v>542.78750000000002</v>
      </c>
      <c r="E12" s="864"/>
    </row>
    <row r="13" spans="1:5" ht="12.6" customHeight="1" x14ac:dyDescent="0.2">
      <c r="A13" s="887" t="s">
        <v>431</v>
      </c>
      <c r="B13" s="886">
        <v>0</v>
      </c>
      <c r="C13" s="886">
        <v>0</v>
      </c>
      <c r="D13" s="888">
        <v>0</v>
      </c>
      <c r="E13" s="864"/>
    </row>
    <row r="14" spans="1:5" ht="12.6" customHeight="1" x14ac:dyDescent="0.2">
      <c r="A14" s="1990" t="s">
        <v>430</v>
      </c>
      <c r="B14" s="886">
        <v>0</v>
      </c>
      <c r="C14" s="886">
        <v>0</v>
      </c>
      <c r="D14" s="888">
        <v>0</v>
      </c>
      <c r="E14" s="864"/>
    </row>
    <row r="15" spans="1:5" ht="12.6" customHeight="1" x14ac:dyDescent="0.2">
      <c r="A15" s="890" t="s">
        <v>279</v>
      </c>
      <c r="B15" s="891">
        <v>346214.12</v>
      </c>
      <c r="C15" s="437"/>
      <c r="D15" s="891">
        <v>726693.20582274999</v>
      </c>
      <c r="E15" s="892"/>
    </row>
    <row r="16" spans="1:5" ht="12.6" customHeight="1" x14ac:dyDescent="0.2">
      <c r="A16" s="1991" t="s">
        <v>238</v>
      </c>
      <c r="B16" s="1465"/>
      <c r="C16" s="1466"/>
      <c r="D16" s="1465"/>
      <c r="E16" s="1464"/>
    </row>
    <row r="17" spans="1:5" ht="12.6" customHeight="1" x14ac:dyDescent="0.2">
      <c r="A17" s="893" t="s">
        <v>412</v>
      </c>
      <c r="B17" s="886">
        <v>4696.0025000000005</v>
      </c>
      <c r="C17" s="886">
        <v>4129499.9999999995</v>
      </c>
      <c r="D17" s="894">
        <v>19392.142323749998</v>
      </c>
      <c r="E17" s="864"/>
    </row>
    <row r="18" spans="1:5" ht="12.6" customHeight="1" x14ac:dyDescent="0.2">
      <c r="A18" s="893" t="s">
        <v>413</v>
      </c>
      <c r="B18" s="886">
        <v>8780</v>
      </c>
      <c r="C18" s="886">
        <v>1200000</v>
      </c>
      <c r="D18" s="894">
        <v>10536</v>
      </c>
      <c r="E18" s="864"/>
    </row>
    <row r="19" spans="1:5" ht="12.6" customHeight="1" x14ac:dyDescent="0.2">
      <c r="A19" s="885" t="s">
        <v>90</v>
      </c>
      <c r="B19" s="886">
        <v>775</v>
      </c>
      <c r="C19" s="886">
        <v>1743000</v>
      </c>
      <c r="D19" s="886">
        <v>1350.825</v>
      </c>
      <c r="E19" s="864"/>
    </row>
    <row r="20" spans="1:5" ht="12.6" customHeight="1" x14ac:dyDescent="0.2">
      <c r="A20" s="885" t="s">
        <v>417</v>
      </c>
      <c r="B20" s="886">
        <v>3766.5</v>
      </c>
      <c r="C20" s="886">
        <v>2563999.9999999995</v>
      </c>
      <c r="D20" s="886">
        <v>9657.3059999999987</v>
      </c>
      <c r="E20" s="864"/>
    </row>
    <row r="21" spans="1:5" ht="12.6" customHeight="1" x14ac:dyDescent="0.2">
      <c r="A21" s="885" t="s">
        <v>418</v>
      </c>
      <c r="B21" s="886">
        <v>5834.9699999999993</v>
      </c>
      <c r="C21" s="886">
        <v>2222500</v>
      </c>
      <c r="D21" s="886">
        <v>12968.220824999999</v>
      </c>
      <c r="E21" s="864"/>
    </row>
    <row r="22" spans="1:5" ht="12.6" customHeight="1" x14ac:dyDescent="0.2">
      <c r="A22" s="885" t="s">
        <v>423</v>
      </c>
      <c r="B22" s="886">
        <v>17654</v>
      </c>
      <c r="C22" s="886">
        <v>2531500</v>
      </c>
      <c r="D22" s="886">
        <v>44691.101000000002</v>
      </c>
      <c r="E22" s="864"/>
    </row>
    <row r="23" spans="1:5" ht="12.6" customHeight="1" x14ac:dyDescent="0.2">
      <c r="A23" s="885" t="s">
        <v>424</v>
      </c>
      <c r="B23" s="886">
        <v>330.5</v>
      </c>
      <c r="C23" s="886">
        <v>1369000</v>
      </c>
      <c r="D23" s="886">
        <v>452.4545</v>
      </c>
      <c r="E23" s="864"/>
    </row>
    <row r="24" spans="1:5" ht="12.6" customHeight="1" x14ac:dyDescent="0.2">
      <c r="A24" s="885" t="s">
        <v>280</v>
      </c>
      <c r="B24" s="886">
        <v>2641.3</v>
      </c>
      <c r="C24" s="886">
        <v>1574500</v>
      </c>
      <c r="D24" s="886">
        <v>4158.7268500000009</v>
      </c>
      <c r="E24" s="864"/>
    </row>
    <row r="25" spans="1:5" ht="12.6" customHeight="1" x14ac:dyDescent="0.2">
      <c r="A25" s="885" t="s">
        <v>427</v>
      </c>
      <c r="B25" s="886">
        <v>2836</v>
      </c>
      <c r="C25" s="886">
        <v>2072000</v>
      </c>
      <c r="D25" s="886">
        <v>5876.192</v>
      </c>
      <c r="E25" s="864"/>
    </row>
    <row r="26" spans="1:5" ht="12.6" customHeight="1" x14ac:dyDescent="0.2">
      <c r="A26" s="885" t="s">
        <v>428</v>
      </c>
      <c r="B26" s="886">
        <v>3909.5</v>
      </c>
      <c r="C26" s="886">
        <v>1326280</v>
      </c>
      <c r="D26" s="886">
        <v>5185.09166</v>
      </c>
      <c r="E26" s="864"/>
    </row>
    <row r="27" spans="1:5" ht="12.6" customHeight="1" thickBot="1" x14ac:dyDescent="0.25">
      <c r="A27" s="862" t="s">
        <v>92</v>
      </c>
      <c r="B27" s="886">
        <v>21684.75</v>
      </c>
      <c r="C27" s="886">
        <v>2215500</v>
      </c>
      <c r="D27" s="867">
        <v>48042.563625000003</v>
      </c>
      <c r="E27" s="864"/>
    </row>
    <row r="28" spans="1:5" ht="12.6" customHeight="1" thickBot="1" x14ac:dyDescent="0.25">
      <c r="A28" s="895" t="s">
        <v>281</v>
      </c>
      <c r="B28" s="896">
        <v>72908.522500000006</v>
      </c>
      <c r="C28" s="897"/>
      <c r="D28" s="896">
        <v>162310.62378375002</v>
      </c>
      <c r="E28" s="898"/>
    </row>
    <row r="29" spans="1:5" ht="12.6" customHeight="1" thickBot="1" x14ac:dyDescent="0.25">
      <c r="A29" s="895" t="s">
        <v>106</v>
      </c>
      <c r="B29" s="896">
        <v>419122.64250000002</v>
      </c>
      <c r="C29" s="899"/>
      <c r="D29" s="899"/>
      <c r="E29" s="900">
        <v>889003.82960649999</v>
      </c>
    </row>
    <row r="30" spans="1:5" ht="12.6" customHeight="1" x14ac:dyDescent="0.2">
      <c r="A30" s="1992" t="s">
        <v>224</v>
      </c>
      <c r="B30" s="360"/>
      <c r="C30" s="360"/>
      <c r="D30" s="360"/>
      <c r="E30" s="864"/>
    </row>
    <row r="31" spans="1:5" ht="12.6" customHeight="1" x14ac:dyDescent="0.2">
      <c r="A31" s="885" t="s">
        <v>905</v>
      </c>
      <c r="B31" s="886">
        <v>337.4</v>
      </c>
      <c r="C31" s="886">
        <v>6100000</v>
      </c>
      <c r="D31" s="886">
        <v>2058.14</v>
      </c>
      <c r="E31" s="864"/>
    </row>
    <row r="32" spans="1:5" ht="12.6" customHeight="1" x14ac:dyDescent="0.2">
      <c r="A32" s="885" t="s">
        <v>906</v>
      </c>
      <c r="B32" s="886">
        <v>5976.1</v>
      </c>
      <c r="C32" s="886">
        <v>3022000.0000000005</v>
      </c>
      <c r="D32" s="886">
        <v>18059.774200000003</v>
      </c>
      <c r="E32" s="864"/>
    </row>
    <row r="33" spans="1:5" ht="12.6" customHeight="1" x14ac:dyDescent="0.2">
      <c r="A33" s="885" t="s">
        <v>907</v>
      </c>
      <c r="B33" s="886">
        <v>4061.1</v>
      </c>
      <c r="C33" s="886">
        <v>2324000</v>
      </c>
      <c r="D33" s="886">
        <v>9437.9964</v>
      </c>
      <c r="E33" s="864"/>
    </row>
    <row r="34" spans="1:5" ht="12.6" customHeight="1" thickBot="1" x14ac:dyDescent="0.25">
      <c r="A34" s="862" t="s">
        <v>908</v>
      </c>
      <c r="B34" s="886">
        <v>38765</v>
      </c>
      <c r="C34" s="886">
        <v>2403999.9999999995</v>
      </c>
      <c r="D34" s="867">
        <v>93191.059999999983</v>
      </c>
      <c r="E34" s="864"/>
    </row>
    <row r="35" spans="1:5" ht="12.6" customHeight="1" thickBot="1" x14ac:dyDescent="0.25">
      <c r="A35" s="895" t="s">
        <v>282</v>
      </c>
      <c r="B35" s="896">
        <v>49139.6</v>
      </c>
      <c r="C35" s="901"/>
      <c r="D35" s="896">
        <v>122746.97059999999</v>
      </c>
      <c r="E35" s="900">
        <v>122746.97059999999</v>
      </c>
    </row>
    <row r="36" spans="1:5" ht="12.6" customHeight="1" x14ac:dyDescent="0.2">
      <c r="A36" s="1992" t="s">
        <v>239</v>
      </c>
      <c r="B36" s="360"/>
      <c r="C36" s="360"/>
      <c r="D36" s="360"/>
      <c r="E36" s="864"/>
    </row>
    <row r="37" spans="1:5" ht="12.6" customHeight="1" x14ac:dyDescent="0.2">
      <c r="A37" s="885" t="s">
        <v>955</v>
      </c>
      <c r="B37" s="886">
        <v>5132.1361999999999</v>
      </c>
      <c r="C37" s="886">
        <v>12137000</v>
      </c>
      <c r="D37" s="886">
        <v>62288.737059400002</v>
      </c>
      <c r="E37" s="864"/>
    </row>
    <row r="38" spans="1:5" ht="12.6" customHeight="1" x14ac:dyDescent="0.2">
      <c r="A38" s="885" t="s">
        <v>283</v>
      </c>
      <c r="B38" s="886">
        <v>96472.546933028119</v>
      </c>
      <c r="C38" s="886">
        <v>13024549.999999996</v>
      </c>
      <c r="D38" s="886">
        <v>1256511.5111565711</v>
      </c>
      <c r="E38" s="864"/>
    </row>
    <row r="39" spans="1:5" ht="12.6" customHeight="1" x14ac:dyDescent="0.2">
      <c r="A39" s="885" t="s">
        <v>69</v>
      </c>
      <c r="B39" s="886">
        <v>76200</v>
      </c>
      <c r="C39" s="886">
        <v>14978232.499999994</v>
      </c>
      <c r="D39" s="886">
        <v>1141341.3164999995</v>
      </c>
      <c r="E39" s="864"/>
    </row>
    <row r="40" spans="1:5" ht="12.6" customHeight="1" x14ac:dyDescent="0.2">
      <c r="A40" s="2020" t="s">
        <v>1711</v>
      </c>
      <c r="B40" s="886"/>
      <c r="C40" s="886"/>
      <c r="D40" s="886">
        <v>0</v>
      </c>
      <c r="E40" s="864"/>
    </row>
    <row r="41" spans="1:5" ht="12.6" customHeight="1" x14ac:dyDescent="0.2">
      <c r="A41" s="885" t="s">
        <v>199</v>
      </c>
      <c r="B41" s="886">
        <v>57840.857499999998</v>
      </c>
      <c r="C41" s="886">
        <v>3000000</v>
      </c>
      <c r="D41" s="886">
        <v>173522.57250000001</v>
      </c>
      <c r="E41" s="864"/>
    </row>
    <row r="42" spans="1:5" ht="12.6" customHeight="1" x14ac:dyDescent="0.2">
      <c r="A42" s="885" t="s">
        <v>86</v>
      </c>
      <c r="B42" s="886">
        <v>67460</v>
      </c>
      <c r="C42" s="886">
        <v>170000</v>
      </c>
      <c r="D42" s="886">
        <v>11468.2</v>
      </c>
      <c r="E42" s="864"/>
    </row>
    <row r="43" spans="1:5" ht="12.6" customHeight="1" x14ac:dyDescent="0.2">
      <c r="A43" s="862" t="s">
        <v>213</v>
      </c>
      <c r="B43" s="886">
        <v>111631.4464</v>
      </c>
      <c r="C43" s="886">
        <v>1850000.0000000005</v>
      </c>
      <c r="D43" s="867">
        <v>206518.17584000007</v>
      </c>
      <c r="E43" s="864"/>
    </row>
    <row r="44" spans="1:5" ht="12.6" customHeight="1" x14ac:dyDescent="0.2">
      <c r="A44" s="890" t="s">
        <v>285</v>
      </c>
      <c r="B44" s="891">
        <v>414736.9870330281</v>
      </c>
      <c r="C44" s="902"/>
      <c r="D44" s="891">
        <v>2851650.5130559704</v>
      </c>
      <c r="E44" s="892"/>
    </row>
    <row r="45" spans="1:5" ht="12.6" customHeight="1" x14ac:dyDescent="0.2">
      <c r="A45" s="1993" t="s">
        <v>960</v>
      </c>
      <c r="B45" s="866"/>
      <c r="C45" s="866"/>
      <c r="D45" s="867"/>
      <c r="E45" s="864"/>
    </row>
    <row r="46" spans="1:5" ht="12.6" customHeight="1" x14ac:dyDescent="0.2">
      <c r="A46" s="885" t="s">
        <v>961</v>
      </c>
      <c r="B46" s="886">
        <v>54301.895000000004</v>
      </c>
      <c r="C46" s="886">
        <v>3668000</v>
      </c>
      <c r="D46" s="886">
        <v>199179.35086000001</v>
      </c>
      <c r="E46" s="864"/>
    </row>
    <row r="47" spans="1:5" ht="12.6" customHeight="1" x14ac:dyDescent="0.2">
      <c r="A47" s="885" t="s">
        <v>962</v>
      </c>
      <c r="B47" s="886">
        <v>1570.165</v>
      </c>
      <c r="C47" s="886">
        <v>1999999.9999999998</v>
      </c>
      <c r="D47" s="886">
        <v>3140.3299999999995</v>
      </c>
      <c r="E47" s="864"/>
    </row>
    <row r="48" spans="1:5" ht="12.6" customHeight="1" x14ac:dyDescent="0.2">
      <c r="A48" s="885" t="s">
        <v>963</v>
      </c>
      <c r="B48" s="886">
        <v>23646.83</v>
      </c>
      <c r="C48" s="886">
        <v>1347999.9999999998</v>
      </c>
      <c r="D48" s="886">
        <v>31875.926839999996</v>
      </c>
      <c r="E48" s="864"/>
    </row>
    <row r="49" spans="1:5" ht="12.6" customHeight="1" x14ac:dyDescent="0.2">
      <c r="A49" s="885" t="s">
        <v>965</v>
      </c>
      <c r="B49" s="886">
        <v>25700.400000000001</v>
      </c>
      <c r="C49" s="886">
        <v>1599999.9999999995</v>
      </c>
      <c r="D49" s="886">
        <v>41120.639999999992</v>
      </c>
      <c r="E49" s="864"/>
    </row>
    <row r="50" spans="1:5" ht="12.6" customHeight="1" x14ac:dyDescent="0.2">
      <c r="A50" s="885" t="s">
        <v>966</v>
      </c>
      <c r="B50" s="886">
        <v>2058.6999999999998</v>
      </c>
      <c r="C50" s="886">
        <v>2244000</v>
      </c>
      <c r="D50" s="886">
        <v>4619.7227999999996</v>
      </c>
      <c r="E50" s="864"/>
    </row>
    <row r="51" spans="1:5" ht="12.6" customHeight="1" x14ac:dyDescent="0.2">
      <c r="A51" s="2020" t="s">
        <v>1499</v>
      </c>
      <c r="B51" s="886">
        <v>714</v>
      </c>
      <c r="C51" s="886">
        <v>4849999.9999999991</v>
      </c>
      <c r="D51" s="886">
        <v>3462.8999999999996</v>
      </c>
      <c r="E51" s="864"/>
    </row>
    <row r="52" spans="1:5" ht="12.6" customHeight="1" x14ac:dyDescent="0.2">
      <c r="A52" s="885" t="s">
        <v>816</v>
      </c>
      <c r="B52" s="886">
        <v>884.8</v>
      </c>
      <c r="C52" s="886">
        <v>2250000.0000000005</v>
      </c>
      <c r="D52" s="886">
        <v>1990.8000000000002</v>
      </c>
      <c r="E52" s="864"/>
    </row>
    <row r="53" spans="1:5" ht="12.6" customHeight="1" x14ac:dyDescent="0.2">
      <c r="A53" s="885" t="s">
        <v>964</v>
      </c>
      <c r="B53" s="886">
        <v>659</v>
      </c>
      <c r="C53" s="886">
        <v>1556000</v>
      </c>
      <c r="D53" s="886">
        <v>1025.404</v>
      </c>
      <c r="E53" s="864"/>
    </row>
    <row r="54" spans="1:5" ht="12.6" customHeight="1" x14ac:dyDescent="0.2">
      <c r="A54" s="885" t="s">
        <v>969</v>
      </c>
      <c r="B54" s="886">
        <v>10498.4</v>
      </c>
      <c r="C54" s="886">
        <v>4800000</v>
      </c>
      <c r="D54" s="886">
        <v>50392.32</v>
      </c>
      <c r="E54" s="864"/>
    </row>
    <row r="55" spans="1:5" ht="12.6" customHeight="1" x14ac:dyDescent="0.2">
      <c r="A55" s="885" t="s">
        <v>968</v>
      </c>
      <c r="B55" s="886">
        <v>5124.32</v>
      </c>
      <c r="C55" s="886">
        <v>3050000.0000000009</v>
      </c>
      <c r="D55" s="886">
        <v>15629.176000000003</v>
      </c>
      <c r="E55" s="864"/>
    </row>
    <row r="56" spans="1:5" ht="12.6" customHeight="1" x14ac:dyDescent="0.2">
      <c r="A56" s="885" t="s">
        <v>1013</v>
      </c>
      <c r="B56" s="886">
        <v>1188.2</v>
      </c>
      <c r="C56" s="886">
        <v>1799999.9999999998</v>
      </c>
      <c r="D56" s="886">
        <v>2138.7599999999998</v>
      </c>
      <c r="E56" s="864"/>
    </row>
    <row r="57" spans="1:5" ht="12.6" customHeight="1" x14ac:dyDescent="0.2">
      <c r="A57" s="885" t="s">
        <v>1014</v>
      </c>
      <c r="B57" s="886">
        <v>1418.86</v>
      </c>
      <c r="C57" s="886">
        <v>2195000.0000000005</v>
      </c>
      <c r="D57" s="886">
        <v>3114.3977000000004</v>
      </c>
      <c r="E57" s="864"/>
    </row>
    <row r="58" spans="1:5" ht="12.6" customHeight="1" x14ac:dyDescent="0.2">
      <c r="A58" s="885" t="s">
        <v>970</v>
      </c>
      <c r="B58" s="886">
        <v>14603.83</v>
      </c>
      <c r="C58" s="886">
        <v>3100000.0000000005</v>
      </c>
      <c r="D58" s="886">
        <v>45271.873000000007</v>
      </c>
      <c r="E58" s="864"/>
    </row>
    <row r="59" spans="1:5" ht="12.6" customHeight="1" x14ac:dyDescent="0.2">
      <c r="A59" s="885" t="s">
        <v>971</v>
      </c>
      <c r="B59" s="886">
        <v>4286.7</v>
      </c>
      <c r="C59" s="886">
        <v>3010000</v>
      </c>
      <c r="D59" s="886">
        <v>12902.967000000001</v>
      </c>
      <c r="E59" s="864"/>
    </row>
    <row r="60" spans="1:5" ht="12.6" customHeight="1" x14ac:dyDescent="0.2">
      <c r="A60" s="885" t="s">
        <v>972</v>
      </c>
      <c r="B60" s="886">
        <v>16316.32</v>
      </c>
      <c r="C60" s="886">
        <v>2744000.0000000005</v>
      </c>
      <c r="D60" s="886">
        <v>44771.982080000009</v>
      </c>
      <c r="E60" s="864"/>
    </row>
    <row r="61" spans="1:5" ht="12.6" customHeight="1" x14ac:dyDescent="0.2">
      <c r="A61" s="885" t="s">
        <v>973</v>
      </c>
      <c r="B61" s="886">
        <v>9700.1</v>
      </c>
      <c r="C61" s="886">
        <v>2549999.9999999991</v>
      </c>
      <c r="D61" s="886">
        <v>24735.254999999994</v>
      </c>
      <c r="E61" s="864"/>
    </row>
    <row r="62" spans="1:5" ht="12.6" customHeight="1" x14ac:dyDescent="0.2">
      <c r="A62" s="885" t="s">
        <v>974</v>
      </c>
      <c r="B62" s="886">
        <v>6394.52</v>
      </c>
      <c r="C62" s="886">
        <v>1583999.9999999995</v>
      </c>
      <c r="D62" s="886">
        <v>10128.919679999997</v>
      </c>
      <c r="E62" s="864"/>
    </row>
    <row r="63" spans="1:5" ht="12.6" customHeight="1" x14ac:dyDescent="0.2">
      <c r="A63" s="885" t="s">
        <v>975</v>
      </c>
      <c r="B63" s="886">
        <v>8916.1999999999989</v>
      </c>
      <c r="C63" s="886">
        <v>2532000.0000000009</v>
      </c>
      <c r="D63" s="886">
        <v>22575.818400000004</v>
      </c>
      <c r="E63" s="864"/>
    </row>
    <row r="64" spans="1:5" ht="12.6" customHeight="1" x14ac:dyDescent="0.2">
      <c r="A64" s="885" t="s">
        <v>976</v>
      </c>
      <c r="B64" s="886">
        <v>9233.31</v>
      </c>
      <c r="C64" s="886">
        <v>7394999.9999999991</v>
      </c>
      <c r="D64" s="886">
        <v>68280.327449999982</v>
      </c>
      <c r="E64" s="864"/>
    </row>
    <row r="65" spans="1:5" ht="12.6" customHeight="1" x14ac:dyDescent="0.2">
      <c r="A65" s="885" t="s">
        <v>286</v>
      </c>
      <c r="B65" s="886">
        <v>4641.75</v>
      </c>
      <c r="C65" s="886">
        <v>2445000.0000000005</v>
      </c>
      <c r="D65" s="886">
        <v>11349.078750000002</v>
      </c>
      <c r="E65" s="864"/>
    </row>
    <row r="66" spans="1:5" ht="12.6" customHeight="1" x14ac:dyDescent="0.2">
      <c r="A66" s="862" t="s">
        <v>978</v>
      </c>
      <c r="B66" s="888">
        <v>10900.789999999999</v>
      </c>
      <c r="C66" s="888">
        <v>1850000.0000000002</v>
      </c>
      <c r="D66" s="867">
        <v>20166.461500000001</v>
      </c>
      <c r="E66" s="864"/>
    </row>
    <row r="67" spans="1:5" ht="12.6" customHeight="1" x14ac:dyDescent="0.2">
      <c r="A67" s="885" t="s">
        <v>1163</v>
      </c>
      <c r="B67" s="888">
        <v>0</v>
      </c>
      <c r="C67" s="888">
        <v>0</v>
      </c>
      <c r="D67" s="867">
        <v>0</v>
      </c>
      <c r="E67" s="864"/>
    </row>
    <row r="68" spans="1:5" ht="12.6" customHeight="1" thickBot="1" x14ac:dyDescent="0.25">
      <c r="A68" s="903" t="s">
        <v>287</v>
      </c>
      <c r="B68" s="904">
        <v>212759.09000000003</v>
      </c>
      <c r="C68" s="905"/>
      <c r="D68" s="904">
        <v>617872.41105999995</v>
      </c>
      <c r="E68" s="898"/>
    </row>
    <row r="69" spans="1:5" ht="12.6" customHeight="1" thickBot="1" x14ac:dyDescent="0.25">
      <c r="A69" s="895" t="s">
        <v>288</v>
      </c>
      <c r="B69" s="896">
        <v>627496.07703302812</v>
      </c>
      <c r="C69" s="897"/>
      <c r="D69" s="897"/>
      <c r="E69" s="900">
        <v>3469522.9241159703</v>
      </c>
    </row>
    <row r="70" spans="1:5" ht="5.25" customHeight="1" thickBot="1" x14ac:dyDescent="0.25">
      <c r="A70" s="862"/>
      <c r="B70" s="360"/>
      <c r="C70" s="360"/>
      <c r="D70" s="360"/>
      <c r="E70" s="868"/>
    </row>
    <row r="71" spans="1:5" ht="20.100000000000001" customHeight="1" thickBot="1" x14ac:dyDescent="0.25">
      <c r="A71" s="443" t="s">
        <v>194</v>
      </c>
      <c r="B71" s="906">
        <v>1095758.3195330282</v>
      </c>
      <c r="C71" s="907"/>
      <c r="D71" s="907"/>
      <c r="E71" s="908">
        <v>4481273.7243224699</v>
      </c>
    </row>
    <row r="72" spans="1:5" ht="12" customHeight="1" thickTop="1" x14ac:dyDescent="0.2">
      <c r="A72" s="7" t="s">
        <v>1934</v>
      </c>
      <c r="B72" s="879"/>
      <c r="C72" s="879"/>
      <c r="D72" s="879"/>
      <c r="E72" s="879"/>
    </row>
    <row r="73" spans="1:5" ht="12" customHeight="1" x14ac:dyDescent="0.2">
      <c r="A73" s="351" t="s">
        <v>289</v>
      </c>
    </row>
    <row r="74" spans="1:5" ht="12" customHeight="1" x14ac:dyDescent="0.2">
      <c r="A74" s="351" t="s">
        <v>1895</v>
      </c>
    </row>
    <row r="75" spans="1:5" ht="12" customHeight="1" x14ac:dyDescent="0.2">
      <c r="A75" s="351" t="s">
        <v>1845</v>
      </c>
      <c r="B75" s="2267" t="s">
        <v>1847</v>
      </c>
      <c r="C75" s="2268">
        <v>0.55870228734418026</v>
      </c>
      <c r="D75" s="2267" t="s">
        <v>1846</v>
      </c>
      <c r="E75" s="2268">
        <v>0.44129771265581974</v>
      </c>
    </row>
    <row r="76" spans="1:5" ht="18" x14ac:dyDescent="0.25">
      <c r="A76" s="2869" t="s">
        <v>1293</v>
      </c>
      <c r="B76" s="2869"/>
      <c r="C76" s="2869"/>
      <c r="D76" s="2869"/>
      <c r="E76" s="2869"/>
    </row>
    <row r="77" spans="1:5" ht="18" x14ac:dyDescent="0.25">
      <c r="A77" s="2869" t="s">
        <v>2007</v>
      </c>
      <c r="B77" s="2869"/>
      <c r="C77" s="2869"/>
      <c r="D77" s="2869"/>
      <c r="E77" s="2869"/>
    </row>
    <row r="78" spans="1:5" ht="18.75" thickBot="1" x14ac:dyDescent="0.3">
      <c r="A78" s="846"/>
      <c r="B78" s="846"/>
      <c r="C78" s="846"/>
      <c r="D78" s="846"/>
      <c r="E78" s="1882" t="s">
        <v>2010</v>
      </c>
    </row>
    <row r="79" spans="1:5" ht="13.5" thickTop="1" x14ac:dyDescent="0.2">
      <c r="A79" s="847"/>
      <c r="B79" s="848" t="s">
        <v>271</v>
      </c>
      <c r="C79" s="848" t="s">
        <v>272</v>
      </c>
      <c r="D79" s="848" t="s">
        <v>273</v>
      </c>
      <c r="E79" s="881" t="s">
        <v>274</v>
      </c>
    </row>
    <row r="80" spans="1:5" ht="13.5" thickBot="1" x14ac:dyDescent="0.25">
      <c r="A80" s="855" t="s">
        <v>408</v>
      </c>
      <c r="B80" s="882" t="s">
        <v>346</v>
      </c>
      <c r="C80" s="882" t="s">
        <v>275</v>
      </c>
      <c r="D80" s="882" t="s">
        <v>276</v>
      </c>
      <c r="E80" s="883" t="s">
        <v>276</v>
      </c>
    </row>
    <row r="81" spans="1:5" x14ac:dyDescent="0.2">
      <c r="A81" s="862"/>
      <c r="B81" s="360"/>
      <c r="C81" s="360"/>
      <c r="D81" s="360"/>
      <c r="E81" s="864"/>
    </row>
    <row r="82" spans="1:5" x14ac:dyDescent="0.2">
      <c r="A82" s="884" t="s">
        <v>277</v>
      </c>
      <c r="B82" s="360"/>
      <c r="C82" s="360"/>
      <c r="D82" s="360"/>
      <c r="E82" s="864"/>
    </row>
    <row r="83" spans="1:5" x14ac:dyDescent="0.2">
      <c r="A83" s="885" t="s">
        <v>410</v>
      </c>
      <c r="B83" s="886">
        <v>447.7</v>
      </c>
      <c r="C83" s="886">
        <v>5667200.0000000009</v>
      </c>
      <c r="D83" s="886">
        <v>2537.2054400000006</v>
      </c>
      <c r="E83" s="864"/>
    </row>
    <row r="84" spans="1:5" x14ac:dyDescent="0.2">
      <c r="A84" s="885" t="s">
        <v>411</v>
      </c>
      <c r="B84" s="886">
        <v>257240.5</v>
      </c>
      <c r="C84" s="886">
        <v>1753716.5000000002</v>
      </c>
      <c r="D84" s="886">
        <v>451126.90931825008</v>
      </c>
      <c r="E84" s="864"/>
    </row>
    <row r="85" spans="1:5" x14ac:dyDescent="0.2">
      <c r="A85" s="885" t="s">
        <v>278</v>
      </c>
      <c r="B85" s="886">
        <v>66977.42</v>
      </c>
      <c r="C85" s="886">
        <v>1637875</v>
      </c>
      <c r="D85" s="886">
        <v>109700.6417825</v>
      </c>
      <c r="E85" s="864"/>
    </row>
    <row r="86" spans="1:5" x14ac:dyDescent="0.2">
      <c r="A86" s="885" t="s">
        <v>200</v>
      </c>
      <c r="B86" s="886">
        <v>21116</v>
      </c>
      <c r="C86" s="886">
        <v>7709114.5</v>
      </c>
      <c r="D86" s="886">
        <v>162785.66178200001</v>
      </c>
      <c r="E86" s="864"/>
    </row>
    <row r="87" spans="1:5" x14ac:dyDescent="0.2">
      <c r="A87" s="885" t="s">
        <v>429</v>
      </c>
      <c r="B87" s="886">
        <v>432.5</v>
      </c>
      <c r="C87" s="886">
        <v>1255000</v>
      </c>
      <c r="D87" s="886">
        <v>542.78750000000002</v>
      </c>
      <c r="E87" s="864"/>
    </row>
    <row r="88" spans="1:5" x14ac:dyDescent="0.2">
      <c r="A88" s="887" t="s">
        <v>431</v>
      </c>
      <c r="B88" s="886">
        <v>0</v>
      </c>
      <c r="C88" s="886">
        <v>0</v>
      </c>
      <c r="D88" s="888">
        <v>0</v>
      </c>
      <c r="E88" s="864"/>
    </row>
    <row r="89" spans="1:5" x14ac:dyDescent="0.2">
      <c r="A89" s="1990" t="s">
        <v>430</v>
      </c>
      <c r="B89" s="886">
        <v>0</v>
      </c>
      <c r="C89" s="886">
        <v>0</v>
      </c>
      <c r="D89" s="888">
        <v>0</v>
      </c>
      <c r="E89" s="864"/>
    </row>
    <row r="90" spans="1:5" x14ac:dyDescent="0.2">
      <c r="A90" s="890" t="s">
        <v>279</v>
      </c>
      <c r="B90" s="891">
        <v>346214.12</v>
      </c>
      <c r="C90" s="437"/>
      <c r="D90" s="891">
        <v>726693.20582274999</v>
      </c>
      <c r="E90" s="892"/>
    </row>
    <row r="91" spans="1:5" x14ac:dyDescent="0.2">
      <c r="A91" s="1991" t="s">
        <v>238</v>
      </c>
      <c r="B91" s="1465"/>
      <c r="C91" s="1466"/>
      <c r="D91" s="1465"/>
      <c r="E91" s="1464"/>
    </row>
    <row r="92" spans="1:5" x14ac:dyDescent="0.2">
      <c r="A92" s="893" t="s">
        <v>412</v>
      </c>
      <c r="B92" s="886">
        <v>4696.0025000000005</v>
      </c>
      <c r="C92" s="886">
        <v>4129499.9999999995</v>
      </c>
      <c r="D92" s="894">
        <v>19392.142323749998</v>
      </c>
      <c r="E92" s="864"/>
    </row>
    <row r="93" spans="1:5" x14ac:dyDescent="0.2">
      <c r="A93" s="893" t="s">
        <v>413</v>
      </c>
      <c r="B93" s="886">
        <v>8780</v>
      </c>
      <c r="C93" s="886">
        <v>1200000</v>
      </c>
      <c r="D93" s="894">
        <v>10536</v>
      </c>
      <c r="E93" s="864"/>
    </row>
    <row r="94" spans="1:5" x14ac:dyDescent="0.2">
      <c r="A94" s="885" t="s">
        <v>90</v>
      </c>
      <c r="B94" s="886">
        <v>775</v>
      </c>
      <c r="C94" s="886">
        <v>1743000</v>
      </c>
      <c r="D94" s="886">
        <v>1350.825</v>
      </c>
      <c r="E94" s="864"/>
    </row>
    <row r="95" spans="1:5" x14ac:dyDescent="0.2">
      <c r="A95" s="885" t="s">
        <v>417</v>
      </c>
      <c r="B95" s="886">
        <v>3766.5</v>
      </c>
      <c r="C95" s="886">
        <v>2563999.9999999995</v>
      </c>
      <c r="D95" s="886">
        <v>9657.3059999999987</v>
      </c>
      <c r="E95" s="864"/>
    </row>
    <row r="96" spans="1:5" x14ac:dyDescent="0.2">
      <c r="A96" s="885" t="s">
        <v>418</v>
      </c>
      <c r="B96" s="886">
        <v>5834.9699999999993</v>
      </c>
      <c r="C96" s="886">
        <v>2222500</v>
      </c>
      <c r="D96" s="886">
        <v>12968.220824999999</v>
      </c>
      <c r="E96" s="864"/>
    </row>
    <row r="97" spans="1:5" x14ac:dyDescent="0.2">
      <c r="A97" s="885" t="s">
        <v>423</v>
      </c>
      <c r="B97" s="886">
        <v>17654</v>
      </c>
      <c r="C97" s="886">
        <v>2531500</v>
      </c>
      <c r="D97" s="886">
        <v>44691.101000000002</v>
      </c>
      <c r="E97" s="864"/>
    </row>
    <row r="98" spans="1:5" x14ac:dyDescent="0.2">
      <c r="A98" s="885" t="s">
        <v>424</v>
      </c>
      <c r="B98" s="886">
        <v>330.5</v>
      </c>
      <c r="C98" s="886">
        <v>1369000</v>
      </c>
      <c r="D98" s="886">
        <v>452.4545</v>
      </c>
      <c r="E98" s="864"/>
    </row>
    <row r="99" spans="1:5" x14ac:dyDescent="0.2">
      <c r="A99" s="885" t="s">
        <v>280</v>
      </c>
      <c r="B99" s="886">
        <v>2641.3</v>
      </c>
      <c r="C99" s="886">
        <v>1574500</v>
      </c>
      <c r="D99" s="886">
        <v>4158.7268500000009</v>
      </c>
      <c r="E99" s="864"/>
    </row>
    <row r="100" spans="1:5" x14ac:dyDescent="0.2">
      <c r="A100" s="885" t="s">
        <v>427</v>
      </c>
      <c r="B100" s="886">
        <v>2836</v>
      </c>
      <c r="C100" s="886">
        <v>2072000</v>
      </c>
      <c r="D100" s="886">
        <v>5876.192</v>
      </c>
      <c r="E100" s="864"/>
    </row>
    <row r="101" spans="1:5" x14ac:dyDescent="0.2">
      <c r="A101" s="885" t="s">
        <v>428</v>
      </c>
      <c r="B101" s="886">
        <v>3909.5</v>
      </c>
      <c r="C101" s="886">
        <v>1326280</v>
      </c>
      <c r="D101" s="886">
        <v>5185.09166</v>
      </c>
      <c r="E101" s="864"/>
    </row>
    <row r="102" spans="1:5" ht="13.5" thickBot="1" x14ac:dyDescent="0.25">
      <c r="A102" s="862" t="s">
        <v>92</v>
      </c>
      <c r="B102" s="886">
        <v>21684.75</v>
      </c>
      <c r="C102" s="886">
        <v>2215500</v>
      </c>
      <c r="D102" s="867">
        <v>48042.563625000003</v>
      </c>
      <c r="E102" s="864"/>
    </row>
    <row r="103" spans="1:5" ht="13.5" thickBot="1" x14ac:dyDescent="0.25">
      <c r="A103" s="895" t="s">
        <v>281</v>
      </c>
      <c r="B103" s="896">
        <v>72908.522500000006</v>
      </c>
      <c r="C103" s="897"/>
      <c r="D103" s="896">
        <v>162310.62378375002</v>
      </c>
      <c r="E103" s="898"/>
    </row>
    <row r="104" spans="1:5" ht="13.5" thickBot="1" x14ac:dyDescent="0.25">
      <c r="A104" s="895" t="s">
        <v>106</v>
      </c>
      <c r="B104" s="896">
        <v>419122.64250000002</v>
      </c>
      <c r="C104" s="899"/>
      <c r="D104" s="899"/>
      <c r="E104" s="900">
        <v>889003.82960649999</v>
      </c>
    </row>
    <row r="105" spans="1:5" x14ac:dyDescent="0.2">
      <c r="A105" s="1992" t="s">
        <v>224</v>
      </c>
      <c r="B105" s="360"/>
      <c r="C105" s="360"/>
      <c r="D105" s="360"/>
      <c r="E105" s="864"/>
    </row>
    <row r="106" spans="1:5" x14ac:dyDescent="0.2">
      <c r="A106" s="885" t="s">
        <v>905</v>
      </c>
      <c r="B106" s="886">
        <v>337.4</v>
      </c>
      <c r="C106" s="886">
        <v>6100000</v>
      </c>
      <c r="D106" s="886">
        <v>2058.14</v>
      </c>
      <c r="E106" s="864"/>
    </row>
    <row r="107" spans="1:5" x14ac:dyDescent="0.2">
      <c r="A107" s="885" t="s">
        <v>906</v>
      </c>
      <c r="B107" s="886">
        <v>5976.1</v>
      </c>
      <c r="C107" s="886">
        <v>3022000.0000000005</v>
      </c>
      <c r="D107" s="886">
        <v>18059.774200000003</v>
      </c>
      <c r="E107" s="864"/>
    </row>
    <row r="108" spans="1:5" x14ac:dyDescent="0.2">
      <c r="A108" s="885" t="s">
        <v>907</v>
      </c>
      <c r="B108" s="886">
        <v>4061.1</v>
      </c>
      <c r="C108" s="886">
        <v>2324000</v>
      </c>
      <c r="D108" s="886">
        <v>9437.9964</v>
      </c>
      <c r="E108" s="864"/>
    </row>
    <row r="109" spans="1:5" ht="13.5" thickBot="1" x14ac:dyDescent="0.25">
      <c r="A109" s="862" t="s">
        <v>908</v>
      </c>
      <c r="B109" s="886">
        <v>38765</v>
      </c>
      <c r="C109" s="886">
        <v>2403999.9999999995</v>
      </c>
      <c r="D109" s="867">
        <v>93191.059999999983</v>
      </c>
      <c r="E109" s="864"/>
    </row>
    <row r="110" spans="1:5" ht="13.5" thickBot="1" x14ac:dyDescent="0.25">
      <c r="A110" s="895" t="s">
        <v>282</v>
      </c>
      <c r="B110" s="896">
        <v>49139.6</v>
      </c>
      <c r="C110" s="901"/>
      <c r="D110" s="896">
        <v>122746.97059999999</v>
      </c>
      <c r="E110" s="900">
        <v>122746.97059999999</v>
      </c>
    </row>
    <row r="111" spans="1:5" x14ac:dyDescent="0.2">
      <c r="A111" s="1992" t="s">
        <v>239</v>
      </c>
      <c r="B111" s="360"/>
      <c r="C111" s="360"/>
      <c r="D111" s="360"/>
      <c r="E111" s="864"/>
    </row>
    <row r="112" spans="1:5" x14ac:dyDescent="0.2">
      <c r="A112" s="885" t="s">
        <v>955</v>
      </c>
      <c r="B112" s="886">
        <v>5132.1361999999999</v>
      </c>
      <c r="C112" s="886">
        <v>12137000</v>
      </c>
      <c r="D112" s="886">
        <v>62288.737059400002</v>
      </c>
      <c r="E112" s="864"/>
    </row>
    <row r="113" spans="1:5" x14ac:dyDescent="0.2">
      <c r="A113" s="885" t="s">
        <v>284</v>
      </c>
      <c r="B113" s="886">
        <v>57840.857499999998</v>
      </c>
      <c r="C113" s="886">
        <v>3000000</v>
      </c>
      <c r="D113" s="886">
        <v>173522.57250000001</v>
      </c>
      <c r="E113" s="864"/>
    </row>
    <row r="114" spans="1:5" x14ac:dyDescent="0.2">
      <c r="A114" s="885" t="s">
        <v>86</v>
      </c>
      <c r="B114" s="886">
        <v>67460</v>
      </c>
      <c r="C114" s="886">
        <v>170000</v>
      </c>
      <c r="D114" s="886">
        <v>11468.2</v>
      </c>
      <c r="E114" s="864"/>
    </row>
    <row r="115" spans="1:5" x14ac:dyDescent="0.2">
      <c r="A115" s="862" t="s">
        <v>213</v>
      </c>
      <c r="B115" s="886">
        <v>111631.4464</v>
      </c>
      <c r="C115" s="886">
        <v>1850000.0000000005</v>
      </c>
      <c r="D115" s="867">
        <v>206518.17584000007</v>
      </c>
      <c r="E115" s="864"/>
    </row>
    <row r="116" spans="1:5" x14ac:dyDescent="0.2">
      <c r="A116" s="890" t="s">
        <v>285</v>
      </c>
      <c r="B116" s="891">
        <v>242064.44010000001</v>
      </c>
      <c r="C116" s="902"/>
      <c r="D116" s="891">
        <v>453797.68539940007</v>
      </c>
      <c r="E116" s="892"/>
    </row>
    <row r="117" spans="1:5" x14ac:dyDescent="0.2">
      <c r="A117" s="1993" t="s">
        <v>960</v>
      </c>
      <c r="B117" s="866"/>
      <c r="C117" s="866"/>
      <c r="D117" s="867"/>
      <c r="E117" s="864"/>
    </row>
    <row r="118" spans="1:5" x14ac:dyDescent="0.2">
      <c r="A118" s="885" t="s">
        <v>961</v>
      </c>
      <c r="B118" s="886">
        <v>54301.895000000004</v>
      </c>
      <c r="C118" s="886">
        <v>3668000</v>
      </c>
      <c r="D118" s="886">
        <v>199179.35086000001</v>
      </c>
      <c r="E118" s="864"/>
    </row>
    <row r="119" spans="1:5" x14ac:dyDescent="0.2">
      <c r="A119" s="885" t="s">
        <v>962</v>
      </c>
      <c r="B119" s="886">
        <v>1570.165</v>
      </c>
      <c r="C119" s="886">
        <v>1999999.9999999998</v>
      </c>
      <c r="D119" s="886">
        <v>3140.3299999999995</v>
      </c>
      <c r="E119" s="864"/>
    </row>
    <row r="120" spans="1:5" x14ac:dyDescent="0.2">
      <c r="A120" s="885" t="s">
        <v>963</v>
      </c>
      <c r="B120" s="886">
        <v>23646.83</v>
      </c>
      <c r="C120" s="886">
        <v>1347999.9999999998</v>
      </c>
      <c r="D120" s="886">
        <v>31875.926839999996</v>
      </c>
      <c r="E120" s="864"/>
    </row>
    <row r="121" spans="1:5" x14ac:dyDescent="0.2">
      <c r="A121" s="885" t="s">
        <v>965</v>
      </c>
      <c r="B121" s="886">
        <v>25700.400000000001</v>
      </c>
      <c r="C121" s="886">
        <v>1599999.9999999995</v>
      </c>
      <c r="D121" s="886">
        <v>41120.639999999992</v>
      </c>
      <c r="E121" s="864"/>
    </row>
    <row r="122" spans="1:5" x14ac:dyDescent="0.2">
      <c r="A122" s="885" t="s">
        <v>966</v>
      </c>
      <c r="B122" s="886">
        <v>2058.6999999999998</v>
      </c>
      <c r="C122" s="886">
        <v>2244000</v>
      </c>
      <c r="D122" s="886">
        <v>4619.7227999999996</v>
      </c>
      <c r="E122" s="864"/>
    </row>
    <row r="123" spans="1:5" x14ac:dyDescent="0.2">
      <c r="A123" s="2020" t="s">
        <v>1499</v>
      </c>
      <c r="B123" s="886">
        <v>714</v>
      </c>
      <c r="C123" s="886">
        <v>4849999.9999999991</v>
      </c>
      <c r="D123" s="886">
        <v>3462.8999999999996</v>
      </c>
      <c r="E123" s="864"/>
    </row>
    <row r="124" spans="1:5" x14ac:dyDescent="0.2">
      <c r="A124" s="885" t="s">
        <v>816</v>
      </c>
      <c r="B124" s="886">
        <v>884.8</v>
      </c>
      <c r="C124" s="886">
        <v>2250000.0000000005</v>
      </c>
      <c r="D124" s="886">
        <v>1990.8000000000002</v>
      </c>
      <c r="E124" s="864"/>
    </row>
    <row r="125" spans="1:5" x14ac:dyDescent="0.2">
      <c r="A125" s="885" t="s">
        <v>964</v>
      </c>
      <c r="B125" s="886">
        <v>659</v>
      </c>
      <c r="C125" s="886">
        <v>1556000</v>
      </c>
      <c r="D125" s="886">
        <v>1025.404</v>
      </c>
      <c r="E125" s="864"/>
    </row>
    <row r="126" spans="1:5" x14ac:dyDescent="0.2">
      <c r="A126" s="885" t="s">
        <v>969</v>
      </c>
      <c r="B126" s="886">
        <v>10498.4</v>
      </c>
      <c r="C126" s="886">
        <v>4800000</v>
      </c>
      <c r="D126" s="886">
        <v>50392.32</v>
      </c>
      <c r="E126" s="864"/>
    </row>
    <row r="127" spans="1:5" x14ac:dyDescent="0.2">
      <c r="A127" s="885" t="s">
        <v>968</v>
      </c>
      <c r="B127" s="886">
        <v>5124.32</v>
      </c>
      <c r="C127" s="886">
        <v>3050000.0000000009</v>
      </c>
      <c r="D127" s="886">
        <v>15629.176000000003</v>
      </c>
      <c r="E127" s="864"/>
    </row>
    <row r="128" spans="1:5" x14ac:dyDescent="0.2">
      <c r="A128" s="885" t="s">
        <v>1013</v>
      </c>
      <c r="B128" s="886">
        <v>1188.2</v>
      </c>
      <c r="C128" s="886">
        <v>1799999.9999999998</v>
      </c>
      <c r="D128" s="886">
        <v>2138.7599999999998</v>
      </c>
      <c r="E128" s="864"/>
    </row>
    <row r="129" spans="1:5" x14ac:dyDescent="0.2">
      <c r="A129" s="885" t="s">
        <v>1014</v>
      </c>
      <c r="B129" s="886">
        <v>1418.86</v>
      </c>
      <c r="C129" s="886">
        <v>2195000.0000000005</v>
      </c>
      <c r="D129" s="886">
        <v>3114.3977000000004</v>
      </c>
      <c r="E129" s="864"/>
    </row>
    <row r="130" spans="1:5" x14ac:dyDescent="0.2">
      <c r="A130" s="885" t="s">
        <v>970</v>
      </c>
      <c r="B130" s="886">
        <v>14603.83</v>
      </c>
      <c r="C130" s="886">
        <v>3100000.0000000005</v>
      </c>
      <c r="D130" s="886">
        <v>45271.873000000007</v>
      </c>
      <c r="E130" s="864"/>
    </row>
    <row r="131" spans="1:5" x14ac:dyDescent="0.2">
      <c r="A131" s="885" t="s">
        <v>971</v>
      </c>
      <c r="B131" s="886">
        <v>4286.7</v>
      </c>
      <c r="C131" s="886">
        <v>3010000</v>
      </c>
      <c r="D131" s="886">
        <v>12902.967000000001</v>
      </c>
      <c r="E131" s="864"/>
    </row>
    <row r="132" spans="1:5" x14ac:dyDescent="0.2">
      <c r="A132" s="885" t="s">
        <v>972</v>
      </c>
      <c r="B132" s="886">
        <v>16316.32</v>
      </c>
      <c r="C132" s="886">
        <v>2744000.0000000005</v>
      </c>
      <c r="D132" s="886">
        <v>44771.982080000009</v>
      </c>
      <c r="E132" s="864"/>
    </row>
    <row r="133" spans="1:5" x14ac:dyDescent="0.2">
      <c r="A133" s="885" t="s">
        <v>973</v>
      </c>
      <c r="B133" s="886">
        <v>9700.1</v>
      </c>
      <c r="C133" s="886">
        <v>2549999.9999999991</v>
      </c>
      <c r="D133" s="886">
        <v>24735.254999999994</v>
      </c>
      <c r="E133" s="864"/>
    </row>
    <row r="134" spans="1:5" x14ac:dyDescent="0.2">
      <c r="A134" s="885" t="s">
        <v>974</v>
      </c>
      <c r="B134" s="886">
        <v>6394.52</v>
      </c>
      <c r="C134" s="886">
        <v>1583999.9999999995</v>
      </c>
      <c r="D134" s="886">
        <v>10128.919679999997</v>
      </c>
      <c r="E134" s="864"/>
    </row>
    <row r="135" spans="1:5" x14ac:dyDescent="0.2">
      <c r="A135" s="885" t="s">
        <v>975</v>
      </c>
      <c r="B135" s="886">
        <v>8916.1999999999989</v>
      </c>
      <c r="C135" s="886">
        <v>2532000.0000000009</v>
      </c>
      <c r="D135" s="886">
        <v>22575.818400000004</v>
      </c>
      <c r="E135" s="864"/>
    </row>
    <row r="136" spans="1:5" x14ac:dyDescent="0.2">
      <c r="A136" s="885" t="s">
        <v>976</v>
      </c>
      <c r="B136" s="886">
        <v>9233.31</v>
      </c>
      <c r="C136" s="886">
        <v>7394999.9999999991</v>
      </c>
      <c r="D136" s="886">
        <v>68280.327449999982</v>
      </c>
      <c r="E136" s="864"/>
    </row>
    <row r="137" spans="1:5" x14ac:dyDescent="0.2">
      <c r="A137" s="885" t="s">
        <v>286</v>
      </c>
      <c r="B137" s="886">
        <v>4641.75</v>
      </c>
      <c r="C137" s="886">
        <v>2445000.0000000005</v>
      </c>
      <c r="D137" s="886">
        <v>11349.078750000002</v>
      </c>
      <c r="E137" s="864"/>
    </row>
    <row r="138" spans="1:5" x14ac:dyDescent="0.2">
      <c r="A138" s="885" t="s">
        <v>978</v>
      </c>
      <c r="B138" s="886">
        <v>10900.789999999999</v>
      </c>
      <c r="C138" s="886">
        <v>1850000.0000000002</v>
      </c>
      <c r="D138" s="867">
        <v>20166.461500000001</v>
      </c>
      <c r="E138" s="864"/>
    </row>
    <row r="139" spans="1:5" x14ac:dyDescent="0.2">
      <c r="A139" s="862" t="s">
        <v>1162</v>
      </c>
      <c r="B139" s="886">
        <v>0</v>
      </c>
      <c r="C139" s="886">
        <v>0</v>
      </c>
      <c r="D139" s="1162">
        <v>0</v>
      </c>
      <c r="E139" s="864"/>
    </row>
    <row r="140" spans="1:5" ht="13.5" thickBot="1" x14ac:dyDescent="0.25">
      <c r="A140" s="903" t="s">
        <v>287</v>
      </c>
      <c r="B140" s="904">
        <v>212759.09000000003</v>
      </c>
      <c r="C140" s="905"/>
      <c r="D140" s="904">
        <v>617872.41105999995</v>
      </c>
      <c r="E140" s="898"/>
    </row>
    <row r="141" spans="1:5" ht="13.5" thickBot="1" x14ac:dyDescent="0.25">
      <c r="A141" s="895" t="s">
        <v>288</v>
      </c>
      <c r="B141" s="896">
        <v>454823.53010000003</v>
      </c>
      <c r="C141" s="897"/>
      <c r="D141" s="897"/>
      <c r="E141" s="900">
        <v>1071670.0964593999</v>
      </c>
    </row>
    <row r="142" spans="1:5" ht="13.5" thickBot="1" x14ac:dyDescent="0.25">
      <c r="A142" s="862"/>
      <c r="B142" s="360"/>
      <c r="C142" s="360"/>
      <c r="D142" s="360"/>
      <c r="E142" s="868"/>
    </row>
    <row r="143" spans="1:5" ht="13.5" thickBot="1" x14ac:dyDescent="0.25">
      <c r="A143" s="443" t="s">
        <v>194</v>
      </c>
      <c r="B143" s="906">
        <v>923085.77260000003</v>
      </c>
      <c r="C143" s="907"/>
      <c r="D143" s="907"/>
      <c r="E143" s="908">
        <v>2083420.8966659</v>
      </c>
    </row>
    <row r="144" spans="1:5" ht="15" thickTop="1" x14ac:dyDescent="0.2">
      <c r="A144" s="7" t="s">
        <v>1934</v>
      </c>
      <c r="B144" s="879"/>
      <c r="C144" s="879"/>
      <c r="D144" s="879"/>
      <c r="E144" s="879"/>
    </row>
    <row r="145" spans="1:1" x14ac:dyDescent="0.2">
      <c r="A145" s="351" t="s">
        <v>289</v>
      </c>
    </row>
  </sheetData>
  <mergeCells count="4">
    <mergeCell ref="A76:E76"/>
    <mergeCell ref="A77:E77"/>
    <mergeCell ref="A1:E1"/>
    <mergeCell ref="A2:E2"/>
  </mergeCells>
  <phoneticPr fontId="13" type="noConversion"/>
  <pageMargins left="0.98425196850393704" right="0.78740157480314965" top="0.78740157480314965" bottom="0.59055118110236227" header="0.59055118110236227" footer="0"/>
  <pageSetup scale="75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sqref="A1:I1"/>
    </sheetView>
  </sheetViews>
  <sheetFormatPr baseColWidth="10" defaultColWidth="11.42578125" defaultRowHeight="12.75" x14ac:dyDescent="0.2"/>
  <cols>
    <col min="1" max="1" width="13.7109375" customWidth="1"/>
    <col min="2" max="2" width="23.28515625" customWidth="1"/>
    <col min="3" max="3" width="11.7109375" customWidth="1"/>
    <col min="4" max="4" width="2" customWidth="1"/>
    <col min="5" max="5" width="11" customWidth="1"/>
    <col min="6" max="6" width="10" customWidth="1"/>
    <col min="7" max="7" width="9.85546875" customWidth="1"/>
    <col min="8" max="8" width="9.28515625" customWidth="1"/>
    <col min="9" max="9" width="9.140625" customWidth="1"/>
  </cols>
  <sheetData>
    <row r="1" spans="1:9" ht="18" x14ac:dyDescent="0.25">
      <c r="A1" s="2869" t="s">
        <v>1297</v>
      </c>
      <c r="B1" s="2869"/>
      <c r="C1" s="2869"/>
      <c r="D1" s="2869"/>
      <c r="E1" s="2869"/>
      <c r="F1" s="2869"/>
      <c r="G1" s="2869"/>
      <c r="H1" s="2869"/>
      <c r="I1" s="2869"/>
    </row>
    <row r="2" spans="1:9" ht="18" x14ac:dyDescent="0.25">
      <c r="A2" s="2869" t="s">
        <v>2007</v>
      </c>
      <c r="B2" s="2869"/>
      <c r="C2" s="2869"/>
      <c r="D2" s="2869"/>
      <c r="E2" s="2869"/>
      <c r="F2" s="2869"/>
      <c r="G2" s="2869"/>
      <c r="H2" s="2869"/>
      <c r="I2" s="2869"/>
    </row>
    <row r="3" spans="1:9" ht="18.75" thickBot="1" x14ac:dyDescent="0.3">
      <c r="A3" s="909"/>
      <c r="B3" s="909"/>
      <c r="C3" s="909"/>
      <c r="D3" s="909"/>
      <c r="E3" s="909"/>
      <c r="F3" s="909"/>
      <c r="G3" s="909"/>
      <c r="I3" s="1882" t="s">
        <v>2011</v>
      </c>
    </row>
    <row r="4" spans="1:9" ht="13.5" thickBot="1" x14ac:dyDescent="0.25">
      <c r="A4" s="3303" t="s">
        <v>408</v>
      </c>
      <c r="B4" s="3135"/>
      <c r="C4" s="910" t="s">
        <v>271</v>
      </c>
      <c r="D4" s="3303" t="s">
        <v>290</v>
      </c>
      <c r="E4" s="3135"/>
      <c r="F4" s="3305" t="s">
        <v>291</v>
      </c>
      <c r="G4" s="3306"/>
      <c r="H4" s="3306"/>
      <c r="I4" s="3307"/>
    </row>
    <row r="5" spans="1:9" ht="13.5" thickBot="1" x14ac:dyDescent="0.25">
      <c r="A5" s="350"/>
      <c r="B5" s="381"/>
      <c r="C5" s="450"/>
      <c r="D5" s="350"/>
      <c r="E5" s="381"/>
      <c r="F5" s="3303" t="s">
        <v>294</v>
      </c>
      <c r="G5" s="3135"/>
      <c r="H5" s="3303" t="s">
        <v>293</v>
      </c>
      <c r="I5" s="3135"/>
    </row>
    <row r="6" spans="1:9" ht="13.5" thickBot="1" x14ac:dyDescent="0.25">
      <c r="A6" s="465"/>
      <c r="B6" s="406"/>
      <c r="C6" s="386" t="s">
        <v>346</v>
      </c>
      <c r="D6" s="3304" t="s">
        <v>292</v>
      </c>
      <c r="E6" s="3048"/>
      <c r="F6" s="911" t="s">
        <v>300</v>
      </c>
      <c r="G6" s="912" t="s">
        <v>433</v>
      </c>
      <c r="H6" s="911" t="s">
        <v>300</v>
      </c>
      <c r="I6" s="912" t="s">
        <v>433</v>
      </c>
    </row>
    <row r="7" spans="1:9" x14ac:dyDescent="0.2">
      <c r="A7" s="398"/>
      <c r="B7" s="399"/>
      <c r="C7" s="12"/>
      <c r="D7" s="398"/>
      <c r="E7" s="399"/>
      <c r="F7" s="400"/>
      <c r="G7" s="399"/>
      <c r="H7" s="400"/>
      <c r="I7" s="399"/>
    </row>
    <row r="8" spans="1:9" x14ac:dyDescent="0.2">
      <c r="A8" s="863" t="s">
        <v>295</v>
      </c>
      <c r="B8" s="402"/>
      <c r="C8" s="10">
        <v>346214.12</v>
      </c>
      <c r="D8" s="913"/>
      <c r="E8" s="10">
        <v>726693.20582274999</v>
      </c>
      <c r="F8" s="914">
        <v>82.604489687049053</v>
      </c>
      <c r="G8" s="362">
        <v>31.59584680566639</v>
      </c>
      <c r="H8" s="914">
        <v>81.742415681651948</v>
      </c>
      <c r="I8" s="362">
        <v>16.216219997420929</v>
      </c>
    </row>
    <row r="9" spans="1:9" x14ac:dyDescent="0.2">
      <c r="A9" s="863" t="s">
        <v>296</v>
      </c>
      <c r="B9" s="402"/>
      <c r="C9" s="10">
        <v>72908.522500000006</v>
      </c>
      <c r="D9" s="913"/>
      <c r="E9" s="10">
        <v>162310.62378375002</v>
      </c>
      <c r="F9" s="914">
        <v>17.395510312950943</v>
      </c>
      <c r="G9" s="914">
        <v>6.6537046719454462</v>
      </c>
      <c r="H9" s="914">
        <v>18.257584318348059</v>
      </c>
      <c r="I9" s="914">
        <v>3.6219752188489669</v>
      </c>
    </row>
    <row r="10" spans="1:9" x14ac:dyDescent="0.2">
      <c r="A10" s="915" t="s">
        <v>106</v>
      </c>
      <c r="B10" s="916"/>
      <c r="C10" s="917">
        <v>419122.64250000002</v>
      </c>
      <c r="D10" s="915"/>
      <c r="E10" s="917">
        <v>889003.82960649999</v>
      </c>
      <c r="F10" s="918">
        <v>100</v>
      </c>
      <c r="G10" s="918">
        <v>38.249551477611838</v>
      </c>
      <c r="H10" s="918">
        <v>100</v>
      </c>
      <c r="I10" s="918">
        <v>19.838195216269895</v>
      </c>
    </row>
    <row r="11" spans="1:9" x14ac:dyDescent="0.2">
      <c r="A11" s="915" t="s">
        <v>282</v>
      </c>
      <c r="B11" s="916"/>
      <c r="C11" s="1453">
        <v>49139.6</v>
      </c>
      <c r="D11" s="1453"/>
      <c r="E11" s="1467">
        <v>122746.97059999999</v>
      </c>
      <c r="F11" s="918">
        <v>100</v>
      </c>
      <c r="G11" s="918">
        <v>4.4845290356491647</v>
      </c>
      <c r="H11" s="918">
        <v>100</v>
      </c>
      <c r="I11" s="918">
        <v>2.7391089710450185</v>
      </c>
    </row>
    <row r="12" spans="1:9" x14ac:dyDescent="0.2">
      <c r="A12" s="863" t="s">
        <v>297</v>
      </c>
      <c r="B12" s="402"/>
      <c r="C12" s="10">
        <v>414736.9870330281</v>
      </c>
      <c r="D12" s="913"/>
      <c r="E12" s="10">
        <v>2851650.5130559704</v>
      </c>
      <c r="F12" s="914">
        <v>66.093956952530633</v>
      </c>
      <c r="G12" s="914">
        <v>37.849312174036122</v>
      </c>
      <c r="H12" s="914">
        <v>82.191430217529614</v>
      </c>
      <c r="I12" s="914">
        <v>63.634821001413293</v>
      </c>
    </row>
    <row r="13" spans="1:9" x14ac:dyDescent="0.2">
      <c r="A13" s="863" t="s">
        <v>298</v>
      </c>
      <c r="B13" s="402"/>
      <c r="C13" s="10">
        <v>212759.09000000003</v>
      </c>
      <c r="D13" s="913"/>
      <c r="E13" s="10">
        <v>617872.41105999995</v>
      </c>
      <c r="F13" s="914">
        <v>33.906043047469367</v>
      </c>
      <c r="G13" s="914">
        <v>19.416607312702872</v>
      </c>
      <c r="H13" s="914">
        <v>17.808569782470396</v>
      </c>
      <c r="I13" s="914">
        <v>13.787874811271811</v>
      </c>
    </row>
    <row r="14" spans="1:9" x14ac:dyDescent="0.2">
      <c r="A14" s="915" t="s">
        <v>299</v>
      </c>
      <c r="B14" s="916"/>
      <c r="C14" s="917">
        <v>627496.07703302812</v>
      </c>
      <c r="D14" s="915"/>
      <c r="E14" s="917">
        <v>3469522.9241159703</v>
      </c>
      <c r="F14" s="918">
        <v>100</v>
      </c>
      <c r="G14" s="918">
        <v>57.265919486739001</v>
      </c>
      <c r="H14" s="918">
        <v>100.00000000000001</v>
      </c>
      <c r="I14" s="918">
        <v>77.422695812685092</v>
      </c>
    </row>
    <row r="15" spans="1:9" ht="13.5" thickBot="1" x14ac:dyDescent="0.25">
      <c r="A15" s="863"/>
      <c r="B15" s="402"/>
      <c r="C15" s="10"/>
      <c r="D15" s="863"/>
      <c r="E15" s="865"/>
      <c r="F15" s="360"/>
      <c r="G15" s="402"/>
      <c r="H15" s="360"/>
      <c r="I15" s="402"/>
    </row>
    <row r="16" spans="1:9" ht="13.5" thickBot="1" x14ac:dyDescent="0.25">
      <c r="A16" s="919" t="s">
        <v>433</v>
      </c>
      <c r="B16" s="920"/>
      <c r="C16" s="921">
        <v>1095758.3195330282</v>
      </c>
      <c r="D16" s="922"/>
      <c r="E16" s="921">
        <v>4481273.7243224699</v>
      </c>
      <c r="F16" s="923"/>
      <c r="G16" s="923">
        <v>100</v>
      </c>
      <c r="H16" s="923"/>
      <c r="I16" s="923">
        <v>100</v>
      </c>
    </row>
    <row r="17" spans="1:7" x14ac:dyDescent="0.2">
      <c r="A17" s="351" t="s">
        <v>1934</v>
      </c>
    </row>
    <row r="24" spans="1:7" x14ac:dyDescent="0.2">
      <c r="F24" t="s">
        <v>301</v>
      </c>
      <c r="G24" s="397">
        <f>G8</f>
        <v>31.59584680566639</v>
      </c>
    </row>
    <row r="25" spans="1:7" x14ac:dyDescent="0.2">
      <c r="F25" t="s">
        <v>302</v>
      </c>
      <c r="G25" s="397">
        <f>G9</f>
        <v>6.6537046719454462</v>
      </c>
    </row>
    <row r="26" spans="1:7" x14ac:dyDescent="0.2">
      <c r="F26" t="s">
        <v>304</v>
      </c>
      <c r="G26" s="397">
        <f>G12</f>
        <v>37.849312174036122</v>
      </c>
    </row>
    <row r="27" spans="1:7" x14ac:dyDescent="0.2">
      <c r="F27" t="s">
        <v>305</v>
      </c>
      <c r="G27" s="397">
        <f>G13</f>
        <v>19.416607312702872</v>
      </c>
    </row>
    <row r="28" spans="1:7" x14ac:dyDescent="0.2">
      <c r="F28" t="s">
        <v>306</v>
      </c>
      <c r="G28" s="397">
        <f>G11</f>
        <v>4.4845290356491647</v>
      </c>
    </row>
    <row r="29" spans="1:7" x14ac:dyDescent="0.2">
      <c r="G29" s="397"/>
    </row>
    <row r="30" spans="1:7" x14ac:dyDescent="0.2">
      <c r="F30" t="s">
        <v>301</v>
      </c>
      <c r="G30" s="397">
        <f>I8</f>
        <v>16.216219997420929</v>
      </c>
    </row>
    <row r="31" spans="1:7" x14ac:dyDescent="0.2">
      <c r="F31" t="s">
        <v>302</v>
      </c>
      <c r="G31" s="397">
        <f>I9</f>
        <v>3.6219752188489669</v>
      </c>
    </row>
    <row r="32" spans="1:7" x14ac:dyDescent="0.2">
      <c r="F32" t="s">
        <v>304</v>
      </c>
      <c r="G32" s="397">
        <f>I12</f>
        <v>63.634821001413293</v>
      </c>
    </row>
    <row r="33" spans="6:7" x14ac:dyDescent="0.2">
      <c r="F33" t="s">
        <v>305</v>
      </c>
      <c r="G33" s="397">
        <f>I13</f>
        <v>13.787874811271811</v>
      </c>
    </row>
    <row r="34" spans="6:7" x14ac:dyDescent="0.2">
      <c r="F34" t="s">
        <v>306</v>
      </c>
      <c r="G34" s="397">
        <f>I11</f>
        <v>2.7391089710450185</v>
      </c>
    </row>
  </sheetData>
  <mergeCells count="8">
    <mergeCell ref="F5:G5"/>
    <mergeCell ref="H5:I5"/>
    <mergeCell ref="D6:E6"/>
    <mergeCell ref="A1:I1"/>
    <mergeCell ref="A2:I2"/>
    <mergeCell ref="A4:B4"/>
    <mergeCell ref="D4:E4"/>
    <mergeCell ref="F4:I4"/>
  </mergeCells>
  <phoneticPr fontId="13" type="noConversion"/>
  <pageMargins left="0.78740157480314965" right="0.78740157480314965" top="1.1811023622047245" bottom="0.59055118110236227" header="0.59055118110236227" footer="0"/>
  <pageSetup scale="9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sqref="A1:E1"/>
    </sheetView>
  </sheetViews>
  <sheetFormatPr baseColWidth="10" defaultColWidth="11.42578125" defaultRowHeight="12.75" x14ac:dyDescent="0.2"/>
  <cols>
    <col min="1" max="1" width="25.140625" customWidth="1"/>
    <col min="2" max="3" width="15.85546875" customWidth="1"/>
    <col min="4" max="4" width="15" customWidth="1"/>
    <col min="5" max="5" width="17.140625" customWidth="1"/>
  </cols>
  <sheetData>
    <row r="1" spans="1:5" ht="18" x14ac:dyDescent="0.25">
      <c r="A1" s="2869" t="s">
        <v>1298</v>
      </c>
      <c r="B1" s="2869"/>
      <c r="C1" s="2869"/>
      <c r="D1" s="2869"/>
      <c r="E1" s="2869"/>
    </row>
    <row r="2" spans="1:5" ht="18" x14ac:dyDescent="0.25">
      <c r="A2" s="2869" t="s">
        <v>2007</v>
      </c>
      <c r="B2" s="2869"/>
      <c r="C2" s="2869"/>
      <c r="D2" s="2869"/>
      <c r="E2" s="2869"/>
    </row>
    <row r="3" spans="1:5" ht="13.5" thickBot="1" x14ac:dyDescent="0.25">
      <c r="E3" s="1882" t="s">
        <v>2012</v>
      </c>
    </row>
    <row r="4" spans="1:5" ht="13.5" thickTop="1" x14ac:dyDescent="0.2">
      <c r="A4" s="847" t="s">
        <v>312</v>
      </c>
      <c r="B4" s="848"/>
      <c r="C4" s="848" t="s">
        <v>272</v>
      </c>
      <c r="D4" s="848" t="s">
        <v>273</v>
      </c>
      <c r="E4" s="881" t="s">
        <v>274</v>
      </c>
    </row>
    <row r="5" spans="1:5" ht="13.5" thickBot="1" x14ac:dyDescent="0.25">
      <c r="A5" s="855" t="s">
        <v>313</v>
      </c>
      <c r="B5" s="882" t="s">
        <v>443</v>
      </c>
      <c r="C5" s="882" t="s">
        <v>1125</v>
      </c>
      <c r="D5" s="882" t="s">
        <v>316</v>
      </c>
      <c r="E5" s="883" t="s">
        <v>316</v>
      </c>
    </row>
    <row r="6" spans="1:5" x14ac:dyDescent="0.2">
      <c r="A6" s="924"/>
      <c r="B6" s="925"/>
      <c r="C6" s="925"/>
      <c r="D6" s="925"/>
      <c r="E6" s="926"/>
    </row>
    <row r="7" spans="1:5" x14ac:dyDescent="0.2">
      <c r="A7" s="1468" t="s">
        <v>111</v>
      </c>
      <c r="B7" s="363"/>
      <c r="C7" s="363"/>
      <c r="D7" s="363"/>
      <c r="E7" s="1469"/>
    </row>
    <row r="8" spans="1:5" x14ac:dyDescent="0.2">
      <c r="A8" s="885" t="s">
        <v>240</v>
      </c>
      <c r="B8" s="886">
        <v>32674.68</v>
      </c>
      <c r="C8" s="426">
        <v>8033612.4975057133</v>
      </c>
      <c r="D8" s="886">
        <v>262495.71759999997</v>
      </c>
      <c r="E8" s="1469"/>
    </row>
    <row r="9" spans="1:5" x14ac:dyDescent="0.2">
      <c r="A9" s="885" t="s">
        <v>250</v>
      </c>
      <c r="B9" s="886">
        <v>135159.86499999999</v>
      </c>
      <c r="C9" s="426">
        <v>2214764.1578067578</v>
      </c>
      <c r="D9" s="886">
        <v>299347.22457600007</v>
      </c>
      <c r="E9" s="1469"/>
    </row>
    <row r="10" spans="1:5" x14ac:dyDescent="0.2">
      <c r="A10" s="890" t="s">
        <v>309</v>
      </c>
      <c r="B10" s="891">
        <v>167834.54499999998</v>
      </c>
      <c r="C10" s="437"/>
      <c r="D10" s="891"/>
      <c r="E10" s="1470">
        <v>561842.94217599998</v>
      </c>
    </row>
    <row r="11" spans="1:5" x14ac:dyDescent="0.2">
      <c r="A11" s="885"/>
      <c r="B11" s="886"/>
      <c r="C11" s="426"/>
      <c r="D11" s="886"/>
      <c r="E11" s="1469"/>
    </row>
    <row r="12" spans="1:5" x14ac:dyDescent="0.2">
      <c r="A12" s="1468" t="s">
        <v>1300</v>
      </c>
      <c r="B12" s="886"/>
      <c r="C12" s="426"/>
      <c r="D12" s="886"/>
      <c r="E12" s="927"/>
    </row>
    <row r="13" spans="1:5" x14ac:dyDescent="0.2">
      <c r="A13" s="885" t="s">
        <v>240</v>
      </c>
      <c r="B13" s="886">
        <v>5289.8000000000011</v>
      </c>
      <c r="C13" s="426">
        <v>10407427.50198495</v>
      </c>
      <c r="D13" s="886">
        <v>55053.21</v>
      </c>
      <c r="E13" s="927"/>
    </row>
    <row r="14" spans="1:5" x14ac:dyDescent="0.2">
      <c r="A14" s="890" t="s">
        <v>315</v>
      </c>
      <c r="B14" s="891">
        <v>5289.8000000000011</v>
      </c>
      <c r="C14" s="437"/>
      <c r="D14" s="891"/>
      <c r="E14" s="1470">
        <v>55053.21</v>
      </c>
    </row>
    <row r="15" spans="1:5" x14ac:dyDescent="0.2">
      <c r="A15" s="885"/>
      <c r="B15" s="886"/>
      <c r="C15" s="426"/>
      <c r="D15" s="886"/>
      <c r="E15" s="927"/>
    </row>
    <row r="16" spans="1:5" x14ac:dyDescent="0.2">
      <c r="A16" s="1468" t="s">
        <v>307</v>
      </c>
      <c r="B16" s="886"/>
      <c r="C16" s="426"/>
      <c r="D16" s="886"/>
      <c r="E16" s="927"/>
    </row>
    <row r="17" spans="1:9" x14ac:dyDescent="0.2">
      <c r="A17" s="885" t="s">
        <v>241</v>
      </c>
      <c r="B17" s="886">
        <v>10668.647550000002</v>
      </c>
      <c r="C17" s="426">
        <v>10553660</v>
      </c>
      <c r="D17" s="886">
        <v>112593.27890253301</v>
      </c>
      <c r="E17" s="927"/>
    </row>
    <row r="18" spans="1:9" x14ac:dyDescent="0.2">
      <c r="A18" s="885" t="s">
        <v>249</v>
      </c>
      <c r="B18" s="886">
        <v>38372.4375</v>
      </c>
      <c r="C18" s="426">
        <v>6960000</v>
      </c>
      <c r="D18" s="886">
        <v>267072.16499999998</v>
      </c>
      <c r="E18" s="927"/>
    </row>
    <row r="19" spans="1:9" x14ac:dyDescent="0.2">
      <c r="A19" s="890" t="s">
        <v>310</v>
      </c>
      <c r="B19" s="891">
        <v>49041.085050000002</v>
      </c>
      <c r="C19" s="437"/>
      <c r="D19" s="891"/>
      <c r="E19" s="1470">
        <v>379665.44390253298</v>
      </c>
    </row>
    <row r="20" spans="1:9" x14ac:dyDescent="0.2">
      <c r="A20" s="885"/>
      <c r="B20" s="886"/>
      <c r="C20" s="426"/>
      <c r="D20" s="886"/>
      <c r="E20" s="927"/>
    </row>
    <row r="21" spans="1:9" x14ac:dyDescent="0.2">
      <c r="A21" s="1468" t="s">
        <v>308</v>
      </c>
      <c r="B21" s="886"/>
      <c r="C21" s="426"/>
      <c r="D21" s="886"/>
      <c r="E21" s="927"/>
    </row>
    <row r="22" spans="1:9" x14ac:dyDescent="0.2">
      <c r="A22" s="885" t="s">
        <v>242</v>
      </c>
      <c r="B22" s="886">
        <v>377.53</v>
      </c>
      <c r="C22" s="426">
        <v>39652080.629353955</v>
      </c>
      <c r="D22" s="886">
        <v>14969.849999999999</v>
      </c>
      <c r="E22" s="927"/>
    </row>
    <row r="23" spans="1:9" x14ac:dyDescent="0.2">
      <c r="A23" s="890" t="s">
        <v>311</v>
      </c>
      <c r="B23" s="891">
        <v>377.53</v>
      </c>
      <c r="C23" s="437"/>
      <c r="D23" s="891"/>
      <c r="E23" s="1470">
        <v>14969.849999999999</v>
      </c>
    </row>
    <row r="24" spans="1:9" ht="13.5" thickBot="1" x14ac:dyDescent="0.25">
      <c r="A24" s="862"/>
      <c r="B24" s="867"/>
      <c r="C24" s="866"/>
      <c r="D24" s="866"/>
      <c r="E24" s="868"/>
    </row>
    <row r="25" spans="1:9" ht="13.5" thickBot="1" x14ac:dyDescent="0.25">
      <c r="A25" s="443" t="s">
        <v>129</v>
      </c>
      <c r="B25" s="906">
        <v>222542.96004999997</v>
      </c>
      <c r="C25" s="907"/>
      <c r="D25" s="907"/>
      <c r="E25" s="908">
        <v>1011531.446078533</v>
      </c>
    </row>
    <row r="26" spans="1:9" ht="13.5" thickTop="1" x14ac:dyDescent="0.2">
      <c r="A26" s="351" t="s">
        <v>1934</v>
      </c>
    </row>
    <row r="27" spans="1:9" x14ac:dyDescent="0.2">
      <c r="A27" s="351" t="s">
        <v>317</v>
      </c>
    </row>
    <row r="28" spans="1:9" x14ac:dyDescent="0.2">
      <c r="A28" s="351" t="s">
        <v>6</v>
      </c>
      <c r="D28" s="176"/>
      <c r="E28" s="397"/>
      <c r="I28" s="2016"/>
    </row>
    <row r="29" spans="1:9" x14ac:dyDescent="0.2">
      <c r="A29" s="351" t="s">
        <v>2032</v>
      </c>
      <c r="B29" s="2006"/>
      <c r="I29" s="2016"/>
    </row>
    <row r="32" spans="1:9" x14ac:dyDescent="0.2">
      <c r="C32" t="s">
        <v>272</v>
      </c>
    </row>
    <row r="33" spans="2:7" x14ac:dyDescent="0.2">
      <c r="B33" t="s">
        <v>111</v>
      </c>
      <c r="C33" s="10">
        <f>E10</f>
        <v>561842.94217599998</v>
      </c>
    </row>
    <row r="34" spans="2:7" x14ac:dyDescent="0.2">
      <c r="B34" t="s">
        <v>1300</v>
      </c>
      <c r="C34" s="10">
        <f>E14</f>
        <v>55053.21</v>
      </c>
      <c r="G34" s="348"/>
    </row>
    <row r="35" spans="2:7" x14ac:dyDescent="0.2">
      <c r="B35" t="s">
        <v>307</v>
      </c>
      <c r="C35" s="10">
        <f>E19</f>
        <v>379665.44390253298</v>
      </c>
    </row>
    <row r="36" spans="2:7" x14ac:dyDescent="0.2">
      <c r="B36" t="s">
        <v>314</v>
      </c>
      <c r="C36" s="10">
        <f>E23</f>
        <v>14969.849999999999</v>
      </c>
    </row>
    <row r="40" spans="2:7" x14ac:dyDescent="0.2">
      <c r="C40" t="s">
        <v>271</v>
      </c>
    </row>
    <row r="41" spans="2:7" x14ac:dyDescent="0.2">
      <c r="B41" t="s">
        <v>111</v>
      </c>
      <c r="C41" s="10">
        <f>B10</f>
        <v>167834.54499999998</v>
      </c>
    </row>
    <row r="42" spans="2:7" x14ac:dyDescent="0.2">
      <c r="B42" t="s">
        <v>1300</v>
      </c>
      <c r="C42" s="10">
        <f>B14</f>
        <v>5289.8000000000011</v>
      </c>
    </row>
    <row r="43" spans="2:7" x14ac:dyDescent="0.2">
      <c r="B43" t="s">
        <v>307</v>
      </c>
      <c r="C43" s="10">
        <f>B19</f>
        <v>49041.085050000002</v>
      </c>
    </row>
    <row r="44" spans="2:7" x14ac:dyDescent="0.2">
      <c r="B44" t="s">
        <v>314</v>
      </c>
      <c r="C44" s="10">
        <f>B23</f>
        <v>377.53</v>
      </c>
    </row>
  </sheetData>
  <mergeCells count="2">
    <mergeCell ref="A1:E1"/>
    <mergeCell ref="A2:E2"/>
  </mergeCells>
  <phoneticPr fontId="13" type="noConversion"/>
  <pageMargins left="0.78740157480314965" right="0.78740157480314965" top="1.1811023622047245" bottom="0.59055118110236227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Agricualtura y Minería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9"/>
  <sheetViews>
    <sheetView workbookViewId="0"/>
  </sheetViews>
  <sheetFormatPr baseColWidth="10" defaultColWidth="11.42578125" defaultRowHeight="12.75" x14ac:dyDescent="0.2"/>
  <cols>
    <col min="1" max="1" width="33" customWidth="1"/>
    <col min="2" max="2" width="17.7109375" customWidth="1"/>
    <col min="3" max="3" width="20" customWidth="1"/>
    <col min="4" max="4" width="18" customWidth="1"/>
    <col min="8" max="8" width="13.28515625" customWidth="1"/>
  </cols>
  <sheetData>
    <row r="2" spans="1:4" ht="18" x14ac:dyDescent="0.25">
      <c r="A2" s="2869" t="s">
        <v>1299</v>
      </c>
      <c r="B2" s="2869"/>
      <c r="C2" s="2869"/>
      <c r="D2" s="2869"/>
    </row>
    <row r="3" spans="1:4" ht="18" x14ac:dyDescent="0.25">
      <c r="A3" s="2869" t="s">
        <v>2007</v>
      </c>
      <c r="B3" s="2869"/>
      <c r="C3" s="2869"/>
      <c r="D3" s="2869"/>
    </row>
    <row r="4" spans="1:4" ht="13.5" thickBot="1" x14ac:dyDescent="0.25">
      <c r="D4" s="1882" t="s">
        <v>2013</v>
      </c>
    </row>
    <row r="5" spans="1:4" ht="13.5" thickTop="1" x14ac:dyDescent="0.2">
      <c r="A5" s="847"/>
      <c r="B5" s="848" t="s">
        <v>1200</v>
      </c>
      <c r="C5" s="848" t="s">
        <v>320</v>
      </c>
      <c r="D5" s="881" t="s">
        <v>438</v>
      </c>
    </row>
    <row r="6" spans="1:4" ht="13.5" thickBot="1" x14ac:dyDescent="0.25">
      <c r="A6" s="855" t="s">
        <v>319</v>
      </c>
      <c r="B6" s="1931" t="s">
        <v>346</v>
      </c>
      <c r="C6" s="882" t="s">
        <v>1482</v>
      </c>
      <c r="D6" s="883" t="s">
        <v>318</v>
      </c>
    </row>
    <row r="7" spans="1:4" x14ac:dyDescent="0.2">
      <c r="A7" s="862"/>
      <c r="B7" s="360"/>
      <c r="C7" s="360"/>
      <c r="D7" s="864"/>
    </row>
    <row r="8" spans="1:4" x14ac:dyDescent="0.2">
      <c r="A8" s="2020" t="s">
        <v>1137</v>
      </c>
      <c r="B8" s="1859">
        <v>68269.3</v>
      </c>
      <c r="C8" s="426">
        <v>13200000</v>
      </c>
      <c r="D8" s="927">
        <v>901154.76</v>
      </c>
    </row>
    <row r="9" spans="1:4" x14ac:dyDescent="0.2">
      <c r="A9" s="885" t="s">
        <v>1349</v>
      </c>
      <c r="B9" s="1859">
        <v>3125.442</v>
      </c>
      <c r="C9" s="426">
        <v>10000000</v>
      </c>
      <c r="D9" s="927">
        <v>31254.42</v>
      </c>
    </row>
    <row r="10" spans="1:4" x14ac:dyDescent="0.2">
      <c r="A10" s="885" t="s">
        <v>1350</v>
      </c>
      <c r="B10" s="1859">
        <v>540.12</v>
      </c>
      <c r="C10" s="426">
        <v>10000000</v>
      </c>
      <c r="D10" s="927">
        <v>5401.2</v>
      </c>
    </row>
    <row r="11" spans="1:4" x14ac:dyDescent="0.2">
      <c r="A11" s="885" t="s">
        <v>1351</v>
      </c>
      <c r="B11" s="1859">
        <v>1146.925</v>
      </c>
      <c r="C11" s="426">
        <v>18500000</v>
      </c>
      <c r="D11" s="927">
        <v>21218.112499999999</v>
      </c>
    </row>
    <row r="12" spans="1:4" x14ac:dyDescent="0.2">
      <c r="A12" s="2020" t="s">
        <v>1781</v>
      </c>
      <c r="B12" s="1859">
        <v>405.8109</v>
      </c>
      <c r="C12" s="426">
        <v>14200000</v>
      </c>
      <c r="D12" s="927">
        <v>5762.5147800000004</v>
      </c>
    </row>
    <row r="13" spans="1:4" x14ac:dyDescent="0.2">
      <c r="A13" s="2020" t="s">
        <v>1778</v>
      </c>
      <c r="B13" s="1859">
        <v>496.28500000000003</v>
      </c>
      <c r="C13" s="426">
        <v>10000000</v>
      </c>
      <c r="D13" s="927">
        <v>4962.8500000000004</v>
      </c>
    </row>
    <row r="14" spans="1:4" ht="13.5" thickBot="1" x14ac:dyDescent="0.25">
      <c r="A14" s="862"/>
      <c r="B14" s="10"/>
      <c r="C14" s="928"/>
      <c r="D14" s="868"/>
    </row>
    <row r="15" spans="1:4" x14ac:dyDescent="0.2">
      <c r="A15" s="929"/>
      <c r="B15" s="1441"/>
      <c r="C15" s="872"/>
      <c r="D15" s="930"/>
    </row>
    <row r="16" spans="1:4" ht="13.5" thickBot="1" x14ac:dyDescent="0.25">
      <c r="A16" s="931" t="s">
        <v>433</v>
      </c>
      <c r="B16" s="1442">
        <v>73983.882899999997</v>
      </c>
      <c r="C16" s="932"/>
      <c r="D16" s="933">
        <v>969753.85728</v>
      </c>
    </row>
    <row r="17" spans="1:3" ht="13.5" thickTop="1" x14ac:dyDescent="0.2">
      <c r="A17" s="351" t="s">
        <v>1934</v>
      </c>
    </row>
    <row r="18" spans="1:3" x14ac:dyDescent="0.2">
      <c r="A18" s="351" t="s">
        <v>321</v>
      </c>
      <c r="B18" s="351"/>
    </row>
    <row r="24" spans="1:3" x14ac:dyDescent="0.2">
      <c r="B24" s="2020" t="s">
        <v>1137</v>
      </c>
      <c r="C24" s="10">
        <f t="shared" ref="C24:C29" si="0">D8</f>
        <v>901154.76</v>
      </c>
    </row>
    <row r="25" spans="1:3" x14ac:dyDescent="0.2">
      <c r="B25" s="885" t="s">
        <v>1349</v>
      </c>
      <c r="C25" s="10">
        <f t="shared" si="0"/>
        <v>31254.42</v>
      </c>
    </row>
    <row r="26" spans="1:3" x14ac:dyDescent="0.2">
      <c r="B26" s="885" t="s">
        <v>1350</v>
      </c>
      <c r="C26" s="10">
        <f t="shared" si="0"/>
        <v>5401.2</v>
      </c>
    </row>
    <row r="27" spans="1:3" x14ac:dyDescent="0.2">
      <c r="B27" s="885" t="s">
        <v>1351</v>
      </c>
      <c r="C27" s="10">
        <f t="shared" si="0"/>
        <v>21218.112499999999</v>
      </c>
    </row>
    <row r="28" spans="1:3" x14ac:dyDescent="0.2">
      <c r="B28" s="885" t="s">
        <v>1781</v>
      </c>
      <c r="C28" s="10">
        <f t="shared" si="0"/>
        <v>5762.5147800000004</v>
      </c>
    </row>
    <row r="29" spans="1:3" x14ac:dyDescent="0.2">
      <c r="B29" s="885" t="s">
        <v>1778</v>
      </c>
      <c r="C29" s="10">
        <f t="shared" si="0"/>
        <v>4962.8500000000004</v>
      </c>
    </row>
  </sheetData>
  <mergeCells count="2">
    <mergeCell ref="A2:D2"/>
    <mergeCell ref="A3:D3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sqref="A1:K1"/>
    </sheetView>
  </sheetViews>
  <sheetFormatPr baseColWidth="10" defaultColWidth="11.42578125" defaultRowHeight="12.75" x14ac:dyDescent="0.2"/>
  <cols>
    <col min="1" max="1" width="14.42578125" customWidth="1"/>
    <col min="2" max="2" width="22.42578125" customWidth="1"/>
    <col min="3" max="3" width="12.85546875" customWidth="1"/>
    <col min="4" max="4" width="2.42578125" customWidth="1"/>
    <col min="5" max="5" width="12.5703125" customWidth="1"/>
    <col min="6" max="6" width="10.7109375" customWidth="1"/>
    <col min="7" max="8" width="11.5703125" bestFit="1" customWidth="1"/>
    <col min="9" max="9" width="10.42578125" customWidth="1"/>
    <col min="10" max="11" width="11.5703125" bestFit="1" customWidth="1"/>
  </cols>
  <sheetData>
    <row r="1" spans="1:11" ht="18" x14ac:dyDescent="0.25">
      <c r="A1" s="2869" t="s">
        <v>245</v>
      </c>
      <c r="B1" s="2869"/>
      <c r="C1" s="2869"/>
      <c r="D1" s="2869"/>
      <c r="E1" s="2869"/>
      <c r="F1" s="2869"/>
      <c r="G1" s="2869"/>
      <c r="H1" s="2869"/>
      <c r="I1" s="2869"/>
      <c r="J1" s="2869"/>
      <c r="K1" s="2869"/>
    </row>
    <row r="2" spans="1:11" ht="18" x14ac:dyDescent="0.25">
      <c r="A2" s="2869" t="s">
        <v>2007</v>
      </c>
      <c r="B2" s="2869"/>
      <c r="C2" s="2869"/>
      <c r="D2" s="2869"/>
      <c r="E2" s="2869"/>
      <c r="F2" s="2869"/>
      <c r="G2" s="2869"/>
      <c r="H2" s="2869"/>
      <c r="I2" s="2869"/>
      <c r="J2" s="2869"/>
      <c r="K2" s="2869"/>
    </row>
    <row r="3" spans="1:11" ht="18.75" thickBot="1" x14ac:dyDescent="0.3">
      <c r="A3" s="909"/>
      <c r="B3" s="909"/>
      <c r="C3" s="909"/>
      <c r="D3" s="909"/>
      <c r="E3" s="909"/>
      <c r="F3" s="909"/>
      <c r="G3" s="909"/>
      <c r="H3" s="909"/>
      <c r="K3" s="1882" t="s">
        <v>2011</v>
      </c>
    </row>
    <row r="4" spans="1:11" ht="13.5" thickBot="1" x14ac:dyDescent="0.25">
      <c r="A4" s="3303"/>
      <c r="B4" s="3135"/>
      <c r="C4" s="910" t="s">
        <v>271</v>
      </c>
      <c r="D4" s="3303" t="s">
        <v>290</v>
      </c>
      <c r="E4" s="3135"/>
      <c r="F4" s="3305" t="s">
        <v>1126</v>
      </c>
      <c r="G4" s="3306"/>
      <c r="H4" s="3306"/>
      <c r="I4" s="3306"/>
      <c r="J4" s="3306"/>
      <c r="K4" s="3307"/>
    </row>
    <row r="5" spans="1:11" ht="13.5" thickBot="1" x14ac:dyDescent="0.25">
      <c r="A5" s="2870" t="s">
        <v>190</v>
      </c>
      <c r="B5" s="2871"/>
      <c r="C5" s="450"/>
      <c r="D5" s="350"/>
      <c r="E5" s="381"/>
      <c r="F5" s="3303" t="s">
        <v>294</v>
      </c>
      <c r="G5" s="3134"/>
      <c r="H5" s="3135"/>
      <c r="I5" s="3303" t="s">
        <v>293</v>
      </c>
      <c r="J5" s="3134"/>
      <c r="K5" s="3135"/>
    </row>
    <row r="6" spans="1:11" ht="13.5" thickBot="1" x14ac:dyDescent="0.25">
      <c r="A6" s="465"/>
      <c r="B6" s="406"/>
      <c r="C6" s="386" t="s">
        <v>346</v>
      </c>
      <c r="D6" s="3304" t="s">
        <v>292</v>
      </c>
      <c r="E6" s="3048"/>
      <c r="F6" s="911" t="s">
        <v>300</v>
      </c>
      <c r="G6" s="912" t="s">
        <v>246</v>
      </c>
      <c r="H6" s="912" t="s">
        <v>8</v>
      </c>
      <c r="I6" s="911" t="s">
        <v>300</v>
      </c>
      <c r="J6" s="912" t="s">
        <v>246</v>
      </c>
      <c r="K6" s="912" t="s">
        <v>8</v>
      </c>
    </row>
    <row r="7" spans="1:11" x14ac:dyDescent="0.2">
      <c r="A7" s="3311" t="s">
        <v>248</v>
      </c>
      <c r="B7" s="3312"/>
      <c r="C7" s="12"/>
      <c r="D7" s="398"/>
      <c r="E7" s="399"/>
      <c r="F7" s="400"/>
      <c r="G7" s="399"/>
      <c r="H7" s="399"/>
      <c r="I7" s="400"/>
      <c r="J7" s="399"/>
      <c r="K7" s="399"/>
    </row>
    <row r="8" spans="1:11" x14ac:dyDescent="0.2">
      <c r="A8" s="1461" t="s">
        <v>295</v>
      </c>
      <c r="B8" s="403"/>
      <c r="C8" s="1458">
        <v>346214.12</v>
      </c>
      <c r="D8" s="1471"/>
      <c r="E8" s="1458">
        <v>726693.20582274999</v>
      </c>
      <c r="F8" s="1472">
        <v>82.604489687049053</v>
      </c>
      <c r="G8" s="365">
        <v>31.59584680566639</v>
      </c>
      <c r="H8" s="365">
        <v>24.866609896391846</v>
      </c>
      <c r="I8" s="1472">
        <v>81.742415681651948</v>
      </c>
      <c r="J8" s="365">
        <v>16.216219997420929</v>
      </c>
      <c r="K8" s="365">
        <v>11.244666434923278</v>
      </c>
    </row>
    <row r="9" spans="1:11" x14ac:dyDescent="0.2">
      <c r="A9" s="1461" t="s">
        <v>296</v>
      </c>
      <c r="B9" s="403"/>
      <c r="C9" s="1458">
        <v>72908.522500000006</v>
      </c>
      <c r="D9" s="1471"/>
      <c r="E9" s="1458">
        <v>162310.62378375002</v>
      </c>
      <c r="F9" s="1472">
        <v>17.395510312950943</v>
      </c>
      <c r="G9" s="1472">
        <v>6.6537046719454453</v>
      </c>
      <c r="H9" s="365">
        <v>5.2366084523930105</v>
      </c>
      <c r="I9" s="1472">
        <v>18.257584318348059</v>
      </c>
      <c r="J9" s="1472">
        <v>3.6219752188489669</v>
      </c>
      <c r="K9" s="365">
        <v>2.5115534432803912</v>
      </c>
    </row>
    <row r="10" spans="1:11" x14ac:dyDescent="0.2">
      <c r="A10" s="915" t="s">
        <v>106</v>
      </c>
      <c r="B10" s="916"/>
      <c r="C10" s="917">
        <v>419122.64250000002</v>
      </c>
      <c r="D10" s="1453"/>
      <c r="E10" s="917">
        <v>889003.82960649999</v>
      </c>
      <c r="F10" s="918">
        <v>100</v>
      </c>
      <c r="G10" s="918">
        <v>38.249551477611838</v>
      </c>
      <c r="H10" s="918">
        <v>30.103218348784861</v>
      </c>
      <c r="I10" s="918">
        <v>100</v>
      </c>
      <c r="J10" s="918">
        <v>19.838195216269895</v>
      </c>
      <c r="K10" s="1479">
        <v>13.756219878203671</v>
      </c>
    </row>
    <row r="11" spans="1:11" x14ac:dyDescent="0.2">
      <c r="A11" s="915" t="s">
        <v>282</v>
      </c>
      <c r="B11" s="916"/>
      <c r="C11" s="1453">
        <v>49139.6</v>
      </c>
      <c r="D11" s="1453"/>
      <c r="E11" s="1467">
        <v>122746.97059999999</v>
      </c>
      <c r="F11" s="918">
        <v>100</v>
      </c>
      <c r="G11" s="918">
        <v>4.4845290356491647</v>
      </c>
      <c r="H11" s="918">
        <v>3.5294206477330761</v>
      </c>
      <c r="I11" s="918">
        <v>100</v>
      </c>
      <c r="J11" s="918">
        <v>2.7391089710450185</v>
      </c>
      <c r="K11" s="1479">
        <v>1.8993555041314023</v>
      </c>
    </row>
    <row r="12" spans="1:11" x14ac:dyDescent="0.2">
      <c r="A12" s="1461" t="s">
        <v>297</v>
      </c>
      <c r="B12" s="403"/>
      <c r="C12" s="1458">
        <v>414736.9870330281</v>
      </c>
      <c r="D12" s="1471"/>
      <c r="E12" s="1458">
        <v>2851650.5130559704</v>
      </c>
      <c r="F12" s="1472">
        <v>66.093956952530633</v>
      </c>
      <c r="G12" s="1472">
        <v>37.849312174036129</v>
      </c>
      <c r="H12" s="1472">
        <v>29.788221422497831</v>
      </c>
      <c r="I12" s="1472">
        <v>82.191430217529614</v>
      </c>
      <c r="J12" s="1472">
        <v>63.634821001413286</v>
      </c>
      <c r="K12" s="365">
        <v>44.125717085778703</v>
      </c>
    </row>
    <row r="13" spans="1:11" x14ac:dyDescent="0.2">
      <c r="A13" s="1461" t="s">
        <v>298</v>
      </c>
      <c r="B13" s="403"/>
      <c r="C13" s="1458">
        <v>212759.09000000003</v>
      </c>
      <c r="D13" s="1471"/>
      <c r="E13" s="1458">
        <v>617872.41105999995</v>
      </c>
      <c r="F13" s="1472">
        <v>33.906043047469367</v>
      </c>
      <c r="G13" s="1472">
        <v>19.416607312702869</v>
      </c>
      <c r="H13" s="1472">
        <v>15.281286889573783</v>
      </c>
      <c r="I13" s="1472">
        <v>17.808569782470396</v>
      </c>
      <c r="J13" s="1472">
        <v>13.787874811271811</v>
      </c>
      <c r="K13" s="365">
        <v>9.5608010451196552</v>
      </c>
    </row>
    <row r="14" spans="1:11" x14ac:dyDescent="0.2">
      <c r="A14" s="915" t="s">
        <v>299</v>
      </c>
      <c r="B14" s="916"/>
      <c r="C14" s="917">
        <v>627496.07703302812</v>
      </c>
      <c r="D14" s="1453"/>
      <c r="E14" s="917">
        <v>3469522.9241159703</v>
      </c>
      <c r="F14" s="918">
        <v>100</v>
      </c>
      <c r="G14" s="918">
        <v>57.265919486738994</v>
      </c>
      <c r="H14" s="918">
        <v>45.069508312071612</v>
      </c>
      <c r="I14" s="918">
        <v>100.00000000000001</v>
      </c>
      <c r="J14" s="918">
        <v>77.422695812685092</v>
      </c>
      <c r="K14" s="1479">
        <v>53.686518130898349</v>
      </c>
    </row>
    <row r="15" spans="1:11" ht="13.5" thickBot="1" x14ac:dyDescent="0.25">
      <c r="A15" s="863"/>
      <c r="B15" s="402"/>
      <c r="C15" s="10"/>
      <c r="D15" s="913"/>
      <c r="E15" s="865"/>
      <c r="F15" s="360"/>
      <c r="G15" s="402"/>
      <c r="H15" s="402"/>
      <c r="I15" s="360"/>
      <c r="J15" s="402"/>
      <c r="K15" s="1978"/>
    </row>
    <row r="16" spans="1:11" ht="20.100000000000001" customHeight="1" thickBot="1" x14ac:dyDescent="0.25">
      <c r="A16" s="2121" t="s">
        <v>247</v>
      </c>
      <c r="B16" s="2122"/>
      <c r="C16" s="2123">
        <v>1095758.3195330282</v>
      </c>
      <c r="D16" s="2124"/>
      <c r="E16" s="2123">
        <v>4481273.7243224699</v>
      </c>
      <c r="F16" s="2125"/>
      <c r="G16" s="2125">
        <v>100</v>
      </c>
      <c r="H16" s="2125">
        <v>78.702147308589559</v>
      </c>
      <c r="I16" s="2125"/>
      <c r="J16" s="2125">
        <v>100</v>
      </c>
      <c r="K16" s="2125">
        <v>69.342093513233422</v>
      </c>
    </row>
    <row r="17" spans="1:11" x14ac:dyDescent="0.2">
      <c r="A17" s="3311" t="s">
        <v>110</v>
      </c>
      <c r="B17" s="3313"/>
      <c r="C17" s="1721"/>
      <c r="D17" s="1712"/>
      <c r="E17" s="1712"/>
      <c r="F17" s="400"/>
      <c r="G17" s="400"/>
      <c r="H17" s="400"/>
      <c r="I17" s="400"/>
      <c r="J17" s="400"/>
      <c r="K17" s="399"/>
    </row>
    <row r="18" spans="1:11" x14ac:dyDescent="0.2">
      <c r="A18" s="1461" t="s">
        <v>251</v>
      </c>
      <c r="B18" s="1473"/>
      <c r="C18" s="886">
        <v>32674.68</v>
      </c>
      <c r="D18" s="1458"/>
      <c r="E18" s="1457">
        <v>262495.71759999997</v>
      </c>
      <c r="F18" s="1472">
        <v>19.468387750567086</v>
      </c>
      <c r="G18" s="1472">
        <v>14.682414574093377</v>
      </c>
      <c r="H18" s="1472">
        <v>2.346838196690062</v>
      </c>
      <c r="I18" s="1472">
        <v>46.72047967415277</v>
      </c>
      <c r="J18" s="1472">
        <v>25.950326963895538</v>
      </c>
      <c r="K18" s="365">
        <v>4.0617921859692911</v>
      </c>
    </row>
    <row r="19" spans="1:11" x14ac:dyDescent="0.2">
      <c r="A19" s="1461" t="s">
        <v>252</v>
      </c>
      <c r="B19" s="1473"/>
      <c r="C19" s="886">
        <v>135159.86499999999</v>
      </c>
      <c r="D19" s="1458"/>
      <c r="E19" s="1457">
        <v>299347.22457600007</v>
      </c>
      <c r="F19" s="1472">
        <v>80.531612249432911</v>
      </c>
      <c r="G19" s="1472">
        <v>60.734280234986038</v>
      </c>
      <c r="H19" s="1472">
        <v>9.7077717009461821</v>
      </c>
      <c r="I19" s="1472">
        <v>53.279520325847244</v>
      </c>
      <c r="J19" s="1472">
        <v>29.593466988742477</v>
      </c>
      <c r="K19" s="365">
        <v>4.6320230622855378</v>
      </c>
    </row>
    <row r="20" spans="1:11" x14ac:dyDescent="0.2">
      <c r="A20" s="915" t="s">
        <v>253</v>
      </c>
      <c r="B20" s="1474"/>
      <c r="C20" s="891">
        <v>167834.54499999998</v>
      </c>
      <c r="D20" s="917"/>
      <c r="E20" s="917">
        <v>561842.94217599998</v>
      </c>
      <c r="F20" s="918">
        <v>100</v>
      </c>
      <c r="G20" s="918">
        <v>75.416694809079416</v>
      </c>
      <c r="H20" s="918">
        <v>12.054609897636245</v>
      </c>
      <c r="I20" s="918">
        <v>100.00000000000001</v>
      </c>
      <c r="J20" s="918">
        <v>55.543793952638012</v>
      </c>
      <c r="K20" s="1479">
        <v>8.6938152482548272</v>
      </c>
    </row>
    <row r="21" spans="1:11" x14ac:dyDescent="0.2">
      <c r="A21" s="915" t="s">
        <v>254</v>
      </c>
      <c r="B21" s="1474"/>
      <c r="C21" s="891">
        <v>5289.8000000000011</v>
      </c>
      <c r="D21" s="917"/>
      <c r="E21" s="1467">
        <v>55053.21</v>
      </c>
      <c r="F21" s="918">
        <v>100</v>
      </c>
      <c r="G21" s="918">
        <v>2.3769792577628661</v>
      </c>
      <c r="H21" s="918">
        <v>0.37993653473732852</v>
      </c>
      <c r="I21" s="918">
        <v>100</v>
      </c>
      <c r="J21" s="918">
        <v>5.4425604081245531</v>
      </c>
      <c r="K21" s="1479">
        <v>0.85187941439592629</v>
      </c>
    </row>
    <row r="22" spans="1:11" x14ac:dyDescent="0.2">
      <c r="A22" s="1461" t="s">
        <v>255</v>
      </c>
      <c r="B22" s="1473"/>
      <c r="C22" s="886">
        <v>10668.647550000002</v>
      </c>
      <c r="D22" s="1458"/>
      <c r="E22" s="1457">
        <v>112593.27890253301</v>
      </c>
      <c r="F22" s="1472">
        <v>21.754509589505915</v>
      </c>
      <c r="G22" s="1472">
        <v>4.7939721605226326</v>
      </c>
      <c r="H22" s="1472">
        <v>0.76626885335568251</v>
      </c>
      <c r="I22" s="1472">
        <v>29.655919628924078</v>
      </c>
      <c r="J22" s="1472">
        <v>11.130971690403733</v>
      </c>
      <c r="K22" s="365">
        <v>1.742239852978728</v>
      </c>
    </row>
    <row r="23" spans="1:11" x14ac:dyDescent="0.2">
      <c r="A23" s="1461" t="s">
        <v>256</v>
      </c>
      <c r="B23" s="1473"/>
      <c r="C23" s="886">
        <v>38372.4375</v>
      </c>
      <c r="D23" s="1458"/>
      <c r="E23" s="1457">
        <v>267072.16499999998</v>
      </c>
      <c r="F23" s="1472">
        <v>78.245490410494085</v>
      </c>
      <c r="G23" s="1472">
        <v>17.242710122746029</v>
      </c>
      <c r="H23" s="1472">
        <v>2.7560760204874879</v>
      </c>
      <c r="I23" s="1472">
        <v>70.344080371075918</v>
      </c>
      <c r="J23" s="1472">
        <v>26.402754559472697</v>
      </c>
      <c r="K23" s="365">
        <v>4.132606972811435</v>
      </c>
    </row>
    <row r="24" spans="1:11" x14ac:dyDescent="0.2">
      <c r="A24" s="915" t="s">
        <v>257</v>
      </c>
      <c r="B24" s="1474"/>
      <c r="C24" s="891">
        <v>49041.085050000002</v>
      </c>
      <c r="D24" s="917"/>
      <c r="E24" s="917">
        <v>379665.44390253298</v>
      </c>
      <c r="F24" s="918">
        <v>100</v>
      </c>
      <c r="G24" s="918">
        <v>22.036682283268664</v>
      </c>
      <c r="H24" s="918">
        <v>3.5223448738431711</v>
      </c>
      <c r="I24" s="918">
        <v>100</v>
      </c>
      <c r="J24" s="918">
        <v>37.53372624987643</v>
      </c>
      <c r="K24" s="1479">
        <v>5.8748468257901623</v>
      </c>
    </row>
    <row r="25" spans="1:11" x14ac:dyDescent="0.2">
      <c r="A25" s="915" t="s">
        <v>258</v>
      </c>
      <c r="B25" s="1474"/>
      <c r="C25" s="891">
        <v>377.53</v>
      </c>
      <c r="D25" s="917"/>
      <c r="E25" s="1467">
        <v>14969.849999999999</v>
      </c>
      <c r="F25" s="918">
        <v>100</v>
      </c>
      <c r="G25" s="918">
        <v>0.1696436498890723</v>
      </c>
      <c r="H25" s="918">
        <v>2.7115853143669627E-2</v>
      </c>
      <c r="I25" s="918">
        <v>100</v>
      </c>
      <c r="J25" s="918">
        <v>1.4799193893610081</v>
      </c>
      <c r="K25" s="1479">
        <v>0.23163966372886988</v>
      </c>
    </row>
    <row r="26" spans="1:11" ht="8.25" customHeight="1" thickBot="1" x14ac:dyDescent="0.25">
      <c r="A26" s="863"/>
      <c r="C26" s="867"/>
      <c r="D26" s="10"/>
      <c r="E26" s="10"/>
      <c r="F26" s="360"/>
      <c r="G26" s="360"/>
      <c r="H26" s="360"/>
      <c r="I26" s="360"/>
      <c r="J26" s="360"/>
      <c r="K26" s="402"/>
    </row>
    <row r="27" spans="1:11" ht="20.100000000000001" customHeight="1" thickBot="1" x14ac:dyDescent="0.25">
      <c r="A27" s="2121" t="s">
        <v>259</v>
      </c>
      <c r="B27" s="2126"/>
      <c r="C27" s="2127">
        <v>222542.96004999997</v>
      </c>
      <c r="D27" s="2123"/>
      <c r="E27" s="2123">
        <v>1011531.446078533</v>
      </c>
      <c r="F27" s="2128"/>
      <c r="G27" s="2128">
        <v>100.00000000000001</v>
      </c>
      <c r="H27" s="2125">
        <v>15.984007159360411</v>
      </c>
      <c r="I27" s="2128"/>
      <c r="J27" s="2128">
        <v>100</v>
      </c>
      <c r="K27" s="2125">
        <v>15.652181152169787</v>
      </c>
    </row>
    <row r="28" spans="1:11" x14ac:dyDescent="0.2">
      <c r="A28" s="3308" t="s">
        <v>119</v>
      </c>
      <c r="B28" s="3309"/>
      <c r="C28" s="1721"/>
      <c r="D28" s="1712"/>
      <c r="E28" s="1712"/>
      <c r="F28" s="400"/>
      <c r="G28" s="400"/>
      <c r="H28" s="400"/>
      <c r="I28" s="400"/>
      <c r="J28" s="360"/>
      <c r="K28" s="2208"/>
    </row>
    <row r="29" spans="1:11" x14ac:dyDescent="0.2">
      <c r="A29" s="1461" t="s">
        <v>7</v>
      </c>
      <c r="B29" s="403"/>
      <c r="C29" s="886">
        <v>68269.3</v>
      </c>
      <c r="D29" s="1458"/>
      <c r="E29" s="1457">
        <v>901154.76</v>
      </c>
      <c r="F29" s="363"/>
      <c r="G29" s="1472">
        <v>92.275908378958576</v>
      </c>
      <c r="H29" s="1472">
        <v>4.9033992345538771</v>
      </c>
      <c r="I29" s="1472"/>
      <c r="J29" s="1472">
        <v>92.926133083666286</v>
      </c>
      <c r="K29" s="365">
        <v>13.944240294596838</v>
      </c>
    </row>
    <row r="30" spans="1:11" x14ac:dyDescent="0.2">
      <c r="A30" s="1461" t="s">
        <v>1349</v>
      </c>
      <c r="B30" s="403"/>
      <c r="C30" s="886">
        <v>3125.442</v>
      </c>
      <c r="D30" s="1458"/>
      <c r="E30" s="1457">
        <v>31254.42</v>
      </c>
      <c r="F30" s="363"/>
      <c r="G30" s="1472">
        <v>4.2244903585615941</v>
      </c>
      <c r="H30" s="1472">
        <v>0.22448289217030992</v>
      </c>
      <c r="I30" s="1472"/>
      <c r="J30" s="1472">
        <v>3.2229229886915332</v>
      </c>
      <c r="K30" s="365">
        <v>0.48362297142862926</v>
      </c>
    </row>
    <row r="31" spans="1:11" x14ac:dyDescent="0.2">
      <c r="A31" s="1461" t="s">
        <v>1350</v>
      </c>
      <c r="B31" s="403"/>
      <c r="C31" s="886">
        <v>540.12</v>
      </c>
      <c r="D31" s="1458"/>
      <c r="E31" s="1457">
        <v>5401.2</v>
      </c>
      <c r="F31" s="363"/>
      <c r="G31" s="1472">
        <v>0.73005089599048345</v>
      </c>
      <c r="H31" s="1472">
        <v>3.8793776918281571E-2</v>
      </c>
      <c r="I31" s="1472"/>
      <c r="J31" s="1472">
        <v>0.55696607540695708</v>
      </c>
      <c r="K31" s="365">
        <v>8.3576799482451197E-2</v>
      </c>
    </row>
    <row r="32" spans="1:11" x14ac:dyDescent="0.2">
      <c r="A32" s="1461" t="s">
        <v>1351</v>
      </c>
      <c r="B32" s="403"/>
      <c r="C32" s="886">
        <v>1146.925</v>
      </c>
      <c r="D32" s="1458"/>
      <c r="E32" s="1457">
        <v>21218.112499999999</v>
      </c>
      <c r="F32" s="363"/>
      <c r="G32" s="1472">
        <v>1.5502362880172649</v>
      </c>
      <c r="H32" s="1472">
        <v>8.2377161727023779E-2</v>
      </c>
      <c r="I32" s="1472"/>
      <c r="J32" s="1472">
        <v>2.1879894924587679</v>
      </c>
      <c r="K32" s="365">
        <v>0.32832369358820102</v>
      </c>
    </row>
    <row r="33" spans="1:11" x14ac:dyDescent="0.2">
      <c r="A33" s="1461" t="s">
        <v>1781</v>
      </c>
      <c r="B33" s="403"/>
      <c r="C33" s="886">
        <v>405.8109</v>
      </c>
      <c r="D33" s="1458"/>
      <c r="E33" s="1457">
        <v>5762.5147800000004</v>
      </c>
      <c r="F33" s="363"/>
      <c r="G33" s="1472">
        <v>0.54851257340536264</v>
      </c>
      <c r="H33" s="1472">
        <v>2.9147110874633547E-2</v>
      </c>
      <c r="I33" s="1472"/>
      <c r="J33" s="1472">
        <v>0.59422447631844499</v>
      </c>
      <c r="K33" s="365">
        <v>8.9167692787291974E-2</v>
      </c>
    </row>
    <row r="34" spans="1:11" ht="13.5" thickBot="1" x14ac:dyDescent="0.25">
      <c r="A34" s="1977" t="s">
        <v>1352</v>
      </c>
      <c r="B34" s="404"/>
      <c r="C34" s="886">
        <v>496.28500000000003</v>
      </c>
      <c r="D34" s="1458"/>
      <c r="E34" s="1457">
        <v>4962.8500000000004</v>
      </c>
      <c r="F34" s="363"/>
      <c r="G34" s="1472">
        <v>0.67080150506672054</v>
      </c>
      <c r="H34" s="1472">
        <v>3.5645355805912333E-2</v>
      </c>
      <c r="I34" s="1472"/>
      <c r="J34" s="1472">
        <v>0.51176388345801249</v>
      </c>
      <c r="K34" s="1978">
        <v>7.6793882713375353E-2</v>
      </c>
    </row>
    <row r="35" spans="1:11" ht="20.100000000000001" customHeight="1" thickBot="1" x14ac:dyDescent="0.25">
      <c r="A35" s="2121" t="s">
        <v>260</v>
      </c>
      <c r="B35" s="2129"/>
      <c r="C35" s="2127">
        <v>73983.882899999997</v>
      </c>
      <c r="D35" s="2123"/>
      <c r="E35" s="2123">
        <v>969753.85728</v>
      </c>
      <c r="F35" s="2128"/>
      <c r="G35" s="2125">
        <v>100</v>
      </c>
      <c r="H35" s="2125">
        <v>5.3138455320500375</v>
      </c>
      <c r="I35" s="2125"/>
      <c r="J35" s="2125">
        <v>100.00000000000001</v>
      </c>
      <c r="K35" s="2125">
        <v>15.005725334596786</v>
      </c>
    </row>
    <row r="36" spans="1:11" ht="7.5" customHeight="1" thickBot="1" x14ac:dyDescent="0.25">
      <c r="A36" s="1475"/>
      <c r="B36" s="1476"/>
      <c r="C36" s="1722"/>
      <c r="D36" s="1722"/>
      <c r="E36" s="1722"/>
      <c r="F36" s="1476"/>
      <c r="G36" s="1476"/>
      <c r="H36" s="1476"/>
      <c r="I36" s="1476"/>
      <c r="J36" s="1476"/>
      <c r="K36" s="1477"/>
    </row>
    <row r="37" spans="1:11" ht="28.5" customHeight="1" thickBot="1" x14ac:dyDescent="0.25">
      <c r="A37" s="3310" t="s">
        <v>261</v>
      </c>
      <c r="B37" s="3310"/>
      <c r="C37" s="896">
        <v>1392285.1624830281</v>
      </c>
      <c r="D37" s="1720"/>
      <c r="E37" s="1478">
        <v>6462559.0276810033</v>
      </c>
      <c r="F37" s="897"/>
      <c r="G37" s="897"/>
      <c r="H37" s="923">
        <v>100.00000000000001</v>
      </c>
      <c r="I37" s="897"/>
      <c r="J37" s="897"/>
      <c r="K37" s="923">
        <v>100</v>
      </c>
    </row>
    <row r="38" spans="1:11" ht="14.25" x14ac:dyDescent="0.2">
      <c r="A38" s="351" t="s">
        <v>1934</v>
      </c>
      <c r="B38" s="879"/>
      <c r="C38" s="879"/>
    </row>
  </sheetData>
  <mergeCells count="13">
    <mergeCell ref="A1:K1"/>
    <mergeCell ref="A2:K2"/>
    <mergeCell ref="A4:B4"/>
    <mergeCell ref="D4:E4"/>
    <mergeCell ref="F4:K4"/>
    <mergeCell ref="A28:B28"/>
    <mergeCell ref="A37:B37"/>
    <mergeCell ref="F5:H5"/>
    <mergeCell ref="I5:K5"/>
    <mergeCell ref="D6:E6"/>
    <mergeCell ref="A7:B7"/>
    <mergeCell ref="A5:B5"/>
    <mergeCell ref="A17:B17"/>
  </mergeCells>
  <phoneticPr fontId="13" type="noConversion"/>
  <pageMargins left="0.78740157480314965" right="0.59055118110236227" top="0.98425196850393704" bottom="0.78740157480314965" header="0" footer="0"/>
  <pageSetup scale="70" orientation="portrait" horizontalDpi="4294967293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0"/>
  <sheetViews>
    <sheetView workbookViewId="0"/>
  </sheetViews>
  <sheetFormatPr baseColWidth="10" defaultColWidth="11.42578125" defaultRowHeight="12.75" x14ac:dyDescent="0.2"/>
  <cols>
    <col min="1" max="1" width="3" customWidth="1"/>
    <col min="2" max="2" width="37" customWidth="1"/>
    <col min="3" max="3" width="23" customWidth="1"/>
    <col min="4" max="4" width="23.28515625" customWidth="1"/>
  </cols>
  <sheetData>
    <row r="1" spans="2:4" ht="18" x14ac:dyDescent="0.25">
      <c r="B1" s="2869" t="s">
        <v>1289</v>
      </c>
      <c r="C1" s="2869"/>
      <c r="D1" s="2869"/>
    </row>
    <row r="2" spans="2:4" ht="18.75" thickBot="1" x14ac:dyDescent="0.3">
      <c r="B2" s="2869" t="s">
        <v>2014</v>
      </c>
      <c r="C2" s="2869"/>
      <c r="D2" s="2869"/>
    </row>
    <row r="3" spans="2:4" ht="13.5" thickTop="1" x14ac:dyDescent="0.2">
      <c r="B3" s="847"/>
      <c r="C3" s="848" t="s">
        <v>438</v>
      </c>
      <c r="D3" s="848" t="s">
        <v>322</v>
      </c>
    </row>
    <row r="4" spans="2:4" ht="13.5" thickBot="1" x14ac:dyDescent="0.25">
      <c r="B4" s="855" t="s">
        <v>408</v>
      </c>
      <c r="C4" s="882" t="s">
        <v>1172</v>
      </c>
      <c r="D4" s="882" t="s">
        <v>1221</v>
      </c>
    </row>
    <row r="5" spans="2:4" x14ac:dyDescent="0.2">
      <c r="B5" s="862"/>
      <c r="C5" s="360"/>
      <c r="D5" s="360"/>
    </row>
    <row r="6" spans="2:4" x14ac:dyDescent="0.2">
      <c r="B6" s="884"/>
      <c r="C6" s="360"/>
      <c r="D6" s="360"/>
    </row>
    <row r="7" spans="2:4" ht="18" x14ac:dyDescent="0.25">
      <c r="B7" s="934" t="s">
        <v>194</v>
      </c>
      <c r="C7" s="935">
        <v>4481273.7243224699</v>
      </c>
      <c r="D7" s="936">
        <v>69.342093513233422</v>
      </c>
    </row>
    <row r="8" spans="2:4" ht="15" x14ac:dyDescent="0.2">
      <c r="B8" s="887"/>
      <c r="C8" s="937"/>
      <c r="D8" s="938"/>
    </row>
    <row r="9" spans="2:4" ht="18" x14ac:dyDescent="0.25">
      <c r="B9" s="939" t="s">
        <v>129</v>
      </c>
      <c r="C9" s="935">
        <v>1011531.446078533</v>
      </c>
      <c r="D9" s="936">
        <v>15.652181152169785</v>
      </c>
    </row>
    <row r="10" spans="2:4" ht="15" x14ac:dyDescent="0.2">
      <c r="B10" s="887"/>
      <c r="C10" s="937"/>
      <c r="D10" s="938"/>
    </row>
    <row r="11" spans="2:4" ht="18" x14ac:dyDescent="0.25">
      <c r="B11" s="934" t="s">
        <v>121</v>
      </c>
      <c r="C11" s="935">
        <v>969753.85728</v>
      </c>
      <c r="D11" s="936">
        <v>15.005725334596786</v>
      </c>
    </row>
    <row r="12" spans="2:4" ht="15" x14ac:dyDescent="0.2">
      <c r="B12" s="887"/>
      <c r="C12" s="937"/>
      <c r="D12" s="938"/>
    </row>
    <row r="13" spans="2:4" ht="15.75" thickBot="1" x14ac:dyDescent="0.25">
      <c r="B13" s="940"/>
      <c r="C13" s="941"/>
      <c r="D13" s="941"/>
    </row>
    <row r="14" spans="2:4" ht="36.75" thickBot="1" x14ac:dyDescent="0.3">
      <c r="B14" s="952" t="s">
        <v>323</v>
      </c>
      <c r="C14" s="942">
        <v>6462559.0276810033</v>
      </c>
      <c r="D14" s="943">
        <v>100</v>
      </c>
    </row>
    <row r="15" spans="2:4" ht="15" thickTop="1" x14ac:dyDescent="0.2">
      <c r="B15" s="1867" t="s">
        <v>1934</v>
      </c>
      <c r="C15" s="879"/>
      <c r="D15" s="879"/>
    </row>
    <row r="16" spans="2:4" x14ac:dyDescent="0.2">
      <c r="B16" s="1738" t="s">
        <v>2015</v>
      </c>
    </row>
    <row r="17" spans="2:4" x14ac:dyDescent="0.2">
      <c r="C17" s="10"/>
      <c r="D17" s="10"/>
    </row>
    <row r="21" spans="2:4" ht="18" x14ac:dyDescent="0.25">
      <c r="B21" s="2869" t="s">
        <v>1290</v>
      </c>
      <c r="C21" s="2869"/>
      <c r="D21" s="2869"/>
    </row>
    <row r="22" spans="2:4" ht="18.75" thickBot="1" x14ac:dyDescent="0.3">
      <c r="B22" s="2869" t="s">
        <v>2016</v>
      </c>
      <c r="C22" s="2869"/>
      <c r="D22" s="2869"/>
    </row>
    <row r="23" spans="2:4" ht="13.5" thickTop="1" x14ac:dyDescent="0.2">
      <c r="B23" s="847"/>
      <c r="C23" s="848" t="s">
        <v>273</v>
      </c>
      <c r="D23" s="848" t="s">
        <v>438</v>
      </c>
    </row>
    <row r="24" spans="2:4" ht="13.5" thickBot="1" x14ac:dyDescent="0.25">
      <c r="B24" s="855" t="s">
        <v>190</v>
      </c>
      <c r="C24" s="882" t="s">
        <v>1172</v>
      </c>
      <c r="D24" s="882" t="s">
        <v>276</v>
      </c>
    </row>
    <row r="25" spans="2:4" x14ac:dyDescent="0.2">
      <c r="B25" s="862"/>
      <c r="C25" s="360"/>
      <c r="D25" s="360"/>
    </row>
    <row r="26" spans="2:4" x14ac:dyDescent="0.2">
      <c r="B26" s="884"/>
      <c r="C26" s="360"/>
      <c r="D26" s="360"/>
    </row>
    <row r="27" spans="2:4" ht="18" x14ac:dyDescent="0.25">
      <c r="B27" s="934" t="s">
        <v>194</v>
      </c>
      <c r="C27" s="935">
        <v>2083420.8966659</v>
      </c>
      <c r="D27" s="936">
        <v>51.256371165359418</v>
      </c>
    </row>
    <row r="28" spans="2:4" ht="15" x14ac:dyDescent="0.2">
      <c r="B28" s="887"/>
      <c r="C28" s="937"/>
      <c r="D28" s="938"/>
    </row>
    <row r="29" spans="2:4" ht="18" x14ac:dyDescent="0.25">
      <c r="B29" s="939" t="s">
        <v>129</v>
      </c>
      <c r="C29" s="935">
        <v>1011531.446078533</v>
      </c>
      <c r="D29" s="936">
        <v>24.885721041103846</v>
      </c>
    </row>
    <row r="30" spans="2:4" ht="15" x14ac:dyDescent="0.2">
      <c r="B30" s="887"/>
      <c r="C30" s="937"/>
      <c r="D30" s="938"/>
    </row>
    <row r="31" spans="2:4" ht="18" x14ac:dyDescent="0.25">
      <c r="B31" s="934" t="s">
        <v>121</v>
      </c>
      <c r="C31" s="935">
        <v>969753.85728</v>
      </c>
      <c r="D31" s="936">
        <v>23.857907793536732</v>
      </c>
    </row>
    <row r="32" spans="2:4" x14ac:dyDescent="0.2">
      <c r="B32" s="887"/>
      <c r="C32" s="888"/>
      <c r="D32" s="889"/>
    </row>
    <row r="33" spans="2:4" ht="13.5" thickBot="1" x14ac:dyDescent="0.25">
      <c r="B33" s="940"/>
      <c r="C33" s="944"/>
      <c r="D33" s="944"/>
    </row>
    <row r="34" spans="2:4" ht="36.75" thickBot="1" x14ac:dyDescent="0.3">
      <c r="B34" s="952" t="s">
        <v>323</v>
      </c>
      <c r="C34" s="945">
        <v>4064706.200024433</v>
      </c>
      <c r="D34" s="946">
        <v>100</v>
      </c>
    </row>
    <row r="35" spans="2:4" ht="15" thickTop="1" x14ac:dyDescent="0.2">
      <c r="B35" s="1867" t="s">
        <v>1934</v>
      </c>
      <c r="C35" s="879"/>
      <c r="D35" s="879"/>
    </row>
    <row r="36" spans="2:4" x14ac:dyDescent="0.2">
      <c r="B36" s="1738" t="s">
        <v>2017</v>
      </c>
    </row>
    <row r="40" spans="2:4" x14ac:dyDescent="0.2">
      <c r="C40" s="10"/>
    </row>
  </sheetData>
  <mergeCells count="4">
    <mergeCell ref="B22:D22"/>
    <mergeCell ref="B1:D1"/>
    <mergeCell ref="B2:D2"/>
    <mergeCell ref="B21:D21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5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6.28515625" customWidth="1"/>
    <col min="2" max="2" width="29.7109375" customWidth="1"/>
    <col min="3" max="3" width="19" customWidth="1"/>
    <col min="4" max="4" width="17.7109375" customWidth="1"/>
    <col min="5" max="6" width="15.85546875" customWidth="1"/>
  </cols>
  <sheetData>
    <row r="1" spans="1:6" x14ac:dyDescent="0.2">
      <c r="A1" s="225" t="s">
        <v>96</v>
      </c>
      <c r="B1" s="225"/>
      <c r="C1" s="225"/>
      <c r="D1" s="225"/>
      <c r="E1" s="225"/>
      <c r="F1" s="225"/>
    </row>
    <row r="2" spans="1:6" ht="13.5" thickBot="1" x14ac:dyDescent="0.25">
      <c r="A2" s="3315" t="s">
        <v>2018</v>
      </c>
      <c r="B2" s="3316"/>
      <c r="C2" s="3316"/>
      <c r="D2" s="3316"/>
      <c r="E2" s="3316"/>
      <c r="F2" s="3316"/>
    </row>
    <row r="3" spans="1:6" ht="13.5" thickBot="1" x14ac:dyDescent="0.25">
      <c r="A3" s="1864"/>
      <c r="B3" s="1864"/>
      <c r="C3" s="2078" t="s">
        <v>271</v>
      </c>
      <c r="D3" s="2078" t="s">
        <v>272</v>
      </c>
      <c r="E3" s="3317" t="s">
        <v>630</v>
      </c>
      <c r="F3" s="3318"/>
    </row>
    <row r="4" spans="1:6" ht="13.5" thickBot="1" x14ac:dyDescent="0.25">
      <c r="A4" s="882" t="s">
        <v>679</v>
      </c>
      <c r="B4" s="1931" t="s">
        <v>408</v>
      </c>
      <c r="C4" s="882" t="s">
        <v>346</v>
      </c>
      <c r="D4" s="882" t="s">
        <v>318</v>
      </c>
      <c r="E4" s="1548" t="s">
        <v>294</v>
      </c>
      <c r="F4" s="1548" t="s">
        <v>631</v>
      </c>
    </row>
    <row r="5" spans="1:6" ht="13.5" customHeight="1" x14ac:dyDescent="0.2">
      <c r="A5" s="1872">
        <v>1</v>
      </c>
      <c r="B5" s="2211" t="s">
        <v>1782</v>
      </c>
      <c r="C5" s="1862">
        <v>172672.54693302812</v>
      </c>
      <c r="D5" s="1862">
        <v>2397852.8276565708</v>
      </c>
      <c r="E5" s="1862">
        <v>12.402096322356872</v>
      </c>
      <c r="F5" s="1973">
        <v>37.103766749144981</v>
      </c>
    </row>
    <row r="6" spans="1:6" ht="13.5" customHeight="1" x14ac:dyDescent="0.2">
      <c r="A6" s="363">
        <v>2</v>
      </c>
      <c r="B6" s="363" t="s">
        <v>207</v>
      </c>
      <c r="C6" s="1162">
        <v>68269.3</v>
      </c>
      <c r="D6" s="1162">
        <v>901154.76</v>
      </c>
      <c r="E6" s="1162">
        <v>4.9033992345538744</v>
      </c>
      <c r="F6" s="1974">
        <v>13.94424029459684</v>
      </c>
    </row>
    <row r="7" spans="1:6" ht="13.5" customHeight="1" x14ac:dyDescent="0.2">
      <c r="A7" s="363">
        <v>3</v>
      </c>
      <c r="B7" s="363" t="s">
        <v>411</v>
      </c>
      <c r="C7" s="1162">
        <v>257240.5</v>
      </c>
      <c r="D7" s="1162">
        <v>451126.90931825008</v>
      </c>
      <c r="E7" s="1162">
        <v>18.476135990793168</v>
      </c>
      <c r="F7" s="1974">
        <v>6.9806234246518075</v>
      </c>
    </row>
    <row r="8" spans="1:6" ht="13.5" customHeight="1" x14ac:dyDescent="0.2">
      <c r="A8" s="363">
        <v>4</v>
      </c>
      <c r="B8" s="363" t="s">
        <v>203</v>
      </c>
      <c r="C8" s="1162">
        <v>135159.86499999999</v>
      </c>
      <c r="D8" s="1162">
        <v>299347.22457600007</v>
      </c>
      <c r="E8" s="1162">
        <v>9.7077717009461786</v>
      </c>
      <c r="F8" s="1974">
        <v>4.6320230622855387</v>
      </c>
    </row>
    <row r="9" spans="1:6" ht="13.5" customHeight="1" x14ac:dyDescent="0.2">
      <c r="A9" s="363">
        <v>5</v>
      </c>
      <c r="B9" s="363" t="s">
        <v>206</v>
      </c>
      <c r="C9" s="1162">
        <v>38372.4375</v>
      </c>
      <c r="D9" s="1162">
        <v>267072.16499999998</v>
      </c>
      <c r="E9" s="1162">
        <v>2.7560760204874866</v>
      </c>
      <c r="F9" s="1974">
        <v>4.132606972811435</v>
      </c>
    </row>
    <row r="10" spans="1:6" ht="13.5" customHeight="1" x14ac:dyDescent="0.2">
      <c r="A10" s="363">
        <v>6</v>
      </c>
      <c r="B10" s="363" t="s">
        <v>202</v>
      </c>
      <c r="C10" s="1162">
        <v>32674.68</v>
      </c>
      <c r="D10" s="1162">
        <v>262495.71759999997</v>
      </c>
      <c r="E10" s="1162">
        <v>2.3468381966900611</v>
      </c>
      <c r="F10" s="1974">
        <v>4.061792185969292</v>
      </c>
    </row>
    <row r="11" spans="1:6" ht="13.5" customHeight="1" x14ac:dyDescent="0.2">
      <c r="A11" s="363">
        <v>7</v>
      </c>
      <c r="B11" s="363" t="s">
        <v>213</v>
      </c>
      <c r="C11" s="1162">
        <v>111631.4464</v>
      </c>
      <c r="D11" s="1162">
        <v>206518.17584000007</v>
      </c>
      <c r="E11" s="1162">
        <v>8.0178579365820646</v>
      </c>
      <c r="F11" s="1974">
        <v>3.1956098962566259</v>
      </c>
    </row>
    <row r="12" spans="1:6" ht="13.5" customHeight="1" x14ac:dyDescent="0.2">
      <c r="A12" s="363">
        <v>8</v>
      </c>
      <c r="B12" s="363" t="s">
        <v>961</v>
      </c>
      <c r="C12" s="1162">
        <v>54301.895000000004</v>
      </c>
      <c r="D12" s="1162">
        <v>199179.35086000001</v>
      </c>
      <c r="E12" s="1162">
        <v>3.9001992165999191</v>
      </c>
      <c r="F12" s="1974">
        <v>3.0820507790622487</v>
      </c>
    </row>
    <row r="13" spans="1:6" ht="13.5" customHeight="1" x14ac:dyDescent="0.2">
      <c r="A13" s="363">
        <v>9</v>
      </c>
      <c r="B13" s="363" t="s">
        <v>628</v>
      </c>
      <c r="C13" s="1162">
        <v>57840.857499999998</v>
      </c>
      <c r="D13" s="1162">
        <v>173522.57250000001</v>
      </c>
      <c r="E13" s="1162">
        <v>4.1543829567820341</v>
      </c>
      <c r="F13" s="1974">
        <v>2.6850442952513527</v>
      </c>
    </row>
    <row r="14" spans="1:6" ht="13.5" customHeight="1" x14ac:dyDescent="0.2">
      <c r="A14" s="363">
        <v>10</v>
      </c>
      <c r="B14" s="363" t="s">
        <v>1569</v>
      </c>
      <c r="C14" s="1162">
        <v>21116</v>
      </c>
      <c r="D14" s="1162">
        <v>162785.66178200001</v>
      </c>
      <c r="E14" s="1162">
        <v>1.5166433263097703</v>
      </c>
      <c r="F14" s="1974">
        <v>2.5189040608332109</v>
      </c>
    </row>
    <row r="15" spans="1:6" ht="13.5" customHeight="1" x14ac:dyDescent="0.2">
      <c r="A15" s="363">
        <v>11</v>
      </c>
      <c r="B15" s="363" t="s">
        <v>205</v>
      </c>
      <c r="C15" s="1162">
        <v>10668.647550000002</v>
      </c>
      <c r="D15" s="1162">
        <v>112593.27890253301</v>
      </c>
      <c r="E15" s="1162">
        <v>0.76626885335568218</v>
      </c>
      <c r="F15" s="1974">
        <v>1.7422398529787282</v>
      </c>
    </row>
    <row r="16" spans="1:6" ht="13.5" customHeight="1" x14ac:dyDescent="0.2">
      <c r="A16" s="363">
        <v>12</v>
      </c>
      <c r="B16" s="363" t="s">
        <v>278</v>
      </c>
      <c r="C16" s="1162">
        <v>66977.42</v>
      </c>
      <c r="D16" s="1162">
        <v>109700.6417825</v>
      </c>
      <c r="E16" s="1162">
        <v>4.8106107717582187</v>
      </c>
      <c r="F16" s="1974">
        <v>1.6974799195275516</v>
      </c>
    </row>
    <row r="17" spans="1:6" ht="13.5" customHeight="1" x14ac:dyDescent="0.2">
      <c r="A17" s="363">
        <v>13</v>
      </c>
      <c r="B17" s="363" t="s">
        <v>908</v>
      </c>
      <c r="C17" s="1162">
        <v>38765</v>
      </c>
      <c r="D17" s="1162">
        <v>93191.059999999983</v>
      </c>
      <c r="E17" s="1162">
        <v>2.784271573422914</v>
      </c>
      <c r="F17" s="1974">
        <v>1.442014836550596</v>
      </c>
    </row>
    <row r="18" spans="1:6" ht="13.5" customHeight="1" x14ac:dyDescent="0.2">
      <c r="A18" s="363">
        <v>14</v>
      </c>
      <c r="B18" s="363" t="s">
        <v>976</v>
      </c>
      <c r="C18" s="1162">
        <v>9233.31</v>
      </c>
      <c r="D18" s="1162">
        <v>68280.327449999982</v>
      </c>
      <c r="E18" s="1162">
        <v>0.6631766428892435</v>
      </c>
      <c r="F18" s="1974">
        <v>1.0565524764653704</v>
      </c>
    </row>
    <row r="19" spans="1:6" ht="13.5" customHeight="1" x14ac:dyDescent="0.2">
      <c r="A19" s="363">
        <v>15</v>
      </c>
      <c r="B19" s="363" t="s">
        <v>955</v>
      </c>
      <c r="C19" s="1162">
        <v>5132.1361999999999</v>
      </c>
      <c r="D19" s="1162">
        <v>62288.737059400002</v>
      </c>
      <c r="E19" s="1162">
        <v>0.36861243215773748</v>
      </c>
      <c r="F19" s="1974">
        <v>0.9638401257551289</v>
      </c>
    </row>
    <row r="20" spans="1:6" ht="13.5" customHeight="1" x14ac:dyDescent="0.2">
      <c r="A20" s="363">
        <v>16</v>
      </c>
      <c r="B20" s="363" t="s">
        <v>204</v>
      </c>
      <c r="C20" s="1162">
        <v>5289.8000000000011</v>
      </c>
      <c r="D20" s="1162">
        <v>55053.21</v>
      </c>
      <c r="E20" s="1162">
        <v>0.3799365347373283</v>
      </c>
      <c r="F20" s="1974">
        <v>0.85187941439592663</v>
      </c>
    </row>
    <row r="21" spans="1:6" ht="13.5" customHeight="1" x14ac:dyDescent="0.2">
      <c r="A21" s="363">
        <v>17</v>
      </c>
      <c r="B21" s="363" t="s">
        <v>969</v>
      </c>
      <c r="C21" s="1162">
        <v>10498.4</v>
      </c>
      <c r="D21" s="1162">
        <v>50392.32</v>
      </c>
      <c r="E21" s="1162">
        <v>0.75404093090218283</v>
      </c>
      <c r="F21" s="1974">
        <v>0.77975798416935427</v>
      </c>
    </row>
    <row r="22" spans="1:6" ht="13.5" customHeight="1" x14ac:dyDescent="0.2">
      <c r="A22" s="363">
        <v>18</v>
      </c>
      <c r="B22" s="363" t="s">
        <v>92</v>
      </c>
      <c r="C22" s="1162">
        <v>21684.75</v>
      </c>
      <c r="D22" s="1162">
        <v>48042.563625000003</v>
      </c>
      <c r="E22" s="1162">
        <v>1.5574934348454155</v>
      </c>
      <c r="F22" s="1974">
        <v>0.74339844973515701</v>
      </c>
    </row>
    <row r="23" spans="1:6" ht="13.5" customHeight="1" x14ac:dyDescent="0.2">
      <c r="A23" s="363">
        <v>19</v>
      </c>
      <c r="B23" s="363" t="s">
        <v>970</v>
      </c>
      <c r="C23" s="1162">
        <v>14603.83</v>
      </c>
      <c r="D23" s="1162">
        <v>45271.873000000007</v>
      </c>
      <c r="E23" s="1162">
        <v>1.0489108405030505</v>
      </c>
      <c r="F23" s="1974">
        <v>0.70052548543212589</v>
      </c>
    </row>
    <row r="24" spans="1:6" ht="13.5" customHeight="1" x14ac:dyDescent="0.2">
      <c r="A24" s="363">
        <v>20</v>
      </c>
      <c r="B24" s="363" t="s">
        <v>972</v>
      </c>
      <c r="C24" s="1162">
        <v>16316.32</v>
      </c>
      <c r="D24" s="1162">
        <v>44771.982080000009</v>
      </c>
      <c r="E24" s="1162">
        <v>1.1719093501579196</v>
      </c>
      <c r="F24" s="1974">
        <v>0.69279030006888476</v>
      </c>
    </row>
    <row r="25" spans="1:6" ht="13.5" customHeight="1" x14ac:dyDescent="0.2">
      <c r="A25" s="363">
        <v>21</v>
      </c>
      <c r="B25" s="363" t="s">
        <v>423</v>
      </c>
      <c r="C25" s="1162">
        <v>17654</v>
      </c>
      <c r="D25" s="1162">
        <v>44691.101000000002</v>
      </c>
      <c r="E25" s="1162">
        <v>1.2679873689464238</v>
      </c>
      <c r="F25" s="1974">
        <v>0.69153876674201575</v>
      </c>
    </row>
    <row r="26" spans="1:6" ht="13.5" customHeight="1" x14ac:dyDescent="0.2">
      <c r="A26" s="363">
        <v>22</v>
      </c>
      <c r="B26" s="363" t="s">
        <v>965</v>
      </c>
      <c r="C26" s="1162">
        <v>25700.400000000001</v>
      </c>
      <c r="D26" s="1162">
        <v>41120.639999999992</v>
      </c>
      <c r="E26" s="1162">
        <v>1.8459149528079006</v>
      </c>
      <c r="F26" s="1974">
        <v>0.6362903584148083</v>
      </c>
    </row>
    <row r="27" spans="1:6" ht="13.5" customHeight="1" x14ac:dyDescent="0.2">
      <c r="A27" s="363">
        <v>23</v>
      </c>
      <c r="B27" s="363" t="s">
        <v>963</v>
      </c>
      <c r="C27" s="1162">
        <v>23646.83</v>
      </c>
      <c r="D27" s="1162">
        <v>31875.926839999996</v>
      </c>
      <c r="E27" s="1162">
        <v>1.6984185881739757</v>
      </c>
      <c r="F27" s="1974">
        <v>0.49324001070576257</v>
      </c>
    </row>
    <row r="28" spans="1:6" ht="13.5" customHeight="1" x14ac:dyDescent="0.2">
      <c r="A28" s="363">
        <v>24</v>
      </c>
      <c r="B28" s="363" t="s">
        <v>208</v>
      </c>
      <c r="C28" s="1162">
        <v>3125.442</v>
      </c>
      <c r="D28" s="1162">
        <v>31254.42</v>
      </c>
      <c r="E28" s="1162">
        <v>0.22448289217030978</v>
      </c>
      <c r="F28" s="1974">
        <v>0.48362297142862931</v>
      </c>
    </row>
    <row r="29" spans="1:6" ht="13.5" customHeight="1" x14ac:dyDescent="0.2">
      <c r="A29" s="363">
        <v>25</v>
      </c>
      <c r="B29" s="363" t="s">
        <v>973</v>
      </c>
      <c r="C29" s="1162">
        <v>9700.1</v>
      </c>
      <c r="D29" s="1162">
        <v>24735.254999999994</v>
      </c>
      <c r="E29" s="1162">
        <v>0.69670353900063486</v>
      </c>
      <c r="F29" s="1974">
        <v>0.38274706496376704</v>
      </c>
    </row>
    <row r="30" spans="1:6" ht="13.5" customHeight="1" x14ac:dyDescent="0.2">
      <c r="A30" s="363">
        <v>26</v>
      </c>
      <c r="B30" s="363" t="s">
        <v>975</v>
      </c>
      <c r="C30" s="1162">
        <v>8916.1999999999989</v>
      </c>
      <c r="D30" s="1162">
        <v>22575.818400000004</v>
      </c>
      <c r="E30" s="1162">
        <v>0.6404004179789341</v>
      </c>
      <c r="F30" s="1974">
        <v>0.34933249047786291</v>
      </c>
    </row>
    <row r="31" spans="1:6" ht="13.5" customHeight="1" x14ac:dyDescent="0.2">
      <c r="A31" s="363">
        <v>27</v>
      </c>
      <c r="B31" s="363" t="s">
        <v>210</v>
      </c>
      <c r="C31" s="1162">
        <v>1146.925</v>
      </c>
      <c r="D31" s="1162">
        <v>21218.112499999999</v>
      </c>
      <c r="E31" s="1162">
        <v>8.2377161727023751E-2</v>
      </c>
      <c r="F31" s="1974">
        <v>0.32832369358820107</v>
      </c>
    </row>
    <row r="32" spans="1:6" ht="13.5" customHeight="1" x14ac:dyDescent="0.2">
      <c r="A32" s="363">
        <v>28</v>
      </c>
      <c r="B32" s="363" t="s">
        <v>978</v>
      </c>
      <c r="C32" s="1162">
        <v>10900.789999999999</v>
      </c>
      <c r="D32" s="1162">
        <v>20166.461500000001</v>
      </c>
      <c r="E32" s="1162">
        <v>0.78294233780092248</v>
      </c>
      <c r="F32" s="1974">
        <v>0.31205071262979939</v>
      </c>
    </row>
    <row r="33" spans="1:6" ht="13.5" customHeight="1" x14ac:dyDescent="0.2">
      <c r="A33" s="363">
        <v>29</v>
      </c>
      <c r="B33" s="363" t="s">
        <v>412</v>
      </c>
      <c r="C33" s="1162">
        <v>4696.0025000000005</v>
      </c>
      <c r="D33" s="1162">
        <v>19392.142323749998</v>
      </c>
      <c r="E33" s="1162">
        <v>0.33728740537786506</v>
      </c>
      <c r="F33" s="1974">
        <v>0.30006909400266779</v>
      </c>
    </row>
    <row r="34" spans="1:6" ht="13.5" customHeight="1" x14ac:dyDescent="0.2">
      <c r="A34" s="363">
        <v>30</v>
      </c>
      <c r="B34" s="363" t="s">
        <v>906</v>
      </c>
      <c r="C34" s="1162">
        <v>5976.1</v>
      </c>
      <c r="D34" s="1162">
        <v>18059.774200000003</v>
      </c>
      <c r="E34" s="1162">
        <v>0.42922959757339552</v>
      </c>
      <c r="F34" s="1974">
        <v>0.27945236743904062</v>
      </c>
    </row>
    <row r="35" spans="1:6" ht="13.5" customHeight="1" x14ac:dyDescent="0.2">
      <c r="A35" s="363">
        <v>31</v>
      </c>
      <c r="B35" s="363" t="s">
        <v>968</v>
      </c>
      <c r="C35" s="1162">
        <v>5124.32</v>
      </c>
      <c r="D35" s="1162">
        <v>15629.176000000003</v>
      </c>
      <c r="E35" s="1162">
        <v>0.36805103854308024</v>
      </c>
      <c r="F35" s="1974">
        <v>0.24184190709989248</v>
      </c>
    </row>
    <row r="36" spans="1:6" ht="13.5" customHeight="1" x14ac:dyDescent="0.2">
      <c r="A36" s="363">
        <v>32</v>
      </c>
      <c r="B36" s="363" t="s">
        <v>1337</v>
      </c>
      <c r="C36" s="1162">
        <v>377.53</v>
      </c>
      <c r="D36" s="1162">
        <v>14969.849999999999</v>
      </c>
      <c r="E36" s="1162">
        <v>2.7115853143669617E-2</v>
      </c>
      <c r="F36" s="1974">
        <v>0.23163966372886993</v>
      </c>
    </row>
    <row r="37" spans="1:6" ht="13.5" customHeight="1" x14ac:dyDescent="0.2">
      <c r="A37" s="363">
        <v>33</v>
      </c>
      <c r="B37" s="1917" t="s">
        <v>1513</v>
      </c>
      <c r="C37" s="1162">
        <v>5834.9699999999993</v>
      </c>
      <c r="D37" s="1162">
        <v>12968.220824999999</v>
      </c>
      <c r="E37" s="1162">
        <v>0.41909302470722298</v>
      </c>
      <c r="F37" s="1974">
        <v>0.20066696132992171</v>
      </c>
    </row>
    <row r="38" spans="1:6" ht="13.5" customHeight="1" x14ac:dyDescent="0.2">
      <c r="A38" s="363">
        <v>34</v>
      </c>
      <c r="B38" s="363" t="s">
        <v>971</v>
      </c>
      <c r="C38" s="1162">
        <v>4286.7</v>
      </c>
      <c r="D38" s="1162">
        <v>12902.967000000001</v>
      </c>
      <c r="E38" s="1162">
        <v>0.30788951254461511</v>
      </c>
      <c r="F38" s="1974">
        <v>0.19965724018508577</v>
      </c>
    </row>
    <row r="39" spans="1:6" ht="13.5" customHeight="1" x14ac:dyDescent="0.2">
      <c r="A39" s="363">
        <v>35</v>
      </c>
      <c r="B39" s="363" t="s">
        <v>629</v>
      </c>
      <c r="C39" s="1162">
        <v>67460</v>
      </c>
      <c r="D39" s="1162">
        <v>11468.2</v>
      </c>
      <c r="E39" s="1162">
        <v>4.8452717746191096</v>
      </c>
      <c r="F39" s="1974">
        <v>0.17745601937063007</v>
      </c>
    </row>
    <row r="40" spans="1:6" ht="13.5" customHeight="1" x14ac:dyDescent="0.2">
      <c r="A40" s="363">
        <v>36</v>
      </c>
      <c r="B40" s="363" t="s">
        <v>286</v>
      </c>
      <c r="C40" s="1162">
        <v>4641.75</v>
      </c>
      <c r="D40" s="1162">
        <v>11349.078750000002</v>
      </c>
      <c r="E40" s="1162">
        <v>0.33339075392585604</v>
      </c>
      <c r="F40" s="1974">
        <v>0.17561276734786685</v>
      </c>
    </row>
    <row r="41" spans="1:6" ht="13.5" customHeight="1" x14ac:dyDescent="0.2">
      <c r="A41" s="363">
        <v>37</v>
      </c>
      <c r="B41" s="363" t="s">
        <v>413</v>
      </c>
      <c r="C41" s="1162">
        <v>8780</v>
      </c>
      <c r="D41" s="1162">
        <v>10536</v>
      </c>
      <c r="E41" s="1162">
        <v>0.63061793924037612</v>
      </c>
      <c r="F41" s="1974">
        <v>0.16303139290289309</v>
      </c>
    </row>
    <row r="42" spans="1:6" ht="13.5" customHeight="1" x14ac:dyDescent="0.2">
      <c r="A42" s="363">
        <v>38</v>
      </c>
      <c r="B42" s="363" t="s">
        <v>974</v>
      </c>
      <c r="C42" s="1162">
        <v>6394.52</v>
      </c>
      <c r="D42" s="1162">
        <v>10128.919679999997</v>
      </c>
      <c r="E42" s="1162">
        <v>0.45928234906963222</v>
      </c>
      <c r="F42" s="1974">
        <v>0.15673233523461708</v>
      </c>
    </row>
    <row r="43" spans="1:6" ht="13.5" customHeight="1" x14ac:dyDescent="0.2">
      <c r="A43" s="363">
        <v>39</v>
      </c>
      <c r="B43" s="363" t="s">
        <v>417</v>
      </c>
      <c r="C43" s="1162">
        <v>3766.5</v>
      </c>
      <c r="D43" s="1162">
        <v>9657.3059999999987</v>
      </c>
      <c r="E43" s="1162">
        <v>0.27052647701012267</v>
      </c>
      <c r="F43" s="1974">
        <v>0.14943470471426218</v>
      </c>
    </row>
    <row r="44" spans="1:6" ht="13.5" customHeight="1" x14ac:dyDescent="0.2">
      <c r="A44" s="363">
        <v>40</v>
      </c>
      <c r="B44" s="363" t="s">
        <v>907</v>
      </c>
      <c r="C44" s="1162">
        <v>4061.1</v>
      </c>
      <c r="D44" s="1162">
        <v>9437.9964</v>
      </c>
      <c r="E44" s="1162">
        <v>0.29168593542700361</v>
      </c>
      <c r="F44" s="1974">
        <v>0.14604116356344821</v>
      </c>
    </row>
    <row r="45" spans="1:6" ht="13.5" customHeight="1" x14ac:dyDescent="0.2">
      <c r="A45" s="363">
        <v>41</v>
      </c>
      <c r="B45" s="363" t="s">
        <v>427</v>
      </c>
      <c r="C45" s="1162">
        <v>2836</v>
      </c>
      <c r="D45" s="1162">
        <v>5876.192</v>
      </c>
      <c r="E45" s="1162">
        <v>0.20369390383664088</v>
      </c>
      <c r="F45" s="1974">
        <v>9.0926705270011121E-2</v>
      </c>
    </row>
    <row r="46" spans="1:6" ht="13.5" customHeight="1" x14ac:dyDescent="0.2">
      <c r="A46" s="363">
        <v>42</v>
      </c>
      <c r="B46" s="363" t="s">
        <v>1783</v>
      </c>
      <c r="C46" s="1162">
        <v>405.8109</v>
      </c>
      <c r="D46" s="1162">
        <v>5762.5147800000004</v>
      </c>
      <c r="E46" s="1162">
        <v>2.9147110874633529E-2</v>
      </c>
      <c r="F46" s="1974">
        <v>8.9167692787292002E-2</v>
      </c>
    </row>
    <row r="47" spans="1:6" ht="13.5" customHeight="1" x14ac:dyDescent="0.2">
      <c r="A47" s="363">
        <v>43</v>
      </c>
      <c r="B47" s="363" t="s">
        <v>209</v>
      </c>
      <c r="C47" s="1162">
        <v>540.12</v>
      </c>
      <c r="D47" s="1162">
        <v>5401.2</v>
      </c>
      <c r="E47" s="1162">
        <v>3.879377691828155E-2</v>
      </c>
      <c r="F47" s="1974">
        <v>8.3576799482451225E-2</v>
      </c>
    </row>
    <row r="48" spans="1:6" ht="13.5" customHeight="1" x14ac:dyDescent="0.2">
      <c r="A48" s="363">
        <v>44</v>
      </c>
      <c r="B48" s="363" t="s">
        <v>428</v>
      </c>
      <c r="C48" s="1162">
        <v>3909.5</v>
      </c>
      <c r="D48" s="1162">
        <v>5185.09166</v>
      </c>
      <c r="E48" s="1162">
        <v>0.28079736144194201</v>
      </c>
      <c r="F48" s="1974">
        <v>8.0232793817290621E-2</v>
      </c>
    </row>
    <row r="49" spans="1:6" ht="13.5" customHeight="1" x14ac:dyDescent="0.2">
      <c r="A49" s="363">
        <v>45</v>
      </c>
      <c r="B49" s="363" t="s">
        <v>1546</v>
      </c>
      <c r="C49" s="1162">
        <v>496.28500000000003</v>
      </c>
      <c r="D49" s="1162">
        <v>4962.8500000000004</v>
      </c>
      <c r="E49" s="1162">
        <v>3.564535580591232E-2</v>
      </c>
      <c r="F49" s="1974">
        <v>7.679388271337538E-2</v>
      </c>
    </row>
    <row r="50" spans="1:6" ht="13.5" customHeight="1" x14ac:dyDescent="0.2">
      <c r="A50" s="363">
        <v>46</v>
      </c>
      <c r="B50" s="363" t="s">
        <v>966</v>
      </c>
      <c r="C50" s="1162">
        <v>2058.6999999999998</v>
      </c>
      <c r="D50" s="1162">
        <v>4619.7227999999996</v>
      </c>
      <c r="E50" s="1162">
        <v>0.14786482363487041</v>
      </c>
      <c r="F50" s="1974">
        <v>7.1484419410521374E-2</v>
      </c>
    </row>
    <row r="51" spans="1:6" ht="13.5" customHeight="1" x14ac:dyDescent="0.2">
      <c r="A51" s="363">
        <v>47</v>
      </c>
      <c r="B51" s="363" t="s">
        <v>280</v>
      </c>
      <c r="C51" s="1162">
        <v>2641.3</v>
      </c>
      <c r="D51" s="1162">
        <v>4158.7268500000009</v>
      </c>
      <c r="E51" s="1162">
        <v>0.18970969964870224</v>
      </c>
      <c r="F51" s="1974">
        <v>6.4351084952369117E-2</v>
      </c>
    </row>
    <row r="52" spans="1:6" ht="13.5" customHeight="1" x14ac:dyDescent="0.2">
      <c r="A52" s="363">
        <v>48</v>
      </c>
      <c r="B52" s="2021" t="s">
        <v>1499</v>
      </c>
      <c r="C52" s="1162">
        <v>714</v>
      </c>
      <c r="D52" s="1162">
        <v>3462.8999999999996</v>
      </c>
      <c r="E52" s="1162">
        <v>5.1282597792440612E-2</v>
      </c>
      <c r="F52" s="1974">
        <v>5.3584036682178093E-2</v>
      </c>
    </row>
    <row r="53" spans="1:6" ht="13.5" customHeight="1" x14ac:dyDescent="0.2">
      <c r="A53" s="363">
        <v>49</v>
      </c>
      <c r="B53" s="363" t="s">
        <v>962</v>
      </c>
      <c r="C53" s="1162">
        <v>1570.165</v>
      </c>
      <c r="D53" s="1162">
        <v>3140.3299999999995</v>
      </c>
      <c r="E53" s="1162">
        <v>0.11277610667054273</v>
      </c>
      <c r="F53" s="1974">
        <v>4.85926702804425E-2</v>
      </c>
    </row>
    <row r="54" spans="1:6" ht="13.5" customHeight="1" x14ac:dyDescent="0.2">
      <c r="A54" s="363">
        <v>50</v>
      </c>
      <c r="B54" s="1917" t="s">
        <v>1512</v>
      </c>
      <c r="C54" s="1162">
        <v>1418.86</v>
      </c>
      <c r="D54" s="1162">
        <v>3114.3977000000004</v>
      </c>
      <c r="E54" s="1162">
        <v>0.10190872087364466</v>
      </c>
      <c r="F54" s="1974">
        <v>4.8191400444624777E-2</v>
      </c>
    </row>
    <row r="55" spans="1:6" ht="13.5" customHeight="1" x14ac:dyDescent="0.2">
      <c r="A55" s="363">
        <v>51</v>
      </c>
      <c r="B55" s="363" t="s">
        <v>410</v>
      </c>
      <c r="C55" s="1162">
        <v>447.7</v>
      </c>
      <c r="D55" s="1162">
        <v>2537.2054400000006</v>
      </c>
      <c r="E55" s="1162">
        <v>3.2155768951926698E-2</v>
      </c>
      <c r="F55" s="1974">
        <v>3.9260073743735552E-2</v>
      </c>
    </row>
    <row r="56" spans="1:6" ht="13.5" customHeight="1" x14ac:dyDescent="0.2">
      <c r="A56" s="363">
        <v>52</v>
      </c>
      <c r="B56" s="363" t="s">
        <v>1013</v>
      </c>
      <c r="C56" s="1162">
        <v>1188.2</v>
      </c>
      <c r="D56" s="1162">
        <v>2138.7599999999998</v>
      </c>
      <c r="E56" s="1162">
        <v>8.5341712460753422E-2</v>
      </c>
      <c r="F56" s="1974">
        <v>3.3094630019456298E-2</v>
      </c>
    </row>
    <row r="57" spans="1:6" ht="13.5" customHeight="1" x14ac:dyDescent="0.2">
      <c r="A57" s="363">
        <v>53</v>
      </c>
      <c r="B57" s="363" t="s">
        <v>905</v>
      </c>
      <c r="C57" s="1162">
        <v>337.4</v>
      </c>
      <c r="D57" s="1162">
        <v>2058.14</v>
      </c>
      <c r="E57" s="1162">
        <v>2.4233541309761152E-2</v>
      </c>
      <c r="F57" s="1974">
        <v>3.1847136578318183E-2</v>
      </c>
    </row>
    <row r="58" spans="1:6" ht="13.5" customHeight="1" x14ac:dyDescent="0.2">
      <c r="A58" s="363">
        <v>54</v>
      </c>
      <c r="B58" s="363" t="s">
        <v>816</v>
      </c>
      <c r="C58" s="1162">
        <v>884.8</v>
      </c>
      <c r="D58" s="1162">
        <v>1990.8000000000002</v>
      </c>
      <c r="E58" s="1162">
        <v>6.3550199617298964E-2</v>
      </c>
      <c r="F58" s="1974">
        <v>3.0805134490421368E-2</v>
      </c>
    </row>
    <row r="59" spans="1:6" ht="13.5" customHeight="1" x14ac:dyDescent="0.2">
      <c r="A59" s="363">
        <v>54</v>
      </c>
      <c r="B59" s="363" t="s">
        <v>90</v>
      </c>
      <c r="C59" s="1162">
        <v>775</v>
      </c>
      <c r="D59" s="1162">
        <v>1350.825</v>
      </c>
      <c r="E59" s="1162">
        <v>5.5663884158461456E-2</v>
      </c>
      <c r="F59" s="1974">
        <v>2.0902323587514291E-2</v>
      </c>
    </row>
    <row r="60" spans="1:6" ht="13.5" customHeight="1" x14ac:dyDescent="0.2">
      <c r="A60" s="363">
        <v>55</v>
      </c>
      <c r="B60" s="363" t="s">
        <v>964</v>
      </c>
      <c r="C60" s="1162">
        <v>659</v>
      </c>
      <c r="D60" s="1162">
        <v>1025.404</v>
      </c>
      <c r="E60" s="1162">
        <v>4.7332257626356254E-2</v>
      </c>
      <c r="F60" s="1974">
        <v>1.5866841534567026E-2</v>
      </c>
    </row>
    <row r="61" spans="1:6" ht="13.5" customHeight="1" x14ac:dyDescent="0.2">
      <c r="A61" s="363">
        <v>56</v>
      </c>
      <c r="B61" s="363" t="s">
        <v>429</v>
      </c>
      <c r="C61" s="1162">
        <v>432.5</v>
      </c>
      <c r="D61" s="1162">
        <v>542.78750000000002</v>
      </c>
      <c r="E61" s="1866">
        <v>3.1064038578754297E-2</v>
      </c>
      <c r="F61" s="1974">
        <v>8.3989561669778924E-3</v>
      </c>
    </row>
    <row r="62" spans="1:6" ht="13.5" customHeight="1" x14ac:dyDescent="0.2">
      <c r="A62" s="363">
        <v>58</v>
      </c>
      <c r="B62" s="363" t="s">
        <v>424</v>
      </c>
      <c r="C62" s="1162">
        <v>330.5</v>
      </c>
      <c r="D62" s="1162">
        <v>452.4545</v>
      </c>
      <c r="E62" s="1866">
        <v>2.3737953179834206E-2</v>
      </c>
      <c r="F62" s="1974">
        <v>7.0011662262891069E-3</v>
      </c>
    </row>
    <row r="63" spans="1:6" ht="13.5" customHeight="1" x14ac:dyDescent="0.2">
      <c r="A63" s="363">
        <v>59</v>
      </c>
      <c r="B63" s="363" t="s">
        <v>431</v>
      </c>
      <c r="C63" s="1162">
        <v>0</v>
      </c>
      <c r="D63" s="1162">
        <v>0</v>
      </c>
      <c r="E63" s="1866">
        <v>0</v>
      </c>
      <c r="F63" s="1974">
        <v>0</v>
      </c>
    </row>
    <row r="64" spans="1:6" ht="13.5" customHeight="1" x14ac:dyDescent="0.2">
      <c r="A64" s="363">
        <v>57</v>
      </c>
      <c r="B64" s="363" t="s">
        <v>1163</v>
      </c>
      <c r="C64" s="1162">
        <v>0</v>
      </c>
      <c r="D64" s="1162">
        <v>0</v>
      </c>
      <c r="E64" s="1866">
        <v>0</v>
      </c>
      <c r="F64" s="1974">
        <v>0</v>
      </c>
    </row>
    <row r="65" spans="1:6" ht="13.5" customHeight="1" thickBot="1" x14ac:dyDescent="0.25">
      <c r="A65" s="363">
        <v>60</v>
      </c>
      <c r="B65" s="2118" t="s">
        <v>430</v>
      </c>
      <c r="C65" s="1863">
        <v>0</v>
      </c>
      <c r="D65" s="1863">
        <v>0</v>
      </c>
      <c r="E65" s="1916">
        <v>0</v>
      </c>
      <c r="F65" s="2365">
        <v>0</v>
      </c>
    </row>
    <row r="66" spans="1:6" ht="19.5" customHeight="1" thickBot="1" x14ac:dyDescent="0.25">
      <c r="A66" s="3314" t="s">
        <v>1288</v>
      </c>
      <c r="B66" s="3314"/>
      <c r="C66" s="1736">
        <v>1392285.1624830288</v>
      </c>
      <c r="D66" s="1736">
        <v>6462559.0276810015</v>
      </c>
      <c r="E66" s="1736">
        <v>99.999999999999915</v>
      </c>
      <c r="F66" s="1865">
        <v>100.00000000000001</v>
      </c>
    </row>
    <row r="67" spans="1:6" x14ac:dyDescent="0.2">
      <c r="A67" s="1867" t="s">
        <v>1934</v>
      </c>
    </row>
    <row r="68" spans="1:6" x14ac:dyDescent="0.2">
      <c r="C68" s="397"/>
      <c r="D68" s="397"/>
    </row>
    <row r="69" spans="1:6" x14ac:dyDescent="0.2">
      <c r="C69" s="397"/>
      <c r="D69" s="397"/>
    </row>
    <row r="71" spans="1:6" x14ac:dyDescent="0.2">
      <c r="C71" s="397"/>
    </row>
  </sheetData>
  <sortState ref="B5:D65">
    <sortCondition descending="1" ref="D5:D65"/>
  </sortState>
  <mergeCells count="3">
    <mergeCell ref="A66:B66"/>
    <mergeCell ref="A2:F2"/>
    <mergeCell ref="E3:F3"/>
  </mergeCells>
  <phoneticPr fontId="13" type="noConversion"/>
  <pageMargins left="0.98425196850393704" right="0.59055118110236227" top="0.59055118110236227" bottom="0.39370078740157483" header="0" footer="0"/>
  <pageSetup scale="8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9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5" max="25" width="12.5703125" bestFit="1" customWidth="1"/>
    <col min="26" max="26" width="16.5703125" bestFit="1" customWidth="1"/>
    <col min="28" max="28" width="16.5703125" bestFit="1" customWidth="1"/>
    <col min="32" max="32" width="15.7109375" bestFit="1" customWidth="1"/>
    <col min="33" max="33" width="17.28515625" bestFit="1" customWidth="1"/>
    <col min="34" max="34" width="19.7109375" customWidth="1"/>
    <col min="46" max="46" width="12.7109375" bestFit="1" customWidth="1"/>
    <col min="47" max="47" width="13" bestFit="1" customWidth="1"/>
    <col min="55" max="55" width="15.7109375" bestFit="1" customWidth="1"/>
    <col min="58" max="58" width="21.85546875" bestFit="1" customWidth="1"/>
    <col min="59" max="59" width="17.5703125" customWidth="1"/>
    <col min="61" max="61" width="23.5703125" bestFit="1" customWidth="1"/>
    <col min="63" max="63" width="29" bestFit="1" customWidth="1"/>
  </cols>
  <sheetData>
    <row r="1" spans="1:63" ht="15.75" customHeight="1" x14ac:dyDescent="0.25">
      <c r="A1" s="2512" t="s">
        <v>2019</v>
      </c>
      <c r="B1" s="2512"/>
      <c r="C1" s="2512"/>
      <c r="D1" s="2512"/>
      <c r="E1" s="2512"/>
      <c r="F1" s="2512"/>
      <c r="G1" s="2512"/>
      <c r="H1" s="2512"/>
      <c r="I1" s="2512"/>
      <c r="J1" s="2512"/>
      <c r="K1" s="2512"/>
      <c r="L1" s="2512"/>
      <c r="M1" s="2512"/>
      <c r="N1" s="2512"/>
      <c r="O1" s="2512"/>
      <c r="P1" s="2512"/>
      <c r="Q1" s="2512"/>
      <c r="R1" s="2512"/>
    </row>
    <row r="2" spans="1:63" ht="15" customHeight="1" x14ac:dyDescent="0.25">
      <c r="A2" s="2130"/>
    </row>
    <row r="3" spans="1:63" ht="24" customHeight="1" x14ac:dyDescent="0.2">
      <c r="A3" s="2137" t="s">
        <v>327</v>
      </c>
      <c r="B3" s="2136" t="s">
        <v>1368</v>
      </c>
      <c r="C3" s="2136" t="s">
        <v>1713</v>
      </c>
      <c r="D3" s="2136" t="s">
        <v>1387</v>
      </c>
      <c r="E3" s="2136" t="s">
        <v>1386</v>
      </c>
      <c r="F3" s="2136" t="s">
        <v>1714</v>
      </c>
      <c r="G3" s="2136" t="s">
        <v>1715</v>
      </c>
      <c r="H3" s="2136" t="s">
        <v>1716</v>
      </c>
      <c r="I3" s="2136" t="s">
        <v>1388</v>
      </c>
      <c r="J3" s="2136" t="s">
        <v>1717</v>
      </c>
      <c r="K3" s="2136" t="s">
        <v>1718</v>
      </c>
      <c r="L3" s="2136" t="s">
        <v>1719</v>
      </c>
      <c r="M3" s="2136" t="s">
        <v>1720</v>
      </c>
      <c r="N3" s="2136" t="s">
        <v>1721</v>
      </c>
      <c r="O3" s="2136" t="s">
        <v>1657</v>
      </c>
      <c r="P3" s="2136" t="s">
        <v>1393</v>
      </c>
      <c r="Q3" s="2136" t="s">
        <v>1394</v>
      </c>
      <c r="R3" s="2136" t="s">
        <v>1722</v>
      </c>
      <c r="S3" s="2136" t="s">
        <v>1723</v>
      </c>
      <c r="T3" s="2136" t="s">
        <v>1377</v>
      </c>
      <c r="U3" s="2136" t="s">
        <v>1733</v>
      </c>
      <c r="V3" s="2136" t="s">
        <v>1734</v>
      </c>
      <c r="W3" s="2242" t="s">
        <v>106</v>
      </c>
      <c r="X3" s="2136" t="s">
        <v>13</v>
      </c>
      <c r="Y3" s="2136" t="s">
        <v>14</v>
      </c>
      <c r="Z3" s="2136" t="s">
        <v>1404</v>
      </c>
      <c r="AA3" s="2136" t="s">
        <v>15</v>
      </c>
      <c r="AB3" s="2242" t="s">
        <v>282</v>
      </c>
      <c r="AC3" s="2136" t="s">
        <v>16</v>
      </c>
      <c r="AD3" s="2136" t="s">
        <v>64</v>
      </c>
      <c r="AE3" s="2136" t="s">
        <v>84</v>
      </c>
      <c r="AF3" s="2136" t="s">
        <v>63</v>
      </c>
      <c r="AG3" s="2136" t="s">
        <v>1724</v>
      </c>
      <c r="AH3" s="2348" t="s">
        <v>1896</v>
      </c>
      <c r="AI3" s="2348" t="s">
        <v>1897</v>
      </c>
      <c r="AJ3" s="2348" t="s">
        <v>1898</v>
      </c>
      <c r="AK3" s="2136" t="s">
        <v>1449</v>
      </c>
      <c r="AL3" s="2136" t="s">
        <v>1450</v>
      </c>
      <c r="AM3" s="2136" t="s">
        <v>1451</v>
      </c>
      <c r="AN3" s="2136" t="s">
        <v>1725</v>
      </c>
      <c r="AO3" s="2136" t="s">
        <v>1453</v>
      </c>
      <c r="AP3" s="2136" t="s">
        <v>1500</v>
      </c>
      <c r="AQ3" s="2136" t="s">
        <v>1726</v>
      </c>
      <c r="AR3" s="2136" t="s">
        <v>1727</v>
      </c>
      <c r="AS3" s="2136" t="s">
        <v>1728</v>
      </c>
      <c r="AT3" s="2136" t="s">
        <v>1729</v>
      </c>
      <c r="AU3" s="2136" t="s">
        <v>1455</v>
      </c>
      <c r="AV3" s="2136" t="s">
        <v>1456</v>
      </c>
      <c r="AW3" s="2136" t="s">
        <v>1458</v>
      </c>
      <c r="AX3" s="2136" t="s">
        <v>1730</v>
      </c>
      <c r="AY3" s="2136" t="s">
        <v>1460</v>
      </c>
      <c r="AZ3" s="2136" t="s">
        <v>1461</v>
      </c>
      <c r="BA3" s="2136" t="s">
        <v>1462</v>
      </c>
      <c r="BB3" s="2136" t="s">
        <v>1463</v>
      </c>
      <c r="BC3" s="2136" t="s">
        <v>1731</v>
      </c>
      <c r="BD3" s="2136" t="s">
        <v>1465</v>
      </c>
      <c r="BE3" s="2136" t="s">
        <v>1732</v>
      </c>
      <c r="BF3" s="2242" t="s">
        <v>107</v>
      </c>
      <c r="BG3" s="2241" t="s">
        <v>194</v>
      </c>
      <c r="BI3" s="2242" t="s">
        <v>1785</v>
      </c>
      <c r="BJ3" s="2248" t="s">
        <v>119</v>
      </c>
      <c r="BK3" s="2251" t="s">
        <v>1784</v>
      </c>
    </row>
    <row r="4" spans="1:63" ht="14.45" customHeight="1" x14ac:dyDescent="0.2">
      <c r="A4" s="2131" t="s">
        <v>352</v>
      </c>
      <c r="B4" s="2132">
        <v>179</v>
      </c>
      <c r="C4" s="2132">
        <v>32868</v>
      </c>
      <c r="D4" s="2132">
        <v>354.25</v>
      </c>
      <c r="E4" s="2132">
        <v>368</v>
      </c>
      <c r="F4" s="2132">
        <v>31</v>
      </c>
      <c r="G4" s="2132">
        <v>5627</v>
      </c>
      <c r="H4" s="2132">
        <v>1538</v>
      </c>
      <c r="I4" s="2132">
        <v>151.5</v>
      </c>
      <c r="J4" s="2132">
        <v>444</v>
      </c>
      <c r="K4" s="2132">
        <v>1370</v>
      </c>
      <c r="L4" s="2132">
        <v>3086</v>
      </c>
      <c r="M4" s="2132">
        <v>1047</v>
      </c>
      <c r="N4" s="2132">
        <v>2151</v>
      </c>
      <c r="O4" s="2132">
        <v>610</v>
      </c>
      <c r="P4" s="2132">
        <v>28</v>
      </c>
      <c r="Q4" s="2132">
        <v>36.200000000000003</v>
      </c>
      <c r="R4" s="2132">
        <v>63.5</v>
      </c>
      <c r="S4" s="2132">
        <v>186</v>
      </c>
      <c r="T4" s="2132">
        <v>73</v>
      </c>
      <c r="U4" s="2132">
        <v>0</v>
      </c>
      <c r="V4" s="2132">
        <v>284</v>
      </c>
      <c r="W4" s="2244">
        <v>50495.45</v>
      </c>
      <c r="X4" s="2132">
        <v>38</v>
      </c>
      <c r="Y4" s="2132">
        <v>96</v>
      </c>
      <c r="Z4" s="2132">
        <v>65.8</v>
      </c>
      <c r="AA4" s="2132">
        <v>778</v>
      </c>
      <c r="AB4" s="2244">
        <v>977.8</v>
      </c>
      <c r="AC4" s="2132">
        <v>4160.3499999999995</v>
      </c>
      <c r="AD4" s="2132">
        <v>32854.950000000004</v>
      </c>
      <c r="AE4" s="2132">
        <v>2908.5</v>
      </c>
      <c r="AF4" s="2132">
        <v>2773.25</v>
      </c>
      <c r="AG4" s="2132">
        <v>9194.9</v>
      </c>
      <c r="AH4" s="2132">
        <v>848.98</v>
      </c>
      <c r="AI4" s="2132">
        <v>524.82999999999993</v>
      </c>
      <c r="AJ4" s="2132">
        <v>193.27</v>
      </c>
      <c r="AK4" s="2132">
        <v>55.8</v>
      </c>
      <c r="AL4" s="2132">
        <v>2669.5</v>
      </c>
      <c r="AM4" s="2132">
        <v>63.5</v>
      </c>
      <c r="AN4" s="2132">
        <v>1213.3499999999999</v>
      </c>
      <c r="AO4" s="2132">
        <v>460.02499999999998</v>
      </c>
      <c r="AP4" s="2132">
        <v>25.5</v>
      </c>
      <c r="AQ4" s="2132">
        <v>70.5</v>
      </c>
      <c r="AR4" s="2132">
        <v>8</v>
      </c>
      <c r="AS4" s="2132">
        <v>171.2</v>
      </c>
      <c r="AT4" s="2132">
        <v>268.95000000000005</v>
      </c>
      <c r="AU4" s="2132">
        <v>587.9</v>
      </c>
      <c r="AV4" s="2132">
        <v>845.2</v>
      </c>
      <c r="AW4" s="2132">
        <v>301.2</v>
      </c>
      <c r="AX4" s="2132">
        <v>510.5</v>
      </c>
      <c r="AY4" s="2132">
        <v>334.3</v>
      </c>
      <c r="AZ4" s="2132">
        <v>277.5</v>
      </c>
      <c r="BA4" s="2132">
        <v>280.60000000000002</v>
      </c>
      <c r="BB4" s="2132">
        <v>105.25</v>
      </c>
      <c r="BC4" s="2132">
        <v>301.2</v>
      </c>
      <c r="BD4" s="2132">
        <v>226.6</v>
      </c>
      <c r="BE4" s="2132">
        <v>0</v>
      </c>
      <c r="BF4" s="2244">
        <v>62235.604999999996</v>
      </c>
      <c r="BG4" s="2246">
        <v>113708.855</v>
      </c>
      <c r="BI4" s="2244">
        <v>362623</v>
      </c>
      <c r="BJ4" s="2250">
        <v>1261.1078000000002</v>
      </c>
      <c r="BK4" s="2253">
        <v>477592.96280000004</v>
      </c>
    </row>
    <row r="5" spans="1:63" ht="14.45" customHeight="1" x14ac:dyDescent="0.2">
      <c r="A5" s="428" t="s">
        <v>353</v>
      </c>
      <c r="B5" s="2133">
        <v>0</v>
      </c>
      <c r="C5" s="2133">
        <v>35</v>
      </c>
      <c r="D5" s="2133">
        <v>119</v>
      </c>
      <c r="E5" s="2133">
        <v>16</v>
      </c>
      <c r="F5" s="2133">
        <v>21</v>
      </c>
      <c r="G5" s="2133">
        <v>640</v>
      </c>
      <c r="H5" s="2133">
        <v>475</v>
      </c>
      <c r="I5" s="2133">
        <v>36</v>
      </c>
      <c r="J5" s="2133">
        <v>60</v>
      </c>
      <c r="K5" s="2133">
        <v>330</v>
      </c>
      <c r="L5" s="2133">
        <v>745</v>
      </c>
      <c r="M5" s="2133">
        <v>195</v>
      </c>
      <c r="N5" s="2133">
        <v>272</v>
      </c>
      <c r="O5" s="2133">
        <v>60</v>
      </c>
      <c r="P5" s="2133">
        <v>5</v>
      </c>
      <c r="Q5" s="2133">
        <v>0</v>
      </c>
      <c r="R5" s="2133">
        <v>9</v>
      </c>
      <c r="S5" s="2133">
        <v>19</v>
      </c>
      <c r="T5" s="2133">
        <v>0</v>
      </c>
      <c r="U5" s="2133">
        <v>0</v>
      </c>
      <c r="V5" s="2133">
        <v>22</v>
      </c>
      <c r="W5" s="2243">
        <v>3059</v>
      </c>
      <c r="X5" s="2133">
        <v>0</v>
      </c>
      <c r="Y5" s="2133">
        <v>8</v>
      </c>
      <c r="Z5" s="2133">
        <v>7</v>
      </c>
      <c r="AA5" s="2133">
        <v>80</v>
      </c>
      <c r="AB5" s="2243">
        <v>95</v>
      </c>
      <c r="AC5" s="2133">
        <v>479</v>
      </c>
      <c r="AD5" s="2133">
        <v>4622.68</v>
      </c>
      <c r="AE5" s="2133">
        <v>857.1</v>
      </c>
      <c r="AF5" s="2133">
        <v>726</v>
      </c>
      <c r="AG5" s="2133">
        <v>878</v>
      </c>
      <c r="AH5" s="2133">
        <v>160</v>
      </c>
      <c r="AI5" s="2133">
        <v>0</v>
      </c>
      <c r="AJ5" s="2133">
        <v>0</v>
      </c>
      <c r="AK5" s="2133">
        <v>25</v>
      </c>
      <c r="AL5" s="2133">
        <v>297</v>
      </c>
      <c r="AM5" s="2133">
        <v>19</v>
      </c>
      <c r="AN5" s="2133">
        <v>167</v>
      </c>
      <c r="AO5" s="2133">
        <v>25.5</v>
      </c>
      <c r="AP5" s="2133">
        <v>0</v>
      </c>
      <c r="AQ5" s="2133">
        <v>17</v>
      </c>
      <c r="AR5" s="2133">
        <v>0</v>
      </c>
      <c r="AS5" s="2133">
        <v>0</v>
      </c>
      <c r="AT5" s="2133">
        <v>44.5</v>
      </c>
      <c r="AU5" s="2133">
        <v>31.5</v>
      </c>
      <c r="AV5" s="2133">
        <v>58</v>
      </c>
      <c r="AW5" s="2133">
        <v>30</v>
      </c>
      <c r="AX5" s="2133">
        <v>50</v>
      </c>
      <c r="AY5" s="2133">
        <v>29.5</v>
      </c>
      <c r="AZ5" s="2133">
        <v>28</v>
      </c>
      <c r="BA5" s="2133">
        <v>81.5</v>
      </c>
      <c r="BB5" s="2133">
        <v>0</v>
      </c>
      <c r="BC5" s="2133">
        <v>34</v>
      </c>
      <c r="BD5" s="2133">
        <v>15</v>
      </c>
      <c r="BE5" s="2133">
        <v>0</v>
      </c>
      <c r="BF5" s="2243">
        <v>8675.2800000000007</v>
      </c>
      <c r="BG5" s="2245">
        <v>11829.28</v>
      </c>
      <c r="BI5" s="2247">
        <v>41214</v>
      </c>
      <c r="BJ5" s="2249">
        <v>131.4</v>
      </c>
      <c r="BK5" s="2252">
        <v>53174.68</v>
      </c>
    </row>
    <row r="6" spans="1:63" ht="14.45" customHeight="1" x14ac:dyDescent="0.2">
      <c r="A6" s="428" t="s">
        <v>354</v>
      </c>
      <c r="B6" s="2133">
        <v>45</v>
      </c>
      <c r="C6" s="2133">
        <v>2050</v>
      </c>
      <c r="D6" s="2133">
        <v>6</v>
      </c>
      <c r="E6" s="2133">
        <v>0</v>
      </c>
      <c r="F6" s="2133">
        <v>0</v>
      </c>
      <c r="G6" s="2133">
        <v>80</v>
      </c>
      <c r="H6" s="2133">
        <v>76</v>
      </c>
      <c r="I6" s="2133">
        <v>0</v>
      </c>
      <c r="J6" s="2133">
        <v>18</v>
      </c>
      <c r="K6" s="2133">
        <v>115</v>
      </c>
      <c r="L6" s="2133">
        <v>226</v>
      </c>
      <c r="M6" s="2133">
        <v>125</v>
      </c>
      <c r="N6" s="2133">
        <v>270</v>
      </c>
      <c r="O6" s="2133">
        <v>143</v>
      </c>
      <c r="P6" s="2133">
        <v>0</v>
      </c>
      <c r="Q6" s="2133">
        <v>0</v>
      </c>
      <c r="R6" s="2133">
        <v>0</v>
      </c>
      <c r="S6" s="2133">
        <v>31</v>
      </c>
      <c r="T6" s="2133">
        <v>0</v>
      </c>
      <c r="U6" s="2133">
        <v>0</v>
      </c>
      <c r="V6" s="2133">
        <v>11</v>
      </c>
      <c r="W6" s="2243">
        <v>3196</v>
      </c>
      <c r="X6" s="2133">
        <v>21</v>
      </c>
      <c r="Y6" s="2133">
        <v>4</v>
      </c>
      <c r="Z6" s="2133">
        <v>8</v>
      </c>
      <c r="AA6" s="2133">
        <v>75</v>
      </c>
      <c r="AB6" s="2243">
        <v>108</v>
      </c>
      <c r="AC6" s="2133">
        <v>61</v>
      </c>
      <c r="AD6" s="2133">
        <v>1205.3499999999999</v>
      </c>
      <c r="AE6" s="2133">
        <v>130</v>
      </c>
      <c r="AF6" s="2133">
        <v>319</v>
      </c>
      <c r="AG6" s="2133">
        <v>272.5</v>
      </c>
      <c r="AH6" s="2133">
        <v>37</v>
      </c>
      <c r="AI6" s="2133">
        <v>0</v>
      </c>
      <c r="AJ6" s="2133">
        <v>0</v>
      </c>
      <c r="AK6" s="2133">
        <v>0</v>
      </c>
      <c r="AL6" s="2133">
        <v>11.5</v>
      </c>
      <c r="AM6" s="2133">
        <v>0</v>
      </c>
      <c r="AN6" s="2133">
        <v>145</v>
      </c>
      <c r="AO6" s="2133">
        <v>0</v>
      </c>
      <c r="AP6" s="2133">
        <v>0</v>
      </c>
      <c r="AQ6" s="2133">
        <v>0</v>
      </c>
      <c r="AR6" s="2133">
        <v>0</v>
      </c>
      <c r="AS6" s="2133">
        <v>2.5</v>
      </c>
      <c r="AT6" s="2133">
        <v>10</v>
      </c>
      <c r="AU6" s="2133">
        <v>23</v>
      </c>
      <c r="AV6" s="2133">
        <v>20</v>
      </c>
      <c r="AW6" s="2133">
        <v>50.7</v>
      </c>
      <c r="AX6" s="2133">
        <v>10.5</v>
      </c>
      <c r="AY6" s="2133">
        <v>0</v>
      </c>
      <c r="AZ6" s="2133">
        <v>35</v>
      </c>
      <c r="BA6" s="2133">
        <v>10.5</v>
      </c>
      <c r="BB6" s="2133">
        <v>12</v>
      </c>
      <c r="BC6" s="2133">
        <v>0</v>
      </c>
      <c r="BD6" s="2133">
        <v>4.5</v>
      </c>
      <c r="BE6" s="2133">
        <v>0</v>
      </c>
      <c r="BF6" s="2243">
        <v>2360.0499999999997</v>
      </c>
      <c r="BG6" s="2245">
        <v>5664.0499999999993</v>
      </c>
      <c r="BI6" s="2247">
        <v>63780</v>
      </c>
      <c r="BJ6" s="2249">
        <v>222.6</v>
      </c>
      <c r="BK6" s="2252">
        <v>69666.649999999994</v>
      </c>
    </row>
    <row r="7" spans="1:63" ht="14.45" customHeight="1" x14ac:dyDescent="0.2">
      <c r="A7" s="428" t="s">
        <v>355</v>
      </c>
      <c r="B7" s="2133">
        <v>0</v>
      </c>
      <c r="C7" s="2133">
        <v>0</v>
      </c>
      <c r="D7" s="2133">
        <v>20</v>
      </c>
      <c r="E7" s="2133">
        <v>8</v>
      </c>
      <c r="F7" s="2133">
        <v>5</v>
      </c>
      <c r="G7" s="2133">
        <v>35</v>
      </c>
      <c r="H7" s="2133">
        <v>30</v>
      </c>
      <c r="I7" s="2133">
        <v>45</v>
      </c>
      <c r="J7" s="2133">
        <v>31</v>
      </c>
      <c r="K7" s="2133">
        <v>58</v>
      </c>
      <c r="L7" s="2133">
        <v>310</v>
      </c>
      <c r="M7" s="2133">
        <v>45</v>
      </c>
      <c r="N7" s="2133">
        <v>260</v>
      </c>
      <c r="O7" s="2133">
        <v>0</v>
      </c>
      <c r="P7" s="2133">
        <v>0</v>
      </c>
      <c r="Q7" s="2133">
        <v>18</v>
      </c>
      <c r="R7" s="2133">
        <v>34</v>
      </c>
      <c r="S7" s="2133">
        <v>0</v>
      </c>
      <c r="T7" s="2133">
        <v>0</v>
      </c>
      <c r="U7" s="2133">
        <v>0</v>
      </c>
      <c r="V7" s="2133">
        <v>50</v>
      </c>
      <c r="W7" s="2243">
        <v>949</v>
      </c>
      <c r="X7" s="2133">
        <v>1</v>
      </c>
      <c r="Y7" s="2133">
        <v>14</v>
      </c>
      <c r="Z7" s="2133">
        <v>10</v>
      </c>
      <c r="AA7" s="2133">
        <v>20</v>
      </c>
      <c r="AB7" s="2243">
        <v>45</v>
      </c>
      <c r="AC7" s="2133">
        <v>129.5</v>
      </c>
      <c r="AD7" s="2133">
        <v>6253.42</v>
      </c>
      <c r="AE7" s="2133">
        <v>74</v>
      </c>
      <c r="AF7" s="2133">
        <v>126</v>
      </c>
      <c r="AG7" s="2133">
        <v>1284.5</v>
      </c>
      <c r="AH7" s="2133">
        <v>44.930000000000007</v>
      </c>
      <c r="AI7" s="2133">
        <v>70.09</v>
      </c>
      <c r="AJ7" s="2133">
        <v>28.96</v>
      </c>
      <c r="AK7" s="2133">
        <v>0</v>
      </c>
      <c r="AL7" s="2133">
        <v>301</v>
      </c>
      <c r="AM7" s="2133">
        <v>19</v>
      </c>
      <c r="AN7" s="2133">
        <v>69</v>
      </c>
      <c r="AO7" s="2133">
        <v>18</v>
      </c>
      <c r="AP7" s="2133">
        <v>25</v>
      </c>
      <c r="AQ7" s="2133">
        <v>21</v>
      </c>
      <c r="AR7" s="2133">
        <v>0</v>
      </c>
      <c r="AS7" s="2133">
        <v>16</v>
      </c>
      <c r="AT7" s="2133">
        <v>18.5</v>
      </c>
      <c r="AU7" s="2133">
        <v>179</v>
      </c>
      <c r="AV7" s="2133">
        <v>142.5</v>
      </c>
      <c r="AW7" s="2133">
        <v>18.5</v>
      </c>
      <c r="AX7" s="2133">
        <v>137.5</v>
      </c>
      <c r="AY7" s="2133">
        <v>145.5</v>
      </c>
      <c r="AZ7" s="2133">
        <v>10</v>
      </c>
      <c r="BA7" s="2133">
        <v>24</v>
      </c>
      <c r="BB7" s="2133">
        <v>25</v>
      </c>
      <c r="BC7" s="2133">
        <v>68</v>
      </c>
      <c r="BD7" s="2133">
        <v>12.5</v>
      </c>
      <c r="BE7" s="2133">
        <v>0</v>
      </c>
      <c r="BF7" s="2243">
        <v>9261.4000000000015</v>
      </c>
      <c r="BG7" s="2245">
        <v>10255.400000000001</v>
      </c>
      <c r="BI7" s="2247">
        <v>17663</v>
      </c>
      <c r="BJ7" s="2249">
        <v>14.178000000000001</v>
      </c>
      <c r="BK7" s="2252">
        <v>27932.578000000001</v>
      </c>
    </row>
    <row r="8" spans="1:63" ht="14.45" customHeight="1" x14ac:dyDescent="0.2">
      <c r="A8" s="428" t="s">
        <v>356</v>
      </c>
      <c r="B8" s="2133">
        <v>0</v>
      </c>
      <c r="C8" s="2133">
        <v>390</v>
      </c>
      <c r="D8" s="2133">
        <v>15</v>
      </c>
      <c r="E8" s="2133">
        <v>0</v>
      </c>
      <c r="F8" s="2133">
        <v>0</v>
      </c>
      <c r="G8" s="2133">
        <v>120</v>
      </c>
      <c r="H8" s="2133">
        <v>120</v>
      </c>
      <c r="I8" s="2133">
        <v>0</v>
      </c>
      <c r="J8" s="2133">
        <v>45</v>
      </c>
      <c r="K8" s="2133">
        <v>0</v>
      </c>
      <c r="L8" s="2133">
        <v>80</v>
      </c>
      <c r="M8" s="2133">
        <v>37</v>
      </c>
      <c r="N8" s="2133">
        <v>60</v>
      </c>
      <c r="O8" s="2133">
        <v>68</v>
      </c>
      <c r="P8" s="2133">
        <v>0</v>
      </c>
      <c r="Q8" s="2133">
        <v>0</v>
      </c>
      <c r="R8" s="2133">
        <v>0</v>
      </c>
      <c r="S8" s="2133">
        <v>13</v>
      </c>
      <c r="T8" s="2133">
        <v>0</v>
      </c>
      <c r="U8" s="2133">
        <v>0</v>
      </c>
      <c r="V8" s="2133">
        <v>20</v>
      </c>
      <c r="W8" s="2243">
        <v>968</v>
      </c>
      <c r="X8" s="2133">
        <v>0</v>
      </c>
      <c r="Y8" s="2133">
        <v>7</v>
      </c>
      <c r="Z8" s="2133">
        <v>3</v>
      </c>
      <c r="AA8" s="2133">
        <v>17</v>
      </c>
      <c r="AB8" s="2243">
        <v>27</v>
      </c>
      <c r="AC8" s="2133">
        <v>312</v>
      </c>
      <c r="AD8" s="2133">
        <v>862.55</v>
      </c>
      <c r="AE8" s="2133">
        <v>117.6</v>
      </c>
      <c r="AF8" s="2133">
        <v>35</v>
      </c>
      <c r="AG8" s="2133">
        <v>434</v>
      </c>
      <c r="AH8" s="2133">
        <v>16</v>
      </c>
      <c r="AI8" s="2133">
        <v>8</v>
      </c>
      <c r="AJ8" s="2133">
        <v>0</v>
      </c>
      <c r="AK8" s="2133">
        <v>8</v>
      </c>
      <c r="AL8" s="2133">
        <v>141</v>
      </c>
      <c r="AM8" s="2133">
        <v>16.5</v>
      </c>
      <c r="AN8" s="2133">
        <v>25</v>
      </c>
      <c r="AO8" s="2133">
        <v>210</v>
      </c>
      <c r="AP8" s="2133">
        <v>0.5</v>
      </c>
      <c r="AQ8" s="2133">
        <v>0</v>
      </c>
      <c r="AR8" s="2133">
        <v>3</v>
      </c>
      <c r="AS8" s="2133">
        <v>0</v>
      </c>
      <c r="AT8" s="2133">
        <v>7</v>
      </c>
      <c r="AU8" s="2133">
        <v>72</v>
      </c>
      <c r="AV8" s="2133">
        <v>96</v>
      </c>
      <c r="AW8" s="2133">
        <v>2</v>
      </c>
      <c r="AX8" s="2133">
        <v>44</v>
      </c>
      <c r="AY8" s="2133">
        <v>7</v>
      </c>
      <c r="AZ8" s="2133">
        <v>19</v>
      </c>
      <c r="BA8" s="2133">
        <v>5</v>
      </c>
      <c r="BB8" s="2133">
        <v>0</v>
      </c>
      <c r="BC8" s="2133">
        <v>42</v>
      </c>
      <c r="BD8" s="2133">
        <v>4.5</v>
      </c>
      <c r="BE8" s="2133">
        <v>0</v>
      </c>
      <c r="BF8" s="2243">
        <v>2487.6499999999996</v>
      </c>
      <c r="BG8" s="2245">
        <v>3482.6499999999996</v>
      </c>
      <c r="BI8" s="2247">
        <v>20217</v>
      </c>
      <c r="BJ8" s="2249">
        <v>22.5</v>
      </c>
      <c r="BK8" s="2252">
        <v>23722.15</v>
      </c>
    </row>
    <row r="9" spans="1:63" ht="14.45" customHeight="1" x14ac:dyDescent="0.2">
      <c r="A9" s="428" t="s">
        <v>357</v>
      </c>
      <c r="B9" s="2133">
        <v>100</v>
      </c>
      <c r="C9" s="2133">
        <v>12550</v>
      </c>
      <c r="D9" s="2133">
        <v>17</v>
      </c>
      <c r="E9" s="2133">
        <v>307</v>
      </c>
      <c r="F9" s="2133">
        <v>1</v>
      </c>
      <c r="G9" s="2133">
        <v>285</v>
      </c>
      <c r="H9" s="2133">
        <v>85</v>
      </c>
      <c r="I9" s="2133">
        <v>40</v>
      </c>
      <c r="J9" s="2133">
        <v>50</v>
      </c>
      <c r="K9" s="2133">
        <v>536</v>
      </c>
      <c r="L9" s="2133">
        <v>420</v>
      </c>
      <c r="M9" s="2133">
        <v>226</v>
      </c>
      <c r="N9" s="2133">
        <v>400</v>
      </c>
      <c r="O9" s="2133">
        <v>87</v>
      </c>
      <c r="P9" s="2133">
        <v>0</v>
      </c>
      <c r="Q9" s="2133">
        <v>8.1999999999999993</v>
      </c>
      <c r="R9" s="2133">
        <v>0</v>
      </c>
      <c r="S9" s="2133">
        <v>31</v>
      </c>
      <c r="T9" s="2133">
        <v>40</v>
      </c>
      <c r="U9" s="2133">
        <v>0</v>
      </c>
      <c r="V9" s="2133">
        <v>31</v>
      </c>
      <c r="W9" s="2243">
        <v>15214.2</v>
      </c>
      <c r="X9" s="2133">
        <v>4</v>
      </c>
      <c r="Y9" s="2133">
        <v>26</v>
      </c>
      <c r="Z9" s="2133">
        <v>11</v>
      </c>
      <c r="AA9" s="2133">
        <v>110</v>
      </c>
      <c r="AB9" s="2243">
        <v>151</v>
      </c>
      <c r="AC9" s="2133">
        <v>488.03000000000003</v>
      </c>
      <c r="AD9" s="2133">
        <v>2025.83</v>
      </c>
      <c r="AE9" s="2133">
        <v>215</v>
      </c>
      <c r="AF9" s="2133">
        <v>108</v>
      </c>
      <c r="AG9" s="2133">
        <v>746.5</v>
      </c>
      <c r="AH9" s="2133">
        <v>150.14000000000001</v>
      </c>
      <c r="AI9" s="2133">
        <v>21</v>
      </c>
      <c r="AJ9" s="2133">
        <v>10.81</v>
      </c>
      <c r="AK9" s="2133">
        <v>10.1</v>
      </c>
      <c r="AL9" s="2133">
        <v>83.5</v>
      </c>
      <c r="AM9" s="2133">
        <v>0</v>
      </c>
      <c r="AN9" s="2133">
        <v>101</v>
      </c>
      <c r="AO9" s="2133">
        <v>54</v>
      </c>
      <c r="AP9" s="2133">
        <v>0</v>
      </c>
      <c r="AQ9" s="2133">
        <v>11</v>
      </c>
      <c r="AR9" s="2133">
        <v>5</v>
      </c>
      <c r="AS9" s="2133">
        <v>12</v>
      </c>
      <c r="AT9" s="2133">
        <v>88</v>
      </c>
      <c r="AU9" s="2133">
        <v>20.5</v>
      </c>
      <c r="AV9" s="2133">
        <v>37</v>
      </c>
      <c r="AW9" s="2133">
        <v>104</v>
      </c>
      <c r="AX9" s="2133">
        <v>73</v>
      </c>
      <c r="AY9" s="2133">
        <v>43</v>
      </c>
      <c r="AZ9" s="2133">
        <v>70</v>
      </c>
      <c r="BA9" s="2133">
        <v>97</v>
      </c>
      <c r="BB9" s="2133">
        <v>6</v>
      </c>
      <c r="BC9" s="2133">
        <v>15</v>
      </c>
      <c r="BD9" s="2133">
        <v>30.5</v>
      </c>
      <c r="BE9" s="2133">
        <v>0</v>
      </c>
      <c r="BF9" s="2243">
        <v>4625.91</v>
      </c>
      <c r="BG9" s="2245">
        <v>19991.11</v>
      </c>
      <c r="BI9" s="2247">
        <v>17057</v>
      </c>
      <c r="BJ9" s="2249">
        <v>309.61160000000001</v>
      </c>
      <c r="BK9" s="2252">
        <v>37357.721600000004</v>
      </c>
    </row>
    <row r="10" spans="1:63" ht="14.45" customHeight="1" x14ac:dyDescent="0.2">
      <c r="A10" s="428" t="s">
        <v>358</v>
      </c>
      <c r="B10" s="2133">
        <v>0</v>
      </c>
      <c r="C10" s="2133">
        <v>0</v>
      </c>
      <c r="D10" s="2133">
        <v>100</v>
      </c>
      <c r="E10" s="2133">
        <v>9</v>
      </c>
      <c r="F10" s="2133">
        <v>4</v>
      </c>
      <c r="G10" s="2133">
        <v>2500</v>
      </c>
      <c r="H10" s="2133">
        <v>350</v>
      </c>
      <c r="I10" s="2133">
        <v>14</v>
      </c>
      <c r="J10" s="2133">
        <v>90</v>
      </c>
      <c r="K10" s="2133">
        <v>51</v>
      </c>
      <c r="L10" s="2133">
        <v>104</v>
      </c>
      <c r="M10" s="2133">
        <v>178</v>
      </c>
      <c r="N10" s="2133">
        <v>435</v>
      </c>
      <c r="O10" s="2133">
        <v>0</v>
      </c>
      <c r="P10" s="2133">
        <v>22</v>
      </c>
      <c r="Q10" s="2133">
        <v>6</v>
      </c>
      <c r="R10" s="2133">
        <v>16</v>
      </c>
      <c r="S10" s="2133">
        <v>8</v>
      </c>
      <c r="T10" s="2133">
        <v>0</v>
      </c>
      <c r="U10" s="2133">
        <v>0</v>
      </c>
      <c r="V10" s="2133">
        <v>60</v>
      </c>
      <c r="W10" s="2243">
        <v>3947</v>
      </c>
      <c r="X10" s="2133">
        <v>1</v>
      </c>
      <c r="Y10" s="2133">
        <v>16</v>
      </c>
      <c r="Z10" s="2133">
        <v>10</v>
      </c>
      <c r="AA10" s="2133">
        <v>150</v>
      </c>
      <c r="AB10" s="2243">
        <v>177</v>
      </c>
      <c r="AC10" s="2133">
        <v>296.5</v>
      </c>
      <c r="AD10" s="2133">
        <v>1897.87</v>
      </c>
      <c r="AE10" s="2133">
        <v>414.4</v>
      </c>
      <c r="AF10" s="2133">
        <v>71</v>
      </c>
      <c r="AG10" s="2133">
        <v>301</v>
      </c>
      <c r="AH10" s="2133">
        <v>15</v>
      </c>
      <c r="AI10" s="2133">
        <v>28</v>
      </c>
      <c r="AJ10" s="2133">
        <v>10</v>
      </c>
      <c r="AK10" s="2133">
        <v>0</v>
      </c>
      <c r="AL10" s="2133">
        <v>18</v>
      </c>
      <c r="AM10" s="2133">
        <v>5</v>
      </c>
      <c r="AN10" s="2133">
        <v>35.5</v>
      </c>
      <c r="AO10" s="2133">
        <v>8</v>
      </c>
      <c r="AP10" s="2133">
        <v>0</v>
      </c>
      <c r="AQ10" s="2133">
        <v>8</v>
      </c>
      <c r="AR10" s="2133">
        <v>0</v>
      </c>
      <c r="AS10" s="2133">
        <v>0</v>
      </c>
      <c r="AT10" s="2133">
        <v>7.5</v>
      </c>
      <c r="AU10" s="2133">
        <v>116.5</v>
      </c>
      <c r="AV10" s="2133">
        <v>355.6</v>
      </c>
      <c r="AW10" s="2133">
        <v>5</v>
      </c>
      <c r="AX10" s="2133">
        <v>92</v>
      </c>
      <c r="AY10" s="2133">
        <v>7</v>
      </c>
      <c r="AZ10" s="2133">
        <v>40</v>
      </c>
      <c r="BA10" s="2133">
        <v>7</v>
      </c>
      <c r="BB10" s="2133">
        <v>37</v>
      </c>
      <c r="BC10" s="2133">
        <v>49</v>
      </c>
      <c r="BD10" s="2133">
        <v>7</v>
      </c>
      <c r="BE10" s="2133">
        <v>0</v>
      </c>
      <c r="BF10" s="2243">
        <v>3831.87</v>
      </c>
      <c r="BG10" s="2245">
        <v>7955.87</v>
      </c>
      <c r="BI10" s="2247">
        <v>38300</v>
      </c>
      <c r="BJ10" s="2249">
        <v>22</v>
      </c>
      <c r="BK10" s="2252">
        <v>46277.87</v>
      </c>
    </row>
    <row r="11" spans="1:63" ht="14.45" customHeight="1" x14ac:dyDescent="0.2">
      <c r="A11" s="428" t="s">
        <v>359</v>
      </c>
      <c r="B11" s="2133">
        <v>0</v>
      </c>
      <c r="C11" s="2133">
        <v>225</v>
      </c>
      <c r="D11" s="2133">
        <v>0</v>
      </c>
      <c r="E11" s="2133">
        <v>6</v>
      </c>
      <c r="F11" s="2133">
        <v>0</v>
      </c>
      <c r="G11" s="2133">
        <v>7</v>
      </c>
      <c r="H11" s="2133">
        <v>81</v>
      </c>
      <c r="I11" s="2133">
        <v>0</v>
      </c>
      <c r="J11" s="2133">
        <v>23</v>
      </c>
      <c r="K11" s="2133">
        <v>22</v>
      </c>
      <c r="L11" s="2133">
        <v>44</v>
      </c>
      <c r="M11" s="2133">
        <v>21</v>
      </c>
      <c r="N11" s="2133">
        <v>40</v>
      </c>
      <c r="O11" s="2133">
        <v>100</v>
      </c>
      <c r="P11" s="2133">
        <v>0</v>
      </c>
      <c r="Q11" s="2133">
        <v>0</v>
      </c>
      <c r="R11" s="2133">
        <v>2</v>
      </c>
      <c r="S11" s="2133">
        <v>7</v>
      </c>
      <c r="T11" s="2133">
        <v>10</v>
      </c>
      <c r="U11" s="2133">
        <v>0</v>
      </c>
      <c r="V11" s="2133">
        <v>9</v>
      </c>
      <c r="W11" s="2243">
        <v>597</v>
      </c>
      <c r="X11" s="2133">
        <v>3</v>
      </c>
      <c r="Y11" s="2133">
        <v>6</v>
      </c>
      <c r="Z11" s="2133">
        <v>3</v>
      </c>
      <c r="AA11" s="2133">
        <v>97</v>
      </c>
      <c r="AB11" s="2243">
        <v>109</v>
      </c>
      <c r="AC11" s="2133">
        <v>135.54999999999998</v>
      </c>
      <c r="AD11" s="2133">
        <v>933.41</v>
      </c>
      <c r="AE11" s="2133">
        <v>20</v>
      </c>
      <c r="AF11" s="2133">
        <v>31.5</v>
      </c>
      <c r="AG11" s="2133">
        <v>137.9</v>
      </c>
      <c r="AH11" s="2133">
        <v>32</v>
      </c>
      <c r="AI11" s="2133">
        <v>17</v>
      </c>
      <c r="AJ11" s="2133">
        <v>7</v>
      </c>
      <c r="AK11" s="2133">
        <v>4</v>
      </c>
      <c r="AL11" s="2133">
        <v>33</v>
      </c>
      <c r="AM11" s="2133">
        <v>0</v>
      </c>
      <c r="AN11" s="2133">
        <v>61.5</v>
      </c>
      <c r="AO11" s="2133">
        <v>0</v>
      </c>
      <c r="AP11" s="2133">
        <v>0</v>
      </c>
      <c r="AQ11" s="2133">
        <v>0.5</v>
      </c>
      <c r="AR11" s="2133">
        <v>0</v>
      </c>
      <c r="AS11" s="2133">
        <v>1.5</v>
      </c>
      <c r="AT11" s="2133">
        <v>3.5</v>
      </c>
      <c r="AU11" s="2133">
        <v>7</v>
      </c>
      <c r="AV11" s="2133">
        <v>5</v>
      </c>
      <c r="AW11" s="2133">
        <v>6</v>
      </c>
      <c r="AX11" s="2133">
        <v>4</v>
      </c>
      <c r="AY11" s="2133">
        <v>49.5</v>
      </c>
      <c r="AZ11" s="2133">
        <v>2</v>
      </c>
      <c r="BA11" s="2133">
        <v>33</v>
      </c>
      <c r="BB11" s="2133">
        <v>0</v>
      </c>
      <c r="BC11" s="2133">
        <v>11</v>
      </c>
      <c r="BD11" s="2133">
        <v>3</v>
      </c>
      <c r="BE11" s="2133">
        <v>0</v>
      </c>
      <c r="BF11" s="2243">
        <v>1538.8600000000001</v>
      </c>
      <c r="BG11" s="2245">
        <v>2244.86</v>
      </c>
      <c r="BI11" s="2247">
        <v>6907</v>
      </c>
      <c r="BJ11" s="2249">
        <v>133.4033</v>
      </c>
      <c r="BK11" s="2252">
        <v>9285.2633000000005</v>
      </c>
    </row>
    <row r="12" spans="1:63" ht="14.45" customHeight="1" x14ac:dyDescent="0.2">
      <c r="A12" s="428" t="s">
        <v>360</v>
      </c>
      <c r="B12" s="2133">
        <v>0</v>
      </c>
      <c r="C12" s="2133">
        <v>77</v>
      </c>
      <c r="D12" s="2133">
        <v>18.25</v>
      </c>
      <c r="E12" s="2133">
        <v>0</v>
      </c>
      <c r="F12" s="2133">
        <v>0</v>
      </c>
      <c r="G12" s="2133">
        <v>241</v>
      </c>
      <c r="H12" s="2133">
        <v>20</v>
      </c>
      <c r="I12" s="2133">
        <v>4.5</v>
      </c>
      <c r="J12" s="2133">
        <v>28</v>
      </c>
      <c r="K12" s="2133">
        <v>0</v>
      </c>
      <c r="L12" s="2133">
        <v>0</v>
      </c>
      <c r="M12" s="2133">
        <v>20</v>
      </c>
      <c r="N12" s="2133">
        <v>64</v>
      </c>
      <c r="O12" s="2133">
        <v>0</v>
      </c>
      <c r="P12" s="2133">
        <v>0</v>
      </c>
      <c r="Q12" s="2133">
        <v>0</v>
      </c>
      <c r="R12" s="2133">
        <v>0</v>
      </c>
      <c r="S12" s="2133">
        <v>0</v>
      </c>
      <c r="T12" s="2133">
        <v>0</v>
      </c>
      <c r="U12" s="2133">
        <v>0</v>
      </c>
      <c r="V12" s="2133">
        <v>37</v>
      </c>
      <c r="W12" s="2243">
        <v>509.75</v>
      </c>
      <c r="X12" s="2133">
        <v>4</v>
      </c>
      <c r="Y12" s="2133">
        <v>5</v>
      </c>
      <c r="Z12" s="2133">
        <v>0.5</v>
      </c>
      <c r="AA12" s="2133">
        <v>45</v>
      </c>
      <c r="AB12" s="2243">
        <v>54.5</v>
      </c>
      <c r="AC12" s="2133">
        <v>206.2</v>
      </c>
      <c r="AD12" s="2133">
        <v>2638.29</v>
      </c>
      <c r="AE12" s="2133">
        <v>173.39999999999998</v>
      </c>
      <c r="AF12" s="2133">
        <v>67</v>
      </c>
      <c r="AG12" s="2133">
        <v>840.09999999999991</v>
      </c>
      <c r="AH12" s="2133">
        <v>71.55</v>
      </c>
      <c r="AI12" s="2133">
        <v>56</v>
      </c>
      <c r="AJ12" s="2133">
        <v>0</v>
      </c>
      <c r="AK12" s="2133">
        <v>5.6999999999999993</v>
      </c>
      <c r="AL12" s="2133">
        <v>0</v>
      </c>
      <c r="AM12" s="2133">
        <v>0</v>
      </c>
      <c r="AN12" s="2133">
        <v>0</v>
      </c>
      <c r="AO12" s="2133">
        <v>4.8999999999999995</v>
      </c>
      <c r="AP12" s="2133">
        <v>0</v>
      </c>
      <c r="AQ12" s="2133">
        <v>9</v>
      </c>
      <c r="AR12" s="2133">
        <v>0</v>
      </c>
      <c r="AS12" s="2133">
        <v>0</v>
      </c>
      <c r="AT12" s="2133">
        <v>19.400000000000002</v>
      </c>
      <c r="AU12" s="2133">
        <v>59.900000000000006</v>
      </c>
      <c r="AV12" s="2133">
        <v>24.4</v>
      </c>
      <c r="AW12" s="2133">
        <v>0</v>
      </c>
      <c r="AX12" s="2133">
        <v>8</v>
      </c>
      <c r="AY12" s="2133">
        <v>18.3</v>
      </c>
      <c r="AZ12" s="2133">
        <v>0</v>
      </c>
      <c r="BA12" s="2133">
        <v>10.1</v>
      </c>
      <c r="BB12" s="2133">
        <v>1.7000000000000002</v>
      </c>
      <c r="BC12" s="2133">
        <v>15.7</v>
      </c>
      <c r="BD12" s="2133">
        <v>0</v>
      </c>
      <c r="BE12" s="2133">
        <v>0</v>
      </c>
      <c r="BF12" s="2243">
        <v>4229.6399999999994</v>
      </c>
      <c r="BG12" s="2245">
        <v>4793.8899999999994</v>
      </c>
      <c r="BI12" s="2247">
        <v>24835</v>
      </c>
      <c r="BJ12" s="2249">
        <v>1.98</v>
      </c>
      <c r="BK12" s="2252">
        <v>29630.87</v>
      </c>
    </row>
    <row r="13" spans="1:63" ht="14.45" customHeight="1" x14ac:dyDescent="0.2">
      <c r="A13" s="428" t="s">
        <v>361</v>
      </c>
      <c r="B13" s="2133">
        <v>9</v>
      </c>
      <c r="C13" s="2133">
        <v>8450</v>
      </c>
      <c r="D13" s="2133">
        <v>0</v>
      </c>
      <c r="E13" s="2133">
        <v>4</v>
      </c>
      <c r="F13" s="2133">
        <v>0</v>
      </c>
      <c r="G13" s="2133">
        <v>115</v>
      </c>
      <c r="H13" s="2133">
        <v>38</v>
      </c>
      <c r="I13" s="2133">
        <v>5</v>
      </c>
      <c r="J13" s="2133">
        <v>53</v>
      </c>
      <c r="K13" s="2133">
        <v>136</v>
      </c>
      <c r="L13" s="2133">
        <v>195</v>
      </c>
      <c r="M13" s="2133">
        <v>100</v>
      </c>
      <c r="N13" s="2133">
        <v>101</v>
      </c>
      <c r="O13" s="2133">
        <v>23</v>
      </c>
      <c r="P13" s="2133">
        <v>0</v>
      </c>
      <c r="Q13" s="2133">
        <v>0</v>
      </c>
      <c r="R13" s="2133">
        <v>0</v>
      </c>
      <c r="S13" s="2133">
        <v>14</v>
      </c>
      <c r="T13" s="2133">
        <v>8</v>
      </c>
      <c r="U13" s="2133">
        <v>0</v>
      </c>
      <c r="V13" s="2133">
        <v>0</v>
      </c>
      <c r="W13" s="2243">
        <v>9251</v>
      </c>
      <c r="X13" s="2133">
        <v>4</v>
      </c>
      <c r="Y13" s="2133">
        <v>5</v>
      </c>
      <c r="Z13" s="2133">
        <v>4</v>
      </c>
      <c r="AA13" s="2133">
        <v>52</v>
      </c>
      <c r="AB13" s="2243">
        <v>65</v>
      </c>
      <c r="AC13" s="2133">
        <v>294.27</v>
      </c>
      <c r="AD13" s="2133">
        <v>2567.29</v>
      </c>
      <c r="AE13" s="2133">
        <v>211</v>
      </c>
      <c r="AF13" s="2133">
        <v>158.25</v>
      </c>
      <c r="AG13" s="2133">
        <v>483.5</v>
      </c>
      <c r="AH13" s="2133">
        <v>64</v>
      </c>
      <c r="AI13" s="2133">
        <v>45</v>
      </c>
      <c r="AJ13" s="2133">
        <v>58</v>
      </c>
      <c r="AK13" s="2133">
        <v>0</v>
      </c>
      <c r="AL13" s="2133">
        <v>152.5</v>
      </c>
      <c r="AM13" s="2133">
        <v>0</v>
      </c>
      <c r="AN13" s="2133">
        <v>35.43</v>
      </c>
      <c r="AO13" s="2133">
        <v>35</v>
      </c>
      <c r="AP13" s="2133">
        <v>0</v>
      </c>
      <c r="AQ13" s="2133">
        <v>2</v>
      </c>
      <c r="AR13" s="2133">
        <v>0</v>
      </c>
      <c r="AS13" s="2133">
        <v>0</v>
      </c>
      <c r="AT13" s="2133">
        <v>16</v>
      </c>
      <c r="AU13" s="2133">
        <v>3.5</v>
      </c>
      <c r="AV13" s="2133">
        <v>23</v>
      </c>
      <c r="AW13" s="2133">
        <v>12</v>
      </c>
      <c r="AX13" s="2133">
        <v>33</v>
      </c>
      <c r="AY13" s="2133">
        <v>14</v>
      </c>
      <c r="AZ13" s="2133">
        <v>8</v>
      </c>
      <c r="BA13" s="2133">
        <v>9</v>
      </c>
      <c r="BB13" s="2133">
        <v>6</v>
      </c>
      <c r="BC13" s="2133">
        <v>25</v>
      </c>
      <c r="BD13" s="2133">
        <v>18</v>
      </c>
      <c r="BE13" s="2133">
        <v>0</v>
      </c>
      <c r="BF13" s="2243">
        <v>4273.74</v>
      </c>
      <c r="BG13" s="2245">
        <v>13589.74</v>
      </c>
      <c r="BI13" s="2247">
        <v>31300</v>
      </c>
      <c r="BJ13" s="2249">
        <v>178.90369999999999</v>
      </c>
      <c r="BK13" s="2252">
        <v>45068.643700000001</v>
      </c>
    </row>
    <row r="14" spans="1:63" ht="14.45" customHeight="1" x14ac:dyDescent="0.2">
      <c r="A14" s="428" t="s">
        <v>362</v>
      </c>
      <c r="B14" s="2133">
        <v>0</v>
      </c>
      <c r="C14" s="2133">
        <v>620</v>
      </c>
      <c r="D14" s="2133">
        <v>9</v>
      </c>
      <c r="E14" s="2133">
        <v>6</v>
      </c>
      <c r="F14" s="2133">
        <v>0</v>
      </c>
      <c r="G14" s="2133">
        <v>209</v>
      </c>
      <c r="H14" s="2133">
        <v>15</v>
      </c>
      <c r="I14" s="2133">
        <v>5</v>
      </c>
      <c r="J14" s="2133">
        <v>3</v>
      </c>
      <c r="K14" s="2133">
        <v>0</v>
      </c>
      <c r="L14" s="2133">
        <v>660</v>
      </c>
      <c r="M14" s="2133">
        <v>0</v>
      </c>
      <c r="N14" s="2133">
        <v>0</v>
      </c>
      <c r="O14" s="2133">
        <v>53</v>
      </c>
      <c r="P14" s="2133">
        <v>0</v>
      </c>
      <c r="Q14" s="2133">
        <v>4</v>
      </c>
      <c r="R14" s="2133">
        <v>2.5</v>
      </c>
      <c r="S14" s="2133">
        <v>32</v>
      </c>
      <c r="T14" s="2133">
        <v>0</v>
      </c>
      <c r="U14" s="2133">
        <v>0</v>
      </c>
      <c r="V14" s="2133">
        <v>7</v>
      </c>
      <c r="W14" s="2243">
        <v>1625.5</v>
      </c>
      <c r="X14" s="2133">
        <v>0</v>
      </c>
      <c r="Y14" s="2133">
        <v>0</v>
      </c>
      <c r="Z14" s="2133">
        <v>0</v>
      </c>
      <c r="AA14" s="2133">
        <v>38</v>
      </c>
      <c r="AB14" s="2243">
        <v>38</v>
      </c>
      <c r="AC14" s="2133">
        <v>896.14</v>
      </c>
      <c r="AD14" s="2133">
        <v>770.56</v>
      </c>
      <c r="AE14" s="2133">
        <v>81</v>
      </c>
      <c r="AF14" s="2133">
        <v>73</v>
      </c>
      <c r="AG14" s="2133">
        <v>374</v>
      </c>
      <c r="AH14" s="2133">
        <v>3</v>
      </c>
      <c r="AI14" s="2133">
        <v>57.6</v>
      </c>
      <c r="AJ14" s="2133">
        <v>8</v>
      </c>
      <c r="AK14" s="2133">
        <v>3</v>
      </c>
      <c r="AL14" s="2133">
        <v>206</v>
      </c>
      <c r="AM14" s="2133">
        <v>0</v>
      </c>
      <c r="AN14" s="2133">
        <v>79</v>
      </c>
      <c r="AO14" s="2133">
        <v>96</v>
      </c>
      <c r="AP14" s="2133">
        <v>0</v>
      </c>
      <c r="AQ14" s="2133">
        <v>1</v>
      </c>
      <c r="AR14" s="2133">
        <v>0</v>
      </c>
      <c r="AS14" s="2133">
        <v>128.19999999999999</v>
      </c>
      <c r="AT14" s="2133">
        <v>26.5</v>
      </c>
      <c r="AU14" s="2133">
        <v>7.9999999999999964</v>
      </c>
      <c r="AV14" s="2133">
        <v>8.9999999999999964</v>
      </c>
      <c r="AW14" s="2133">
        <v>6.5</v>
      </c>
      <c r="AX14" s="2133">
        <v>7</v>
      </c>
      <c r="AY14" s="2133">
        <v>7</v>
      </c>
      <c r="AZ14" s="2133">
        <v>41</v>
      </c>
      <c r="BA14" s="2133">
        <v>2</v>
      </c>
      <c r="BB14" s="2133">
        <v>0</v>
      </c>
      <c r="BC14" s="2133">
        <v>6</v>
      </c>
      <c r="BD14" s="2133">
        <v>125.6</v>
      </c>
      <c r="BE14" s="2133">
        <v>0</v>
      </c>
      <c r="BF14" s="2243">
        <v>3015.0999999999995</v>
      </c>
      <c r="BG14" s="2245">
        <v>4678.5999999999995</v>
      </c>
      <c r="BI14" s="2247">
        <v>20700</v>
      </c>
      <c r="BJ14" s="2249">
        <v>132</v>
      </c>
      <c r="BK14" s="2252">
        <v>25510.6</v>
      </c>
    </row>
    <row r="15" spans="1:63" ht="14.45" customHeight="1" x14ac:dyDescent="0.2">
      <c r="A15" s="428" t="s">
        <v>363</v>
      </c>
      <c r="B15" s="2133">
        <v>0</v>
      </c>
      <c r="C15" s="2133">
        <v>0</v>
      </c>
      <c r="D15" s="2133">
        <v>25</v>
      </c>
      <c r="E15" s="2133">
        <v>0</v>
      </c>
      <c r="F15" s="2133">
        <v>0</v>
      </c>
      <c r="G15" s="2133">
        <v>1090</v>
      </c>
      <c r="H15" s="2133">
        <v>0</v>
      </c>
      <c r="I15" s="2133">
        <v>0</v>
      </c>
      <c r="J15" s="2133">
        <v>4</v>
      </c>
      <c r="K15" s="2133">
        <v>2</v>
      </c>
      <c r="L15" s="2133">
        <v>3</v>
      </c>
      <c r="M15" s="2133">
        <v>0</v>
      </c>
      <c r="N15" s="2133">
        <v>45</v>
      </c>
      <c r="O15" s="2133">
        <v>0</v>
      </c>
      <c r="P15" s="2133">
        <v>1</v>
      </c>
      <c r="Q15" s="2133">
        <v>0</v>
      </c>
      <c r="R15" s="2133">
        <v>0</v>
      </c>
      <c r="S15" s="2133">
        <v>0</v>
      </c>
      <c r="T15" s="2133">
        <v>0</v>
      </c>
      <c r="U15" s="2133">
        <v>0</v>
      </c>
      <c r="V15" s="2133">
        <v>12</v>
      </c>
      <c r="W15" s="2243">
        <v>1182</v>
      </c>
      <c r="X15" s="2133">
        <v>0</v>
      </c>
      <c r="Y15" s="2133">
        <v>1</v>
      </c>
      <c r="Z15" s="2133">
        <v>6</v>
      </c>
      <c r="AA15" s="2133">
        <v>10</v>
      </c>
      <c r="AB15" s="2243">
        <v>17</v>
      </c>
      <c r="AC15" s="2133">
        <v>61</v>
      </c>
      <c r="AD15" s="2133">
        <v>2914.61</v>
      </c>
      <c r="AE15" s="2133">
        <v>345</v>
      </c>
      <c r="AF15" s="2133">
        <v>400</v>
      </c>
      <c r="AG15" s="2133">
        <v>1176.5</v>
      </c>
      <c r="AH15" s="2133">
        <v>196</v>
      </c>
      <c r="AI15" s="2133">
        <v>180</v>
      </c>
      <c r="AJ15" s="2133">
        <v>20</v>
      </c>
      <c r="AK15" s="2133">
        <v>0</v>
      </c>
      <c r="AL15" s="2133">
        <v>40</v>
      </c>
      <c r="AM15" s="2133">
        <v>0</v>
      </c>
      <c r="AN15" s="2133">
        <v>19</v>
      </c>
      <c r="AO15" s="2133">
        <v>0</v>
      </c>
      <c r="AP15" s="2133">
        <v>0</v>
      </c>
      <c r="AQ15" s="2133">
        <v>1</v>
      </c>
      <c r="AR15" s="2133">
        <v>0</v>
      </c>
      <c r="AS15" s="2133">
        <v>0</v>
      </c>
      <c r="AT15" s="2133">
        <v>0</v>
      </c>
      <c r="AU15" s="2133">
        <v>26.5</v>
      </c>
      <c r="AV15" s="2133">
        <v>21</v>
      </c>
      <c r="AW15" s="2133">
        <v>3</v>
      </c>
      <c r="AX15" s="2133">
        <v>6</v>
      </c>
      <c r="AY15" s="2133">
        <v>4</v>
      </c>
      <c r="AZ15" s="2133">
        <v>0</v>
      </c>
      <c r="BA15" s="2133">
        <v>0</v>
      </c>
      <c r="BB15" s="2133">
        <v>11</v>
      </c>
      <c r="BC15" s="2133">
        <v>18</v>
      </c>
      <c r="BD15" s="2133">
        <v>0</v>
      </c>
      <c r="BE15" s="2133">
        <v>0</v>
      </c>
      <c r="BF15" s="2243">
        <v>5442.6100000000006</v>
      </c>
      <c r="BG15" s="2245">
        <v>6641.6100000000006</v>
      </c>
      <c r="BI15" s="2247">
        <v>10995</v>
      </c>
      <c r="BJ15" s="2249">
        <v>9</v>
      </c>
      <c r="BK15" s="2252">
        <v>17645.61</v>
      </c>
    </row>
    <row r="16" spans="1:63" ht="14.45" customHeight="1" x14ac:dyDescent="0.2">
      <c r="A16" s="428" t="s">
        <v>364</v>
      </c>
      <c r="B16" s="2133">
        <v>15</v>
      </c>
      <c r="C16" s="2133">
        <v>2480</v>
      </c>
      <c r="D16" s="2133">
        <v>25</v>
      </c>
      <c r="E16" s="2133">
        <v>2</v>
      </c>
      <c r="F16" s="2133">
        <v>0</v>
      </c>
      <c r="G16" s="2133">
        <v>300</v>
      </c>
      <c r="H16" s="2133">
        <v>230</v>
      </c>
      <c r="I16" s="2133">
        <v>2</v>
      </c>
      <c r="J16" s="2133">
        <v>30</v>
      </c>
      <c r="K16" s="2133">
        <v>115</v>
      </c>
      <c r="L16" s="2133">
        <v>195</v>
      </c>
      <c r="M16" s="2133">
        <v>89</v>
      </c>
      <c r="N16" s="2133">
        <v>188</v>
      </c>
      <c r="O16" s="2133">
        <v>54</v>
      </c>
      <c r="P16" s="2133">
        <v>0</v>
      </c>
      <c r="Q16" s="2133">
        <v>0</v>
      </c>
      <c r="R16" s="2133">
        <v>0</v>
      </c>
      <c r="S16" s="2133">
        <v>23</v>
      </c>
      <c r="T16" s="2133">
        <v>0</v>
      </c>
      <c r="U16" s="2133">
        <v>0</v>
      </c>
      <c r="V16" s="2133">
        <v>24</v>
      </c>
      <c r="W16" s="2243">
        <v>3772</v>
      </c>
      <c r="X16" s="2133">
        <v>0</v>
      </c>
      <c r="Y16" s="2133">
        <v>2</v>
      </c>
      <c r="Z16" s="2133">
        <v>1</v>
      </c>
      <c r="AA16" s="2133">
        <v>48</v>
      </c>
      <c r="AB16" s="2243">
        <v>51</v>
      </c>
      <c r="AC16" s="2133">
        <v>584.16000000000008</v>
      </c>
      <c r="AD16" s="2133">
        <v>3338.96</v>
      </c>
      <c r="AE16" s="2133">
        <v>184</v>
      </c>
      <c r="AF16" s="2133">
        <v>309</v>
      </c>
      <c r="AG16" s="2133">
        <v>1728</v>
      </c>
      <c r="AH16" s="2133">
        <v>50.86</v>
      </c>
      <c r="AI16" s="2133">
        <v>21.14</v>
      </c>
      <c r="AJ16" s="2133">
        <v>10</v>
      </c>
      <c r="AK16" s="2133">
        <v>0</v>
      </c>
      <c r="AL16" s="2133">
        <v>1328</v>
      </c>
      <c r="AM16" s="2133">
        <v>4</v>
      </c>
      <c r="AN16" s="2133">
        <v>124</v>
      </c>
      <c r="AO16" s="2133">
        <v>7</v>
      </c>
      <c r="AP16" s="2133">
        <v>0</v>
      </c>
      <c r="AQ16" s="2133">
        <v>0</v>
      </c>
      <c r="AR16" s="2133">
        <v>0</v>
      </c>
      <c r="AS16" s="2133">
        <v>7</v>
      </c>
      <c r="AT16" s="2133">
        <v>6</v>
      </c>
      <c r="AU16" s="2133">
        <v>29</v>
      </c>
      <c r="AV16" s="2133">
        <v>47</v>
      </c>
      <c r="AW16" s="2133">
        <v>33</v>
      </c>
      <c r="AX16" s="2133">
        <v>45</v>
      </c>
      <c r="AY16" s="2133">
        <v>1</v>
      </c>
      <c r="AZ16" s="2133">
        <v>2</v>
      </c>
      <c r="BA16" s="2133">
        <v>0</v>
      </c>
      <c r="BB16" s="2133">
        <v>2</v>
      </c>
      <c r="BC16" s="2133">
        <v>11</v>
      </c>
      <c r="BD16" s="2133">
        <v>4</v>
      </c>
      <c r="BE16" s="2133">
        <v>0</v>
      </c>
      <c r="BF16" s="2243">
        <v>7876.12</v>
      </c>
      <c r="BG16" s="2245">
        <v>11699.119999999999</v>
      </c>
      <c r="BI16" s="2247">
        <v>21330</v>
      </c>
      <c r="BJ16" s="2249">
        <v>18.8813</v>
      </c>
      <c r="BK16" s="2252">
        <v>33048.001300000004</v>
      </c>
    </row>
    <row r="17" spans="1:63" ht="14.45" customHeight="1" x14ac:dyDescent="0.2">
      <c r="A17" s="428" t="s">
        <v>365</v>
      </c>
      <c r="B17" s="2133">
        <v>0</v>
      </c>
      <c r="C17" s="2133">
        <v>233</v>
      </c>
      <c r="D17" s="2133">
        <v>0</v>
      </c>
      <c r="E17" s="2133">
        <v>0</v>
      </c>
      <c r="F17" s="2133">
        <v>0</v>
      </c>
      <c r="G17" s="2133">
        <v>5</v>
      </c>
      <c r="H17" s="2133">
        <v>18</v>
      </c>
      <c r="I17" s="2133">
        <v>0</v>
      </c>
      <c r="J17" s="2133">
        <v>9</v>
      </c>
      <c r="K17" s="2133">
        <v>0</v>
      </c>
      <c r="L17" s="2133">
        <v>81</v>
      </c>
      <c r="M17" s="2133">
        <v>11</v>
      </c>
      <c r="N17" s="2133">
        <v>16</v>
      </c>
      <c r="O17" s="2133">
        <v>0</v>
      </c>
      <c r="P17" s="2133">
        <v>0</v>
      </c>
      <c r="Q17" s="2133">
        <v>0</v>
      </c>
      <c r="R17" s="2133">
        <v>0</v>
      </c>
      <c r="S17" s="2133">
        <v>0</v>
      </c>
      <c r="T17" s="2133">
        <v>0</v>
      </c>
      <c r="U17" s="2133">
        <v>0</v>
      </c>
      <c r="V17" s="2133">
        <v>0.5</v>
      </c>
      <c r="W17" s="2243">
        <v>373.5</v>
      </c>
      <c r="X17" s="2133">
        <v>0</v>
      </c>
      <c r="Y17" s="2133">
        <v>2</v>
      </c>
      <c r="Z17" s="2133">
        <v>2.2999999999999998</v>
      </c>
      <c r="AA17" s="2133">
        <v>21</v>
      </c>
      <c r="AB17" s="2243">
        <v>25.3</v>
      </c>
      <c r="AC17" s="2133">
        <v>79</v>
      </c>
      <c r="AD17" s="2133">
        <v>2824.13</v>
      </c>
      <c r="AE17" s="2133">
        <v>46.5</v>
      </c>
      <c r="AF17" s="2133">
        <v>12</v>
      </c>
      <c r="AG17" s="2133">
        <v>522.4</v>
      </c>
      <c r="AH17" s="2133">
        <v>8</v>
      </c>
      <c r="AI17" s="2133">
        <v>21</v>
      </c>
      <c r="AJ17" s="2133">
        <v>40.5</v>
      </c>
      <c r="AK17" s="2133">
        <v>0</v>
      </c>
      <c r="AL17" s="2133">
        <v>58</v>
      </c>
      <c r="AM17" s="2133">
        <v>0</v>
      </c>
      <c r="AN17" s="2133">
        <v>10.7</v>
      </c>
      <c r="AO17" s="2133">
        <v>0.5</v>
      </c>
      <c r="AP17" s="2133">
        <v>0</v>
      </c>
      <c r="AQ17" s="2133">
        <v>0</v>
      </c>
      <c r="AR17" s="2133">
        <v>0</v>
      </c>
      <c r="AS17" s="2133">
        <v>0</v>
      </c>
      <c r="AT17" s="2133">
        <v>0</v>
      </c>
      <c r="AU17" s="2133">
        <v>11.5</v>
      </c>
      <c r="AV17" s="2133">
        <v>6.7</v>
      </c>
      <c r="AW17" s="2133">
        <v>0</v>
      </c>
      <c r="AX17" s="2133">
        <v>0</v>
      </c>
      <c r="AY17" s="2133">
        <v>8.5</v>
      </c>
      <c r="AZ17" s="2133">
        <v>0</v>
      </c>
      <c r="BA17" s="2133">
        <v>0</v>
      </c>
      <c r="BB17" s="2133">
        <v>4.55</v>
      </c>
      <c r="BC17" s="2133">
        <v>6.5</v>
      </c>
      <c r="BD17" s="2133">
        <v>0</v>
      </c>
      <c r="BE17" s="2133">
        <v>0</v>
      </c>
      <c r="BF17" s="2243">
        <v>3660.48</v>
      </c>
      <c r="BG17" s="2245">
        <v>4059.28</v>
      </c>
      <c r="BI17" s="2247">
        <v>14710</v>
      </c>
      <c r="BJ17" s="2249">
        <v>1</v>
      </c>
      <c r="BK17" s="2252">
        <v>18770.28</v>
      </c>
    </row>
    <row r="18" spans="1:63" ht="14.45" customHeight="1" x14ac:dyDescent="0.2">
      <c r="A18" s="428" t="s">
        <v>366</v>
      </c>
      <c r="B18" s="2133">
        <v>10</v>
      </c>
      <c r="C18" s="2133">
        <v>2980</v>
      </c>
      <c r="D18" s="2133">
        <v>0</v>
      </c>
      <c r="E18" s="2133">
        <v>10</v>
      </c>
      <c r="F18" s="2133">
        <v>0</v>
      </c>
      <c r="G18" s="2133">
        <v>0</v>
      </c>
      <c r="H18" s="2133">
        <v>0</v>
      </c>
      <c r="I18" s="2133">
        <v>0</v>
      </c>
      <c r="J18" s="2133">
        <v>0</v>
      </c>
      <c r="K18" s="2133">
        <v>5</v>
      </c>
      <c r="L18" s="2133">
        <v>23</v>
      </c>
      <c r="M18" s="2133">
        <v>0</v>
      </c>
      <c r="N18" s="2133">
        <v>0</v>
      </c>
      <c r="O18" s="2133">
        <v>16</v>
      </c>
      <c r="P18" s="2133">
        <v>0</v>
      </c>
      <c r="Q18" s="2133">
        <v>0</v>
      </c>
      <c r="R18" s="2133">
        <v>0</v>
      </c>
      <c r="S18" s="2133">
        <v>8</v>
      </c>
      <c r="T18" s="2133">
        <v>15</v>
      </c>
      <c r="U18" s="2133">
        <v>0</v>
      </c>
      <c r="V18" s="2133">
        <v>0.5</v>
      </c>
      <c r="W18" s="2243">
        <v>3067.5</v>
      </c>
      <c r="X18" s="2133">
        <v>0</v>
      </c>
      <c r="Y18" s="2133">
        <v>0</v>
      </c>
      <c r="Z18" s="2133">
        <v>0</v>
      </c>
      <c r="AA18" s="2133">
        <v>15</v>
      </c>
      <c r="AB18" s="2243">
        <v>15</v>
      </c>
      <c r="AC18" s="2133">
        <v>62</v>
      </c>
      <c r="AD18" s="2133">
        <v>0</v>
      </c>
      <c r="AE18" s="2133">
        <v>37</v>
      </c>
      <c r="AF18" s="2133">
        <v>308.5</v>
      </c>
      <c r="AG18" s="2133">
        <v>0</v>
      </c>
      <c r="AH18" s="2133">
        <v>0</v>
      </c>
      <c r="AI18" s="2133">
        <v>0</v>
      </c>
      <c r="AJ18" s="2133">
        <v>0</v>
      </c>
      <c r="AK18" s="2133">
        <v>0</v>
      </c>
      <c r="AL18" s="2133">
        <v>0</v>
      </c>
      <c r="AM18" s="2133">
        <v>0</v>
      </c>
      <c r="AN18" s="2133">
        <v>270.22000000000003</v>
      </c>
      <c r="AO18" s="2133">
        <v>0</v>
      </c>
      <c r="AP18" s="2133">
        <v>0</v>
      </c>
      <c r="AQ18" s="2133">
        <v>0</v>
      </c>
      <c r="AR18" s="2133">
        <v>0</v>
      </c>
      <c r="AS18" s="2133">
        <v>4</v>
      </c>
      <c r="AT18" s="2133">
        <v>5.5500000000000007</v>
      </c>
      <c r="AU18" s="2133">
        <v>0</v>
      </c>
      <c r="AV18" s="2133">
        <v>0</v>
      </c>
      <c r="AW18" s="2133">
        <v>30.5</v>
      </c>
      <c r="AX18" s="2133">
        <v>0</v>
      </c>
      <c r="AY18" s="2133">
        <v>0</v>
      </c>
      <c r="AZ18" s="2133">
        <v>16</v>
      </c>
      <c r="BA18" s="2133">
        <v>1.5</v>
      </c>
      <c r="BB18" s="2133">
        <v>0</v>
      </c>
      <c r="BC18" s="2133">
        <v>0</v>
      </c>
      <c r="BD18" s="2133">
        <v>0</v>
      </c>
      <c r="BE18" s="2133">
        <v>0</v>
      </c>
      <c r="BF18" s="2243">
        <v>735.27</v>
      </c>
      <c r="BG18" s="2245">
        <v>3817.77</v>
      </c>
      <c r="BI18" s="2247">
        <v>20417</v>
      </c>
      <c r="BJ18" s="2249">
        <v>16</v>
      </c>
      <c r="BK18" s="2252">
        <v>24250.77</v>
      </c>
    </row>
    <row r="19" spans="1:63" ht="14.45" customHeight="1" x14ac:dyDescent="0.2">
      <c r="A19" s="428" t="s">
        <v>367</v>
      </c>
      <c r="B19" s="2133">
        <v>0</v>
      </c>
      <c r="C19" s="2133">
        <v>2778</v>
      </c>
      <c r="D19" s="2133">
        <v>0</v>
      </c>
      <c r="E19" s="2133">
        <v>0</v>
      </c>
      <c r="F19" s="2133">
        <v>0</v>
      </c>
      <c r="G19" s="2133">
        <v>0</v>
      </c>
      <c r="H19" s="2133">
        <v>0</v>
      </c>
      <c r="I19" s="2133">
        <v>0</v>
      </c>
      <c r="J19" s="2133">
        <v>0</v>
      </c>
      <c r="K19" s="2133">
        <v>0</v>
      </c>
      <c r="L19" s="2133">
        <v>0</v>
      </c>
      <c r="M19" s="2133">
        <v>0</v>
      </c>
      <c r="N19" s="2133">
        <v>0</v>
      </c>
      <c r="O19" s="2133">
        <v>6</v>
      </c>
      <c r="P19" s="2133">
        <v>0</v>
      </c>
      <c r="Q19" s="2133">
        <v>0</v>
      </c>
      <c r="R19" s="2133">
        <v>0</v>
      </c>
      <c r="S19" s="2133">
        <v>0</v>
      </c>
      <c r="T19" s="2133">
        <v>0</v>
      </c>
      <c r="U19" s="2133">
        <v>0</v>
      </c>
      <c r="V19" s="2133">
        <v>0</v>
      </c>
      <c r="W19" s="2243">
        <v>2784</v>
      </c>
      <c r="X19" s="2133">
        <v>0</v>
      </c>
      <c r="Y19" s="2133">
        <v>0</v>
      </c>
      <c r="Z19" s="2133">
        <v>0</v>
      </c>
      <c r="AA19" s="2133">
        <v>0</v>
      </c>
      <c r="AB19" s="2243">
        <v>0</v>
      </c>
      <c r="AC19" s="2133">
        <v>76</v>
      </c>
      <c r="AD19" s="2133">
        <v>0</v>
      </c>
      <c r="AE19" s="2133">
        <v>2.5</v>
      </c>
      <c r="AF19" s="2133">
        <v>29</v>
      </c>
      <c r="AG19" s="2133">
        <v>16</v>
      </c>
      <c r="AH19" s="2133">
        <v>0.5</v>
      </c>
      <c r="AI19" s="2133">
        <v>0</v>
      </c>
      <c r="AJ19" s="2133">
        <v>0</v>
      </c>
      <c r="AK19" s="2133">
        <v>0</v>
      </c>
      <c r="AL19" s="2133">
        <v>0</v>
      </c>
      <c r="AM19" s="2133">
        <v>0</v>
      </c>
      <c r="AN19" s="2133">
        <v>71</v>
      </c>
      <c r="AO19" s="2133">
        <v>1.125</v>
      </c>
      <c r="AP19" s="2133">
        <v>0</v>
      </c>
      <c r="AQ19" s="2133">
        <v>0</v>
      </c>
      <c r="AR19" s="2133">
        <v>0</v>
      </c>
      <c r="AS19" s="2133">
        <v>0</v>
      </c>
      <c r="AT19" s="2133">
        <v>16.5</v>
      </c>
      <c r="AU19" s="2133">
        <v>0</v>
      </c>
      <c r="AV19" s="2133">
        <v>0</v>
      </c>
      <c r="AW19" s="2133">
        <v>0</v>
      </c>
      <c r="AX19" s="2133">
        <v>0.5</v>
      </c>
      <c r="AY19" s="2133">
        <v>0</v>
      </c>
      <c r="AZ19" s="2133">
        <v>6.5</v>
      </c>
      <c r="BA19" s="2133">
        <v>0</v>
      </c>
      <c r="BB19" s="2133">
        <v>0</v>
      </c>
      <c r="BC19" s="2133">
        <v>0</v>
      </c>
      <c r="BD19" s="2133">
        <v>2</v>
      </c>
      <c r="BE19" s="2133">
        <v>0</v>
      </c>
      <c r="BF19" s="2243">
        <v>221.625</v>
      </c>
      <c r="BG19" s="2245">
        <v>3005.625</v>
      </c>
      <c r="BI19" s="2247">
        <v>13198</v>
      </c>
      <c r="BJ19" s="2249">
        <v>47.649900000000002</v>
      </c>
      <c r="BK19" s="2252">
        <v>16251.2749</v>
      </c>
    </row>
    <row r="20" spans="1:63" ht="14.45" customHeight="1" x14ac:dyDescent="0.2">
      <c r="A20" s="2131" t="s">
        <v>368</v>
      </c>
      <c r="B20" s="2132">
        <v>0</v>
      </c>
      <c r="C20" s="2132">
        <v>1744</v>
      </c>
      <c r="D20" s="2349">
        <v>263</v>
      </c>
      <c r="E20" s="2132">
        <v>113</v>
      </c>
      <c r="F20" s="2132">
        <v>27</v>
      </c>
      <c r="G20" s="2132">
        <v>3465</v>
      </c>
      <c r="H20" s="2132">
        <v>221</v>
      </c>
      <c r="I20" s="2132">
        <v>123</v>
      </c>
      <c r="J20" s="2132">
        <v>229</v>
      </c>
      <c r="K20" s="2132">
        <v>418.5</v>
      </c>
      <c r="L20" s="2132">
        <v>1051</v>
      </c>
      <c r="M20" s="2132">
        <v>553.5</v>
      </c>
      <c r="N20" s="2132">
        <v>1240</v>
      </c>
      <c r="O20" s="2132">
        <v>11</v>
      </c>
      <c r="P20" s="2132">
        <v>16</v>
      </c>
      <c r="Q20" s="2132">
        <v>75</v>
      </c>
      <c r="R20" s="2132">
        <v>34</v>
      </c>
      <c r="S20" s="2132">
        <v>0</v>
      </c>
      <c r="T20" s="2132">
        <v>0</v>
      </c>
      <c r="U20" s="2132">
        <v>0</v>
      </c>
      <c r="V20" s="2132">
        <v>120</v>
      </c>
      <c r="W20" s="2244">
        <v>9704</v>
      </c>
      <c r="X20" s="2132">
        <v>42</v>
      </c>
      <c r="Y20" s="2132">
        <v>57.3</v>
      </c>
      <c r="Z20" s="2132">
        <v>56</v>
      </c>
      <c r="AA20" s="2132">
        <v>581</v>
      </c>
      <c r="AB20" s="2244">
        <v>736.3</v>
      </c>
      <c r="AC20" s="2132">
        <v>1111.76</v>
      </c>
      <c r="AD20" s="2132">
        <v>18355.66</v>
      </c>
      <c r="AE20" s="2132">
        <v>988.25</v>
      </c>
      <c r="AF20" s="2132">
        <v>291.2</v>
      </c>
      <c r="AG20" s="2132">
        <v>2017</v>
      </c>
      <c r="AH20" s="2132">
        <v>359.99</v>
      </c>
      <c r="AI20" s="2132">
        <v>433.53999999999996</v>
      </c>
      <c r="AJ20" s="2132">
        <v>28</v>
      </c>
      <c r="AK20" s="2132">
        <v>26.5</v>
      </c>
      <c r="AL20" s="2132">
        <v>171.56</v>
      </c>
      <c r="AM20" s="2132">
        <v>12</v>
      </c>
      <c r="AN20" s="2132">
        <v>249.75</v>
      </c>
      <c r="AO20" s="2132">
        <v>6</v>
      </c>
      <c r="AP20" s="2132">
        <v>30.5</v>
      </c>
      <c r="AQ20" s="2132">
        <v>13.850000000000001</v>
      </c>
      <c r="AR20" s="2132">
        <v>162.5</v>
      </c>
      <c r="AS20" s="2132">
        <v>10</v>
      </c>
      <c r="AT20" s="2132">
        <v>61.5</v>
      </c>
      <c r="AU20" s="2132">
        <v>145</v>
      </c>
      <c r="AV20" s="2132">
        <v>361.5</v>
      </c>
      <c r="AW20" s="2132">
        <v>32</v>
      </c>
      <c r="AX20" s="2132">
        <v>146</v>
      </c>
      <c r="AY20" s="2132">
        <v>524</v>
      </c>
      <c r="AZ20" s="2132">
        <v>59.75</v>
      </c>
      <c r="BA20" s="2132">
        <v>60.8</v>
      </c>
      <c r="BB20" s="2132">
        <v>101.25</v>
      </c>
      <c r="BC20" s="2132">
        <v>120.5</v>
      </c>
      <c r="BD20" s="2132">
        <v>27.7</v>
      </c>
      <c r="BE20" s="2132">
        <v>0</v>
      </c>
      <c r="BF20" s="2244">
        <v>25908.06</v>
      </c>
      <c r="BG20" s="2246">
        <v>36348.36</v>
      </c>
      <c r="BI20" s="2244">
        <v>75357</v>
      </c>
      <c r="BJ20" s="2250">
        <v>22.809399999999997</v>
      </c>
      <c r="BK20" s="2253">
        <v>111728.1694</v>
      </c>
    </row>
    <row r="21" spans="1:63" ht="14.45" customHeight="1" x14ac:dyDescent="0.2">
      <c r="A21" s="428" t="s">
        <v>369</v>
      </c>
      <c r="B21" s="2133">
        <v>0</v>
      </c>
      <c r="C21" s="2133">
        <v>0</v>
      </c>
      <c r="D21" s="2133">
        <v>226</v>
      </c>
      <c r="E21" s="2133">
        <v>102</v>
      </c>
      <c r="F21" s="2133">
        <v>27</v>
      </c>
      <c r="G21" s="2133">
        <v>3163</v>
      </c>
      <c r="H21" s="2133">
        <v>0</v>
      </c>
      <c r="I21" s="2133">
        <v>107</v>
      </c>
      <c r="J21" s="2133">
        <v>143</v>
      </c>
      <c r="K21" s="2133">
        <v>351</v>
      </c>
      <c r="L21" s="2133">
        <v>810</v>
      </c>
      <c r="M21" s="2133">
        <v>533</v>
      </c>
      <c r="N21" s="2133">
        <v>1096</v>
      </c>
      <c r="O21" s="2133">
        <v>0</v>
      </c>
      <c r="P21" s="2133">
        <v>16</v>
      </c>
      <c r="Q21" s="2133">
        <v>75</v>
      </c>
      <c r="R21" s="2133">
        <v>30</v>
      </c>
      <c r="S21" s="2133">
        <v>0</v>
      </c>
      <c r="T21" s="2133">
        <v>0</v>
      </c>
      <c r="U21" s="2133">
        <v>0</v>
      </c>
      <c r="V21" s="2133">
        <v>60</v>
      </c>
      <c r="W21" s="2243">
        <v>6739</v>
      </c>
      <c r="X21" s="2133">
        <v>42</v>
      </c>
      <c r="Y21" s="2133">
        <v>32</v>
      </c>
      <c r="Z21" s="2133">
        <v>42</v>
      </c>
      <c r="AA21" s="2133">
        <v>458</v>
      </c>
      <c r="AB21" s="2243">
        <v>574</v>
      </c>
      <c r="AC21" s="2133">
        <v>488.8</v>
      </c>
      <c r="AD21" s="2133">
        <v>11448.81</v>
      </c>
      <c r="AE21" s="2133">
        <v>499.5</v>
      </c>
      <c r="AF21" s="2133">
        <v>205</v>
      </c>
      <c r="AG21" s="2133">
        <v>1406.6</v>
      </c>
      <c r="AH21" s="2133">
        <v>203.7</v>
      </c>
      <c r="AI21" s="2133">
        <v>234</v>
      </c>
      <c r="AJ21" s="2133">
        <v>18</v>
      </c>
      <c r="AK21" s="2133">
        <v>11.5</v>
      </c>
      <c r="AL21" s="2133">
        <v>125.4</v>
      </c>
      <c r="AM21" s="2133">
        <v>12</v>
      </c>
      <c r="AN21" s="2133">
        <v>115.25</v>
      </c>
      <c r="AO21" s="2133">
        <v>6</v>
      </c>
      <c r="AP21" s="2133">
        <v>15.5</v>
      </c>
      <c r="AQ21" s="2133">
        <v>9.8500000000000014</v>
      </c>
      <c r="AR21" s="2133">
        <v>30.5</v>
      </c>
      <c r="AS21" s="2133">
        <v>10</v>
      </c>
      <c r="AT21" s="2133">
        <v>48.5</v>
      </c>
      <c r="AU21" s="2133">
        <v>76.5</v>
      </c>
      <c r="AV21" s="2133">
        <v>226.75</v>
      </c>
      <c r="AW21" s="2133">
        <v>26.5</v>
      </c>
      <c r="AX21" s="2133">
        <v>129.5</v>
      </c>
      <c r="AY21" s="2133">
        <v>488.5</v>
      </c>
      <c r="AZ21" s="2133">
        <v>33.75</v>
      </c>
      <c r="BA21" s="2133">
        <v>27</v>
      </c>
      <c r="BB21" s="2133">
        <v>27.5</v>
      </c>
      <c r="BC21" s="2133">
        <v>78.5</v>
      </c>
      <c r="BD21" s="2133">
        <v>11.7</v>
      </c>
      <c r="BE21" s="2133">
        <v>0</v>
      </c>
      <c r="BF21" s="2243">
        <v>16015.11</v>
      </c>
      <c r="BG21" s="2245">
        <v>23328.11</v>
      </c>
      <c r="BI21" s="2247">
        <v>29625</v>
      </c>
      <c r="BJ21" s="2249">
        <v>8.4054000000000002</v>
      </c>
      <c r="BK21" s="2252">
        <v>52961.515400000004</v>
      </c>
    </row>
    <row r="22" spans="1:63" ht="14.45" customHeight="1" x14ac:dyDescent="0.2">
      <c r="A22" s="428" t="s">
        <v>370</v>
      </c>
      <c r="B22" s="2133">
        <v>0</v>
      </c>
      <c r="C22" s="2133">
        <v>0</v>
      </c>
      <c r="D22" s="2133">
        <v>29</v>
      </c>
      <c r="E22" s="2133">
        <v>9</v>
      </c>
      <c r="F22" s="2133">
        <v>0</v>
      </c>
      <c r="G22" s="2133">
        <v>160</v>
      </c>
      <c r="H22" s="2133">
        <v>160</v>
      </c>
      <c r="I22" s="2133">
        <v>8</v>
      </c>
      <c r="J22" s="2133">
        <v>50</v>
      </c>
      <c r="K22" s="2133">
        <v>0</v>
      </c>
      <c r="L22" s="2133">
        <v>45</v>
      </c>
      <c r="M22" s="2133">
        <v>0</v>
      </c>
      <c r="N22" s="2133">
        <v>80</v>
      </c>
      <c r="O22" s="2133">
        <v>0</v>
      </c>
      <c r="P22" s="2133">
        <v>0</v>
      </c>
      <c r="Q22" s="2133">
        <v>0</v>
      </c>
      <c r="R22" s="2133">
        <v>4</v>
      </c>
      <c r="S22" s="2133">
        <v>0</v>
      </c>
      <c r="T22" s="2133">
        <v>0</v>
      </c>
      <c r="U22" s="2133">
        <v>0</v>
      </c>
      <c r="V22" s="2133">
        <v>32</v>
      </c>
      <c r="W22" s="2243">
        <v>577</v>
      </c>
      <c r="X22" s="2133">
        <v>0</v>
      </c>
      <c r="Y22" s="2133">
        <v>15</v>
      </c>
      <c r="Z22" s="2133">
        <v>10</v>
      </c>
      <c r="AA22" s="2133">
        <v>40</v>
      </c>
      <c r="AB22" s="2243">
        <v>65</v>
      </c>
      <c r="AC22" s="2133">
        <v>2</v>
      </c>
      <c r="AD22" s="2133">
        <v>2594.4</v>
      </c>
      <c r="AE22" s="2133">
        <v>238.5</v>
      </c>
      <c r="AF22" s="2133">
        <v>26.5</v>
      </c>
      <c r="AG22" s="2133">
        <v>162</v>
      </c>
      <c r="AH22" s="2133">
        <v>139.95999999999998</v>
      </c>
      <c r="AI22" s="2133">
        <v>142.04</v>
      </c>
      <c r="AJ22" s="2133">
        <v>0</v>
      </c>
      <c r="AK22" s="2133">
        <v>0</v>
      </c>
      <c r="AL22" s="2133">
        <v>0</v>
      </c>
      <c r="AM22" s="2133">
        <v>0</v>
      </c>
      <c r="AN22" s="2133">
        <v>24</v>
      </c>
      <c r="AO22" s="2133">
        <v>0</v>
      </c>
      <c r="AP22" s="2133">
        <v>15</v>
      </c>
      <c r="AQ22" s="2133">
        <v>2</v>
      </c>
      <c r="AR22" s="2133">
        <v>129</v>
      </c>
      <c r="AS22" s="2133">
        <v>0</v>
      </c>
      <c r="AT22" s="2133">
        <v>0</v>
      </c>
      <c r="AU22" s="2133">
        <v>49.5</v>
      </c>
      <c r="AV22" s="2133">
        <v>95</v>
      </c>
      <c r="AW22" s="2133">
        <v>0</v>
      </c>
      <c r="AX22" s="2133">
        <v>0</v>
      </c>
      <c r="AY22" s="2133">
        <v>32</v>
      </c>
      <c r="AZ22" s="2133">
        <v>0</v>
      </c>
      <c r="BA22" s="2133">
        <v>6</v>
      </c>
      <c r="BB22" s="2133">
        <v>59</v>
      </c>
      <c r="BC22" s="2133">
        <v>34</v>
      </c>
      <c r="BD22" s="2133">
        <v>6</v>
      </c>
      <c r="BE22" s="2133">
        <v>0</v>
      </c>
      <c r="BF22" s="2243">
        <v>3756.9</v>
      </c>
      <c r="BG22" s="2245">
        <v>4398.8999999999996</v>
      </c>
      <c r="BI22" s="2247">
        <v>1390</v>
      </c>
      <c r="BJ22" s="2249">
        <v>1.089</v>
      </c>
      <c r="BK22" s="2252">
        <v>5789.9889999999996</v>
      </c>
    </row>
    <row r="23" spans="1:63" ht="14.45" customHeight="1" x14ac:dyDescent="0.2">
      <c r="A23" s="428" t="s">
        <v>371</v>
      </c>
      <c r="B23" s="2133">
        <v>0</v>
      </c>
      <c r="C23" s="2133">
        <v>0</v>
      </c>
      <c r="D23" s="2133">
        <v>8</v>
      </c>
      <c r="E23" s="2133">
        <v>0</v>
      </c>
      <c r="F23" s="2133">
        <v>0</v>
      </c>
      <c r="G23" s="2133">
        <v>51</v>
      </c>
      <c r="H23" s="2133">
        <v>28</v>
      </c>
      <c r="I23" s="2133">
        <v>0</v>
      </c>
      <c r="J23" s="2133">
        <v>17</v>
      </c>
      <c r="K23" s="2133">
        <v>6.5</v>
      </c>
      <c r="L23" s="2133">
        <v>12</v>
      </c>
      <c r="M23" s="2133">
        <v>13.5</v>
      </c>
      <c r="N23" s="2133">
        <v>28</v>
      </c>
      <c r="O23" s="2133">
        <v>0</v>
      </c>
      <c r="P23" s="2133">
        <v>0</v>
      </c>
      <c r="Q23" s="2133">
        <v>0</v>
      </c>
      <c r="R23" s="2133">
        <v>0</v>
      </c>
      <c r="S23" s="2133">
        <v>0</v>
      </c>
      <c r="T23" s="2133">
        <v>0</v>
      </c>
      <c r="U23" s="2133">
        <v>0</v>
      </c>
      <c r="V23" s="2133">
        <v>18</v>
      </c>
      <c r="W23" s="2243">
        <v>182</v>
      </c>
      <c r="X23" s="2133">
        <v>0</v>
      </c>
      <c r="Y23" s="2133">
        <v>10</v>
      </c>
      <c r="Z23" s="2133">
        <v>4</v>
      </c>
      <c r="AA23" s="2133">
        <v>31</v>
      </c>
      <c r="AB23" s="2243">
        <v>45</v>
      </c>
      <c r="AC23" s="2133">
        <v>43.300000000000011</v>
      </c>
      <c r="AD23" s="2133">
        <v>1923.69</v>
      </c>
      <c r="AE23" s="2133">
        <v>35</v>
      </c>
      <c r="AF23" s="2133">
        <v>0</v>
      </c>
      <c r="AG23" s="2133">
        <v>324.2</v>
      </c>
      <c r="AH23" s="2133">
        <v>0.75</v>
      </c>
      <c r="AI23" s="2133">
        <v>29.5</v>
      </c>
      <c r="AJ23" s="2133">
        <v>0</v>
      </c>
      <c r="AK23" s="2133">
        <v>1</v>
      </c>
      <c r="AL23" s="2133">
        <v>9.16</v>
      </c>
      <c r="AM23" s="2133">
        <v>0</v>
      </c>
      <c r="AN23" s="2133">
        <v>7</v>
      </c>
      <c r="AO23" s="2133">
        <v>0</v>
      </c>
      <c r="AP23" s="2133">
        <v>0</v>
      </c>
      <c r="AQ23" s="2133">
        <v>0</v>
      </c>
      <c r="AR23" s="2133">
        <v>2</v>
      </c>
      <c r="AS23" s="2133">
        <v>0</v>
      </c>
      <c r="AT23" s="2133">
        <v>5</v>
      </c>
      <c r="AU23" s="2133">
        <v>15</v>
      </c>
      <c r="AV23" s="2133">
        <v>20.75</v>
      </c>
      <c r="AW23" s="2133">
        <v>5</v>
      </c>
      <c r="AX23" s="2133">
        <v>0</v>
      </c>
      <c r="AY23" s="2133">
        <v>3.5</v>
      </c>
      <c r="AZ23" s="2133">
        <v>0</v>
      </c>
      <c r="BA23" s="2133">
        <v>3.7999999999999972</v>
      </c>
      <c r="BB23" s="2133">
        <v>10.75</v>
      </c>
      <c r="BC23" s="2133">
        <v>6</v>
      </c>
      <c r="BD23" s="2133">
        <v>4</v>
      </c>
      <c r="BE23" s="2133">
        <v>0</v>
      </c>
      <c r="BF23" s="2243">
        <v>2449.4</v>
      </c>
      <c r="BG23" s="2245">
        <v>2676.4</v>
      </c>
      <c r="BI23" s="2247">
        <v>3425</v>
      </c>
      <c r="BJ23" s="2249">
        <v>1.2</v>
      </c>
      <c r="BK23" s="2252">
        <v>6102.6</v>
      </c>
    </row>
    <row r="24" spans="1:63" ht="14.45" customHeight="1" x14ac:dyDescent="0.2">
      <c r="A24" s="428" t="s">
        <v>372</v>
      </c>
      <c r="B24" s="2133">
        <v>0</v>
      </c>
      <c r="C24" s="2133">
        <v>500</v>
      </c>
      <c r="D24" s="2133">
        <v>0</v>
      </c>
      <c r="E24" s="2133">
        <v>2</v>
      </c>
      <c r="F24" s="2133">
        <v>0</v>
      </c>
      <c r="G24" s="2133">
        <v>14</v>
      </c>
      <c r="H24" s="2133">
        <v>14</v>
      </c>
      <c r="I24" s="2133">
        <v>4</v>
      </c>
      <c r="J24" s="2133">
        <v>14</v>
      </c>
      <c r="K24" s="2133">
        <v>14</v>
      </c>
      <c r="L24" s="2133">
        <v>33</v>
      </c>
      <c r="M24" s="2133">
        <v>7</v>
      </c>
      <c r="N24" s="2133">
        <v>25</v>
      </c>
      <c r="O24" s="2133">
        <v>0</v>
      </c>
      <c r="P24" s="2133">
        <v>0</v>
      </c>
      <c r="Q24" s="2133">
        <v>0</v>
      </c>
      <c r="R24" s="2133">
        <v>0</v>
      </c>
      <c r="S24" s="2133">
        <v>0</v>
      </c>
      <c r="T24" s="2133">
        <v>0</v>
      </c>
      <c r="U24" s="2133">
        <v>0</v>
      </c>
      <c r="V24" s="2133">
        <v>6</v>
      </c>
      <c r="W24" s="2243">
        <v>633</v>
      </c>
      <c r="X24" s="2133">
        <v>0</v>
      </c>
      <c r="Y24" s="2133">
        <v>0.3</v>
      </c>
      <c r="Z24" s="2133">
        <v>0</v>
      </c>
      <c r="AA24" s="2133">
        <v>23</v>
      </c>
      <c r="AB24" s="2243">
        <v>23.3</v>
      </c>
      <c r="AC24" s="2133">
        <v>307.89999999999998</v>
      </c>
      <c r="AD24" s="2133">
        <v>1706.6</v>
      </c>
      <c r="AE24" s="2133">
        <v>120.75</v>
      </c>
      <c r="AF24" s="2133">
        <v>34.200000000000003</v>
      </c>
      <c r="AG24" s="2133">
        <v>74</v>
      </c>
      <c r="AH24" s="2133">
        <v>7.98</v>
      </c>
      <c r="AI24" s="2133">
        <v>28</v>
      </c>
      <c r="AJ24" s="2133">
        <v>10</v>
      </c>
      <c r="AK24" s="2133">
        <v>12</v>
      </c>
      <c r="AL24" s="2133">
        <v>8</v>
      </c>
      <c r="AM24" s="2133">
        <v>0</v>
      </c>
      <c r="AN24" s="2133">
        <v>95</v>
      </c>
      <c r="AO24" s="2133">
        <v>0</v>
      </c>
      <c r="AP24" s="2133">
        <v>0</v>
      </c>
      <c r="AQ24" s="2133">
        <v>2</v>
      </c>
      <c r="AR24" s="2133">
        <v>1</v>
      </c>
      <c r="AS24" s="2133">
        <v>0</v>
      </c>
      <c r="AT24" s="2133">
        <v>2</v>
      </c>
      <c r="AU24" s="2133">
        <v>0</v>
      </c>
      <c r="AV24" s="2133">
        <v>13</v>
      </c>
      <c r="AW24" s="2133">
        <v>0.5</v>
      </c>
      <c r="AX24" s="2133">
        <v>4.5</v>
      </c>
      <c r="AY24" s="2133">
        <v>0</v>
      </c>
      <c r="AZ24" s="2133">
        <v>7</v>
      </c>
      <c r="BA24" s="2133">
        <v>3</v>
      </c>
      <c r="BB24" s="2133">
        <v>3</v>
      </c>
      <c r="BC24" s="2133">
        <v>0</v>
      </c>
      <c r="BD24" s="2133">
        <v>4</v>
      </c>
      <c r="BE24" s="2133">
        <v>0</v>
      </c>
      <c r="BF24" s="2243">
        <v>2444.4299999999998</v>
      </c>
      <c r="BG24" s="2245">
        <v>3100.7299999999996</v>
      </c>
      <c r="BI24" s="2247">
        <v>20201</v>
      </c>
      <c r="BJ24" s="2249">
        <v>7.3550000000000004</v>
      </c>
      <c r="BK24" s="2252">
        <v>23309.084999999999</v>
      </c>
    </row>
    <row r="25" spans="1:63" ht="14.45" customHeight="1" x14ac:dyDescent="0.2">
      <c r="A25" s="428" t="s">
        <v>373</v>
      </c>
      <c r="B25" s="2133">
        <v>0</v>
      </c>
      <c r="C25" s="2133">
        <v>1244</v>
      </c>
      <c r="D25" s="2133">
        <v>0</v>
      </c>
      <c r="E25" s="2133">
        <v>0</v>
      </c>
      <c r="F25" s="2133">
        <v>0</v>
      </c>
      <c r="G25" s="2133">
        <v>77</v>
      </c>
      <c r="H25" s="2133">
        <v>19</v>
      </c>
      <c r="I25" s="2133">
        <v>4</v>
      </c>
      <c r="J25" s="2133">
        <v>5</v>
      </c>
      <c r="K25" s="2133">
        <v>47</v>
      </c>
      <c r="L25" s="2133">
        <v>151</v>
      </c>
      <c r="M25" s="2133">
        <v>0</v>
      </c>
      <c r="N25" s="2133">
        <v>11</v>
      </c>
      <c r="O25" s="2133">
        <v>11</v>
      </c>
      <c r="P25" s="2133">
        <v>0</v>
      </c>
      <c r="Q25" s="2133">
        <v>0</v>
      </c>
      <c r="R25" s="2133">
        <v>0</v>
      </c>
      <c r="S25" s="2133">
        <v>0</v>
      </c>
      <c r="T25" s="2133">
        <v>0</v>
      </c>
      <c r="U25" s="2133">
        <v>0</v>
      </c>
      <c r="V25" s="2133">
        <v>4</v>
      </c>
      <c r="W25" s="2243">
        <v>1573</v>
      </c>
      <c r="X25" s="2133">
        <v>0</v>
      </c>
      <c r="Y25" s="2133">
        <v>0</v>
      </c>
      <c r="Z25" s="2133">
        <v>0</v>
      </c>
      <c r="AA25" s="2133">
        <v>29</v>
      </c>
      <c r="AB25" s="2243">
        <v>29</v>
      </c>
      <c r="AC25" s="2133">
        <v>269.76</v>
      </c>
      <c r="AD25" s="2133">
        <v>682.16</v>
      </c>
      <c r="AE25" s="2133">
        <v>94.5</v>
      </c>
      <c r="AF25" s="2133">
        <v>25.5</v>
      </c>
      <c r="AG25" s="2133">
        <v>50.2</v>
      </c>
      <c r="AH25" s="2133">
        <v>7.6</v>
      </c>
      <c r="AI25" s="2133">
        <v>0</v>
      </c>
      <c r="AJ25" s="2133">
        <v>0</v>
      </c>
      <c r="AK25" s="2133">
        <v>2</v>
      </c>
      <c r="AL25" s="2133">
        <v>29</v>
      </c>
      <c r="AM25" s="2133">
        <v>0</v>
      </c>
      <c r="AN25" s="2133">
        <v>8.5</v>
      </c>
      <c r="AO25" s="2133">
        <v>0</v>
      </c>
      <c r="AP25" s="2133">
        <v>0</v>
      </c>
      <c r="AQ25" s="2133">
        <v>0</v>
      </c>
      <c r="AR25" s="2133">
        <v>0</v>
      </c>
      <c r="AS25" s="2133">
        <v>0</v>
      </c>
      <c r="AT25" s="2133">
        <v>6</v>
      </c>
      <c r="AU25" s="2133">
        <v>4</v>
      </c>
      <c r="AV25" s="2133">
        <v>6</v>
      </c>
      <c r="AW25" s="2133">
        <v>0</v>
      </c>
      <c r="AX25" s="2133">
        <v>12</v>
      </c>
      <c r="AY25" s="2133">
        <v>0</v>
      </c>
      <c r="AZ25" s="2133">
        <v>19</v>
      </c>
      <c r="BA25" s="2133">
        <v>21</v>
      </c>
      <c r="BB25" s="2133">
        <v>1</v>
      </c>
      <c r="BC25" s="2133">
        <v>2</v>
      </c>
      <c r="BD25" s="2133">
        <v>2</v>
      </c>
      <c r="BE25" s="2133">
        <v>0</v>
      </c>
      <c r="BF25" s="2243">
        <v>1242.22</v>
      </c>
      <c r="BG25" s="2245">
        <v>2844.2200000000003</v>
      </c>
      <c r="BI25" s="2247">
        <v>20716</v>
      </c>
      <c r="BJ25" s="2249">
        <v>4.76</v>
      </c>
      <c r="BK25" s="2252">
        <v>23564.98</v>
      </c>
    </row>
    <row r="26" spans="1:63" ht="14.45" customHeight="1" x14ac:dyDescent="0.2">
      <c r="A26" s="2131" t="s">
        <v>374</v>
      </c>
      <c r="B26" s="2132">
        <v>0</v>
      </c>
      <c r="C26" s="2132">
        <v>198</v>
      </c>
      <c r="D26" s="2349">
        <v>168.5</v>
      </c>
      <c r="E26" s="2132">
        <v>301</v>
      </c>
      <c r="F26" s="2132">
        <v>13</v>
      </c>
      <c r="G26" s="2132">
        <v>1549</v>
      </c>
      <c r="H26" s="2132">
        <v>298.7</v>
      </c>
      <c r="I26" s="2132">
        <v>174</v>
      </c>
      <c r="J26" s="2132">
        <v>176</v>
      </c>
      <c r="K26" s="2132">
        <v>595</v>
      </c>
      <c r="L26" s="2132">
        <v>1338.5</v>
      </c>
      <c r="M26" s="2132">
        <v>732</v>
      </c>
      <c r="N26" s="2132">
        <v>1366.2</v>
      </c>
      <c r="O26" s="2132">
        <v>232</v>
      </c>
      <c r="P26" s="2132">
        <v>0</v>
      </c>
      <c r="Q26" s="2132">
        <v>25</v>
      </c>
      <c r="R26" s="2132">
        <v>122</v>
      </c>
      <c r="S26" s="2132">
        <v>47</v>
      </c>
      <c r="T26" s="2132">
        <v>11</v>
      </c>
      <c r="U26" s="2132">
        <v>0</v>
      </c>
      <c r="V26" s="2132">
        <v>246.5</v>
      </c>
      <c r="W26" s="2244">
        <v>7593.4</v>
      </c>
      <c r="X26" s="2132">
        <v>22</v>
      </c>
      <c r="Y26" s="2132">
        <v>114</v>
      </c>
      <c r="Z26" s="2132">
        <v>96</v>
      </c>
      <c r="AA26" s="2132">
        <v>413</v>
      </c>
      <c r="AB26" s="2244">
        <v>645</v>
      </c>
      <c r="AC26" s="2132">
        <v>1692.2249999999997</v>
      </c>
      <c r="AD26" s="2132">
        <v>36556.259999999995</v>
      </c>
      <c r="AE26" s="2132">
        <v>823.65699999999993</v>
      </c>
      <c r="AF26" s="2132">
        <v>734.75</v>
      </c>
      <c r="AG26" s="2132">
        <v>7435.3769999999995</v>
      </c>
      <c r="AH26" s="2132">
        <v>970.00300000000004</v>
      </c>
      <c r="AI26" s="2132">
        <v>338.27</v>
      </c>
      <c r="AJ26" s="2132">
        <v>227.98</v>
      </c>
      <c r="AK26" s="2132">
        <v>86.664999999999992</v>
      </c>
      <c r="AL26" s="2132">
        <v>221.95</v>
      </c>
      <c r="AM26" s="2132">
        <v>27.5</v>
      </c>
      <c r="AN26" s="2132">
        <v>1080.3150000000001</v>
      </c>
      <c r="AO26" s="2132">
        <v>534.5</v>
      </c>
      <c r="AP26" s="2132">
        <v>74.8</v>
      </c>
      <c r="AQ26" s="2132">
        <v>21.5</v>
      </c>
      <c r="AR26" s="2132">
        <v>12.5</v>
      </c>
      <c r="AS26" s="2132">
        <v>6.29</v>
      </c>
      <c r="AT26" s="2132">
        <v>213.73000000000002</v>
      </c>
      <c r="AU26" s="2132">
        <v>230.66</v>
      </c>
      <c r="AV26" s="2132">
        <v>557.16999999999996</v>
      </c>
      <c r="AW26" s="2132">
        <v>125.8</v>
      </c>
      <c r="AX26" s="2132">
        <v>673.67</v>
      </c>
      <c r="AY26" s="2132">
        <v>191.12</v>
      </c>
      <c r="AZ26" s="2132">
        <v>216.79</v>
      </c>
      <c r="BA26" s="2132">
        <v>205.4</v>
      </c>
      <c r="BB26" s="2132">
        <v>152.79000000000002</v>
      </c>
      <c r="BC26" s="2132">
        <v>124.14999999999999</v>
      </c>
      <c r="BD26" s="2132">
        <v>815.86</v>
      </c>
      <c r="BE26" s="2132">
        <v>0</v>
      </c>
      <c r="BF26" s="2244">
        <v>54351.682000000008</v>
      </c>
      <c r="BG26" s="2246">
        <v>62590.082000000009</v>
      </c>
      <c r="BI26" s="2244">
        <v>104962</v>
      </c>
      <c r="BJ26" s="2250">
        <v>630.40300000000002</v>
      </c>
      <c r="BK26" s="2253">
        <v>168240.48500000002</v>
      </c>
    </row>
    <row r="27" spans="1:63" ht="14.45" customHeight="1" x14ac:dyDescent="0.2">
      <c r="A27" s="428" t="s">
        <v>375</v>
      </c>
      <c r="B27" s="2133">
        <v>0</v>
      </c>
      <c r="C27" s="2133">
        <v>140</v>
      </c>
      <c r="D27" s="2133">
        <v>49</v>
      </c>
      <c r="E27" s="2133">
        <v>46</v>
      </c>
      <c r="F27" s="2133">
        <v>10</v>
      </c>
      <c r="G27" s="2133">
        <v>282</v>
      </c>
      <c r="H27" s="2133">
        <v>32</v>
      </c>
      <c r="I27" s="2133">
        <v>53</v>
      </c>
      <c r="J27" s="2133">
        <v>38</v>
      </c>
      <c r="K27" s="2133">
        <v>335</v>
      </c>
      <c r="L27" s="2133">
        <v>606</v>
      </c>
      <c r="M27" s="2133">
        <v>480</v>
      </c>
      <c r="N27" s="2133">
        <v>735</v>
      </c>
      <c r="O27" s="2133">
        <v>53</v>
      </c>
      <c r="P27" s="2133">
        <v>0</v>
      </c>
      <c r="Q27" s="2133">
        <v>8</v>
      </c>
      <c r="R27" s="2133">
        <v>31</v>
      </c>
      <c r="S27" s="2133">
        <v>23</v>
      </c>
      <c r="T27" s="2133">
        <v>0</v>
      </c>
      <c r="U27" s="2133">
        <v>0</v>
      </c>
      <c r="V27" s="2133">
        <v>78</v>
      </c>
      <c r="W27" s="2243">
        <v>2999</v>
      </c>
      <c r="X27" s="2133">
        <v>0</v>
      </c>
      <c r="Y27" s="2133">
        <v>7</v>
      </c>
      <c r="Z27" s="2133">
        <v>51</v>
      </c>
      <c r="AA27" s="2133">
        <v>26</v>
      </c>
      <c r="AB27" s="2243">
        <v>84</v>
      </c>
      <c r="AC27" s="2133">
        <v>295</v>
      </c>
      <c r="AD27" s="2133">
        <v>9344.9699999999993</v>
      </c>
      <c r="AE27" s="2133">
        <v>117</v>
      </c>
      <c r="AF27" s="2133">
        <v>268</v>
      </c>
      <c r="AG27" s="2133">
        <v>2906</v>
      </c>
      <c r="AH27" s="2133">
        <v>252.18</v>
      </c>
      <c r="AI27" s="2133">
        <v>48.82</v>
      </c>
      <c r="AJ27" s="2133">
        <v>7</v>
      </c>
      <c r="AK27" s="2133">
        <v>22.5</v>
      </c>
      <c r="AL27" s="2133">
        <v>39</v>
      </c>
      <c r="AM27" s="2133">
        <v>10</v>
      </c>
      <c r="AN27" s="2133">
        <v>180</v>
      </c>
      <c r="AO27" s="2133">
        <v>2</v>
      </c>
      <c r="AP27" s="2133">
        <v>21</v>
      </c>
      <c r="AQ27" s="2133">
        <v>0</v>
      </c>
      <c r="AR27" s="2133">
        <v>5</v>
      </c>
      <c r="AS27" s="2133">
        <v>4</v>
      </c>
      <c r="AT27" s="2133">
        <v>30.5</v>
      </c>
      <c r="AU27" s="2133">
        <v>72</v>
      </c>
      <c r="AV27" s="2133">
        <v>224</v>
      </c>
      <c r="AW27" s="2133">
        <v>13</v>
      </c>
      <c r="AX27" s="2133">
        <v>34</v>
      </c>
      <c r="AY27" s="2133">
        <v>42.5</v>
      </c>
      <c r="AZ27" s="2133">
        <v>39</v>
      </c>
      <c r="BA27" s="2133">
        <v>81</v>
      </c>
      <c r="BB27" s="2133">
        <v>39.5</v>
      </c>
      <c r="BC27" s="2133">
        <v>41</v>
      </c>
      <c r="BD27" s="2133">
        <v>50.5</v>
      </c>
      <c r="BE27" s="2133">
        <v>0</v>
      </c>
      <c r="BF27" s="2243">
        <v>14189.47</v>
      </c>
      <c r="BG27" s="2245">
        <v>17272.47</v>
      </c>
      <c r="BI27" s="2247">
        <v>33130</v>
      </c>
      <c r="BJ27" s="2249">
        <v>262.5</v>
      </c>
      <c r="BK27" s="2252">
        <v>50664.97</v>
      </c>
    </row>
    <row r="28" spans="1:63" ht="14.45" customHeight="1" x14ac:dyDescent="0.2">
      <c r="A28" s="428" t="s">
        <v>376</v>
      </c>
      <c r="B28" s="2133">
        <v>0</v>
      </c>
      <c r="C28" s="2133">
        <v>0</v>
      </c>
      <c r="D28" s="2133">
        <v>8</v>
      </c>
      <c r="E28" s="2133">
        <v>49</v>
      </c>
      <c r="F28" s="2133">
        <v>3</v>
      </c>
      <c r="G28" s="2133">
        <v>21</v>
      </c>
      <c r="H28" s="2133">
        <v>20.7</v>
      </c>
      <c r="I28" s="2133">
        <v>8</v>
      </c>
      <c r="J28" s="2133">
        <v>17</v>
      </c>
      <c r="K28" s="2133">
        <v>0</v>
      </c>
      <c r="L28" s="2133">
        <v>63</v>
      </c>
      <c r="M28" s="2133">
        <v>26</v>
      </c>
      <c r="N28" s="2133">
        <v>25</v>
      </c>
      <c r="O28" s="2133">
        <v>33</v>
      </c>
      <c r="P28" s="2133">
        <v>0</v>
      </c>
      <c r="Q28" s="2133">
        <v>3</v>
      </c>
      <c r="R28" s="2133">
        <v>14</v>
      </c>
      <c r="S28" s="2133">
        <v>4</v>
      </c>
      <c r="T28" s="2133">
        <v>0</v>
      </c>
      <c r="U28" s="2133">
        <v>0</v>
      </c>
      <c r="V28" s="2133">
        <v>17</v>
      </c>
      <c r="W28" s="2243">
        <v>311.7</v>
      </c>
      <c r="X28" s="2133">
        <v>0</v>
      </c>
      <c r="Y28" s="2133">
        <v>5</v>
      </c>
      <c r="Z28" s="2133">
        <v>3</v>
      </c>
      <c r="AA28" s="2133">
        <v>35</v>
      </c>
      <c r="AB28" s="2243">
        <v>43</v>
      </c>
      <c r="AC28" s="2133">
        <v>165.13100000000003</v>
      </c>
      <c r="AD28" s="2133">
        <v>1327.43</v>
      </c>
      <c r="AE28" s="2133">
        <v>25.356999999999999</v>
      </c>
      <c r="AF28" s="2133">
        <v>46</v>
      </c>
      <c r="AG28" s="2133">
        <v>198.727</v>
      </c>
      <c r="AH28" s="2133">
        <v>30.063000000000002</v>
      </c>
      <c r="AI28" s="2133">
        <v>0</v>
      </c>
      <c r="AJ28" s="2133">
        <v>0</v>
      </c>
      <c r="AK28" s="2133">
        <v>14.455</v>
      </c>
      <c r="AL28" s="2133">
        <v>0</v>
      </c>
      <c r="AM28" s="2133">
        <v>0</v>
      </c>
      <c r="AN28" s="2133">
        <v>66.614999999999995</v>
      </c>
      <c r="AO28" s="2133">
        <v>0</v>
      </c>
      <c r="AP28" s="2133">
        <v>0</v>
      </c>
      <c r="AQ28" s="2133">
        <v>0</v>
      </c>
      <c r="AR28" s="2133">
        <v>0</v>
      </c>
      <c r="AS28" s="2133">
        <v>2.29</v>
      </c>
      <c r="AT28" s="2133">
        <v>9.93</v>
      </c>
      <c r="AU28" s="2133">
        <v>9.5100000000000016</v>
      </c>
      <c r="AV28" s="2133">
        <v>16.32</v>
      </c>
      <c r="AW28" s="2133">
        <v>0</v>
      </c>
      <c r="AX28" s="2133">
        <v>33.14</v>
      </c>
      <c r="AY28" s="2133">
        <v>4.12</v>
      </c>
      <c r="AZ28" s="2133">
        <v>16.190000000000001</v>
      </c>
      <c r="BA28" s="2133">
        <v>41.4</v>
      </c>
      <c r="BB28" s="2133">
        <v>8.99</v>
      </c>
      <c r="BC28" s="2133">
        <v>6.1</v>
      </c>
      <c r="BD28" s="2133">
        <v>3.23</v>
      </c>
      <c r="BE28" s="2133">
        <v>0</v>
      </c>
      <c r="BF28" s="2243">
        <v>2024.9980000000003</v>
      </c>
      <c r="BG28" s="2245">
        <v>2379.6980000000003</v>
      </c>
      <c r="BI28" s="2247">
        <v>4655</v>
      </c>
      <c r="BJ28" s="2249">
        <v>10.8</v>
      </c>
      <c r="BK28" s="2252">
        <v>7045.4980000000005</v>
      </c>
    </row>
    <row r="29" spans="1:63" ht="14.45" customHeight="1" x14ac:dyDescent="0.2">
      <c r="A29" s="428" t="s">
        <v>377</v>
      </c>
      <c r="B29" s="2133">
        <v>0</v>
      </c>
      <c r="C29" s="2133">
        <v>100</v>
      </c>
      <c r="D29" s="2133">
        <v>0</v>
      </c>
      <c r="E29" s="2133">
        <v>16</v>
      </c>
      <c r="F29" s="2133">
        <v>0</v>
      </c>
      <c r="G29" s="2133">
        <v>0</v>
      </c>
      <c r="H29" s="2133">
        <v>0</v>
      </c>
      <c r="I29" s="2133">
        <v>0</v>
      </c>
      <c r="J29" s="2133">
        <v>7</v>
      </c>
      <c r="K29" s="2133">
        <v>0</v>
      </c>
      <c r="L29" s="2133">
        <v>75</v>
      </c>
      <c r="M29" s="2133">
        <v>8</v>
      </c>
      <c r="N29" s="2133">
        <v>0</v>
      </c>
      <c r="O29" s="2133">
        <v>14</v>
      </c>
      <c r="P29" s="2133">
        <v>0</v>
      </c>
      <c r="Q29" s="2133">
        <v>0</v>
      </c>
      <c r="R29" s="2133">
        <v>30</v>
      </c>
      <c r="S29" s="2133">
        <v>9</v>
      </c>
      <c r="T29" s="2133">
        <v>11</v>
      </c>
      <c r="U29" s="2133">
        <v>0</v>
      </c>
      <c r="V29" s="2133">
        <v>27</v>
      </c>
      <c r="W29" s="2243">
        <v>297</v>
      </c>
      <c r="X29" s="2133">
        <v>0</v>
      </c>
      <c r="Y29" s="2133">
        <v>0</v>
      </c>
      <c r="Z29" s="2133">
        <v>0</v>
      </c>
      <c r="AA29" s="2133">
        <v>10</v>
      </c>
      <c r="AB29" s="2243">
        <v>10</v>
      </c>
      <c r="AC29" s="2133">
        <v>7</v>
      </c>
      <c r="AD29" s="2133">
        <v>98.52</v>
      </c>
      <c r="AE29" s="2133">
        <v>50.5</v>
      </c>
      <c r="AF29" s="2133">
        <v>105</v>
      </c>
      <c r="AG29" s="2133">
        <v>115</v>
      </c>
      <c r="AH29" s="2133">
        <v>10</v>
      </c>
      <c r="AI29" s="2133">
        <v>41</v>
      </c>
      <c r="AJ29" s="2133">
        <v>0</v>
      </c>
      <c r="AK29" s="2133">
        <v>14</v>
      </c>
      <c r="AL29" s="2133">
        <v>0</v>
      </c>
      <c r="AM29" s="2133">
        <v>0</v>
      </c>
      <c r="AN29" s="2133">
        <v>221.5</v>
      </c>
      <c r="AO29" s="2133">
        <v>5</v>
      </c>
      <c r="AP29" s="2133">
        <v>0</v>
      </c>
      <c r="AQ29" s="2133">
        <v>0</v>
      </c>
      <c r="AR29" s="2133">
        <v>0</v>
      </c>
      <c r="AS29" s="2133">
        <v>0</v>
      </c>
      <c r="AT29" s="2133">
        <v>52.900000000000006</v>
      </c>
      <c r="AU29" s="2133">
        <v>4</v>
      </c>
      <c r="AV29" s="2133">
        <v>12</v>
      </c>
      <c r="AW29" s="2133">
        <v>29</v>
      </c>
      <c r="AX29" s="2133">
        <v>81</v>
      </c>
      <c r="AY29" s="2133">
        <v>2.5</v>
      </c>
      <c r="AZ29" s="2133">
        <v>18</v>
      </c>
      <c r="BA29" s="2133">
        <v>41</v>
      </c>
      <c r="BB29" s="2133">
        <v>0</v>
      </c>
      <c r="BC29" s="2133">
        <v>0</v>
      </c>
      <c r="BD29" s="2133">
        <v>316</v>
      </c>
      <c r="BE29" s="2133">
        <v>0</v>
      </c>
      <c r="BF29" s="2243">
        <v>1223.92</v>
      </c>
      <c r="BG29" s="2245">
        <v>1530.92</v>
      </c>
      <c r="BI29" s="2247">
        <v>6725</v>
      </c>
      <c r="BJ29" s="2249">
        <v>19.803000000000001</v>
      </c>
      <c r="BK29" s="2252">
        <v>8275.723</v>
      </c>
    </row>
    <row r="30" spans="1:63" ht="14.45" customHeight="1" x14ac:dyDescent="0.2">
      <c r="A30" s="428" t="s">
        <v>378</v>
      </c>
      <c r="B30" s="2133">
        <v>0</v>
      </c>
      <c r="C30" s="2133">
        <v>16</v>
      </c>
      <c r="D30" s="2133">
        <v>45</v>
      </c>
      <c r="E30" s="2133">
        <v>10</v>
      </c>
      <c r="F30" s="2133">
        <v>0</v>
      </c>
      <c r="G30" s="2133">
        <v>470</v>
      </c>
      <c r="H30" s="2133">
        <v>100</v>
      </c>
      <c r="I30" s="2133">
        <v>45</v>
      </c>
      <c r="J30" s="2133">
        <v>28</v>
      </c>
      <c r="K30" s="2133">
        <v>83</v>
      </c>
      <c r="L30" s="2133">
        <v>137.5</v>
      </c>
      <c r="M30" s="2133">
        <v>67</v>
      </c>
      <c r="N30" s="2133">
        <v>188.2</v>
      </c>
      <c r="O30" s="2133">
        <v>20</v>
      </c>
      <c r="P30" s="2133">
        <v>0</v>
      </c>
      <c r="Q30" s="2133">
        <v>6</v>
      </c>
      <c r="R30" s="2133">
        <v>12</v>
      </c>
      <c r="S30" s="2133">
        <v>7</v>
      </c>
      <c r="T30" s="2133">
        <v>0</v>
      </c>
      <c r="U30" s="2133">
        <v>0</v>
      </c>
      <c r="V30" s="2133">
        <v>33.5</v>
      </c>
      <c r="W30" s="2243">
        <v>1268.2</v>
      </c>
      <c r="X30" s="2133">
        <v>18</v>
      </c>
      <c r="Y30" s="2133">
        <v>13</v>
      </c>
      <c r="Z30" s="2133">
        <v>5</v>
      </c>
      <c r="AA30" s="2133">
        <v>150</v>
      </c>
      <c r="AB30" s="2243">
        <v>186</v>
      </c>
      <c r="AC30" s="2133">
        <v>505.44999999999993</v>
      </c>
      <c r="AD30" s="2133">
        <v>5237.74</v>
      </c>
      <c r="AE30" s="2133">
        <v>179.5</v>
      </c>
      <c r="AF30" s="2133">
        <v>102</v>
      </c>
      <c r="AG30" s="2133">
        <v>2027</v>
      </c>
      <c r="AH30" s="2133">
        <v>131.36000000000001</v>
      </c>
      <c r="AI30" s="2133">
        <v>54.26</v>
      </c>
      <c r="AJ30" s="2133">
        <v>33.68</v>
      </c>
      <c r="AK30" s="2133">
        <v>9</v>
      </c>
      <c r="AL30" s="2133">
        <v>100</v>
      </c>
      <c r="AM30" s="2133">
        <v>0</v>
      </c>
      <c r="AN30" s="2133">
        <v>200</v>
      </c>
      <c r="AO30" s="2133">
        <v>505.5</v>
      </c>
      <c r="AP30" s="2133">
        <v>0</v>
      </c>
      <c r="AQ30" s="2133">
        <v>6</v>
      </c>
      <c r="AR30" s="2133">
        <v>0</v>
      </c>
      <c r="AS30" s="2133">
        <v>0</v>
      </c>
      <c r="AT30" s="2133">
        <v>31</v>
      </c>
      <c r="AU30" s="2133">
        <v>40.9</v>
      </c>
      <c r="AV30" s="2133">
        <v>124</v>
      </c>
      <c r="AW30" s="2133">
        <v>43</v>
      </c>
      <c r="AX30" s="2133">
        <v>59.7</v>
      </c>
      <c r="AY30" s="2133">
        <v>17.5</v>
      </c>
      <c r="AZ30" s="2133">
        <v>15</v>
      </c>
      <c r="BA30" s="2133">
        <v>5</v>
      </c>
      <c r="BB30" s="2133">
        <v>13.5</v>
      </c>
      <c r="BC30" s="2133">
        <v>24</v>
      </c>
      <c r="BD30" s="2133">
        <v>60</v>
      </c>
      <c r="BE30" s="2133">
        <v>0</v>
      </c>
      <c r="BF30" s="2243">
        <v>9525.09</v>
      </c>
      <c r="BG30" s="2245">
        <v>10979.29</v>
      </c>
      <c r="BI30" s="2247">
        <v>14333</v>
      </c>
      <c r="BJ30" s="2249">
        <v>222.2</v>
      </c>
      <c r="BK30" s="2252">
        <v>25534.49</v>
      </c>
    </row>
    <row r="31" spans="1:63" ht="14.45" customHeight="1" x14ac:dyDescent="0.2">
      <c r="A31" s="428" t="s">
        <v>379</v>
      </c>
      <c r="B31" s="2133">
        <v>0</v>
      </c>
      <c r="C31" s="2133">
        <v>0</v>
      </c>
      <c r="D31" s="2133">
        <v>20.5</v>
      </c>
      <c r="E31" s="2133">
        <v>45</v>
      </c>
      <c r="F31" s="2133">
        <v>0</v>
      </c>
      <c r="G31" s="2133">
        <v>80</v>
      </c>
      <c r="H31" s="2133">
        <v>64</v>
      </c>
      <c r="I31" s="2133">
        <v>23</v>
      </c>
      <c r="J31" s="2133">
        <v>26</v>
      </c>
      <c r="K31" s="2133">
        <v>110</v>
      </c>
      <c r="L31" s="2133">
        <v>225</v>
      </c>
      <c r="M31" s="2133">
        <v>58</v>
      </c>
      <c r="N31" s="2133">
        <v>157</v>
      </c>
      <c r="O31" s="2133">
        <v>0</v>
      </c>
      <c r="P31" s="2133">
        <v>0</v>
      </c>
      <c r="Q31" s="2133">
        <v>0</v>
      </c>
      <c r="R31" s="2133">
        <v>0</v>
      </c>
      <c r="S31" s="2133">
        <v>0</v>
      </c>
      <c r="T31" s="2133">
        <v>0</v>
      </c>
      <c r="U31" s="2133">
        <v>0</v>
      </c>
      <c r="V31" s="2133">
        <v>12</v>
      </c>
      <c r="W31" s="2243">
        <v>820.5</v>
      </c>
      <c r="X31" s="2133">
        <v>0</v>
      </c>
      <c r="Y31" s="2133">
        <v>24</v>
      </c>
      <c r="Z31" s="2133">
        <v>20</v>
      </c>
      <c r="AA31" s="2133">
        <v>60</v>
      </c>
      <c r="AB31" s="2243">
        <v>104</v>
      </c>
      <c r="AC31" s="2133">
        <v>109.3</v>
      </c>
      <c r="AD31" s="2133">
        <v>4689.88</v>
      </c>
      <c r="AE31" s="2133">
        <v>55</v>
      </c>
      <c r="AF31" s="2133">
        <v>45</v>
      </c>
      <c r="AG31" s="2133">
        <v>587</v>
      </c>
      <c r="AH31" s="2133">
        <v>90.3</v>
      </c>
      <c r="AI31" s="2133">
        <v>78</v>
      </c>
      <c r="AJ31" s="2133">
        <v>38.200000000000003</v>
      </c>
      <c r="AK31" s="2133">
        <v>8</v>
      </c>
      <c r="AL31" s="2133">
        <v>29</v>
      </c>
      <c r="AM31" s="2133">
        <v>11.5</v>
      </c>
      <c r="AN31" s="2133">
        <v>69</v>
      </c>
      <c r="AO31" s="2133">
        <v>7</v>
      </c>
      <c r="AP31" s="2133">
        <v>6</v>
      </c>
      <c r="AQ31" s="2133">
        <v>7</v>
      </c>
      <c r="AR31" s="2133">
        <v>0</v>
      </c>
      <c r="AS31" s="2133">
        <v>0</v>
      </c>
      <c r="AT31" s="2133">
        <v>16.5</v>
      </c>
      <c r="AU31" s="2133">
        <v>28</v>
      </c>
      <c r="AV31" s="2133">
        <v>18</v>
      </c>
      <c r="AW31" s="2133">
        <v>10</v>
      </c>
      <c r="AX31" s="2133">
        <v>55</v>
      </c>
      <c r="AY31" s="2133">
        <v>15.5</v>
      </c>
      <c r="AZ31" s="2133">
        <v>23</v>
      </c>
      <c r="BA31" s="2133">
        <v>14</v>
      </c>
      <c r="BB31" s="2133">
        <v>13</v>
      </c>
      <c r="BC31" s="2133">
        <v>16</v>
      </c>
      <c r="BD31" s="2133">
        <v>30.5</v>
      </c>
      <c r="BE31" s="2133">
        <v>0</v>
      </c>
      <c r="BF31" s="2243">
        <v>6069.68</v>
      </c>
      <c r="BG31" s="2245">
        <v>6994.18</v>
      </c>
      <c r="BI31" s="2247">
        <v>4014</v>
      </c>
      <c r="BJ31" s="2249">
        <v>20.5</v>
      </c>
      <c r="BK31" s="2252">
        <v>11028.68</v>
      </c>
    </row>
    <row r="32" spans="1:63" ht="14.45" customHeight="1" x14ac:dyDescent="0.2">
      <c r="A32" s="428" t="s">
        <v>380</v>
      </c>
      <c r="B32" s="2133">
        <v>0</v>
      </c>
      <c r="C32" s="2133">
        <v>0</v>
      </c>
      <c r="D32" s="2133">
        <v>8</v>
      </c>
      <c r="E32" s="2133">
        <v>29</v>
      </c>
      <c r="F32" s="2133">
        <v>0</v>
      </c>
      <c r="G32" s="2133">
        <v>595</v>
      </c>
      <c r="H32" s="2133">
        <v>20</v>
      </c>
      <c r="I32" s="2133">
        <v>11</v>
      </c>
      <c r="J32" s="2133">
        <v>28</v>
      </c>
      <c r="K32" s="2133">
        <v>40</v>
      </c>
      <c r="L32" s="2133">
        <v>150</v>
      </c>
      <c r="M32" s="2133">
        <v>10</v>
      </c>
      <c r="N32" s="2133">
        <v>60</v>
      </c>
      <c r="O32" s="2133">
        <v>28</v>
      </c>
      <c r="P32" s="2133">
        <v>0</v>
      </c>
      <c r="Q32" s="2133">
        <v>8</v>
      </c>
      <c r="R32" s="2133">
        <v>35</v>
      </c>
      <c r="S32" s="2133">
        <v>4</v>
      </c>
      <c r="T32" s="2133">
        <v>0</v>
      </c>
      <c r="U32" s="2133">
        <v>0</v>
      </c>
      <c r="V32" s="2133">
        <v>30</v>
      </c>
      <c r="W32" s="2243">
        <v>1056</v>
      </c>
      <c r="X32" s="2133">
        <v>4</v>
      </c>
      <c r="Y32" s="2133">
        <v>6</v>
      </c>
      <c r="Z32" s="2133">
        <v>17</v>
      </c>
      <c r="AA32" s="2133">
        <v>26</v>
      </c>
      <c r="AB32" s="2243">
        <v>53</v>
      </c>
      <c r="AC32" s="2133">
        <v>206.87</v>
      </c>
      <c r="AD32" s="2133">
        <v>4733.8999999999996</v>
      </c>
      <c r="AE32" s="2133">
        <v>130</v>
      </c>
      <c r="AF32" s="2133">
        <v>31.5</v>
      </c>
      <c r="AG32" s="2133">
        <v>950.5</v>
      </c>
      <c r="AH32" s="2133">
        <v>79.95</v>
      </c>
      <c r="AI32" s="2133">
        <v>56.12</v>
      </c>
      <c r="AJ32" s="2133">
        <v>9.629999999999999</v>
      </c>
      <c r="AK32" s="2133">
        <v>7</v>
      </c>
      <c r="AL32" s="2133">
        <v>6</v>
      </c>
      <c r="AM32" s="2133">
        <v>6</v>
      </c>
      <c r="AN32" s="2133">
        <v>142</v>
      </c>
      <c r="AO32" s="2133">
        <v>6</v>
      </c>
      <c r="AP32" s="2133">
        <v>24</v>
      </c>
      <c r="AQ32" s="2133">
        <v>0</v>
      </c>
      <c r="AR32" s="2133">
        <v>7.5</v>
      </c>
      <c r="AS32" s="2133">
        <v>0</v>
      </c>
      <c r="AT32" s="2133">
        <v>17</v>
      </c>
      <c r="AU32" s="2133">
        <v>14</v>
      </c>
      <c r="AV32" s="2133">
        <v>24</v>
      </c>
      <c r="AW32" s="2133">
        <v>0</v>
      </c>
      <c r="AX32" s="2133">
        <v>15</v>
      </c>
      <c r="AY32" s="2133">
        <v>19</v>
      </c>
      <c r="AZ32" s="2133">
        <v>7.5</v>
      </c>
      <c r="BA32" s="2133">
        <v>10</v>
      </c>
      <c r="BB32" s="2133">
        <v>5</v>
      </c>
      <c r="BC32" s="2133">
        <v>11.5</v>
      </c>
      <c r="BD32" s="2133">
        <v>16</v>
      </c>
      <c r="BE32" s="2133">
        <v>0</v>
      </c>
      <c r="BF32" s="2243">
        <v>6535.9699999999993</v>
      </c>
      <c r="BG32" s="2245">
        <v>7644.9699999999993</v>
      </c>
      <c r="BI32" s="2247">
        <v>12922</v>
      </c>
      <c r="BJ32" s="2249">
        <v>58.5</v>
      </c>
      <c r="BK32" s="2252">
        <v>20625.47</v>
      </c>
    </row>
    <row r="33" spans="1:63" ht="14.45" customHeight="1" x14ac:dyDescent="0.2">
      <c r="A33" s="428" t="s">
        <v>381</v>
      </c>
      <c r="B33" s="2133">
        <v>0</v>
      </c>
      <c r="C33" s="2133">
        <v>0</v>
      </c>
      <c r="D33" s="2133">
        <v>8</v>
      </c>
      <c r="E33" s="2133">
        <v>84</v>
      </c>
      <c r="F33" s="2133">
        <v>0</v>
      </c>
      <c r="G33" s="2133">
        <v>30</v>
      </c>
      <c r="H33" s="2133">
        <v>31</v>
      </c>
      <c r="I33" s="2133">
        <v>15</v>
      </c>
      <c r="J33" s="2133">
        <v>20</v>
      </c>
      <c r="K33" s="2133">
        <v>10</v>
      </c>
      <c r="L33" s="2133">
        <v>65</v>
      </c>
      <c r="M33" s="2133">
        <v>9</v>
      </c>
      <c r="N33" s="2133">
        <v>63</v>
      </c>
      <c r="O33" s="2133">
        <v>0</v>
      </c>
      <c r="P33" s="2133">
        <v>0</v>
      </c>
      <c r="Q33" s="2133">
        <v>0</v>
      </c>
      <c r="R33" s="2133">
        <v>0</v>
      </c>
      <c r="S33" s="2133">
        <v>0</v>
      </c>
      <c r="T33" s="2133">
        <v>0</v>
      </c>
      <c r="U33" s="2133">
        <v>0</v>
      </c>
      <c r="V33" s="2133">
        <v>13</v>
      </c>
      <c r="W33" s="2243">
        <v>348</v>
      </c>
      <c r="X33" s="2133">
        <v>0</v>
      </c>
      <c r="Y33" s="2133">
        <v>12</v>
      </c>
      <c r="Z33" s="2133">
        <v>0</v>
      </c>
      <c r="AA33" s="2133">
        <v>46</v>
      </c>
      <c r="AB33" s="2243">
        <v>58</v>
      </c>
      <c r="AC33" s="2133">
        <v>130</v>
      </c>
      <c r="AD33" s="2133">
        <v>7672.73</v>
      </c>
      <c r="AE33" s="2133">
        <v>83</v>
      </c>
      <c r="AF33" s="2133">
        <v>90.8</v>
      </c>
      <c r="AG33" s="2133">
        <v>345.5</v>
      </c>
      <c r="AH33" s="2133">
        <v>201.53</v>
      </c>
      <c r="AI33" s="2133">
        <v>6</v>
      </c>
      <c r="AJ33" s="2133">
        <v>139.47</v>
      </c>
      <c r="AK33" s="2133">
        <v>0</v>
      </c>
      <c r="AL33" s="2133">
        <v>37</v>
      </c>
      <c r="AM33" s="2133">
        <v>0</v>
      </c>
      <c r="AN33" s="2133">
        <v>114</v>
      </c>
      <c r="AO33" s="2133">
        <v>9</v>
      </c>
      <c r="AP33" s="2133">
        <v>0</v>
      </c>
      <c r="AQ33" s="2133">
        <v>8.5</v>
      </c>
      <c r="AR33" s="2133">
        <v>0</v>
      </c>
      <c r="AS33" s="2133">
        <v>0</v>
      </c>
      <c r="AT33" s="2133">
        <v>42</v>
      </c>
      <c r="AU33" s="2133">
        <v>35</v>
      </c>
      <c r="AV33" s="2133">
        <v>123</v>
      </c>
      <c r="AW33" s="2133">
        <v>0</v>
      </c>
      <c r="AX33" s="2133">
        <v>285</v>
      </c>
      <c r="AY33" s="2133">
        <v>76</v>
      </c>
      <c r="AZ33" s="2133">
        <v>81</v>
      </c>
      <c r="BA33" s="2133">
        <v>13</v>
      </c>
      <c r="BB33" s="2133">
        <v>29</v>
      </c>
      <c r="BC33" s="2133">
        <v>13</v>
      </c>
      <c r="BD33" s="2133">
        <v>17.5</v>
      </c>
      <c r="BE33" s="2133">
        <v>0</v>
      </c>
      <c r="BF33" s="2243">
        <v>9552.0299999999988</v>
      </c>
      <c r="BG33" s="2245">
        <v>9958.0299999999988</v>
      </c>
      <c r="BI33" s="2247">
        <v>12420</v>
      </c>
      <c r="BJ33" s="2249">
        <v>19.5</v>
      </c>
      <c r="BK33" s="2252">
        <v>22397.53</v>
      </c>
    </row>
    <row r="34" spans="1:63" ht="14.45" customHeight="1" x14ac:dyDescent="0.2">
      <c r="A34" s="428" t="s">
        <v>382</v>
      </c>
      <c r="B34" s="2133">
        <v>0</v>
      </c>
      <c r="C34" s="2133">
        <v>0</v>
      </c>
      <c r="D34" s="2133">
        <v>30</v>
      </c>
      <c r="E34" s="2133">
        <v>22</v>
      </c>
      <c r="F34" s="2133">
        <v>0</v>
      </c>
      <c r="G34" s="2133">
        <v>71</v>
      </c>
      <c r="H34" s="2133">
        <v>31</v>
      </c>
      <c r="I34" s="2133">
        <v>19</v>
      </c>
      <c r="J34" s="2133">
        <v>12</v>
      </c>
      <c r="K34" s="2133">
        <v>17</v>
      </c>
      <c r="L34" s="2133">
        <v>17</v>
      </c>
      <c r="M34" s="2133">
        <v>74</v>
      </c>
      <c r="N34" s="2133">
        <v>138</v>
      </c>
      <c r="O34" s="2133">
        <v>84</v>
      </c>
      <c r="P34" s="2133">
        <v>0</v>
      </c>
      <c r="Q34" s="2133">
        <v>0</v>
      </c>
      <c r="R34" s="2133">
        <v>0</v>
      </c>
      <c r="S34" s="2133">
        <v>0</v>
      </c>
      <c r="T34" s="2133">
        <v>0</v>
      </c>
      <c r="U34" s="2133">
        <v>0</v>
      </c>
      <c r="V34" s="2133">
        <v>36</v>
      </c>
      <c r="W34" s="2243">
        <v>551</v>
      </c>
      <c r="X34" s="2133">
        <v>0</v>
      </c>
      <c r="Y34" s="2133">
        <v>47</v>
      </c>
      <c r="Z34" s="2133">
        <v>0</v>
      </c>
      <c r="AA34" s="2133">
        <v>60</v>
      </c>
      <c r="AB34" s="2243">
        <v>107</v>
      </c>
      <c r="AC34" s="2133">
        <v>273.47399999999999</v>
      </c>
      <c r="AD34" s="2133">
        <v>3451.09</v>
      </c>
      <c r="AE34" s="2133">
        <v>183.3</v>
      </c>
      <c r="AF34" s="2133">
        <v>46.45</v>
      </c>
      <c r="AG34" s="2133">
        <v>305.64999999999998</v>
      </c>
      <c r="AH34" s="2133">
        <v>174.62</v>
      </c>
      <c r="AI34" s="2133">
        <v>54.07</v>
      </c>
      <c r="AJ34" s="2133">
        <v>0</v>
      </c>
      <c r="AK34" s="2133">
        <v>11.71</v>
      </c>
      <c r="AL34" s="2133">
        <v>10.95</v>
      </c>
      <c r="AM34" s="2133">
        <v>0</v>
      </c>
      <c r="AN34" s="2133">
        <v>87.2</v>
      </c>
      <c r="AO34" s="2133">
        <v>0</v>
      </c>
      <c r="AP34" s="2133">
        <v>23.8</v>
      </c>
      <c r="AQ34" s="2133">
        <v>0</v>
      </c>
      <c r="AR34" s="2133">
        <v>0</v>
      </c>
      <c r="AS34" s="2133">
        <v>0</v>
      </c>
      <c r="AT34" s="2133">
        <v>13.899999999999999</v>
      </c>
      <c r="AU34" s="2133">
        <v>27.25</v>
      </c>
      <c r="AV34" s="2133">
        <v>15.850000000000001</v>
      </c>
      <c r="AW34" s="2133">
        <v>30.799999999999997</v>
      </c>
      <c r="AX34" s="2133">
        <v>110.83</v>
      </c>
      <c r="AY34" s="2133">
        <v>14</v>
      </c>
      <c r="AZ34" s="2133">
        <v>17.100000000000001</v>
      </c>
      <c r="BA34" s="2133">
        <v>0</v>
      </c>
      <c r="BB34" s="2133">
        <v>43.8</v>
      </c>
      <c r="BC34" s="2133">
        <v>12.55</v>
      </c>
      <c r="BD34" s="2133">
        <v>322.13</v>
      </c>
      <c r="BE34" s="2133">
        <v>0</v>
      </c>
      <c r="BF34" s="2243">
        <v>5230.5240000000003</v>
      </c>
      <c r="BG34" s="2245">
        <v>5888.5240000000003</v>
      </c>
      <c r="BI34" s="2247">
        <v>16763</v>
      </c>
      <c r="BJ34" s="2249">
        <v>16.600000000000001</v>
      </c>
      <c r="BK34" s="2252">
        <v>22668.124</v>
      </c>
    </row>
    <row r="35" spans="1:63" ht="14.45" customHeight="1" x14ac:dyDescent="0.2">
      <c r="A35" s="2131" t="s">
        <v>383</v>
      </c>
      <c r="B35" s="2132">
        <v>0</v>
      </c>
      <c r="C35" s="2132">
        <v>0</v>
      </c>
      <c r="D35" s="2349">
        <v>337</v>
      </c>
      <c r="E35" s="2132">
        <v>88</v>
      </c>
      <c r="F35" s="2132">
        <v>21.5</v>
      </c>
      <c r="G35" s="2132">
        <v>2910</v>
      </c>
      <c r="H35" s="2132">
        <v>893</v>
      </c>
      <c r="I35" s="2132">
        <v>153</v>
      </c>
      <c r="J35" s="2132">
        <v>222</v>
      </c>
      <c r="K35" s="2132">
        <v>1009</v>
      </c>
      <c r="L35" s="2132">
        <v>1816</v>
      </c>
      <c r="M35" s="2132">
        <v>931</v>
      </c>
      <c r="N35" s="2132">
        <v>1644</v>
      </c>
      <c r="O35" s="2132">
        <v>6</v>
      </c>
      <c r="P35" s="2132">
        <v>12</v>
      </c>
      <c r="Q35" s="2132">
        <v>77</v>
      </c>
      <c r="R35" s="2132">
        <v>90.5</v>
      </c>
      <c r="S35" s="2132">
        <v>0</v>
      </c>
      <c r="T35" s="2132">
        <v>0</v>
      </c>
      <c r="U35" s="2132">
        <v>0</v>
      </c>
      <c r="V35" s="2132">
        <v>573</v>
      </c>
      <c r="W35" s="2244">
        <v>10783</v>
      </c>
      <c r="X35" s="2132">
        <v>33.5</v>
      </c>
      <c r="Y35" s="2132">
        <v>337</v>
      </c>
      <c r="Z35" s="2132">
        <v>148</v>
      </c>
      <c r="AA35" s="2132">
        <v>2105</v>
      </c>
      <c r="AB35" s="2244">
        <v>2623.5</v>
      </c>
      <c r="AC35" s="2132">
        <v>508.01</v>
      </c>
      <c r="AD35" s="2132">
        <v>60224.770000000011</v>
      </c>
      <c r="AE35" s="2132">
        <v>9707.1</v>
      </c>
      <c r="AF35" s="2132">
        <v>363.5</v>
      </c>
      <c r="AG35" s="2132">
        <v>9043.5</v>
      </c>
      <c r="AH35" s="2132">
        <v>1237.623</v>
      </c>
      <c r="AI35" s="2132">
        <v>2631.777</v>
      </c>
      <c r="AJ35" s="2132">
        <v>106.83</v>
      </c>
      <c r="AK35" s="2132">
        <v>0</v>
      </c>
      <c r="AL35" s="2132">
        <v>852.72</v>
      </c>
      <c r="AM35" s="2132">
        <v>20</v>
      </c>
      <c r="AN35" s="2132">
        <v>478.2</v>
      </c>
      <c r="AO35" s="2132">
        <v>19</v>
      </c>
      <c r="AP35" s="2132">
        <v>16.5</v>
      </c>
      <c r="AQ35" s="2132">
        <v>51</v>
      </c>
      <c r="AR35" s="2132">
        <v>99.699999999999989</v>
      </c>
      <c r="AS35" s="2132">
        <v>1.5</v>
      </c>
      <c r="AT35" s="2132">
        <v>76</v>
      </c>
      <c r="AU35" s="2132">
        <v>154.30000000000001</v>
      </c>
      <c r="AV35" s="2132">
        <v>700.3</v>
      </c>
      <c r="AW35" s="2132">
        <v>38.5</v>
      </c>
      <c r="AX35" s="2132">
        <v>45.7</v>
      </c>
      <c r="AY35" s="2132">
        <v>595.63</v>
      </c>
      <c r="AZ35" s="2132">
        <v>69</v>
      </c>
      <c r="BA35" s="2132">
        <v>33.799999999999997</v>
      </c>
      <c r="BB35" s="2132">
        <v>871.5</v>
      </c>
      <c r="BC35" s="2132">
        <v>240.5</v>
      </c>
      <c r="BD35" s="2132">
        <v>52.5</v>
      </c>
      <c r="BE35" s="2132">
        <v>0</v>
      </c>
      <c r="BF35" s="2244">
        <v>88239.460000000036</v>
      </c>
      <c r="BG35" s="2246">
        <v>101645.96000000004</v>
      </c>
      <c r="BI35" s="2244">
        <v>110070</v>
      </c>
      <c r="BJ35" s="2250">
        <v>50.030999999999999</v>
      </c>
      <c r="BK35" s="2253">
        <v>211765.99099999998</v>
      </c>
    </row>
    <row r="36" spans="1:63" ht="14.45" customHeight="1" x14ac:dyDescent="0.2">
      <c r="A36" s="428" t="s">
        <v>384</v>
      </c>
      <c r="B36" s="2133">
        <v>0</v>
      </c>
      <c r="C36" s="2133">
        <v>0</v>
      </c>
      <c r="D36" s="2133">
        <v>147</v>
      </c>
      <c r="E36" s="2133">
        <v>35</v>
      </c>
      <c r="F36" s="2133">
        <v>3</v>
      </c>
      <c r="G36" s="2133">
        <v>1160</v>
      </c>
      <c r="H36" s="2133">
        <v>395</v>
      </c>
      <c r="I36" s="2133">
        <v>80</v>
      </c>
      <c r="J36" s="2133">
        <v>70</v>
      </c>
      <c r="K36" s="2133">
        <v>495</v>
      </c>
      <c r="L36" s="2133">
        <v>695</v>
      </c>
      <c r="M36" s="2133">
        <v>535</v>
      </c>
      <c r="N36" s="2133">
        <v>800</v>
      </c>
      <c r="O36" s="2133">
        <v>0</v>
      </c>
      <c r="P36" s="2133">
        <v>0</v>
      </c>
      <c r="Q36" s="2133">
        <v>39</v>
      </c>
      <c r="R36" s="2133">
        <v>53</v>
      </c>
      <c r="S36" s="2133">
        <v>0</v>
      </c>
      <c r="T36" s="2133">
        <v>0</v>
      </c>
      <c r="U36" s="2133">
        <v>0</v>
      </c>
      <c r="V36" s="2133">
        <v>245</v>
      </c>
      <c r="W36" s="2243">
        <v>4752</v>
      </c>
      <c r="X36" s="2133">
        <v>0</v>
      </c>
      <c r="Y36" s="2133">
        <v>60</v>
      </c>
      <c r="Z36" s="2133">
        <v>25</v>
      </c>
      <c r="AA36" s="2133">
        <v>480</v>
      </c>
      <c r="AB36" s="2243">
        <v>565</v>
      </c>
      <c r="AC36" s="2133">
        <v>65.510000000000005</v>
      </c>
      <c r="AD36" s="2133">
        <v>17753.330000000002</v>
      </c>
      <c r="AE36" s="2133">
        <v>312.5</v>
      </c>
      <c r="AF36" s="2133">
        <v>90.5</v>
      </c>
      <c r="AG36" s="2133">
        <v>2711.5</v>
      </c>
      <c r="AH36" s="2133">
        <v>130</v>
      </c>
      <c r="AI36" s="2133">
        <v>501.5</v>
      </c>
      <c r="AJ36" s="2133">
        <v>31.83</v>
      </c>
      <c r="AK36" s="2133">
        <v>0</v>
      </c>
      <c r="AL36" s="2133">
        <v>139.47</v>
      </c>
      <c r="AM36" s="2133">
        <v>6</v>
      </c>
      <c r="AN36" s="2133">
        <v>105.2</v>
      </c>
      <c r="AO36" s="2133">
        <v>0</v>
      </c>
      <c r="AP36" s="2133">
        <v>0</v>
      </c>
      <c r="AQ36" s="2133">
        <v>0</v>
      </c>
      <c r="AR36" s="2133">
        <v>57.599999999999994</v>
      </c>
      <c r="AS36" s="2133">
        <v>0</v>
      </c>
      <c r="AT36" s="2133">
        <v>31.9</v>
      </c>
      <c r="AU36" s="2133">
        <v>11.8</v>
      </c>
      <c r="AV36" s="2133">
        <v>215.3</v>
      </c>
      <c r="AW36" s="2133">
        <v>0</v>
      </c>
      <c r="AX36" s="2133">
        <v>4</v>
      </c>
      <c r="AY36" s="2133">
        <v>74.13</v>
      </c>
      <c r="AZ36" s="2133">
        <v>38</v>
      </c>
      <c r="BA36" s="2133">
        <v>0</v>
      </c>
      <c r="BB36" s="2133">
        <v>47.5</v>
      </c>
      <c r="BC36" s="2133">
        <v>59</v>
      </c>
      <c r="BD36" s="2133">
        <v>9</v>
      </c>
      <c r="BE36" s="2133">
        <v>0</v>
      </c>
      <c r="BF36" s="2243">
        <v>22395.570000000003</v>
      </c>
      <c r="BG36" s="2245">
        <v>27712.570000000003</v>
      </c>
      <c r="BI36" s="2247">
        <v>34659</v>
      </c>
      <c r="BJ36" s="2249">
        <v>12.411</v>
      </c>
      <c r="BK36" s="2252">
        <v>62383.981</v>
      </c>
    </row>
    <row r="37" spans="1:63" ht="14.45" customHeight="1" x14ac:dyDescent="0.2">
      <c r="A37" s="428" t="s">
        <v>385</v>
      </c>
      <c r="B37" s="2133">
        <v>0</v>
      </c>
      <c r="C37" s="2133">
        <v>0</v>
      </c>
      <c r="D37" s="2133">
        <v>13</v>
      </c>
      <c r="E37" s="2133">
        <v>4</v>
      </c>
      <c r="F37" s="2133">
        <v>4</v>
      </c>
      <c r="G37" s="2133">
        <v>172</v>
      </c>
      <c r="H37" s="2133">
        <v>60</v>
      </c>
      <c r="I37" s="2133">
        <v>4</v>
      </c>
      <c r="J37" s="2133">
        <v>22</v>
      </c>
      <c r="K37" s="2133">
        <v>40</v>
      </c>
      <c r="L37" s="2133">
        <v>200</v>
      </c>
      <c r="M37" s="2133">
        <v>50</v>
      </c>
      <c r="N37" s="2133">
        <v>200</v>
      </c>
      <c r="O37" s="2133">
        <v>0</v>
      </c>
      <c r="P37" s="2133">
        <v>0</v>
      </c>
      <c r="Q37" s="2133">
        <v>1</v>
      </c>
      <c r="R37" s="2133">
        <v>8</v>
      </c>
      <c r="S37" s="2133">
        <v>0</v>
      </c>
      <c r="T37" s="2133">
        <v>0</v>
      </c>
      <c r="U37" s="2133">
        <v>0</v>
      </c>
      <c r="V37" s="2133">
        <v>46</v>
      </c>
      <c r="W37" s="2243">
        <v>824</v>
      </c>
      <c r="X37" s="2133">
        <v>0</v>
      </c>
      <c r="Y37" s="2133">
        <v>110</v>
      </c>
      <c r="Z37" s="2133">
        <v>40</v>
      </c>
      <c r="AA37" s="2133">
        <v>650</v>
      </c>
      <c r="AB37" s="2243">
        <v>800</v>
      </c>
      <c r="AC37" s="2133">
        <v>16</v>
      </c>
      <c r="AD37" s="2133">
        <v>14184.62</v>
      </c>
      <c r="AE37" s="2133">
        <v>367.8</v>
      </c>
      <c r="AF37" s="2133">
        <v>87</v>
      </c>
      <c r="AG37" s="2133">
        <v>2770</v>
      </c>
      <c r="AH37" s="2133">
        <v>58</v>
      </c>
      <c r="AI37" s="2133">
        <v>279</v>
      </c>
      <c r="AJ37" s="2133">
        <v>9</v>
      </c>
      <c r="AK37" s="2133">
        <v>0</v>
      </c>
      <c r="AL37" s="2133">
        <v>24</v>
      </c>
      <c r="AM37" s="2133">
        <v>0</v>
      </c>
      <c r="AN37" s="2133">
        <v>42</v>
      </c>
      <c r="AO37" s="2133">
        <v>0</v>
      </c>
      <c r="AP37" s="2133">
        <v>5.5</v>
      </c>
      <c r="AQ37" s="2133">
        <v>0</v>
      </c>
      <c r="AR37" s="2133">
        <v>15</v>
      </c>
      <c r="AS37" s="2133">
        <v>0</v>
      </c>
      <c r="AT37" s="2133">
        <v>10</v>
      </c>
      <c r="AU37" s="2133">
        <v>26</v>
      </c>
      <c r="AV37" s="2133">
        <v>61.5</v>
      </c>
      <c r="AW37" s="2133">
        <v>0</v>
      </c>
      <c r="AX37" s="2133">
        <v>6</v>
      </c>
      <c r="AY37" s="2133">
        <v>31</v>
      </c>
      <c r="AZ37" s="2133">
        <v>6</v>
      </c>
      <c r="BA37" s="2133">
        <v>5.5</v>
      </c>
      <c r="BB37" s="2133">
        <v>165</v>
      </c>
      <c r="BC37" s="2133">
        <v>16</v>
      </c>
      <c r="BD37" s="2133">
        <v>6</v>
      </c>
      <c r="BE37" s="2133">
        <v>0</v>
      </c>
      <c r="BF37" s="2243">
        <v>18190.919999999998</v>
      </c>
      <c r="BG37" s="2245">
        <v>19814.919999999998</v>
      </c>
      <c r="BI37" s="2247">
        <v>5766</v>
      </c>
      <c r="BJ37" s="2249">
        <v>8.01</v>
      </c>
      <c r="BK37" s="2252">
        <v>25588.93</v>
      </c>
    </row>
    <row r="38" spans="1:63" ht="14.45" customHeight="1" x14ac:dyDescent="0.2">
      <c r="A38" s="428" t="s">
        <v>386</v>
      </c>
      <c r="B38" s="2133">
        <v>0</v>
      </c>
      <c r="C38" s="2133">
        <v>0</v>
      </c>
      <c r="D38" s="2133">
        <v>11</v>
      </c>
      <c r="E38" s="2133">
        <v>14</v>
      </c>
      <c r="F38" s="2133">
        <v>0</v>
      </c>
      <c r="G38" s="2133">
        <v>62</v>
      </c>
      <c r="H38" s="2133">
        <v>16</v>
      </c>
      <c r="I38" s="2133">
        <v>8</v>
      </c>
      <c r="J38" s="2133">
        <v>11</v>
      </c>
      <c r="K38" s="2133">
        <v>29</v>
      </c>
      <c r="L38" s="2133">
        <v>61</v>
      </c>
      <c r="M38" s="2133">
        <v>21</v>
      </c>
      <c r="N38" s="2133">
        <v>28</v>
      </c>
      <c r="O38" s="2133">
        <v>0</v>
      </c>
      <c r="P38" s="2133">
        <v>0</v>
      </c>
      <c r="Q38" s="2133">
        <v>0</v>
      </c>
      <c r="R38" s="2133">
        <v>0</v>
      </c>
      <c r="S38" s="2133">
        <v>0</v>
      </c>
      <c r="T38" s="2133">
        <v>0</v>
      </c>
      <c r="U38" s="2133">
        <v>0</v>
      </c>
      <c r="V38" s="2133">
        <v>9</v>
      </c>
      <c r="W38" s="2243">
        <v>270</v>
      </c>
      <c r="X38" s="2133">
        <v>0</v>
      </c>
      <c r="Y38" s="2133">
        <v>20</v>
      </c>
      <c r="Z38" s="2133">
        <v>7</v>
      </c>
      <c r="AA38" s="2133">
        <v>36</v>
      </c>
      <c r="AB38" s="2243">
        <v>63</v>
      </c>
      <c r="AC38" s="2133">
        <v>145.5</v>
      </c>
      <c r="AD38" s="2133">
        <v>1205.4100000000001</v>
      </c>
      <c r="AE38" s="2133">
        <v>32</v>
      </c>
      <c r="AF38" s="2133">
        <v>15.5</v>
      </c>
      <c r="AG38" s="2133">
        <v>145.5</v>
      </c>
      <c r="AH38" s="2133">
        <v>48</v>
      </c>
      <c r="AI38" s="2133">
        <v>11.9</v>
      </c>
      <c r="AJ38" s="2133">
        <v>7</v>
      </c>
      <c r="AK38" s="2133">
        <v>0</v>
      </c>
      <c r="AL38" s="2133">
        <v>4</v>
      </c>
      <c r="AM38" s="2133">
        <v>0</v>
      </c>
      <c r="AN38" s="2133">
        <v>13</v>
      </c>
      <c r="AO38" s="2133">
        <v>0</v>
      </c>
      <c r="AP38" s="2133">
        <v>0</v>
      </c>
      <c r="AQ38" s="2133">
        <v>0</v>
      </c>
      <c r="AR38" s="2133">
        <v>1</v>
      </c>
      <c r="AS38" s="2133">
        <v>0</v>
      </c>
      <c r="AT38" s="2133">
        <v>6</v>
      </c>
      <c r="AU38" s="2133">
        <v>3.5</v>
      </c>
      <c r="AV38" s="2133">
        <v>4</v>
      </c>
      <c r="AW38" s="2133">
        <v>28</v>
      </c>
      <c r="AX38" s="2133">
        <v>20.2</v>
      </c>
      <c r="AY38" s="2133">
        <v>1</v>
      </c>
      <c r="AZ38" s="2133">
        <v>6</v>
      </c>
      <c r="BA38" s="2133">
        <v>7.2</v>
      </c>
      <c r="BB38" s="2133">
        <v>3</v>
      </c>
      <c r="BC38" s="2133">
        <v>7.5</v>
      </c>
      <c r="BD38" s="2133">
        <v>15</v>
      </c>
      <c r="BE38" s="2133">
        <v>0</v>
      </c>
      <c r="BF38" s="2243">
        <v>1730.2100000000003</v>
      </c>
      <c r="BG38" s="2245">
        <v>2063.21</v>
      </c>
      <c r="BI38" s="2247">
        <v>3215</v>
      </c>
      <c r="BJ38" s="2249">
        <v>0.72</v>
      </c>
      <c r="BK38" s="2252">
        <v>5278.93</v>
      </c>
    </row>
    <row r="39" spans="1:63" ht="14.45" customHeight="1" x14ac:dyDescent="0.2">
      <c r="A39" s="428" t="s">
        <v>387</v>
      </c>
      <c r="B39" s="2133">
        <v>0</v>
      </c>
      <c r="C39" s="2133">
        <v>0</v>
      </c>
      <c r="D39" s="2133">
        <v>27</v>
      </c>
      <c r="E39" s="2133">
        <v>12</v>
      </c>
      <c r="F39" s="2133">
        <v>2</v>
      </c>
      <c r="G39" s="2133">
        <v>125</v>
      </c>
      <c r="H39" s="2133">
        <v>87</v>
      </c>
      <c r="I39" s="2133">
        <v>15</v>
      </c>
      <c r="J39" s="2133">
        <v>23</v>
      </c>
      <c r="K39" s="2133">
        <v>50</v>
      </c>
      <c r="L39" s="2133">
        <v>150</v>
      </c>
      <c r="M39" s="2133">
        <v>20</v>
      </c>
      <c r="N39" s="2133">
        <v>40</v>
      </c>
      <c r="O39" s="2133">
        <v>0</v>
      </c>
      <c r="P39" s="2133">
        <v>4</v>
      </c>
      <c r="Q39" s="2133">
        <v>7</v>
      </c>
      <c r="R39" s="2133">
        <v>7</v>
      </c>
      <c r="S39" s="2133">
        <v>0</v>
      </c>
      <c r="T39" s="2133">
        <v>0</v>
      </c>
      <c r="U39" s="2133">
        <v>0</v>
      </c>
      <c r="V39" s="2133">
        <v>75</v>
      </c>
      <c r="W39" s="2243">
        <v>644</v>
      </c>
      <c r="X39" s="2133">
        <v>12</v>
      </c>
      <c r="Y39" s="2133">
        <v>11</v>
      </c>
      <c r="Z39" s="2133">
        <v>25</v>
      </c>
      <c r="AA39" s="2133">
        <v>200</v>
      </c>
      <c r="AB39" s="2243">
        <v>248</v>
      </c>
      <c r="AC39" s="2133">
        <v>19.5</v>
      </c>
      <c r="AD39" s="2133">
        <v>4897.22</v>
      </c>
      <c r="AE39" s="2133">
        <v>4920.8</v>
      </c>
      <c r="AF39" s="2133">
        <v>40</v>
      </c>
      <c r="AG39" s="2133">
        <v>429.5</v>
      </c>
      <c r="AH39" s="2133">
        <v>348.29</v>
      </c>
      <c r="AI39" s="2133">
        <v>1065.21</v>
      </c>
      <c r="AJ39" s="2133">
        <v>16</v>
      </c>
      <c r="AK39" s="2133">
        <v>0</v>
      </c>
      <c r="AL39" s="2133">
        <v>28</v>
      </c>
      <c r="AM39" s="2133">
        <v>0</v>
      </c>
      <c r="AN39" s="2133">
        <v>85</v>
      </c>
      <c r="AO39" s="2133">
        <v>19</v>
      </c>
      <c r="AP39" s="2133">
        <v>0</v>
      </c>
      <c r="AQ39" s="2133">
        <v>36</v>
      </c>
      <c r="AR39" s="2133">
        <v>9</v>
      </c>
      <c r="AS39" s="2133">
        <v>0</v>
      </c>
      <c r="AT39" s="2133">
        <v>5</v>
      </c>
      <c r="AU39" s="2133">
        <v>20</v>
      </c>
      <c r="AV39" s="2133">
        <v>108</v>
      </c>
      <c r="AW39" s="2133">
        <v>4</v>
      </c>
      <c r="AX39" s="2133">
        <v>0</v>
      </c>
      <c r="AY39" s="2133">
        <v>188</v>
      </c>
      <c r="AZ39" s="2133">
        <v>9</v>
      </c>
      <c r="BA39" s="2133">
        <v>13</v>
      </c>
      <c r="BB39" s="2133">
        <v>13</v>
      </c>
      <c r="BC39" s="2133">
        <v>26</v>
      </c>
      <c r="BD39" s="2133">
        <v>0</v>
      </c>
      <c r="BE39" s="2133">
        <v>0</v>
      </c>
      <c r="BF39" s="2243">
        <v>12299.52</v>
      </c>
      <c r="BG39" s="2245">
        <v>13191.52</v>
      </c>
      <c r="BI39" s="2247">
        <v>29555</v>
      </c>
      <c r="BJ39" s="2249">
        <v>7.92</v>
      </c>
      <c r="BK39" s="2252">
        <v>42754.44</v>
      </c>
    </row>
    <row r="40" spans="1:63" ht="14.45" customHeight="1" x14ac:dyDescent="0.2">
      <c r="A40" s="428" t="s">
        <v>388</v>
      </c>
      <c r="B40" s="2133">
        <v>0</v>
      </c>
      <c r="C40" s="2133">
        <v>0</v>
      </c>
      <c r="D40" s="2133">
        <v>9</v>
      </c>
      <c r="E40" s="2133">
        <v>5</v>
      </c>
      <c r="F40" s="2133">
        <v>0</v>
      </c>
      <c r="G40" s="2133">
        <v>30</v>
      </c>
      <c r="H40" s="2133">
        <v>5</v>
      </c>
      <c r="I40" s="2133">
        <v>8</v>
      </c>
      <c r="J40" s="2133">
        <v>10</v>
      </c>
      <c r="K40" s="2133">
        <v>0</v>
      </c>
      <c r="L40" s="2133">
        <v>80</v>
      </c>
      <c r="M40" s="2133">
        <v>0</v>
      </c>
      <c r="N40" s="2133">
        <v>30</v>
      </c>
      <c r="O40" s="2133">
        <v>0</v>
      </c>
      <c r="P40" s="2133">
        <v>0</v>
      </c>
      <c r="Q40" s="2133">
        <v>0</v>
      </c>
      <c r="R40" s="2133">
        <v>15</v>
      </c>
      <c r="S40" s="2133">
        <v>0</v>
      </c>
      <c r="T40" s="2133">
        <v>0</v>
      </c>
      <c r="U40" s="2133">
        <v>0</v>
      </c>
      <c r="V40" s="2133">
        <v>27</v>
      </c>
      <c r="W40" s="2243">
        <v>219</v>
      </c>
      <c r="X40" s="2133">
        <v>0</v>
      </c>
      <c r="Y40" s="2133">
        <v>27</v>
      </c>
      <c r="Z40" s="2133">
        <v>3</v>
      </c>
      <c r="AA40" s="2133">
        <v>70</v>
      </c>
      <c r="AB40" s="2243">
        <v>100</v>
      </c>
      <c r="AC40" s="2133">
        <v>78</v>
      </c>
      <c r="AD40" s="2133">
        <v>3045.09</v>
      </c>
      <c r="AE40" s="2133">
        <v>105</v>
      </c>
      <c r="AF40" s="2133">
        <v>37.5</v>
      </c>
      <c r="AG40" s="2133">
        <v>730.5</v>
      </c>
      <c r="AH40" s="2133">
        <v>83.82</v>
      </c>
      <c r="AI40" s="2133">
        <v>92.18</v>
      </c>
      <c r="AJ40" s="2133">
        <v>30</v>
      </c>
      <c r="AK40" s="2133">
        <v>0</v>
      </c>
      <c r="AL40" s="2133">
        <v>37</v>
      </c>
      <c r="AM40" s="2133">
        <v>0</v>
      </c>
      <c r="AN40" s="2133">
        <v>21</v>
      </c>
      <c r="AO40" s="2133">
        <v>0</v>
      </c>
      <c r="AP40" s="2133">
        <v>1</v>
      </c>
      <c r="AQ40" s="2133">
        <v>0</v>
      </c>
      <c r="AR40" s="2133">
        <v>0</v>
      </c>
      <c r="AS40" s="2133">
        <v>0</v>
      </c>
      <c r="AT40" s="2133">
        <v>0</v>
      </c>
      <c r="AU40" s="2133">
        <v>6</v>
      </c>
      <c r="AV40" s="2133">
        <v>59</v>
      </c>
      <c r="AW40" s="2133">
        <v>0.5</v>
      </c>
      <c r="AX40" s="2133">
        <v>0</v>
      </c>
      <c r="AY40" s="2133">
        <v>7.5</v>
      </c>
      <c r="AZ40" s="2133">
        <v>0</v>
      </c>
      <c r="BA40" s="2133">
        <v>2</v>
      </c>
      <c r="BB40" s="2133">
        <v>10.5</v>
      </c>
      <c r="BC40" s="2133">
        <v>0</v>
      </c>
      <c r="BD40" s="2133">
        <v>4</v>
      </c>
      <c r="BE40" s="2133">
        <v>0</v>
      </c>
      <c r="BF40" s="2243">
        <v>4350.59</v>
      </c>
      <c r="BG40" s="2245">
        <v>4669.59</v>
      </c>
      <c r="BI40" s="2247">
        <v>2545</v>
      </c>
      <c r="BJ40" s="2249">
        <v>3.96</v>
      </c>
      <c r="BK40" s="2252">
        <v>7218.55</v>
      </c>
    </row>
    <row r="41" spans="1:63" ht="14.45" customHeight="1" x14ac:dyDescent="0.2">
      <c r="A41" s="428" t="s">
        <v>389</v>
      </c>
      <c r="B41" s="2133">
        <v>0</v>
      </c>
      <c r="C41" s="2133">
        <v>0</v>
      </c>
      <c r="D41" s="2133">
        <v>24</v>
      </c>
      <c r="E41" s="2133">
        <v>0</v>
      </c>
      <c r="F41" s="2133">
        <v>11</v>
      </c>
      <c r="G41" s="2133">
        <v>107</v>
      </c>
      <c r="H41" s="2133">
        <v>107</v>
      </c>
      <c r="I41" s="2133">
        <v>0</v>
      </c>
      <c r="J41" s="2133">
        <v>26</v>
      </c>
      <c r="K41" s="2133">
        <v>9</v>
      </c>
      <c r="L41" s="2133">
        <v>16</v>
      </c>
      <c r="M41" s="2133">
        <v>67</v>
      </c>
      <c r="N41" s="2133">
        <v>180</v>
      </c>
      <c r="O41" s="2133">
        <v>0</v>
      </c>
      <c r="P41" s="2133">
        <v>0</v>
      </c>
      <c r="Q41" s="2133">
        <v>0</v>
      </c>
      <c r="R41" s="2133">
        <v>0</v>
      </c>
      <c r="S41" s="2133">
        <v>0</v>
      </c>
      <c r="T41" s="2133">
        <v>0</v>
      </c>
      <c r="U41" s="2133">
        <v>0</v>
      </c>
      <c r="V41" s="2133">
        <v>49</v>
      </c>
      <c r="W41" s="2243">
        <v>596</v>
      </c>
      <c r="X41" s="2133">
        <v>0</v>
      </c>
      <c r="Y41" s="2133">
        <v>38</v>
      </c>
      <c r="Z41" s="2133">
        <v>25</v>
      </c>
      <c r="AA41" s="2133">
        <v>268</v>
      </c>
      <c r="AB41" s="2243">
        <v>331</v>
      </c>
      <c r="AC41" s="2133">
        <v>0</v>
      </c>
      <c r="AD41" s="2133">
        <v>4569.74</v>
      </c>
      <c r="AE41" s="2133">
        <v>71</v>
      </c>
      <c r="AF41" s="2133">
        <v>60.5</v>
      </c>
      <c r="AG41" s="2133">
        <v>876.5</v>
      </c>
      <c r="AH41" s="2133">
        <v>60.699999999999989</v>
      </c>
      <c r="AI41" s="2133">
        <v>175.3</v>
      </c>
      <c r="AJ41" s="2133">
        <v>0</v>
      </c>
      <c r="AK41" s="2133">
        <v>0</v>
      </c>
      <c r="AL41" s="2133">
        <v>78</v>
      </c>
      <c r="AM41" s="2133">
        <v>0</v>
      </c>
      <c r="AN41" s="2133">
        <v>34.5</v>
      </c>
      <c r="AO41" s="2133">
        <v>0</v>
      </c>
      <c r="AP41" s="2133">
        <v>0</v>
      </c>
      <c r="AQ41" s="2133">
        <v>15</v>
      </c>
      <c r="AR41" s="2133">
        <v>4</v>
      </c>
      <c r="AS41" s="2133">
        <v>0</v>
      </c>
      <c r="AT41" s="2133">
        <v>4</v>
      </c>
      <c r="AU41" s="2133">
        <v>9</v>
      </c>
      <c r="AV41" s="2133">
        <v>47.5</v>
      </c>
      <c r="AW41" s="2133">
        <v>0</v>
      </c>
      <c r="AX41" s="2133">
        <v>0</v>
      </c>
      <c r="AY41" s="2133">
        <v>90</v>
      </c>
      <c r="AZ41" s="2133">
        <v>0</v>
      </c>
      <c r="BA41" s="2133">
        <v>0</v>
      </c>
      <c r="BB41" s="2133">
        <v>607</v>
      </c>
      <c r="BC41" s="2133">
        <v>43</v>
      </c>
      <c r="BD41" s="2133">
        <v>0</v>
      </c>
      <c r="BE41" s="2133">
        <v>0</v>
      </c>
      <c r="BF41" s="2243">
        <v>6745.74</v>
      </c>
      <c r="BG41" s="2245">
        <v>7672.74</v>
      </c>
      <c r="BI41" s="2247">
        <v>2052</v>
      </c>
      <c r="BJ41" s="2249">
        <v>3.33</v>
      </c>
      <c r="BK41" s="2252">
        <v>9728.07</v>
      </c>
    </row>
    <row r="42" spans="1:63" ht="14.45" customHeight="1" x14ac:dyDescent="0.2">
      <c r="A42" s="428" t="s">
        <v>390</v>
      </c>
      <c r="B42" s="2133">
        <v>0</v>
      </c>
      <c r="C42" s="2133">
        <v>0</v>
      </c>
      <c r="D42" s="2133">
        <v>7</v>
      </c>
      <c r="E42" s="2133">
        <v>6</v>
      </c>
      <c r="F42" s="2133">
        <v>1.5</v>
      </c>
      <c r="G42" s="2133">
        <v>19</v>
      </c>
      <c r="H42" s="2133">
        <v>21</v>
      </c>
      <c r="I42" s="2133">
        <v>1</v>
      </c>
      <c r="J42" s="2133">
        <v>4</v>
      </c>
      <c r="K42" s="2133">
        <v>4</v>
      </c>
      <c r="L42" s="2133">
        <v>20</v>
      </c>
      <c r="M42" s="2133">
        <v>3</v>
      </c>
      <c r="N42" s="2133">
        <v>26</v>
      </c>
      <c r="O42" s="2133">
        <v>0</v>
      </c>
      <c r="P42" s="2133">
        <v>0</v>
      </c>
      <c r="Q42" s="2133">
        <v>0</v>
      </c>
      <c r="R42" s="2133">
        <v>0.5</v>
      </c>
      <c r="S42" s="2133">
        <v>0</v>
      </c>
      <c r="T42" s="2133">
        <v>0</v>
      </c>
      <c r="U42" s="2133">
        <v>0</v>
      </c>
      <c r="V42" s="2133">
        <v>10</v>
      </c>
      <c r="W42" s="2243">
        <v>123</v>
      </c>
      <c r="X42" s="2133">
        <v>0.5</v>
      </c>
      <c r="Y42" s="2133">
        <v>2</v>
      </c>
      <c r="Z42" s="2133">
        <v>3</v>
      </c>
      <c r="AA42" s="2133">
        <v>26</v>
      </c>
      <c r="AB42" s="2243">
        <v>31.5</v>
      </c>
      <c r="AC42" s="2133">
        <v>136.5</v>
      </c>
      <c r="AD42" s="2133">
        <v>3567.79</v>
      </c>
      <c r="AE42" s="2133">
        <v>202</v>
      </c>
      <c r="AF42" s="2133">
        <v>25.5</v>
      </c>
      <c r="AG42" s="2133">
        <v>399</v>
      </c>
      <c r="AH42" s="2133">
        <v>150.5</v>
      </c>
      <c r="AI42" s="2133">
        <v>43.2</v>
      </c>
      <c r="AJ42" s="2133">
        <v>10</v>
      </c>
      <c r="AK42" s="2133">
        <v>0</v>
      </c>
      <c r="AL42" s="2133">
        <v>19.25</v>
      </c>
      <c r="AM42" s="2133">
        <v>0</v>
      </c>
      <c r="AN42" s="2133">
        <v>138</v>
      </c>
      <c r="AO42" s="2133">
        <v>0</v>
      </c>
      <c r="AP42" s="2133">
        <v>0</v>
      </c>
      <c r="AQ42" s="2133">
        <v>0</v>
      </c>
      <c r="AR42" s="2133">
        <v>0.1</v>
      </c>
      <c r="AS42" s="2133">
        <v>0</v>
      </c>
      <c r="AT42" s="2133">
        <v>1.0999999999999996</v>
      </c>
      <c r="AU42" s="2133">
        <v>4</v>
      </c>
      <c r="AV42" s="2133">
        <v>38</v>
      </c>
      <c r="AW42" s="2133">
        <v>2</v>
      </c>
      <c r="AX42" s="2133">
        <v>0</v>
      </c>
      <c r="AY42" s="2133">
        <v>10.5</v>
      </c>
      <c r="AZ42" s="2133">
        <v>1</v>
      </c>
      <c r="BA42" s="2133">
        <v>0.1</v>
      </c>
      <c r="BB42" s="2133">
        <v>9</v>
      </c>
      <c r="BC42" s="2133">
        <v>0</v>
      </c>
      <c r="BD42" s="2133">
        <v>6.5</v>
      </c>
      <c r="BE42" s="2133">
        <v>0</v>
      </c>
      <c r="BF42" s="2243">
        <v>4764.0400000000009</v>
      </c>
      <c r="BG42" s="2245">
        <v>4918.5400000000009</v>
      </c>
      <c r="BI42" s="2247">
        <v>3373</v>
      </c>
      <c r="BJ42" s="2249">
        <v>4.8600000000000003</v>
      </c>
      <c r="BK42" s="2252">
        <v>8296.4000000000015</v>
      </c>
    </row>
    <row r="43" spans="1:63" ht="14.45" customHeight="1" x14ac:dyDescent="0.2">
      <c r="A43" s="428" t="s">
        <v>391</v>
      </c>
      <c r="B43" s="2133">
        <v>0</v>
      </c>
      <c r="C43" s="2133">
        <v>0</v>
      </c>
      <c r="D43" s="2133">
        <v>90</v>
      </c>
      <c r="E43" s="2133">
        <v>0</v>
      </c>
      <c r="F43" s="2133">
        <v>0</v>
      </c>
      <c r="G43" s="2133">
        <v>1150</v>
      </c>
      <c r="H43" s="2133">
        <v>190</v>
      </c>
      <c r="I43" s="2133">
        <v>25</v>
      </c>
      <c r="J43" s="2133">
        <v>46</v>
      </c>
      <c r="K43" s="2133">
        <v>370</v>
      </c>
      <c r="L43" s="2133">
        <v>555</v>
      </c>
      <c r="M43" s="2133">
        <v>215</v>
      </c>
      <c r="N43" s="2133">
        <v>290</v>
      </c>
      <c r="O43" s="2133">
        <v>0</v>
      </c>
      <c r="P43" s="2133">
        <v>8</v>
      </c>
      <c r="Q43" s="2133">
        <v>18</v>
      </c>
      <c r="R43" s="2133">
        <v>0</v>
      </c>
      <c r="S43" s="2133">
        <v>0</v>
      </c>
      <c r="T43" s="2133">
        <v>0</v>
      </c>
      <c r="U43" s="2133">
        <v>0</v>
      </c>
      <c r="V43" s="2133">
        <v>90</v>
      </c>
      <c r="W43" s="2243">
        <v>3047</v>
      </c>
      <c r="X43" s="2133">
        <v>19</v>
      </c>
      <c r="Y43" s="2133">
        <v>60</v>
      </c>
      <c r="Z43" s="2133">
        <v>0</v>
      </c>
      <c r="AA43" s="2133">
        <v>340</v>
      </c>
      <c r="AB43" s="2243">
        <v>419</v>
      </c>
      <c r="AC43" s="2133">
        <v>3</v>
      </c>
      <c r="AD43" s="2133">
        <v>5909.24</v>
      </c>
      <c r="AE43" s="2133">
        <v>3659</v>
      </c>
      <c r="AF43" s="2133">
        <v>0</v>
      </c>
      <c r="AG43" s="2133">
        <v>636</v>
      </c>
      <c r="AH43" s="2133">
        <v>318.31299999999999</v>
      </c>
      <c r="AI43" s="2133">
        <v>407.48699999999997</v>
      </c>
      <c r="AJ43" s="2133">
        <v>0</v>
      </c>
      <c r="AK43" s="2133">
        <v>0</v>
      </c>
      <c r="AL43" s="2133">
        <v>23</v>
      </c>
      <c r="AM43" s="2133">
        <v>14</v>
      </c>
      <c r="AN43" s="2133">
        <v>11.5</v>
      </c>
      <c r="AO43" s="2133">
        <v>0</v>
      </c>
      <c r="AP43" s="2133">
        <v>10</v>
      </c>
      <c r="AQ43" s="2133">
        <v>0</v>
      </c>
      <c r="AR43" s="2133">
        <v>9</v>
      </c>
      <c r="AS43" s="2133">
        <v>0</v>
      </c>
      <c r="AT43" s="2133">
        <v>0</v>
      </c>
      <c r="AU43" s="2133">
        <v>72</v>
      </c>
      <c r="AV43" s="2133">
        <v>156</v>
      </c>
      <c r="AW43" s="2133">
        <v>0</v>
      </c>
      <c r="AX43" s="2133">
        <v>0</v>
      </c>
      <c r="AY43" s="2133">
        <v>189.5</v>
      </c>
      <c r="AZ43" s="2133">
        <v>5</v>
      </c>
      <c r="BA43" s="2133">
        <v>5</v>
      </c>
      <c r="BB43" s="2133">
        <v>16</v>
      </c>
      <c r="BC43" s="2133">
        <v>84</v>
      </c>
      <c r="BD43" s="2133">
        <v>0</v>
      </c>
      <c r="BE43" s="2133">
        <v>0</v>
      </c>
      <c r="BF43" s="2243">
        <v>11528.039999999999</v>
      </c>
      <c r="BG43" s="2245">
        <v>14994.039999999999</v>
      </c>
      <c r="BI43" s="2247">
        <v>22335</v>
      </c>
      <c r="BJ43" s="2249">
        <v>4.1399999999999997</v>
      </c>
      <c r="BK43" s="2252">
        <v>37333.18</v>
      </c>
    </row>
    <row r="44" spans="1:63" ht="14.45" customHeight="1" x14ac:dyDescent="0.2">
      <c r="A44" s="428" t="s">
        <v>392</v>
      </c>
      <c r="B44" s="2133">
        <v>0</v>
      </c>
      <c r="C44" s="2133">
        <v>0</v>
      </c>
      <c r="D44" s="2133">
        <v>9</v>
      </c>
      <c r="E44" s="2133">
        <v>12</v>
      </c>
      <c r="F44" s="2133">
        <v>0</v>
      </c>
      <c r="G44" s="2133">
        <v>85</v>
      </c>
      <c r="H44" s="2133">
        <v>12</v>
      </c>
      <c r="I44" s="2133">
        <v>12</v>
      </c>
      <c r="J44" s="2133">
        <v>10</v>
      </c>
      <c r="K44" s="2133">
        <v>12</v>
      </c>
      <c r="L44" s="2133">
        <v>39</v>
      </c>
      <c r="M44" s="2133">
        <v>20</v>
      </c>
      <c r="N44" s="2133">
        <v>50</v>
      </c>
      <c r="O44" s="2133">
        <v>6</v>
      </c>
      <c r="P44" s="2133">
        <v>0</v>
      </c>
      <c r="Q44" s="2133">
        <v>12</v>
      </c>
      <c r="R44" s="2133">
        <v>7</v>
      </c>
      <c r="S44" s="2133">
        <v>0</v>
      </c>
      <c r="T44" s="2133">
        <v>0</v>
      </c>
      <c r="U44" s="2133">
        <v>0</v>
      </c>
      <c r="V44" s="2133">
        <v>22</v>
      </c>
      <c r="W44" s="2243">
        <v>308</v>
      </c>
      <c r="X44" s="2133">
        <v>2</v>
      </c>
      <c r="Y44" s="2133">
        <v>9</v>
      </c>
      <c r="Z44" s="2133">
        <v>20</v>
      </c>
      <c r="AA44" s="2133">
        <v>35</v>
      </c>
      <c r="AB44" s="2243">
        <v>66</v>
      </c>
      <c r="AC44" s="2133">
        <v>44</v>
      </c>
      <c r="AD44" s="2133">
        <v>5092.33</v>
      </c>
      <c r="AE44" s="2133">
        <v>37</v>
      </c>
      <c r="AF44" s="2133">
        <v>7</v>
      </c>
      <c r="AG44" s="2133">
        <v>345</v>
      </c>
      <c r="AH44" s="2133">
        <v>40</v>
      </c>
      <c r="AI44" s="2133">
        <v>56</v>
      </c>
      <c r="AJ44" s="2133">
        <v>3</v>
      </c>
      <c r="AK44" s="2133">
        <v>0</v>
      </c>
      <c r="AL44" s="2133">
        <v>500</v>
      </c>
      <c r="AM44" s="2133">
        <v>0</v>
      </c>
      <c r="AN44" s="2133">
        <v>28</v>
      </c>
      <c r="AO44" s="2133">
        <v>0</v>
      </c>
      <c r="AP44" s="2133">
        <v>0</v>
      </c>
      <c r="AQ44" s="2133">
        <v>0</v>
      </c>
      <c r="AR44" s="2133">
        <v>4</v>
      </c>
      <c r="AS44" s="2133">
        <v>1.5</v>
      </c>
      <c r="AT44" s="2133">
        <v>18</v>
      </c>
      <c r="AU44" s="2133">
        <v>2</v>
      </c>
      <c r="AV44" s="2133">
        <v>11</v>
      </c>
      <c r="AW44" s="2133">
        <v>4</v>
      </c>
      <c r="AX44" s="2133">
        <v>15.5</v>
      </c>
      <c r="AY44" s="2133">
        <v>4</v>
      </c>
      <c r="AZ44" s="2133">
        <v>4</v>
      </c>
      <c r="BA44" s="2133">
        <v>1</v>
      </c>
      <c r="BB44" s="2133">
        <v>0.5</v>
      </c>
      <c r="BC44" s="2133">
        <v>5</v>
      </c>
      <c r="BD44" s="2133">
        <v>12</v>
      </c>
      <c r="BE44" s="2133">
        <v>0</v>
      </c>
      <c r="BF44" s="2243">
        <v>6234.83</v>
      </c>
      <c r="BG44" s="2245">
        <v>6608.83</v>
      </c>
      <c r="BI44" s="2247">
        <v>6570</v>
      </c>
      <c r="BJ44" s="2249">
        <v>4.68</v>
      </c>
      <c r="BK44" s="2252">
        <v>13183.51</v>
      </c>
    </row>
    <row r="45" spans="1:63" ht="14.45" customHeight="1" x14ac:dyDescent="0.2">
      <c r="A45" s="2134" t="s">
        <v>393</v>
      </c>
      <c r="B45" s="2135">
        <v>179</v>
      </c>
      <c r="C45" s="2135">
        <v>34810</v>
      </c>
      <c r="D45" s="2135">
        <v>1122.75</v>
      </c>
      <c r="E45" s="2135">
        <v>870</v>
      </c>
      <c r="F45" s="2135">
        <v>92.5</v>
      </c>
      <c r="G45" s="2135">
        <v>13551</v>
      </c>
      <c r="H45" s="2135">
        <v>2950.7</v>
      </c>
      <c r="I45" s="2135">
        <v>601.5</v>
      </c>
      <c r="J45" s="2135">
        <v>1071</v>
      </c>
      <c r="K45" s="2135">
        <v>3392.5</v>
      </c>
      <c r="L45" s="2135">
        <v>7291.5</v>
      </c>
      <c r="M45" s="2135">
        <v>3263.5</v>
      </c>
      <c r="N45" s="2135">
        <v>6401.2</v>
      </c>
      <c r="O45" s="2135">
        <v>859</v>
      </c>
      <c r="P45" s="2135">
        <v>56</v>
      </c>
      <c r="Q45" s="2135">
        <v>213.2</v>
      </c>
      <c r="R45" s="2135">
        <v>310</v>
      </c>
      <c r="S45" s="2135">
        <v>233</v>
      </c>
      <c r="T45" s="2135">
        <v>84</v>
      </c>
      <c r="U45" s="2135">
        <v>0</v>
      </c>
      <c r="V45" s="2135">
        <v>1223.5</v>
      </c>
      <c r="W45" s="2244">
        <v>78575.849999999991</v>
      </c>
      <c r="X45" s="2135">
        <v>135.5</v>
      </c>
      <c r="Y45" s="2135">
        <v>604.29999999999995</v>
      </c>
      <c r="Z45" s="2135">
        <v>365.8</v>
      </c>
      <c r="AA45" s="2135">
        <v>3877</v>
      </c>
      <c r="AB45" s="2244">
        <v>4982.6000000000004</v>
      </c>
      <c r="AC45" s="2135">
        <v>7472.3449999999993</v>
      </c>
      <c r="AD45" s="2135">
        <v>147991.64000000001</v>
      </c>
      <c r="AE45" s="2135">
        <v>14427.507000000001</v>
      </c>
      <c r="AF45" s="2135">
        <v>4162.7</v>
      </c>
      <c r="AG45" s="2135">
        <v>27690.776999999998</v>
      </c>
      <c r="AH45" s="2135">
        <v>3416.596</v>
      </c>
      <c r="AI45" s="2135">
        <v>3928.4169999999999</v>
      </c>
      <c r="AJ45" s="2135">
        <v>556.08000000000004</v>
      </c>
      <c r="AK45" s="2135">
        <v>168.96499999999997</v>
      </c>
      <c r="AL45" s="2135">
        <v>3915.7299999999996</v>
      </c>
      <c r="AM45" s="2135">
        <v>123</v>
      </c>
      <c r="AN45" s="2135">
        <v>3021.6149999999998</v>
      </c>
      <c r="AO45" s="2135">
        <v>1019.525</v>
      </c>
      <c r="AP45" s="2135">
        <v>147.30000000000001</v>
      </c>
      <c r="AQ45" s="2135">
        <v>156.85</v>
      </c>
      <c r="AR45" s="2135">
        <v>282.7</v>
      </c>
      <c r="AS45" s="2135">
        <v>188.98999999999998</v>
      </c>
      <c r="AT45" s="2135">
        <v>620.18000000000006</v>
      </c>
      <c r="AU45" s="2135">
        <v>1117.8599999999999</v>
      </c>
      <c r="AV45" s="2135">
        <v>2464.17</v>
      </c>
      <c r="AW45" s="2135">
        <v>497.5</v>
      </c>
      <c r="AX45" s="2135">
        <v>1375.8700000000001</v>
      </c>
      <c r="AY45" s="2135">
        <v>1645.0500000000002</v>
      </c>
      <c r="AZ45" s="2135">
        <v>623.04</v>
      </c>
      <c r="BA45" s="2135">
        <v>580.6</v>
      </c>
      <c r="BB45" s="2135">
        <v>1230.79</v>
      </c>
      <c r="BC45" s="2135">
        <v>786.35</v>
      </c>
      <c r="BD45" s="2135">
        <v>1122.6600000000001</v>
      </c>
      <c r="BE45" s="2135">
        <v>0</v>
      </c>
      <c r="BF45" s="2244">
        <v>230734.807</v>
      </c>
      <c r="BG45" s="2246">
        <v>314293.25699999998</v>
      </c>
      <c r="BI45" s="2244">
        <v>653012</v>
      </c>
      <c r="BJ45" s="2250">
        <v>1964.3512000000001</v>
      </c>
      <c r="BK45" s="2253">
        <v>969327.60820000013</v>
      </c>
    </row>
    <row r="46" spans="1:63" x14ac:dyDescent="0.2">
      <c r="A46" s="9" t="s">
        <v>1934</v>
      </c>
    </row>
    <row r="47" spans="1:63" x14ac:dyDescent="0.2">
      <c r="C47" s="10"/>
      <c r="AA47" s="1646"/>
    </row>
    <row r="48" spans="1:63" x14ac:dyDescent="0.2">
      <c r="C48" s="1646"/>
      <c r="G48" s="10"/>
      <c r="K48" s="10"/>
      <c r="AB48" s="1646"/>
      <c r="AG48" s="10"/>
    </row>
    <row r="49" spans="23:23" x14ac:dyDescent="0.2">
      <c r="W49" s="10"/>
    </row>
  </sheetData>
  <sheetProtection insertHyperlinks="0"/>
  <mergeCells count="1">
    <mergeCell ref="A1:R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50"/>
  <sheetViews>
    <sheetView zoomScale="90" zoomScaleNormal="90" workbookViewId="0">
      <pane ySplit="3" topLeftCell="A4" activePane="bottomLeft" state="frozen"/>
      <selection pane="bottomLeft" activeCell="A4" sqref="A4"/>
    </sheetView>
  </sheetViews>
  <sheetFormatPr baseColWidth="10" defaultColWidth="11.42578125" defaultRowHeight="12.75" x14ac:dyDescent="0.2"/>
  <cols>
    <col min="1" max="1" width="19.28515625" style="2384" customWidth="1"/>
    <col min="2" max="22" width="11.42578125" style="2384"/>
    <col min="23" max="23" width="22" style="2384" bestFit="1" customWidth="1"/>
    <col min="24" max="27" width="11.42578125" style="2384"/>
    <col min="28" max="28" width="16.7109375" style="2384" bestFit="1" customWidth="1"/>
    <col min="29" max="34" width="11.42578125" style="2384"/>
    <col min="35" max="35" width="19.85546875" style="2384" customWidth="1"/>
    <col min="36" max="58" width="11.42578125" style="2384"/>
    <col min="59" max="59" width="21.85546875" style="2384" bestFit="1" customWidth="1"/>
    <col min="60" max="60" width="17.5703125" style="2384" bestFit="1" customWidth="1"/>
    <col min="61" max="61" width="11.42578125" style="2384"/>
    <col min="62" max="66" width="16.42578125" style="2384" customWidth="1"/>
    <col min="67" max="67" width="11.42578125" style="2384"/>
    <col min="68" max="68" width="17.42578125" style="2384" bestFit="1" customWidth="1"/>
    <col min="69" max="74" width="11.42578125" style="2384"/>
    <col min="75" max="75" width="19.85546875" style="2384" customWidth="1"/>
    <col min="76" max="76" width="29" style="2384" bestFit="1" customWidth="1"/>
    <col min="77" max="16384" width="11.42578125" style="2384"/>
  </cols>
  <sheetData>
    <row r="1" spans="1:76" ht="15.75" x14ac:dyDescent="0.25">
      <c r="A1" s="3319" t="s">
        <v>2020</v>
      </c>
      <c r="B1" s="3319"/>
      <c r="C1" s="3319"/>
      <c r="D1" s="3319"/>
      <c r="E1" s="3319"/>
      <c r="F1" s="3319"/>
      <c r="G1" s="3319"/>
      <c r="H1" s="3319"/>
      <c r="I1" s="3319"/>
      <c r="J1" s="3319"/>
      <c r="K1" s="3319"/>
      <c r="L1" s="3319"/>
      <c r="M1" s="3319"/>
      <c r="N1" s="3319"/>
      <c r="O1" s="3319"/>
      <c r="P1" s="3319"/>
    </row>
    <row r="2" spans="1:76" x14ac:dyDescent="0.2">
      <c r="A2" s="2385"/>
    </row>
    <row r="3" spans="1:76" ht="28.5" customHeight="1" x14ac:dyDescent="0.2">
      <c r="A3" s="2386" t="s">
        <v>327</v>
      </c>
      <c r="B3" s="2387" t="s">
        <v>1368</v>
      </c>
      <c r="C3" s="2387" t="s">
        <v>1713</v>
      </c>
      <c r="D3" s="2387" t="s">
        <v>1387</v>
      </c>
      <c r="E3" s="2387" t="s">
        <v>1386</v>
      </c>
      <c r="F3" s="2387" t="s">
        <v>1714</v>
      </c>
      <c r="G3" s="2387" t="s">
        <v>1715</v>
      </c>
      <c r="H3" s="2387" t="s">
        <v>1716</v>
      </c>
      <c r="I3" s="2387" t="s">
        <v>1388</v>
      </c>
      <c r="J3" s="2387" t="s">
        <v>1717</v>
      </c>
      <c r="K3" s="2387" t="s">
        <v>1718</v>
      </c>
      <c r="L3" s="2387" t="s">
        <v>1719</v>
      </c>
      <c r="M3" s="2387" t="s">
        <v>1720</v>
      </c>
      <c r="N3" s="2387" t="s">
        <v>1721</v>
      </c>
      <c r="O3" s="2387" t="s">
        <v>1657</v>
      </c>
      <c r="P3" s="2387" t="s">
        <v>1393</v>
      </c>
      <c r="Q3" s="2387" t="s">
        <v>1394</v>
      </c>
      <c r="R3" s="2387" t="s">
        <v>1722</v>
      </c>
      <c r="S3" s="2387" t="s">
        <v>1723</v>
      </c>
      <c r="T3" s="2387" t="s">
        <v>1377</v>
      </c>
      <c r="U3" s="2387" t="s">
        <v>1733</v>
      </c>
      <c r="V3" s="2387" t="s">
        <v>1734</v>
      </c>
      <c r="W3" s="2388" t="s">
        <v>106</v>
      </c>
      <c r="X3" s="2387" t="s">
        <v>13</v>
      </c>
      <c r="Y3" s="2387" t="s">
        <v>14</v>
      </c>
      <c r="Z3" s="2387" t="s">
        <v>1404</v>
      </c>
      <c r="AA3" s="2387" t="s">
        <v>15</v>
      </c>
      <c r="AB3" s="2388" t="s">
        <v>282</v>
      </c>
      <c r="AC3" s="2387" t="s">
        <v>16</v>
      </c>
      <c r="AD3" s="2387" t="s">
        <v>64</v>
      </c>
      <c r="AE3" s="2387" t="s">
        <v>1128</v>
      </c>
      <c r="AF3" s="2387" t="s">
        <v>1735</v>
      </c>
      <c r="AG3" s="2387" t="s">
        <v>63</v>
      </c>
      <c r="AH3" s="2387" t="s">
        <v>1724</v>
      </c>
      <c r="AI3" s="2389" t="s">
        <v>1896</v>
      </c>
      <c r="AJ3" s="2389" t="s">
        <v>1897</v>
      </c>
      <c r="AK3" s="2390" t="s">
        <v>1898</v>
      </c>
      <c r="AL3" s="2387" t="s">
        <v>1449</v>
      </c>
      <c r="AM3" s="2387" t="s">
        <v>1450</v>
      </c>
      <c r="AN3" s="2387" t="s">
        <v>1451</v>
      </c>
      <c r="AO3" s="2387" t="s">
        <v>1725</v>
      </c>
      <c r="AP3" s="2387" t="s">
        <v>1453</v>
      </c>
      <c r="AQ3" s="2387" t="s">
        <v>1500</v>
      </c>
      <c r="AR3" s="2387" t="s">
        <v>1726</v>
      </c>
      <c r="AS3" s="2387" t="s">
        <v>1727</v>
      </c>
      <c r="AT3" s="2387" t="s">
        <v>1728</v>
      </c>
      <c r="AU3" s="2387" t="s">
        <v>1729</v>
      </c>
      <c r="AV3" s="2387" t="s">
        <v>1455</v>
      </c>
      <c r="AW3" s="2387" t="s">
        <v>1456</v>
      </c>
      <c r="AX3" s="2387" t="s">
        <v>1458</v>
      </c>
      <c r="AY3" s="2387" t="s">
        <v>1730</v>
      </c>
      <c r="AZ3" s="2387" t="s">
        <v>1460</v>
      </c>
      <c r="BA3" s="2387" t="s">
        <v>1461</v>
      </c>
      <c r="BB3" s="2387" t="s">
        <v>1462</v>
      </c>
      <c r="BC3" s="2387" t="s">
        <v>1463</v>
      </c>
      <c r="BD3" s="2387" t="s">
        <v>1731</v>
      </c>
      <c r="BE3" s="2387" t="s">
        <v>1465</v>
      </c>
      <c r="BF3" s="2387" t="s">
        <v>1732</v>
      </c>
      <c r="BG3" s="2388" t="s">
        <v>107</v>
      </c>
      <c r="BH3" s="2391" t="s">
        <v>194</v>
      </c>
      <c r="BJ3" s="2392" t="s">
        <v>1786</v>
      </c>
      <c r="BK3" s="2392" t="s">
        <v>1787</v>
      </c>
      <c r="BL3" s="2392" t="s">
        <v>1788</v>
      </c>
      <c r="BM3" s="2392" t="s">
        <v>1789</v>
      </c>
      <c r="BN3" s="2392" t="s">
        <v>1790</v>
      </c>
      <c r="BO3" s="2392" t="s">
        <v>1791</v>
      </c>
      <c r="BP3" s="2388" t="s">
        <v>129</v>
      </c>
      <c r="BQ3" s="2392" t="s">
        <v>1137</v>
      </c>
      <c r="BR3" s="2392" t="s">
        <v>1349</v>
      </c>
      <c r="BS3" s="2392" t="s">
        <v>1350</v>
      </c>
      <c r="BT3" s="2392" t="s">
        <v>1351</v>
      </c>
      <c r="BU3" s="2392" t="s">
        <v>646</v>
      </c>
      <c r="BV3" s="2392" t="s">
        <v>1352</v>
      </c>
      <c r="BW3" s="2388" t="s">
        <v>121</v>
      </c>
      <c r="BX3" s="2393" t="s">
        <v>1792</v>
      </c>
    </row>
    <row r="4" spans="1:76" ht="14.45" customHeight="1" x14ac:dyDescent="0.2">
      <c r="A4" s="2394" t="s">
        <v>352</v>
      </c>
      <c r="B4" s="2395">
        <v>447.7</v>
      </c>
      <c r="C4" s="2395">
        <v>242411.3</v>
      </c>
      <c r="D4" s="2395">
        <v>1419.5625</v>
      </c>
      <c r="E4" s="2395">
        <v>2652.5</v>
      </c>
      <c r="F4" s="2395">
        <v>236.5</v>
      </c>
      <c r="G4" s="2395">
        <v>6001.2</v>
      </c>
      <c r="H4" s="2395">
        <v>1160.2</v>
      </c>
      <c r="I4" s="2395">
        <v>949.5</v>
      </c>
      <c r="J4" s="2395">
        <v>2056.52</v>
      </c>
      <c r="K4" s="2395">
        <v>6447.3</v>
      </c>
      <c r="L4" s="2395">
        <v>15310.02</v>
      </c>
      <c r="M4" s="2395">
        <v>1624.8500000000001</v>
      </c>
      <c r="N4" s="2395">
        <v>4144.3</v>
      </c>
      <c r="O4" s="2395">
        <v>13032</v>
      </c>
      <c r="P4" s="2395">
        <v>141</v>
      </c>
      <c r="Q4" s="2395">
        <v>219.8</v>
      </c>
      <c r="R4" s="2395">
        <v>450.5</v>
      </c>
      <c r="S4" s="2395">
        <v>3126</v>
      </c>
      <c r="T4" s="2395">
        <v>359</v>
      </c>
      <c r="U4" s="2395">
        <v>0</v>
      </c>
      <c r="V4" s="2395">
        <v>5319</v>
      </c>
      <c r="W4" s="2396">
        <v>307508.7525</v>
      </c>
      <c r="X4" s="2395">
        <v>111.6</v>
      </c>
      <c r="Y4" s="2395">
        <v>903</v>
      </c>
      <c r="Z4" s="2395">
        <v>616.1</v>
      </c>
      <c r="AA4" s="2395">
        <v>7531</v>
      </c>
      <c r="AB4" s="2396">
        <v>9161.7000000000007</v>
      </c>
      <c r="AC4" s="2395">
        <v>3061.1479999999997</v>
      </c>
      <c r="AD4" s="2395">
        <v>36666.639933028106</v>
      </c>
      <c r="AE4" s="2395">
        <v>8741.3374999999996</v>
      </c>
      <c r="AF4" s="2395">
        <v>14680</v>
      </c>
      <c r="AG4" s="2395">
        <v>13787.1</v>
      </c>
      <c r="AH4" s="2395">
        <v>29981.969999999998</v>
      </c>
      <c r="AI4" s="2395">
        <v>5034.5700000000006</v>
      </c>
      <c r="AJ4" s="2395">
        <v>2064.12</v>
      </c>
      <c r="AK4" s="2395">
        <v>1150.79</v>
      </c>
      <c r="AL4" s="2395">
        <v>417.9</v>
      </c>
      <c r="AM4" s="2395">
        <v>14194.75</v>
      </c>
      <c r="AN4" s="2395">
        <v>316.5</v>
      </c>
      <c r="AO4" s="2395">
        <v>9947.380000000001</v>
      </c>
      <c r="AP4" s="2395">
        <v>1819.2</v>
      </c>
      <c r="AQ4" s="2395">
        <v>78</v>
      </c>
      <c r="AR4" s="2395">
        <v>509</v>
      </c>
      <c r="AS4" s="2395">
        <v>10</v>
      </c>
      <c r="AT4" s="2395">
        <v>1300.8</v>
      </c>
      <c r="AU4" s="2395">
        <v>2502.35</v>
      </c>
      <c r="AV4" s="2395">
        <v>6470.9</v>
      </c>
      <c r="AW4" s="2395">
        <v>4674.2000000000007</v>
      </c>
      <c r="AX4" s="2395">
        <v>2551.9</v>
      </c>
      <c r="AY4" s="2395">
        <v>5771.5</v>
      </c>
      <c r="AZ4" s="2395">
        <v>2087.6</v>
      </c>
      <c r="BA4" s="2395">
        <v>3107.5</v>
      </c>
      <c r="BB4" s="2395">
        <v>4741.2</v>
      </c>
      <c r="BC4" s="2395">
        <v>466.4</v>
      </c>
      <c r="BD4" s="2395">
        <v>1776.2</v>
      </c>
      <c r="BE4" s="2395">
        <v>1440.8</v>
      </c>
      <c r="BF4" s="2395">
        <v>0</v>
      </c>
      <c r="BG4" s="2396">
        <v>179351.75543302813</v>
      </c>
      <c r="BH4" s="2397">
        <v>496022.20793302811</v>
      </c>
      <c r="BJ4" s="2398">
        <v>18552.11</v>
      </c>
      <c r="BK4" s="2398">
        <v>69729.599999999991</v>
      </c>
      <c r="BL4" s="2398">
        <v>4739.3500000000004</v>
      </c>
      <c r="BM4" s="2398">
        <v>3175.7220000000002</v>
      </c>
      <c r="BN4" s="2398">
        <v>29315.375</v>
      </c>
      <c r="BO4" s="2398">
        <v>95.16</v>
      </c>
      <c r="BP4" s="2396">
        <v>125607.31700000001</v>
      </c>
      <c r="BQ4" s="2398">
        <v>56123</v>
      </c>
      <c r="BR4" s="2398">
        <v>1944.07</v>
      </c>
      <c r="BS4" s="2398">
        <v>11.85</v>
      </c>
      <c r="BT4" s="2398">
        <v>237</v>
      </c>
      <c r="BU4" s="2398">
        <v>36.135000000000005</v>
      </c>
      <c r="BV4" s="2398">
        <v>25.589999999999996</v>
      </c>
      <c r="BW4" s="2396">
        <v>58377.645000000004</v>
      </c>
      <c r="BX4" s="2399">
        <v>680007.16993302805</v>
      </c>
    </row>
    <row r="5" spans="1:76" ht="14.45" customHeight="1" x14ac:dyDescent="0.2">
      <c r="A5" s="2400" t="s">
        <v>353</v>
      </c>
      <c r="B5" s="2401">
        <v>0</v>
      </c>
      <c r="C5" s="2401">
        <v>245</v>
      </c>
      <c r="D5" s="2402">
        <v>484</v>
      </c>
      <c r="E5" s="2401">
        <v>192</v>
      </c>
      <c r="F5" s="2401">
        <v>147</v>
      </c>
      <c r="G5" s="2401">
        <v>832</v>
      </c>
      <c r="H5" s="2401">
        <v>380</v>
      </c>
      <c r="I5" s="2400">
        <v>216</v>
      </c>
      <c r="J5" s="2400">
        <v>300</v>
      </c>
      <c r="K5" s="2400">
        <v>1650</v>
      </c>
      <c r="L5" s="2400">
        <v>4112</v>
      </c>
      <c r="M5" s="2400">
        <v>322.2</v>
      </c>
      <c r="N5" s="2400">
        <v>494.1</v>
      </c>
      <c r="O5" s="2400">
        <v>1200</v>
      </c>
      <c r="P5" s="2400">
        <v>35</v>
      </c>
      <c r="Q5" s="2400">
        <v>0</v>
      </c>
      <c r="R5" s="2400">
        <v>54</v>
      </c>
      <c r="S5" s="2400">
        <v>324</v>
      </c>
      <c r="T5" s="2400">
        <v>0</v>
      </c>
      <c r="U5" s="2400">
        <v>0</v>
      </c>
      <c r="V5" s="2400">
        <v>440</v>
      </c>
      <c r="W5" s="2403">
        <v>11427.300000000001</v>
      </c>
      <c r="X5" s="2400">
        <v>0</v>
      </c>
      <c r="Y5" s="2400">
        <v>64</v>
      </c>
      <c r="Z5" s="2400">
        <v>70</v>
      </c>
      <c r="AA5" s="2400">
        <v>960</v>
      </c>
      <c r="AB5" s="2403">
        <v>1094</v>
      </c>
      <c r="AC5" s="2404">
        <v>382.92500000000001</v>
      </c>
      <c r="AD5" s="2404">
        <v>5650.0079999999998</v>
      </c>
      <c r="AE5" s="2404">
        <v>1684</v>
      </c>
      <c r="AF5" s="2400">
        <v>4210</v>
      </c>
      <c r="AG5" s="2404">
        <v>4266</v>
      </c>
      <c r="AH5" s="2404">
        <v>2634</v>
      </c>
      <c r="AI5" s="2404">
        <v>1240</v>
      </c>
      <c r="AJ5" s="2404">
        <v>0</v>
      </c>
      <c r="AK5" s="2404">
        <v>0</v>
      </c>
      <c r="AL5" s="2404">
        <v>250</v>
      </c>
      <c r="AM5" s="2404">
        <v>2216</v>
      </c>
      <c r="AN5" s="2404">
        <v>133</v>
      </c>
      <c r="AO5" s="2404">
        <v>1136</v>
      </c>
      <c r="AP5" s="2404">
        <v>135</v>
      </c>
      <c r="AQ5" s="2404">
        <v>0</v>
      </c>
      <c r="AR5" s="2404">
        <v>68</v>
      </c>
      <c r="AS5" s="2404">
        <v>0</v>
      </c>
      <c r="AT5" s="2404">
        <v>0</v>
      </c>
      <c r="AU5" s="2404">
        <v>534</v>
      </c>
      <c r="AV5" s="2404">
        <v>370.5</v>
      </c>
      <c r="AW5" s="2404">
        <v>324</v>
      </c>
      <c r="AX5" s="2404">
        <v>330</v>
      </c>
      <c r="AY5" s="2404">
        <v>768</v>
      </c>
      <c r="AZ5" s="2404">
        <v>265.5</v>
      </c>
      <c r="BA5" s="2404">
        <v>364</v>
      </c>
      <c r="BB5" s="2404">
        <v>1630</v>
      </c>
      <c r="BC5" s="2404">
        <v>0</v>
      </c>
      <c r="BD5" s="2404">
        <v>408</v>
      </c>
      <c r="BE5" s="2404">
        <v>112</v>
      </c>
      <c r="BF5" s="2404">
        <v>0</v>
      </c>
      <c r="BG5" s="2403">
        <v>29110.933000000001</v>
      </c>
      <c r="BH5" s="2405">
        <v>41632.233</v>
      </c>
      <c r="BJ5" s="2401">
        <v>0</v>
      </c>
      <c r="BK5" s="2401">
        <v>8997.98</v>
      </c>
      <c r="BL5" s="2401">
        <v>0</v>
      </c>
      <c r="BM5" s="2401">
        <v>1782</v>
      </c>
      <c r="BN5" s="2401">
        <v>7250</v>
      </c>
      <c r="BO5" s="2401">
        <v>18.3</v>
      </c>
      <c r="BP5" s="2406">
        <v>18048.28</v>
      </c>
      <c r="BQ5" s="2401">
        <v>5820</v>
      </c>
      <c r="BR5" s="2401">
        <v>6</v>
      </c>
      <c r="BS5" s="2401">
        <v>4</v>
      </c>
      <c r="BT5" s="2401">
        <v>45</v>
      </c>
      <c r="BU5" s="2401">
        <v>20.25</v>
      </c>
      <c r="BV5" s="2401">
        <v>0</v>
      </c>
      <c r="BW5" s="2406">
        <v>5895.25</v>
      </c>
      <c r="BX5" s="2407">
        <v>65575.763000000006</v>
      </c>
    </row>
    <row r="6" spans="1:76" ht="14.45" customHeight="1" x14ac:dyDescent="0.2">
      <c r="A6" s="2400" t="s">
        <v>354</v>
      </c>
      <c r="B6" s="2401">
        <v>90</v>
      </c>
      <c r="C6" s="2401">
        <v>14875</v>
      </c>
      <c r="D6" s="2402">
        <v>24</v>
      </c>
      <c r="E6" s="2401">
        <v>0</v>
      </c>
      <c r="F6" s="2401">
        <v>0</v>
      </c>
      <c r="G6" s="2401">
        <v>96</v>
      </c>
      <c r="H6" s="2401">
        <v>49.400000000000006</v>
      </c>
      <c r="I6" s="2400">
        <v>0</v>
      </c>
      <c r="J6" s="2400">
        <v>86.22</v>
      </c>
      <c r="K6" s="2400">
        <v>526</v>
      </c>
      <c r="L6" s="2400">
        <v>1064.32</v>
      </c>
      <c r="M6" s="2400">
        <v>193.75</v>
      </c>
      <c r="N6" s="2400">
        <v>432</v>
      </c>
      <c r="O6" s="2400">
        <v>3146</v>
      </c>
      <c r="P6" s="2400">
        <v>0</v>
      </c>
      <c r="Q6" s="2400">
        <v>0</v>
      </c>
      <c r="R6" s="2400">
        <v>0</v>
      </c>
      <c r="S6" s="2400">
        <v>510</v>
      </c>
      <c r="T6" s="2400">
        <v>0</v>
      </c>
      <c r="U6" s="2400">
        <v>0</v>
      </c>
      <c r="V6" s="2400">
        <v>220</v>
      </c>
      <c r="W6" s="2403">
        <v>21312.69</v>
      </c>
      <c r="X6" s="2400">
        <v>50</v>
      </c>
      <c r="Y6" s="2400">
        <v>24</v>
      </c>
      <c r="Z6" s="2400">
        <v>72</v>
      </c>
      <c r="AA6" s="2400">
        <v>900</v>
      </c>
      <c r="AB6" s="2403">
        <v>1046</v>
      </c>
      <c r="AC6" s="2404">
        <v>35.25</v>
      </c>
      <c r="AD6" s="2404">
        <v>1348.1933296724999</v>
      </c>
      <c r="AE6" s="2404">
        <v>504.88749999999993</v>
      </c>
      <c r="AF6" s="2400">
        <v>597.5</v>
      </c>
      <c r="AG6" s="2404">
        <v>1533</v>
      </c>
      <c r="AH6" s="2404">
        <v>918.75</v>
      </c>
      <c r="AI6" s="2404">
        <v>132</v>
      </c>
      <c r="AJ6" s="2404">
        <v>0</v>
      </c>
      <c r="AK6" s="2404">
        <v>0</v>
      </c>
      <c r="AL6" s="2404">
        <v>0</v>
      </c>
      <c r="AM6" s="2404">
        <v>27.5</v>
      </c>
      <c r="AN6" s="2404">
        <v>0</v>
      </c>
      <c r="AO6" s="2404">
        <v>1215</v>
      </c>
      <c r="AP6" s="2404">
        <v>0</v>
      </c>
      <c r="AQ6" s="2404">
        <v>0</v>
      </c>
      <c r="AR6" s="2404">
        <v>0</v>
      </c>
      <c r="AS6" s="2404">
        <v>0</v>
      </c>
      <c r="AT6" s="2404">
        <v>15</v>
      </c>
      <c r="AU6" s="2404">
        <v>55</v>
      </c>
      <c r="AV6" s="2404">
        <v>238</v>
      </c>
      <c r="AW6" s="2404">
        <v>91</v>
      </c>
      <c r="AX6" s="2404">
        <v>404.40000000000003</v>
      </c>
      <c r="AY6" s="2404">
        <v>77</v>
      </c>
      <c r="AZ6" s="2404">
        <v>0</v>
      </c>
      <c r="BA6" s="2404">
        <v>320</v>
      </c>
      <c r="BB6" s="2404">
        <v>150</v>
      </c>
      <c r="BC6" s="2404">
        <v>48</v>
      </c>
      <c r="BD6" s="2404">
        <v>0</v>
      </c>
      <c r="BE6" s="2404">
        <v>22.5</v>
      </c>
      <c r="BF6" s="2404">
        <v>0</v>
      </c>
      <c r="BG6" s="2403">
        <v>7732.9808296724996</v>
      </c>
      <c r="BH6" s="2405">
        <v>30091.670829672497</v>
      </c>
      <c r="BJ6" s="2401">
        <v>0</v>
      </c>
      <c r="BK6" s="2401">
        <v>7951.89</v>
      </c>
      <c r="BL6" s="2401">
        <v>0</v>
      </c>
      <c r="BM6" s="2401">
        <v>356.4</v>
      </c>
      <c r="BN6" s="2401">
        <v>63.4375</v>
      </c>
      <c r="BO6" s="2401">
        <v>6.9</v>
      </c>
      <c r="BP6" s="2406">
        <v>8378.6275000000005</v>
      </c>
      <c r="BQ6" s="2401">
        <v>8560</v>
      </c>
      <c r="BR6" s="2401">
        <v>540</v>
      </c>
      <c r="BS6" s="2401">
        <v>1.75</v>
      </c>
      <c r="BT6" s="2401">
        <v>0</v>
      </c>
      <c r="BU6" s="2401">
        <v>2.5499999999999998</v>
      </c>
      <c r="BV6" s="2401">
        <v>5.5</v>
      </c>
      <c r="BW6" s="2406">
        <v>9109.7999999999993</v>
      </c>
      <c r="BX6" s="2407">
        <v>47580.098329672495</v>
      </c>
    </row>
    <row r="7" spans="1:76" ht="14.45" customHeight="1" x14ac:dyDescent="0.2">
      <c r="A7" s="2400" t="s">
        <v>355</v>
      </c>
      <c r="B7" s="2401">
        <v>0</v>
      </c>
      <c r="C7" s="2401">
        <v>0</v>
      </c>
      <c r="D7" s="2402">
        <v>90</v>
      </c>
      <c r="E7" s="2401">
        <v>67</v>
      </c>
      <c r="F7" s="2401">
        <v>53</v>
      </c>
      <c r="G7" s="2401">
        <v>38.4</v>
      </c>
      <c r="H7" s="2401">
        <v>25</v>
      </c>
      <c r="I7" s="2400">
        <v>300</v>
      </c>
      <c r="J7" s="2400">
        <v>189</v>
      </c>
      <c r="K7" s="2400">
        <v>280</v>
      </c>
      <c r="L7" s="2400">
        <v>1588</v>
      </c>
      <c r="M7" s="2400">
        <v>90</v>
      </c>
      <c r="N7" s="2400">
        <v>777.6</v>
      </c>
      <c r="O7" s="2400">
        <v>0</v>
      </c>
      <c r="P7" s="2400">
        <v>0</v>
      </c>
      <c r="Q7" s="2400">
        <v>90</v>
      </c>
      <c r="R7" s="2400">
        <v>232</v>
      </c>
      <c r="S7" s="2400">
        <v>0</v>
      </c>
      <c r="T7" s="2400">
        <v>0</v>
      </c>
      <c r="U7" s="2400">
        <v>0</v>
      </c>
      <c r="V7" s="2400">
        <v>768</v>
      </c>
      <c r="W7" s="2403">
        <v>4588</v>
      </c>
      <c r="X7" s="2400">
        <v>2</v>
      </c>
      <c r="Y7" s="2400">
        <v>128</v>
      </c>
      <c r="Z7" s="2400">
        <v>60</v>
      </c>
      <c r="AA7" s="2400">
        <v>140</v>
      </c>
      <c r="AB7" s="2403">
        <v>330</v>
      </c>
      <c r="AC7" s="2404">
        <v>148.85</v>
      </c>
      <c r="AD7" s="2404">
        <v>7656.7950000000001</v>
      </c>
      <c r="AE7" s="2404">
        <v>126</v>
      </c>
      <c r="AF7" s="2400">
        <v>280</v>
      </c>
      <c r="AG7" s="2404">
        <v>945</v>
      </c>
      <c r="AH7" s="2404">
        <v>3763.5</v>
      </c>
      <c r="AI7" s="2404">
        <v>134.65000000000003</v>
      </c>
      <c r="AJ7" s="2404">
        <v>352.72</v>
      </c>
      <c r="AK7" s="2404">
        <v>98.640000000000015</v>
      </c>
      <c r="AL7" s="2404">
        <v>0</v>
      </c>
      <c r="AM7" s="2404">
        <v>707</v>
      </c>
      <c r="AN7" s="2404">
        <v>95</v>
      </c>
      <c r="AO7" s="2404">
        <v>280</v>
      </c>
      <c r="AP7" s="2404">
        <v>180</v>
      </c>
      <c r="AQ7" s="2404">
        <v>75</v>
      </c>
      <c r="AR7" s="2404">
        <v>210</v>
      </c>
      <c r="AS7" s="2404">
        <v>0</v>
      </c>
      <c r="AT7" s="2404">
        <v>54</v>
      </c>
      <c r="AU7" s="2404">
        <v>84</v>
      </c>
      <c r="AV7" s="2404">
        <v>1720</v>
      </c>
      <c r="AW7" s="2404">
        <v>632.5</v>
      </c>
      <c r="AX7" s="2404">
        <v>85</v>
      </c>
      <c r="AY7" s="2404">
        <v>1518</v>
      </c>
      <c r="AZ7" s="2404">
        <v>753</v>
      </c>
      <c r="BA7" s="2404">
        <v>40</v>
      </c>
      <c r="BB7" s="2404">
        <v>182</v>
      </c>
      <c r="BC7" s="2404">
        <v>65</v>
      </c>
      <c r="BD7" s="2404">
        <v>320</v>
      </c>
      <c r="BE7" s="2404">
        <v>36</v>
      </c>
      <c r="BF7" s="2404">
        <v>0</v>
      </c>
      <c r="BG7" s="2403">
        <v>20542.654999999999</v>
      </c>
      <c r="BH7" s="2405">
        <v>25460.654999999999</v>
      </c>
      <c r="BJ7" s="2401">
        <v>963.62</v>
      </c>
      <c r="BK7" s="2401">
        <v>4416.5</v>
      </c>
      <c r="BL7" s="2401">
        <v>31.1</v>
      </c>
      <c r="BM7" s="2401">
        <v>12.144</v>
      </c>
      <c r="BN7" s="2401">
        <v>54.375</v>
      </c>
      <c r="BO7" s="2401">
        <v>22.8</v>
      </c>
      <c r="BP7" s="2406">
        <v>5500.5390000000007</v>
      </c>
      <c r="BQ7" s="2401">
        <v>400</v>
      </c>
      <c r="BR7" s="2401">
        <v>712</v>
      </c>
      <c r="BS7" s="2401">
        <v>0</v>
      </c>
      <c r="BT7" s="2401">
        <v>75</v>
      </c>
      <c r="BU7" s="2401">
        <v>5.25</v>
      </c>
      <c r="BV7" s="2401">
        <v>3.35</v>
      </c>
      <c r="BW7" s="2406">
        <v>1195.5999999999999</v>
      </c>
      <c r="BX7" s="2407">
        <v>32156.794000000002</v>
      </c>
    </row>
    <row r="8" spans="1:76" ht="14.45" customHeight="1" x14ac:dyDescent="0.2">
      <c r="A8" s="2400" t="s">
        <v>356</v>
      </c>
      <c r="B8" s="2401">
        <v>0</v>
      </c>
      <c r="C8" s="2401">
        <v>2925</v>
      </c>
      <c r="D8" s="2402">
        <v>84</v>
      </c>
      <c r="E8" s="2401">
        <v>0</v>
      </c>
      <c r="F8" s="2401">
        <v>0</v>
      </c>
      <c r="G8" s="2401">
        <v>120</v>
      </c>
      <c r="H8" s="2401">
        <v>108</v>
      </c>
      <c r="I8" s="2400">
        <v>0</v>
      </c>
      <c r="J8" s="2400">
        <v>202.5</v>
      </c>
      <c r="K8" s="2400">
        <v>0</v>
      </c>
      <c r="L8" s="2400">
        <v>393</v>
      </c>
      <c r="M8" s="2400">
        <v>66.599999999999994</v>
      </c>
      <c r="N8" s="2400">
        <v>108</v>
      </c>
      <c r="O8" s="2400">
        <v>1496</v>
      </c>
      <c r="P8" s="2400">
        <v>0</v>
      </c>
      <c r="Q8" s="2400">
        <v>0</v>
      </c>
      <c r="R8" s="2400">
        <v>0</v>
      </c>
      <c r="S8" s="2400">
        <v>208</v>
      </c>
      <c r="T8" s="2400">
        <v>0</v>
      </c>
      <c r="U8" s="2400">
        <v>0</v>
      </c>
      <c r="V8" s="2400">
        <v>400</v>
      </c>
      <c r="W8" s="2403">
        <v>6111.1</v>
      </c>
      <c r="X8" s="2400">
        <v>0</v>
      </c>
      <c r="Y8" s="2400">
        <v>42</v>
      </c>
      <c r="Z8" s="2400">
        <v>24</v>
      </c>
      <c r="AA8" s="2400">
        <v>168</v>
      </c>
      <c r="AB8" s="2403">
        <v>234</v>
      </c>
      <c r="AC8" s="2404">
        <v>205.79999999999998</v>
      </c>
      <c r="AD8" s="2404">
        <v>973.11500000000001</v>
      </c>
      <c r="AE8" s="2404">
        <v>112.75</v>
      </c>
      <c r="AF8" s="2400">
        <v>250</v>
      </c>
      <c r="AG8" s="2404">
        <v>243.10000000000002</v>
      </c>
      <c r="AH8" s="2404">
        <v>416.02000000000004</v>
      </c>
      <c r="AI8" s="2404">
        <v>63.180000000000007</v>
      </c>
      <c r="AJ8" s="2404">
        <v>0</v>
      </c>
      <c r="AK8" s="2404">
        <v>0</v>
      </c>
      <c r="AL8" s="2404">
        <v>42</v>
      </c>
      <c r="AM8" s="2404">
        <v>1008</v>
      </c>
      <c r="AN8" s="2404">
        <v>45.5</v>
      </c>
      <c r="AO8" s="2404">
        <v>45.72</v>
      </c>
      <c r="AP8" s="2404">
        <v>80</v>
      </c>
      <c r="AQ8" s="2404">
        <v>3</v>
      </c>
      <c r="AR8" s="2404">
        <v>0</v>
      </c>
      <c r="AS8" s="2404">
        <v>10</v>
      </c>
      <c r="AT8" s="2404">
        <v>0</v>
      </c>
      <c r="AU8" s="2404">
        <v>11</v>
      </c>
      <c r="AV8" s="2404">
        <v>897</v>
      </c>
      <c r="AW8" s="2404">
        <v>602</v>
      </c>
      <c r="AX8" s="2404">
        <v>10</v>
      </c>
      <c r="AY8" s="2404">
        <v>306</v>
      </c>
      <c r="AZ8" s="2404">
        <v>42</v>
      </c>
      <c r="BA8" s="2404">
        <v>240</v>
      </c>
      <c r="BB8" s="2404">
        <v>60</v>
      </c>
      <c r="BC8" s="2404">
        <v>0</v>
      </c>
      <c r="BD8" s="2404">
        <v>216</v>
      </c>
      <c r="BE8" s="2404">
        <v>18</v>
      </c>
      <c r="BF8" s="2404">
        <v>0</v>
      </c>
      <c r="BG8" s="2403">
        <v>5900.1849999999995</v>
      </c>
      <c r="BH8" s="2405">
        <v>12245.285</v>
      </c>
      <c r="BJ8" s="2401">
        <v>0</v>
      </c>
      <c r="BK8" s="2401">
        <v>7026.25</v>
      </c>
      <c r="BL8" s="2401">
        <v>0</v>
      </c>
      <c r="BM8" s="2401">
        <v>8.91</v>
      </c>
      <c r="BN8" s="2401">
        <v>906.25</v>
      </c>
      <c r="BO8" s="2401">
        <v>0</v>
      </c>
      <c r="BP8" s="2406">
        <v>7941.41</v>
      </c>
      <c r="BQ8" s="2401">
        <v>780</v>
      </c>
      <c r="BR8" s="2401">
        <v>7.3</v>
      </c>
      <c r="BS8" s="2401">
        <v>0</v>
      </c>
      <c r="BT8" s="2401">
        <v>0</v>
      </c>
      <c r="BU8" s="2401">
        <v>0</v>
      </c>
      <c r="BV8" s="2401">
        <v>2.99</v>
      </c>
      <c r="BW8" s="2406">
        <v>790.29</v>
      </c>
      <c r="BX8" s="2407">
        <v>20976.985000000001</v>
      </c>
    </row>
    <row r="9" spans="1:76" ht="14.45" customHeight="1" x14ac:dyDescent="0.2">
      <c r="A9" s="2400" t="s">
        <v>357</v>
      </c>
      <c r="B9" s="2401">
        <v>250</v>
      </c>
      <c r="C9" s="2401">
        <v>92195</v>
      </c>
      <c r="D9" s="2402">
        <v>68</v>
      </c>
      <c r="E9" s="2401">
        <v>1985</v>
      </c>
      <c r="F9" s="2401">
        <v>4.5</v>
      </c>
      <c r="G9" s="2401">
        <v>520</v>
      </c>
      <c r="H9" s="2401">
        <v>64.75</v>
      </c>
      <c r="I9" s="2400">
        <v>210</v>
      </c>
      <c r="J9" s="2400">
        <v>250</v>
      </c>
      <c r="K9" s="2400">
        <v>2572.8000000000002</v>
      </c>
      <c r="L9" s="2400">
        <v>2000</v>
      </c>
      <c r="M9" s="2400">
        <v>293.8</v>
      </c>
      <c r="N9" s="2400">
        <v>709.5</v>
      </c>
      <c r="O9" s="2400">
        <v>2035</v>
      </c>
      <c r="P9" s="2400">
        <v>0</v>
      </c>
      <c r="Q9" s="2400">
        <v>36.799999999999997</v>
      </c>
      <c r="R9" s="2400">
        <v>0</v>
      </c>
      <c r="S9" s="2400">
        <v>558</v>
      </c>
      <c r="T9" s="2400">
        <v>206</v>
      </c>
      <c r="U9" s="2400">
        <v>0</v>
      </c>
      <c r="V9" s="2400">
        <v>558</v>
      </c>
      <c r="W9" s="2403">
        <v>104517.15000000001</v>
      </c>
      <c r="X9" s="2400">
        <v>25</v>
      </c>
      <c r="Y9" s="2400">
        <v>286</v>
      </c>
      <c r="Z9" s="2400">
        <v>99</v>
      </c>
      <c r="AA9" s="2400">
        <v>1100</v>
      </c>
      <c r="AB9" s="2403">
        <v>1510</v>
      </c>
      <c r="AC9" s="2404">
        <v>558.03600000000006</v>
      </c>
      <c r="AD9" s="2404">
        <v>2120.4560000000001</v>
      </c>
      <c r="AE9" s="2404">
        <v>696</v>
      </c>
      <c r="AF9" s="2400">
        <v>1160</v>
      </c>
      <c r="AG9" s="2404">
        <v>721</v>
      </c>
      <c r="AH9" s="2404">
        <v>2221.5</v>
      </c>
      <c r="AI9" s="2404">
        <v>420.84000000000009</v>
      </c>
      <c r="AJ9" s="2404">
        <v>50</v>
      </c>
      <c r="AK9" s="2404">
        <v>147.15</v>
      </c>
      <c r="AL9" s="2404">
        <v>71</v>
      </c>
      <c r="AM9" s="2404">
        <v>785</v>
      </c>
      <c r="AN9" s="2404">
        <v>0</v>
      </c>
      <c r="AO9" s="2404">
        <v>707</v>
      </c>
      <c r="AP9" s="2404">
        <v>432</v>
      </c>
      <c r="AQ9" s="2404">
        <v>0</v>
      </c>
      <c r="AR9" s="2404">
        <v>110</v>
      </c>
      <c r="AS9" s="2404">
        <v>0</v>
      </c>
      <c r="AT9" s="2404">
        <v>72</v>
      </c>
      <c r="AU9" s="2404">
        <v>880</v>
      </c>
      <c r="AV9" s="2404">
        <v>185</v>
      </c>
      <c r="AW9" s="2404">
        <v>259</v>
      </c>
      <c r="AX9" s="2404">
        <v>832</v>
      </c>
      <c r="AY9" s="2404">
        <v>730</v>
      </c>
      <c r="AZ9" s="2404">
        <v>387</v>
      </c>
      <c r="BA9" s="2404">
        <v>990</v>
      </c>
      <c r="BB9" s="2404">
        <v>1746</v>
      </c>
      <c r="BC9" s="2404">
        <v>30</v>
      </c>
      <c r="BD9" s="2404">
        <v>150</v>
      </c>
      <c r="BE9" s="2404">
        <v>324.5</v>
      </c>
      <c r="BF9" s="2404">
        <v>0</v>
      </c>
      <c r="BG9" s="2403">
        <v>16785.482</v>
      </c>
      <c r="BH9" s="2405">
        <v>122812.63200000001</v>
      </c>
      <c r="BJ9" s="2401">
        <v>0</v>
      </c>
      <c r="BK9" s="2401">
        <v>2609.75</v>
      </c>
      <c r="BL9" s="2401">
        <v>0</v>
      </c>
      <c r="BM9" s="2401">
        <v>59.4</v>
      </c>
      <c r="BN9" s="2401">
        <v>462.1875</v>
      </c>
      <c r="BO9" s="2401">
        <v>2.4</v>
      </c>
      <c r="BP9" s="2406">
        <v>3133.7375000000002</v>
      </c>
      <c r="BQ9" s="2401">
        <v>13939</v>
      </c>
      <c r="BR9" s="2401">
        <v>43.2</v>
      </c>
      <c r="BS9" s="2401">
        <v>3.1</v>
      </c>
      <c r="BT9" s="2401">
        <v>0</v>
      </c>
      <c r="BU9" s="2401">
        <v>4.6349999999999998</v>
      </c>
      <c r="BV9" s="2401">
        <v>0.6</v>
      </c>
      <c r="BW9" s="2406">
        <v>13990.535000000002</v>
      </c>
      <c r="BX9" s="2407">
        <v>139936.9045</v>
      </c>
    </row>
    <row r="10" spans="1:76" ht="14.45" customHeight="1" x14ac:dyDescent="0.2">
      <c r="A10" s="2400" t="s">
        <v>358</v>
      </c>
      <c r="B10" s="2401">
        <v>0</v>
      </c>
      <c r="C10" s="2401">
        <v>0</v>
      </c>
      <c r="D10" s="2402">
        <v>364.5</v>
      </c>
      <c r="E10" s="2401">
        <v>96</v>
      </c>
      <c r="F10" s="2401">
        <v>32</v>
      </c>
      <c r="G10" s="2401">
        <v>2400</v>
      </c>
      <c r="H10" s="2401">
        <v>240</v>
      </c>
      <c r="I10" s="2400">
        <v>122</v>
      </c>
      <c r="J10" s="2400">
        <v>313</v>
      </c>
      <c r="K10" s="2400">
        <v>204</v>
      </c>
      <c r="L10" s="2400">
        <v>427.20000000000005</v>
      </c>
      <c r="M10" s="2400">
        <v>244.5</v>
      </c>
      <c r="N10" s="2400">
        <v>826.5</v>
      </c>
      <c r="O10" s="2400">
        <v>0</v>
      </c>
      <c r="P10" s="2400">
        <v>100</v>
      </c>
      <c r="Q10" s="2400">
        <v>33</v>
      </c>
      <c r="R10" s="2400">
        <v>136</v>
      </c>
      <c r="S10" s="2400">
        <v>64</v>
      </c>
      <c r="T10" s="2400">
        <v>0</v>
      </c>
      <c r="U10" s="2400">
        <v>0</v>
      </c>
      <c r="V10" s="2400">
        <v>1010</v>
      </c>
      <c r="W10" s="2403">
        <v>6612.7</v>
      </c>
      <c r="X10" s="2400">
        <v>2</v>
      </c>
      <c r="Y10" s="2400">
        <v>192</v>
      </c>
      <c r="Z10" s="2400">
        <v>100</v>
      </c>
      <c r="AA10" s="2400">
        <v>910</v>
      </c>
      <c r="AB10" s="2403">
        <v>1204</v>
      </c>
      <c r="AC10" s="2404">
        <v>201.95</v>
      </c>
      <c r="AD10" s="2404">
        <v>1846.9919999999997</v>
      </c>
      <c r="AE10" s="2404">
        <v>1290</v>
      </c>
      <c r="AF10" s="2400">
        <v>2150</v>
      </c>
      <c r="AG10" s="2404">
        <v>364</v>
      </c>
      <c r="AH10" s="2404">
        <v>1053.5</v>
      </c>
      <c r="AI10" s="2404">
        <v>120</v>
      </c>
      <c r="AJ10" s="2404">
        <v>136</v>
      </c>
      <c r="AK10" s="2404">
        <v>120</v>
      </c>
      <c r="AL10" s="2404">
        <v>0</v>
      </c>
      <c r="AM10" s="2404">
        <v>144</v>
      </c>
      <c r="AN10" s="2404">
        <v>35</v>
      </c>
      <c r="AO10" s="2404">
        <v>426</v>
      </c>
      <c r="AP10" s="2404">
        <v>64</v>
      </c>
      <c r="AQ10" s="2404">
        <v>0</v>
      </c>
      <c r="AR10" s="2404">
        <v>48</v>
      </c>
      <c r="AS10" s="2404">
        <v>0</v>
      </c>
      <c r="AT10" s="2404">
        <v>0</v>
      </c>
      <c r="AU10" s="2404">
        <v>60</v>
      </c>
      <c r="AV10" s="2404">
        <v>1631</v>
      </c>
      <c r="AW10" s="2404">
        <v>2097.6000000000004</v>
      </c>
      <c r="AX10" s="2404">
        <v>50</v>
      </c>
      <c r="AY10" s="2404">
        <v>1104</v>
      </c>
      <c r="AZ10" s="2404">
        <v>42</v>
      </c>
      <c r="BA10" s="2404">
        <v>700</v>
      </c>
      <c r="BB10" s="2404">
        <v>119</v>
      </c>
      <c r="BC10" s="2404">
        <v>245</v>
      </c>
      <c r="BD10" s="2404">
        <v>245</v>
      </c>
      <c r="BE10" s="2404">
        <v>49</v>
      </c>
      <c r="BF10" s="2404">
        <v>0</v>
      </c>
      <c r="BG10" s="2403">
        <v>14342.041999999999</v>
      </c>
      <c r="BH10" s="2405">
        <v>22158.741999999998</v>
      </c>
      <c r="BJ10" s="2401">
        <v>0</v>
      </c>
      <c r="BK10" s="2401">
        <v>4927.5</v>
      </c>
      <c r="BL10" s="2401">
        <v>0</v>
      </c>
      <c r="BM10" s="2401">
        <v>1.4850000000000001</v>
      </c>
      <c r="BN10" s="2401">
        <v>7.25</v>
      </c>
      <c r="BO10" s="2401">
        <v>4.5</v>
      </c>
      <c r="BP10" s="2406">
        <v>4940.7349999999997</v>
      </c>
      <c r="BQ10" s="2401">
        <v>150</v>
      </c>
      <c r="BR10" s="2401">
        <v>101.5</v>
      </c>
      <c r="BS10" s="2401">
        <v>0</v>
      </c>
      <c r="BT10" s="2401">
        <v>12</v>
      </c>
      <c r="BU10" s="2401">
        <v>0</v>
      </c>
      <c r="BV10" s="2401">
        <v>0</v>
      </c>
      <c r="BW10" s="2406">
        <v>263.5</v>
      </c>
      <c r="BX10" s="2407">
        <v>27362.976999999999</v>
      </c>
    </row>
    <row r="11" spans="1:76" ht="14.45" customHeight="1" x14ac:dyDescent="0.2">
      <c r="A11" s="2400" t="s">
        <v>359</v>
      </c>
      <c r="B11" s="2401">
        <v>0</v>
      </c>
      <c r="C11" s="2401">
        <v>1575</v>
      </c>
      <c r="D11" s="2402">
        <v>0</v>
      </c>
      <c r="E11" s="2401">
        <v>28.5</v>
      </c>
      <c r="F11" s="2401">
        <v>0</v>
      </c>
      <c r="G11" s="2401">
        <v>7</v>
      </c>
      <c r="H11" s="2401">
        <v>51.899999999999991</v>
      </c>
      <c r="I11" s="2400">
        <v>0</v>
      </c>
      <c r="J11" s="2400">
        <v>151</v>
      </c>
      <c r="K11" s="2400">
        <v>99</v>
      </c>
      <c r="L11" s="2400">
        <v>198</v>
      </c>
      <c r="M11" s="2400">
        <v>37.200000000000003</v>
      </c>
      <c r="N11" s="2400">
        <v>68</v>
      </c>
      <c r="O11" s="2400">
        <v>1950</v>
      </c>
      <c r="P11" s="2400">
        <v>0</v>
      </c>
      <c r="Q11" s="2400">
        <v>0</v>
      </c>
      <c r="R11" s="2400">
        <v>8.5</v>
      </c>
      <c r="S11" s="2400">
        <v>123</v>
      </c>
      <c r="T11" s="2400">
        <v>46</v>
      </c>
      <c r="U11" s="2400">
        <v>0</v>
      </c>
      <c r="V11" s="2400">
        <v>144</v>
      </c>
      <c r="W11" s="2403">
        <v>4487.1000000000004</v>
      </c>
      <c r="X11" s="2400">
        <v>9</v>
      </c>
      <c r="Y11" s="2400">
        <v>48</v>
      </c>
      <c r="Z11" s="2400">
        <v>30</v>
      </c>
      <c r="AA11" s="2400">
        <v>960</v>
      </c>
      <c r="AB11" s="2403">
        <v>1047</v>
      </c>
      <c r="AC11" s="2404">
        <v>73.835999999999984</v>
      </c>
      <c r="AD11" s="2404">
        <v>995.48399999999981</v>
      </c>
      <c r="AE11" s="2404">
        <v>78</v>
      </c>
      <c r="AF11" s="2400">
        <v>120</v>
      </c>
      <c r="AG11" s="2404">
        <v>117</v>
      </c>
      <c r="AH11" s="2404">
        <v>265.8</v>
      </c>
      <c r="AI11" s="2404">
        <v>105</v>
      </c>
      <c r="AJ11" s="2404">
        <v>0</v>
      </c>
      <c r="AK11" s="2404">
        <v>0</v>
      </c>
      <c r="AL11" s="2404">
        <v>0</v>
      </c>
      <c r="AM11" s="2404">
        <v>231</v>
      </c>
      <c r="AN11" s="2404">
        <v>0</v>
      </c>
      <c r="AO11" s="2404">
        <v>124</v>
      </c>
      <c r="AP11" s="2404">
        <v>0</v>
      </c>
      <c r="AQ11" s="2404">
        <v>0</v>
      </c>
      <c r="AR11" s="2404">
        <v>2</v>
      </c>
      <c r="AS11" s="2404">
        <v>0</v>
      </c>
      <c r="AT11" s="2404">
        <v>9</v>
      </c>
      <c r="AU11" s="2404">
        <v>0</v>
      </c>
      <c r="AV11" s="2404">
        <v>98</v>
      </c>
      <c r="AW11" s="2404">
        <v>0</v>
      </c>
      <c r="AX11" s="2404">
        <v>72</v>
      </c>
      <c r="AY11" s="2404">
        <v>0</v>
      </c>
      <c r="AZ11" s="2404">
        <v>316</v>
      </c>
      <c r="BA11" s="2404">
        <v>0</v>
      </c>
      <c r="BB11" s="2404">
        <v>600</v>
      </c>
      <c r="BC11" s="2404">
        <v>0</v>
      </c>
      <c r="BD11" s="2404">
        <v>55</v>
      </c>
      <c r="BE11" s="2404">
        <v>6</v>
      </c>
      <c r="BF11" s="2404">
        <v>0</v>
      </c>
      <c r="BG11" s="2403">
        <v>3268.12</v>
      </c>
      <c r="BH11" s="2405">
        <v>8802.2200000000012</v>
      </c>
      <c r="BJ11" s="2401">
        <v>0</v>
      </c>
      <c r="BK11" s="2401">
        <v>1664.4</v>
      </c>
      <c r="BL11" s="2401">
        <v>0</v>
      </c>
      <c r="BM11" s="2401">
        <v>15.592499999999999</v>
      </c>
      <c r="BN11" s="2401">
        <v>90.625</v>
      </c>
      <c r="BO11" s="2401">
        <v>0</v>
      </c>
      <c r="BP11" s="2406">
        <v>1770.6175000000001</v>
      </c>
      <c r="BQ11" s="2401">
        <v>4900</v>
      </c>
      <c r="BR11" s="2401">
        <v>11.3</v>
      </c>
      <c r="BS11" s="2401">
        <v>0</v>
      </c>
      <c r="BT11" s="2401">
        <v>0</v>
      </c>
      <c r="BU11" s="2401">
        <v>0</v>
      </c>
      <c r="BV11" s="2401">
        <v>0</v>
      </c>
      <c r="BW11" s="2406">
        <v>4911.3</v>
      </c>
      <c r="BX11" s="2407">
        <v>15484.137500000001</v>
      </c>
    </row>
    <row r="12" spans="1:76" ht="14.45" customHeight="1" x14ac:dyDescent="0.2">
      <c r="A12" s="2400" t="s">
        <v>360</v>
      </c>
      <c r="B12" s="2401">
        <v>0</v>
      </c>
      <c r="C12" s="2401">
        <v>597.5</v>
      </c>
      <c r="D12" s="2402">
        <v>53.0625</v>
      </c>
      <c r="E12" s="2401">
        <v>0</v>
      </c>
      <c r="F12" s="2401">
        <v>0</v>
      </c>
      <c r="G12" s="2401">
        <v>289.2</v>
      </c>
      <c r="H12" s="2401">
        <v>16</v>
      </c>
      <c r="I12" s="2400">
        <v>27</v>
      </c>
      <c r="J12" s="2400">
        <v>140</v>
      </c>
      <c r="K12" s="2400">
        <v>0</v>
      </c>
      <c r="L12" s="2400">
        <v>0</v>
      </c>
      <c r="M12" s="2400">
        <v>34</v>
      </c>
      <c r="N12" s="2400">
        <v>108.8</v>
      </c>
      <c r="O12" s="2400">
        <v>0</v>
      </c>
      <c r="P12" s="2400">
        <v>0</v>
      </c>
      <c r="Q12" s="2400">
        <v>0</v>
      </c>
      <c r="R12" s="2400">
        <v>0</v>
      </c>
      <c r="S12" s="2400">
        <v>0</v>
      </c>
      <c r="T12" s="2400">
        <v>0</v>
      </c>
      <c r="U12" s="2400">
        <v>0</v>
      </c>
      <c r="V12" s="2400">
        <v>782</v>
      </c>
      <c r="W12" s="2403">
        <v>2047.5625</v>
      </c>
      <c r="X12" s="2400">
        <v>20</v>
      </c>
      <c r="Y12" s="2400">
        <v>35</v>
      </c>
      <c r="Z12" s="2400">
        <v>3.5</v>
      </c>
      <c r="AA12" s="2400">
        <v>450</v>
      </c>
      <c r="AB12" s="2403">
        <v>508.5</v>
      </c>
      <c r="AC12" s="2404">
        <v>131.38999999999999</v>
      </c>
      <c r="AD12" s="2404">
        <v>2444.7829999999999</v>
      </c>
      <c r="AE12" s="2404">
        <v>510</v>
      </c>
      <c r="AF12" s="2400">
        <v>1020</v>
      </c>
      <c r="AG12" s="2404">
        <v>211.5</v>
      </c>
      <c r="AH12" s="2404">
        <v>2436.2999999999997</v>
      </c>
      <c r="AI12" s="2404">
        <v>555.5</v>
      </c>
      <c r="AJ12" s="2404">
        <v>198</v>
      </c>
      <c r="AK12" s="2404">
        <v>0</v>
      </c>
      <c r="AL12" s="2404">
        <v>39.899999999999991</v>
      </c>
      <c r="AM12" s="2404">
        <v>0</v>
      </c>
      <c r="AN12" s="2404">
        <v>0</v>
      </c>
      <c r="AO12" s="2404">
        <v>0</v>
      </c>
      <c r="AP12" s="2404">
        <v>23.199999999999996</v>
      </c>
      <c r="AQ12" s="2404">
        <v>0</v>
      </c>
      <c r="AR12" s="2404">
        <v>40</v>
      </c>
      <c r="AS12" s="2404">
        <v>0</v>
      </c>
      <c r="AT12" s="2404">
        <v>0</v>
      </c>
      <c r="AU12" s="2404">
        <v>213.40000000000003</v>
      </c>
      <c r="AV12" s="2404">
        <v>658.90000000000009</v>
      </c>
      <c r="AW12" s="2404">
        <v>163.79999999999998</v>
      </c>
      <c r="AX12" s="2404">
        <v>0</v>
      </c>
      <c r="AY12" s="2404">
        <v>65</v>
      </c>
      <c r="AZ12" s="2404">
        <v>128.1</v>
      </c>
      <c r="BA12" s="2404">
        <v>0</v>
      </c>
      <c r="BB12" s="2404">
        <v>171.7</v>
      </c>
      <c r="BC12" s="2404">
        <v>8.4000000000000021</v>
      </c>
      <c r="BD12" s="2404">
        <v>88.199999999999989</v>
      </c>
      <c r="BE12" s="2404">
        <v>0</v>
      </c>
      <c r="BF12" s="2404">
        <v>0</v>
      </c>
      <c r="BG12" s="2403">
        <v>9108.0730000000003</v>
      </c>
      <c r="BH12" s="2405">
        <v>11664.1355</v>
      </c>
      <c r="BJ12" s="2401">
        <v>0</v>
      </c>
      <c r="BK12" s="2401">
        <v>2180.5100000000002</v>
      </c>
      <c r="BL12" s="2401">
        <v>0</v>
      </c>
      <c r="BM12" s="2401">
        <v>6.0720000000000001</v>
      </c>
      <c r="BN12" s="2401">
        <v>54.375</v>
      </c>
      <c r="BO12" s="2401">
        <v>3.45</v>
      </c>
      <c r="BP12" s="2406">
        <v>2244.4070000000002</v>
      </c>
      <c r="BQ12" s="2401">
        <v>648</v>
      </c>
      <c r="BR12" s="2401">
        <v>100.5</v>
      </c>
      <c r="BS12" s="2401">
        <v>0</v>
      </c>
      <c r="BT12" s="2401">
        <v>40</v>
      </c>
      <c r="BU12" s="2401">
        <v>0</v>
      </c>
      <c r="BV12" s="2401">
        <v>0</v>
      </c>
      <c r="BW12" s="2406">
        <v>788.5</v>
      </c>
      <c r="BX12" s="2407">
        <v>14697.0425</v>
      </c>
    </row>
    <row r="13" spans="1:76" ht="14.45" customHeight="1" x14ac:dyDescent="0.2">
      <c r="A13" s="2400" t="s">
        <v>361</v>
      </c>
      <c r="B13" s="2401">
        <v>25.2</v>
      </c>
      <c r="C13" s="2401">
        <v>63375</v>
      </c>
      <c r="D13" s="2402">
        <v>0</v>
      </c>
      <c r="E13" s="2401">
        <v>56</v>
      </c>
      <c r="F13" s="2401">
        <v>0</v>
      </c>
      <c r="G13" s="2401">
        <v>76.400000000000006</v>
      </c>
      <c r="H13" s="2401">
        <v>19.600000000000001</v>
      </c>
      <c r="I13" s="2400">
        <v>27.5</v>
      </c>
      <c r="J13" s="2400">
        <v>236</v>
      </c>
      <c r="K13" s="2400">
        <v>576</v>
      </c>
      <c r="L13" s="2400">
        <v>850.5</v>
      </c>
      <c r="M13" s="2400">
        <v>169.5</v>
      </c>
      <c r="N13" s="2400">
        <v>177.6</v>
      </c>
      <c r="O13" s="2400">
        <v>296</v>
      </c>
      <c r="P13" s="2400">
        <v>0</v>
      </c>
      <c r="Q13" s="2400">
        <v>0</v>
      </c>
      <c r="R13" s="2400">
        <v>0</v>
      </c>
      <c r="S13" s="2400">
        <v>195</v>
      </c>
      <c r="T13" s="2400">
        <v>32</v>
      </c>
      <c r="U13" s="2400">
        <v>0</v>
      </c>
      <c r="V13" s="2400">
        <v>0</v>
      </c>
      <c r="W13" s="2403">
        <v>66112.3</v>
      </c>
      <c r="X13" s="2400">
        <v>3.6</v>
      </c>
      <c r="Y13" s="2400">
        <v>50</v>
      </c>
      <c r="Z13" s="2400">
        <v>40</v>
      </c>
      <c r="AA13" s="2400">
        <v>624</v>
      </c>
      <c r="AB13" s="2403">
        <v>717.6</v>
      </c>
      <c r="AC13" s="2404">
        <v>195.816</v>
      </c>
      <c r="AD13" s="2404">
        <v>2831.7510000000002</v>
      </c>
      <c r="AE13" s="2404">
        <v>1368</v>
      </c>
      <c r="AF13" s="2400">
        <v>1520</v>
      </c>
      <c r="AG13" s="2404">
        <v>775.5</v>
      </c>
      <c r="AH13" s="2404">
        <v>2745</v>
      </c>
      <c r="AI13" s="2404">
        <v>237.79999999999998</v>
      </c>
      <c r="AJ13" s="2404">
        <v>187</v>
      </c>
      <c r="AK13" s="2404">
        <v>304</v>
      </c>
      <c r="AL13" s="2404">
        <v>0</v>
      </c>
      <c r="AM13" s="2404">
        <v>633.75</v>
      </c>
      <c r="AN13" s="2404">
        <v>0</v>
      </c>
      <c r="AO13" s="2404">
        <v>204.3</v>
      </c>
      <c r="AP13" s="2404">
        <v>120</v>
      </c>
      <c r="AQ13" s="2404">
        <v>0</v>
      </c>
      <c r="AR13" s="2404">
        <v>16</v>
      </c>
      <c r="AS13" s="2404">
        <v>0</v>
      </c>
      <c r="AT13" s="2404">
        <v>0</v>
      </c>
      <c r="AU13" s="2404">
        <v>95</v>
      </c>
      <c r="AV13" s="2404">
        <v>22.5</v>
      </c>
      <c r="AW13" s="2404">
        <v>138</v>
      </c>
      <c r="AX13" s="2404">
        <v>60</v>
      </c>
      <c r="AY13" s="2404">
        <v>406</v>
      </c>
      <c r="AZ13" s="2404">
        <v>91</v>
      </c>
      <c r="BA13" s="2404">
        <v>16</v>
      </c>
      <c r="BB13" s="2404">
        <v>60</v>
      </c>
      <c r="BC13" s="2404">
        <v>20</v>
      </c>
      <c r="BD13" s="2404">
        <v>150</v>
      </c>
      <c r="BE13" s="2404">
        <v>104</v>
      </c>
      <c r="BF13" s="2404">
        <v>0</v>
      </c>
      <c r="BG13" s="2403">
        <v>12301.416999999998</v>
      </c>
      <c r="BH13" s="2405">
        <v>79131.316999999995</v>
      </c>
      <c r="BJ13" s="2401">
        <v>950.65000000000009</v>
      </c>
      <c r="BK13" s="2401">
        <v>8453.4</v>
      </c>
      <c r="BL13" s="2401">
        <v>0</v>
      </c>
      <c r="BM13" s="2401">
        <v>683.1</v>
      </c>
      <c r="BN13" s="2401">
        <v>5800</v>
      </c>
      <c r="BO13" s="2401">
        <v>3.75</v>
      </c>
      <c r="BP13" s="2406">
        <v>15890.9</v>
      </c>
      <c r="BQ13" s="2401">
        <v>3500</v>
      </c>
      <c r="BR13" s="2401">
        <v>122</v>
      </c>
      <c r="BS13" s="2401">
        <v>0</v>
      </c>
      <c r="BT13" s="2401">
        <v>0</v>
      </c>
      <c r="BU13" s="2401">
        <v>0</v>
      </c>
      <c r="BV13" s="2401">
        <v>0</v>
      </c>
      <c r="BW13" s="2406">
        <v>3622</v>
      </c>
      <c r="BX13" s="2407">
        <v>98644.217000000004</v>
      </c>
    </row>
    <row r="14" spans="1:76" ht="14.45" customHeight="1" x14ac:dyDescent="0.2">
      <c r="A14" s="2400" t="s">
        <v>362</v>
      </c>
      <c r="B14" s="2401">
        <v>0</v>
      </c>
      <c r="C14" s="2401">
        <v>4625</v>
      </c>
      <c r="D14" s="2402">
        <v>54</v>
      </c>
      <c r="E14" s="2401">
        <v>48</v>
      </c>
      <c r="F14" s="2401">
        <v>0</v>
      </c>
      <c r="G14" s="2401">
        <v>309</v>
      </c>
      <c r="H14" s="2401">
        <v>8.75</v>
      </c>
      <c r="I14" s="2400">
        <v>27</v>
      </c>
      <c r="J14" s="2400">
        <v>15</v>
      </c>
      <c r="K14" s="2400">
        <v>0</v>
      </c>
      <c r="L14" s="2400">
        <v>3120</v>
      </c>
      <c r="M14" s="2400">
        <v>0</v>
      </c>
      <c r="N14" s="2400">
        <v>0</v>
      </c>
      <c r="O14" s="2400">
        <v>1275</v>
      </c>
      <c r="P14" s="2400">
        <v>0</v>
      </c>
      <c r="Q14" s="2400">
        <v>60</v>
      </c>
      <c r="R14" s="2400">
        <v>20</v>
      </c>
      <c r="S14" s="2400">
        <v>510</v>
      </c>
      <c r="T14" s="2400">
        <v>0</v>
      </c>
      <c r="U14" s="2400">
        <v>0</v>
      </c>
      <c r="V14" s="2400">
        <v>140</v>
      </c>
      <c r="W14" s="2403">
        <v>10211.75</v>
      </c>
      <c r="X14" s="2400">
        <v>0</v>
      </c>
      <c r="Y14" s="2400">
        <v>0</v>
      </c>
      <c r="Z14" s="2400">
        <v>0</v>
      </c>
      <c r="AA14" s="2400">
        <v>576</v>
      </c>
      <c r="AB14" s="2403">
        <v>576</v>
      </c>
      <c r="AC14" s="2404">
        <v>517.28399999999999</v>
      </c>
      <c r="AD14" s="2404">
        <v>890.86761047508605</v>
      </c>
      <c r="AE14" s="2404">
        <v>220</v>
      </c>
      <c r="AF14" s="2400">
        <v>440</v>
      </c>
      <c r="AG14" s="2404">
        <v>372</v>
      </c>
      <c r="AH14" s="2404">
        <v>1464</v>
      </c>
      <c r="AI14" s="2404">
        <v>24</v>
      </c>
      <c r="AJ14" s="2404">
        <v>489</v>
      </c>
      <c r="AK14" s="2404">
        <v>33</v>
      </c>
      <c r="AL14" s="2404">
        <v>15</v>
      </c>
      <c r="AM14" s="2404">
        <v>1267.5</v>
      </c>
      <c r="AN14" s="2404">
        <v>0</v>
      </c>
      <c r="AO14" s="2404">
        <v>852</v>
      </c>
      <c r="AP14" s="2404">
        <v>712</v>
      </c>
      <c r="AQ14" s="2404">
        <v>0</v>
      </c>
      <c r="AR14" s="2404">
        <v>10</v>
      </c>
      <c r="AS14" s="2404">
        <v>0</v>
      </c>
      <c r="AT14" s="2404">
        <v>1126.8</v>
      </c>
      <c r="AU14" s="2404">
        <v>292.5</v>
      </c>
      <c r="AV14" s="2404">
        <v>51.999999999999957</v>
      </c>
      <c r="AW14" s="2404">
        <v>14.999999999999982</v>
      </c>
      <c r="AX14" s="2404">
        <v>71.5</v>
      </c>
      <c r="AY14" s="2404">
        <v>56</v>
      </c>
      <c r="AZ14" s="2404">
        <v>36</v>
      </c>
      <c r="BA14" s="2404">
        <v>320</v>
      </c>
      <c r="BB14" s="2404">
        <v>0</v>
      </c>
      <c r="BC14" s="2404">
        <v>0</v>
      </c>
      <c r="BD14" s="2404">
        <v>18</v>
      </c>
      <c r="BE14" s="2404">
        <v>730.8</v>
      </c>
      <c r="BF14" s="2404">
        <v>0</v>
      </c>
      <c r="BG14" s="2403">
        <v>10025.251610475085</v>
      </c>
      <c r="BH14" s="2405">
        <v>20813.001610475083</v>
      </c>
      <c r="BJ14" s="2401">
        <v>16637.84</v>
      </c>
      <c r="BK14" s="2401">
        <v>4916.55</v>
      </c>
      <c r="BL14" s="2401">
        <v>4708.25</v>
      </c>
      <c r="BM14" s="2401">
        <v>148.5</v>
      </c>
      <c r="BN14" s="2401">
        <v>13448.75</v>
      </c>
      <c r="BO14" s="2401">
        <v>22.5</v>
      </c>
      <c r="BP14" s="2406">
        <v>39882.39</v>
      </c>
      <c r="BQ14" s="2401">
        <v>1300</v>
      </c>
      <c r="BR14" s="2401">
        <v>204</v>
      </c>
      <c r="BS14" s="2401">
        <v>0</v>
      </c>
      <c r="BT14" s="2401">
        <v>0</v>
      </c>
      <c r="BU14" s="2401">
        <v>0</v>
      </c>
      <c r="BV14" s="2401">
        <v>0</v>
      </c>
      <c r="BW14" s="2406">
        <v>1504</v>
      </c>
      <c r="BX14" s="2407">
        <v>62199.391610475082</v>
      </c>
    </row>
    <row r="15" spans="1:76" ht="14.45" customHeight="1" x14ac:dyDescent="0.2">
      <c r="A15" s="2400" t="s">
        <v>363</v>
      </c>
      <c r="B15" s="2401">
        <v>0</v>
      </c>
      <c r="C15" s="2401">
        <v>0</v>
      </c>
      <c r="D15" s="2402">
        <v>115</v>
      </c>
      <c r="E15" s="2401">
        <v>0</v>
      </c>
      <c r="F15" s="2401">
        <v>0</v>
      </c>
      <c r="G15" s="2401">
        <v>1009.2</v>
      </c>
      <c r="H15" s="2401">
        <v>0</v>
      </c>
      <c r="I15" s="2400">
        <v>0</v>
      </c>
      <c r="J15" s="2400">
        <v>16</v>
      </c>
      <c r="K15" s="2400">
        <v>8</v>
      </c>
      <c r="L15" s="2400">
        <v>15</v>
      </c>
      <c r="M15" s="2400">
        <v>0</v>
      </c>
      <c r="N15" s="2400">
        <v>79</v>
      </c>
      <c r="O15" s="2400">
        <v>0</v>
      </c>
      <c r="P15" s="2400">
        <v>6</v>
      </c>
      <c r="Q15" s="2400">
        <v>0</v>
      </c>
      <c r="R15" s="2400">
        <v>0</v>
      </c>
      <c r="S15" s="2400">
        <v>0</v>
      </c>
      <c r="T15" s="2400">
        <v>0</v>
      </c>
      <c r="U15" s="2400">
        <v>0</v>
      </c>
      <c r="V15" s="2400">
        <v>240</v>
      </c>
      <c r="W15" s="2403">
        <v>1488.2</v>
      </c>
      <c r="X15" s="2400">
        <v>0</v>
      </c>
      <c r="Y15" s="2400">
        <v>10</v>
      </c>
      <c r="Z15" s="2400">
        <v>78</v>
      </c>
      <c r="AA15" s="2400">
        <v>140</v>
      </c>
      <c r="AB15" s="2403">
        <v>228</v>
      </c>
      <c r="AC15" s="2404">
        <v>31.525000000000002</v>
      </c>
      <c r="AD15" s="2404">
        <v>3612.9000000000005</v>
      </c>
      <c r="AE15" s="2404">
        <v>838.19999999999993</v>
      </c>
      <c r="AF15" s="2400">
        <v>1270</v>
      </c>
      <c r="AG15" s="2404">
        <v>1200</v>
      </c>
      <c r="AH15" s="2404">
        <v>4626</v>
      </c>
      <c r="AI15" s="2404">
        <v>1544</v>
      </c>
      <c r="AJ15" s="2404">
        <v>500</v>
      </c>
      <c r="AK15" s="2404">
        <v>100</v>
      </c>
      <c r="AL15" s="2404">
        <v>0</v>
      </c>
      <c r="AM15" s="2404">
        <v>240</v>
      </c>
      <c r="AN15" s="2404">
        <v>0</v>
      </c>
      <c r="AO15" s="2404">
        <v>190</v>
      </c>
      <c r="AP15" s="2404">
        <v>0</v>
      </c>
      <c r="AQ15" s="2404">
        <v>0</v>
      </c>
      <c r="AR15" s="2404">
        <v>5</v>
      </c>
      <c r="AS15" s="2404">
        <v>0</v>
      </c>
      <c r="AT15" s="2404">
        <v>0</v>
      </c>
      <c r="AU15" s="2404">
        <v>0</v>
      </c>
      <c r="AV15" s="2404">
        <v>277.5</v>
      </c>
      <c r="AW15" s="2404">
        <v>126</v>
      </c>
      <c r="AX15" s="2404">
        <v>7</v>
      </c>
      <c r="AY15" s="2404">
        <v>78</v>
      </c>
      <c r="AZ15" s="2404">
        <v>6</v>
      </c>
      <c r="BA15" s="2404">
        <v>0</v>
      </c>
      <c r="BB15" s="2404">
        <v>0</v>
      </c>
      <c r="BC15" s="2404">
        <v>48</v>
      </c>
      <c r="BD15" s="2404">
        <v>126</v>
      </c>
      <c r="BE15" s="2404">
        <v>0</v>
      </c>
      <c r="BF15" s="2404">
        <v>0</v>
      </c>
      <c r="BG15" s="2403">
        <v>14826.125</v>
      </c>
      <c r="BH15" s="2405">
        <v>16542.325000000001</v>
      </c>
      <c r="BJ15" s="2401">
        <v>0</v>
      </c>
      <c r="BK15" s="2401">
        <v>2117</v>
      </c>
      <c r="BL15" s="2401">
        <v>0</v>
      </c>
      <c r="BM15" s="2401">
        <v>45.54</v>
      </c>
      <c r="BN15" s="2401">
        <v>181.25</v>
      </c>
      <c r="BO15" s="2401">
        <v>5.94</v>
      </c>
      <c r="BP15" s="2406">
        <v>2349.73</v>
      </c>
      <c r="BQ15" s="2401">
        <v>25</v>
      </c>
      <c r="BR15" s="2401">
        <v>0</v>
      </c>
      <c r="BS15" s="2401">
        <v>3</v>
      </c>
      <c r="BT15" s="2401">
        <v>35</v>
      </c>
      <c r="BU15" s="2401">
        <v>0</v>
      </c>
      <c r="BV15" s="2401">
        <v>0</v>
      </c>
      <c r="BW15" s="2406">
        <v>63</v>
      </c>
      <c r="BX15" s="2407">
        <v>18955.055</v>
      </c>
    </row>
    <row r="16" spans="1:76" ht="14.45" customHeight="1" x14ac:dyDescent="0.2">
      <c r="A16" s="2400" t="s">
        <v>364</v>
      </c>
      <c r="B16" s="2401">
        <v>52.5</v>
      </c>
      <c r="C16" s="2401">
        <v>18600</v>
      </c>
      <c r="D16" s="2402">
        <v>83</v>
      </c>
      <c r="E16" s="2401">
        <v>60</v>
      </c>
      <c r="F16" s="2401">
        <v>0</v>
      </c>
      <c r="G16" s="2401">
        <v>294</v>
      </c>
      <c r="H16" s="2401">
        <v>182.4</v>
      </c>
      <c r="I16" s="2400">
        <v>20</v>
      </c>
      <c r="J16" s="2400">
        <v>121.80000000000001</v>
      </c>
      <c r="K16" s="2400">
        <v>515</v>
      </c>
      <c r="L16" s="2400">
        <v>1020</v>
      </c>
      <c r="M16" s="2400">
        <v>151.30000000000001</v>
      </c>
      <c r="N16" s="2400">
        <v>336</v>
      </c>
      <c r="O16" s="2400">
        <v>1188</v>
      </c>
      <c r="P16" s="2400">
        <v>0</v>
      </c>
      <c r="Q16" s="2400">
        <v>0</v>
      </c>
      <c r="R16" s="2400">
        <v>0</v>
      </c>
      <c r="S16" s="2400">
        <v>506</v>
      </c>
      <c r="T16" s="2400">
        <v>0</v>
      </c>
      <c r="U16" s="2400">
        <v>0</v>
      </c>
      <c r="V16" s="2400">
        <v>600</v>
      </c>
      <c r="W16" s="2403">
        <v>23730</v>
      </c>
      <c r="X16" s="2400">
        <v>0</v>
      </c>
      <c r="Y16" s="2400">
        <v>6</v>
      </c>
      <c r="Z16" s="2400">
        <v>12</v>
      </c>
      <c r="AA16" s="2400">
        <v>336</v>
      </c>
      <c r="AB16" s="2403">
        <v>354</v>
      </c>
      <c r="AC16" s="2404">
        <v>471.03600000000006</v>
      </c>
      <c r="AD16" s="2404">
        <v>3454.4875000000002</v>
      </c>
      <c r="AE16" s="2404">
        <v>906</v>
      </c>
      <c r="AF16" s="2400">
        <v>1132.5</v>
      </c>
      <c r="AG16" s="2404">
        <v>1701</v>
      </c>
      <c r="AH16" s="2404">
        <v>6092</v>
      </c>
      <c r="AI16" s="2404">
        <v>448.6</v>
      </c>
      <c r="AJ16" s="2404">
        <v>81.400000000000006</v>
      </c>
      <c r="AK16" s="2404">
        <v>80</v>
      </c>
      <c r="AL16" s="2404">
        <v>0</v>
      </c>
      <c r="AM16" s="2404">
        <v>6755</v>
      </c>
      <c r="AN16" s="2404">
        <v>8</v>
      </c>
      <c r="AO16" s="2404">
        <v>1296</v>
      </c>
      <c r="AP16" s="2404">
        <v>60</v>
      </c>
      <c r="AQ16" s="2404">
        <v>0</v>
      </c>
      <c r="AR16" s="2404">
        <v>0</v>
      </c>
      <c r="AS16" s="2404">
        <v>0</v>
      </c>
      <c r="AT16" s="2404">
        <v>0</v>
      </c>
      <c r="AU16" s="2404">
        <v>40</v>
      </c>
      <c r="AV16" s="2404">
        <v>238</v>
      </c>
      <c r="AW16" s="2404">
        <v>210</v>
      </c>
      <c r="AX16" s="2404">
        <v>384</v>
      </c>
      <c r="AY16" s="2404">
        <v>656</v>
      </c>
      <c r="AZ16" s="2404">
        <v>7.5</v>
      </c>
      <c r="BA16" s="2404">
        <v>0</v>
      </c>
      <c r="BB16" s="2404">
        <v>0</v>
      </c>
      <c r="BC16" s="2404">
        <v>0</v>
      </c>
      <c r="BD16" s="2404">
        <v>0</v>
      </c>
      <c r="BE16" s="2404">
        <v>18</v>
      </c>
      <c r="BF16" s="2404">
        <v>0</v>
      </c>
      <c r="BG16" s="2403">
        <v>24039.523499999999</v>
      </c>
      <c r="BH16" s="2405">
        <v>48123.523499999996</v>
      </c>
      <c r="BJ16" s="2401">
        <v>0</v>
      </c>
      <c r="BK16" s="2401">
        <v>4653.75</v>
      </c>
      <c r="BL16" s="2401">
        <v>0</v>
      </c>
      <c r="BM16" s="2401">
        <v>14.256</v>
      </c>
      <c r="BN16" s="2401">
        <v>18.125</v>
      </c>
      <c r="BO16" s="2401">
        <v>1.65</v>
      </c>
      <c r="BP16" s="2406">
        <v>4687.7809999999999</v>
      </c>
      <c r="BQ16" s="2401">
        <v>735</v>
      </c>
      <c r="BR16" s="2401">
        <v>61.2</v>
      </c>
      <c r="BS16" s="2401">
        <v>0</v>
      </c>
      <c r="BT16" s="2401">
        <v>0</v>
      </c>
      <c r="BU16" s="2401">
        <v>0</v>
      </c>
      <c r="BV16" s="2401">
        <v>1.2</v>
      </c>
      <c r="BW16" s="2406">
        <v>797.40000000000009</v>
      </c>
      <c r="BX16" s="2407">
        <v>53608.704499999993</v>
      </c>
    </row>
    <row r="17" spans="1:76" ht="14.45" customHeight="1" x14ac:dyDescent="0.2">
      <c r="A17" s="2400" t="s">
        <v>365</v>
      </c>
      <c r="B17" s="2401">
        <v>0</v>
      </c>
      <c r="C17" s="2401">
        <v>1631</v>
      </c>
      <c r="D17" s="2402">
        <v>0</v>
      </c>
      <c r="E17" s="2401">
        <v>0</v>
      </c>
      <c r="F17" s="2401">
        <v>0</v>
      </c>
      <c r="G17" s="2401">
        <v>10</v>
      </c>
      <c r="H17" s="2401">
        <v>14.4</v>
      </c>
      <c r="I17" s="2400">
        <v>0</v>
      </c>
      <c r="J17" s="2400">
        <v>36</v>
      </c>
      <c r="K17" s="2400">
        <v>0</v>
      </c>
      <c r="L17" s="2400">
        <v>405</v>
      </c>
      <c r="M17" s="2400">
        <v>22</v>
      </c>
      <c r="N17" s="2400">
        <v>27.2</v>
      </c>
      <c r="O17" s="2400">
        <v>0</v>
      </c>
      <c r="P17" s="2400">
        <v>0</v>
      </c>
      <c r="Q17" s="2400">
        <v>0</v>
      </c>
      <c r="R17" s="2400">
        <v>0</v>
      </c>
      <c r="S17" s="2400">
        <v>0</v>
      </c>
      <c r="T17" s="2400">
        <v>0</v>
      </c>
      <c r="U17" s="2400">
        <v>0</v>
      </c>
      <c r="V17" s="2400">
        <v>9.5</v>
      </c>
      <c r="W17" s="2403">
        <v>2155.1</v>
      </c>
      <c r="X17" s="2400">
        <v>0</v>
      </c>
      <c r="Y17" s="2400">
        <v>18</v>
      </c>
      <c r="Z17" s="2400">
        <v>27.599999999999998</v>
      </c>
      <c r="AA17" s="2400">
        <v>147</v>
      </c>
      <c r="AB17" s="2403">
        <v>192.6</v>
      </c>
      <c r="AC17" s="2404">
        <v>47.949999999999996</v>
      </c>
      <c r="AD17" s="2404">
        <v>2840.8074928805222</v>
      </c>
      <c r="AE17" s="2404">
        <v>187.5</v>
      </c>
      <c r="AF17" s="2400">
        <v>250</v>
      </c>
      <c r="AG17" s="2404">
        <v>70</v>
      </c>
      <c r="AH17" s="2404">
        <v>1289.5999999999999</v>
      </c>
      <c r="AI17" s="2404">
        <v>9</v>
      </c>
      <c r="AJ17" s="2404">
        <v>70</v>
      </c>
      <c r="AK17" s="2404">
        <v>268</v>
      </c>
      <c r="AL17" s="2404">
        <v>0</v>
      </c>
      <c r="AM17" s="2404">
        <v>180</v>
      </c>
      <c r="AN17" s="2404">
        <v>0</v>
      </c>
      <c r="AO17" s="2404">
        <v>21.059999999999995</v>
      </c>
      <c r="AP17" s="2404">
        <v>4</v>
      </c>
      <c r="AQ17" s="2404">
        <v>0</v>
      </c>
      <c r="AR17" s="2404">
        <v>0</v>
      </c>
      <c r="AS17" s="2404">
        <v>0</v>
      </c>
      <c r="AT17" s="2404">
        <v>0</v>
      </c>
      <c r="AU17" s="2404">
        <v>0</v>
      </c>
      <c r="AV17" s="2404">
        <v>82.5</v>
      </c>
      <c r="AW17" s="2404">
        <v>15.3</v>
      </c>
      <c r="AX17" s="2404">
        <v>0</v>
      </c>
      <c r="AY17" s="2404">
        <v>0</v>
      </c>
      <c r="AZ17" s="2404">
        <v>13.5</v>
      </c>
      <c r="BA17" s="2404">
        <v>0</v>
      </c>
      <c r="BB17" s="2404">
        <v>0</v>
      </c>
      <c r="BC17" s="2404">
        <v>1.9999999999999982</v>
      </c>
      <c r="BD17" s="2404">
        <v>0</v>
      </c>
      <c r="BE17" s="2404">
        <v>0</v>
      </c>
      <c r="BF17" s="2404">
        <v>0</v>
      </c>
      <c r="BG17" s="2403">
        <v>5351.2174928805225</v>
      </c>
      <c r="BH17" s="2405">
        <v>7698.9174928805223</v>
      </c>
      <c r="BJ17" s="2401">
        <v>0</v>
      </c>
      <c r="BK17" s="2401">
        <v>1689.95</v>
      </c>
      <c r="BL17" s="2401">
        <v>0</v>
      </c>
      <c r="BM17" s="2401">
        <v>10.246499999999999</v>
      </c>
      <c r="BN17" s="2401">
        <v>36.25</v>
      </c>
      <c r="BO17" s="2401">
        <v>0.72</v>
      </c>
      <c r="BP17" s="2406">
        <v>1737.1665</v>
      </c>
      <c r="BQ17" s="2401">
        <v>20</v>
      </c>
      <c r="BR17" s="2401">
        <v>0.56999999999999995</v>
      </c>
      <c r="BS17" s="2401">
        <v>0</v>
      </c>
      <c r="BT17" s="2401">
        <v>30</v>
      </c>
      <c r="BU17" s="2401">
        <v>0</v>
      </c>
      <c r="BV17" s="2401">
        <v>0</v>
      </c>
      <c r="BW17" s="2406">
        <v>50.57</v>
      </c>
      <c r="BX17" s="2407">
        <v>9486.6539928805214</v>
      </c>
    </row>
    <row r="18" spans="1:76" ht="14.45" customHeight="1" x14ac:dyDescent="0.2">
      <c r="A18" s="2400" t="s">
        <v>366</v>
      </c>
      <c r="B18" s="2401">
        <v>30</v>
      </c>
      <c r="C18" s="2401">
        <v>20790</v>
      </c>
      <c r="D18" s="2402">
        <v>0</v>
      </c>
      <c r="E18" s="2401">
        <v>120</v>
      </c>
      <c r="F18" s="2401">
        <v>0</v>
      </c>
      <c r="G18" s="2401">
        <v>0</v>
      </c>
      <c r="H18" s="2401">
        <v>0</v>
      </c>
      <c r="I18" s="2400">
        <v>0</v>
      </c>
      <c r="J18" s="2400">
        <v>0</v>
      </c>
      <c r="K18" s="2400">
        <v>16.5</v>
      </c>
      <c r="L18" s="2400">
        <v>117</v>
      </c>
      <c r="M18" s="2400">
        <v>0</v>
      </c>
      <c r="N18" s="2400">
        <v>0</v>
      </c>
      <c r="O18" s="2400">
        <v>320</v>
      </c>
      <c r="P18" s="2400">
        <v>0</v>
      </c>
      <c r="Q18" s="2400">
        <v>0</v>
      </c>
      <c r="R18" s="2400">
        <v>0</v>
      </c>
      <c r="S18" s="2400">
        <v>128</v>
      </c>
      <c r="T18" s="2400">
        <v>75</v>
      </c>
      <c r="U18" s="2400">
        <v>0</v>
      </c>
      <c r="V18" s="2400">
        <v>7.5</v>
      </c>
      <c r="W18" s="2403">
        <v>21604</v>
      </c>
      <c r="X18" s="2400">
        <v>0</v>
      </c>
      <c r="Y18" s="2400">
        <v>0</v>
      </c>
      <c r="Z18" s="2400">
        <v>0</v>
      </c>
      <c r="AA18" s="2400">
        <v>120</v>
      </c>
      <c r="AB18" s="2403">
        <v>120</v>
      </c>
      <c r="AC18" s="2404">
        <v>15.399999999999999</v>
      </c>
      <c r="AD18" s="2404">
        <v>0</v>
      </c>
      <c r="AE18" s="2404">
        <v>216</v>
      </c>
      <c r="AF18" s="2400">
        <v>270</v>
      </c>
      <c r="AG18" s="2404">
        <v>1268</v>
      </c>
      <c r="AH18" s="2404">
        <v>0</v>
      </c>
      <c r="AI18" s="2404">
        <v>0</v>
      </c>
      <c r="AJ18" s="2404">
        <v>0</v>
      </c>
      <c r="AK18" s="2404">
        <v>0</v>
      </c>
      <c r="AL18" s="2404">
        <v>0</v>
      </c>
      <c r="AM18" s="2404">
        <v>0</v>
      </c>
      <c r="AN18" s="2404">
        <v>0</v>
      </c>
      <c r="AO18" s="2404">
        <v>2598.3000000000002</v>
      </c>
      <c r="AP18" s="2404">
        <v>0</v>
      </c>
      <c r="AQ18" s="2404">
        <v>0</v>
      </c>
      <c r="AR18" s="2404">
        <v>0</v>
      </c>
      <c r="AS18" s="2404">
        <v>0</v>
      </c>
      <c r="AT18" s="2404">
        <v>24</v>
      </c>
      <c r="AU18" s="2404">
        <v>22.950000000000006</v>
      </c>
      <c r="AV18" s="2404">
        <v>0</v>
      </c>
      <c r="AW18" s="2404">
        <v>0</v>
      </c>
      <c r="AX18" s="2404">
        <v>246</v>
      </c>
      <c r="AY18" s="2404">
        <v>0</v>
      </c>
      <c r="AZ18" s="2404">
        <v>0</v>
      </c>
      <c r="BA18" s="2404">
        <v>20</v>
      </c>
      <c r="BB18" s="2404">
        <v>22.5</v>
      </c>
      <c r="BC18" s="2404">
        <v>0</v>
      </c>
      <c r="BD18" s="2404">
        <v>0</v>
      </c>
      <c r="BE18" s="2404">
        <v>0</v>
      </c>
      <c r="BF18" s="2404">
        <v>0</v>
      </c>
      <c r="BG18" s="2403">
        <v>4703.1500000000005</v>
      </c>
      <c r="BH18" s="2405">
        <v>26427.15</v>
      </c>
      <c r="BJ18" s="2401">
        <v>0</v>
      </c>
      <c r="BK18" s="2401">
        <v>2602.4499999999998</v>
      </c>
      <c r="BL18" s="2401">
        <v>0</v>
      </c>
      <c r="BM18" s="2401">
        <v>17.82</v>
      </c>
      <c r="BN18" s="2401">
        <v>36.25</v>
      </c>
      <c r="BO18" s="2401">
        <v>2.25</v>
      </c>
      <c r="BP18" s="2406">
        <v>2658.77</v>
      </c>
      <c r="BQ18" s="2401">
        <v>5950</v>
      </c>
      <c r="BR18" s="2401">
        <v>34.5</v>
      </c>
      <c r="BS18" s="2401">
        <v>0</v>
      </c>
      <c r="BT18" s="2401">
        <v>0</v>
      </c>
      <c r="BU18" s="2401">
        <v>3.45</v>
      </c>
      <c r="BV18" s="2401">
        <v>11.95</v>
      </c>
      <c r="BW18" s="2406">
        <v>5999.9</v>
      </c>
      <c r="BX18" s="2407">
        <v>35085.82</v>
      </c>
    </row>
    <row r="19" spans="1:76" ht="14.45" customHeight="1" x14ac:dyDescent="0.2">
      <c r="A19" s="2400" t="s">
        <v>367</v>
      </c>
      <c r="B19" s="2401">
        <v>0</v>
      </c>
      <c r="C19" s="2401">
        <v>20977.8</v>
      </c>
      <c r="D19" s="2402">
        <v>0</v>
      </c>
      <c r="E19" s="2401">
        <v>0</v>
      </c>
      <c r="F19" s="2401">
        <v>0</v>
      </c>
      <c r="G19" s="2401">
        <v>0</v>
      </c>
      <c r="H19" s="2401">
        <v>0</v>
      </c>
      <c r="I19" s="2400">
        <v>0</v>
      </c>
      <c r="J19" s="2400">
        <v>0</v>
      </c>
      <c r="K19" s="2400">
        <v>0</v>
      </c>
      <c r="L19" s="2400">
        <v>0</v>
      </c>
      <c r="M19" s="2400">
        <v>0</v>
      </c>
      <c r="N19" s="2400">
        <v>0</v>
      </c>
      <c r="O19" s="2400">
        <v>126</v>
      </c>
      <c r="P19" s="2400">
        <v>0</v>
      </c>
      <c r="Q19" s="2400">
        <v>0</v>
      </c>
      <c r="R19" s="2400">
        <v>0</v>
      </c>
      <c r="S19" s="2400">
        <v>0</v>
      </c>
      <c r="T19" s="2400">
        <v>0</v>
      </c>
      <c r="U19" s="2400">
        <v>0</v>
      </c>
      <c r="V19" s="2400">
        <v>0</v>
      </c>
      <c r="W19" s="2403">
        <v>21103.8</v>
      </c>
      <c r="X19" s="2400">
        <v>0</v>
      </c>
      <c r="Y19" s="2400">
        <v>0</v>
      </c>
      <c r="Z19" s="2400">
        <v>0</v>
      </c>
      <c r="AA19" s="2400">
        <v>0</v>
      </c>
      <c r="AB19" s="2403">
        <v>0</v>
      </c>
      <c r="AC19" s="2404">
        <v>44.099999999999994</v>
      </c>
      <c r="AD19" s="2404">
        <v>0</v>
      </c>
      <c r="AE19" s="2404">
        <v>4</v>
      </c>
      <c r="AF19" s="2400">
        <v>10</v>
      </c>
      <c r="AG19" s="2404">
        <v>0</v>
      </c>
      <c r="AH19" s="2404">
        <v>56</v>
      </c>
      <c r="AI19" s="2404">
        <v>0</v>
      </c>
      <c r="AJ19" s="2404">
        <v>0</v>
      </c>
      <c r="AK19" s="2404">
        <v>0</v>
      </c>
      <c r="AL19" s="2404">
        <v>0</v>
      </c>
      <c r="AM19" s="2404">
        <v>0</v>
      </c>
      <c r="AN19" s="2404">
        <v>0</v>
      </c>
      <c r="AO19" s="2404">
        <v>852</v>
      </c>
      <c r="AP19" s="2404">
        <v>9</v>
      </c>
      <c r="AQ19" s="2404">
        <v>0</v>
      </c>
      <c r="AR19" s="2404">
        <v>0</v>
      </c>
      <c r="AS19" s="2404">
        <v>0</v>
      </c>
      <c r="AT19" s="2404">
        <v>0</v>
      </c>
      <c r="AU19" s="2404">
        <v>214.5</v>
      </c>
      <c r="AV19" s="2404">
        <v>0</v>
      </c>
      <c r="AW19" s="2404">
        <v>0</v>
      </c>
      <c r="AX19" s="2404">
        <v>0</v>
      </c>
      <c r="AY19" s="2404">
        <v>7.5</v>
      </c>
      <c r="AZ19" s="2404">
        <v>0</v>
      </c>
      <c r="BA19" s="2404">
        <v>97.5</v>
      </c>
      <c r="BB19" s="2404">
        <v>0</v>
      </c>
      <c r="BC19" s="2404">
        <v>0</v>
      </c>
      <c r="BD19" s="2404">
        <v>0</v>
      </c>
      <c r="BE19" s="2404">
        <v>20</v>
      </c>
      <c r="BF19" s="2404">
        <v>0</v>
      </c>
      <c r="BG19" s="2403">
        <v>1314.6</v>
      </c>
      <c r="BH19" s="2405">
        <v>22418.399999999998</v>
      </c>
      <c r="BJ19" s="2401">
        <v>0</v>
      </c>
      <c r="BK19" s="2401">
        <v>5521.72</v>
      </c>
      <c r="BL19" s="2401">
        <v>0</v>
      </c>
      <c r="BM19" s="2401">
        <v>14.256</v>
      </c>
      <c r="BN19" s="2401">
        <v>906.25</v>
      </c>
      <c r="BO19" s="2401">
        <v>0</v>
      </c>
      <c r="BP19" s="2406">
        <v>6442.2260000000006</v>
      </c>
      <c r="BQ19" s="2401">
        <v>9396</v>
      </c>
      <c r="BR19" s="2401">
        <v>0</v>
      </c>
      <c r="BS19" s="2401">
        <v>0</v>
      </c>
      <c r="BT19" s="2401">
        <v>0</v>
      </c>
      <c r="BU19" s="2401">
        <v>0</v>
      </c>
      <c r="BV19" s="2401">
        <v>0</v>
      </c>
      <c r="BW19" s="2406">
        <v>9396</v>
      </c>
      <c r="BX19" s="2407">
        <v>38256.625999999997</v>
      </c>
    </row>
    <row r="20" spans="1:76" ht="14.45" customHeight="1" x14ac:dyDescent="0.2">
      <c r="A20" s="2394" t="s">
        <v>368</v>
      </c>
      <c r="B20" s="2395">
        <v>0</v>
      </c>
      <c r="C20" s="2395">
        <v>13080</v>
      </c>
      <c r="D20" s="2408">
        <v>1315.5</v>
      </c>
      <c r="E20" s="2395">
        <v>1076</v>
      </c>
      <c r="F20" s="2395">
        <v>314</v>
      </c>
      <c r="G20" s="2395">
        <v>6159.1</v>
      </c>
      <c r="H20" s="2395">
        <v>221.8</v>
      </c>
      <c r="I20" s="2387">
        <v>779</v>
      </c>
      <c r="J20" s="2387">
        <v>1818.5</v>
      </c>
      <c r="K20" s="2387">
        <v>2082.1999999999998</v>
      </c>
      <c r="L20" s="2387">
        <v>4986.1000000000004</v>
      </c>
      <c r="M20" s="2387">
        <v>794.45</v>
      </c>
      <c r="N20" s="2387">
        <v>1864</v>
      </c>
      <c r="O20" s="2387">
        <v>165</v>
      </c>
      <c r="P20" s="2387">
        <v>128</v>
      </c>
      <c r="Q20" s="2387">
        <v>1080</v>
      </c>
      <c r="R20" s="2387">
        <v>324</v>
      </c>
      <c r="S20" s="2387">
        <v>0</v>
      </c>
      <c r="T20" s="2387">
        <v>0</v>
      </c>
      <c r="U20" s="2387">
        <v>0</v>
      </c>
      <c r="V20" s="2387">
        <v>2150</v>
      </c>
      <c r="W20" s="2396">
        <v>38337.649999999994</v>
      </c>
      <c r="X20" s="2387">
        <v>100.8</v>
      </c>
      <c r="Y20" s="2387">
        <v>536.1</v>
      </c>
      <c r="Z20" s="2387">
        <v>654</v>
      </c>
      <c r="AA20" s="2387">
        <v>7700</v>
      </c>
      <c r="AB20" s="2396">
        <v>8990.9</v>
      </c>
      <c r="AC20" s="2409">
        <v>709.51199999999994</v>
      </c>
      <c r="AD20" s="2409">
        <v>21916.552</v>
      </c>
      <c r="AE20" s="2409">
        <v>3016</v>
      </c>
      <c r="AF20" s="2387">
        <v>5220</v>
      </c>
      <c r="AG20" s="2409">
        <v>1079.2</v>
      </c>
      <c r="AH20" s="2409">
        <v>5417.7999999999993</v>
      </c>
      <c r="AI20" s="2409">
        <v>1832.836</v>
      </c>
      <c r="AJ20" s="2409">
        <v>1608.28</v>
      </c>
      <c r="AK20" s="2409">
        <v>84</v>
      </c>
      <c r="AL20" s="2409">
        <v>309.5</v>
      </c>
      <c r="AM20" s="2409">
        <v>1191.7</v>
      </c>
      <c r="AN20" s="2409">
        <v>90</v>
      </c>
      <c r="AO20" s="2409">
        <v>2103.4499999999998</v>
      </c>
      <c r="AP20" s="2409">
        <v>27</v>
      </c>
      <c r="AQ20" s="2409">
        <v>164</v>
      </c>
      <c r="AR20" s="2409">
        <v>39.100000000000009</v>
      </c>
      <c r="AS20" s="2409">
        <v>512.20000000000005</v>
      </c>
      <c r="AT20" s="2409">
        <v>32</v>
      </c>
      <c r="AU20" s="2409">
        <v>310.5</v>
      </c>
      <c r="AV20" s="2409">
        <v>747.5</v>
      </c>
      <c r="AW20" s="2409">
        <v>1653.75</v>
      </c>
      <c r="AX20" s="2409">
        <v>291</v>
      </c>
      <c r="AY20" s="2409">
        <v>1810.5</v>
      </c>
      <c r="AZ20" s="2409">
        <v>3299.5</v>
      </c>
      <c r="BA20" s="2409">
        <v>595</v>
      </c>
      <c r="BB20" s="2409">
        <v>787</v>
      </c>
      <c r="BC20" s="2409">
        <v>481.5</v>
      </c>
      <c r="BD20" s="2409">
        <v>556.5</v>
      </c>
      <c r="BE20" s="2409">
        <v>173</v>
      </c>
      <c r="BF20" s="2409">
        <v>0</v>
      </c>
      <c r="BG20" s="2396">
        <v>56058.87999999999</v>
      </c>
      <c r="BH20" s="2397">
        <v>103387.43</v>
      </c>
      <c r="BJ20" s="2398">
        <v>0</v>
      </c>
      <c r="BK20" s="2398">
        <v>17552.485000000001</v>
      </c>
      <c r="BL20" s="2398">
        <v>0</v>
      </c>
      <c r="BM20" s="2398">
        <v>1005.8647500000001</v>
      </c>
      <c r="BN20" s="2398">
        <v>2202.1875</v>
      </c>
      <c r="BO20" s="2398">
        <v>15.849999999999998</v>
      </c>
      <c r="BP20" s="2396">
        <v>20776.38725</v>
      </c>
      <c r="BQ20" s="2398">
        <v>826.5</v>
      </c>
      <c r="BR20" s="2398">
        <v>53.08</v>
      </c>
      <c r="BS20" s="2398">
        <v>34.6</v>
      </c>
      <c r="BT20" s="2398">
        <v>44.75</v>
      </c>
      <c r="BU20" s="2398">
        <v>0</v>
      </c>
      <c r="BV20" s="2398">
        <v>1.125</v>
      </c>
      <c r="BW20" s="2396">
        <v>960.05500000000006</v>
      </c>
      <c r="BX20" s="2399">
        <v>125123.87225</v>
      </c>
    </row>
    <row r="21" spans="1:76" ht="14.45" customHeight="1" x14ac:dyDescent="0.2">
      <c r="A21" s="2400" t="s">
        <v>369</v>
      </c>
      <c r="B21" s="2401">
        <v>0</v>
      </c>
      <c r="C21" s="2401">
        <v>0</v>
      </c>
      <c r="D21" s="2402">
        <v>1176.5</v>
      </c>
      <c r="E21" s="2401">
        <v>1028</v>
      </c>
      <c r="F21" s="2401">
        <v>314</v>
      </c>
      <c r="G21" s="2401">
        <v>5693.4</v>
      </c>
      <c r="H21" s="2401">
        <v>0</v>
      </c>
      <c r="I21" s="2400">
        <v>703</v>
      </c>
      <c r="J21" s="2400">
        <v>1300</v>
      </c>
      <c r="K21" s="2400">
        <v>1755</v>
      </c>
      <c r="L21" s="2400">
        <v>3835</v>
      </c>
      <c r="M21" s="2400">
        <v>757.5</v>
      </c>
      <c r="N21" s="2400">
        <v>1624.2</v>
      </c>
      <c r="O21" s="2400">
        <v>0</v>
      </c>
      <c r="P21" s="2400">
        <v>128</v>
      </c>
      <c r="Q21" s="2400">
        <v>1080</v>
      </c>
      <c r="R21" s="2400">
        <v>300</v>
      </c>
      <c r="S21" s="2400">
        <v>0</v>
      </c>
      <c r="T21" s="2400">
        <v>0</v>
      </c>
      <c r="U21" s="2400">
        <v>0</v>
      </c>
      <c r="V21" s="2400">
        <v>1108</v>
      </c>
      <c r="W21" s="2403">
        <v>20802.600000000002</v>
      </c>
      <c r="X21" s="2400">
        <v>100.8</v>
      </c>
      <c r="Y21" s="2400">
        <v>264</v>
      </c>
      <c r="Z21" s="2400">
        <v>504</v>
      </c>
      <c r="AA21" s="2400">
        <v>6356</v>
      </c>
      <c r="AB21" s="2403">
        <v>7224.8</v>
      </c>
      <c r="AC21" s="2404">
        <v>354.64000000000004</v>
      </c>
      <c r="AD21" s="2404">
        <v>14214.584999999999</v>
      </c>
      <c r="AE21" s="2404">
        <v>1799</v>
      </c>
      <c r="AF21" s="2400">
        <v>2570</v>
      </c>
      <c r="AG21" s="2404">
        <v>768</v>
      </c>
      <c r="AH21" s="2404">
        <v>3715.5999999999995</v>
      </c>
      <c r="AI21" s="2404">
        <v>1306.8999999999999</v>
      </c>
      <c r="AJ21" s="2404">
        <v>1105</v>
      </c>
      <c r="AK21" s="2404">
        <v>48</v>
      </c>
      <c r="AL21" s="2404">
        <v>127.5</v>
      </c>
      <c r="AM21" s="2404">
        <v>954</v>
      </c>
      <c r="AN21" s="2404">
        <v>90</v>
      </c>
      <c r="AO21" s="2404">
        <v>1128.75</v>
      </c>
      <c r="AP21" s="2404">
        <v>27</v>
      </c>
      <c r="AQ21" s="2404">
        <v>84</v>
      </c>
      <c r="AR21" s="2404">
        <v>23.100000000000009</v>
      </c>
      <c r="AS21" s="2404">
        <v>122.5</v>
      </c>
      <c r="AT21" s="2404">
        <v>32</v>
      </c>
      <c r="AU21" s="2404">
        <v>280.5</v>
      </c>
      <c r="AV21" s="2404">
        <v>535</v>
      </c>
      <c r="AW21" s="2404">
        <v>1060.5</v>
      </c>
      <c r="AX21" s="2404">
        <v>227.5</v>
      </c>
      <c r="AY21" s="2404">
        <v>1611</v>
      </c>
      <c r="AZ21" s="2404">
        <v>3209.5</v>
      </c>
      <c r="BA21" s="2404">
        <v>333</v>
      </c>
      <c r="BB21" s="2404">
        <v>506</v>
      </c>
      <c r="BC21" s="2404">
        <v>116</v>
      </c>
      <c r="BD21" s="2404">
        <v>400.5</v>
      </c>
      <c r="BE21" s="2404">
        <v>87</v>
      </c>
      <c r="BF21" s="2404">
        <v>0</v>
      </c>
      <c r="BG21" s="2403">
        <v>36837.074999999997</v>
      </c>
      <c r="BH21" s="2405">
        <v>64864.475000000006</v>
      </c>
      <c r="BJ21" s="2401">
        <v>0</v>
      </c>
      <c r="BK21" s="2401">
        <v>5020.5749999999998</v>
      </c>
      <c r="BL21" s="2401">
        <v>0</v>
      </c>
      <c r="BM21" s="2401">
        <v>908.82</v>
      </c>
      <c r="BN21" s="2401">
        <v>1178.125</v>
      </c>
      <c r="BO21" s="2401">
        <v>5.8</v>
      </c>
      <c r="BP21" s="2406">
        <v>7113.32</v>
      </c>
      <c r="BQ21" s="2401">
        <v>450</v>
      </c>
      <c r="BR21" s="2401">
        <v>36.72</v>
      </c>
      <c r="BS21" s="2401">
        <v>34.6</v>
      </c>
      <c r="BT21" s="2401">
        <v>28</v>
      </c>
      <c r="BU21" s="2401">
        <v>0</v>
      </c>
      <c r="BV21" s="2401">
        <v>0</v>
      </c>
      <c r="BW21" s="2406">
        <v>549.32000000000005</v>
      </c>
      <c r="BX21" s="2407">
        <v>72527.115000000005</v>
      </c>
    </row>
    <row r="22" spans="1:76" ht="14.45" customHeight="1" x14ac:dyDescent="0.2">
      <c r="A22" s="2400" t="s">
        <v>370</v>
      </c>
      <c r="B22" s="2401">
        <v>0</v>
      </c>
      <c r="C22" s="2401">
        <v>0</v>
      </c>
      <c r="D22" s="2402">
        <v>87</v>
      </c>
      <c r="E22" s="2401">
        <v>20</v>
      </c>
      <c r="F22" s="2401">
        <v>0</v>
      </c>
      <c r="G22" s="2401">
        <v>288</v>
      </c>
      <c r="H22" s="2401">
        <v>160</v>
      </c>
      <c r="I22" s="2400">
        <v>36</v>
      </c>
      <c r="J22" s="2400">
        <v>317.5</v>
      </c>
      <c r="K22" s="2400">
        <v>0</v>
      </c>
      <c r="L22" s="2400">
        <v>190</v>
      </c>
      <c r="M22" s="2400">
        <v>0</v>
      </c>
      <c r="N22" s="2400">
        <v>136</v>
      </c>
      <c r="O22" s="2400">
        <v>0</v>
      </c>
      <c r="P22" s="2400">
        <v>0</v>
      </c>
      <c r="Q22" s="2400">
        <v>0</v>
      </c>
      <c r="R22" s="2400">
        <v>24</v>
      </c>
      <c r="S22" s="2400">
        <v>0</v>
      </c>
      <c r="T22" s="2400">
        <v>0</v>
      </c>
      <c r="U22" s="2400">
        <v>0</v>
      </c>
      <c r="V22" s="2400">
        <v>480</v>
      </c>
      <c r="W22" s="2403">
        <v>1738.5</v>
      </c>
      <c r="X22" s="2400">
        <v>0</v>
      </c>
      <c r="Y22" s="2400">
        <v>165</v>
      </c>
      <c r="Z22" s="2400">
        <v>90</v>
      </c>
      <c r="AA22" s="2400">
        <v>504</v>
      </c>
      <c r="AB22" s="2403">
        <v>759</v>
      </c>
      <c r="AC22" s="2404">
        <v>0</v>
      </c>
      <c r="AD22" s="2404">
        <v>2939.9860000000003</v>
      </c>
      <c r="AE22" s="2404">
        <v>600</v>
      </c>
      <c r="AF22" s="2400">
        <v>1500</v>
      </c>
      <c r="AG22" s="2404">
        <v>37.5</v>
      </c>
      <c r="AH22" s="2404">
        <v>488</v>
      </c>
      <c r="AI22" s="2404">
        <v>419.75999999999988</v>
      </c>
      <c r="AJ22" s="2404">
        <v>308.27999999999997</v>
      </c>
      <c r="AK22" s="2404">
        <v>0</v>
      </c>
      <c r="AL22" s="2404">
        <v>0</v>
      </c>
      <c r="AM22" s="2404">
        <v>0</v>
      </c>
      <c r="AN22" s="2404">
        <v>0</v>
      </c>
      <c r="AO22" s="2404">
        <v>114</v>
      </c>
      <c r="AP22" s="2404">
        <v>0</v>
      </c>
      <c r="AQ22" s="2404">
        <v>80</v>
      </c>
      <c r="AR22" s="2404">
        <v>10</v>
      </c>
      <c r="AS22" s="2404">
        <v>371.7</v>
      </c>
      <c r="AT22" s="2404">
        <v>0</v>
      </c>
      <c r="AU22" s="2404">
        <v>0</v>
      </c>
      <c r="AV22" s="2404">
        <v>101.5</v>
      </c>
      <c r="AW22" s="2404">
        <v>370</v>
      </c>
      <c r="AX22" s="2404">
        <v>0</v>
      </c>
      <c r="AY22" s="2404">
        <v>0</v>
      </c>
      <c r="AZ22" s="2404">
        <v>90</v>
      </c>
      <c r="BA22" s="2404">
        <v>0</v>
      </c>
      <c r="BB22" s="2404">
        <v>40</v>
      </c>
      <c r="BC22" s="2404">
        <v>296</v>
      </c>
      <c r="BD22" s="2404">
        <v>144</v>
      </c>
      <c r="BE22" s="2404">
        <v>24</v>
      </c>
      <c r="BF22" s="2404">
        <v>0</v>
      </c>
      <c r="BG22" s="2403">
        <v>7934.7260000000006</v>
      </c>
      <c r="BH22" s="2405">
        <v>10432.226000000001</v>
      </c>
      <c r="BJ22" s="2401">
        <v>0</v>
      </c>
      <c r="BK22" s="2401">
        <v>1708.2</v>
      </c>
      <c r="BL22" s="2401">
        <v>0</v>
      </c>
      <c r="BM22" s="2401">
        <v>29.7</v>
      </c>
      <c r="BN22" s="2401">
        <v>108.75</v>
      </c>
      <c r="BO22" s="2401">
        <v>2.4</v>
      </c>
      <c r="BP22" s="2406">
        <v>1849.0500000000002</v>
      </c>
      <c r="BQ22" s="2401">
        <v>200</v>
      </c>
      <c r="BR22" s="2401">
        <v>5.4359999999999999</v>
      </c>
      <c r="BS22" s="2401">
        <v>0</v>
      </c>
      <c r="BT22" s="2401">
        <v>16</v>
      </c>
      <c r="BU22" s="2401">
        <v>0</v>
      </c>
      <c r="BV22" s="2401">
        <v>0</v>
      </c>
      <c r="BW22" s="2406">
        <v>221.43600000000001</v>
      </c>
      <c r="BX22" s="2407">
        <v>12502.712000000001</v>
      </c>
    </row>
    <row r="23" spans="1:76" ht="14.45" customHeight="1" x14ac:dyDescent="0.2">
      <c r="A23" s="2400" t="s">
        <v>371</v>
      </c>
      <c r="B23" s="2401">
        <v>0</v>
      </c>
      <c r="C23" s="2401">
        <v>0</v>
      </c>
      <c r="D23" s="2402">
        <v>52</v>
      </c>
      <c r="E23" s="2401">
        <v>0</v>
      </c>
      <c r="F23" s="2401">
        <v>0</v>
      </c>
      <c r="G23" s="2401">
        <v>66.300000000000011</v>
      </c>
      <c r="H23" s="2401">
        <v>28</v>
      </c>
      <c r="I23" s="2400">
        <v>0</v>
      </c>
      <c r="J23" s="2400">
        <v>102</v>
      </c>
      <c r="K23" s="2400">
        <v>31.2</v>
      </c>
      <c r="L23" s="2400">
        <v>57.599999999999994</v>
      </c>
      <c r="M23" s="2400">
        <v>22.95</v>
      </c>
      <c r="N23" s="2400">
        <v>47.599999999999994</v>
      </c>
      <c r="O23" s="2400">
        <v>0</v>
      </c>
      <c r="P23" s="2400">
        <v>0</v>
      </c>
      <c r="Q23" s="2400">
        <v>0</v>
      </c>
      <c r="R23" s="2400">
        <v>0</v>
      </c>
      <c r="S23" s="2400">
        <v>0</v>
      </c>
      <c r="T23" s="2400">
        <v>0</v>
      </c>
      <c r="U23" s="2400">
        <v>0</v>
      </c>
      <c r="V23" s="2400">
        <v>378</v>
      </c>
      <c r="W23" s="2403">
        <v>785.65</v>
      </c>
      <c r="X23" s="2400">
        <v>0</v>
      </c>
      <c r="Y23" s="2400">
        <v>105</v>
      </c>
      <c r="Z23" s="2400">
        <v>60</v>
      </c>
      <c r="AA23" s="2400">
        <v>240</v>
      </c>
      <c r="AB23" s="2403">
        <v>405</v>
      </c>
      <c r="AC23" s="2404">
        <v>14.210000000000006</v>
      </c>
      <c r="AD23" s="2404">
        <v>2061.6960000000004</v>
      </c>
      <c r="AE23" s="2404">
        <v>112</v>
      </c>
      <c r="AF23" s="2400">
        <v>140</v>
      </c>
      <c r="AG23" s="2404">
        <v>0</v>
      </c>
      <c r="AH23" s="2404">
        <v>852.59999999999991</v>
      </c>
      <c r="AI23" s="2404">
        <v>3.75</v>
      </c>
      <c r="AJ23" s="2404">
        <v>51</v>
      </c>
      <c r="AK23" s="2404">
        <v>0</v>
      </c>
      <c r="AL23" s="2404">
        <v>12</v>
      </c>
      <c r="AM23" s="2404">
        <v>68.7</v>
      </c>
      <c r="AN23" s="2404">
        <v>0</v>
      </c>
      <c r="AO23" s="2404">
        <v>42</v>
      </c>
      <c r="AP23" s="2404">
        <v>0</v>
      </c>
      <c r="AQ23" s="2404">
        <v>0</v>
      </c>
      <c r="AR23" s="2404">
        <v>0</v>
      </c>
      <c r="AS23" s="2404">
        <v>16</v>
      </c>
      <c r="AT23" s="2404">
        <v>0</v>
      </c>
      <c r="AU23" s="2404">
        <v>0</v>
      </c>
      <c r="AV23" s="2404">
        <v>75</v>
      </c>
      <c r="AW23" s="2404">
        <v>117.25</v>
      </c>
      <c r="AX23" s="2404">
        <v>60</v>
      </c>
      <c r="AY23" s="2404">
        <v>0</v>
      </c>
      <c r="AZ23" s="2404">
        <v>0</v>
      </c>
      <c r="BA23" s="2404">
        <v>0</v>
      </c>
      <c r="BB23" s="2404">
        <v>55.999999999999943</v>
      </c>
      <c r="BC23" s="2404">
        <v>47.5</v>
      </c>
      <c r="BD23" s="2404">
        <v>0</v>
      </c>
      <c r="BE23" s="2404">
        <v>24</v>
      </c>
      <c r="BF23" s="2404">
        <v>0</v>
      </c>
      <c r="BG23" s="2403">
        <v>3753.7060000000001</v>
      </c>
      <c r="BH23" s="2405">
        <v>4944.3559999999998</v>
      </c>
      <c r="BJ23" s="2401">
        <v>0</v>
      </c>
      <c r="BK23" s="2401">
        <v>949</v>
      </c>
      <c r="BL23" s="2401">
        <v>0</v>
      </c>
      <c r="BM23" s="2401">
        <v>11.88</v>
      </c>
      <c r="BN23" s="2401">
        <v>36.25</v>
      </c>
      <c r="BO23" s="2401">
        <v>0.6</v>
      </c>
      <c r="BP23" s="2406">
        <v>997.73</v>
      </c>
      <c r="BQ23" s="2401">
        <v>6.5</v>
      </c>
      <c r="BR23" s="2401">
        <v>2.3559999999999999</v>
      </c>
      <c r="BS23" s="2401">
        <v>0</v>
      </c>
      <c r="BT23" s="2401">
        <v>0.75</v>
      </c>
      <c r="BU23" s="2401">
        <v>0</v>
      </c>
      <c r="BV23" s="2401">
        <v>0</v>
      </c>
      <c r="BW23" s="2406">
        <v>9.6059999999999999</v>
      </c>
      <c r="BX23" s="2407">
        <v>5951.692</v>
      </c>
    </row>
    <row r="24" spans="1:76" ht="14.45" customHeight="1" x14ac:dyDescent="0.2">
      <c r="A24" s="2400" t="s">
        <v>372</v>
      </c>
      <c r="B24" s="2401">
        <v>0</v>
      </c>
      <c r="C24" s="2401">
        <v>3750</v>
      </c>
      <c r="D24" s="2402">
        <v>0</v>
      </c>
      <c r="E24" s="2401">
        <v>28</v>
      </c>
      <c r="F24" s="2401">
        <v>0</v>
      </c>
      <c r="G24" s="2401">
        <v>15.400000000000002</v>
      </c>
      <c r="H24" s="2401">
        <v>14.8</v>
      </c>
      <c r="I24" s="2400">
        <v>20</v>
      </c>
      <c r="J24" s="2400">
        <v>70</v>
      </c>
      <c r="K24" s="2400">
        <v>61</v>
      </c>
      <c r="L24" s="2400">
        <v>148.5</v>
      </c>
      <c r="M24" s="2400">
        <v>14</v>
      </c>
      <c r="N24" s="2400">
        <v>37.5</v>
      </c>
      <c r="O24" s="2400">
        <v>0</v>
      </c>
      <c r="P24" s="2400">
        <v>0</v>
      </c>
      <c r="Q24" s="2400">
        <v>0</v>
      </c>
      <c r="R24" s="2400">
        <v>0</v>
      </c>
      <c r="S24" s="2400">
        <v>0</v>
      </c>
      <c r="T24" s="2400">
        <v>0</v>
      </c>
      <c r="U24" s="2400">
        <v>0</v>
      </c>
      <c r="V24" s="2400">
        <v>114</v>
      </c>
      <c r="W24" s="2403">
        <v>4273.2000000000007</v>
      </c>
      <c r="X24" s="2400">
        <v>0</v>
      </c>
      <c r="Y24" s="2400">
        <v>2.1</v>
      </c>
      <c r="Z24" s="2400">
        <v>0</v>
      </c>
      <c r="AA24" s="2400">
        <v>276</v>
      </c>
      <c r="AB24" s="2403">
        <v>278.10000000000002</v>
      </c>
      <c r="AC24" s="2404">
        <v>182.62999999999997</v>
      </c>
      <c r="AD24" s="2404">
        <v>1824.4199999999998</v>
      </c>
      <c r="AE24" s="2404">
        <v>350</v>
      </c>
      <c r="AF24" s="2400">
        <v>700</v>
      </c>
      <c r="AG24" s="2404">
        <v>181.20000000000002</v>
      </c>
      <c r="AH24" s="2404">
        <v>256</v>
      </c>
      <c r="AI24" s="2404">
        <v>52.025999999999996</v>
      </c>
      <c r="AJ24" s="2404">
        <v>144</v>
      </c>
      <c r="AK24" s="2404">
        <v>36</v>
      </c>
      <c r="AL24" s="2404">
        <v>144</v>
      </c>
      <c r="AM24" s="2404">
        <v>36</v>
      </c>
      <c r="AN24" s="2404">
        <v>0</v>
      </c>
      <c r="AO24" s="2404">
        <v>785.69999999999993</v>
      </c>
      <c r="AP24" s="2404">
        <v>0</v>
      </c>
      <c r="AQ24" s="2404">
        <v>0</v>
      </c>
      <c r="AR24" s="2404">
        <v>6</v>
      </c>
      <c r="AS24" s="2404">
        <v>2</v>
      </c>
      <c r="AT24" s="2404">
        <v>0</v>
      </c>
      <c r="AU24" s="2404">
        <v>7.5</v>
      </c>
      <c r="AV24" s="2404">
        <v>0</v>
      </c>
      <c r="AW24" s="2404">
        <v>70</v>
      </c>
      <c r="AX24" s="2404">
        <v>3.5</v>
      </c>
      <c r="AY24" s="2404">
        <v>19.5</v>
      </c>
      <c r="AZ24" s="2404">
        <v>0</v>
      </c>
      <c r="BA24" s="2404">
        <v>22</v>
      </c>
      <c r="BB24" s="2404">
        <v>35</v>
      </c>
      <c r="BC24" s="2404">
        <v>14</v>
      </c>
      <c r="BD24" s="2404">
        <v>0</v>
      </c>
      <c r="BE24" s="2404">
        <v>22</v>
      </c>
      <c r="BF24" s="2404">
        <v>0</v>
      </c>
      <c r="BG24" s="2403">
        <v>4893.4759999999997</v>
      </c>
      <c r="BH24" s="2405">
        <v>9444.7760000000017</v>
      </c>
      <c r="BJ24" s="2401">
        <v>0</v>
      </c>
      <c r="BK24" s="2401">
        <v>3253.61</v>
      </c>
      <c r="BL24" s="2401">
        <v>0</v>
      </c>
      <c r="BM24" s="2401">
        <v>23.388750000000002</v>
      </c>
      <c r="BN24" s="2401">
        <v>607.1875</v>
      </c>
      <c r="BO24" s="2401">
        <v>2.85</v>
      </c>
      <c r="BP24" s="2406">
        <v>3887.0362500000001</v>
      </c>
      <c r="BQ24" s="2401">
        <v>40</v>
      </c>
      <c r="BR24" s="2401">
        <v>6.12</v>
      </c>
      <c r="BS24" s="2401">
        <v>0</v>
      </c>
      <c r="BT24" s="2401">
        <v>0</v>
      </c>
      <c r="BU24" s="2401">
        <v>0</v>
      </c>
      <c r="BV24" s="2401">
        <v>1.125</v>
      </c>
      <c r="BW24" s="2406">
        <v>47.244999999999997</v>
      </c>
      <c r="BX24" s="2407">
        <v>13379.057250000002</v>
      </c>
    </row>
    <row r="25" spans="1:76" ht="14.45" customHeight="1" x14ac:dyDescent="0.2">
      <c r="A25" s="2400" t="s">
        <v>373</v>
      </c>
      <c r="B25" s="2401">
        <v>0</v>
      </c>
      <c r="C25" s="2401">
        <v>9330</v>
      </c>
      <c r="D25" s="2402">
        <v>0</v>
      </c>
      <c r="E25" s="2401">
        <v>0</v>
      </c>
      <c r="F25" s="2401">
        <v>0</v>
      </c>
      <c r="G25" s="2401">
        <v>96</v>
      </c>
      <c r="H25" s="2401">
        <v>19</v>
      </c>
      <c r="I25" s="2400">
        <v>20</v>
      </c>
      <c r="J25" s="2400">
        <v>29</v>
      </c>
      <c r="K25" s="2400">
        <v>235</v>
      </c>
      <c r="L25" s="2400">
        <v>755</v>
      </c>
      <c r="M25" s="2400">
        <v>0</v>
      </c>
      <c r="N25" s="2400">
        <v>18.7</v>
      </c>
      <c r="O25" s="2400">
        <v>165</v>
      </c>
      <c r="P25" s="2400">
        <v>0</v>
      </c>
      <c r="Q25" s="2400">
        <v>0</v>
      </c>
      <c r="R25" s="2400">
        <v>0</v>
      </c>
      <c r="S25" s="2400">
        <v>0</v>
      </c>
      <c r="T25" s="2400">
        <v>0</v>
      </c>
      <c r="U25" s="2400">
        <v>0</v>
      </c>
      <c r="V25" s="2400">
        <v>70</v>
      </c>
      <c r="W25" s="2403">
        <v>10737.7</v>
      </c>
      <c r="X25" s="2400">
        <v>0</v>
      </c>
      <c r="Y25" s="2400">
        <v>0</v>
      </c>
      <c r="Z25" s="2400">
        <v>0</v>
      </c>
      <c r="AA25" s="2400">
        <v>324</v>
      </c>
      <c r="AB25" s="2403">
        <v>324</v>
      </c>
      <c r="AC25" s="2404">
        <v>158.03199999999998</v>
      </c>
      <c r="AD25" s="2404">
        <v>875.86500000000001</v>
      </c>
      <c r="AE25" s="2404">
        <v>155</v>
      </c>
      <c r="AF25" s="2400">
        <v>310</v>
      </c>
      <c r="AG25" s="2404">
        <v>92.5</v>
      </c>
      <c r="AH25" s="2404">
        <v>105.60000000000001</v>
      </c>
      <c r="AI25" s="2404">
        <v>50.4</v>
      </c>
      <c r="AJ25" s="2404">
        <v>0</v>
      </c>
      <c r="AK25" s="2404">
        <v>0</v>
      </c>
      <c r="AL25" s="2404">
        <v>26</v>
      </c>
      <c r="AM25" s="2404">
        <v>133</v>
      </c>
      <c r="AN25" s="2404">
        <v>0</v>
      </c>
      <c r="AO25" s="2404">
        <v>33</v>
      </c>
      <c r="AP25" s="2404">
        <v>0</v>
      </c>
      <c r="AQ25" s="2404">
        <v>0</v>
      </c>
      <c r="AR25" s="2404">
        <v>0</v>
      </c>
      <c r="AS25" s="2404">
        <v>0</v>
      </c>
      <c r="AT25" s="2404">
        <v>0</v>
      </c>
      <c r="AU25" s="2404">
        <v>22.5</v>
      </c>
      <c r="AV25" s="2404">
        <v>36</v>
      </c>
      <c r="AW25" s="2404">
        <v>36</v>
      </c>
      <c r="AX25" s="2404">
        <v>0</v>
      </c>
      <c r="AY25" s="2404">
        <v>180</v>
      </c>
      <c r="AZ25" s="2404">
        <v>0</v>
      </c>
      <c r="BA25" s="2404">
        <v>240</v>
      </c>
      <c r="BB25" s="2404">
        <v>150</v>
      </c>
      <c r="BC25" s="2404">
        <v>8</v>
      </c>
      <c r="BD25" s="2404">
        <v>12</v>
      </c>
      <c r="BE25" s="2404">
        <v>16</v>
      </c>
      <c r="BF25" s="2404">
        <v>0</v>
      </c>
      <c r="BG25" s="2403">
        <v>2639.8969999999999</v>
      </c>
      <c r="BH25" s="2405">
        <v>13701.597000000002</v>
      </c>
      <c r="BJ25" s="2401">
        <v>0</v>
      </c>
      <c r="BK25" s="2401">
        <v>6621.1</v>
      </c>
      <c r="BL25" s="2401">
        <v>0</v>
      </c>
      <c r="BM25" s="2401">
        <v>32.076000000000001</v>
      </c>
      <c r="BN25" s="2401">
        <v>271.875</v>
      </c>
      <c r="BO25" s="2401">
        <v>4.2</v>
      </c>
      <c r="BP25" s="2406">
        <v>6929.2510000000002</v>
      </c>
      <c r="BQ25" s="2401">
        <v>130</v>
      </c>
      <c r="BR25" s="2401">
        <v>2.448</v>
      </c>
      <c r="BS25" s="2401">
        <v>0</v>
      </c>
      <c r="BT25" s="2401">
        <v>0</v>
      </c>
      <c r="BU25" s="2401">
        <v>0</v>
      </c>
      <c r="BV25" s="2401">
        <v>0</v>
      </c>
      <c r="BW25" s="2406">
        <v>132.44800000000001</v>
      </c>
      <c r="BX25" s="2407">
        <v>20763.296000000002</v>
      </c>
    </row>
    <row r="26" spans="1:76" ht="14.45" customHeight="1" x14ac:dyDescent="0.2">
      <c r="A26" s="2394" t="s">
        <v>374</v>
      </c>
      <c r="B26" s="2395">
        <v>0</v>
      </c>
      <c r="C26" s="2395">
        <v>1749.2</v>
      </c>
      <c r="D26" s="2408">
        <v>640.29999999999995</v>
      </c>
      <c r="E26" s="2395">
        <v>3893.5</v>
      </c>
      <c r="F26" s="2395">
        <v>89</v>
      </c>
      <c r="G26" s="2395">
        <v>2787.4</v>
      </c>
      <c r="H26" s="2395">
        <v>264.7</v>
      </c>
      <c r="I26" s="2387">
        <v>1144</v>
      </c>
      <c r="J26" s="2387">
        <v>938.75</v>
      </c>
      <c r="K26" s="2387">
        <v>2900.8</v>
      </c>
      <c r="L26" s="2387">
        <v>6309.5</v>
      </c>
      <c r="M26" s="2387">
        <v>1232</v>
      </c>
      <c r="N26" s="2387">
        <v>2374.6499999999996</v>
      </c>
      <c r="O26" s="2387">
        <v>4417</v>
      </c>
      <c r="P26" s="2387">
        <v>0</v>
      </c>
      <c r="Q26" s="2387">
        <v>262.5</v>
      </c>
      <c r="R26" s="2387">
        <v>1227</v>
      </c>
      <c r="S26" s="2387">
        <v>783.5</v>
      </c>
      <c r="T26" s="2387">
        <v>73.5</v>
      </c>
      <c r="U26" s="2387">
        <v>0</v>
      </c>
      <c r="V26" s="2387">
        <v>4268.75</v>
      </c>
      <c r="W26" s="2396">
        <v>35356.050000000003</v>
      </c>
      <c r="X26" s="2387">
        <v>70</v>
      </c>
      <c r="Y26" s="2387">
        <v>1432</v>
      </c>
      <c r="Z26" s="2387">
        <v>1010</v>
      </c>
      <c r="AA26" s="2387">
        <v>5667</v>
      </c>
      <c r="AB26" s="2396">
        <v>8179</v>
      </c>
      <c r="AC26" s="2409">
        <v>1055.55</v>
      </c>
      <c r="AD26" s="2409">
        <v>42638.274000000005</v>
      </c>
      <c r="AE26" s="2409">
        <v>3013.52</v>
      </c>
      <c r="AF26" s="2387">
        <v>4390</v>
      </c>
      <c r="AG26" s="2409">
        <v>5442.7</v>
      </c>
      <c r="AH26" s="2409">
        <v>23898.9264</v>
      </c>
      <c r="AI26" s="2409">
        <v>6267.6180000000004</v>
      </c>
      <c r="AJ26" s="2409">
        <v>1319.02</v>
      </c>
      <c r="AK26" s="2409">
        <v>1523.4259999999999</v>
      </c>
      <c r="AL26" s="2409">
        <v>842.7650000000001</v>
      </c>
      <c r="AM26" s="2409">
        <v>1561.43</v>
      </c>
      <c r="AN26" s="2409">
        <v>152.5</v>
      </c>
      <c r="AO26" s="2409">
        <v>11108.07</v>
      </c>
      <c r="AP26" s="2409">
        <v>172.5</v>
      </c>
      <c r="AQ26" s="2409">
        <v>399</v>
      </c>
      <c r="AR26" s="2409">
        <v>151.69999999999999</v>
      </c>
      <c r="AS26" s="2409">
        <v>170</v>
      </c>
      <c r="AT26" s="2409">
        <v>77.06</v>
      </c>
      <c r="AU26" s="2409">
        <v>1694.77</v>
      </c>
      <c r="AV26" s="2409">
        <v>2140.5</v>
      </c>
      <c r="AW26" s="2409">
        <v>4472.9800000000005</v>
      </c>
      <c r="AX26" s="2409">
        <v>1011.8</v>
      </c>
      <c r="AY26" s="2409">
        <v>8174.32</v>
      </c>
      <c r="AZ26" s="2409">
        <v>831.22</v>
      </c>
      <c r="BA26" s="2409">
        <v>2125.02</v>
      </c>
      <c r="BB26" s="2409">
        <v>3056.2</v>
      </c>
      <c r="BC26" s="2409">
        <v>1082.9100000000001</v>
      </c>
      <c r="BD26" s="2409">
        <v>836.05000000000007</v>
      </c>
      <c r="BE26" s="2409">
        <v>8746.49</v>
      </c>
      <c r="BF26" s="2409">
        <v>0</v>
      </c>
      <c r="BG26" s="2396">
        <v>138356.31940000004</v>
      </c>
      <c r="BH26" s="2397">
        <v>181891.36940000003</v>
      </c>
      <c r="BJ26" s="2398">
        <v>5463.93</v>
      </c>
      <c r="BK26" s="2398">
        <v>27157.094999999998</v>
      </c>
      <c r="BL26" s="2398">
        <v>342.35</v>
      </c>
      <c r="BM26" s="2398">
        <v>1630.53</v>
      </c>
      <c r="BN26" s="2398">
        <v>4353.625</v>
      </c>
      <c r="BO26" s="2398">
        <v>72.17</v>
      </c>
      <c r="BP26" s="2396">
        <v>39019.699999999997</v>
      </c>
      <c r="BQ26" s="2398">
        <v>9852</v>
      </c>
      <c r="BR26" s="2398">
        <v>926.31</v>
      </c>
      <c r="BS26" s="2398">
        <v>486.51</v>
      </c>
      <c r="BT26" s="2398">
        <v>396.27499999999998</v>
      </c>
      <c r="BU26" s="2398">
        <v>364.20399999999995</v>
      </c>
      <c r="BV26" s="2398">
        <v>466.952</v>
      </c>
      <c r="BW26" s="2396">
        <v>12492.250999999998</v>
      </c>
      <c r="BX26" s="2399">
        <v>233403.32040000003</v>
      </c>
    </row>
    <row r="27" spans="1:76" ht="14.45" customHeight="1" x14ac:dyDescent="0.2">
      <c r="A27" s="2400" t="s">
        <v>375</v>
      </c>
      <c r="B27" s="2401">
        <v>0</v>
      </c>
      <c r="C27" s="2401">
        <v>980</v>
      </c>
      <c r="D27" s="2402">
        <v>254.8</v>
      </c>
      <c r="E27" s="2401">
        <v>557.5</v>
      </c>
      <c r="F27" s="2401">
        <v>65</v>
      </c>
      <c r="G27" s="2401">
        <v>427.6</v>
      </c>
      <c r="H27" s="2401">
        <v>31</v>
      </c>
      <c r="I27" s="2400">
        <v>497.5</v>
      </c>
      <c r="J27" s="2400">
        <v>266</v>
      </c>
      <c r="K27" s="2400">
        <v>1712</v>
      </c>
      <c r="L27" s="2400">
        <v>3000</v>
      </c>
      <c r="M27" s="2400">
        <v>908.2</v>
      </c>
      <c r="N27" s="2400">
        <v>1464</v>
      </c>
      <c r="O27" s="2400">
        <v>1148</v>
      </c>
      <c r="P27" s="2400">
        <v>0</v>
      </c>
      <c r="Q27" s="2400">
        <v>101</v>
      </c>
      <c r="R27" s="2400">
        <v>420</v>
      </c>
      <c r="S27" s="2400">
        <v>427</v>
      </c>
      <c r="T27" s="2400">
        <v>0</v>
      </c>
      <c r="U27" s="2400">
        <v>0</v>
      </c>
      <c r="V27" s="2400">
        <v>1488</v>
      </c>
      <c r="W27" s="2403">
        <v>13747.6</v>
      </c>
      <c r="X27" s="2400">
        <v>0</v>
      </c>
      <c r="Y27" s="2400">
        <v>60</v>
      </c>
      <c r="Z27" s="2400">
        <v>612</v>
      </c>
      <c r="AA27" s="2400">
        <v>336</v>
      </c>
      <c r="AB27" s="2403">
        <v>1008</v>
      </c>
      <c r="AC27" s="2404">
        <v>129.6</v>
      </c>
      <c r="AD27" s="2404">
        <v>12377.887999999999</v>
      </c>
      <c r="AE27" s="2404">
        <v>580</v>
      </c>
      <c r="AF27" s="2400">
        <v>580</v>
      </c>
      <c r="AG27" s="2404">
        <v>1827</v>
      </c>
      <c r="AH27" s="2404">
        <v>10164</v>
      </c>
      <c r="AI27" s="2404">
        <v>1882.71</v>
      </c>
      <c r="AJ27" s="2404">
        <v>148.19999999999999</v>
      </c>
      <c r="AK27" s="2404">
        <v>33</v>
      </c>
      <c r="AL27" s="2404">
        <v>222</v>
      </c>
      <c r="AM27" s="2404">
        <v>240</v>
      </c>
      <c r="AN27" s="2404">
        <v>48</v>
      </c>
      <c r="AO27" s="2404">
        <v>2430</v>
      </c>
      <c r="AP27" s="2404">
        <v>20</v>
      </c>
      <c r="AQ27" s="2404">
        <v>180</v>
      </c>
      <c r="AR27" s="2404">
        <v>0</v>
      </c>
      <c r="AS27" s="2404">
        <v>120</v>
      </c>
      <c r="AT27" s="2404">
        <v>45</v>
      </c>
      <c r="AU27" s="2404">
        <v>171.5</v>
      </c>
      <c r="AV27" s="2404">
        <v>896</v>
      </c>
      <c r="AW27" s="2404">
        <v>1940</v>
      </c>
      <c r="AX27" s="2404">
        <v>66</v>
      </c>
      <c r="AY27" s="2404">
        <v>360</v>
      </c>
      <c r="AZ27" s="2404">
        <v>33</v>
      </c>
      <c r="BA27" s="2404">
        <v>513</v>
      </c>
      <c r="BB27" s="2404">
        <v>1550</v>
      </c>
      <c r="BC27" s="2404">
        <v>245</v>
      </c>
      <c r="BD27" s="2404">
        <v>288</v>
      </c>
      <c r="BE27" s="2404">
        <v>319.5</v>
      </c>
      <c r="BF27" s="2404">
        <v>0</v>
      </c>
      <c r="BG27" s="2403">
        <v>37409.398000000001</v>
      </c>
      <c r="BH27" s="2405">
        <v>52164.998</v>
      </c>
      <c r="BJ27" s="2401">
        <v>4176</v>
      </c>
      <c r="BK27" s="2401">
        <v>4708.5</v>
      </c>
      <c r="BL27" s="2401">
        <v>342.35</v>
      </c>
      <c r="BM27" s="2401">
        <v>891</v>
      </c>
      <c r="BN27" s="2401">
        <v>1377.5</v>
      </c>
      <c r="BO27" s="2401">
        <v>36.799999999999997</v>
      </c>
      <c r="BP27" s="2406">
        <v>11532.15</v>
      </c>
      <c r="BQ27" s="2401">
        <v>5430</v>
      </c>
      <c r="BR27" s="2401">
        <v>535</v>
      </c>
      <c r="BS27" s="2401">
        <v>485</v>
      </c>
      <c r="BT27" s="2401">
        <v>380</v>
      </c>
      <c r="BU27" s="2401">
        <v>275</v>
      </c>
      <c r="BV27" s="2401">
        <v>464</v>
      </c>
      <c r="BW27" s="2406">
        <v>7569</v>
      </c>
      <c r="BX27" s="2407">
        <v>71266.148000000001</v>
      </c>
    </row>
    <row r="28" spans="1:76" ht="14.45" customHeight="1" x14ac:dyDescent="0.2">
      <c r="A28" s="2400" t="s">
        <v>376</v>
      </c>
      <c r="B28" s="2401">
        <v>0</v>
      </c>
      <c r="C28" s="2401">
        <v>0</v>
      </c>
      <c r="D28" s="2402">
        <v>32</v>
      </c>
      <c r="E28" s="2401">
        <v>846</v>
      </c>
      <c r="F28" s="2401">
        <v>24</v>
      </c>
      <c r="G28" s="2401">
        <v>24.299999999999997</v>
      </c>
      <c r="H28" s="2401">
        <v>20.7</v>
      </c>
      <c r="I28" s="2400">
        <v>40</v>
      </c>
      <c r="J28" s="2400">
        <v>76.5</v>
      </c>
      <c r="K28" s="2400">
        <v>0</v>
      </c>
      <c r="L28" s="2400">
        <v>266</v>
      </c>
      <c r="M28" s="2400">
        <v>39</v>
      </c>
      <c r="N28" s="2400">
        <v>37.5</v>
      </c>
      <c r="O28" s="2400">
        <v>594</v>
      </c>
      <c r="P28" s="2400">
        <v>0</v>
      </c>
      <c r="Q28" s="2400">
        <v>45</v>
      </c>
      <c r="R28" s="2400">
        <v>168</v>
      </c>
      <c r="S28" s="2400">
        <v>72</v>
      </c>
      <c r="T28" s="2400">
        <v>0</v>
      </c>
      <c r="U28" s="2400">
        <v>0</v>
      </c>
      <c r="V28" s="2400">
        <v>306</v>
      </c>
      <c r="W28" s="2403">
        <v>2591</v>
      </c>
      <c r="X28" s="2400">
        <v>0</v>
      </c>
      <c r="Y28" s="2400">
        <v>75</v>
      </c>
      <c r="Z28" s="2400">
        <v>48</v>
      </c>
      <c r="AA28" s="2400">
        <v>462</v>
      </c>
      <c r="AB28" s="2403">
        <v>585</v>
      </c>
      <c r="AC28" s="2404">
        <v>155.13100000000003</v>
      </c>
      <c r="AD28" s="2404">
        <v>1354.7560000000003</v>
      </c>
      <c r="AE28" s="2404">
        <v>135</v>
      </c>
      <c r="AF28" s="2400">
        <v>150</v>
      </c>
      <c r="AG28" s="2404">
        <v>684</v>
      </c>
      <c r="AH28" s="2404">
        <v>603.92640000000006</v>
      </c>
      <c r="AI28" s="2404">
        <v>252.75600000000003</v>
      </c>
      <c r="AJ28" s="2404">
        <v>0</v>
      </c>
      <c r="AK28" s="2404">
        <v>0</v>
      </c>
      <c r="AL28" s="2404">
        <v>156.82499999999999</v>
      </c>
      <c r="AM28" s="2404">
        <v>0</v>
      </c>
      <c r="AN28" s="2404">
        <v>0</v>
      </c>
      <c r="AO28" s="2404">
        <v>947.06999999999994</v>
      </c>
      <c r="AP28" s="2404">
        <v>0</v>
      </c>
      <c r="AQ28" s="2404">
        <v>0</v>
      </c>
      <c r="AR28" s="2404">
        <v>0</v>
      </c>
      <c r="AS28" s="2404">
        <v>0</v>
      </c>
      <c r="AT28" s="2404">
        <v>32.06</v>
      </c>
      <c r="AU28" s="2404">
        <v>62.37</v>
      </c>
      <c r="AV28" s="2404">
        <v>55.100000000000016</v>
      </c>
      <c r="AW28" s="2404">
        <v>146.88</v>
      </c>
      <c r="AX28" s="2404">
        <v>0</v>
      </c>
      <c r="AY28" s="2404">
        <v>377.1</v>
      </c>
      <c r="AZ28" s="2404">
        <v>24.72</v>
      </c>
      <c r="BA28" s="2404">
        <v>111.42000000000002</v>
      </c>
      <c r="BB28" s="2404">
        <v>619.19999999999993</v>
      </c>
      <c r="BC28" s="2404">
        <v>44.910000000000004</v>
      </c>
      <c r="BD28" s="2404">
        <v>35.699999999999996</v>
      </c>
      <c r="BE28" s="2404">
        <v>32.299999999999997</v>
      </c>
      <c r="BF28" s="2404">
        <v>0</v>
      </c>
      <c r="BG28" s="2403">
        <v>5981.2244000000019</v>
      </c>
      <c r="BH28" s="2405">
        <v>9157.2244000000028</v>
      </c>
      <c r="BJ28" s="2401">
        <v>0</v>
      </c>
      <c r="BK28" s="2401">
        <v>3345.2249999999999</v>
      </c>
      <c r="BL28" s="2401">
        <v>0</v>
      </c>
      <c r="BM28" s="2401">
        <v>106.92</v>
      </c>
      <c r="BN28" s="2401">
        <v>145</v>
      </c>
      <c r="BO28" s="2401">
        <v>2.25</v>
      </c>
      <c r="BP28" s="2406">
        <v>3599.395</v>
      </c>
      <c r="BQ28" s="2401">
        <v>210</v>
      </c>
      <c r="BR28" s="2401">
        <v>1.78</v>
      </c>
      <c r="BS28" s="2401">
        <v>0</v>
      </c>
      <c r="BT28" s="2401">
        <v>0</v>
      </c>
      <c r="BU28" s="2401">
        <v>0</v>
      </c>
      <c r="BV28" s="2401">
        <v>0</v>
      </c>
      <c r="BW28" s="2406">
        <v>211.78</v>
      </c>
      <c r="BX28" s="2407">
        <v>12968.399400000002</v>
      </c>
    </row>
    <row r="29" spans="1:76" ht="14.45" customHeight="1" x14ac:dyDescent="0.2">
      <c r="A29" s="2400" t="s">
        <v>377</v>
      </c>
      <c r="B29" s="2401">
        <v>0</v>
      </c>
      <c r="C29" s="2401">
        <v>650</v>
      </c>
      <c r="D29" s="2402">
        <v>0</v>
      </c>
      <c r="E29" s="2401">
        <v>192</v>
      </c>
      <c r="F29" s="2401">
        <v>0</v>
      </c>
      <c r="G29" s="2401">
        <v>0</v>
      </c>
      <c r="H29" s="2401">
        <v>0</v>
      </c>
      <c r="I29" s="2400">
        <v>0</v>
      </c>
      <c r="J29" s="2400">
        <v>14.25</v>
      </c>
      <c r="K29" s="2400">
        <v>0</v>
      </c>
      <c r="L29" s="2400">
        <v>348</v>
      </c>
      <c r="M29" s="2400">
        <v>8</v>
      </c>
      <c r="N29" s="2400">
        <v>0</v>
      </c>
      <c r="O29" s="2400">
        <v>168</v>
      </c>
      <c r="P29" s="2400">
        <v>0</v>
      </c>
      <c r="Q29" s="2400">
        <v>0</v>
      </c>
      <c r="R29" s="2400">
        <v>390</v>
      </c>
      <c r="S29" s="2400">
        <v>116</v>
      </c>
      <c r="T29" s="2400">
        <v>73.5</v>
      </c>
      <c r="U29" s="2400">
        <v>0</v>
      </c>
      <c r="V29" s="2400">
        <v>500</v>
      </c>
      <c r="W29" s="2403">
        <v>2459.75</v>
      </c>
      <c r="X29" s="2400">
        <v>0</v>
      </c>
      <c r="Y29" s="2400">
        <v>0</v>
      </c>
      <c r="Z29" s="2400">
        <v>0</v>
      </c>
      <c r="AA29" s="2400">
        <v>96</v>
      </c>
      <c r="AB29" s="2403">
        <v>96</v>
      </c>
      <c r="AC29" s="2404">
        <v>3.5999999999999996</v>
      </c>
      <c r="AD29" s="2404">
        <v>87.681999999999988</v>
      </c>
      <c r="AE29" s="2404">
        <v>184</v>
      </c>
      <c r="AF29" s="2400">
        <v>230</v>
      </c>
      <c r="AG29" s="2404">
        <v>950</v>
      </c>
      <c r="AH29" s="2404">
        <v>297.5</v>
      </c>
      <c r="AI29" s="2404">
        <v>70</v>
      </c>
      <c r="AJ29" s="2404">
        <v>112</v>
      </c>
      <c r="AK29" s="2404">
        <v>0</v>
      </c>
      <c r="AL29" s="2404">
        <v>196</v>
      </c>
      <c r="AM29" s="2404">
        <v>0</v>
      </c>
      <c r="AN29" s="2404">
        <v>0</v>
      </c>
      <c r="AO29" s="2404">
        <v>2238</v>
      </c>
      <c r="AP29" s="2404">
        <v>35</v>
      </c>
      <c r="AQ29" s="2404">
        <v>0</v>
      </c>
      <c r="AR29" s="2404">
        <v>0</v>
      </c>
      <c r="AS29" s="2404">
        <v>0</v>
      </c>
      <c r="AT29" s="2404">
        <v>0</v>
      </c>
      <c r="AU29" s="2404">
        <v>529</v>
      </c>
      <c r="AV29" s="2404">
        <v>30</v>
      </c>
      <c r="AW29" s="2404">
        <v>60</v>
      </c>
      <c r="AX29" s="2404">
        <v>288</v>
      </c>
      <c r="AY29" s="2404">
        <v>1275</v>
      </c>
      <c r="AZ29" s="2404">
        <v>15</v>
      </c>
      <c r="BA29" s="2404">
        <v>221</v>
      </c>
      <c r="BB29" s="2404">
        <v>540</v>
      </c>
      <c r="BC29" s="2404">
        <v>0</v>
      </c>
      <c r="BD29" s="2404">
        <v>0</v>
      </c>
      <c r="BE29" s="2404">
        <v>4305</v>
      </c>
      <c r="BF29" s="2404">
        <v>0</v>
      </c>
      <c r="BG29" s="2403">
        <v>11666.781999999999</v>
      </c>
      <c r="BH29" s="2405">
        <v>14222.531999999999</v>
      </c>
      <c r="BJ29" s="2401">
        <v>0</v>
      </c>
      <c r="BK29" s="2401">
        <v>2611.21</v>
      </c>
      <c r="BL29" s="2401">
        <v>0</v>
      </c>
      <c r="BM29" s="2401">
        <v>118.8</v>
      </c>
      <c r="BN29" s="2401">
        <v>94.25</v>
      </c>
      <c r="BO29" s="2401">
        <v>0.54</v>
      </c>
      <c r="BP29" s="2406">
        <v>2824.8</v>
      </c>
      <c r="BQ29" s="2401">
        <v>100</v>
      </c>
      <c r="BR29" s="2401">
        <v>31.8</v>
      </c>
      <c r="BS29" s="2401">
        <v>0</v>
      </c>
      <c r="BT29" s="2401">
        <v>0</v>
      </c>
      <c r="BU29" s="2401">
        <v>0</v>
      </c>
      <c r="BV29" s="2401">
        <v>0</v>
      </c>
      <c r="BW29" s="2406">
        <v>131.80000000000001</v>
      </c>
      <c r="BX29" s="2407">
        <v>17179.131999999998</v>
      </c>
    </row>
    <row r="30" spans="1:76" ht="14.45" customHeight="1" x14ac:dyDescent="0.2">
      <c r="A30" s="2400" t="s">
        <v>378</v>
      </c>
      <c r="B30" s="2401">
        <v>0</v>
      </c>
      <c r="C30" s="2401">
        <v>119.2</v>
      </c>
      <c r="D30" s="2402">
        <v>157.5</v>
      </c>
      <c r="E30" s="2401">
        <v>130</v>
      </c>
      <c r="F30" s="2401">
        <v>0</v>
      </c>
      <c r="G30" s="2401">
        <v>940</v>
      </c>
      <c r="H30" s="2401">
        <v>100</v>
      </c>
      <c r="I30" s="2400">
        <v>202</v>
      </c>
      <c r="J30" s="2400">
        <v>154</v>
      </c>
      <c r="K30" s="2400">
        <v>381.79999999999995</v>
      </c>
      <c r="L30" s="2400">
        <v>632.49999999999989</v>
      </c>
      <c r="M30" s="2400">
        <v>96.2</v>
      </c>
      <c r="N30" s="2400">
        <v>282.45000000000005</v>
      </c>
      <c r="O30" s="2400">
        <v>365</v>
      </c>
      <c r="P30" s="2400">
        <v>0</v>
      </c>
      <c r="Q30" s="2400">
        <v>52.5</v>
      </c>
      <c r="R30" s="2400">
        <v>99</v>
      </c>
      <c r="S30" s="2400">
        <v>108.5</v>
      </c>
      <c r="T30" s="2400">
        <v>0</v>
      </c>
      <c r="U30" s="2400">
        <v>0</v>
      </c>
      <c r="V30" s="2400">
        <v>582.75</v>
      </c>
      <c r="W30" s="2403">
        <v>4403.3999999999996</v>
      </c>
      <c r="X30" s="2400">
        <v>56</v>
      </c>
      <c r="Y30" s="2400">
        <v>154</v>
      </c>
      <c r="Z30" s="2400">
        <v>40</v>
      </c>
      <c r="AA30" s="2400">
        <v>2250</v>
      </c>
      <c r="AB30" s="2403">
        <v>2500</v>
      </c>
      <c r="AC30" s="2404">
        <v>328.96499999999992</v>
      </c>
      <c r="AD30" s="2404">
        <v>5609.463999999999</v>
      </c>
      <c r="AE30" s="2404">
        <v>575.52</v>
      </c>
      <c r="AF30" s="2400">
        <v>1090</v>
      </c>
      <c r="AG30" s="2404">
        <v>540</v>
      </c>
      <c r="AH30" s="2404">
        <v>6891.8</v>
      </c>
      <c r="AI30" s="2404">
        <v>816.19200000000012</v>
      </c>
      <c r="AJ30" s="2404">
        <v>332.59999999999997</v>
      </c>
      <c r="AK30" s="2404">
        <v>343.536</v>
      </c>
      <c r="AL30" s="2404">
        <v>126</v>
      </c>
      <c r="AM30" s="2404">
        <v>850</v>
      </c>
      <c r="AN30" s="2404">
        <v>0</v>
      </c>
      <c r="AO30" s="2404">
        <v>1665</v>
      </c>
      <c r="AP30" s="2404">
        <v>38.5</v>
      </c>
      <c r="AQ30" s="2404">
        <v>0</v>
      </c>
      <c r="AR30" s="2404">
        <v>43.2</v>
      </c>
      <c r="AS30" s="2404">
        <v>0</v>
      </c>
      <c r="AT30" s="2404">
        <v>0</v>
      </c>
      <c r="AU30" s="2404">
        <v>341</v>
      </c>
      <c r="AV30" s="2404">
        <v>449.9</v>
      </c>
      <c r="AW30" s="2404">
        <v>992</v>
      </c>
      <c r="AX30" s="2404">
        <v>473</v>
      </c>
      <c r="AY30" s="2404">
        <v>1002.6</v>
      </c>
      <c r="AZ30" s="2404">
        <v>140</v>
      </c>
      <c r="BA30" s="2404">
        <v>225</v>
      </c>
      <c r="BB30" s="2404">
        <v>80</v>
      </c>
      <c r="BC30" s="2404">
        <v>121.5</v>
      </c>
      <c r="BD30" s="2404">
        <v>192</v>
      </c>
      <c r="BE30" s="2404">
        <v>660</v>
      </c>
      <c r="BF30" s="2404">
        <v>0</v>
      </c>
      <c r="BG30" s="2403">
        <v>23927.777000000002</v>
      </c>
      <c r="BH30" s="2405">
        <v>30831.177000000003</v>
      </c>
      <c r="BJ30" s="2401">
        <v>0</v>
      </c>
      <c r="BK30" s="2401">
        <v>4155.8900000000003</v>
      </c>
      <c r="BL30" s="2401">
        <v>0</v>
      </c>
      <c r="BM30" s="2401">
        <v>148.5</v>
      </c>
      <c r="BN30" s="2401">
        <v>978.75</v>
      </c>
      <c r="BO30" s="2401">
        <v>12.6</v>
      </c>
      <c r="BP30" s="2406">
        <v>5295.7400000000007</v>
      </c>
      <c r="BQ30" s="2401">
        <v>3450</v>
      </c>
      <c r="BR30" s="2401">
        <v>244.8</v>
      </c>
      <c r="BS30" s="2401">
        <v>0</v>
      </c>
      <c r="BT30" s="2401">
        <v>0</v>
      </c>
      <c r="BU30" s="2401">
        <v>87.4</v>
      </c>
      <c r="BV30" s="2401">
        <v>0</v>
      </c>
      <c r="BW30" s="2406">
        <v>3782.2000000000003</v>
      </c>
      <c r="BX30" s="2407">
        <v>39909.117000000006</v>
      </c>
    </row>
    <row r="31" spans="1:76" ht="14.45" customHeight="1" x14ac:dyDescent="0.2">
      <c r="A31" s="2400" t="s">
        <v>379</v>
      </c>
      <c r="B31" s="2401">
        <v>0</v>
      </c>
      <c r="C31" s="2401">
        <v>0</v>
      </c>
      <c r="D31" s="2402">
        <v>55.5</v>
      </c>
      <c r="E31" s="2401">
        <v>528</v>
      </c>
      <c r="F31" s="2401">
        <v>0</v>
      </c>
      <c r="G31" s="2401">
        <v>91.5</v>
      </c>
      <c r="H31" s="2401">
        <v>45</v>
      </c>
      <c r="I31" s="2400">
        <v>149.5</v>
      </c>
      <c r="J31" s="2400">
        <v>104</v>
      </c>
      <c r="K31" s="2400">
        <v>495</v>
      </c>
      <c r="L31" s="2400">
        <v>1012.5</v>
      </c>
      <c r="M31" s="2400">
        <v>84</v>
      </c>
      <c r="N31" s="2400">
        <v>202</v>
      </c>
      <c r="O31" s="2400">
        <v>0</v>
      </c>
      <c r="P31" s="2400">
        <v>0</v>
      </c>
      <c r="Q31" s="2400">
        <v>0</v>
      </c>
      <c r="R31" s="2400">
        <v>0</v>
      </c>
      <c r="S31" s="2400">
        <v>0</v>
      </c>
      <c r="T31" s="2400">
        <v>0</v>
      </c>
      <c r="U31" s="2400">
        <v>0</v>
      </c>
      <c r="V31" s="2400">
        <v>162</v>
      </c>
      <c r="W31" s="2403">
        <v>2929</v>
      </c>
      <c r="X31" s="2400">
        <v>0</v>
      </c>
      <c r="Y31" s="2400">
        <v>336</v>
      </c>
      <c r="Z31" s="2400">
        <v>140</v>
      </c>
      <c r="AA31" s="2400">
        <v>741</v>
      </c>
      <c r="AB31" s="2403">
        <v>1217</v>
      </c>
      <c r="AC31" s="2404">
        <v>78.695999999999998</v>
      </c>
      <c r="AD31" s="2404">
        <v>5026.2809999999999</v>
      </c>
      <c r="AE31" s="2404">
        <v>250</v>
      </c>
      <c r="AF31" s="2400">
        <v>250</v>
      </c>
      <c r="AG31" s="2404">
        <v>360</v>
      </c>
      <c r="AH31" s="2404">
        <v>2054.5</v>
      </c>
      <c r="AI31" s="2404">
        <v>391.79999999999995</v>
      </c>
      <c r="AJ31" s="2404">
        <v>280</v>
      </c>
      <c r="AK31" s="2404">
        <v>232.00000000000003</v>
      </c>
      <c r="AL31" s="2404">
        <v>72</v>
      </c>
      <c r="AM31" s="2404">
        <v>174</v>
      </c>
      <c r="AN31" s="2404">
        <v>80.5</v>
      </c>
      <c r="AO31" s="2404">
        <v>690</v>
      </c>
      <c r="AP31" s="2404">
        <v>49</v>
      </c>
      <c r="AQ31" s="2404">
        <v>42</v>
      </c>
      <c r="AR31" s="2404">
        <v>49</v>
      </c>
      <c r="AS31" s="2404">
        <v>0</v>
      </c>
      <c r="AT31" s="2404">
        <v>0</v>
      </c>
      <c r="AU31" s="2404">
        <v>44</v>
      </c>
      <c r="AV31" s="2404">
        <v>276</v>
      </c>
      <c r="AW31" s="2404">
        <v>144</v>
      </c>
      <c r="AX31" s="2404">
        <v>77</v>
      </c>
      <c r="AY31" s="2404">
        <v>770</v>
      </c>
      <c r="AZ31" s="2404">
        <v>94.5</v>
      </c>
      <c r="BA31" s="2404">
        <v>196</v>
      </c>
      <c r="BB31" s="2404">
        <v>90</v>
      </c>
      <c r="BC31" s="2404">
        <v>76.5</v>
      </c>
      <c r="BD31" s="2404">
        <v>96</v>
      </c>
      <c r="BE31" s="2404">
        <v>238.5</v>
      </c>
      <c r="BF31" s="2404">
        <v>0</v>
      </c>
      <c r="BG31" s="2403">
        <v>12182.277</v>
      </c>
      <c r="BH31" s="2405">
        <v>16328.277</v>
      </c>
      <c r="BJ31" s="2401">
        <v>0</v>
      </c>
      <c r="BK31" s="2401">
        <v>2113.35</v>
      </c>
      <c r="BL31" s="2401">
        <v>0</v>
      </c>
      <c r="BM31" s="2401">
        <v>89.1</v>
      </c>
      <c r="BN31" s="2401">
        <v>217.5</v>
      </c>
      <c r="BO31" s="2401">
        <v>2.1</v>
      </c>
      <c r="BP31" s="2406">
        <v>2422.0499999999997</v>
      </c>
      <c r="BQ31" s="2401">
        <v>210</v>
      </c>
      <c r="BR31" s="2401">
        <v>101</v>
      </c>
      <c r="BS31" s="2401">
        <v>0.51</v>
      </c>
      <c r="BT31" s="2401">
        <v>5.7</v>
      </c>
      <c r="BU31" s="2401">
        <v>0.30399999999999999</v>
      </c>
      <c r="BV31" s="2401">
        <v>0</v>
      </c>
      <c r="BW31" s="2406">
        <v>317.51399999999995</v>
      </c>
      <c r="BX31" s="2407">
        <v>19067.841</v>
      </c>
    </row>
    <row r="32" spans="1:76" ht="14.45" customHeight="1" x14ac:dyDescent="0.2">
      <c r="A32" s="2400" t="s">
        <v>380</v>
      </c>
      <c r="B32" s="2401">
        <v>0</v>
      </c>
      <c r="C32" s="2401">
        <v>0</v>
      </c>
      <c r="D32" s="2402">
        <v>40</v>
      </c>
      <c r="E32" s="2401">
        <v>348</v>
      </c>
      <c r="F32" s="2401">
        <v>0</v>
      </c>
      <c r="G32" s="2401">
        <v>1166</v>
      </c>
      <c r="H32" s="2401">
        <v>16</v>
      </c>
      <c r="I32" s="2400">
        <v>75.5</v>
      </c>
      <c r="J32" s="2400">
        <v>196</v>
      </c>
      <c r="K32" s="2400">
        <v>190</v>
      </c>
      <c r="L32" s="2400">
        <v>729</v>
      </c>
      <c r="M32" s="2400">
        <v>15.5</v>
      </c>
      <c r="N32" s="2400">
        <v>97.4</v>
      </c>
      <c r="O32" s="2400">
        <v>672</v>
      </c>
      <c r="P32" s="2400">
        <v>0</v>
      </c>
      <c r="Q32" s="2400">
        <v>64</v>
      </c>
      <c r="R32" s="2400">
        <v>150</v>
      </c>
      <c r="S32" s="2400">
        <v>60</v>
      </c>
      <c r="T32" s="2400">
        <v>0</v>
      </c>
      <c r="U32" s="2400">
        <v>0</v>
      </c>
      <c r="V32" s="2400">
        <v>405</v>
      </c>
      <c r="W32" s="2403">
        <v>4224.3999999999996</v>
      </c>
      <c r="X32" s="2400">
        <v>14</v>
      </c>
      <c r="Y32" s="2400">
        <v>81</v>
      </c>
      <c r="Z32" s="2400">
        <v>170</v>
      </c>
      <c r="AA32" s="2400">
        <v>312</v>
      </c>
      <c r="AB32" s="2403">
        <v>577</v>
      </c>
      <c r="AC32" s="2404">
        <v>108.6525</v>
      </c>
      <c r="AD32" s="2404">
        <v>5370.847999999999</v>
      </c>
      <c r="AE32" s="2404">
        <v>455</v>
      </c>
      <c r="AF32" s="2400">
        <v>700</v>
      </c>
      <c r="AG32" s="2404">
        <v>117</v>
      </c>
      <c r="AH32" s="2404">
        <v>2535.3999999999996</v>
      </c>
      <c r="AI32" s="2404">
        <v>922.35</v>
      </c>
      <c r="AJ32" s="2404">
        <v>406.79999999999995</v>
      </c>
      <c r="AK32" s="2404">
        <v>60.189999999999984</v>
      </c>
      <c r="AL32" s="2404">
        <v>60</v>
      </c>
      <c r="AM32" s="2404">
        <v>42.5</v>
      </c>
      <c r="AN32" s="2404">
        <v>24</v>
      </c>
      <c r="AO32" s="2404">
        <v>1694</v>
      </c>
      <c r="AP32" s="2404">
        <v>30</v>
      </c>
      <c r="AQ32" s="2404">
        <v>168</v>
      </c>
      <c r="AR32" s="2404">
        <v>0</v>
      </c>
      <c r="AS32" s="2404">
        <v>50</v>
      </c>
      <c r="AT32" s="2404">
        <v>0</v>
      </c>
      <c r="AU32" s="2404">
        <v>153</v>
      </c>
      <c r="AV32" s="2404">
        <v>102</v>
      </c>
      <c r="AW32" s="2404">
        <v>240</v>
      </c>
      <c r="AX32" s="2404">
        <v>0</v>
      </c>
      <c r="AY32" s="2404">
        <v>144</v>
      </c>
      <c r="AZ32" s="2404">
        <v>98</v>
      </c>
      <c r="BA32" s="2404">
        <v>110</v>
      </c>
      <c r="BB32" s="2404">
        <v>72</v>
      </c>
      <c r="BC32" s="2404">
        <v>27</v>
      </c>
      <c r="BD32" s="2404">
        <v>73.5</v>
      </c>
      <c r="BE32" s="2404">
        <v>104</v>
      </c>
      <c r="BF32" s="2404">
        <v>0</v>
      </c>
      <c r="BG32" s="2403">
        <v>13868.2405</v>
      </c>
      <c r="BH32" s="2405">
        <v>18669.640500000001</v>
      </c>
      <c r="BJ32" s="2401">
        <v>0</v>
      </c>
      <c r="BK32" s="2401">
        <v>2470.3200000000002</v>
      </c>
      <c r="BL32" s="2401">
        <v>0</v>
      </c>
      <c r="BM32" s="2401">
        <v>106.92</v>
      </c>
      <c r="BN32" s="2401">
        <v>888.125</v>
      </c>
      <c r="BO32" s="2401">
        <v>7.2</v>
      </c>
      <c r="BP32" s="2406">
        <v>3472.5650000000001</v>
      </c>
      <c r="BQ32" s="2401">
        <v>150</v>
      </c>
      <c r="BR32" s="2401">
        <v>7.45</v>
      </c>
      <c r="BS32" s="2401">
        <v>0</v>
      </c>
      <c r="BT32" s="2401">
        <v>3.5750000000000002</v>
      </c>
      <c r="BU32" s="2401">
        <v>0</v>
      </c>
      <c r="BV32" s="2401">
        <v>0</v>
      </c>
      <c r="BW32" s="2406">
        <v>161.02499999999998</v>
      </c>
      <c r="BX32" s="2407">
        <v>22303.230500000001</v>
      </c>
    </row>
    <row r="33" spans="1:76" ht="14.45" customHeight="1" x14ac:dyDescent="0.2">
      <c r="A33" s="2400" t="s">
        <v>381</v>
      </c>
      <c r="B33" s="2401">
        <v>0</v>
      </c>
      <c r="C33" s="2401">
        <v>0</v>
      </c>
      <c r="D33" s="2402">
        <v>22.5</v>
      </c>
      <c r="E33" s="2401">
        <v>984</v>
      </c>
      <c r="F33" s="2401">
        <v>0</v>
      </c>
      <c r="G33" s="2401">
        <v>41.999999999999993</v>
      </c>
      <c r="H33" s="2401">
        <v>31</v>
      </c>
      <c r="I33" s="2400">
        <v>67.5</v>
      </c>
      <c r="J33" s="2400">
        <v>96</v>
      </c>
      <c r="K33" s="2400">
        <v>45</v>
      </c>
      <c r="L33" s="2400">
        <v>297.5</v>
      </c>
      <c r="M33" s="2400">
        <v>11.7</v>
      </c>
      <c r="N33" s="2400">
        <v>81.900000000000006</v>
      </c>
      <c r="O33" s="2400">
        <v>0</v>
      </c>
      <c r="P33" s="2400">
        <v>0</v>
      </c>
      <c r="Q33" s="2400">
        <v>0</v>
      </c>
      <c r="R33" s="2400">
        <v>0</v>
      </c>
      <c r="S33" s="2400">
        <v>0</v>
      </c>
      <c r="T33" s="2400">
        <v>0</v>
      </c>
      <c r="U33" s="2400">
        <v>0</v>
      </c>
      <c r="V33" s="2400">
        <v>195</v>
      </c>
      <c r="W33" s="2403">
        <v>1874.1000000000001</v>
      </c>
      <c r="X33" s="2400">
        <v>0</v>
      </c>
      <c r="Y33" s="2400">
        <v>96</v>
      </c>
      <c r="Z33" s="2400">
        <v>0</v>
      </c>
      <c r="AA33" s="2400">
        <v>630</v>
      </c>
      <c r="AB33" s="2403">
        <v>726</v>
      </c>
      <c r="AC33" s="2404">
        <v>63.050000000000004</v>
      </c>
      <c r="AD33" s="2404">
        <v>8984.8050000000003</v>
      </c>
      <c r="AE33" s="2404">
        <v>330</v>
      </c>
      <c r="AF33" s="2400">
        <v>550</v>
      </c>
      <c r="AG33" s="2404">
        <v>908</v>
      </c>
      <c r="AH33" s="2404">
        <v>880.5</v>
      </c>
      <c r="AI33" s="2404">
        <v>1200.71</v>
      </c>
      <c r="AJ33" s="2404">
        <v>0</v>
      </c>
      <c r="AK33" s="2404">
        <v>854.7</v>
      </c>
      <c r="AL33" s="2404">
        <v>0</v>
      </c>
      <c r="AM33" s="2404">
        <v>240.5</v>
      </c>
      <c r="AN33" s="2404">
        <v>0</v>
      </c>
      <c r="AO33" s="2404">
        <v>960</v>
      </c>
      <c r="AP33" s="2404">
        <v>0</v>
      </c>
      <c r="AQ33" s="2404">
        <v>0</v>
      </c>
      <c r="AR33" s="2404">
        <v>59.5</v>
      </c>
      <c r="AS33" s="2404">
        <v>0</v>
      </c>
      <c r="AT33" s="2404">
        <v>0</v>
      </c>
      <c r="AU33" s="2404">
        <v>340</v>
      </c>
      <c r="AV33" s="2404">
        <v>279</v>
      </c>
      <c r="AW33" s="2404">
        <v>927</v>
      </c>
      <c r="AX33" s="2404">
        <v>0</v>
      </c>
      <c r="AY33" s="2404">
        <v>3380</v>
      </c>
      <c r="AZ33" s="2404">
        <v>384</v>
      </c>
      <c r="BA33" s="2404">
        <v>715</v>
      </c>
      <c r="BB33" s="2404">
        <v>105</v>
      </c>
      <c r="BC33" s="2404">
        <v>190</v>
      </c>
      <c r="BD33" s="2404">
        <v>91</v>
      </c>
      <c r="BE33" s="2404">
        <v>82.5</v>
      </c>
      <c r="BF33" s="2404">
        <v>0</v>
      </c>
      <c r="BG33" s="2403">
        <v>21525.264999999999</v>
      </c>
      <c r="BH33" s="2405">
        <v>24125.364999999998</v>
      </c>
      <c r="BJ33" s="2401">
        <v>1287.9299999999998</v>
      </c>
      <c r="BK33" s="2401">
        <v>2496.6</v>
      </c>
      <c r="BL33" s="2401">
        <v>0</v>
      </c>
      <c r="BM33" s="2401">
        <v>80.19</v>
      </c>
      <c r="BN33" s="2401">
        <v>543.75</v>
      </c>
      <c r="BO33" s="2401">
        <v>5.58</v>
      </c>
      <c r="BP33" s="2406">
        <v>4414.0499999999993</v>
      </c>
      <c r="BQ33" s="2401">
        <v>122</v>
      </c>
      <c r="BR33" s="2401">
        <v>0</v>
      </c>
      <c r="BS33" s="2401">
        <v>1</v>
      </c>
      <c r="BT33" s="2401">
        <v>7</v>
      </c>
      <c r="BU33" s="2401">
        <v>0</v>
      </c>
      <c r="BV33" s="2401">
        <v>2.952</v>
      </c>
      <c r="BW33" s="2406">
        <v>132.952</v>
      </c>
      <c r="BX33" s="2407">
        <v>28672.366999999998</v>
      </c>
    </row>
    <row r="34" spans="1:76" ht="14.45" customHeight="1" x14ac:dyDescent="0.2">
      <c r="A34" s="2400" t="s">
        <v>382</v>
      </c>
      <c r="B34" s="2401">
        <v>0</v>
      </c>
      <c r="C34" s="2401">
        <v>0</v>
      </c>
      <c r="D34" s="2402">
        <v>78</v>
      </c>
      <c r="E34" s="2401">
        <v>308</v>
      </c>
      <c r="F34" s="2401">
        <v>0</v>
      </c>
      <c r="G34" s="2401">
        <v>96</v>
      </c>
      <c r="H34" s="2401">
        <v>21</v>
      </c>
      <c r="I34" s="2400">
        <v>112</v>
      </c>
      <c r="J34" s="2400">
        <v>32</v>
      </c>
      <c r="K34" s="2400">
        <v>77</v>
      </c>
      <c r="L34" s="2400">
        <v>24</v>
      </c>
      <c r="M34" s="2400">
        <v>69.400000000000006</v>
      </c>
      <c r="N34" s="2400">
        <v>209.4</v>
      </c>
      <c r="O34" s="2400">
        <v>1470</v>
      </c>
      <c r="P34" s="2400">
        <v>0</v>
      </c>
      <c r="Q34" s="2400">
        <v>0</v>
      </c>
      <c r="R34" s="2400">
        <v>0</v>
      </c>
      <c r="S34" s="2400">
        <v>0</v>
      </c>
      <c r="T34" s="2400">
        <v>0</v>
      </c>
      <c r="U34" s="2400">
        <v>0</v>
      </c>
      <c r="V34" s="2400">
        <v>630</v>
      </c>
      <c r="W34" s="2403">
        <v>3126.8</v>
      </c>
      <c r="X34" s="2400">
        <v>0</v>
      </c>
      <c r="Y34" s="2400">
        <v>630</v>
      </c>
      <c r="Z34" s="2400">
        <v>0</v>
      </c>
      <c r="AA34" s="2400">
        <v>840</v>
      </c>
      <c r="AB34" s="2403">
        <v>1470</v>
      </c>
      <c r="AC34" s="2404">
        <v>187.85550000000001</v>
      </c>
      <c r="AD34" s="2404">
        <v>3826.5499999999997</v>
      </c>
      <c r="AE34" s="2404">
        <v>504</v>
      </c>
      <c r="AF34" s="2400">
        <v>840</v>
      </c>
      <c r="AG34" s="2404">
        <v>56.700000000000017</v>
      </c>
      <c r="AH34" s="2404">
        <v>471.29999999999995</v>
      </c>
      <c r="AI34" s="2404">
        <v>731.1</v>
      </c>
      <c r="AJ34" s="2404">
        <v>39.42</v>
      </c>
      <c r="AK34" s="2404">
        <v>0</v>
      </c>
      <c r="AL34" s="2404">
        <v>9.9400000000000119</v>
      </c>
      <c r="AM34" s="2404">
        <v>14.429999999999996</v>
      </c>
      <c r="AN34" s="2404">
        <v>0</v>
      </c>
      <c r="AO34" s="2404">
        <v>484.00000000000006</v>
      </c>
      <c r="AP34" s="2404">
        <v>0</v>
      </c>
      <c r="AQ34" s="2404">
        <v>9.0000000000000036</v>
      </c>
      <c r="AR34" s="2404">
        <v>0</v>
      </c>
      <c r="AS34" s="2404">
        <v>0</v>
      </c>
      <c r="AT34" s="2404">
        <v>0</v>
      </c>
      <c r="AU34" s="2404">
        <v>53.899999999999984</v>
      </c>
      <c r="AV34" s="2404">
        <v>52.5</v>
      </c>
      <c r="AW34" s="2404">
        <v>23.100000000000009</v>
      </c>
      <c r="AX34" s="2404">
        <v>107.79999999999997</v>
      </c>
      <c r="AY34" s="2404">
        <v>865.62</v>
      </c>
      <c r="AZ34" s="2404">
        <v>42</v>
      </c>
      <c r="BA34" s="2404">
        <v>33.600000000000023</v>
      </c>
      <c r="BB34" s="2404">
        <v>0</v>
      </c>
      <c r="BC34" s="2404">
        <v>378</v>
      </c>
      <c r="BD34" s="2404">
        <v>59.850000000000009</v>
      </c>
      <c r="BE34" s="2404">
        <v>3004.69</v>
      </c>
      <c r="BF34" s="2404">
        <v>0</v>
      </c>
      <c r="BG34" s="2403">
        <v>11795.355500000001</v>
      </c>
      <c r="BH34" s="2405">
        <v>16392.155500000001</v>
      </c>
      <c r="BJ34" s="2401">
        <v>0</v>
      </c>
      <c r="BK34" s="2401">
        <v>5256</v>
      </c>
      <c r="BL34" s="2401">
        <v>0</v>
      </c>
      <c r="BM34" s="2401">
        <v>89.1</v>
      </c>
      <c r="BN34" s="2401">
        <v>108.75</v>
      </c>
      <c r="BO34" s="2401">
        <v>5.0999999999999996</v>
      </c>
      <c r="BP34" s="2406">
        <v>5458.9500000000007</v>
      </c>
      <c r="BQ34" s="2401">
        <v>180</v>
      </c>
      <c r="BR34" s="2401">
        <v>4.4800000000000004</v>
      </c>
      <c r="BS34" s="2401">
        <v>0</v>
      </c>
      <c r="BT34" s="2401">
        <v>0</v>
      </c>
      <c r="BU34" s="2401">
        <v>1.5</v>
      </c>
      <c r="BV34" s="2401">
        <v>0</v>
      </c>
      <c r="BW34" s="2406">
        <v>185.98</v>
      </c>
      <c r="BX34" s="2407">
        <v>22037.085500000001</v>
      </c>
    </row>
    <row r="35" spans="1:76" ht="14.45" customHeight="1" x14ac:dyDescent="0.2">
      <c r="A35" s="2394" t="s">
        <v>383</v>
      </c>
      <c r="B35" s="2395">
        <v>0</v>
      </c>
      <c r="C35" s="2395">
        <v>0</v>
      </c>
      <c r="D35" s="2408">
        <v>1320.6399999999999</v>
      </c>
      <c r="E35" s="2395">
        <v>1158</v>
      </c>
      <c r="F35" s="2395">
        <v>135.5</v>
      </c>
      <c r="G35" s="2395">
        <v>3832.1000000000004</v>
      </c>
      <c r="H35" s="2395">
        <v>689.5</v>
      </c>
      <c r="I35" s="2387">
        <v>894</v>
      </c>
      <c r="J35" s="2387">
        <v>1021.2</v>
      </c>
      <c r="K35" s="2387">
        <v>4541.1000000000004</v>
      </c>
      <c r="L35" s="2387">
        <v>8642</v>
      </c>
      <c r="M35" s="2387">
        <v>1369.8000000000002</v>
      </c>
      <c r="N35" s="2387">
        <v>2354.35</v>
      </c>
      <c r="O35" s="2387">
        <v>40</v>
      </c>
      <c r="P35" s="2387">
        <v>61.5</v>
      </c>
      <c r="Q35" s="2387">
        <v>1079</v>
      </c>
      <c r="R35" s="2387">
        <v>834.5</v>
      </c>
      <c r="S35" s="2387">
        <v>0</v>
      </c>
      <c r="T35" s="2387">
        <v>0</v>
      </c>
      <c r="U35" s="2387">
        <v>0</v>
      </c>
      <c r="V35" s="2387">
        <v>9947</v>
      </c>
      <c r="W35" s="2396">
        <v>37920.19</v>
      </c>
      <c r="X35" s="2387">
        <v>55</v>
      </c>
      <c r="Y35" s="2387">
        <v>3105</v>
      </c>
      <c r="Z35" s="2387">
        <v>1781</v>
      </c>
      <c r="AA35" s="2387">
        <v>17867</v>
      </c>
      <c r="AB35" s="2396">
        <v>22808</v>
      </c>
      <c r="AC35" s="2409">
        <v>305.92619999999999</v>
      </c>
      <c r="AD35" s="2409">
        <v>71451.081000000006</v>
      </c>
      <c r="AE35" s="2409">
        <v>43070</v>
      </c>
      <c r="AF35" s="2387">
        <v>43170</v>
      </c>
      <c r="AG35" s="2409">
        <v>1788.5</v>
      </c>
      <c r="AH35" s="2409">
        <v>30235.25</v>
      </c>
      <c r="AI35" s="2409">
        <v>10737.295</v>
      </c>
      <c r="AJ35" s="2409">
        <v>22160.98</v>
      </c>
      <c r="AK35" s="2409">
        <v>518.96</v>
      </c>
      <c r="AL35" s="2409">
        <v>0</v>
      </c>
      <c r="AM35" s="2409">
        <v>6698.95</v>
      </c>
      <c r="AN35" s="2409">
        <v>100</v>
      </c>
      <c r="AO35" s="2409">
        <v>2541.5</v>
      </c>
      <c r="AP35" s="2409">
        <v>40</v>
      </c>
      <c r="AQ35" s="2409">
        <v>73</v>
      </c>
      <c r="AR35" s="2409">
        <v>185</v>
      </c>
      <c r="AS35" s="2409">
        <v>495.99999999999994</v>
      </c>
      <c r="AT35" s="2409">
        <v>9</v>
      </c>
      <c r="AU35" s="2409">
        <v>616.70000000000005</v>
      </c>
      <c r="AV35" s="2409">
        <v>1139.5</v>
      </c>
      <c r="AW35" s="2409">
        <v>3802.9</v>
      </c>
      <c r="AX35" s="2409">
        <v>432</v>
      </c>
      <c r="AY35" s="2409">
        <v>560</v>
      </c>
      <c r="AZ35" s="2409">
        <v>3481.7799999999997</v>
      </c>
      <c r="BA35" s="2409">
        <v>567</v>
      </c>
      <c r="BB35" s="2409">
        <v>331.79999999999995</v>
      </c>
      <c r="BC35" s="2409">
        <v>7202.5</v>
      </c>
      <c r="BD35" s="2409">
        <v>1473</v>
      </c>
      <c r="BE35" s="2409">
        <v>540.5</v>
      </c>
      <c r="BF35" s="2409">
        <v>0</v>
      </c>
      <c r="BG35" s="2396">
        <v>253729.12220000001</v>
      </c>
      <c r="BH35" s="2397">
        <v>314457.31219999999</v>
      </c>
      <c r="BJ35" s="2398">
        <v>8658.64</v>
      </c>
      <c r="BK35" s="2398">
        <v>20720.684999999998</v>
      </c>
      <c r="BL35" s="2398">
        <v>208.10000000000002</v>
      </c>
      <c r="BM35" s="2398">
        <v>4856.5308000000005</v>
      </c>
      <c r="BN35" s="2398">
        <v>2501.25</v>
      </c>
      <c r="BO35" s="2398">
        <v>194.35</v>
      </c>
      <c r="BP35" s="2396">
        <v>37139.555800000002</v>
      </c>
      <c r="BQ35" s="2398">
        <v>1467.8000000000002</v>
      </c>
      <c r="BR35" s="2398">
        <v>201.982</v>
      </c>
      <c r="BS35" s="2398">
        <v>7.16</v>
      </c>
      <c r="BT35" s="2398">
        <v>468.9</v>
      </c>
      <c r="BU35" s="2398">
        <v>5.4718999999999998</v>
      </c>
      <c r="BV35" s="2398">
        <v>2.6179999999999999</v>
      </c>
      <c r="BW35" s="2396">
        <v>2153.9319</v>
      </c>
      <c r="BX35" s="2399">
        <v>353750.79990000004</v>
      </c>
    </row>
    <row r="36" spans="1:76" ht="14.45" customHeight="1" x14ac:dyDescent="0.2">
      <c r="A36" s="2400" t="s">
        <v>384</v>
      </c>
      <c r="B36" s="2401">
        <v>0</v>
      </c>
      <c r="C36" s="2401">
        <v>0</v>
      </c>
      <c r="D36" s="2402">
        <v>678.5</v>
      </c>
      <c r="E36" s="2401">
        <v>414</v>
      </c>
      <c r="F36" s="2401">
        <v>21.5</v>
      </c>
      <c r="G36" s="2401">
        <v>1581</v>
      </c>
      <c r="H36" s="2401">
        <v>303.89999999999998</v>
      </c>
      <c r="I36" s="2400">
        <v>453</v>
      </c>
      <c r="J36" s="2400">
        <v>241</v>
      </c>
      <c r="K36" s="2400">
        <v>2242.1999999999998</v>
      </c>
      <c r="L36" s="2400">
        <v>3382</v>
      </c>
      <c r="M36" s="2400">
        <v>687.4</v>
      </c>
      <c r="N36" s="2400">
        <v>1001</v>
      </c>
      <c r="O36" s="2400">
        <v>0</v>
      </c>
      <c r="P36" s="2400">
        <v>0</v>
      </c>
      <c r="Q36" s="2400">
        <v>528</v>
      </c>
      <c r="R36" s="2400">
        <v>551.5</v>
      </c>
      <c r="S36" s="2400">
        <v>0</v>
      </c>
      <c r="T36" s="2400">
        <v>0</v>
      </c>
      <c r="U36" s="2400">
        <v>0</v>
      </c>
      <c r="V36" s="2400">
        <v>3930</v>
      </c>
      <c r="W36" s="2403">
        <v>16015</v>
      </c>
      <c r="X36" s="2400">
        <v>0</v>
      </c>
      <c r="Y36" s="2400">
        <v>385</v>
      </c>
      <c r="Z36" s="2400">
        <v>325</v>
      </c>
      <c r="AA36" s="2400">
        <v>3255</v>
      </c>
      <c r="AB36" s="2403">
        <v>3965</v>
      </c>
      <c r="AC36" s="2404">
        <v>39.376200000000004</v>
      </c>
      <c r="AD36" s="2404">
        <v>23549.520000000004</v>
      </c>
      <c r="AE36" s="2404">
        <v>768</v>
      </c>
      <c r="AF36" s="2400">
        <v>960</v>
      </c>
      <c r="AG36" s="2404">
        <v>810</v>
      </c>
      <c r="AH36" s="2404">
        <v>8373.75</v>
      </c>
      <c r="AI36" s="2404">
        <v>1495</v>
      </c>
      <c r="AJ36" s="2404">
        <v>4098</v>
      </c>
      <c r="AK36" s="2404">
        <v>201.95999999999998</v>
      </c>
      <c r="AL36" s="2404">
        <v>0</v>
      </c>
      <c r="AM36" s="2404">
        <v>1114.7</v>
      </c>
      <c r="AN36" s="2404">
        <v>30</v>
      </c>
      <c r="AO36" s="2404">
        <v>892</v>
      </c>
      <c r="AP36" s="2404">
        <v>0</v>
      </c>
      <c r="AQ36" s="2404">
        <v>0</v>
      </c>
      <c r="AR36" s="2404">
        <v>0</v>
      </c>
      <c r="AS36" s="2404">
        <v>345.59999999999997</v>
      </c>
      <c r="AT36" s="2404">
        <v>0</v>
      </c>
      <c r="AU36" s="2404">
        <v>262.89999999999998</v>
      </c>
      <c r="AV36" s="2404">
        <v>57.000000000000014</v>
      </c>
      <c r="AW36" s="2404">
        <v>1682.4</v>
      </c>
      <c r="AX36" s="2404">
        <v>0</v>
      </c>
      <c r="AY36" s="2404">
        <v>72</v>
      </c>
      <c r="AZ36" s="2404">
        <v>444.78</v>
      </c>
      <c r="BA36" s="2404">
        <v>300</v>
      </c>
      <c r="BB36" s="2404">
        <v>0</v>
      </c>
      <c r="BC36" s="2404">
        <v>425</v>
      </c>
      <c r="BD36" s="2404">
        <v>531</v>
      </c>
      <c r="BE36" s="2404">
        <v>90</v>
      </c>
      <c r="BF36" s="2404">
        <v>0</v>
      </c>
      <c r="BG36" s="2403">
        <v>46542.986199999999</v>
      </c>
      <c r="BH36" s="2405">
        <v>66522.986199999999</v>
      </c>
      <c r="BJ36" s="2401">
        <v>6746.12</v>
      </c>
      <c r="BK36" s="2401">
        <v>9344</v>
      </c>
      <c r="BL36" s="2401">
        <v>208.10000000000002</v>
      </c>
      <c r="BM36" s="2401">
        <v>4529.25</v>
      </c>
      <c r="BN36" s="2401">
        <v>951.5625</v>
      </c>
      <c r="BO36" s="2401">
        <v>100</v>
      </c>
      <c r="BP36" s="2406">
        <v>21879.032500000001</v>
      </c>
      <c r="BQ36" s="2401">
        <v>850</v>
      </c>
      <c r="BR36" s="2401">
        <v>50.2</v>
      </c>
      <c r="BS36" s="2401">
        <v>3.62</v>
      </c>
      <c r="BT36" s="2401">
        <v>130</v>
      </c>
      <c r="BU36" s="2401">
        <v>0.252</v>
      </c>
      <c r="BV36" s="2401">
        <v>2.415</v>
      </c>
      <c r="BW36" s="2406">
        <v>1036.4870000000001</v>
      </c>
      <c r="BX36" s="2407">
        <v>89438.505700000009</v>
      </c>
    </row>
    <row r="37" spans="1:76" ht="14.45" customHeight="1" x14ac:dyDescent="0.2">
      <c r="A37" s="2400" t="s">
        <v>385</v>
      </c>
      <c r="B37" s="2401">
        <v>0</v>
      </c>
      <c r="C37" s="2401">
        <v>0</v>
      </c>
      <c r="D37" s="2402">
        <v>39</v>
      </c>
      <c r="E37" s="2401">
        <v>36</v>
      </c>
      <c r="F37" s="2401">
        <v>18</v>
      </c>
      <c r="G37" s="2401">
        <v>183.79999999999998</v>
      </c>
      <c r="H37" s="2401">
        <v>40</v>
      </c>
      <c r="I37" s="2400">
        <v>9</v>
      </c>
      <c r="J37" s="2400">
        <v>154</v>
      </c>
      <c r="K37" s="2400">
        <v>138.60000000000002</v>
      </c>
      <c r="L37" s="2400">
        <v>971</v>
      </c>
      <c r="M37" s="2400">
        <v>72</v>
      </c>
      <c r="N37" s="2400">
        <v>270</v>
      </c>
      <c r="O37" s="2400">
        <v>0</v>
      </c>
      <c r="P37" s="2400">
        <v>0</v>
      </c>
      <c r="Q37" s="2400">
        <v>6</v>
      </c>
      <c r="R37" s="2400">
        <v>54</v>
      </c>
      <c r="S37" s="2400">
        <v>0</v>
      </c>
      <c r="T37" s="2400">
        <v>0</v>
      </c>
      <c r="U37" s="2400">
        <v>0</v>
      </c>
      <c r="V37" s="2400">
        <v>1260</v>
      </c>
      <c r="W37" s="2403">
        <v>3251.4</v>
      </c>
      <c r="X37" s="2400">
        <v>0</v>
      </c>
      <c r="Y37" s="2400">
        <v>990</v>
      </c>
      <c r="Z37" s="2400">
        <v>440</v>
      </c>
      <c r="AA37" s="2400">
        <v>5200</v>
      </c>
      <c r="AB37" s="2403">
        <v>6630</v>
      </c>
      <c r="AC37" s="2404">
        <v>6.3</v>
      </c>
      <c r="AD37" s="2404">
        <v>17297.91</v>
      </c>
      <c r="AE37" s="2404">
        <v>630</v>
      </c>
      <c r="AF37" s="2400">
        <v>1260</v>
      </c>
      <c r="AG37" s="2404">
        <v>259</v>
      </c>
      <c r="AH37" s="2404">
        <v>10520</v>
      </c>
      <c r="AI37" s="2404">
        <v>190</v>
      </c>
      <c r="AJ37" s="2404">
        <v>910</v>
      </c>
      <c r="AK37" s="2404">
        <v>60</v>
      </c>
      <c r="AL37" s="2404">
        <v>0</v>
      </c>
      <c r="AM37" s="2404">
        <v>160</v>
      </c>
      <c r="AN37" s="2404">
        <v>0</v>
      </c>
      <c r="AO37" s="2404">
        <v>210</v>
      </c>
      <c r="AP37" s="2404">
        <v>0</v>
      </c>
      <c r="AQ37" s="2404">
        <v>18</v>
      </c>
      <c r="AR37" s="2404">
        <v>0</v>
      </c>
      <c r="AS37" s="2404">
        <v>48</v>
      </c>
      <c r="AT37" s="2404">
        <v>0</v>
      </c>
      <c r="AU37" s="2404">
        <v>63</v>
      </c>
      <c r="AV37" s="2404">
        <v>160</v>
      </c>
      <c r="AW37" s="2404">
        <v>213</v>
      </c>
      <c r="AX37" s="2404">
        <v>0</v>
      </c>
      <c r="AY37" s="2404">
        <v>55</v>
      </c>
      <c r="AZ37" s="2404">
        <v>115</v>
      </c>
      <c r="BA37" s="2404">
        <v>40</v>
      </c>
      <c r="BB37" s="2404">
        <v>42</v>
      </c>
      <c r="BC37" s="2404">
        <v>550</v>
      </c>
      <c r="BD37" s="2404">
        <v>60</v>
      </c>
      <c r="BE37" s="2404">
        <v>60</v>
      </c>
      <c r="BF37" s="2404">
        <v>0</v>
      </c>
      <c r="BG37" s="2403">
        <v>32927.21</v>
      </c>
      <c r="BH37" s="2405">
        <v>42808.61</v>
      </c>
      <c r="BJ37" s="2401">
        <v>0</v>
      </c>
      <c r="BK37" s="2401">
        <v>803</v>
      </c>
      <c r="BL37" s="2401">
        <v>0</v>
      </c>
      <c r="BM37" s="2401">
        <v>6.0720000000000001</v>
      </c>
      <c r="BN37" s="2401">
        <v>362.5</v>
      </c>
      <c r="BO37" s="2401">
        <v>4.5</v>
      </c>
      <c r="BP37" s="2406">
        <v>1176.0720000000001</v>
      </c>
      <c r="BQ37" s="2401">
        <v>111.15</v>
      </c>
      <c r="BR37" s="2401">
        <v>55.08</v>
      </c>
      <c r="BS37" s="2401">
        <v>1.22</v>
      </c>
      <c r="BT37" s="2401">
        <v>5</v>
      </c>
      <c r="BU37" s="2401">
        <v>5</v>
      </c>
      <c r="BV37" s="2401">
        <v>0</v>
      </c>
      <c r="BW37" s="2406">
        <v>177.45000000000002</v>
      </c>
      <c r="BX37" s="2407">
        <v>44162.131999999998</v>
      </c>
    </row>
    <row r="38" spans="1:76" ht="14.45" customHeight="1" x14ac:dyDescent="0.2">
      <c r="A38" s="2400" t="s">
        <v>386</v>
      </c>
      <c r="B38" s="2401">
        <v>0</v>
      </c>
      <c r="C38" s="2401">
        <v>0</v>
      </c>
      <c r="D38" s="2402">
        <v>36.64</v>
      </c>
      <c r="E38" s="2401">
        <v>196</v>
      </c>
      <c r="F38" s="2401">
        <v>0</v>
      </c>
      <c r="G38" s="2401">
        <v>58.8</v>
      </c>
      <c r="H38" s="2401">
        <v>14.4</v>
      </c>
      <c r="I38" s="2400">
        <v>56</v>
      </c>
      <c r="J38" s="2400">
        <v>41.6</v>
      </c>
      <c r="K38" s="2400">
        <v>126</v>
      </c>
      <c r="L38" s="2400">
        <v>288</v>
      </c>
      <c r="M38" s="2400">
        <v>35.700000000000003</v>
      </c>
      <c r="N38" s="2400">
        <v>47.599999999999994</v>
      </c>
      <c r="O38" s="2400">
        <v>0</v>
      </c>
      <c r="P38" s="2400">
        <v>0</v>
      </c>
      <c r="Q38" s="2400">
        <v>0</v>
      </c>
      <c r="R38" s="2400">
        <v>0</v>
      </c>
      <c r="S38" s="2400">
        <v>0</v>
      </c>
      <c r="T38" s="2400">
        <v>0</v>
      </c>
      <c r="U38" s="2400">
        <v>0</v>
      </c>
      <c r="V38" s="2400">
        <v>135</v>
      </c>
      <c r="W38" s="2403">
        <v>1035.7400000000002</v>
      </c>
      <c r="X38" s="2400">
        <v>0</v>
      </c>
      <c r="Y38" s="2400">
        <v>133</v>
      </c>
      <c r="Z38" s="2400">
        <v>105</v>
      </c>
      <c r="AA38" s="2400">
        <v>350</v>
      </c>
      <c r="AB38" s="2403">
        <v>588</v>
      </c>
      <c r="AC38" s="2404">
        <v>98.35</v>
      </c>
      <c r="AD38" s="2404">
        <v>1382.836</v>
      </c>
      <c r="AE38" s="2404">
        <v>84</v>
      </c>
      <c r="AF38" s="2400">
        <v>120</v>
      </c>
      <c r="AG38" s="2404">
        <v>124</v>
      </c>
      <c r="AH38" s="2404">
        <v>574</v>
      </c>
      <c r="AI38" s="2404">
        <v>572</v>
      </c>
      <c r="AJ38" s="2404">
        <v>106.80000000000001</v>
      </c>
      <c r="AK38" s="2404">
        <v>60</v>
      </c>
      <c r="AL38" s="2404">
        <v>0</v>
      </c>
      <c r="AM38" s="2404">
        <v>24</v>
      </c>
      <c r="AN38" s="2404">
        <v>0</v>
      </c>
      <c r="AO38" s="2404">
        <v>104</v>
      </c>
      <c r="AP38" s="2404">
        <v>0</v>
      </c>
      <c r="AQ38" s="2404">
        <v>0</v>
      </c>
      <c r="AR38" s="2404">
        <v>0</v>
      </c>
      <c r="AS38" s="2404">
        <v>5</v>
      </c>
      <c r="AT38" s="2404">
        <v>0</v>
      </c>
      <c r="AU38" s="2404">
        <v>84</v>
      </c>
      <c r="AV38" s="2404">
        <v>32.5</v>
      </c>
      <c r="AW38" s="2404">
        <v>18</v>
      </c>
      <c r="AX38" s="2404">
        <v>375</v>
      </c>
      <c r="AY38" s="2404">
        <v>258</v>
      </c>
      <c r="AZ38" s="2404">
        <v>6</v>
      </c>
      <c r="BA38" s="2404">
        <v>80</v>
      </c>
      <c r="BB38" s="2404">
        <v>115.2</v>
      </c>
      <c r="BC38" s="2404">
        <v>0</v>
      </c>
      <c r="BD38" s="2404">
        <v>33</v>
      </c>
      <c r="BE38" s="2404">
        <v>144</v>
      </c>
      <c r="BF38" s="2404">
        <v>0</v>
      </c>
      <c r="BG38" s="2403">
        <v>4400.6859999999997</v>
      </c>
      <c r="BH38" s="2405">
        <v>6024.4259999999995</v>
      </c>
      <c r="BJ38" s="2401">
        <v>0</v>
      </c>
      <c r="BK38" s="2401">
        <v>1695.425</v>
      </c>
      <c r="BL38" s="2401">
        <v>0</v>
      </c>
      <c r="BM38" s="2401">
        <v>6.0720000000000001</v>
      </c>
      <c r="BN38" s="2401">
        <v>90.625</v>
      </c>
      <c r="BO38" s="2401">
        <v>0</v>
      </c>
      <c r="BP38" s="2406">
        <v>1792.1219999999998</v>
      </c>
      <c r="BQ38" s="2401">
        <v>90</v>
      </c>
      <c r="BR38" s="2401">
        <v>2.5139999999999998</v>
      </c>
      <c r="BS38" s="2401">
        <v>0.105</v>
      </c>
      <c r="BT38" s="2401">
        <v>1</v>
      </c>
      <c r="BU38" s="2401">
        <v>0.1389</v>
      </c>
      <c r="BV38" s="2401">
        <v>0</v>
      </c>
      <c r="BW38" s="2406">
        <v>93.757900000000006</v>
      </c>
      <c r="BX38" s="2407">
        <v>7910.3058999999994</v>
      </c>
    </row>
    <row r="39" spans="1:76" ht="14.45" customHeight="1" x14ac:dyDescent="0.2">
      <c r="A39" s="2400" t="s">
        <v>387</v>
      </c>
      <c r="B39" s="2401">
        <v>0</v>
      </c>
      <c r="C39" s="2401">
        <v>0</v>
      </c>
      <c r="D39" s="2402">
        <v>75</v>
      </c>
      <c r="E39" s="2401">
        <v>156</v>
      </c>
      <c r="F39" s="2401">
        <v>11</v>
      </c>
      <c r="G39" s="2401">
        <v>216</v>
      </c>
      <c r="H39" s="2401">
        <v>80</v>
      </c>
      <c r="I39" s="2400">
        <v>84</v>
      </c>
      <c r="J39" s="2400">
        <v>80</v>
      </c>
      <c r="K39" s="2400">
        <v>179.8</v>
      </c>
      <c r="L39" s="2400">
        <v>615</v>
      </c>
      <c r="M39" s="2400">
        <v>32</v>
      </c>
      <c r="N39" s="2400">
        <v>68</v>
      </c>
      <c r="O39" s="2400">
        <v>0</v>
      </c>
      <c r="P39" s="2400">
        <v>24.5</v>
      </c>
      <c r="Q39" s="2400">
        <v>93</v>
      </c>
      <c r="R39" s="2400">
        <v>40</v>
      </c>
      <c r="S39" s="2400">
        <v>0</v>
      </c>
      <c r="T39" s="2400">
        <v>0</v>
      </c>
      <c r="U39" s="2400">
        <v>0</v>
      </c>
      <c r="V39" s="2400">
        <v>1035</v>
      </c>
      <c r="W39" s="2403">
        <v>2789.3</v>
      </c>
      <c r="X39" s="2400">
        <v>22</v>
      </c>
      <c r="Y39" s="2400">
        <v>70</v>
      </c>
      <c r="Z39" s="2400">
        <v>345</v>
      </c>
      <c r="AA39" s="2400">
        <v>1600</v>
      </c>
      <c r="AB39" s="2403">
        <v>2037</v>
      </c>
      <c r="AC39" s="2404">
        <v>8.4</v>
      </c>
      <c r="AD39" s="2404">
        <v>5323.6950000000006</v>
      </c>
      <c r="AE39" s="2404">
        <v>17435</v>
      </c>
      <c r="AF39" s="2400">
        <v>15850</v>
      </c>
      <c r="AG39" s="2404">
        <v>208</v>
      </c>
      <c r="AH39" s="2404">
        <v>1518</v>
      </c>
      <c r="AI39" s="2404">
        <v>4744.3500000000004</v>
      </c>
      <c r="AJ39" s="2404">
        <v>12378.150000000001</v>
      </c>
      <c r="AK39" s="2404">
        <v>90</v>
      </c>
      <c r="AL39" s="2404">
        <v>0</v>
      </c>
      <c r="AM39" s="2404">
        <v>126</v>
      </c>
      <c r="AN39" s="2404">
        <v>0</v>
      </c>
      <c r="AO39" s="2404">
        <v>300</v>
      </c>
      <c r="AP39" s="2404">
        <v>40</v>
      </c>
      <c r="AQ39" s="2404">
        <v>0</v>
      </c>
      <c r="AR39" s="2404">
        <v>119</v>
      </c>
      <c r="AS39" s="2404">
        <v>16</v>
      </c>
      <c r="AT39" s="2404">
        <v>0</v>
      </c>
      <c r="AU39" s="2404">
        <v>28</v>
      </c>
      <c r="AV39" s="2404">
        <v>208</v>
      </c>
      <c r="AW39" s="2404">
        <v>372</v>
      </c>
      <c r="AX39" s="2404">
        <v>12</v>
      </c>
      <c r="AY39" s="2404">
        <v>0</v>
      </c>
      <c r="AZ39" s="2404">
        <v>954</v>
      </c>
      <c r="BA39" s="2404">
        <v>15</v>
      </c>
      <c r="BB39" s="2404">
        <v>48</v>
      </c>
      <c r="BC39" s="2404">
        <v>32</v>
      </c>
      <c r="BD39" s="2404">
        <v>119</v>
      </c>
      <c r="BE39" s="2404">
        <v>0</v>
      </c>
      <c r="BF39" s="2404">
        <v>0</v>
      </c>
      <c r="BG39" s="2403">
        <v>59944.595000000001</v>
      </c>
      <c r="BH39" s="2405">
        <v>64770.895000000004</v>
      </c>
      <c r="BJ39" s="2401">
        <v>1912.52</v>
      </c>
      <c r="BK39" s="2401">
        <v>1752</v>
      </c>
      <c r="BL39" s="2401">
        <v>0</v>
      </c>
      <c r="BM39" s="2401">
        <v>15.18</v>
      </c>
      <c r="BN39" s="2401">
        <v>362.5</v>
      </c>
      <c r="BO39" s="2401">
        <v>2.1</v>
      </c>
      <c r="BP39" s="2406">
        <v>4044.2999999999997</v>
      </c>
      <c r="BQ39" s="2401">
        <v>95.89</v>
      </c>
      <c r="BR39" s="2401">
        <v>0.53800000000000003</v>
      </c>
      <c r="BS39" s="2401">
        <v>1.2150000000000001</v>
      </c>
      <c r="BT39" s="2401">
        <v>1.2</v>
      </c>
      <c r="BU39" s="2401">
        <v>0</v>
      </c>
      <c r="BV39" s="2401">
        <v>0</v>
      </c>
      <c r="BW39" s="2406">
        <v>98.843000000000004</v>
      </c>
      <c r="BX39" s="2407">
        <v>68914.038</v>
      </c>
    </row>
    <row r="40" spans="1:76" ht="14.45" customHeight="1" x14ac:dyDescent="0.2">
      <c r="A40" s="2400" t="s">
        <v>388</v>
      </c>
      <c r="B40" s="2401">
        <v>0</v>
      </c>
      <c r="C40" s="2401">
        <v>0</v>
      </c>
      <c r="D40" s="2402">
        <v>25.5</v>
      </c>
      <c r="E40" s="2401">
        <v>70</v>
      </c>
      <c r="F40" s="2401">
        <v>0</v>
      </c>
      <c r="G40" s="2401">
        <v>41.7</v>
      </c>
      <c r="H40" s="2401">
        <v>3.8000000000000003</v>
      </c>
      <c r="I40" s="2400">
        <v>42</v>
      </c>
      <c r="J40" s="2400">
        <v>80</v>
      </c>
      <c r="K40" s="2400">
        <v>0</v>
      </c>
      <c r="L40" s="2400">
        <v>280</v>
      </c>
      <c r="M40" s="2400">
        <v>0</v>
      </c>
      <c r="N40" s="2400">
        <v>51</v>
      </c>
      <c r="O40" s="2400">
        <v>0</v>
      </c>
      <c r="P40" s="2400">
        <v>0</v>
      </c>
      <c r="Q40" s="2400">
        <v>0</v>
      </c>
      <c r="R40" s="2400">
        <v>120</v>
      </c>
      <c r="S40" s="2400">
        <v>0</v>
      </c>
      <c r="T40" s="2400">
        <v>0</v>
      </c>
      <c r="U40" s="2400">
        <v>0</v>
      </c>
      <c r="V40" s="2400">
        <v>702</v>
      </c>
      <c r="W40" s="2403">
        <v>1416</v>
      </c>
      <c r="X40" s="2400">
        <v>0</v>
      </c>
      <c r="Y40" s="2400">
        <v>276</v>
      </c>
      <c r="Z40" s="2400">
        <v>42</v>
      </c>
      <c r="AA40" s="2400">
        <v>868</v>
      </c>
      <c r="AB40" s="2403">
        <v>1186</v>
      </c>
      <c r="AC40" s="2404">
        <v>58.95</v>
      </c>
      <c r="AD40" s="2404">
        <v>3380.3900000000003</v>
      </c>
      <c r="AE40" s="2404">
        <v>370</v>
      </c>
      <c r="AF40" s="2400">
        <v>370</v>
      </c>
      <c r="AG40" s="2404">
        <v>62.5</v>
      </c>
      <c r="AH40" s="2404">
        <v>2042</v>
      </c>
      <c r="AI40" s="2404">
        <v>754.37999999999988</v>
      </c>
      <c r="AJ40" s="2404">
        <v>266.16000000000008</v>
      </c>
      <c r="AK40" s="2404">
        <v>60</v>
      </c>
      <c r="AL40" s="2404">
        <v>0</v>
      </c>
      <c r="AM40" s="2404">
        <v>42</v>
      </c>
      <c r="AN40" s="2404">
        <v>0</v>
      </c>
      <c r="AO40" s="2404">
        <v>170</v>
      </c>
      <c r="AP40" s="2404">
        <v>0</v>
      </c>
      <c r="AQ40" s="2404">
        <v>5</v>
      </c>
      <c r="AR40" s="2404">
        <v>0</v>
      </c>
      <c r="AS40" s="2404">
        <v>0</v>
      </c>
      <c r="AT40" s="2404">
        <v>0</v>
      </c>
      <c r="AU40" s="2404">
        <v>0</v>
      </c>
      <c r="AV40" s="2404">
        <v>24</v>
      </c>
      <c r="AW40" s="2404">
        <v>459</v>
      </c>
      <c r="AX40" s="2404">
        <v>6</v>
      </c>
      <c r="AY40" s="2404">
        <v>0</v>
      </c>
      <c r="AZ40" s="2404">
        <v>44</v>
      </c>
      <c r="BA40" s="2404">
        <v>0</v>
      </c>
      <c r="BB40" s="2404">
        <v>30</v>
      </c>
      <c r="BC40" s="2404">
        <v>65</v>
      </c>
      <c r="BD40" s="2404">
        <v>0</v>
      </c>
      <c r="BE40" s="2404">
        <v>36</v>
      </c>
      <c r="BF40" s="2404">
        <v>0</v>
      </c>
      <c r="BG40" s="2403">
        <v>8245.380000000001</v>
      </c>
      <c r="BH40" s="2405">
        <v>10847.380000000001</v>
      </c>
      <c r="BJ40" s="2401">
        <v>0</v>
      </c>
      <c r="BK40" s="2401">
        <v>332.15</v>
      </c>
      <c r="BL40" s="2401">
        <v>0</v>
      </c>
      <c r="BM40" s="2401">
        <v>12.144</v>
      </c>
      <c r="BN40" s="2401">
        <v>27.1875</v>
      </c>
      <c r="BO40" s="2401">
        <v>6.75</v>
      </c>
      <c r="BP40" s="2406">
        <v>378.23149999999998</v>
      </c>
      <c r="BQ40" s="2401">
        <v>45</v>
      </c>
      <c r="BR40" s="2401">
        <v>30.3</v>
      </c>
      <c r="BS40" s="2401">
        <v>0.43</v>
      </c>
      <c r="BT40" s="2401">
        <v>28</v>
      </c>
      <c r="BU40" s="2401">
        <v>0</v>
      </c>
      <c r="BV40" s="2401">
        <v>0</v>
      </c>
      <c r="BW40" s="2406">
        <v>103.73</v>
      </c>
      <c r="BX40" s="2407">
        <v>11329.3415</v>
      </c>
    </row>
    <row r="41" spans="1:76" ht="14.45" customHeight="1" x14ac:dyDescent="0.2">
      <c r="A41" s="2400" t="s">
        <v>389</v>
      </c>
      <c r="B41" s="2401">
        <v>0</v>
      </c>
      <c r="C41" s="2401">
        <v>0</v>
      </c>
      <c r="D41" s="2402">
        <v>61</v>
      </c>
      <c r="E41" s="2401">
        <v>0</v>
      </c>
      <c r="F41" s="2401">
        <v>77</v>
      </c>
      <c r="G41" s="2401">
        <v>200</v>
      </c>
      <c r="H41" s="2401">
        <v>85.6</v>
      </c>
      <c r="I41" s="2400">
        <v>0</v>
      </c>
      <c r="J41" s="2400">
        <v>130</v>
      </c>
      <c r="K41" s="2400">
        <v>38.5</v>
      </c>
      <c r="L41" s="2400">
        <v>80</v>
      </c>
      <c r="M41" s="2400">
        <v>100.5</v>
      </c>
      <c r="N41" s="2400">
        <v>270</v>
      </c>
      <c r="O41" s="2400">
        <v>0</v>
      </c>
      <c r="P41" s="2400">
        <v>0</v>
      </c>
      <c r="Q41" s="2400">
        <v>0</v>
      </c>
      <c r="R41" s="2400">
        <v>0</v>
      </c>
      <c r="S41" s="2400">
        <v>0</v>
      </c>
      <c r="T41" s="2400">
        <v>0</v>
      </c>
      <c r="U41" s="2400">
        <v>0</v>
      </c>
      <c r="V41" s="2400">
        <v>735</v>
      </c>
      <c r="W41" s="2403">
        <v>1777.6</v>
      </c>
      <c r="X41" s="2400">
        <v>0</v>
      </c>
      <c r="Y41" s="2400">
        <v>266</v>
      </c>
      <c r="Z41" s="2400">
        <v>300</v>
      </c>
      <c r="AA41" s="2400">
        <v>2144</v>
      </c>
      <c r="AB41" s="2403">
        <v>2710</v>
      </c>
      <c r="AC41" s="2404">
        <v>0</v>
      </c>
      <c r="AD41" s="2404">
        <v>5007.4179999999997</v>
      </c>
      <c r="AE41" s="2404">
        <v>440</v>
      </c>
      <c r="AF41" s="2400">
        <v>400</v>
      </c>
      <c r="AG41" s="2404">
        <v>153</v>
      </c>
      <c r="AH41" s="2404">
        <v>2786</v>
      </c>
      <c r="AI41" s="2404">
        <v>216.99999999999989</v>
      </c>
      <c r="AJ41" s="2404">
        <v>1103</v>
      </c>
      <c r="AK41" s="2404">
        <v>0</v>
      </c>
      <c r="AL41" s="2404">
        <v>0</v>
      </c>
      <c r="AM41" s="2404">
        <v>612</v>
      </c>
      <c r="AN41" s="2404">
        <v>0</v>
      </c>
      <c r="AO41" s="2404">
        <v>17.5</v>
      </c>
      <c r="AP41" s="2404">
        <v>0</v>
      </c>
      <c r="AQ41" s="2404">
        <v>0</v>
      </c>
      <c r="AR41" s="2404">
        <v>66</v>
      </c>
      <c r="AS41" s="2404">
        <v>16</v>
      </c>
      <c r="AT41" s="2404">
        <v>0</v>
      </c>
      <c r="AU41" s="2404">
        <v>8</v>
      </c>
      <c r="AV41" s="2404">
        <v>48</v>
      </c>
      <c r="AW41" s="2404">
        <v>217</v>
      </c>
      <c r="AX41" s="2404">
        <v>0</v>
      </c>
      <c r="AY41" s="2404">
        <v>0</v>
      </c>
      <c r="AZ41" s="2404">
        <v>560</v>
      </c>
      <c r="BA41" s="2404">
        <v>0</v>
      </c>
      <c r="BB41" s="2404">
        <v>0</v>
      </c>
      <c r="BC41" s="2404">
        <v>5976</v>
      </c>
      <c r="BD41" s="2404">
        <v>296</v>
      </c>
      <c r="BE41" s="2404">
        <v>0</v>
      </c>
      <c r="BF41" s="2404">
        <v>0</v>
      </c>
      <c r="BG41" s="2403">
        <v>17922.917999999998</v>
      </c>
      <c r="BH41" s="2405">
        <v>22410.517999999996</v>
      </c>
      <c r="BJ41" s="2401">
        <v>0</v>
      </c>
      <c r="BK41" s="2401">
        <v>350.4</v>
      </c>
      <c r="BL41" s="2401">
        <v>0</v>
      </c>
      <c r="BM41" s="2401">
        <v>9.1080000000000005</v>
      </c>
      <c r="BN41" s="2401">
        <v>90.625</v>
      </c>
      <c r="BO41" s="2401">
        <v>5.0999999999999996</v>
      </c>
      <c r="BP41" s="2406">
        <v>455.233</v>
      </c>
      <c r="BQ41" s="2401">
        <v>4.1399999999999997</v>
      </c>
      <c r="BR41" s="2401">
        <v>0</v>
      </c>
      <c r="BS41" s="2401">
        <v>0</v>
      </c>
      <c r="BT41" s="2401">
        <v>283</v>
      </c>
      <c r="BU41" s="2401">
        <v>0</v>
      </c>
      <c r="BV41" s="2401">
        <v>0</v>
      </c>
      <c r="BW41" s="2406">
        <v>287.14</v>
      </c>
      <c r="BX41" s="2407">
        <v>23152.890999999996</v>
      </c>
    </row>
    <row r="42" spans="1:76" ht="14.45" customHeight="1" x14ac:dyDescent="0.2">
      <c r="A42" s="2400" t="s">
        <v>390</v>
      </c>
      <c r="B42" s="2401">
        <v>0</v>
      </c>
      <c r="C42" s="2401">
        <v>0</v>
      </c>
      <c r="D42" s="2402">
        <v>28</v>
      </c>
      <c r="E42" s="2401">
        <v>66</v>
      </c>
      <c r="F42" s="2401">
        <v>8</v>
      </c>
      <c r="G42" s="2401">
        <v>21</v>
      </c>
      <c r="H42" s="2401">
        <v>18.8</v>
      </c>
      <c r="I42" s="2400">
        <v>6</v>
      </c>
      <c r="J42" s="2400">
        <v>16</v>
      </c>
      <c r="K42" s="2400">
        <v>16</v>
      </c>
      <c r="L42" s="2400">
        <v>140</v>
      </c>
      <c r="M42" s="2400">
        <v>3</v>
      </c>
      <c r="N42" s="2400">
        <v>48.75</v>
      </c>
      <c r="O42" s="2400">
        <v>0</v>
      </c>
      <c r="P42" s="2400">
        <v>0</v>
      </c>
      <c r="Q42" s="2400">
        <v>0</v>
      </c>
      <c r="R42" s="2400">
        <v>4</v>
      </c>
      <c r="S42" s="2400">
        <v>0</v>
      </c>
      <c r="T42" s="2400">
        <v>0</v>
      </c>
      <c r="U42" s="2400">
        <v>0</v>
      </c>
      <c r="V42" s="2400">
        <v>186</v>
      </c>
      <c r="W42" s="2403">
        <v>561.54999999999995</v>
      </c>
      <c r="X42" s="2400">
        <v>0.5</v>
      </c>
      <c r="Y42" s="2400">
        <v>10</v>
      </c>
      <c r="Z42" s="2400">
        <v>24</v>
      </c>
      <c r="AA42" s="2400">
        <v>260</v>
      </c>
      <c r="AB42" s="2403">
        <v>294.5</v>
      </c>
      <c r="AC42" s="2404">
        <v>62.65</v>
      </c>
      <c r="AD42" s="2404">
        <v>3748.2510000000002</v>
      </c>
      <c r="AE42" s="2404">
        <v>1656</v>
      </c>
      <c r="AF42" s="2400">
        <v>1380</v>
      </c>
      <c r="AG42" s="2404">
        <v>123</v>
      </c>
      <c r="AH42" s="2404">
        <v>1200.5</v>
      </c>
      <c r="AI42" s="2404">
        <v>753</v>
      </c>
      <c r="AJ42" s="2404">
        <v>52.000000000000028</v>
      </c>
      <c r="AK42" s="2404">
        <v>20</v>
      </c>
      <c r="AL42" s="2404">
        <v>0</v>
      </c>
      <c r="AM42" s="2404">
        <v>86.25</v>
      </c>
      <c r="AN42" s="2404">
        <v>0</v>
      </c>
      <c r="AO42" s="2404">
        <v>476</v>
      </c>
      <c r="AP42" s="2404">
        <v>0</v>
      </c>
      <c r="AQ42" s="2404">
        <v>0</v>
      </c>
      <c r="AR42" s="2404">
        <v>0</v>
      </c>
      <c r="AS42" s="2404">
        <v>0.4</v>
      </c>
      <c r="AT42" s="2404">
        <v>0</v>
      </c>
      <c r="AU42" s="2404">
        <v>8.7999999999999972</v>
      </c>
      <c r="AV42" s="2404">
        <v>60</v>
      </c>
      <c r="AW42" s="2404">
        <v>214.5</v>
      </c>
      <c r="AX42" s="2404">
        <v>20</v>
      </c>
      <c r="AY42" s="2404">
        <v>0</v>
      </c>
      <c r="AZ42" s="2404">
        <v>52.5</v>
      </c>
      <c r="BA42" s="2404">
        <v>15</v>
      </c>
      <c r="BB42" s="2404">
        <v>1.6</v>
      </c>
      <c r="BC42" s="2404">
        <v>39</v>
      </c>
      <c r="BD42" s="2404">
        <v>0</v>
      </c>
      <c r="BE42" s="2404">
        <v>84.5</v>
      </c>
      <c r="BF42" s="2404">
        <v>0</v>
      </c>
      <c r="BG42" s="2403">
        <v>10053.950999999999</v>
      </c>
      <c r="BH42" s="2405">
        <v>10910.000999999998</v>
      </c>
      <c r="BJ42" s="2401">
        <v>0</v>
      </c>
      <c r="BK42" s="2401">
        <v>1173.8399999999999</v>
      </c>
      <c r="BL42" s="2401">
        <v>0</v>
      </c>
      <c r="BM42" s="2401">
        <v>8.5007999999999999</v>
      </c>
      <c r="BN42" s="2401">
        <v>326.25</v>
      </c>
      <c r="BO42" s="2401">
        <v>2</v>
      </c>
      <c r="BP42" s="2406">
        <v>1510.5907999999999</v>
      </c>
      <c r="BQ42" s="2401">
        <v>89.5</v>
      </c>
      <c r="BR42" s="2401">
        <v>0</v>
      </c>
      <c r="BS42" s="2401">
        <v>0</v>
      </c>
      <c r="BT42" s="2401">
        <v>15</v>
      </c>
      <c r="BU42" s="2401">
        <v>0</v>
      </c>
      <c r="BV42" s="2401">
        <v>0</v>
      </c>
      <c r="BW42" s="2406">
        <v>104.5</v>
      </c>
      <c r="BX42" s="2407">
        <v>12525.091799999998</v>
      </c>
    </row>
    <row r="43" spans="1:76" ht="14.45" customHeight="1" x14ac:dyDescent="0.2">
      <c r="A43" s="2400" t="s">
        <v>391</v>
      </c>
      <c r="B43" s="2401">
        <v>0</v>
      </c>
      <c r="C43" s="2401">
        <v>0</v>
      </c>
      <c r="D43" s="2402">
        <v>341</v>
      </c>
      <c r="E43" s="2401">
        <v>0</v>
      </c>
      <c r="F43" s="2401">
        <v>0</v>
      </c>
      <c r="G43" s="2401">
        <v>1414</v>
      </c>
      <c r="H43" s="2401">
        <v>133</v>
      </c>
      <c r="I43" s="2400">
        <v>160</v>
      </c>
      <c r="J43" s="2400">
        <v>182.6</v>
      </c>
      <c r="K43" s="2400">
        <v>1745</v>
      </c>
      <c r="L43" s="2400">
        <v>2696</v>
      </c>
      <c r="M43" s="2400">
        <v>355.20000000000005</v>
      </c>
      <c r="N43" s="2400">
        <v>510</v>
      </c>
      <c r="O43" s="2400">
        <v>0</v>
      </c>
      <c r="P43" s="2400">
        <v>37</v>
      </c>
      <c r="Q43" s="2400">
        <v>198</v>
      </c>
      <c r="R43" s="2400">
        <v>0</v>
      </c>
      <c r="S43" s="2400">
        <v>0</v>
      </c>
      <c r="T43" s="2400">
        <v>0</v>
      </c>
      <c r="U43" s="2400">
        <v>0</v>
      </c>
      <c r="V43" s="2400">
        <v>1414</v>
      </c>
      <c r="W43" s="2403">
        <v>9185.7999999999993</v>
      </c>
      <c r="X43" s="2400">
        <v>28.5</v>
      </c>
      <c r="Y43" s="2400">
        <v>840</v>
      </c>
      <c r="Z43" s="2400">
        <v>0</v>
      </c>
      <c r="AA43" s="2400">
        <v>3840</v>
      </c>
      <c r="AB43" s="2403">
        <v>4708.5</v>
      </c>
      <c r="AC43" s="2404">
        <v>1.7999999999999998</v>
      </c>
      <c r="AD43" s="2404">
        <v>6301.0869999999995</v>
      </c>
      <c r="AE43" s="2404">
        <v>21660</v>
      </c>
      <c r="AF43" s="2400">
        <v>22800</v>
      </c>
      <c r="AG43" s="2404">
        <v>0</v>
      </c>
      <c r="AH43" s="2404">
        <v>1841</v>
      </c>
      <c r="AI43" s="2404">
        <v>1591.5650000000001</v>
      </c>
      <c r="AJ43" s="2404">
        <v>2934.87</v>
      </c>
      <c r="AK43" s="2404">
        <v>0</v>
      </c>
      <c r="AL43" s="2404">
        <v>0</v>
      </c>
      <c r="AM43" s="2404">
        <v>184</v>
      </c>
      <c r="AN43" s="2404">
        <v>70</v>
      </c>
      <c r="AO43" s="2404">
        <v>92</v>
      </c>
      <c r="AP43" s="2404">
        <v>0</v>
      </c>
      <c r="AQ43" s="2404">
        <v>50</v>
      </c>
      <c r="AR43" s="2404">
        <v>0</v>
      </c>
      <c r="AS43" s="2404">
        <v>45</v>
      </c>
      <c r="AT43" s="2404">
        <v>0</v>
      </c>
      <c r="AU43" s="2404">
        <v>0</v>
      </c>
      <c r="AV43" s="2404">
        <v>540</v>
      </c>
      <c r="AW43" s="2404">
        <v>592</v>
      </c>
      <c r="AX43" s="2404">
        <v>0</v>
      </c>
      <c r="AY43" s="2404">
        <v>0</v>
      </c>
      <c r="AZ43" s="2404">
        <v>1305.5</v>
      </c>
      <c r="BA43" s="2404">
        <v>75</v>
      </c>
      <c r="BB43" s="2404">
        <v>80</v>
      </c>
      <c r="BC43" s="2404">
        <v>112</v>
      </c>
      <c r="BD43" s="2404">
        <v>420</v>
      </c>
      <c r="BE43" s="2404">
        <v>0</v>
      </c>
      <c r="BF43" s="2404">
        <v>0</v>
      </c>
      <c r="BG43" s="2403">
        <v>60695.822000000007</v>
      </c>
      <c r="BH43" s="2405">
        <v>74590.122000000003</v>
      </c>
      <c r="BJ43" s="2401">
        <v>0</v>
      </c>
      <c r="BK43" s="2401">
        <v>2295.12</v>
      </c>
      <c r="BL43" s="2401">
        <v>0</v>
      </c>
      <c r="BM43" s="2401">
        <v>133.584</v>
      </c>
      <c r="BN43" s="2401">
        <v>145</v>
      </c>
      <c r="BO43" s="2401">
        <v>45.9</v>
      </c>
      <c r="BP43" s="2406">
        <v>2619.6039999999998</v>
      </c>
      <c r="BQ43" s="2401">
        <v>100</v>
      </c>
      <c r="BR43" s="2401">
        <v>61.2</v>
      </c>
      <c r="BS43" s="2401">
        <v>0</v>
      </c>
      <c r="BT43" s="2401">
        <v>5.7</v>
      </c>
      <c r="BU43" s="2401">
        <v>0</v>
      </c>
      <c r="BV43" s="2401">
        <v>0</v>
      </c>
      <c r="BW43" s="2406">
        <v>166.89999999999998</v>
      </c>
      <c r="BX43" s="2407">
        <v>77376.626000000004</v>
      </c>
    </row>
    <row r="44" spans="1:76" ht="14.45" customHeight="1" x14ac:dyDescent="0.2">
      <c r="A44" s="2400" t="s">
        <v>392</v>
      </c>
      <c r="B44" s="2401">
        <v>0</v>
      </c>
      <c r="C44" s="2401">
        <v>0</v>
      </c>
      <c r="D44" s="2402">
        <v>36</v>
      </c>
      <c r="E44" s="2401">
        <v>220</v>
      </c>
      <c r="F44" s="2401">
        <v>0</v>
      </c>
      <c r="G44" s="2401">
        <v>115.79999999999998</v>
      </c>
      <c r="H44" s="2401">
        <v>10</v>
      </c>
      <c r="I44" s="2400">
        <v>84</v>
      </c>
      <c r="J44" s="2400">
        <v>96</v>
      </c>
      <c r="K44" s="2400">
        <v>55</v>
      </c>
      <c r="L44" s="2400">
        <v>190</v>
      </c>
      <c r="M44" s="2400">
        <v>84</v>
      </c>
      <c r="N44" s="2400">
        <v>88</v>
      </c>
      <c r="O44" s="2400">
        <v>40</v>
      </c>
      <c r="P44" s="2400">
        <v>0</v>
      </c>
      <c r="Q44" s="2400">
        <v>254</v>
      </c>
      <c r="R44" s="2400">
        <v>65</v>
      </c>
      <c r="S44" s="2400">
        <v>0</v>
      </c>
      <c r="T44" s="2400">
        <v>0</v>
      </c>
      <c r="U44" s="2400">
        <v>0</v>
      </c>
      <c r="V44" s="2400">
        <v>550</v>
      </c>
      <c r="W44" s="2403">
        <v>1887.8</v>
      </c>
      <c r="X44" s="2400">
        <v>4</v>
      </c>
      <c r="Y44" s="2400">
        <v>135</v>
      </c>
      <c r="Z44" s="2400">
        <v>200</v>
      </c>
      <c r="AA44" s="2400">
        <v>350</v>
      </c>
      <c r="AB44" s="2403">
        <v>689</v>
      </c>
      <c r="AC44" s="2404">
        <v>30.099999999999998</v>
      </c>
      <c r="AD44" s="2404">
        <v>5459.9739999999993</v>
      </c>
      <c r="AE44" s="2404">
        <v>27</v>
      </c>
      <c r="AF44" s="2400">
        <v>30</v>
      </c>
      <c r="AG44" s="2404">
        <v>49</v>
      </c>
      <c r="AH44" s="2404">
        <v>1380</v>
      </c>
      <c r="AI44" s="2404">
        <v>420</v>
      </c>
      <c r="AJ44" s="2404">
        <v>312</v>
      </c>
      <c r="AK44" s="2404">
        <v>27</v>
      </c>
      <c r="AL44" s="2404">
        <v>0</v>
      </c>
      <c r="AM44" s="2404">
        <v>4350</v>
      </c>
      <c r="AN44" s="2404">
        <v>0</v>
      </c>
      <c r="AO44" s="2404">
        <v>280</v>
      </c>
      <c r="AP44" s="2404">
        <v>0</v>
      </c>
      <c r="AQ44" s="2404">
        <v>0</v>
      </c>
      <c r="AR44" s="2404">
        <v>0</v>
      </c>
      <c r="AS44" s="2404">
        <v>20</v>
      </c>
      <c r="AT44" s="2404">
        <v>9</v>
      </c>
      <c r="AU44" s="2404">
        <v>162</v>
      </c>
      <c r="AV44" s="2404">
        <v>10</v>
      </c>
      <c r="AW44" s="2404">
        <v>35</v>
      </c>
      <c r="AX44" s="2404">
        <v>19</v>
      </c>
      <c r="AY44" s="2404">
        <v>175</v>
      </c>
      <c r="AZ44" s="2404">
        <v>0</v>
      </c>
      <c r="BA44" s="2404">
        <v>42</v>
      </c>
      <c r="BB44" s="2404">
        <v>15</v>
      </c>
      <c r="BC44" s="2404">
        <v>3.5</v>
      </c>
      <c r="BD44" s="2404">
        <v>14</v>
      </c>
      <c r="BE44" s="2404">
        <v>126</v>
      </c>
      <c r="BF44" s="2404">
        <v>0</v>
      </c>
      <c r="BG44" s="2403">
        <v>12995.574000000001</v>
      </c>
      <c r="BH44" s="2405">
        <v>15572.374</v>
      </c>
      <c r="BJ44" s="2401">
        <v>0</v>
      </c>
      <c r="BK44" s="2401">
        <v>2974.75</v>
      </c>
      <c r="BL44" s="2401">
        <v>0</v>
      </c>
      <c r="BM44" s="2401">
        <v>136.62</v>
      </c>
      <c r="BN44" s="2401">
        <v>145</v>
      </c>
      <c r="BO44" s="2401">
        <v>28</v>
      </c>
      <c r="BP44" s="2406">
        <v>3284.37</v>
      </c>
      <c r="BQ44" s="2401">
        <v>82.12</v>
      </c>
      <c r="BR44" s="2401">
        <v>2.15</v>
      </c>
      <c r="BS44" s="2401">
        <v>0.56999999999999995</v>
      </c>
      <c r="BT44" s="2401">
        <v>0</v>
      </c>
      <c r="BU44" s="2401">
        <v>8.1000000000000003E-2</v>
      </c>
      <c r="BV44" s="2401">
        <v>0.20300000000000001</v>
      </c>
      <c r="BW44" s="2406">
        <v>85.124000000000009</v>
      </c>
      <c r="BX44" s="2407">
        <v>18941.867999999999</v>
      </c>
    </row>
    <row r="45" spans="1:76" ht="14.45" customHeight="1" x14ac:dyDescent="0.2">
      <c r="A45" s="2410" t="s">
        <v>393</v>
      </c>
      <c r="B45" s="2411">
        <v>447.7</v>
      </c>
      <c r="C45" s="2411">
        <v>257240.5</v>
      </c>
      <c r="D45" s="2411">
        <v>4696.0025000000005</v>
      </c>
      <c r="E45" s="2411">
        <v>8780</v>
      </c>
      <c r="F45" s="2411">
        <v>775</v>
      </c>
      <c r="G45" s="2411">
        <v>18779.8</v>
      </c>
      <c r="H45" s="2411">
        <v>2336.1999999999998</v>
      </c>
      <c r="I45" s="2411">
        <v>3766.5</v>
      </c>
      <c r="J45" s="2411">
        <v>5834.97</v>
      </c>
      <c r="K45" s="2411">
        <v>15971.4</v>
      </c>
      <c r="L45" s="2411">
        <v>35247.620000000003</v>
      </c>
      <c r="M45" s="2411">
        <v>5021.1000000000004</v>
      </c>
      <c r="N45" s="2411">
        <v>10737.300000000001</v>
      </c>
      <c r="O45" s="2411">
        <v>17654</v>
      </c>
      <c r="P45" s="2411">
        <v>330.5</v>
      </c>
      <c r="Q45" s="2411">
        <v>2641.3</v>
      </c>
      <c r="R45" s="2411">
        <v>2836</v>
      </c>
      <c r="S45" s="2411">
        <v>3909.5</v>
      </c>
      <c r="T45" s="2411">
        <v>432.5</v>
      </c>
      <c r="U45" s="2411">
        <v>0</v>
      </c>
      <c r="V45" s="2411">
        <v>21684.75</v>
      </c>
      <c r="W45" s="2396">
        <v>419122.64249999996</v>
      </c>
      <c r="X45" s="2411">
        <v>337.4</v>
      </c>
      <c r="Y45" s="2411">
        <v>5976.1</v>
      </c>
      <c r="Z45" s="2411">
        <v>4061.1</v>
      </c>
      <c r="AA45" s="2411">
        <v>38765</v>
      </c>
      <c r="AB45" s="2396">
        <v>49139.6</v>
      </c>
      <c r="AC45" s="2411">
        <v>5132.1361999999999</v>
      </c>
      <c r="AD45" s="2411">
        <v>172672.54693302812</v>
      </c>
      <c r="AE45" s="2411">
        <v>57840.857499999998</v>
      </c>
      <c r="AF45" s="2411">
        <v>67460</v>
      </c>
      <c r="AG45" s="2411">
        <v>22097.5</v>
      </c>
      <c r="AH45" s="2411">
        <v>89533.946400000001</v>
      </c>
      <c r="AI45" s="2411">
        <v>23872.319000000003</v>
      </c>
      <c r="AJ45" s="2411">
        <v>27152.400000000001</v>
      </c>
      <c r="AK45" s="2411">
        <v>3277.1759999999999</v>
      </c>
      <c r="AL45" s="2411">
        <v>1570.165</v>
      </c>
      <c r="AM45" s="2411">
        <v>23646.83</v>
      </c>
      <c r="AN45" s="2411">
        <v>659</v>
      </c>
      <c r="AO45" s="2411">
        <v>25700.400000000001</v>
      </c>
      <c r="AP45" s="2411">
        <v>2058.6999999999998</v>
      </c>
      <c r="AQ45" s="2411">
        <v>714</v>
      </c>
      <c r="AR45" s="2411">
        <v>884.8</v>
      </c>
      <c r="AS45" s="2411">
        <v>1188.2</v>
      </c>
      <c r="AT45" s="2411">
        <v>1418.86</v>
      </c>
      <c r="AU45" s="2411">
        <v>5124.32</v>
      </c>
      <c r="AV45" s="2411">
        <v>10498.4</v>
      </c>
      <c r="AW45" s="2411">
        <v>14603.83</v>
      </c>
      <c r="AX45" s="2411">
        <v>4286.7</v>
      </c>
      <c r="AY45" s="2411">
        <v>16316.32</v>
      </c>
      <c r="AZ45" s="2411">
        <v>9700.1</v>
      </c>
      <c r="BA45" s="2411">
        <v>6394.52</v>
      </c>
      <c r="BB45" s="2411">
        <v>8916.1999999999989</v>
      </c>
      <c r="BC45" s="2411">
        <v>9233.31</v>
      </c>
      <c r="BD45" s="2411">
        <v>4641.75</v>
      </c>
      <c r="BE45" s="2411">
        <v>10900.789999999999</v>
      </c>
      <c r="BF45" s="2411">
        <v>0</v>
      </c>
      <c r="BG45" s="2396">
        <v>627496.07703302801</v>
      </c>
      <c r="BH45" s="2397">
        <v>1095758.3195330279</v>
      </c>
      <c r="BJ45" s="2412">
        <v>32674.68</v>
      </c>
      <c r="BK45" s="2412">
        <v>135159.86499999999</v>
      </c>
      <c r="BL45" s="2412">
        <v>5289.8</v>
      </c>
      <c r="BM45" s="2412">
        <v>10668.64755</v>
      </c>
      <c r="BN45" s="2412">
        <v>38372.4375</v>
      </c>
      <c r="BO45" s="2412">
        <v>377.53</v>
      </c>
      <c r="BP45" s="2396">
        <v>222542.96004999999</v>
      </c>
      <c r="BQ45" s="2412">
        <v>68269.3</v>
      </c>
      <c r="BR45" s="2412">
        <v>3125.442</v>
      </c>
      <c r="BS45" s="2412">
        <v>540.12</v>
      </c>
      <c r="BT45" s="2412">
        <v>1146.925</v>
      </c>
      <c r="BU45" s="2412">
        <v>405.81089999999995</v>
      </c>
      <c r="BV45" s="2412">
        <v>496.28499999999997</v>
      </c>
      <c r="BW45" s="2396">
        <v>73983.882899999997</v>
      </c>
      <c r="BX45" s="2399">
        <v>1392285.1624830281</v>
      </c>
    </row>
    <row r="46" spans="1:76" x14ac:dyDescent="0.2">
      <c r="A46" s="2384" t="s">
        <v>1934</v>
      </c>
      <c r="AH46" s="2413"/>
    </row>
    <row r="47" spans="1:76" x14ac:dyDescent="0.2">
      <c r="C47" s="2413"/>
      <c r="BG47" s="2413"/>
    </row>
    <row r="48" spans="1:76" x14ac:dyDescent="0.2">
      <c r="C48" s="2414"/>
    </row>
    <row r="49" spans="23:23" x14ac:dyDescent="0.2">
      <c r="W49" s="2413"/>
    </row>
    <row r="50" spans="23:23" x14ac:dyDescent="0.2">
      <c r="W50" s="2414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919"/>
  <sheetViews>
    <sheetView zoomScale="80" zoomScaleNormal="80" workbookViewId="0">
      <selection activeCell="S12" sqref="S12:T12"/>
    </sheetView>
  </sheetViews>
  <sheetFormatPr baseColWidth="10" defaultColWidth="11.42578125" defaultRowHeight="12.75" x14ac:dyDescent="0.2"/>
  <cols>
    <col min="1" max="1" width="23.7109375" customWidth="1"/>
    <col min="2" max="2" width="19.28515625" customWidth="1"/>
    <col min="3" max="3" width="12.85546875" customWidth="1"/>
    <col min="4" max="4" width="7.7109375" customWidth="1"/>
    <col min="5" max="5" width="6.28515625" customWidth="1"/>
    <col min="6" max="6" width="4.42578125" customWidth="1"/>
    <col min="7" max="7" width="11.5703125" customWidth="1"/>
    <col min="8" max="8" width="5.28515625" customWidth="1"/>
    <col min="9" max="9" width="15.140625" customWidth="1"/>
    <col min="10" max="10" width="7.28515625" customWidth="1"/>
    <col min="11" max="11" width="4.140625" customWidth="1"/>
    <col min="12" max="12" width="39" customWidth="1"/>
    <col min="13" max="13" width="19.42578125" customWidth="1"/>
    <col min="14" max="14" width="15.42578125" customWidth="1"/>
    <col min="15" max="15" width="9.140625" customWidth="1"/>
    <col min="16" max="16" width="9" customWidth="1"/>
    <col min="17" max="17" width="16.5703125" bestFit="1" customWidth="1"/>
    <col min="18" max="18" width="4.7109375" customWidth="1"/>
    <col min="19" max="19" width="12.5703125" customWidth="1"/>
    <col min="22" max="22" width="16" customWidth="1"/>
  </cols>
  <sheetData>
    <row r="1" spans="1:20" ht="16.5" x14ac:dyDescent="0.2">
      <c r="A1" s="40"/>
      <c r="B1" s="2254"/>
      <c r="C1" s="41"/>
      <c r="D1" s="41"/>
      <c r="E1" s="41"/>
      <c r="F1" s="41"/>
      <c r="G1" s="42"/>
      <c r="H1" s="42"/>
      <c r="I1" s="44"/>
      <c r="J1" s="45"/>
      <c r="K1" s="45"/>
      <c r="L1" s="40"/>
      <c r="M1" s="40"/>
      <c r="N1" s="41"/>
      <c r="O1" s="41"/>
      <c r="P1" s="41"/>
      <c r="Q1" s="41"/>
      <c r="R1" s="45"/>
      <c r="S1" s="45"/>
      <c r="T1" s="45"/>
    </row>
    <row r="2" spans="1:20" ht="19.5" x14ac:dyDescent="0.2">
      <c r="A2" s="2654" t="s">
        <v>1907</v>
      </c>
      <c r="B2" s="2654"/>
      <c r="C2" s="2654"/>
      <c r="D2" s="2654"/>
      <c r="E2" s="2654"/>
      <c r="F2" s="2654"/>
      <c r="G2" s="2654"/>
      <c r="H2" s="2654"/>
      <c r="I2" s="2654"/>
      <c r="J2" s="2654"/>
      <c r="K2" s="2654"/>
      <c r="L2" s="2654"/>
      <c r="M2" s="2654"/>
      <c r="N2" s="2654"/>
      <c r="O2" s="2654"/>
      <c r="P2" s="2654"/>
      <c r="Q2" s="2654"/>
      <c r="R2" s="2654"/>
      <c r="S2" s="2654"/>
      <c r="T2" s="2654"/>
    </row>
    <row r="3" spans="1:20" ht="18" x14ac:dyDescent="0.2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</row>
    <row r="4" spans="1:20" ht="14.1" customHeight="1" x14ac:dyDescent="0.2">
      <c r="A4" s="40"/>
      <c r="B4" s="40"/>
      <c r="C4" s="41"/>
      <c r="D4" s="41"/>
      <c r="E4" s="48"/>
      <c r="F4" s="41"/>
      <c r="G4" s="42"/>
      <c r="H4" s="42"/>
      <c r="I4" s="48"/>
      <c r="J4" s="41"/>
      <c r="K4" s="45"/>
      <c r="L4" s="40"/>
      <c r="M4" s="40"/>
      <c r="N4" s="41"/>
      <c r="O4" s="48"/>
      <c r="P4" s="41"/>
      <c r="Q4" s="41"/>
      <c r="R4" s="41"/>
      <c r="S4" s="48"/>
      <c r="T4" s="41"/>
    </row>
    <row r="5" spans="1:20" ht="14.1" customHeight="1" thickBot="1" x14ac:dyDescent="0.25">
      <c r="A5" s="40"/>
      <c r="B5" s="40"/>
      <c r="C5" s="41"/>
      <c r="D5" s="41"/>
      <c r="E5" s="41"/>
      <c r="F5" s="41"/>
      <c r="G5" s="42"/>
      <c r="H5" s="42"/>
      <c r="I5" s="44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</row>
    <row r="6" spans="1:20" ht="15.75" customHeight="1" x14ac:dyDescent="0.3">
      <c r="A6" s="2612" t="s">
        <v>435</v>
      </c>
      <c r="B6" s="2613"/>
      <c r="C6" s="2618" t="s">
        <v>436</v>
      </c>
      <c r="D6" s="2619"/>
      <c r="E6" s="2619"/>
      <c r="F6" s="2620"/>
      <c r="G6" s="2624" t="s">
        <v>437</v>
      </c>
      <c r="H6" s="2625"/>
      <c r="I6" s="2618" t="s">
        <v>439</v>
      </c>
      <c r="J6" s="2620"/>
      <c r="K6" s="49"/>
      <c r="L6" s="2626" t="s">
        <v>435</v>
      </c>
      <c r="M6" s="2619" t="s">
        <v>436</v>
      </c>
      <c r="N6" s="2619"/>
      <c r="O6" s="2619"/>
      <c r="P6" s="2620"/>
      <c r="Q6" s="2624" t="s">
        <v>437</v>
      </c>
      <c r="R6" s="2625"/>
      <c r="S6" s="2618" t="s">
        <v>439</v>
      </c>
      <c r="T6" s="2649"/>
    </row>
    <row r="7" spans="1:20" ht="15.75" customHeight="1" thickBot="1" x14ac:dyDescent="0.35">
      <c r="A7" s="2614"/>
      <c r="B7" s="2615"/>
      <c r="C7" s="2621"/>
      <c r="D7" s="2622"/>
      <c r="E7" s="2622"/>
      <c r="F7" s="2623"/>
      <c r="G7" s="2629" t="s">
        <v>440</v>
      </c>
      <c r="H7" s="2630"/>
      <c r="I7" s="2631"/>
      <c r="J7" s="2632"/>
      <c r="K7" s="49"/>
      <c r="L7" s="2627"/>
      <c r="M7" s="2622"/>
      <c r="N7" s="2622"/>
      <c r="O7" s="2622"/>
      <c r="P7" s="2623"/>
      <c r="Q7" s="2629" t="s">
        <v>440</v>
      </c>
      <c r="R7" s="2630"/>
      <c r="S7" s="2631"/>
      <c r="T7" s="2650"/>
    </row>
    <row r="8" spans="1:20" ht="15.75" customHeight="1" x14ac:dyDescent="0.3">
      <c r="A8" s="2614"/>
      <c r="B8" s="2615"/>
      <c r="C8" s="53" t="s">
        <v>441</v>
      </c>
      <c r="D8" s="2633" t="s">
        <v>442</v>
      </c>
      <c r="E8" s="2618" t="s">
        <v>443</v>
      </c>
      <c r="F8" s="2620"/>
      <c r="G8" s="2629" t="s">
        <v>444</v>
      </c>
      <c r="H8" s="2630"/>
      <c r="I8" s="2631" t="s">
        <v>348</v>
      </c>
      <c r="J8" s="2632"/>
      <c r="K8" s="49"/>
      <c r="L8" s="2627"/>
      <c r="M8" s="51" t="s">
        <v>441</v>
      </c>
      <c r="N8" s="2670" t="s">
        <v>442</v>
      </c>
      <c r="O8" s="2631" t="s">
        <v>443</v>
      </c>
      <c r="P8" s="2632"/>
      <c r="Q8" s="2629" t="s">
        <v>444</v>
      </c>
      <c r="R8" s="2630"/>
      <c r="S8" s="2631" t="s">
        <v>348</v>
      </c>
      <c r="T8" s="2650"/>
    </row>
    <row r="9" spans="1:20" ht="15.75" customHeight="1" thickBot="1" x14ac:dyDescent="0.35">
      <c r="A9" s="2616"/>
      <c r="B9" s="2617"/>
      <c r="C9" s="54" t="s">
        <v>445</v>
      </c>
      <c r="D9" s="2634"/>
      <c r="E9" s="2621"/>
      <c r="F9" s="2623"/>
      <c r="G9" s="2561"/>
      <c r="H9" s="2562"/>
      <c r="I9" s="2635"/>
      <c r="J9" s="2636"/>
      <c r="K9" s="49"/>
      <c r="L9" s="2628"/>
      <c r="M9" s="50" t="s">
        <v>445</v>
      </c>
      <c r="N9" s="2634"/>
      <c r="O9" s="2621"/>
      <c r="P9" s="2623"/>
      <c r="Q9" s="2561"/>
      <c r="R9" s="2562"/>
      <c r="S9" s="2652"/>
      <c r="T9" s="2653"/>
    </row>
    <row r="10" spans="1:20" ht="15.75" customHeight="1" x14ac:dyDescent="0.4">
      <c r="A10" s="55" t="s">
        <v>446</v>
      </c>
      <c r="B10" s="56"/>
      <c r="C10" s="57"/>
      <c r="D10" s="57"/>
      <c r="E10" s="2671"/>
      <c r="F10" s="2672"/>
      <c r="G10" s="2669"/>
      <c r="H10" s="2673"/>
      <c r="I10" s="2674"/>
      <c r="J10" s="2675"/>
      <c r="K10" s="58"/>
      <c r="L10" s="59" t="s">
        <v>447</v>
      </c>
      <c r="M10" s="57"/>
      <c r="N10" s="57"/>
      <c r="O10" s="2669"/>
      <c r="P10" s="2669"/>
      <c r="Q10" s="2669"/>
      <c r="R10" s="2669"/>
      <c r="S10" s="2669"/>
      <c r="T10" s="2669"/>
    </row>
    <row r="11" spans="1:20" ht="15.75" customHeight="1" x14ac:dyDescent="0.4">
      <c r="A11" s="2667" t="s">
        <v>448</v>
      </c>
      <c r="B11" s="2668"/>
      <c r="C11" s="60"/>
      <c r="D11" s="60"/>
      <c r="E11" s="2665"/>
      <c r="F11" s="2666"/>
      <c r="G11" s="2609"/>
      <c r="H11" s="2610"/>
      <c r="I11" s="2661">
        <v>0</v>
      </c>
      <c r="J11" s="2662"/>
      <c r="K11" s="61"/>
      <c r="L11" s="62"/>
      <c r="M11" s="60"/>
      <c r="N11" s="60"/>
      <c r="O11" s="2609"/>
      <c r="P11" s="2609"/>
      <c r="Q11" s="2609"/>
      <c r="R11" s="2609"/>
      <c r="S11" s="2609"/>
      <c r="T11" s="2609"/>
    </row>
    <row r="12" spans="1:20" ht="15.75" customHeight="1" x14ac:dyDescent="0.4">
      <c r="A12" s="2663" t="s">
        <v>449</v>
      </c>
      <c r="B12" s="2664"/>
      <c r="C12" s="60"/>
      <c r="D12" s="60"/>
      <c r="E12" s="2665"/>
      <c r="F12" s="2666"/>
      <c r="G12" s="2609"/>
      <c r="H12" s="2610"/>
      <c r="I12" s="2609">
        <v>0</v>
      </c>
      <c r="J12" s="2610"/>
      <c r="K12" s="63"/>
      <c r="L12" s="62" t="s">
        <v>450</v>
      </c>
      <c r="M12" s="60" t="s">
        <v>451</v>
      </c>
      <c r="N12" s="60" t="s">
        <v>452</v>
      </c>
      <c r="O12" s="2609">
        <v>12</v>
      </c>
      <c r="P12" s="2609"/>
      <c r="Q12" s="2609">
        <v>86390.211200000005</v>
      </c>
      <c r="R12" s="2609"/>
      <c r="S12" s="2609">
        <v>1036682.5344</v>
      </c>
      <c r="T12" s="2609"/>
    </row>
    <row r="13" spans="1:20" ht="15.75" customHeight="1" x14ac:dyDescent="0.4">
      <c r="A13" s="2663" t="s">
        <v>453</v>
      </c>
      <c r="B13" s="2664"/>
      <c r="C13" s="60"/>
      <c r="D13" s="60"/>
      <c r="E13" s="2665"/>
      <c r="F13" s="2666"/>
      <c r="G13" s="2609"/>
      <c r="H13" s="2610"/>
      <c r="I13" s="2609">
        <v>0</v>
      </c>
      <c r="J13" s="2610"/>
      <c r="K13" s="63"/>
      <c r="L13" s="62" t="s">
        <v>454</v>
      </c>
      <c r="M13" s="60"/>
      <c r="N13" s="60"/>
      <c r="O13" s="2609"/>
      <c r="P13" s="2609"/>
      <c r="Q13" s="2609"/>
      <c r="R13" s="2609"/>
      <c r="S13" s="2609">
        <v>0</v>
      </c>
      <c r="T13" s="2609"/>
    </row>
    <row r="14" spans="1:20" ht="15.75" customHeight="1" x14ac:dyDescent="0.4">
      <c r="A14" s="2663" t="s">
        <v>455</v>
      </c>
      <c r="B14" s="2664"/>
      <c r="C14" s="60"/>
      <c r="D14" s="60"/>
      <c r="E14" s="2665"/>
      <c r="F14" s="2665"/>
      <c r="G14" s="2609"/>
      <c r="H14" s="2610"/>
      <c r="I14" s="2609">
        <v>0</v>
      </c>
      <c r="J14" s="2610"/>
      <c r="K14" s="63"/>
      <c r="L14" s="62" t="s">
        <v>456</v>
      </c>
      <c r="M14" s="60"/>
      <c r="N14" s="60"/>
      <c r="O14" s="2609"/>
      <c r="P14" s="2609"/>
      <c r="Q14" s="2676"/>
      <c r="R14" s="2676"/>
      <c r="S14" s="2609">
        <v>0</v>
      </c>
      <c r="T14" s="2609"/>
    </row>
    <row r="15" spans="1:20" ht="15.75" customHeight="1" x14ac:dyDescent="0.2">
      <c r="A15" s="2677" t="s">
        <v>457</v>
      </c>
      <c r="B15" s="2678"/>
      <c r="C15" s="60"/>
      <c r="D15" s="60"/>
      <c r="E15" s="2665"/>
      <c r="F15" s="2665"/>
      <c r="G15" s="2609"/>
      <c r="H15" s="2609"/>
      <c r="I15" s="2661">
        <v>771506.7696</v>
      </c>
      <c r="J15" s="2661"/>
      <c r="K15" s="64"/>
      <c r="L15" s="62" t="s">
        <v>458</v>
      </c>
      <c r="M15" s="60" t="s">
        <v>459</v>
      </c>
      <c r="N15" s="60" t="s">
        <v>460</v>
      </c>
      <c r="O15" s="2609">
        <v>4</v>
      </c>
      <c r="P15" s="2609"/>
      <c r="Q15" s="2679">
        <v>149734</v>
      </c>
      <c r="R15" s="2679"/>
      <c r="S15" s="2609">
        <v>598936</v>
      </c>
      <c r="T15" s="2609"/>
    </row>
    <row r="16" spans="1:20" ht="15.75" customHeight="1" x14ac:dyDescent="0.4">
      <c r="A16" s="65" t="s">
        <v>461</v>
      </c>
      <c r="B16" s="66"/>
      <c r="C16" s="60"/>
      <c r="D16" s="60"/>
      <c r="E16" s="2665"/>
      <c r="F16" s="2665"/>
      <c r="G16" s="2609"/>
      <c r="H16" s="2610"/>
      <c r="I16" s="2609">
        <v>0</v>
      </c>
      <c r="J16" s="2610"/>
      <c r="K16" s="63"/>
      <c r="L16" s="62" t="s">
        <v>458</v>
      </c>
      <c r="M16" s="60" t="s">
        <v>462</v>
      </c>
      <c r="N16" s="60" t="s">
        <v>460</v>
      </c>
      <c r="O16" s="2682">
        <v>2</v>
      </c>
      <c r="P16" s="2682"/>
      <c r="Q16" s="2676">
        <v>201451</v>
      </c>
      <c r="R16" s="2676"/>
      <c r="S16" s="2609">
        <v>402902</v>
      </c>
      <c r="T16" s="2609"/>
    </row>
    <row r="17" spans="1:22" ht="15.75" customHeight="1" x14ac:dyDescent="0.4">
      <c r="A17" s="67" t="s">
        <v>463</v>
      </c>
      <c r="B17" s="68"/>
      <c r="C17" s="60"/>
      <c r="D17" s="60"/>
      <c r="E17" s="2665"/>
      <c r="F17" s="2665"/>
      <c r="G17" s="2609"/>
      <c r="H17" s="2610"/>
      <c r="I17" s="2609">
        <v>0</v>
      </c>
      <c r="J17" s="2610"/>
      <c r="K17" s="63"/>
      <c r="L17" s="62" t="s">
        <v>458</v>
      </c>
      <c r="M17" s="60" t="s">
        <v>464</v>
      </c>
      <c r="N17" s="60" t="s">
        <v>460</v>
      </c>
      <c r="O17" s="2609">
        <v>1</v>
      </c>
      <c r="P17" s="2609"/>
      <c r="Q17" s="2679">
        <v>92195.164799999999</v>
      </c>
      <c r="R17" s="2679">
        <v>74991.820000000007</v>
      </c>
      <c r="S17" s="2609">
        <v>92195.164799999999</v>
      </c>
      <c r="T17" s="2609"/>
    </row>
    <row r="18" spans="1:22" ht="15.75" customHeight="1" x14ac:dyDescent="0.4">
      <c r="A18" s="65" t="s">
        <v>465</v>
      </c>
      <c r="B18" s="66"/>
      <c r="C18" s="60" t="s">
        <v>466</v>
      </c>
      <c r="D18" s="60" t="s">
        <v>467</v>
      </c>
      <c r="E18" s="2665">
        <v>3</v>
      </c>
      <c r="F18" s="2665"/>
      <c r="G18" s="2641">
        <v>140000</v>
      </c>
      <c r="H18" s="2642">
        <v>113622.46</v>
      </c>
      <c r="I18" s="2609">
        <v>420000</v>
      </c>
      <c r="J18" s="2610"/>
      <c r="K18" s="63"/>
      <c r="L18" s="62" t="s">
        <v>458</v>
      </c>
      <c r="M18" s="60" t="s">
        <v>468</v>
      </c>
      <c r="N18" s="60" t="s">
        <v>460</v>
      </c>
      <c r="O18" s="2609">
        <v>3</v>
      </c>
      <c r="P18" s="2609"/>
      <c r="Q18" s="2676">
        <v>164123</v>
      </c>
      <c r="R18" s="2676"/>
      <c r="S18" s="2609">
        <v>492369</v>
      </c>
      <c r="T18" s="2609"/>
    </row>
    <row r="19" spans="1:22" ht="15.75" customHeight="1" x14ac:dyDescent="0.4">
      <c r="A19" s="65" t="s">
        <v>469</v>
      </c>
      <c r="B19" s="66"/>
      <c r="C19" s="60" t="s">
        <v>466</v>
      </c>
      <c r="D19" s="60" t="s">
        <v>467</v>
      </c>
      <c r="E19" s="2680">
        <v>1</v>
      </c>
      <c r="F19" s="2681"/>
      <c r="G19" s="2609">
        <v>211819.6096</v>
      </c>
      <c r="H19" s="2610">
        <v>172995.18</v>
      </c>
      <c r="I19" s="2609">
        <v>211819.6096</v>
      </c>
      <c r="J19" s="2610"/>
      <c r="K19" s="63"/>
      <c r="L19" s="62" t="s">
        <v>458</v>
      </c>
      <c r="M19" s="60"/>
      <c r="N19" s="60"/>
      <c r="O19" s="2682"/>
      <c r="P19" s="2682"/>
      <c r="Q19" s="2609"/>
      <c r="R19" s="2609"/>
      <c r="S19" s="2609">
        <v>0</v>
      </c>
      <c r="T19" s="2609"/>
      <c r="V19" s="9"/>
    </row>
    <row r="20" spans="1:22" ht="15.75" customHeight="1" x14ac:dyDescent="0.4">
      <c r="A20" s="69" t="s">
        <v>470</v>
      </c>
      <c r="B20" s="70"/>
      <c r="C20" s="60" t="s">
        <v>466</v>
      </c>
      <c r="D20" s="60" t="s">
        <v>467</v>
      </c>
      <c r="E20" s="2665">
        <v>1</v>
      </c>
      <c r="F20" s="2665"/>
      <c r="G20" s="2609">
        <v>139687.16</v>
      </c>
      <c r="H20" s="2610">
        <v>113622.46</v>
      </c>
      <c r="I20" s="2609">
        <v>139687.16</v>
      </c>
      <c r="J20" s="2610"/>
      <c r="K20" s="63"/>
      <c r="L20" s="62" t="s">
        <v>471</v>
      </c>
      <c r="M20" s="60" t="s">
        <v>472</v>
      </c>
      <c r="N20" s="60" t="s">
        <v>473</v>
      </c>
      <c r="O20" s="2609">
        <v>3</v>
      </c>
      <c r="P20" s="2609"/>
      <c r="Q20" s="2609">
        <v>45494</v>
      </c>
      <c r="R20" s="2609"/>
      <c r="S20" s="2609">
        <v>136482</v>
      </c>
      <c r="T20" s="2609"/>
    </row>
    <row r="21" spans="1:22" ht="15.75" customHeight="1" x14ac:dyDescent="0.4">
      <c r="A21" s="65" t="s">
        <v>474</v>
      </c>
      <c r="B21" s="66"/>
      <c r="C21" s="60"/>
      <c r="D21" s="60"/>
      <c r="E21" s="2665"/>
      <c r="F21" s="2665"/>
      <c r="G21" s="2609"/>
      <c r="H21" s="2610"/>
      <c r="I21" s="2609">
        <v>0</v>
      </c>
      <c r="J21" s="2610"/>
      <c r="K21" s="63"/>
      <c r="L21" s="62" t="s">
        <v>475</v>
      </c>
      <c r="M21" s="60"/>
      <c r="N21" s="60"/>
      <c r="O21" s="2609"/>
      <c r="P21" s="2609"/>
      <c r="Q21" s="2609"/>
      <c r="R21" s="2609"/>
      <c r="S21" s="2609">
        <v>0</v>
      </c>
      <c r="T21" s="2609"/>
    </row>
    <row r="22" spans="1:22" ht="15.75" customHeight="1" x14ac:dyDescent="0.4">
      <c r="A22" s="65" t="s">
        <v>476</v>
      </c>
      <c r="B22" s="66"/>
      <c r="C22" s="60"/>
      <c r="D22" s="60"/>
      <c r="E22" s="2665"/>
      <c r="F22" s="2665"/>
      <c r="G22" s="2609"/>
      <c r="H22" s="2610"/>
      <c r="I22" s="2609">
        <v>0</v>
      </c>
      <c r="J22" s="2610"/>
      <c r="K22" s="63"/>
      <c r="L22" s="62" t="s">
        <v>477</v>
      </c>
      <c r="M22" s="60" t="s">
        <v>478</v>
      </c>
      <c r="N22" s="60" t="s">
        <v>479</v>
      </c>
      <c r="O22" s="2682">
        <v>0.5</v>
      </c>
      <c r="P22" s="2682"/>
      <c r="Q22" s="2609">
        <v>101691.5968</v>
      </c>
      <c r="R22" s="2609">
        <v>82716.039999999994</v>
      </c>
      <c r="S22" s="2609">
        <v>50845.7984</v>
      </c>
      <c r="T22" s="2609"/>
    </row>
    <row r="23" spans="1:22" ht="15.75" customHeight="1" x14ac:dyDescent="0.4">
      <c r="A23" s="2683" t="s">
        <v>480</v>
      </c>
      <c r="B23" s="2684"/>
      <c r="C23" s="60"/>
      <c r="D23" s="60"/>
      <c r="E23" s="2665"/>
      <c r="F23" s="2666"/>
      <c r="G23" s="2609"/>
      <c r="H23" s="2610"/>
      <c r="I23" s="2609">
        <v>0</v>
      </c>
      <c r="J23" s="2610"/>
      <c r="K23" s="63"/>
      <c r="L23" s="62" t="s">
        <v>481</v>
      </c>
      <c r="M23" s="60" t="s">
        <v>482</v>
      </c>
      <c r="N23" s="60" t="s">
        <v>473</v>
      </c>
      <c r="O23" s="2609">
        <v>4</v>
      </c>
      <c r="P23" s="2609"/>
      <c r="Q23" s="2609">
        <v>30393</v>
      </c>
      <c r="R23" s="2609">
        <v>55752.82</v>
      </c>
      <c r="S23" s="2609">
        <v>121572</v>
      </c>
      <c r="T23" s="2609"/>
    </row>
    <row r="24" spans="1:22" ht="15.75" customHeight="1" x14ac:dyDescent="0.4">
      <c r="A24" s="65" t="s">
        <v>454</v>
      </c>
      <c r="B24" s="66"/>
      <c r="C24" s="60"/>
      <c r="D24" s="60"/>
      <c r="E24" s="2665"/>
      <c r="F24" s="2666"/>
      <c r="G24" s="2609"/>
      <c r="H24" s="2610"/>
      <c r="I24" s="2609">
        <v>0</v>
      </c>
      <c r="J24" s="2610"/>
      <c r="K24" s="63"/>
      <c r="L24" s="62" t="s">
        <v>483</v>
      </c>
      <c r="M24" s="60" t="s">
        <v>484</v>
      </c>
      <c r="N24" s="60" t="s">
        <v>473</v>
      </c>
      <c r="O24" s="2682">
        <v>1.5</v>
      </c>
      <c r="P24" s="2682"/>
      <c r="Q24" s="2609">
        <v>130390.7104</v>
      </c>
      <c r="R24" s="2609">
        <v>106060.42</v>
      </c>
      <c r="S24" s="2609">
        <v>195586.0656</v>
      </c>
      <c r="T24" s="2609"/>
    </row>
    <row r="25" spans="1:22" ht="15.75" customHeight="1" x14ac:dyDescent="0.4">
      <c r="A25" s="65" t="s">
        <v>485</v>
      </c>
      <c r="B25" s="66"/>
      <c r="C25" s="60"/>
      <c r="D25" s="60"/>
      <c r="E25" s="2665"/>
      <c r="F25" s="2666"/>
      <c r="G25" s="2609"/>
      <c r="H25" s="2610"/>
      <c r="I25" s="2609">
        <v>0</v>
      </c>
      <c r="J25" s="2610"/>
      <c r="K25" s="63"/>
      <c r="L25" s="62" t="s">
        <v>486</v>
      </c>
      <c r="M25" s="60" t="s">
        <v>487</v>
      </c>
      <c r="N25" s="60" t="s">
        <v>473</v>
      </c>
      <c r="O25" s="2685">
        <v>0.25</v>
      </c>
      <c r="P25" s="2685"/>
      <c r="Q25" s="2609">
        <v>167654.09760000001</v>
      </c>
      <c r="R25" s="2609">
        <v>136371.12</v>
      </c>
      <c r="S25" s="2609">
        <v>41913.524400000002</v>
      </c>
      <c r="T25" s="2609"/>
    </row>
    <row r="26" spans="1:22" ht="15.75" customHeight="1" x14ac:dyDescent="0.4">
      <c r="A26" s="71" t="s">
        <v>488</v>
      </c>
      <c r="B26" s="72"/>
      <c r="C26" s="60"/>
      <c r="D26" s="60"/>
      <c r="E26" s="2665"/>
      <c r="F26" s="2666"/>
      <c r="G26" s="2609"/>
      <c r="H26" s="2610"/>
      <c r="I26" s="2609">
        <v>0</v>
      </c>
      <c r="J26" s="2610"/>
      <c r="K26" s="63"/>
      <c r="L26" s="62" t="s">
        <v>489</v>
      </c>
      <c r="M26" s="60" t="s">
        <v>761</v>
      </c>
      <c r="N26" s="60" t="s">
        <v>473</v>
      </c>
      <c r="O26" s="2609">
        <v>6</v>
      </c>
      <c r="P26" s="2609"/>
      <c r="Q26" s="2609">
        <v>43883</v>
      </c>
      <c r="R26" s="2609"/>
      <c r="S26" s="2609">
        <v>263298</v>
      </c>
      <c r="T26" s="2609"/>
    </row>
    <row r="27" spans="1:22" ht="15.75" customHeight="1" x14ac:dyDescent="0.4">
      <c r="A27" s="73" t="s">
        <v>490</v>
      </c>
      <c r="B27" s="74"/>
      <c r="C27" s="60"/>
      <c r="D27" s="60"/>
      <c r="E27" s="2665"/>
      <c r="F27" s="2666"/>
      <c r="G27" s="2687"/>
      <c r="H27" s="2688"/>
      <c r="I27" s="2661">
        <v>306555.9216</v>
      </c>
      <c r="J27" s="2662"/>
      <c r="K27" s="63"/>
      <c r="L27" s="62" t="s">
        <v>491</v>
      </c>
      <c r="M27" s="60"/>
      <c r="N27" s="60"/>
      <c r="O27" s="2685"/>
      <c r="P27" s="2685"/>
      <c r="Q27" s="2609"/>
      <c r="R27" s="2609"/>
      <c r="S27" s="2609">
        <v>0</v>
      </c>
      <c r="T27" s="2609"/>
    </row>
    <row r="28" spans="1:22" ht="15.75" customHeight="1" x14ac:dyDescent="0.4">
      <c r="A28" s="71" t="s">
        <v>492</v>
      </c>
      <c r="B28" s="74"/>
      <c r="C28" s="60" t="s">
        <v>466</v>
      </c>
      <c r="D28" s="60" t="s">
        <v>493</v>
      </c>
      <c r="E28" s="2609">
        <v>1</v>
      </c>
      <c r="F28" s="2609"/>
      <c r="G28" s="2676">
        <v>165555.9216</v>
      </c>
      <c r="H28" s="2686">
        <v>151497.32</v>
      </c>
      <c r="I28" s="2609">
        <v>165555.9216</v>
      </c>
      <c r="J28" s="2610"/>
      <c r="K28" s="63"/>
      <c r="L28" s="62" t="s">
        <v>494</v>
      </c>
      <c r="M28" s="60"/>
      <c r="N28" s="60"/>
      <c r="O28" s="2609"/>
      <c r="P28" s="2609"/>
      <c r="Q28" s="2609"/>
      <c r="R28" s="2609"/>
      <c r="S28" s="2609">
        <v>0</v>
      </c>
      <c r="T28" s="2609"/>
    </row>
    <row r="29" spans="1:22" ht="15.75" customHeight="1" x14ac:dyDescent="0.4">
      <c r="A29" s="75" t="s">
        <v>495</v>
      </c>
      <c r="B29" s="76"/>
      <c r="C29" s="60" t="s">
        <v>496</v>
      </c>
      <c r="D29" s="60" t="s">
        <v>497</v>
      </c>
      <c r="E29" s="2609">
        <v>3</v>
      </c>
      <c r="F29" s="2609"/>
      <c r="G29" s="2641">
        <v>47000</v>
      </c>
      <c r="H29" s="2642">
        <v>38202.400000000001</v>
      </c>
      <c r="I29" s="2609">
        <v>141000</v>
      </c>
      <c r="J29" s="2610"/>
      <c r="K29" s="63"/>
      <c r="L29" s="62" t="s">
        <v>498</v>
      </c>
      <c r="M29" s="60" t="s">
        <v>499</v>
      </c>
      <c r="N29" s="60" t="s">
        <v>500</v>
      </c>
      <c r="O29" s="2609">
        <v>1</v>
      </c>
      <c r="P29" s="2609"/>
      <c r="Q29" s="2609">
        <v>68819.08</v>
      </c>
      <c r="R29" s="2609">
        <v>55977.54</v>
      </c>
      <c r="S29" s="2609">
        <v>68819.08</v>
      </c>
      <c r="T29" s="2609"/>
    </row>
    <row r="30" spans="1:22" ht="15.75" customHeight="1" x14ac:dyDescent="0.4">
      <c r="A30" s="2689" t="s">
        <v>501</v>
      </c>
      <c r="B30" s="2690"/>
      <c r="C30" s="60"/>
      <c r="D30" s="60"/>
      <c r="E30" s="2609"/>
      <c r="F30" s="2609"/>
      <c r="G30" s="2691"/>
      <c r="H30" s="2692"/>
      <c r="I30" s="2609">
        <v>0</v>
      </c>
      <c r="J30" s="2610"/>
      <c r="K30" s="63"/>
      <c r="L30" s="77" t="s">
        <v>502</v>
      </c>
      <c r="M30" s="78" t="s">
        <v>503</v>
      </c>
      <c r="N30" s="78" t="s">
        <v>473</v>
      </c>
      <c r="O30" s="2682">
        <v>3</v>
      </c>
      <c r="P30" s="2682"/>
      <c r="Q30" s="2609">
        <v>22548.835200000001</v>
      </c>
      <c r="R30" s="2609">
        <v>18341.18</v>
      </c>
      <c r="S30" s="2609">
        <v>67646.505600000004</v>
      </c>
      <c r="T30" s="2609"/>
    </row>
    <row r="31" spans="1:22" ht="15.75" customHeight="1" x14ac:dyDescent="0.4">
      <c r="A31" s="2663" t="s">
        <v>504</v>
      </c>
      <c r="B31" s="2664"/>
      <c r="C31" s="60"/>
      <c r="D31" s="60"/>
      <c r="E31" s="2609"/>
      <c r="F31" s="2609"/>
      <c r="G31" s="2609"/>
      <c r="H31" s="2610"/>
      <c r="I31" s="2609">
        <v>0</v>
      </c>
      <c r="J31" s="2610"/>
      <c r="K31" s="63"/>
      <c r="L31" s="77"/>
      <c r="M31" s="78"/>
      <c r="N31" s="78"/>
      <c r="O31" s="2609"/>
      <c r="P31" s="2609"/>
      <c r="Q31" s="2609"/>
      <c r="R31" s="2609"/>
      <c r="S31" s="2609"/>
      <c r="T31" s="2609"/>
    </row>
    <row r="32" spans="1:22" ht="15.75" customHeight="1" x14ac:dyDescent="0.4">
      <c r="A32" s="2663" t="s">
        <v>504</v>
      </c>
      <c r="B32" s="2664"/>
      <c r="C32" s="60"/>
      <c r="D32" s="60"/>
      <c r="E32" s="2609"/>
      <c r="F32" s="2609"/>
      <c r="G32" s="2609"/>
      <c r="H32" s="2610"/>
      <c r="I32" s="2609">
        <v>0</v>
      </c>
      <c r="J32" s="2610"/>
      <c r="K32" s="63"/>
      <c r="L32" s="77" t="s">
        <v>505</v>
      </c>
      <c r="M32" s="78"/>
      <c r="N32" s="78"/>
      <c r="O32" s="2609"/>
      <c r="P32" s="2609"/>
      <c r="Q32" s="2609"/>
      <c r="R32" s="2609"/>
      <c r="S32" s="2609">
        <v>0</v>
      </c>
      <c r="T32" s="2609"/>
    </row>
    <row r="33" spans="1:20" ht="15.75" customHeight="1" x14ac:dyDescent="0.4">
      <c r="A33" s="2667" t="s">
        <v>506</v>
      </c>
      <c r="B33" s="2668"/>
      <c r="C33" s="60"/>
      <c r="D33" s="60"/>
      <c r="E33" s="2665"/>
      <c r="F33" s="2666"/>
      <c r="G33" s="2609"/>
      <c r="H33" s="2610"/>
      <c r="I33" s="2661">
        <v>1211467.7754000002</v>
      </c>
      <c r="J33" s="2662"/>
      <c r="K33" s="61"/>
      <c r="L33" s="77" t="s">
        <v>507</v>
      </c>
      <c r="M33" s="78" t="s">
        <v>508</v>
      </c>
      <c r="N33" s="78" t="s">
        <v>497</v>
      </c>
      <c r="O33" s="2609">
        <v>76</v>
      </c>
      <c r="P33" s="2609"/>
      <c r="Q33" s="2609">
        <v>14926.555200000001</v>
      </c>
      <c r="R33" s="2609">
        <v>12148.66</v>
      </c>
      <c r="S33" s="2609">
        <v>1134418.1952</v>
      </c>
      <c r="T33" s="2609"/>
    </row>
    <row r="34" spans="1:20" ht="15.75" customHeight="1" x14ac:dyDescent="0.4">
      <c r="A34" s="2663" t="s">
        <v>509</v>
      </c>
      <c r="B34" s="2664"/>
      <c r="C34" s="60" t="s">
        <v>466</v>
      </c>
      <c r="D34" s="60" t="s">
        <v>467</v>
      </c>
      <c r="E34" s="2665">
        <v>1</v>
      </c>
      <c r="F34" s="2666"/>
      <c r="G34" s="2609">
        <v>139687.16</v>
      </c>
      <c r="H34" s="2610">
        <v>113622.46</v>
      </c>
      <c r="I34" s="2609">
        <v>139687.16</v>
      </c>
      <c r="J34" s="2610"/>
      <c r="K34" s="63"/>
      <c r="L34" s="77" t="s">
        <v>510</v>
      </c>
      <c r="M34" s="78" t="s">
        <v>511</v>
      </c>
      <c r="N34" s="78" t="s">
        <v>497</v>
      </c>
      <c r="O34" s="2609">
        <v>76</v>
      </c>
      <c r="P34" s="2609"/>
      <c r="Q34" s="2609">
        <v>462.25439999999998</v>
      </c>
      <c r="R34" s="2609">
        <v>422.94</v>
      </c>
      <c r="S34" s="2609">
        <v>35131.3344</v>
      </c>
      <c r="T34" s="2609"/>
    </row>
    <row r="35" spans="1:20" ht="15.75" customHeight="1" x14ac:dyDescent="0.4">
      <c r="A35" s="2663" t="s">
        <v>512</v>
      </c>
      <c r="B35" s="2664"/>
      <c r="C35" s="60" t="s">
        <v>466</v>
      </c>
      <c r="D35" s="60" t="s">
        <v>467</v>
      </c>
      <c r="E35" s="2665">
        <v>1</v>
      </c>
      <c r="F35" s="2666"/>
      <c r="G35" s="2609">
        <v>131780.61540000001</v>
      </c>
      <c r="H35" s="2610">
        <v>107191.44</v>
      </c>
      <c r="I35" s="2609">
        <v>131780.61540000001</v>
      </c>
      <c r="J35" s="2610"/>
      <c r="K35" s="63"/>
      <c r="L35" s="77" t="s">
        <v>513</v>
      </c>
      <c r="M35" s="78"/>
      <c r="N35" s="78"/>
      <c r="O35" s="2609"/>
      <c r="P35" s="2609"/>
      <c r="Q35" s="2609"/>
      <c r="R35" s="2609"/>
      <c r="S35" s="2609">
        <v>0</v>
      </c>
      <c r="T35" s="2609"/>
    </row>
    <row r="36" spans="1:20" ht="15.75" customHeight="1" x14ac:dyDescent="0.4">
      <c r="A36" s="75" t="s">
        <v>514</v>
      </c>
      <c r="B36" s="76"/>
      <c r="C36" s="60"/>
      <c r="D36" s="60"/>
      <c r="E36" s="2665"/>
      <c r="F36" s="2666"/>
      <c r="G36" s="2609"/>
      <c r="H36" s="2610"/>
      <c r="I36" s="2609">
        <v>0</v>
      </c>
      <c r="J36" s="2610"/>
      <c r="K36" s="63"/>
      <c r="L36" s="77" t="s">
        <v>515</v>
      </c>
      <c r="M36" s="78"/>
      <c r="N36" s="78"/>
      <c r="O36" s="2609"/>
      <c r="P36" s="2609"/>
      <c r="Q36" s="2609"/>
      <c r="R36" s="2609"/>
      <c r="S36" s="2609">
        <v>0</v>
      </c>
      <c r="T36" s="2609"/>
    </row>
    <row r="37" spans="1:20" ht="15.75" customHeight="1" x14ac:dyDescent="0.4">
      <c r="A37" s="2663" t="s">
        <v>516</v>
      </c>
      <c r="B37" s="2664"/>
      <c r="C37" s="60"/>
      <c r="D37" s="60"/>
      <c r="E37" s="2665"/>
      <c r="F37" s="2666"/>
      <c r="G37" s="2609"/>
      <c r="H37" s="2610"/>
      <c r="I37" s="2609">
        <v>0</v>
      </c>
      <c r="J37" s="2610"/>
      <c r="K37" s="63"/>
      <c r="L37" s="77" t="s">
        <v>518</v>
      </c>
      <c r="M37" s="78"/>
      <c r="N37" s="78"/>
      <c r="O37" s="2609"/>
      <c r="P37" s="2609"/>
      <c r="Q37" s="2609"/>
      <c r="R37" s="2609"/>
      <c r="S37" s="2609">
        <v>0</v>
      </c>
      <c r="T37" s="2609"/>
    </row>
    <row r="38" spans="1:20" ht="15.75" customHeight="1" x14ac:dyDescent="0.4">
      <c r="A38" s="75" t="s">
        <v>517</v>
      </c>
      <c r="B38" s="76"/>
      <c r="C38" s="60"/>
      <c r="D38" s="60"/>
      <c r="E38" s="2665"/>
      <c r="F38" s="2666"/>
      <c r="G38" s="2609"/>
      <c r="H38" s="2610"/>
      <c r="I38" s="2609">
        <v>0</v>
      </c>
      <c r="J38" s="2610"/>
      <c r="K38" s="63"/>
      <c r="L38" s="77"/>
      <c r="M38" s="78"/>
      <c r="N38" s="78"/>
      <c r="O38" s="2609"/>
      <c r="P38" s="2609"/>
      <c r="Q38" s="2609"/>
      <c r="R38" s="2609"/>
      <c r="S38" s="2609">
        <v>0</v>
      </c>
      <c r="T38" s="2609"/>
    </row>
    <row r="39" spans="1:20" ht="15.75" customHeight="1" x14ac:dyDescent="0.4">
      <c r="A39" s="75" t="s">
        <v>519</v>
      </c>
      <c r="B39" s="79"/>
      <c r="C39" s="60" t="s">
        <v>496</v>
      </c>
      <c r="D39" s="78" t="s">
        <v>497</v>
      </c>
      <c r="E39" s="2697">
        <v>4</v>
      </c>
      <c r="F39" s="2697"/>
      <c r="G39" s="2641">
        <v>47000</v>
      </c>
      <c r="H39" s="2642">
        <v>38202.400000000001</v>
      </c>
      <c r="I39" s="2609">
        <v>188000</v>
      </c>
      <c r="J39" s="2610"/>
      <c r="K39" s="63"/>
      <c r="L39" s="77"/>
      <c r="M39" s="78"/>
      <c r="N39" s="78"/>
      <c r="O39" s="2609"/>
      <c r="P39" s="2609"/>
      <c r="Q39" s="2609"/>
      <c r="R39" s="2609"/>
      <c r="S39" s="2609">
        <v>0</v>
      </c>
      <c r="T39" s="2609"/>
    </row>
    <row r="40" spans="1:20" ht="15.75" customHeight="1" x14ac:dyDescent="0.4">
      <c r="A40" s="75" t="s">
        <v>475</v>
      </c>
      <c r="B40" s="76"/>
      <c r="C40" s="60"/>
      <c r="D40" s="60"/>
      <c r="E40" s="2609"/>
      <c r="F40" s="2609"/>
      <c r="G40" s="2609"/>
      <c r="H40" s="2610"/>
      <c r="I40" s="2609">
        <v>0</v>
      </c>
      <c r="J40" s="2610"/>
      <c r="K40" s="63"/>
      <c r="L40" s="77"/>
      <c r="M40" s="77"/>
      <c r="N40" s="77"/>
      <c r="O40" s="2609"/>
      <c r="P40" s="2609"/>
      <c r="Q40" s="2609"/>
      <c r="R40" s="2609"/>
      <c r="S40" s="2609"/>
      <c r="T40" s="2609"/>
    </row>
    <row r="41" spans="1:20" ht="15.75" customHeight="1" x14ac:dyDescent="0.4">
      <c r="A41" s="2689" t="s">
        <v>520</v>
      </c>
      <c r="B41" s="2690"/>
      <c r="C41" s="60"/>
      <c r="D41" s="60"/>
      <c r="E41" s="2665"/>
      <c r="F41" s="2666"/>
      <c r="G41" s="2609"/>
      <c r="H41" s="2610"/>
      <c r="I41" s="2609">
        <v>0</v>
      </c>
      <c r="J41" s="2610"/>
      <c r="K41" s="63"/>
      <c r="L41" s="80" t="s">
        <v>521</v>
      </c>
      <c r="M41" s="81"/>
      <c r="N41" s="81"/>
      <c r="O41" s="2695"/>
      <c r="P41" s="2696"/>
      <c r="Q41" s="2695"/>
      <c r="R41" s="2696"/>
      <c r="S41" s="2693">
        <v>4738797.2028000001</v>
      </c>
      <c r="T41" s="2694"/>
    </row>
    <row r="42" spans="1:20" ht="15.75" customHeight="1" x14ac:dyDescent="0.4">
      <c r="A42" s="75" t="s">
        <v>522</v>
      </c>
      <c r="B42" s="76"/>
      <c r="C42" s="60"/>
      <c r="D42" s="60"/>
      <c r="E42" s="2665"/>
      <c r="F42" s="2666"/>
      <c r="G42" s="2609"/>
      <c r="H42" s="2610"/>
      <c r="I42" s="2609">
        <v>0</v>
      </c>
      <c r="J42" s="2610"/>
      <c r="K42" s="63"/>
      <c r="L42" s="82" t="s">
        <v>523</v>
      </c>
      <c r="M42" s="83"/>
      <c r="N42" s="83"/>
      <c r="O42" s="84"/>
      <c r="P42" s="84"/>
      <c r="Q42" s="84"/>
      <c r="R42" s="84"/>
      <c r="S42" s="84"/>
      <c r="T42" s="85"/>
    </row>
    <row r="43" spans="1:20" ht="15.75" customHeight="1" x14ac:dyDescent="0.4">
      <c r="A43" s="2689" t="s">
        <v>524</v>
      </c>
      <c r="B43" s="2690"/>
      <c r="C43" s="60" t="s">
        <v>496</v>
      </c>
      <c r="D43" s="60" t="s">
        <v>497</v>
      </c>
      <c r="E43" s="2665">
        <v>2</v>
      </c>
      <c r="F43" s="2666"/>
      <c r="G43" s="2641">
        <v>47000</v>
      </c>
      <c r="H43" s="2642">
        <v>38202.400000000001</v>
      </c>
      <c r="I43" s="2609">
        <v>94000</v>
      </c>
      <c r="J43" s="2610"/>
      <c r="K43" s="63"/>
      <c r="L43" s="86" t="s">
        <v>525</v>
      </c>
      <c r="M43" s="87"/>
      <c r="N43" s="58"/>
      <c r="O43" s="88"/>
      <c r="P43" s="88"/>
      <c r="Q43" s="88"/>
      <c r="R43" s="88"/>
      <c r="S43" s="2656">
        <v>399921.89590629726</v>
      </c>
      <c r="T43" s="2570"/>
    </row>
    <row r="44" spans="1:20" ht="15.75" customHeight="1" x14ac:dyDescent="0.4">
      <c r="A44" s="75" t="s">
        <v>526</v>
      </c>
      <c r="B44" s="76"/>
      <c r="C44" s="60"/>
      <c r="D44" s="60"/>
      <c r="E44" s="2665"/>
      <c r="F44" s="2666"/>
      <c r="G44" s="2609"/>
      <c r="H44" s="2610"/>
      <c r="I44" s="2609">
        <v>0</v>
      </c>
      <c r="J44" s="2610"/>
      <c r="K44" s="63"/>
      <c r="L44" s="71" t="s">
        <v>527</v>
      </c>
      <c r="M44" s="58"/>
      <c r="N44" s="58"/>
      <c r="O44" s="88"/>
      <c r="P44" s="88"/>
      <c r="Q44" s="88"/>
      <c r="R44" s="88"/>
      <c r="S44" s="2788">
        <v>185776</v>
      </c>
      <c r="T44" s="2568"/>
    </row>
    <row r="45" spans="1:20" ht="15.75" customHeight="1" x14ac:dyDescent="0.4">
      <c r="A45" s="71" t="s">
        <v>528</v>
      </c>
      <c r="B45" s="74"/>
      <c r="C45" s="78" t="s">
        <v>496</v>
      </c>
      <c r="D45" s="78" t="s">
        <v>497</v>
      </c>
      <c r="E45" s="2697">
        <v>2</v>
      </c>
      <c r="F45" s="2697"/>
      <c r="G45" s="2641">
        <v>47000</v>
      </c>
      <c r="H45" s="2642">
        <v>38202.400000000001</v>
      </c>
      <c r="I45" s="2609">
        <v>94000</v>
      </c>
      <c r="J45" s="2610"/>
      <c r="K45" s="63"/>
      <c r="L45" s="90" t="s">
        <v>529</v>
      </c>
      <c r="M45" s="58"/>
      <c r="N45" s="58"/>
      <c r="O45" s="88"/>
      <c r="P45" s="88"/>
      <c r="Q45" s="88"/>
      <c r="R45" s="88"/>
      <c r="S45" s="2788">
        <v>874240</v>
      </c>
      <c r="T45" s="2568"/>
    </row>
    <row r="46" spans="1:20" ht="15.75" customHeight="1" x14ac:dyDescent="0.4">
      <c r="A46" s="2689" t="s">
        <v>530</v>
      </c>
      <c r="B46" s="2690"/>
      <c r="C46" s="60" t="s">
        <v>496</v>
      </c>
      <c r="D46" s="60" t="s">
        <v>497</v>
      </c>
      <c r="E46" s="2609">
        <v>2</v>
      </c>
      <c r="F46" s="2609"/>
      <c r="G46" s="2641">
        <v>47000</v>
      </c>
      <c r="H46" s="2642">
        <v>38202.400000000001</v>
      </c>
      <c r="I46" s="2609">
        <v>94000</v>
      </c>
      <c r="J46" s="2610"/>
      <c r="K46" s="63"/>
      <c r="L46" s="90" t="s">
        <v>531</v>
      </c>
      <c r="M46" s="91"/>
      <c r="N46" s="58"/>
      <c r="O46" s="88"/>
      <c r="P46" s="88"/>
      <c r="Q46" s="88"/>
      <c r="R46" s="88"/>
      <c r="S46" s="2656">
        <v>599882.84385944589</v>
      </c>
      <c r="T46" s="2570"/>
    </row>
    <row r="47" spans="1:20" ht="15.75" customHeight="1" x14ac:dyDescent="0.4">
      <c r="A47" s="75" t="s">
        <v>532</v>
      </c>
      <c r="B47" s="76"/>
      <c r="C47" s="60" t="s">
        <v>496</v>
      </c>
      <c r="D47" s="60" t="s">
        <v>497</v>
      </c>
      <c r="E47" s="2665">
        <v>7</v>
      </c>
      <c r="F47" s="2666"/>
      <c r="G47" s="2641">
        <v>47000</v>
      </c>
      <c r="H47" s="2642">
        <v>38202.400000000001</v>
      </c>
      <c r="I47" s="2609">
        <v>329000</v>
      </c>
      <c r="J47" s="2610"/>
      <c r="K47" s="63"/>
      <c r="L47" s="92" t="s">
        <v>504</v>
      </c>
      <c r="M47" s="93"/>
      <c r="N47" s="93"/>
      <c r="O47" s="94"/>
      <c r="P47" s="94"/>
      <c r="Q47" s="94"/>
      <c r="R47" s="94"/>
      <c r="S47" s="2789"/>
      <c r="T47" s="2790"/>
    </row>
    <row r="48" spans="1:20" ht="15.75" customHeight="1" x14ac:dyDescent="0.4">
      <c r="A48" s="75" t="s">
        <v>454</v>
      </c>
      <c r="B48" s="76"/>
      <c r="C48" s="60" t="s">
        <v>496</v>
      </c>
      <c r="D48" s="60" t="s">
        <v>496</v>
      </c>
      <c r="E48" s="2665">
        <v>3</v>
      </c>
      <c r="F48" s="2666"/>
      <c r="G48" s="2641">
        <v>47000</v>
      </c>
      <c r="H48" s="2642">
        <v>38202.400000000001</v>
      </c>
      <c r="I48" s="2609">
        <v>141000</v>
      </c>
      <c r="J48" s="2610"/>
      <c r="K48" s="63"/>
      <c r="L48" s="95" t="s">
        <v>533</v>
      </c>
      <c r="M48" s="96"/>
      <c r="N48" s="96"/>
      <c r="O48" s="97"/>
      <c r="P48" s="97"/>
      <c r="Q48" s="97"/>
      <c r="R48" s="97"/>
      <c r="S48" s="2657">
        <v>2059820.7397657433</v>
      </c>
      <c r="T48" s="2658"/>
    </row>
    <row r="49" spans="1:22" ht="15.75" customHeight="1" x14ac:dyDescent="0.4">
      <c r="A49" s="2689" t="s">
        <v>534</v>
      </c>
      <c r="B49" s="2690"/>
      <c r="C49" s="60"/>
      <c r="D49" s="60"/>
      <c r="E49" s="2609"/>
      <c r="F49" s="2609"/>
      <c r="G49" s="2609"/>
      <c r="H49" s="2610"/>
      <c r="I49" s="2609">
        <v>0</v>
      </c>
      <c r="J49" s="2610"/>
      <c r="K49" s="63"/>
      <c r="L49" s="98"/>
      <c r="M49" s="58"/>
      <c r="N49" s="58"/>
      <c r="O49" s="88"/>
      <c r="P49" s="88"/>
      <c r="Q49" s="88"/>
      <c r="R49" s="88"/>
      <c r="S49" s="88"/>
      <c r="T49" s="89"/>
    </row>
    <row r="50" spans="1:22" ht="15.75" customHeight="1" thickBot="1" x14ac:dyDescent="0.45">
      <c r="A50" s="2689" t="s">
        <v>535</v>
      </c>
      <c r="B50" s="2690"/>
      <c r="C50" s="60"/>
      <c r="D50" s="60"/>
      <c r="E50" s="2665"/>
      <c r="F50" s="2666"/>
      <c r="G50" s="2609"/>
      <c r="H50" s="2610"/>
      <c r="I50" s="2609">
        <v>0</v>
      </c>
      <c r="J50" s="2610"/>
      <c r="K50" s="63"/>
      <c r="L50" s="99" t="s">
        <v>536</v>
      </c>
      <c r="M50" s="100"/>
      <c r="N50" s="100"/>
      <c r="O50" s="100"/>
      <c r="P50" s="100"/>
      <c r="Q50" s="100"/>
      <c r="R50" s="100"/>
      <c r="S50" s="2659">
        <v>12057868.137423173</v>
      </c>
      <c r="T50" s="2660"/>
      <c r="V50" s="1047">
        <f>'TOTAL TRANSITORIOS'!W12</f>
        <v>12057868.137423173</v>
      </c>
    </row>
    <row r="51" spans="1:22" ht="15.75" customHeight="1" thickBot="1" x14ac:dyDescent="0.45">
      <c r="A51" s="71" t="s">
        <v>537</v>
      </c>
      <c r="B51" s="74"/>
      <c r="C51" s="78"/>
      <c r="D51" s="78"/>
      <c r="E51" s="2609"/>
      <c r="F51" s="2610"/>
      <c r="G51" s="2609"/>
      <c r="H51" s="2610"/>
      <c r="I51" s="2609">
        <v>0</v>
      </c>
      <c r="J51" s="2610"/>
      <c r="K51" s="63"/>
      <c r="L51" s="58"/>
      <c r="M51" s="58"/>
      <c r="N51" s="58"/>
      <c r="O51" s="58"/>
      <c r="P51" s="58"/>
      <c r="Q51" s="58"/>
      <c r="R51" s="58"/>
      <c r="S51" s="58"/>
      <c r="T51" s="58"/>
    </row>
    <row r="52" spans="1:22" ht="15.75" customHeight="1" x14ac:dyDescent="0.4">
      <c r="A52" s="71" t="s">
        <v>538</v>
      </c>
      <c r="B52" s="74"/>
      <c r="C52" s="78"/>
      <c r="D52" s="78"/>
      <c r="E52" s="2609"/>
      <c r="F52" s="2610"/>
      <c r="G52" s="2609"/>
      <c r="H52" s="2610"/>
      <c r="I52" s="2609">
        <v>0</v>
      </c>
      <c r="J52" s="2610"/>
      <c r="K52" s="63"/>
      <c r="L52" s="58"/>
      <c r="M52" s="2582" t="s">
        <v>539</v>
      </c>
      <c r="N52" s="2583"/>
      <c r="O52" s="2583"/>
      <c r="P52" s="2583"/>
      <c r="Q52" s="2584"/>
      <c r="R52" s="58"/>
      <c r="S52" s="58"/>
      <c r="T52" s="58"/>
    </row>
    <row r="53" spans="1:22" ht="15.75" customHeight="1" x14ac:dyDescent="0.4">
      <c r="A53" s="71" t="s">
        <v>540</v>
      </c>
      <c r="B53" s="74"/>
      <c r="C53" s="78"/>
      <c r="D53" s="78"/>
      <c r="E53" s="2609"/>
      <c r="F53" s="2610"/>
      <c r="G53" s="2609"/>
      <c r="H53" s="2610"/>
      <c r="I53" s="2609">
        <v>0</v>
      </c>
      <c r="J53" s="2610"/>
      <c r="K53" s="63"/>
      <c r="L53" s="58"/>
      <c r="M53" s="101" t="s">
        <v>541</v>
      </c>
      <c r="N53" s="102"/>
      <c r="O53" s="102"/>
      <c r="P53" s="102"/>
      <c r="Q53" s="103">
        <v>2.501117318435754</v>
      </c>
      <c r="R53" s="58"/>
      <c r="S53" s="58"/>
      <c r="T53" s="58"/>
      <c r="U53" s="37" t="s">
        <v>542</v>
      </c>
    </row>
    <row r="54" spans="1:22" ht="15.75" customHeight="1" x14ac:dyDescent="0.4">
      <c r="A54" s="71" t="s">
        <v>543</v>
      </c>
      <c r="B54" s="74"/>
      <c r="C54" s="78"/>
      <c r="D54" s="78"/>
      <c r="E54" s="2609"/>
      <c r="F54" s="2610"/>
      <c r="G54" s="2609"/>
      <c r="H54" s="2610"/>
      <c r="I54" s="2609">
        <v>0</v>
      </c>
      <c r="J54" s="2610"/>
      <c r="K54" s="63"/>
      <c r="L54" s="58"/>
      <c r="M54" s="104" t="s">
        <v>544</v>
      </c>
      <c r="N54" s="102"/>
      <c r="O54" s="102"/>
      <c r="P54" s="105"/>
      <c r="Q54" s="106">
        <v>12057868.137423173</v>
      </c>
      <c r="R54" s="58"/>
      <c r="S54" s="58"/>
      <c r="T54" s="58"/>
      <c r="U54" s="37"/>
    </row>
    <row r="55" spans="1:22" ht="15.75" customHeight="1" x14ac:dyDescent="0.4">
      <c r="A55" s="73" t="s">
        <v>545</v>
      </c>
      <c r="B55" s="74"/>
      <c r="C55" s="78"/>
      <c r="D55" s="78"/>
      <c r="E55" s="2609"/>
      <c r="F55" s="2610"/>
      <c r="G55" s="2609"/>
      <c r="H55" s="2610"/>
      <c r="I55" s="2661">
        <v>2969719.7282574303</v>
      </c>
      <c r="J55" s="2662"/>
      <c r="K55" s="61"/>
      <c r="L55" s="58"/>
      <c r="M55" s="101" t="s">
        <v>546</v>
      </c>
      <c r="N55" s="102"/>
      <c r="O55" s="102"/>
      <c r="P55" s="102"/>
      <c r="Q55" s="106">
        <v>5667200.0000000009</v>
      </c>
      <c r="R55" s="46"/>
      <c r="S55" s="58"/>
      <c r="T55" s="58"/>
      <c r="U55" s="37" t="s">
        <v>542</v>
      </c>
    </row>
    <row r="56" spans="1:22" ht="15.75" customHeight="1" x14ac:dyDescent="0.4">
      <c r="A56" s="71" t="s">
        <v>884</v>
      </c>
      <c r="B56" s="74"/>
      <c r="C56" s="78" t="s">
        <v>496</v>
      </c>
      <c r="D56" s="78" t="s">
        <v>497</v>
      </c>
      <c r="E56" s="2609">
        <v>52</v>
      </c>
      <c r="F56" s="2610"/>
      <c r="G56" s="2641">
        <v>47000</v>
      </c>
      <c r="H56" s="2642">
        <v>38202.400000000001</v>
      </c>
      <c r="I56" s="2609">
        <v>2444000</v>
      </c>
      <c r="J56" s="2610"/>
      <c r="K56" s="63"/>
      <c r="L56" s="58"/>
      <c r="M56" s="101" t="s">
        <v>758</v>
      </c>
      <c r="N56" s="102"/>
      <c r="O56" s="102"/>
      <c r="P56" s="102"/>
      <c r="Q56" s="106">
        <v>14174332.067039108</v>
      </c>
      <c r="R56" s="107"/>
      <c r="S56" s="107"/>
      <c r="T56" s="58"/>
    </row>
    <row r="57" spans="1:22" ht="15.75" customHeight="1" thickBot="1" x14ac:dyDescent="0.45">
      <c r="A57" s="71" t="s">
        <v>548</v>
      </c>
      <c r="B57" s="74"/>
      <c r="C57" s="78"/>
      <c r="D57" s="78"/>
      <c r="E57" s="2609"/>
      <c r="F57" s="2610"/>
      <c r="G57" s="2609"/>
      <c r="H57" s="2610"/>
      <c r="I57" s="2609">
        <v>0</v>
      </c>
      <c r="J57" s="2610"/>
      <c r="K57" s="63"/>
      <c r="L57" s="58"/>
      <c r="M57" s="108" t="s">
        <v>549</v>
      </c>
      <c r="N57" s="109"/>
      <c r="O57" s="109"/>
      <c r="P57" s="109"/>
      <c r="Q57" s="110">
        <v>2116463.9296159353</v>
      </c>
      <c r="R57" s="58"/>
      <c r="S57" s="58"/>
      <c r="T57" s="58"/>
    </row>
    <row r="58" spans="1:22" ht="15.75" customHeight="1" thickBot="1" x14ac:dyDescent="0.45">
      <c r="A58" s="71" t="s">
        <v>550</v>
      </c>
      <c r="B58" s="74"/>
      <c r="C58" s="78" t="s">
        <v>551</v>
      </c>
      <c r="D58" s="78" t="s">
        <v>552</v>
      </c>
      <c r="E58" s="2685">
        <v>2.501117318435754</v>
      </c>
      <c r="F58" s="2698"/>
      <c r="G58" s="2609">
        <v>49418.601600000002</v>
      </c>
      <c r="H58" s="2610">
        <v>40197.32</v>
      </c>
      <c r="I58" s="2609">
        <v>123601.72031463687</v>
      </c>
      <c r="J58" s="2610"/>
      <c r="K58" s="63"/>
      <c r="L58" s="58"/>
      <c r="M58" s="1048" t="s">
        <v>759</v>
      </c>
      <c r="N58" s="1049"/>
      <c r="O58" s="1049"/>
      <c r="P58" s="1049"/>
      <c r="Q58" s="1050">
        <v>17.552554941675076</v>
      </c>
      <c r="R58" s="58"/>
      <c r="S58" s="58"/>
      <c r="T58" s="58"/>
    </row>
    <row r="59" spans="1:22" ht="15.75" customHeight="1" x14ac:dyDescent="0.4">
      <c r="A59" s="71" t="s">
        <v>554</v>
      </c>
      <c r="B59" s="74"/>
      <c r="C59" s="78"/>
      <c r="D59" s="78" t="s">
        <v>460</v>
      </c>
      <c r="E59" s="2609">
        <v>40</v>
      </c>
      <c r="F59" s="2610"/>
      <c r="G59" s="2641">
        <v>551.86400000000003</v>
      </c>
      <c r="H59" s="2642">
        <v>449.44</v>
      </c>
      <c r="I59" s="2609">
        <v>22074.560000000001</v>
      </c>
      <c r="J59" s="2610"/>
      <c r="K59" s="63"/>
      <c r="M59" s="58" t="s">
        <v>553</v>
      </c>
      <c r="Q59" s="58"/>
      <c r="R59" s="58"/>
      <c r="S59" s="58"/>
      <c r="T59" s="58"/>
    </row>
    <row r="60" spans="1:22" ht="15.75" customHeight="1" x14ac:dyDescent="0.4">
      <c r="A60" s="71" t="s">
        <v>555</v>
      </c>
      <c r="B60" s="74"/>
      <c r="C60" s="78"/>
      <c r="D60" s="78"/>
      <c r="E60" s="2685"/>
      <c r="F60" s="2698"/>
      <c r="G60" s="2609"/>
      <c r="H60" s="2610"/>
      <c r="I60" s="2609"/>
      <c r="J60" s="2610"/>
      <c r="K60" s="63"/>
      <c r="L60" s="224" t="s">
        <v>1528</v>
      </c>
      <c r="M60" s="8"/>
      <c r="N60" s="8"/>
      <c r="O60" s="8"/>
      <c r="P60" s="4"/>
      <c r="Q60" s="5"/>
      <c r="R60" s="1979"/>
      <c r="S60" s="272"/>
      <c r="T60" s="58"/>
    </row>
    <row r="61" spans="1:22" ht="15.75" customHeight="1" x14ac:dyDescent="0.4">
      <c r="A61" s="71" t="s">
        <v>615</v>
      </c>
      <c r="B61" s="74"/>
      <c r="C61" s="78"/>
      <c r="D61" s="78" t="s">
        <v>556</v>
      </c>
      <c r="E61" s="2685">
        <v>2.501117318435754</v>
      </c>
      <c r="F61" s="2698"/>
      <c r="G61" s="2609">
        <v>151949.4688</v>
      </c>
      <c r="H61" s="2610">
        <v>123596</v>
      </c>
      <c r="I61" s="2609">
        <v>380043.44794279325</v>
      </c>
      <c r="J61" s="2610"/>
      <c r="K61" s="63"/>
      <c r="L61" s="40" t="s">
        <v>636</v>
      </c>
      <c r="M61" s="40"/>
      <c r="N61" s="40"/>
      <c r="O61" s="40"/>
      <c r="P61" s="58"/>
      <c r="Q61" s="58"/>
      <c r="R61" s="58"/>
      <c r="S61" s="58"/>
      <c r="T61" s="58"/>
    </row>
    <row r="62" spans="1:22" ht="15.75" customHeight="1" thickBot="1" x14ac:dyDescent="0.25">
      <c r="A62" s="111" t="s">
        <v>558</v>
      </c>
      <c r="B62" s="112"/>
      <c r="C62" s="113"/>
      <c r="D62" s="114"/>
      <c r="E62" s="2699">
        <v>75</v>
      </c>
      <c r="F62" s="2700"/>
      <c r="G62" s="2701"/>
      <c r="H62" s="2702"/>
      <c r="I62" s="2699">
        <v>5259250.1948574306</v>
      </c>
      <c r="J62" s="2700"/>
      <c r="K62" s="88"/>
      <c r="L62" s="597" t="s">
        <v>1820</v>
      </c>
      <c r="M62" s="40"/>
      <c r="N62" s="40"/>
      <c r="O62" s="40"/>
      <c r="P62" s="58"/>
      <c r="Q62" s="58"/>
      <c r="R62" s="107"/>
      <c r="S62" s="58"/>
      <c r="T62" s="58"/>
    </row>
    <row r="63" spans="1:22" ht="14.1" customHeight="1" x14ac:dyDescent="0.2">
      <c r="A63" s="40"/>
      <c r="B63" s="40"/>
      <c r="C63" s="41"/>
      <c r="D63" s="41"/>
      <c r="E63" s="41"/>
      <c r="F63" s="41"/>
      <c r="G63" s="42"/>
      <c r="H63" s="42"/>
      <c r="I63" s="44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2" ht="14.1" customHeight="1" x14ac:dyDescent="0.2">
      <c r="A64" s="40"/>
      <c r="B64" s="40"/>
      <c r="C64" s="41"/>
      <c r="D64" s="41"/>
      <c r="E64" s="41"/>
      <c r="F64" s="41"/>
      <c r="G64" s="42"/>
      <c r="H64" s="42"/>
      <c r="I64" s="44"/>
      <c r="J64" s="45"/>
      <c r="K64" s="45"/>
      <c r="L64" s="40"/>
      <c r="M64" s="40"/>
      <c r="N64" s="41"/>
      <c r="O64" s="41"/>
      <c r="P64" s="41"/>
      <c r="Q64" s="41"/>
      <c r="R64" s="45"/>
      <c r="S64" s="45"/>
      <c r="T64" s="45"/>
    </row>
    <row r="65" spans="1:22" ht="14.1" customHeight="1" x14ac:dyDescent="0.2">
      <c r="A65" s="2654"/>
      <c r="B65" s="2654"/>
      <c r="C65" s="2654"/>
      <c r="D65" s="2654"/>
      <c r="E65" s="2654"/>
      <c r="F65" s="2654"/>
      <c r="G65" s="2654"/>
      <c r="H65" s="2654"/>
      <c r="I65" s="2654"/>
      <c r="J65" s="2654"/>
      <c r="K65" s="2654"/>
      <c r="L65" s="2654"/>
      <c r="M65" s="2654"/>
      <c r="N65" s="2654"/>
      <c r="O65" s="2654"/>
      <c r="P65" s="2654"/>
      <c r="Q65" s="2654"/>
      <c r="R65" s="2654"/>
      <c r="S65" s="2654"/>
      <c r="T65" s="2654"/>
    </row>
    <row r="66" spans="1:22" ht="14.1" customHeight="1" x14ac:dyDescent="0.2">
      <c r="A66" s="2654"/>
      <c r="B66" s="2654"/>
      <c r="C66" s="2654"/>
      <c r="D66" s="2654"/>
      <c r="E66" s="2654"/>
      <c r="F66" s="2654"/>
      <c r="G66" s="2654"/>
      <c r="H66" s="2654"/>
      <c r="I66" s="2654"/>
      <c r="J66" s="2654"/>
      <c r="K66" s="2654"/>
      <c r="L66" s="2654"/>
      <c r="M66" s="2654"/>
      <c r="N66" s="2654"/>
      <c r="O66" s="2654"/>
      <c r="P66" s="2654"/>
      <c r="Q66" s="2654"/>
      <c r="R66" s="2654"/>
      <c r="S66" s="2654"/>
      <c r="T66" s="2654"/>
    </row>
    <row r="67" spans="1:22" ht="14.1" customHeight="1" x14ac:dyDescent="0.2">
      <c r="A67" s="46"/>
      <c r="B67" s="2079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</row>
    <row r="68" spans="1:22" ht="14.1" customHeight="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</row>
    <row r="69" spans="1:22" ht="14.1" customHeight="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</row>
    <row r="70" spans="1:22" ht="14.1" customHeight="1" x14ac:dyDescent="0.2">
      <c r="A70" s="40"/>
      <c r="B70" s="40"/>
      <c r="C70" s="41"/>
      <c r="D70" s="41"/>
      <c r="E70" s="41"/>
      <c r="F70" s="41"/>
      <c r="G70" s="42"/>
      <c r="H70" s="42"/>
      <c r="I70" s="44"/>
      <c r="J70" s="45"/>
      <c r="K70" s="45"/>
      <c r="L70" s="40"/>
      <c r="M70" s="40"/>
      <c r="N70" s="41"/>
      <c r="O70" s="41"/>
      <c r="P70" s="41"/>
      <c r="Q70" s="41"/>
      <c r="R70" s="45"/>
      <c r="S70" s="45"/>
      <c r="T70" s="45"/>
    </row>
    <row r="71" spans="1:22" ht="20.25" customHeight="1" x14ac:dyDescent="0.2">
      <c r="A71" s="2654" t="s">
        <v>1908</v>
      </c>
      <c r="B71" s="2654"/>
      <c r="C71" s="2654"/>
      <c r="D71" s="2654"/>
      <c r="E71" s="2654"/>
      <c r="F71" s="2654"/>
      <c r="G71" s="2654"/>
      <c r="H71" s="2654"/>
      <c r="I71" s="2654"/>
      <c r="J71" s="2654"/>
      <c r="K71" s="2654"/>
      <c r="L71" s="2654"/>
      <c r="M71" s="2654"/>
      <c r="N71" s="2654"/>
      <c r="O71" s="2654"/>
      <c r="P71" s="2654"/>
      <c r="Q71" s="2654"/>
      <c r="R71" s="2654"/>
      <c r="S71" s="2654"/>
      <c r="T71" s="2654"/>
    </row>
    <row r="72" spans="1:22" ht="14.1" customHeight="1" x14ac:dyDescent="0.2">
      <c r="A72" s="40"/>
      <c r="B72" s="40"/>
      <c r="C72" s="115"/>
      <c r="D72" s="41"/>
      <c r="E72" s="41"/>
      <c r="F72" s="41"/>
      <c r="G72" s="42"/>
      <c r="H72" s="42"/>
      <c r="I72" s="44"/>
      <c r="J72" s="45"/>
      <c r="K72" s="45"/>
      <c r="L72" s="40"/>
      <c r="M72" s="40"/>
      <c r="N72" s="115"/>
      <c r="O72" s="45"/>
      <c r="P72" s="45"/>
      <c r="Q72" s="45"/>
      <c r="R72" s="45"/>
      <c r="S72" s="45"/>
      <c r="T72" s="45"/>
    </row>
    <row r="73" spans="1:22" ht="14.1" customHeight="1" thickBot="1" x14ac:dyDescent="0.25">
      <c r="A73" s="40"/>
      <c r="B73" s="40"/>
      <c r="C73" s="41"/>
      <c r="D73" s="41"/>
      <c r="E73" s="41"/>
      <c r="F73" s="41"/>
      <c r="G73" s="42"/>
      <c r="H73" s="42"/>
      <c r="I73" s="44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</row>
    <row r="74" spans="1:22" ht="15.75" customHeight="1" x14ac:dyDescent="0.3">
      <c r="A74" s="2612" t="s">
        <v>435</v>
      </c>
      <c r="B74" s="2613"/>
      <c r="C74" s="2618" t="s">
        <v>436</v>
      </c>
      <c r="D74" s="2619"/>
      <c r="E74" s="2619"/>
      <c r="F74" s="2620"/>
      <c r="G74" s="2624" t="s">
        <v>437</v>
      </c>
      <c r="H74" s="2625"/>
      <c r="I74" s="2618" t="s">
        <v>439</v>
      </c>
      <c r="J74" s="2620"/>
      <c r="K74" s="49"/>
      <c r="L74" s="2626" t="s">
        <v>435</v>
      </c>
      <c r="M74" s="2619" t="s">
        <v>436</v>
      </c>
      <c r="N74" s="2619"/>
      <c r="O74" s="2619"/>
      <c r="P74" s="2620"/>
      <c r="Q74" s="2624" t="s">
        <v>437</v>
      </c>
      <c r="R74" s="2625"/>
      <c r="S74" s="2618" t="s">
        <v>439</v>
      </c>
      <c r="T74" s="2649"/>
    </row>
    <row r="75" spans="1:22" ht="15.75" customHeight="1" thickBot="1" x14ac:dyDescent="0.35">
      <c r="A75" s="2614"/>
      <c r="B75" s="2615"/>
      <c r="C75" s="2621"/>
      <c r="D75" s="2622"/>
      <c r="E75" s="2622"/>
      <c r="F75" s="2623"/>
      <c r="G75" s="2629" t="s">
        <v>440</v>
      </c>
      <c r="H75" s="2630"/>
      <c r="I75" s="2631"/>
      <c r="J75" s="2632"/>
      <c r="K75" s="49"/>
      <c r="L75" s="2627"/>
      <c r="M75" s="2622"/>
      <c r="N75" s="2622"/>
      <c r="O75" s="2622"/>
      <c r="P75" s="2623"/>
      <c r="Q75" s="2629" t="s">
        <v>440</v>
      </c>
      <c r="R75" s="2630"/>
      <c r="S75" s="2631"/>
      <c r="T75" s="2650"/>
    </row>
    <row r="76" spans="1:22" ht="15.75" customHeight="1" x14ac:dyDescent="0.3">
      <c r="A76" s="2614"/>
      <c r="B76" s="2615"/>
      <c r="C76" s="53" t="s">
        <v>441</v>
      </c>
      <c r="D76" s="2670" t="s">
        <v>442</v>
      </c>
      <c r="E76" s="2631" t="s">
        <v>443</v>
      </c>
      <c r="F76" s="2632"/>
      <c r="G76" s="2629" t="s">
        <v>444</v>
      </c>
      <c r="H76" s="2630"/>
      <c r="I76" s="2631" t="s">
        <v>348</v>
      </c>
      <c r="J76" s="2632"/>
      <c r="K76" s="49"/>
      <c r="L76" s="2627"/>
      <c r="M76" s="51" t="s">
        <v>441</v>
      </c>
      <c r="N76" s="2670" t="s">
        <v>442</v>
      </c>
      <c r="O76" s="2631" t="s">
        <v>443</v>
      </c>
      <c r="P76" s="2632"/>
      <c r="Q76" s="2629" t="s">
        <v>444</v>
      </c>
      <c r="R76" s="2630"/>
      <c r="S76" s="2631" t="s">
        <v>348</v>
      </c>
      <c r="T76" s="2650"/>
    </row>
    <row r="77" spans="1:22" ht="15.75" customHeight="1" thickBot="1" x14ac:dyDescent="0.35">
      <c r="A77" s="2616"/>
      <c r="B77" s="2617"/>
      <c r="C77" s="54" t="s">
        <v>445</v>
      </c>
      <c r="D77" s="2634"/>
      <c r="E77" s="2621"/>
      <c r="F77" s="2623"/>
      <c r="G77" s="2561"/>
      <c r="H77" s="2562"/>
      <c r="I77" s="2635"/>
      <c r="J77" s="2636"/>
      <c r="K77" s="49"/>
      <c r="L77" s="2628"/>
      <c r="M77" s="50" t="s">
        <v>445</v>
      </c>
      <c r="N77" s="2634"/>
      <c r="O77" s="2621"/>
      <c r="P77" s="2623"/>
      <c r="Q77" s="2561"/>
      <c r="R77" s="2562"/>
      <c r="S77" s="2652"/>
      <c r="T77" s="2653"/>
    </row>
    <row r="78" spans="1:22" ht="15.75" customHeight="1" x14ac:dyDescent="0.4">
      <c r="A78" s="55" t="s">
        <v>446</v>
      </c>
      <c r="B78" s="56"/>
      <c r="C78" s="57"/>
      <c r="D78" s="57"/>
      <c r="E78" s="2671"/>
      <c r="F78" s="2672"/>
      <c r="G78" s="2669"/>
      <c r="H78" s="2673"/>
      <c r="I78" s="2674"/>
      <c r="J78" s="2675"/>
      <c r="K78" s="45"/>
      <c r="L78" s="59" t="s">
        <v>447</v>
      </c>
      <c r="M78" s="57"/>
      <c r="N78" s="57"/>
      <c r="O78" s="2669"/>
      <c r="P78" s="2669"/>
      <c r="Q78" s="2669"/>
      <c r="R78" s="2669"/>
      <c r="S78" s="2669"/>
      <c r="T78" s="2669"/>
      <c r="V78" s="2006"/>
    </row>
    <row r="79" spans="1:22" ht="15.75" customHeight="1" x14ac:dyDescent="0.4">
      <c r="A79" s="2667" t="s">
        <v>448</v>
      </c>
      <c r="B79" s="2668"/>
      <c r="C79" s="60"/>
      <c r="D79" s="60"/>
      <c r="E79" s="2665"/>
      <c r="F79" s="2666"/>
      <c r="G79" s="2609"/>
      <c r="H79" s="2610"/>
      <c r="I79" s="2661">
        <v>0</v>
      </c>
      <c r="J79" s="2662"/>
      <c r="K79" s="121"/>
      <c r="L79" s="62"/>
      <c r="M79" s="60"/>
      <c r="N79" s="60"/>
      <c r="O79" s="2609"/>
      <c r="P79" s="2609"/>
      <c r="Q79" s="2609"/>
      <c r="R79" s="2609"/>
      <c r="S79" s="2609"/>
      <c r="T79" s="2609"/>
    </row>
    <row r="80" spans="1:22" ht="15.75" customHeight="1" x14ac:dyDescent="0.4">
      <c r="A80" s="2663" t="s">
        <v>449</v>
      </c>
      <c r="B80" s="2664"/>
      <c r="C80" s="60"/>
      <c r="D80" s="60"/>
      <c r="E80" s="2665"/>
      <c r="F80" s="2666"/>
      <c r="G80" s="2609"/>
      <c r="H80" s="2610"/>
      <c r="I80" s="2609">
        <v>0</v>
      </c>
      <c r="J80" s="2610"/>
      <c r="K80" s="124"/>
      <c r="L80" s="62" t="s">
        <v>559</v>
      </c>
      <c r="M80" s="60"/>
      <c r="N80" s="60" t="s">
        <v>452</v>
      </c>
      <c r="O80" s="2609">
        <v>175</v>
      </c>
      <c r="P80" s="2609"/>
      <c r="Q80" s="2609">
        <v>6768.8032000000003</v>
      </c>
      <c r="R80" s="2609"/>
      <c r="S80" s="2609">
        <v>1184540.56</v>
      </c>
      <c r="T80" s="2609"/>
    </row>
    <row r="81" spans="1:25" ht="15.75" customHeight="1" x14ac:dyDescent="0.4">
      <c r="A81" s="2663" t="s">
        <v>453</v>
      </c>
      <c r="B81" s="2664"/>
      <c r="C81" s="60"/>
      <c r="D81" s="60"/>
      <c r="E81" s="2665"/>
      <c r="F81" s="2666"/>
      <c r="G81" s="2609"/>
      <c r="H81" s="2610"/>
      <c r="I81" s="2609">
        <v>0</v>
      </c>
      <c r="J81" s="2610"/>
      <c r="K81" s="124"/>
      <c r="L81" s="62" t="s">
        <v>454</v>
      </c>
      <c r="M81" s="1944"/>
      <c r="N81" s="60"/>
      <c r="O81" s="2609"/>
      <c r="P81" s="2609"/>
      <c r="Q81" s="2609"/>
      <c r="R81" s="2609"/>
      <c r="S81" s="2609">
        <v>0</v>
      </c>
      <c r="T81" s="2609"/>
    </row>
    <row r="82" spans="1:25" ht="15.75" customHeight="1" x14ac:dyDescent="0.4">
      <c r="A82" s="2663" t="s">
        <v>455</v>
      </c>
      <c r="B82" s="2664"/>
      <c r="C82" s="60"/>
      <c r="D82" s="60"/>
      <c r="E82" s="2665"/>
      <c r="F82" s="2665"/>
      <c r="G82" s="2609"/>
      <c r="H82" s="2610"/>
      <c r="I82" s="2609">
        <v>0</v>
      </c>
      <c r="J82" s="2610"/>
      <c r="K82" s="124"/>
      <c r="L82" s="77" t="s">
        <v>458</v>
      </c>
      <c r="M82" s="2080" t="s">
        <v>1617</v>
      </c>
      <c r="N82" s="60" t="s">
        <v>809</v>
      </c>
      <c r="O82" s="2703">
        <v>3.5</v>
      </c>
      <c r="P82" s="2704"/>
      <c r="Q82" s="2676">
        <v>164123</v>
      </c>
      <c r="R82" s="2676"/>
      <c r="S82" s="2609">
        <v>574430.5</v>
      </c>
      <c r="T82" s="2609"/>
    </row>
    <row r="83" spans="1:25" ht="15.75" customHeight="1" x14ac:dyDescent="0.2">
      <c r="A83" s="2677" t="s">
        <v>560</v>
      </c>
      <c r="B83" s="2678"/>
      <c r="C83" s="60"/>
      <c r="D83" s="60"/>
      <c r="E83" s="2665"/>
      <c r="F83" s="2665"/>
      <c r="G83" s="2609"/>
      <c r="H83" s="2609"/>
      <c r="I83" s="2661">
        <v>599675.95039999997</v>
      </c>
      <c r="J83" s="2661"/>
      <c r="K83" s="126"/>
      <c r="L83" s="77" t="s">
        <v>458</v>
      </c>
      <c r="M83" s="2080" t="s">
        <v>1618</v>
      </c>
      <c r="N83" s="60" t="s">
        <v>809</v>
      </c>
      <c r="O83" s="2703">
        <v>1</v>
      </c>
      <c r="P83" s="2704"/>
      <c r="Q83" s="2641">
        <v>87816.315199999997</v>
      </c>
      <c r="R83" s="2641"/>
      <c r="S83" s="2609">
        <v>87816.315199999997</v>
      </c>
      <c r="T83" s="2609"/>
      <c r="V83" s="1646"/>
    </row>
    <row r="84" spans="1:25" ht="15.75" customHeight="1" x14ac:dyDescent="0.4">
      <c r="A84" s="65" t="s">
        <v>461</v>
      </c>
      <c r="B84" s="66"/>
      <c r="C84" s="60"/>
      <c r="D84" s="60"/>
      <c r="E84" s="2665"/>
      <c r="F84" s="2665"/>
      <c r="G84" s="2609"/>
      <c r="H84" s="2610"/>
      <c r="I84" s="2609">
        <v>0</v>
      </c>
      <c r="J84" s="2610"/>
      <c r="K84" s="124"/>
      <c r="L84" s="77" t="s">
        <v>458</v>
      </c>
      <c r="M84" s="2080" t="s">
        <v>1619</v>
      </c>
      <c r="N84" s="60" t="s">
        <v>809</v>
      </c>
      <c r="O84" s="2703">
        <v>2</v>
      </c>
      <c r="P84" s="2704"/>
      <c r="Q84" s="2679">
        <v>149734</v>
      </c>
      <c r="R84" s="2679"/>
      <c r="S84" s="2609">
        <v>299468</v>
      </c>
      <c r="T84" s="2609"/>
    </row>
    <row r="85" spans="1:25" ht="15.75" customHeight="1" x14ac:dyDescent="0.4">
      <c r="A85" s="67" t="s">
        <v>463</v>
      </c>
      <c r="B85" s="68"/>
      <c r="C85" s="60"/>
      <c r="D85" s="60"/>
      <c r="E85" s="2665"/>
      <c r="F85" s="2665"/>
      <c r="G85" s="2609"/>
      <c r="H85" s="2610"/>
      <c r="I85" s="2609">
        <v>0</v>
      </c>
      <c r="J85" s="2610"/>
      <c r="K85" s="124"/>
      <c r="L85" s="77" t="s">
        <v>1177</v>
      </c>
      <c r="M85" s="2081" t="s">
        <v>1610</v>
      </c>
      <c r="N85" s="60" t="s">
        <v>809</v>
      </c>
      <c r="O85" s="2703">
        <v>2</v>
      </c>
      <c r="P85" s="2704"/>
      <c r="Q85" s="2609">
        <v>112013.0928</v>
      </c>
      <c r="R85" s="2609"/>
      <c r="S85" s="2609">
        <v>224026.1856</v>
      </c>
      <c r="T85" s="2609"/>
    </row>
    <row r="86" spans="1:25" ht="15.75" customHeight="1" x14ac:dyDescent="0.4">
      <c r="A86" s="65" t="s">
        <v>465</v>
      </c>
      <c r="B86" s="66"/>
      <c r="C86" s="60" t="s">
        <v>466</v>
      </c>
      <c r="D86" s="60" t="s">
        <v>564</v>
      </c>
      <c r="E86" s="2665">
        <v>2</v>
      </c>
      <c r="F86" s="2665"/>
      <c r="G86" s="2609">
        <v>113332.1024</v>
      </c>
      <c r="H86" s="2610">
        <v>92185.02</v>
      </c>
      <c r="I86" s="2609">
        <v>226664.20480000001</v>
      </c>
      <c r="J86" s="2610"/>
      <c r="K86" s="124"/>
      <c r="L86" s="77" t="s">
        <v>1177</v>
      </c>
      <c r="M86" s="2080" t="s">
        <v>1611</v>
      </c>
      <c r="N86" s="60" t="s">
        <v>809</v>
      </c>
      <c r="O86" s="2703">
        <v>1</v>
      </c>
      <c r="P86" s="2704"/>
      <c r="Q86" s="2609">
        <v>95175.2304</v>
      </c>
      <c r="R86" s="2609"/>
      <c r="S86" s="2609">
        <v>95175.2304</v>
      </c>
      <c r="T86" s="2609"/>
    </row>
    <row r="87" spans="1:25" ht="15.75" customHeight="1" x14ac:dyDescent="0.4">
      <c r="A87" s="65" t="s">
        <v>469</v>
      </c>
      <c r="B87" s="66"/>
      <c r="C87" s="60" t="s">
        <v>466</v>
      </c>
      <c r="D87" s="60" t="s">
        <v>564</v>
      </c>
      <c r="E87" s="2665">
        <v>1</v>
      </c>
      <c r="F87" s="2665"/>
      <c r="G87" s="2609">
        <v>212679.64319999999</v>
      </c>
      <c r="H87" s="2610">
        <v>172995.18</v>
      </c>
      <c r="I87" s="2609">
        <v>212679.64319999999</v>
      </c>
      <c r="J87" s="2610"/>
      <c r="K87" s="124"/>
      <c r="L87" s="77" t="s">
        <v>1609</v>
      </c>
      <c r="M87" s="2080" t="s">
        <v>1612</v>
      </c>
      <c r="N87" s="60" t="s">
        <v>809</v>
      </c>
      <c r="O87" s="2703">
        <v>4</v>
      </c>
      <c r="P87" s="2704"/>
      <c r="Q87" s="2609">
        <v>101032.6384</v>
      </c>
      <c r="R87" s="2609"/>
      <c r="S87" s="2609">
        <v>404130.55359999998</v>
      </c>
      <c r="T87" s="2609"/>
    </row>
    <row r="88" spans="1:25" ht="15.75" customHeight="1" x14ac:dyDescent="0.4">
      <c r="A88" s="69" t="s">
        <v>470</v>
      </c>
      <c r="B88" s="70"/>
      <c r="C88" s="60"/>
      <c r="D88" s="60"/>
      <c r="E88" s="2665"/>
      <c r="F88" s="2665"/>
      <c r="G88" s="2609"/>
      <c r="H88" s="2610"/>
      <c r="I88" s="2609">
        <v>0</v>
      </c>
      <c r="J88" s="2610"/>
      <c r="K88" s="124"/>
      <c r="L88" s="77" t="s">
        <v>1609</v>
      </c>
      <c r="M88" s="2080" t="s">
        <v>1613</v>
      </c>
      <c r="N88" s="60" t="s">
        <v>809</v>
      </c>
      <c r="O88" s="2703">
        <v>1</v>
      </c>
      <c r="P88" s="2704"/>
      <c r="Q88" s="2609">
        <v>77648</v>
      </c>
      <c r="R88" s="2609"/>
      <c r="S88" s="2609">
        <v>77648</v>
      </c>
      <c r="T88" s="2609"/>
    </row>
    <row r="89" spans="1:25" ht="15.75" customHeight="1" x14ac:dyDescent="0.4">
      <c r="A89" s="65" t="s">
        <v>474</v>
      </c>
      <c r="B89" s="66"/>
      <c r="C89" s="60"/>
      <c r="D89" s="60"/>
      <c r="E89" s="2665"/>
      <c r="F89" s="2665"/>
      <c r="G89" s="2609"/>
      <c r="H89" s="2610"/>
      <c r="I89" s="2609">
        <v>0</v>
      </c>
      <c r="J89" s="2610"/>
      <c r="K89" s="124"/>
      <c r="L89" s="77" t="s">
        <v>1609</v>
      </c>
      <c r="M89" s="2080" t="s">
        <v>1614</v>
      </c>
      <c r="N89" s="60" t="s">
        <v>809</v>
      </c>
      <c r="O89" s="2703">
        <v>1</v>
      </c>
      <c r="P89" s="2704"/>
      <c r="Q89" s="2609">
        <v>90782.174400000004</v>
      </c>
      <c r="R89" s="2609"/>
      <c r="S89" s="2609">
        <v>90782.174400000004</v>
      </c>
      <c r="T89" s="2609"/>
    </row>
    <row r="90" spans="1:25" ht="15.75" customHeight="1" x14ac:dyDescent="0.4">
      <c r="A90" s="65" t="s">
        <v>476</v>
      </c>
      <c r="B90" s="66"/>
      <c r="C90" s="60" t="s">
        <v>466</v>
      </c>
      <c r="D90" s="60" t="s">
        <v>493</v>
      </c>
      <c r="E90" s="2665">
        <v>1</v>
      </c>
      <c r="F90" s="2665"/>
      <c r="G90" s="2609">
        <v>113332.1024</v>
      </c>
      <c r="H90" s="2610">
        <v>92185.02</v>
      </c>
      <c r="I90" s="2609">
        <v>113332.1024</v>
      </c>
      <c r="J90" s="2610"/>
      <c r="K90" s="124"/>
      <c r="L90" s="77" t="s">
        <v>1609</v>
      </c>
      <c r="M90" s="2080" t="s">
        <v>1615</v>
      </c>
      <c r="N90" s="60" t="s">
        <v>809</v>
      </c>
      <c r="O90" s="2703">
        <v>2</v>
      </c>
      <c r="P90" s="2704"/>
      <c r="Q90" s="2609">
        <v>91515.443199999994</v>
      </c>
      <c r="R90" s="2609"/>
      <c r="S90" s="2609">
        <v>183030.88639999999</v>
      </c>
      <c r="T90" s="2609"/>
    </row>
    <row r="91" spans="1:25" ht="15.75" customHeight="1" x14ac:dyDescent="0.4">
      <c r="A91" s="2683" t="s">
        <v>480</v>
      </c>
      <c r="B91" s="2684"/>
      <c r="C91" s="60"/>
      <c r="D91" s="60"/>
      <c r="E91" s="2665"/>
      <c r="F91" s="2666"/>
      <c r="G91" s="2609"/>
      <c r="H91" s="2610"/>
      <c r="I91" s="2609">
        <v>0</v>
      </c>
      <c r="J91" s="2610"/>
      <c r="K91" s="124"/>
      <c r="L91" s="77" t="s">
        <v>1609</v>
      </c>
      <c r="M91" s="2080" t="s">
        <v>1616</v>
      </c>
      <c r="N91" s="60" t="s">
        <v>809</v>
      </c>
      <c r="O91" s="2703">
        <v>2</v>
      </c>
      <c r="P91" s="2704"/>
      <c r="Q91" s="2609">
        <v>108353.30559999999</v>
      </c>
      <c r="R91" s="2609"/>
      <c r="S91" s="2609">
        <v>216706.61119999998</v>
      </c>
      <c r="T91" s="2609"/>
    </row>
    <row r="92" spans="1:25" ht="15.75" customHeight="1" x14ac:dyDescent="0.4">
      <c r="A92" s="65" t="s">
        <v>454</v>
      </c>
      <c r="B92" s="66"/>
      <c r="C92" s="60"/>
      <c r="D92" s="60"/>
      <c r="E92" s="2665"/>
      <c r="F92" s="2666"/>
      <c r="G92" s="2609"/>
      <c r="H92" s="2610"/>
      <c r="I92" s="2609">
        <v>0</v>
      </c>
      <c r="J92" s="2610"/>
      <c r="K92" s="124"/>
      <c r="L92" s="62" t="s">
        <v>475</v>
      </c>
      <c r="M92" s="60"/>
      <c r="N92" s="60"/>
      <c r="O92" s="2703"/>
      <c r="P92" s="2704"/>
      <c r="Q92" s="2569"/>
      <c r="R92" s="2570"/>
      <c r="S92" s="2569"/>
      <c r="T92" s="2570"/>
    </row>
    <row r="93" spans="1:25" ht="15.75" customHeight="1" x14ac:dyDescent="0.4">
      <c r="A93" s="65" t="s">
        <v>568</v>
      </c>
      <c r="B93" s="66"/>
      <c r="C93" s="60" t="s">
        <v>496</v>
      </c>
      <c r="D93" s="60" t="s">
        <v>496</v>
      </c>
      <c r="E93" s="2665">
        <v>1</v>
      </c>
      <c r="F93" s="2666"/>
      <c r="G93" s="2641">
        <v>47000</v>
      </c>
      <c r="H93" s="2642">
        <v>38202.400000000001</v>
      </c>
      <c r="I93" s="2609">
        <v>47000</v>
      </c>
      <c r="J93" s="2610"/>
      <c r="K93" s="124"/>
      <c r="L93" s="62" t="s">
        <v>570</v>
      </c>
      <c r="M93" s="2082" t="s">
        <v>1620</v>
      </c>
      <c r="N93" s="60" t="s">
        <v>473</v>
      </c>
      <c r="O93" s="2682">
        <v>0.1</v>
      </c>
      <c r="P93" s="2682"/>
      <c r="Q93" s="2609">
        <v>40999.670400000003</v>
      </c>
      <c r="R93" s="2609"/>
      <c r="S93" s="2609">
        <v>4099.9670400000005</v>
      </c>
      <c r="T93" s="2609"/>
    </row>
    <row r="94" spans="1:25" ht="15.75" customHeight="1" x14ac:dyDescent="0.4">
      <c r="A94" s="71" t="s">
        <v>569</v>
      </c>
      <c r="B94" s="72"/>
      <c r="C94" s="60"/>
      <c r="D94" s="60"/>
      <c r="E94" s="2665"/>
      <c r="F94" s="2666"/>
      <c r="G94" s="2609"/>
      <c r="H94" s="2610"/>
      <c r="I94" s="2609">
        <v>0</v>
      </c>
      <c r="J94" s="2610"/>
      <c r="K94" s="124"/>
      <c r="L94" s="62" t="s">
        <v>570</v>
      </c>
      <c r="M94" s="2082" t="s">
        <v>1621</v>
      </c>
      <c r="N94" s="60" t="s">
        <v>473</v>
      </c>
      <c r="O94" s="2682">
        <v>1</v>
      </c>
      <c r="P94" s="2682"/>
      <c r="Q94" s="2609">
        <v>83310.700800000006</v>
      </c>
      <c r="R94" s="2609"/>
      <c r="S94" s="2609">
        <v>83310.700800000006</v>
      </c>
      <c r="T94" s="2609"/>
      <c r="Y94" s="348"/>
    </row>
    <row r="95" spans="1:25" ht="15.75" customHeight="1" x14ac:dyDescent="0.4">
      <c r="A95" s="73" t="s">
        <v>490</v>
      </c>
      <c r="B95" s="74"/>
      <c r="C95" s="60"/>
      <c r="D95" s="60"/>
      <c r="E95" s="2665"/>
      <c r="F95" s="2666"/>
      <c r="G95" s="2609"/>
      <c r="H95" s="2610"/>
      <c r="I95" s="2661">
        <v>208066.6992</v>
      </c>
      <c r="J95" s="2662"/>
      <c r="K95" s="124"/>
      <c r="L95" s="62" t="s">
        <v>570</v>
      </c>
      <c r="M95" s="2082" t="s">
        <v>1622</v>
      </c>
      <c r="N95" s="60" t="s">
        <v>473</v>
      </c>
      <c r="O95" s="2703">
        <v>1</v>
      </c>
      <c r="P95" s="2704"/>
      <c r="Q95" s="2569">
        <v>45097.670400000003</v>
      </c>
      <c r="R95" s="2570"/>
      <c r="S95" s="2569">
        <v>45097.670400000003</v>
      </c>
      <c r="T95" s="2570"/>
      <c r="Y95" s="348"/>
    </row>
    <row r="96" spans="1:25" ht="15.75" customHeight="1" x14ac:dyDescent="0.4">
      <c r="A96" s="71" t="s">
        <v>492</v>
      </c>
      <c r="B96" s="74"/>
      <c r="C96" s="60" t="s">
        <v>466</v>
      </c>
      <c r="D96" s="60" t="s">
        <v>493</v>
      </c>
      <c r="E96" s="2609">
        <v>1</v>
      </c>
      <c r="F96" s="2609"/>
      <c r="G96" s="2609">
        <v>161066.6992</v>
      </c>
      <c r="H96" s="2610">
        <v>131011.76</v>
      </c>
      <c r="I96" s="2609">
        <v>161066.6992</v>
      </c>
      <c r="J96" s="2610"/>
      <c r="K96" s="124"/>
      <c r="L96" s="62" t="s">
        <v>570</v>
      </c>
      <c r="M96" s="2082" t="s">
        <v>1623</v>
      </c>
      <c r="N96" s="60" t="s">
        <v>473</v>
      </c>
      <c r="O96" s="2703">
        <v>0.1</v>
      </c>
      <c r="P96" s="2704"/>
      <c r="Q96" s="2569">
        <v>117794.0048</v>
      </c>
      <c r="R96" s="2570"/>
      <c r="S96" s="2569">
        <v>11779.40048</v>
      </c>
      <c r="T96" s="2570"/>
      <c r="Y96" s="348"/>
    </row>
    <row r="97" spans="1:25" ht="15.75" customHeight="1" x14ac:dyDescent="0.4">
      <c r="A97" s="75" t="s">
        <v>495</v>
      </c>
      <c r="B97" s="76"/>
      <c r="C97" s="60" t="s">
        <v>496</v>
      </c>
      <c r="D97" s="60" t="s">
        <v>497</v>
      </c>
      <c r="E97" s="2609">
        <v>1</v>
      </c>
      <c r="F97" s="2609"/>
      <c r="G97" s="2641">
        <v>47000</v>
      </c>
      <c r="H97" s="2642">
        <v>38202.400000000001</v>
      </c>
      <c r="I97" s="2609">
        <v>47000</v>
      </c>
      <c r="J97" s="2610"/>
      <c r="K97" s="124"/>
      <c r="L97" s="62" t="s">
        <v>573</v>
      </c>
      <c r="M97" s="2082" t="s">
        <v>1626</v>
      </c>
      <c r="N97" s="60" t="s">
        <v>473</v>
      </c>
      <c r="O97" s="2705">
        <v>0.25</v>
      </c>
      <c r="P97" s="2706"/>
      <c r="Q97" s="2569">
        <v>559346.40159999998</v>
      </c>
      <c r="R97" s="2570"/>
      <c r="S97" s="2569">
        <v>139836.6004</v>
      </c>
      <c r="T97" s="2570"/>
      <c r="Y97" s="348"/>
    </row>
    <row r="98" spans="1:25" ht="15.75" customHeight="1" x14ac:dyDescent="0.4">
      <c r="A98" s="2689" t="s">
        <v>501</v>
      </c>
      <c r="B98" s="2690"/>
      <c r="C98" s="60"/>
      <c r="D98" s="60"/>
      <c r="E98" s="2609"/>
      <c r="F98" s="2609"/>
      <c r="G98" s="2609"/>
      <c r="H98" s="2610"/>
      <c r="I98" s="2609">
        <v>0</v>
      </c>
      <c r="J98" s="2610"/>
      <c r="K98" s="124"/>
      <c r="L98" s="62" t="s">
        <v>573</v>
      </c>
      <c r="M98" s="2082" t="s">
        <v>1627</v>
      </c>
      <c r="N98" s="60" t="s">
        <v>1635</v>
      </c>
      <c r="O98" s="2703">
        <v>2</v>
      </c>
      <c r="P98" s="2704"/>
      <c r="Q98" s="2569">
        <v>42584.2304</v>
      </c>
      <c r="R98" s="2570"/>
      <c r="S98" s="2569">
        <v>85168.460800000001</v>
      </c>
      <c r="T98" s="2570"/>
      <c r="Y98" s="348"/>
    </row>
    <row r="99" spans="1:25" ht="15.75" customHeight="1" x14ac:dyDescent="0.4">
      <c r="A99" s="2663" t="s">
        <v>571</v>
      </c>
      <c r="B99" s="2664"/>
      <c r="C99" s="60"/>
      <c r="D99" s="60"/>
      <c r="E99" s="2682"/>
      <c r="F99" s="2682"/>
      <c r="G99" s="2609"/>
      <c r="H99" s="2610"/>
      <c r="I99" s="2609">
        <v>0</v>
      </c>
      <c r="J99" s="2610"/>
      <c r="K99" s="124"/>
      <c r="L99" s="62" t="s">
        <v>573</v>
      </c>
      <c r="M99" s="2082" t="s">
        <v>1628</v>
      </c>
      <c r="N99" s="60" t="s">
        <v>473</v>
      </c>
      <c r="O99" s="2703">
        <v>0.6</v>
      </c>
      <c r="P99" s="2704"/>
      <c r="Q99" s="2569">
        <v>275069</v>
      </c>
      <c r="R99" s="2570"/>
      <c r="S99" s="2569">
        <v>165041.4</v>
      </c>
      <c r="T99" s="2570"/>
      <c r="Y99" s="348"/>
    </row>
    <row r="100" spans="1:25" ht="15.75" customHeight="1" x14ac:dyDescent="0.4">
      <c r="A100" s="2663" t="s">
        <v>504</v>
      </c>
      <c r="B100" s="2664"/>
      <c r="C100" s="60"/>
      <c r="D100" s="60"/>
      <c r="E100" s="2609"/>
      <c r="F100" s="2609"/>
      <c r="G100" s="2609"/>
      <c r="H100" s="2610"/>
      <c r="I100" s="2609">
        <v>0</v>
      </c>
      <c r="J100" s="2610"/>
      <c r="K100" s="124"/>
      <c r="L100" s="62" t="s">
        <v>573</v>
      </c>
      <c r="M100" s="2082" t="s">
        <v>1629</v>
      </c>
      <c r="N100" s="78" t="s">
        <v>473</v>
      </c>
      <c r="O100" s="2703">
        <v>0.5</v>
      </c>
      <c r="P100" s="2704"/>
      <c r="Q100" s="2569">
        <v>36791.297599999998</v>
      </c>
      <c r="R100" s="2570"/>
      <c r="S100" s="2569">
        <v>18395.648799999999</v>
      </c>
      <c r="T100" s="2570"/>
      <c r="Y100" s="348"/>
    </row>
    <row r="101" spans="1:25" ht="15.75" customHeight="1" x14ac:dyDescent="0.4">
      <c r="A101" s="2667" t="s">
        <v>506</v>
      </c>
      <c r="B101" s="2668"/>
      <c r="C101" s="60"/>
      <c r="D101" s="60"/>
      <c r="E101" s="2665"/>
      <c r="F101" s="2666"/>
      <c r="G101" s="2609"/>
      <c r="H101" s="2610"/>
      <c r="I101" s="2661">
        <v>1692000</v>
      </c>
      <c r="J101" s="2662"/>
      <c r="K101" s="121"/>
      <c r="L101" s="62" t="s">
        <v>573</v>
      </c>
      <c r="M101" s="2082" t="s">
        <v>1630</v>
      </c>
      <c r="N101" s="60" t="s">
        <v>473</v>
      </c>
      <c r="O101" s="2703">
        <v>1</v>
      </c>
      <c r="P101" s="2704"/>
      <c r="Q101" s="2569">
        <v>39534.225599999998</v>
      </c>
      <c r="R101" s="2570"/>
      <c r="S101" s="2569">
        <v>39534.225599999998</v>
      </c>
      <c r="T101" s="2570"/>
      <c r="Y101" s="348"/>
    </row>
    <row r="102" spans="1:25" ht="15.75" customHeight="1" x14ac:dyDescent="0.4">
      <c r="A102" s="2663" t="s">
        <v>509</v>
      </c>
      <c r="B102" s="2664"/>
      <c r="C102" s="60"/>
      <c r="D102" s="60"/>
      <c r="E102" s="2665"/>
      <c r="F102" s="2666"/>
      <c r="G102" s="2609"/>
      <c r="H102" s="2610"/>
      <c r="I102" s="2609">
        <v>0</v>
      </c>
      <c r="J102" s="2610"/>
      <c r="K102" s="124"/>
      <c r="L102" s="77" t="s">
        <v>1636</v>
      </c>
      <c r="M102" s="78" t="s">
        <v>1632</v>
      </c>
      <c r="N102" s="78" t="s">
        <v>1637</v>
      </c>
      <c r="O102" s="2703">
        <v>1</v>
      </c>
      <c r="P102" s="2704"/>
      <c r="Q102" s="2569">
        <v>134709.45600000001</v>
      </c>
      <c r="R102" s="2570"/>
      <c r="S102" s="2569">
        <v>134709.45600000001</v>
      </c>
      <c r="T102" s="2570"/>
      <c r="Y102" s="348"/>
    </row>
    <row r="103" spans="1:25" ht="15.75" customHeight="1" x14ac:dyDescent="0.4">
      <c r="A103" s="2663" t="s">
        <v>512</v>
      </c>
      <c r="B103" s="2664"/>
      <c r="C103" s="60"/>
      <c r="D103" s="60"/>
      <c r="E103" s="2665"/>
      <c r="F103" s="2666"/>
      <c r="G103" s="2609"/>
      <c r="H103" s="2610"/>
      <c r="I103" s="2609">
        <v>0</v>
      </c>
      <c r="J103" s="2610"/>
      <c r="K103" s="124"/>
      <c r="L103" s="77" t="s">
        <v>1636</v>
      </c>
      <c r="M103" s="2082" t="s">
        <v>1633</v>
      </c>
      <c r="N103" s="78" t="s">
        <v>1101</v>
      </c>
      <c r="O103" s="2703">
        <v>1.5</v>
      </c>
      <c r="P103" s="2704"/>
      <c r="Q103" s="2569">
        <v>35874.438399999999</v>
      </c>
      <c r="R103" s="2570"/>
      <c r="S103" s="2569">
        <v>53811.657599999999</v>
      </c>
      <c r="T103" s="2570"/>
      <c r="Y103" s="348"/>
    </row>
    <row r="104" spans="1:25" ht="15.75" customHeight="1" x14ac:dyDescent="0.4">
      <c r="A104" s="75" t="s">
        <v>514</v>
      </c>
      <c r="B104" s="76"/>
      <c r="C104" s="60"/>
      <c r="D104" s="60"/>
      <c r="E104" s="2665"/>
      <c r="F104" s="2666"/>
      <c r="G104" s="2609"/>
      <c r="H104" s="2610"/>
      <c r="I104" s="2609">
        <v>0</v>
      </c>
      <c r="J104" s="2610"/>
      <c r="K104" s="124"/>
      <c r="L104" s="77" t="s">
        <v>1624</v>
      </c>
      <c r="M104" s="78" t="s">
        <v>1625</v>
      </c>
      <c r="N104" s="78" t="s">
        <v>473</v>
      </c>
      <c r="O104" s="2703">
        <v>1.2</v>
      </c>
      <c r="P104" s="2704"/>
      <c r="Q104" s="2569">
        <v>58026.587200000002</v>
      </c>
      <c r="R104" s="2570"/>
      <c r="S104" s="2569">
        <v>69631.904639999993</v>
      </c>
      <c r="T104" s="2570"/>
      <c r="U104" s="2609"/>
      <c r="V104" s="2609"/>
      <c r="Y104" s="348"/>
    </row>
    <row r="105" spans="1:25" ht="15.75" customHeight="1" x14ac:dyDescent="0.4">
      <c r="A105" s="2663" t="s">
        <v>516</v>
      </c>
      <c r="B105" s="2664"/>
      <c r="C105" s="60"/>
      <c r="D105" s="60"/>
      <c r="E105" s="2665"/>
      <c r="F105" s="2666"/>
      <c r="G105" s="2609"/>
      <c r="H105" s="2610"/>
      <c r="I105" s="2609">
        <v>0</v>
      </c>
      <c r="J105" s="2610"/>
      <c r="K105" s="124"/>
      <c r="L105" s="77" t="s">
        <v>1638</v>
      </c>
      <c r="M105" s="78" t="s">
        <v>1631</v>
      </c>
      <c r="N105" s="78" t="s">
        <v>1101</v>
      </c>
      <c r="O105" s="2703">
        <v>0.4</v>
      </c>
      <c r="P105" s="2704"/>
      <c r="Q105" s="2569">
        <v>33840.7376</v>
      </c>
      <c r="R105" s="2570"/>
      <c r="S105" s="2569">
        <v>13536.295040000001</v>
      </c>
      <c r="T105" s="2570"/>
      <c r="Y105" s="348"/>
    </row>
    <row r="106" spans="1:25" ht="15.75" customHeight="1" x14ac:dyDescent="0.4">
      <c r="A106" s="75" t="s">
        <v>517</v>
      </c>
      <c r="B106" s="76"/>
      <c r="C106" s="60"/>
      <c r="D106" s="60"/>
      <c r="E106" s="2665"/>
      <c r="F106" s="2666"/>
      <c r="G106" s="2609"/>
      <c r="H106" s="2610"/>
      <c r="I106" s="2609">
        <v>0</v>
      </c>
      <c r="J106" s="2610"/>
      <c r="K106" s="124"/>
      <c r="L106" s="77"/>
      <c r="M106" s="2082" t="s">
        <v>1634</v>
      </c>
      <c r="N106" s="78" t="s">
        <v>473</v>
      </c>
      <c r="O106" s="2569">
        <v>0.6</v>
      </c>
      <c r="P106" s="2570"/>
      <c r="Q106" s="2569">
        <v>38070.966399999998</v>
      </c>
      <c r="R106" s="2570"/>
      <c r="S106" s="2569">
        <v>22842.579839999999</v>
      </c>
      <c r="T106" s="2570"/>
      <c r="Y106" s="348"/>
    </row>
    <row r="107" spans="1:25" ht="15.75" customHeight="1" x14ac:dyDescent="0.4">
      <c r="A107" s="75" t="s">
        <v>519</v>
      </c>
      <c r="B107" s="79"/>
      <c r="C107" s="60" t="s">
        <v>496</v>
      </c>
      <c r="D107" s="78" t="s">
        <v>497</v>
      </c>
      <c r="E107" s="2697">
        <v>10</v>
      </c>
      <c r="F107" s="2697"/>
      <c r="G107" s="2641">
        <v>47000</v>
      </c>
      <c r="H107" s="2642">
        <v>38202.400000000001</v>
      </c>
      <c r="I107" s="2609">
        <v>470000</v>
      </c>
      <c r="J107" s="2610"/>
      <c r="K107" s="124"/>
      <c r="L107" s="77" t="s">
        <v>507</v>
      </c>
      <c r="M107" s="78" t="s">
        <v>596</v>
      </c>
      <c r="N107" s="78" t="s">
        <v>497</v>
      </c>
      <c r="O107" s="2569">
        <v>110</v>
      </c>
      <c r="P107" s="2570"/>
      <c r="Q107" s="2569">
        <v>5857.4080000000004</v>
      </c>
      <c r="R107" s="2570"/>
      <c r="S107" s="2569">
        <v>644314.88</v>
      </c>
      <c r="T107" s="2570"/>
      <c r="Y107" s="348"/>
    </row>
    <row r="108" spans="1:25" ht="15.75" customHeight="1" x14ac:dyDescent="0.4">
      <c r="A108" s="75" t="s">
        <v>475</v>
      </c>
      <c r="B108" s="76"/>
      <c r="C108" s="60"/>
      <c r="D108" s="60"/>
      <c r="E108" s="2609"/>
      <c r="F108" s="2609"/>
      <c r="G108" s="2609"/>
      <c r="H108" s="2610"/>
      <c r="I108" s="2609">
        <v>0</v>
      </c>
      <c r="J108" s="2610"/>
      <c r="K108" s="124"/>
      <c r="L108" s="77" t="s">
        <v>1234</v>
      </c>
      <c r="M108" s="78" t="s">
        <v>599</v>
      </c>
      <c r="N108" s="78" t="s">
        <v>497</v>
      </c>
      <c r="O108" s="2569">
        <v>1</v>
      </c>
      <c r="P108" s="2570"/>
      <c r="Q108" s="2569">
        <v>14203.1216</v>
      </c>
      <c r="R108" s="2570"/>
      <c r="S108" s="2569">
        <v>14203.1216</v>
      </c>
      <c r="T108" s="2570"/>
    </row>
    <row r="109" spans="1:25" ht="15.75" customHeight="1" x14ac:dyDescent="0.4">
      <c r="A109" s="2689" t="s">
        <v>520</v>
      </c>
      <c r="B109" s="2690"/>
      <c r="C109" s="60" t="s">
        <v>496</v>
      </c>
      <c r="D109" s="60" t="s">
        <v>497</v>
      </c>
      <c r="E109" s="2665">
        <v>2</v>
      </c>
      <c r="F109" s="2666"/>
      <c r="G109" s="2641">
        <v>47000</v>
      </c>
      <c r="H109" s="2642">
        <v>38202.400000000001</v>
      </c>
      <c r="I109" s="2609">
        <v>94000</v>
      </c>
      <c r="J109" s="2610"/>
      <c r="K109" s="124"/>
      <c r="L109" s="80" t="s">
        <v>521</v>
      </c>
      <c r="M109" s="81"/>
      <c r="N109" s="81"/>
      <c r="O109" s="2695"/>
      <c r="P109" s="2696"/>
      <c r="Q109" s="2695"/>
      <c r="R109" s="2696"/>
      <c r="S109" s="2693">
        <v>4983068.9858400002</v>
      </c>
      <c r="T109" s="2694"/>
    </row>
    <row r="110" spans="1:25" ht="15.75" customHeight="1" x14ac:dyDescent="0.4">
      <c r="A110" s="75" t="s">
        <v>522</v>
      </c>
      <c r="B110" s="76"/>
      <c r="C110" s="60"/>
      <c r="D110" s="60"/>
      <c r="E110" s="2665"/>
      <c r="F110" s="2666"/>
      <c r="G110" s="2609"/>
      <c r="H110" s="2610"/>
      <c r="I110" s="2609">
        <v>0</v>
      </c>
      <c r="J110" s="2610"/>
      <c r="K110" s="124"/>
      <c r="L110" s="82" t="s">
        <v>523</v>
      </c>
      <c r="M110" s="83"/>
      <c r="N110" s="83"/>
      <c r="O110" s="84"/>
      <c r="P110" s="84"/>
      <c r="Q110" s="84"/>
      <c r="R110" s="84"/>
      <c r="S110" s="84"/>
      <c r="T110" s="85"/>
    </row>
    <row r="111" spans="1:25" ht="15.75" customHeight="1" x14ac:dyDescent="0.4">
      <c r="A111" s="2689" t="s">
        <v>524</v>
      </c>
      <c r="B111" s="2690"/>
      <c r="C111" s="60" t="s">
        <v>496</v>
      </c>
      <c r="D111" s="60" t="s">
        <v>497</v>
      </c>
      <c r="E111" s="2665">
        <v>3</v>
      </c>
      <c r="F111" s="2666"/>
      <c r="G111" s="2641">
        <v>47000</v>
      </c>
      <c r="H111" s="2642">
        <v>38202.400000000001</v>
      </c>
      <c r="I111" s="2609">
        <v>141000</v>
      </c>
      <c r="J111" s="2610"/>
      <c r="K111" s="124"/>
      <c r="L111" s="86" t="s">
        <v>525</v>
      </c>
      <c r="M111" s="87">
        <v>0.03</v>
      </c>
      <c r="N111" s="58"/>
      <c r="O111" s="88"/>
      <c r="P111" s="88"/>
      <c r="Q111" s="88"/>
      <c r="R111" s="88"/>
      <c r="S111" s="2656">
        <v>280846.71360178478</v>
      </c>
      <c r="T111" s="2570"/>
    </row>
    <row r="112" spans="1:25" ht="15.75" customHeight="1" x14ac:dyDescent="0.4">
      <c r="A112" s="75" t="s">
        <v>526</v>
      </c>
      <c r="B112" s="76"/>
      <c r="C112" s="60"/>
      <c r="D112" s="60"/>
      <c r="E112" s="2665"/>
      <c r="F112" s="2666"/>
      <c r="G112" s="2609"/>
      <c r="H112" s="2610"/>
      <c r="I112" s="2609">
        <v>0</v>
      </c>
      <c r="J112" s="2610"/>
      <c r="K112" s="124"/>
      <c r="L112" s="71" t="s">
        <v>527</v>
      </c>
      <c r="M112" s="58"/>
      <c r="N112" s="58"/>
      <c r="O112" s="88"/>
      <c r="P112" s="88"/>
      <c r="Q112" s="88"/>
      <c r="R112" s="88"/>
      <c r="S112" s="2656">
        <v>131136</v>
      </c>
      <c r="T112" s="2570"/>
    </row>
    <row r="113" spans="1:22" ht="15.75" customHeight="1" x14ac:dyDescent="0.4">
      <c r="A113" s="71" t="s">
        <v>578</v>
      </c>
      <c r="B113" s="74"/>
      <c r="C113" s="78" t="s">
        <v>496</v>
      </c>
      <c r="D113" s="78" t="s">
        <v>497</v>
      </c>
      <c r="E113" s="2697">
        <v>4</v>
      </c>
      <c r="F113" s="2697"/>
      <c r="G113" s="2641">
        <v>47000</v>
      </c>
      <c r="H113" s="2642">
        <v>38202.400000000001</v>
      </c>
      <c r="I113" s="2609">
        <v>188000</v>
      </c>
      <c r="J113" s="2610"/>
      <c r="K113" s="124"/>
      <c r="L113" s="90" t="s">
        <v>1235</v>
      </c>
      <c r="M113" s="58"/>
      <c r="N113" s="58"/>
      <c r="O113" s="88"/>
      <c r="P113" s="88"/>
      <c r="Q113" s="88"/>
      <c r="R113" s="88"/>
      <c r="S113" s="2656">
        <v>1366000</v>
      </c>
      <c r="T113" s="2570"/>
    </row>
    <row r="114" spans="1:22" ht="15.75" customHeight="1" x14ac:dyDescent="0.4">
      <c r="A114" s="86" t="s">
        <v>579</v>
      </c>
      <c r="B114" s="1918"/>
      <c r="C114" s="60"/>
      <c r="D114" s="60"/>
      <c r="E114" s="2609"/>
      <c r="F114" s="2609"/>
      <c r="G114" s="2569"/>
      <c r="H114" s="2570"/>
      <c r="I114" s="2609">
        <v>0</v>
      </c>
      <c r="J114" s="2610"/>
      <c r="K114" s="124"/>
      <c r="L114" s="90" t="s">
        <v>580</v>
      </c>
      <c r="M114" s="58"/>
      <c r="N114" s="58"/>
      <c r="O114" s="88"/>
      <c r="P114" s="88"/>
      <c r="Q114" s="88"/>
      <c r="R114" s="88"/>
      <c r="S114" s="2656">
        <v>561693.42720356956</v>
      </c>
      <c r="T114" s="2570"/>
    </row>
    <row r="115" spans="1:22" ht="15.75" customHeight="1" x14ac:dyDescent="0.4">
      <c r="A115" s="75" t="s">
        <v>581</v>
      </c>
      <c r="B115" s="76"/>
      <c r="C115" s="60" t="s">
        <v>496</v>
      </c>
      <c r="D115" s="60" t="s">
        <v>497</v>
      </c>
      <c r="E115" s="2665">
        <v>5</v>
      </c>
      <c r="F115" s="2666"/>
      <c r="G115" s="2641">
        <v>47000</v>
      </c>
      <c r="H115" s="2642">
        <v>38202.400000000001</v>
      </c>
      <c r="I115" s="2609">
        <v>235000</v>
      </c>
      <c r="J115" s="2610"/>
      <c r="K115" s="124"/>
      <c r="L115" s="90" t="s">
        <v>582</v>
      </c>
      <c r="M115" s="58"/>
      <c r="N115" s="58"/>
      <c r="O115" s="88"/>
      <c r="P115" s="88"/>
      <c r="Q115" s="88"/>
      <c r="R115" s="88"/>
      <c r="S115" s="2656">
        <v>124576.72464600002</v>
      </c>
      <c r="T115" s="2570"/>
    </row>
    <row r="116" spans="1:22" ht="15.75" customHeight="1" x14ac:dyDescent="0.4">
      <c r="A116" s="75" t="s">
        <v>454</v>
      </c>
      <c r="B116" s="76"/>
      <c r="C116" s="60"/>
      <c r="D116" s="60"/>
      <c r="E116" s="2665"/>
      <c r="F116" s="2666"/>
      <c r="G116" s="2609"/>
      <c r="H116" s="2610"/>
      <c r="I116" s="2609">
        <v>0</v>
      </c>
      <c r="J116" s="2610"/>
      <c r="K116" s="124"/>
      <c r="L116" s="1919"/>
      <c r="M116" s="93"/>
      <c r="N116" s="93"/>
      <c r="O116" s="93"/>
      <c r="P116" s="93"/>
      <c r="Q116" s="93"/>
      <c r="R116" s="93"/>
      <c r="S116" s="1920"/>
      <c r="T116" s="1921"/>
    </row>
    <row r="117" spans="1:22" ht="15.75" customHeight="1" x14ac:dyDescent="0.4">
      <c r="A117" s="2689" t="s">
        <v>534</v>
      </c>
      <c r="B117" s="2690"/>
      <c r="C117" s="60" t="s">
        <v>496</v>
      </c>
      <c r="D117" s="60" t="s">
        <v>497</v>
      </c>
      <c r="E117" s="2609">
        <v>5</v>
      </c>
      <c r="F117" s="2609"/>
      <c r="G117" s="2641">
        <v>47000</v>
      </c>
      <c r="H117" s="2642">
        <v>38202.400000000001</v>
      </c>
      <c r="I117" s="2609">
        <v>235000</v>
      </c>
      <c r="J117" s="2610"/>
      <c r="K117" s="124"/>
      <c r="L117" s="95" t="s">
        <v>533</v>
      </c>
      <c r="M117" s="96"/>
      <c r="N117" s="96"/>
      <c r="O117" s="97"/>
      <c r="P117" s="97"/>
      <c r="Q117" s="97"/>
      <c r="R117" s="97"/>
      <c r="S117" s="2657">
        <v>2464252.8654513545</v>
      </c>
      <c r="T117" s="2658"/>
    </row>
    <row r="118" spans="1:22" ht="15.75" customHeight="1" x14ac:dyDescent="0.4">
      <c r="A118" s="2689" t="s">
        <v>535</v>
      </c>
      <c r="B118" s="2690"/>
      <c r="C118" s="60" t="s">
        <v>496</v>
      </c>
      <c r="D118" s="60" t="s">
        <v>497</v>
      </c>
      <c r="E118" s="2665">
        <v>2</v>
      </c>
      <c r="F118" s="2666"/>
      <c r="G118" s="2641">
        <v>47000</v>
      </c>
      <c r="H118" s="2642">
        <v>38202.400000000001</v>
      </c>
      <c r="I118" s="2609">
        <v>94000</v>
      </c>
      <c r="J118" s="2610"/>
      <c r="K118" s="124"/>
      <c r="L118" s="98"/>
      <c r="M118" s="58"/>
      <c r="N118" s="58"/>
      <c r="O118" s="88"/>
      <c r="P118" s="88"/>
      <c r="Q118" s="88"/>
      <c r="R118" s="88"/>
      <c r="S118" s="88"/>
      <c r="T118" s="89"/>
    </row>
    <row r="119" spans="1:22" ht="15.75" customHeight="1" thickBot="1" x14ac:dyDescent="0.45">
      <c r="A119" s="71" t="s">
        <v>537</v>
      </c>
      <c r="B119" s="74"/>
      <c r="C119" s="78"/>
      <c r="D119" s="78"/>
      <c r="E119" s="2609"/>
      <c r="F119" s="2610"/>
      <c r="G119" s="2609"/>
      <c r="H119" s="2610"/>
      <c r="I119" s="2609">
        <v>0</v>
      </c>
      <c r="J119" s="2610"/>
      <c r="K119" s="124"/>
      <c r="L119" s="99" t="s">
        <v>536</v>
      </c>
      <c r="M119" s="100"/>
      <c r="N119" s="100"/>
      <c r="O119" s="100"/>
      <c r="P119" s="100"/>
      <c r="Q119" s="100"/>
      <c r="R119" s="100"/>
      <c r="S119" s="2659">
        <v>11825809.985510848</v>
      </c>
      <c r="T119" s="2660"/>
      <c r="V119" s="1047">
        <f>'TOTAL TRANSITORIOS'!W13</f>
        <v>11844209.49672818</v>
      </c>
    </row>
    <row r="120" spans="1:22" ht="15.75" customHeight="1" thickBot="1" x14ac:dyDescent="0.45">
      <c r="A120" s="71" t="s">
        <v>584</v>
      </c>
      <c r="B120" s="74"/>
      <c r="C120" s="78" t="s">
        <v>496</v>
      </c>
      <c r="D120" s="78" t="s">
        <v>496</v>
      </c>
      <c r="E120" s="2609">
        <v>5</v>
      </c>
      <c r="F120" s="2610"/>
      <c r="G120" s="2641">
        <v>47000</v>
      </c>
      <c r="H120" s="2642">
        <v>38202.400000000001</v>
      </c>
      <c r="I120" s="2609">
        <v>235000</v>
      </c>
      <c r="J120" s="2610"/>
      <c r="K120" s="124"/>
      <c r="L120" s="45"/>
      <c r="M120" s="45"/>
      <c r="N120" s="45"/>
      <c r="O120" s="45"/>
      <c r="P120" s="45"/>
      <c r="Q120" s="45"/>
      <c r="R120" s="45"/>
      <c r="S120" s="45"/>
      <c r="T120" s="45"/>
    </row>
    <row r="121" spans="1:22" ht="15.75" customHeight="1" x14ac:dyDescent="0.4">
      <c r="A121" s="71" t="s">
        <v>540</v>
      </c>
      <c r="B121" s="74"/>
      <c r="C121" s="78"/>
      <c r="D121" s="78"/>
      <c r="E121" s="2609"/>
      <c r="F121" s="2610"/>
      <c r="G121" s="2609"/>
      <c r="H121" s="2610"/>
      <c r="I121" s="2609">
        <v>0</v>
      </c>
      <c r="J121" s="2610"/>
      <c r="K121" s="124"/>
      <c r="L121" s="45"/>
      <c r="M121" s="2582" t="s">
        <v>539</v>
      </c>
      <c r="N121" s="2583"/>
      <c r="O121" s="2583"/>
      <c r="P121" s="2583"/>
      <c r="Q121" s="2584"/>
      <c r="R121" s="45"/>
      <c r="S121" s="45"/>
      <c r="T121" s="45"/>
    </row>
    <row r="122" spans="1:22" ht="15.75" customHeight="1" x14ac:dyDescent="0.4">
      <c r="A122" s="71" t="s">
        <v>543</v>
      </c>
      <c r="B122" s="74"/>
      <c r="C122" s="78"/>
      <c r="D122" s="78"/>
      <c r="E122" s="2609"/>
      <c r="F122" s="2610"/>
      <c r="G122" s="2609"/>
      <c r="H122" s="2610"/>
      <c r="I122" s="2609">
        <v>0</v>
      </c>
      <c r="J122" s="2610"/>
      <c r="K122" s="124"/>
      <c r="L122" s="45"/>
      <c r="M122" s="101" t="s">
        <v>541</v>
      </c>
      <c r="N122" s="102"/>
      <c r="O122" s="102"/>
      <c r="P122" s="102"/>
      <c r="Q122" s="103">
        <v>7.3919683908045979</v>
      </c>
      <c r="R122" s="45"/>
      <c r="S122" s="45"/>
      <c r="T122" s="45"/>
      <c r="U122" s="37" t="s">
        <v>542</v>
      </c>
    </row>
    <row r="123" spans="1:22" ht="15.75" customHeight="1" x14ac:dyDescent="0.4">
      <c r="A123" s="73" t="s">
        <v>545</v>
      </c>
      <c r="B123" s="74"/>
      <c r="C123" s="78"/>
      <c r="D123" s="78"/>
      <c r="E123" s="2609"/>
      <c r="F123" s="2610"/>
      <c r="G123" s="2609"/>
      <c r="H123" s="2610"/>
      <c r="I123" s="2661">
        <v>1878745.4846194943</v>
      </c>
      <c r="J123" s="2662"/>
      <c r="K123" s="121"/>
      <c r="L123" s="45"/>
      <c r="M123" s="104" t="s">
        <v>544</v>
      </c>
      <c r="N123" s="102"/>
      <c r="O123" s="102"/>
      <c r="P123" s="105"/>
      <c r="Q123" s="106">
        <v>11825809.985510848</v>
      </c>
      <c r="R123" s="45"/>
      <c r="S123" s="45"/>
      <c r="T123" s="45"/>
      <c r="U123" s="37"/>
    </row>
    <row r="124" spans="1:22" ht="15.75" customHeight="1" x14ac:dyDescent="0.4">
      <c r="A124" s="71" t="s">
        <v>547</v>
      </c>
      <c r="B124" s="74"/>
      <c r="C124" s="78" t="s">
        <v>466</v>
      </c>
      <c r="D124" s="78" t="s">
        <v>460</v>
      </c>
      <c r="E124" s="2609">
        <v>118.27149425287357</v>
      </c>
      <c r="F124" s="2707"/>
      <c r="G124" s="2710">
        <v>3587.6624000000002</v>
      </c>
      <c r="H124" s="2711">
        <v>2918.18</v>
      </c>
      <c r="I124" s="2570">
        <v>424318.19292285061</v>
      </c>
      <c r="J124" s="2610"/>
      <c r="K124" s="124"/>
      <c r="L124" s="45"/>
      <c r="M124" s="101" t="s">
        <v>546</v>
      </c>
      <c r="N124" s="102"/>
      <c r="O124" s="102"/>
      <c r="P124" s="102"/>
      <c r="Q124" s="106">
        <v>1753716.5000000002</v>
      </c>
      <c r="R124" s="47"/>
      <c r="S124" s="45"/>
      <c r="T124" s="45"/>
      <c r="U124" s="37" t="s">
        <v>542</v>
      </c>
    </row>
    <row r="125" spans="1:22" ht="15.75" customHeight="1" x14ac:dyDescent="0.4">
      <c r="A125" s="71" t="s">
        <v>548</v>
      </c>
      <c r="B125" s="74"/>
      <c r="C125" s="78"/>
      <c r="D125" s="78"/>
      <c r="E125" s="2609"/>
      <c r="F125" s="2707"/>
      <c r="G125" s="2708"/>
      <c r="H125" s="2709"/>
      <c r="I125" s="2570">
        <v>0</v>
      </c>
      <c r="J125" s="2610"/>
      <c r="K125" s="124"/>
      <c r="L125" s="45"/>
      <c r="M125" s="101" t="s">
        <v>758</v>
      </c>
      <c r="N125" s="102"/>
      <c r="O125" s="102"/>
      <c r="P125" s="102"/>
      <c r="Q125" s="106">
        <v>12963416.934432473</v>
      </c>
      <c r="R125" s="44"/>
      <c r="S125" s="45"/>
      <c r="T125" s="45"/>
    </row>
    <row r="126" spans="1:22" ht="15.75" customHeight="1" thickBot="1" x14ac:dyDescent="0.45">
      <c r="A126" s="71" t="s">
        <v>550</v>
      </c>
      <c r="B126" s="74"/>
      <c r="C126" s="78" t="s">
        <v>551</v>
      </c>
      <c r="D126" s="78" t="s">
        <v>460</v>
      </c>
      <c r="E126" s="2609">
        <v>118.27149425287357</v>
      </c>
      <c r="F126" s="2707"/>
      <c r="G126" s="2710">
        <v>3587.6624000000002</v>
      </c>
      <c r="H126" s="2711">
        <v>2918.18</v>
      </c>
      <c r="I126" s="2570">
        <v>424318.19292285061</v>
      </c>
      <c r="J126" s="2610"/>
      <c r="K126" s="124"/>
      <c r="L126" s="45"/>
      <c r="M126" s="108" t="s">
        <v>549</v>
      </c>
      <c r="N126" s="109"/>
      <c r="O126" s="109"/>
      <c r="P126" s="109"/>
      <c r="Q126" s="110">
        <v>1137606.9489216246</v>
      </c>
      <c r="R126" s="45"/>
      <c r="S126" s="45"/>
      <c r="T126" s="45"/>
    </row>
    <row r="127" spans="1:22" ht="15.75" customHeight="1" thickBot="1" x14ac:dyDescent="0.45">
      <c r="A127" s="71" t="s">
        <v>585</v>
      </c>
      <c r="B127" s="74"/>
      <c r="C127" s="78" t="s">
        <v>496</v>
      </c>
      <c r="D127" s="78" t="s">
        <v>496</v>
      </c>
      <c r="E127" s="2609">
        <v>1</v>
      </c>
      <c r="F127" s="2610"/>
      <c r="G127" s="2641">
        <v>47000</v>
      </c>
      <c r="H127" s="2642">
        <v>38202.400000000001</v>
      </c>
      <c r="I127" s="2609">
        <v>47000</v>
      </c>
      <c r="J127" s="2610"/>
      <c r="K127" s="124"/>
      <c r="L127" s="45"/>
      <c r="M127" s="1048" t="s">
        <v>759</v>
      </c>
      <c r="N127" s="1049"/>
      <c r="O127" s="1049"/>
      <c r="P127" s="1049"/>
      <c r="Q127" s="1050">
        <v>9.6196958205436829</v>
      </c>
      <c r="R127" s="45"/>
      <c r="S127" s="45"/>
      <c r="T127" s="45"/>
    </row>
    <row r="128" spans="1:22" ht="15.75" customHeight="1" x14ac:dyDescent="0.4">
      <c r="A128" s="71" t="s">
        <v>586</v>
      </c>
      <c r="B128" s="74"/>
      <c r="C128" s="78" t="s">
        <v>587</v>
      </c>
      <c r="D128" s="78" t="s">
        <v>556</v>
      </c>
      <c r="E128" s="2685">
        <v>7.3919683908045979</v>
      </c>
      <c r="F128" s="2698"/>
      <c r="G128" s="2609">
        <v>108646.17599999999</v>
      </c>
      <c r="H128" s="2610">
        <v>88373.26</v>
      </c>
      <c r="I128" s="2609">
        <v>803109.09877379308</v>
      </c>
      <c r="J128" s="2610"/>
      <c r="K128" s="124"/>
      <c r="L128" s="45"/>
      <c r="M128" s="45"/>
      <c r="N128" s="45"/>
      <c r="O128" s="45"/>
      <c r="P128" s="45"/>
      <c r="Q128" s="45"/>
      <c r="R128" s="45"/>
      <c r="S128" s="44"/>
      <c r="T128" s="45"/>
    </row>
    <row r="129" spans="1:20" ht="15.75" customHeight="1" x14ac:dyDescent="0.4">
      <c r="A129" s="71" t="s">
        <v>1497</v>
      </c>
      <c r="B129" s="74"/>
      <c r="C129" s="78" t="s">
        <v>587</v>
      </c>
      <c r="D129" s="78" t="s">
        <v>1243</v>
      </c>
      <c r="E129" s="2609"/>
      <c r="F129" s="2610"/>
      <c r="G129" s="2609"/>
      <c r="H129" s="2610"/>
      <c r="I129" s="2609">
        <v>180000</v>
      </c>
      <c r="J129" s="2610"/>
      <c r="K129" s="124"/>
      <c r="L129" s="7" t="s">
        <v>1528</v>
      </c>
      <c r="M129" s="8"/>
      <c r="N129" s="8"/>
      <c r="O129" s="8"/>
      <c r="P129" s="4"/>
      <c r="Q129" s="5"/>
      <c r="R129" s="1979"/>
      <c r="S129" s="45"/>
      <c r="T129" s="45"/>
    </row>
    <row r="130" spans="1:20" ht="15.75" customHeight="1" thickBot="1" x14ac:dyDescent="0.25">
      <c r="A130" s="162" t="s">
        <v>558</v>
      </c>
      <c r="B130" s="163"/>
      <c r="C130" s="164"/>
      <c r="D130" s="165"/>
      <c r="E130" s="2561">
        <v>39</v>
      </c>
      <c r="F130" s="2562"/>
      <c r="G130" s="2563"/>
      <c r="H130" s="2564"/>
      <c r="I130" s="2561">
        <v>4378488.1342194946</v>
      </c>
      <c r="J130" s="2562"/>
      <c r="K130" s="26"/>
      <c r="L130" s="597" t="s">
        <v>1583</v>
      </c>
      <c r="M130" s="58"/>
      <c r="N130" s="58"/>
      <c r="O130" s="58"/>
      <c r="P130" s="45"/>
      <c r="Q130" s="45"/>
      <c r="R130" s="44"/>
      <c r="S130" s="45"/>
      <c r="T130" s="45"/>
    </row>
    <row r="131" spans="1:20" ht="14.1" customHeight="1" x14ac:dyDescent="0.2">
      <c r="A131" s="40"/>
      <c r="B131" s="40"/>
      <c r="C131" s="41"/>
      <c r="D131" s="41"/>
      <c r="E131" s="41"/>
      <c r="F131" s="41"/>
      <c r="G131" s="42"/>
      <c r="H131" s="42"/>
      <c r="I131" s="44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</row>
    <row r="132" spans="1:20" ht="14.1" customHeight="1" x14ac:dyDescent="0.2">
      <c r="A132" s="40"/>
      <c r="B132" s="40"/>
      <c r="C132" s="41"/>
      <c r="D132" s="41"/>
      <c r="E132" s="41"/>
      <c r="F132" s="41"/>
      <c r="G132" s="42"/>
      <c r="H132" s="42"/>
      <c r="I132" s="44"/>
      <c r="J132" s="45"/>
      <c r="K132" s="45"/>
      <c r="L132" s="40"/>
      <c r="M132" s="40"/>
      <c r="N132" s="41"/>
      <c r="O132" s="41"/>
      <c r="P132" s="41"/>
      <c r="Q132" s="41"/>
      <c r="R132" s="45"/>
      <c r="S132" s="45"/>
      <c r="T132" s="45"/>
    </row>
    <row r="133" spans="1:20" ht="14.1" customHeight="1" x14ac:dyDescent="0.2">
      <c r="A133" s="2654"/>
      <c r="B133" s="2654"/>
      <c r="C133" s="2654"/>
      <c r="D133" s="2654"/>
      <c r="E133" s="2654"/>
      <c r="F133" s="2654"/>
      <c r="G133" s="2654"/>
      <c r="H133" s="2654"/>
      <c r="I133" s="2654"/>
      <c r="J133" s="2654"/>
      <c r="K133" s="2654"/>
      <c r="L133" s="2654"/>
      <c r="M133" s="2654"/>
      <c r="N133" s="2654"/>
      <c r="O133" s="2654"/>
      <c r="P133" s="2654"/>
      <c r="Q133" s="2654"/>
      <c r="R133" s="2654"/>
      <c r="S133" s="2654"/>
      <c r="T133" s="2654"/>
    </row>
    <row r="134" spans="1:20" ht="14.1" customHeight="1" x14ac:dyDescent="0.2">
      <c r="A134" s="2654"/>
      <c r="B134" s="2654"/>
      <c r="C134" s="2654"/>
      <c r="D134" s="2654"/>
      <c r="E134" s="2654"/>
      <c r="F134" s="2654"/>
      <c r="G134" s="2654"/>
      <c r="H134" s="2654"/>
      <c r="I134" s="2654"/>
      <c r="J134" s="2654"/>
      <c r="K134" s="2654"/>
      <c r="L134" s="2654"/>
      <c r="M134" s="2654"/>
      <c r="N134" s="2654"/>
      <c r="O134" s="2654"/>
      <c r="P134" s="2654"/>
      <c r="Q134" s="2654"/>
      <c r="R134" s="2654"/>
      <c r="S134" s="2654"/>
      <c r="T134" s="2654"/>
    </row>
    <row r="135" spans="1:20" ht="14.1" customHeight="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</row>
    <row r="136" spans="1:20" ht="14.1" customHeight="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</row>
    <row r="137" spans="1:20" ht="14.1" customHeight="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</row>
    <row r="138" spans="1:20" ht="14.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</row>
    <row r="139" spans="1:20" ht="14.1" customHeight="1" x14ac:dyDescent="0.2">
      <c r="A139" s="40"/>
      <c r="B139" s="40"/>
      <c r="C139" s="41"/>
      <c r="D139" s="41"/>
      <c r="E139" s="41"/>
      <c r="F139" s="41"/>
      <c r="G139" s="42"/>
      <c r="H139" s="42"/>
      <c r="I139" s="44"/>
      <c r="J139" s="45"/>
      <c r="K139" s="45"/>
      <c r="L139" s="40"/>
      <c r="M139" s="40"/>
      <c r="N139" s="41"/>
      <c r="O139" s="41"/>
      <c r="P139" s="41"/>
      <c r="Q139" s="41"/>
      <c r="R139" s="45"/>
      <c r="S139" s="45"/>
      <c r="T139" s="45"/>
    </row>
    <row r="140" spans="1:20" ht="18" customHeight="1" x14ac:dyDescent="0.2">
      <c r="A140" s="2654" t="s">
        <v>1915</v>
      </c>
      <c r="B140" s="2654"/>
      <c r="C140" s="2654"/>
      <c r="D140" s="2654"/>
      <c r="E140" s="2654"/>
      <c r="F140" s="2654"/>
      <c r="G140" s="2654"/>
      <c r="H140" s="2654"/>
      <c r="I140" s="2654"/>
      <c r="J140" s="2654"/>
      <c r="K140" s="2654"/>
      <c r="L140" s="2654"/>
      <c r="M140" s="2654"/>
      <c r="N140" s="2654"/>
      <c r="O140" s="2654"/>
      <c r="P140" s="2654"/>
      <c r="Q140" s="2654"/>
      <c r="R140" s="2654"/>
      <c r="S140" s="2654"/>
      <c r="T140" s="2654"/>
    </row>
    <row r="141" spans="1:20" ht="14.1" customHeight="1" x14ac:dyDescent="0.2">
      <c r="A141" s="40"/>
      <c r="B141" s="40"/>
      <c r="C141" s="115"/>
      <c r="D141" s="41"/>
      <c r="E141" s="41"/>
      <c r="F141" s="41"/>
      <c r="G141" s="42"/>
      <c r="H141" s="42"/>
      <c r="I141" s="44"/>
      <c r="J141" s="45"/>
      <c r="K141" s="45"/>
      <c r="L141" s="40"/>
      <c r="M141" s="40"/>
      <c r="N141" s="115"/>
      <c r="O141" s="45"/>
      <c r="P141" s="45"/>
      <c r="Q141" s="45"/>
      <c r="R141" s="45"/>
      <c r="S141" s="45"/>
      <c r="T141" s="45"/>
    </row>
    <row r="142" spans="1:20" ht="14.1" customHeight="1" thickBot="1" x14ac:dyDescent="0.25">
      <c r="A142" s="40"/>
      <c r="B142" s="40"/>
      <c r="C142" s="41"/>
      <c r="D142" s="41"/>
      <c r="E142" s="41"/>
      <c r="F142" s="41"/>
      <c r="G142" s="42"/>
      <c r="H142" s="42"/>
      <c r="I142" s="44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</row>
    <row r="143" spans="1:20" ht="16.5" customHeight="1" x14ac:dyDescent="0.3">
      <c r="A143" s="2612" t="s">
        <v>435</v>
      </c>
      <c r="B143" s="2613"/>
      <c r="C143" s="2618" t="s">
        <v>436</v>
      </c>
      <c r="D143" s="2619"/>
      <c r="E143" s="2619"/>
      <c r="F143" s="2620"/>
      <c r="G143" s="2624" t="s">
        <v>437</v>
      </c>
      <c r="H143" s="2625"/>
      <c r="I143" s="2618" t="s">
        <v>439</v>
      </c>
      <c r="J143" s="2620"/>
      <c r="K143" s="49"/>
      <c r="L143" s="2626" t="s">
        <v>435</v>
      </c>
      <c r="M143" s="2619" t="s">
        <v>436</v>
      </c>
      <c r="N143" s="2619"/>
      <c r="O143" s="2619"/>
      <c r="P143" s="2620"/>
      <c r="Q143" s="2624" t="s">
        <v>437</v>
      </c>
      <c r="R143" s="2625"/>
      <c r="S143" s="2618" t="s">
        <v>439</v>
      </c>
      <c r="T143" s="2649"/>
    </row>
    <row r="144" spans="1:20" ht="16.5" customHeight="1" thickBot="1" x14ac:dyDescent="0.35">
      <c r="A144" s="2614"/>
      <c r="B144" s="2615"/>
      <c r="C144" s="2621"/>
      <c r="D144" s="2622"/>
      <c r="E144" s="2622"/>
      <c r="F144" s="2623"/>
      <c r="G144" s="2629" t="s">
        <v>440</v>
      </c>
      <c r="H144" s="2630"/>
      <c r="I144" s="2631"/>
      <c r="J144" s="2632"/>
      <c r="K144" s="49"/>
      <c r="L144" s="2627"/>
      <c r="M144" s="2622"/>
      <c r="N144" s="2622"/>
      <c r="O144" s="2622"/>
      <c r="P144" s="2623"/>
      <c r="Q144" s="2629" t="s">
        <v>440</v>
      </c>
      <c r="R144" s="2630"/>
      <c r="S144" s="2631"/>
      <c r="T144" s="2650"/>
    </row>
    <row r="145" spans="1:22" ht="16.5" customHeight="1" x14ac:dyDescent="0.3">
      <c r="A145" s="2614"/>
      <c r="B145" s="2615"/>
      <c r="C145" s="53" t="s">
        <v>441</v>
      </c>
      <c r="D145" s="2670" t="s">
        <v>442</v>
      </c>
      <c r="E145" s="2631" t="s">
        <v>443</v>
      </c>
      <c r="F145" s="2632"/>
      <c r="G145" s="2629" t="s">
        <v>444</v>
      </c>
      <c r="H145" s="2630"/>
      <c r="I145" s="2631" t="s">
        <v>348</v>
      </c>
      <c r="J145" s="2632"/>
      <c r="K145" s="49"/>
      <c r="L145" s="2627"/>
      <c r="M145" s="51" t="s">
        <v>441</v>
      </c>
      <c r="N145" s="2670" t="s">
        <v>442</v>
      </c>
      <c r="O145" s="2631" t="s">
        <v>443</v>
      </c>
      <c r="P145" s="2632"/>
      <c r="Q145" s="2629" t="s">
        <v>444</v>
      </c>
      <c r="R145" s="2630"/>
      <c r="S145" s="2631" t="s">
        <v>348</v>
      </c>
      <c r="T145" s="2650"/>
    </row>
    <row r="146" spans="1:22" ht="16.5" customHeight="1" thickBot="1" x14ac:dyDescent="0.35">
      <c r="A146" s="2616"/>
      <c r="B146" s="2617"/>
      <c r="C146" s="54" t="s">
        <v>445</v>
      </c>
      <c r="D146" s="2634"/>
      <c r="E146" s="2621"/>
      <c r="F146" s="2623"/>
      <c r="G146" s="2561"/>
      <c r="H146" s="2562"/>
      <c r="I146" s="2635"/>
      <c r="J146" s="2636"/>
      <c r="K146" s="49"/>
      <c r="L146" s="2628"/>
      <c r="M146" s="50" t="s">
        <v>445</v>
      </c>
      <c r="N146" s="2634"/>
      <c r="O146" s="2621"/>
      <c r="P146" s="2623"/>
      <c r="Q146" s="2561"/>
      <c r="R146" s="2562"/>
      <c r="S146" s="2652"/>
      <c r="T146" s="2653"/>
    </row>
    <row r="147" spans="1:22" ht="16.5" customHeight="1" x14ac:dyDescent="0.3">
      <c r="A147" s="116" t="s">
        <v>446</v>
      </c>
      <c r="B147" s="117"/>
      <c r="C147" s="118"/>
      <c r="D147" s="118"/>
      <c r="E147" s="2712"/>
      <c r="F147" s="2713"/>
      <c r="G147" s="2651"/>
      <c r="H147" s="2714"/>
      <c r="I147" s="2607"/>
      <c r="J147" s="2608"/>
      <c r="K147" s="45"/>
      <c r="L147" s="119" t="s">
        <v>447</v>
      </c>
      <c r="M147" s="118"/>
      <c r="N147" s="118"/>
      <c r="O147" s="2651"/>
      <c r="P147" s="2651"/>
      <c r="Q147" s="2651"/>
      <c r="R147" s="2651"/>
      <c r="S147" s="2651"/>
      <c r="T147" s="2651"/>
    </row>
    <row r="148" spans="1:22" ht="16.5" customHeight="1" x14ac:dyDescent="0.35">
      <c r="A148" s="2595" t="s">
        <v>448</v>
      </c>
      <c r="B148" s="2596"/>
      <c r="C148" s="120"/>
      <c r="D148" s="120"/>
      <c r="E148" s="2645"/>
      <c r="F148" s="2646"/>
      <c r="G148" s="2643"/>
      <c r="H148" s="2644"/>
      <c r="I148" s="2715">
        <v>0</v>
      </c>
      <c r="J148" s="2716"/>
      <c r="K148" s="121"/>
      <c r="L148" s="122"/>
      <c r="M148" s="120"/>
      <c r="N148" s="120"/>
      <c r="O148" s="2643"/>
      <c r="P148" s="2643"/>
      <c r="Q148" s="2643"/>
      <c r="R148" s="2643"/>
      <c r="S148" s="2643"/>
      <c r="T148" s="2643"/>
      <c r="V148" s="2005"/>
    </row>
    <row r="149" spans="1:22" ht="16.5" customHeight="1" x14ac:dyDescent="0.3">
      <c r="A149" s="2589" t="s">
        <v>449</v>
      </c>
      <c r="B149" s="2590"/>
      <c r="C149" s="120"/>
      <c r="D149" s="120"/>
      <c r="E149" s="2645"/>
      <c r="F149" s="2646"/>
      <c r="G149" s="2643"/>
      <c r="H149" s="2644"/>
      <c r="I149" s="2643">
        <v>0</v>
      </c>
      <c r="J149" s="2644"/>
      <c r="K149" s="124"/>
      <c r="L149" s="122" t="s">
        <v>450</v>
      </c>
      <c r="M149" s="120" t="s">
        <v>588</v>
      </c>
      <c r="N149" s="120" t="s">
        <v>452</v>
      </c>
      <c r="O149" s="2643">
        <v>25</v>
      </c>
      <c r="P149" s="2643"/>
      <c r="Q149" s="2643">
        <v>17571.1312</v>
      </c>
      <c r="R149" s="2643">
        <v>14291.98</v>
      </c>
      <c r="S149" s="2643">
        <v>439278.27999999997</v>
      </c>
      <c r="T149" s="2643"/>
    </row>
    <row r="150" spans="1:22" ht="16.5" customHeight="1" x14ac:dyDescent="0.3">
      <c r="A150" s="2589" t="s">
        <v>453</v>
      </c>
      <c r="B150" s="2590"/>
      <c r="C150" s="120"/>
      <c r="D150" s="120"/>
      <c r="E150" s="2645"/>
      <c r="F150" s="2646"/>
      <c r="G150" s="2643"/>
      <c r="H150" s="2644"/>
      <c r="I150" s="2643">
        <v>0</v>
      </c>
      <c r="J150" s="2644"/>
      <c r="K150" s="124"/>
      <c r="L150" s="122" t="s">
        <v>454</v>
      </c>
      <c r="M150" s="120"/>
      <c r="N150" s="120"/>
      <c r="O150" s="2643"/>
      <c r="P150" s="2643"/>
      <c r="Q150" s="2643"/>
      <c r="R150" s="2643"/>
      <c r="S150" s="2643">
        <v>0</v>
      </c>
      <c r="T150" s="2643"/>
    </row>
    <row r="151" spans="1:22" ht="16.5" customHeight="1" x14ac:dyDescent="0.3">
      <c r="A151" s="2589" t="s">
        <v>455</v>
      </c>
      <c r="B151" s="2590"/>
      <c r="C151" s="120"/>
      <c r="D151" s="120"/>
      <c r="E151" s="2645"/>
      <c r="F151" s="2645"/>
      <c r="G151" s="2643"/>
      <c r="H151" s="2644"/>
      <c r="I151" s="2643">
        <v>0</v>
      </c>
      <c r="J151" s="2644"/>
      <c r="K151" s="124"/>
      <c r="L151" s="122" t="s">
        <v>456</v>
      </c>
      <c r="M151" s="120"/>
      <c r="N151" s="120"/>
      <c r="O151" s="2643"/>
      <c r="P151" s="2643"/>
      <c r="Q151" s="2643"/>
      <c r="R151" s="2643"/>
      <c r="S151" s="2643">
        <v>0</v>
      </c>
      <c r="T151" s="2643"/>
    </row>
    <row r="152" spans="1:22" ht="16.5" customHeight="1" x14ac:dyDescent="0.2">
      <c r="A152" s="2600" t="s">
        <v>560</v>
      </c>
      <c r="B152" s="2601"/>
      <c r="C152" s="120"/>
      <c r="D152" s="120"/>
      <c r="E152" s="2645"/>
      <c r="F152" s="2645"/>
      <c r="G152" s="2643"/>
      <c r="H152" s="2643"/>
      <c r="I152" s="2715">
        <v>846000</v>
      </c>
      <c r="J152" s="2715"/>
      <c r="K152" s="126"/>
      <c r="L152" s="122" t="s">
        <v>458</v>
      </c>
      <c r="M152" s="120"/>
      <c r="N152" s="120"/>
      <c r="O152" s="2643"/>
      <c r="P152" s="2643"/>
      <c r="Q152" s="2643"/>
      <c r="R152" s="2643"/>
      <c r="S152" s="2643">
        <v>0</v>
      </c>
      <c r="T152" s="2643"/>
    </row>
    <row r="153" spans="1:22" ht="16.5" customHeight="1" x14ac:dyDescent="0.4">
      <c r="A153" s="127" t="s">
        <v>461</v>
      </c>
      <c r="B153" s="128"/>
      <c r="C153" s="120"/>
      <c r="D153" s="120" t="s">
        <v>496</v>
      </c>
      <c r="E153" s="2645">
        <v>5</v>
      </c>
      <c r="F153" s="2645"/>
      <c r="G153" s="2641">
        <v>47000</v>
      </c>
      <c r="H153" s="2642">
        <v>38202.400000000001</v>
      </c>
      <c r="I153" s="2643">
        <v>235000</v>
      </c>
      <c r="J153" s="2644"/>
      <c r="K153" s="124"/>
      <c r="L153" s="122" t="s">
        <v>589</v>
      </c>
      <c r="M153" s="120" t="s">
        <v>590</v>
      </c>
      <c r="N153" s="120" t="s">
        <v>460</v>
      </c>
      <c r="O153" s="2643">
        <v>6</v>
      </c>
      <c r="P153" s="2643"/>
      <c r="Q153" s="2717">
        <v>223254</v>
      </c>
      <c r="R153" s="2717"/>
      <c r="S153" s="2643">
        <v>1339524</v>
      </c>
      <c r="T153" s="2643"/>
    </row>
    <row r="154" spans="1:22" ht="16.5" customHeight="1" x14ac:dyDescent="0.4">
      <c r="A154" s="129" t="s">
        <v>463</v>
      </c>
      <c r="B154" s="130"/>
      <c r="C154" s="120"/>
      <c r="D154" s="120" t="s">
        <v>496</v>
      </c>
      <c r="E154" s="2645">
        <v>10</v>
      </c>
      <c r="F154" s="2645"/>
      <c r="G154" s="2641">
        <v>47000</v>
      </c>
      <c r="H154" s="2642">
        <v>38202.400000000001</v>
      </c>
      <c r="I154" s="2643">
        <v>470000</v>
      </c>
      <c r="J154" s="2644"/>
      <c r="K154" s="124"/>
      <c r="L154" s="122" t="s">
        <v>471</v>
      </c>
      <c r="M154" s="120" t="s">
        <v>1236</v>
      </c>
      <c r="N154" s="120" t="s">
        <v>591</v>
      </c>
      <c r="O154" s="2643">
        <v>4</v>
      </c>
      <c r="P154" s="2643"/>
      <c r="Q154" s="2643">
        <v>28583</v>
      </c>
      <c r="R154" s="2643"/>
      <c r="S154" s="2643">
        <v>114332</v>
      </c>
      <c r="T154" s="2643"/>
    </row>
    <row r="155" spans="1:22" ht="16.5" customHeight="1" x14ac:dyDescent="0.3">
      <c r="A155" s="127" t="s">
        <v>465</v>
      </c>
      <c r="B155" s="128"/>
      <c r="C155" s="120"/>
      <c r="D155" s="120"/>
      <c r="E155" s="2645"/>
      <c r="F155" s="2645"/>
      <c r="G155" s="2643"/>
      <c r="H155" s="2644"/>
      <c r="I155" s="2643">
        <v>0</v>
      </c>
      <c r="J155" s="2644"/>
      <c r="K155" s="124"/>
      <c r="L155" s="122" t="s">
        <v>504</v>
      </c>
      <c r="M155" s="120"/>
      <c r="N155" s="120"/>
      <c r="O155" s="2643"/>
      <c r="P155" s="2643"/>
      <c r="Q155" s="2643"/>
      <c r="R155" s="2643"/>
      <c r="S155" s="2643">
        <v>0</v>
      </c>
      <c r="T155" s="2643"/>
    </row>
    <row r="156" spans="1:22" ht="16.5" customHeight="1" x14ac:dyDescent="0.3">
      <c r="A156" s="127" t="s">
        <v>469</v>
      </c>
      <c r="B156" s="128"/>
      <c r="C156" s="120"/>
      <c r="D156" s="120"/>
      <c r="E156" s="2645"/>
      <c r="F156" s="2645"/>
      <c r="G156" s="2643"/>
      <c r="H156" s="2644"/>
      <c r="I156" s="2643">
        <v>0</v>
      </c>
      <c r="J156" s="2644"/>
      <c r="K156" s="124"/>
      <c r="L156" s="122"/>
      <c r="M156" s="120"/>
      <c r="N156" s="120"/>
      <c r="O156" s="2643"/>
      <c r="P156" s="2643"/>
      <c r="Q156" s="2643"/>
      <c r="R156" s="2643"/>
      <c r="S156" s="2643"/>
      <c r="T156" s="2643"/>
    </row>
    <row r="157" spans="1:22" ht="16.5" customHeight="1" x14ac:dyDescent="0.3">
      <c r="A157" s="131" t="s">
        <v>470</v>
      </c>
      <c r="B157" s="132"/>
      <c r="C157" s="120"/>
      <c r="D157" s="120"/>
      <c r="E157" s="2645"/>
      <c r="F157" s="2645"/>
      <c r="G157" s="2643"/>
      <c r="H157" s="2644"/>
      <c r="I157" s="2643">
        <v>0</v>
      </c>
      <c r="J157" s="2644"/>
      <c r="K157" s="124"/>
      <c r="L157" s="122"/>
      <c r="M157" s="120"/>
      <c r="N157" s="120"/>
      <c r="O157" s="2643"/>
      <c r="P157" s="2643"/>
      <c r="Q157" s="2643"/>
      <c r="R157" s="2643"/>
      <c r="S157" s="2643"/>
      <c r="T157" s="2643"/>
    </row>
    <row r="158" spans="1:22" ht="16.5" customHeight="1" x14ac:dyDescent="0.3">
      <c r="A158" s="127" t="s">
        <v>474</v>
      </c>
      <c r="B158" s="128"/>
      <c r="C158" s="120"/>
      <c r="D158" s="120"/>
      <c r="E158" s="2645"/>
      <c r="F158" s="2645"/>
      <c r="G158" s="2643"/>
      <c r="H158" s="2644"/>
      <c r="I158" s="2643">
        <v>0</v>
      </c>
      <c r="J158" s="2644"/>
      <c r="K158" s="124"/>
      <c r="L158" s="122" t="s">
        <v>475</v>
      </c>
      <c r="M158" s="120"/>
      <c r="N158" s="120"/>
      <c r="O158" s="2643"/>
      <c r="P158" s="2643"/>
      <c r="Q158" s="2643"/>
      <c r="R158" s="2643"/>
      <c r="S158" s="2643">
        <v>0</v>
      </c>
      <c r="T158" s="2643"/>
    </row>
    <row r="159" spans="1:22" ht="16.5" customHeight="1" x14ac:dyDescent="0.3">
      <c r="A159" s="127" t="s">
        <v>476</v>
      </c>
      <c r="B159" s="128"/>
      <c r="C159" s="120"/>
      <c r="D159" s="120"/>
      <c r="E159" s="2645"/>
      <c r="F159" s="2645"/>
      <c r="G159" s="2643"/>
      <c r="H159" s="2644"/>
      <c r="I159" s="2643">
        <v>0</v>
      </c>
      <c r="J159" s="2644"/>
      <c r="K159" s="124"/>
      <c r="L159" s="122" t="s">
        <v>477</v>
      </c>
      <c r="M159" s="120"/>
      <c r="N159" s="120"/>
      <c r="O159" s="2643"/>
      <c r="P159" s="2643"/>
      <c r="Q159" s="2643"/>
      <c r="R159" s="2643"/>
      <c r="S159" s="2643">
        <v>0</v>
      </c>
      <c r="T159" s="2643"/>
    </row>
    <row r="160" spans="1:22" ht="16.5" customHeight="1" x14ac:dyDescent="0.4">
      <c r="A160" s="2597" t="s">
        <v>480</v>
      </c>
      <c r="B160" s="2598"/>
      <c r="C160" s="120"/>
      <c r="D160" s="120" t="s">
        <v>496</v>
      </c>
      <c r="E160" s="2645">
        <v>3</v>
      </c>
      <c r="F160" s="2646"/>
      <c r="G160" s="2641">
        <v>47000</v>
      </c>
      <c r="H160" s="2642">
        <v>38202.400000000001</v>
      </c>
      <c r="I160" s="2643">
        <v>141000</v>
      </c>
      <c r="J160" s="2644"/>
      <c r="K160" s="124"/>
      <c r="L160" s="122" t="s">
        <v>481</v>
      </c>
      <c r="M160" s="120"/>
      <c r="N160" s="120"/>
      <c r="O160" s="2643"/>
      <c r="P160" s="2643"/>
      <c r="Q160" s="2643"/>
      <c r="R160" s="2643"/>
      <c r="S160" s="2643">
        <v>0</v>
      </c>
      <c r="T160" s="2643"/>
    </row>
    <row r="161" spans="1:20" ht="16.5" customHeight="1" x14ac:dyDescent="0.3">
      <c r="A161" s="127" t="s">
        <v>454</v>
      </c>
      <c r="B161" s="128"/>
      <c r="C161" s="120"/>
      <c r="D161" s="120"/>
      <c r="E161" s="2645"/>
      <c r="F161" s="2646"/>
      <c r="G161" s="2643"/>
      <c r="H161" s="2644"/>
      <c r="I161" s="2643">
        <v>0</v>
      </c>
      <c r="J161" s="2644"/>
      <c r="K161" s="124"/>
      <c r="L161" s="122" t="s">
        <v>483</v>
      </c>
      <c r="M161" s="120" t="s">
        <v>592</v>
      </c>
      <c r="N161" s="120" t="s">
        <v>591</v>
      </c>
      <c r="O161" s="2643">
        <v>2</v>
      </c>
      <c r="P161" s="2643"/>
      <c r="Q161" s="2643">
        <v>62990.084799999997</v>
      </c>
      <c r="R161" s="2643">
        <v>51236.160000000003</v>
      </c>
      <c r="S161" s="2643">
        <v>125980.16959999999</v>
      </c>
      <c r="T161" s="2643"/>
    </row>
    <row r="162" spans="1:20" ht="16.5" customHeight="1" x14ac:dyDescent="0.3">
      <c r="A162" s="127" t="s">
        <v>593</v>
      </c>
      <c r="B162" s="128"/>
      <c r="C162" s="120"/>
      <c r="D162" s="120"/>
      <c r="E162" s="2645"/>
      <c r="F162" s="2646"/>
      <c r="G162" s="2643"/>
      <c r="H162" s="2644"/>
      <c r="I162" s="2643">
        <v>0</v>
      </c>
      <c r="J162" s="2644"/>
      <c r="K162" s="124"/>
      <c r="L162" s="122" t="s">
        <v>486</v>
      </c>
      <c r="M162" s="120"/>
      <c r="N162" s="120"/>
      <c r="O162" s="2643"/>
      <c r="P162" s="2643"/>
      <c r="Q162" s="2643"/>
      <c r="R162" s="2643"/>
      <c r="S162" s="2643">
        <v>0</v>
      </c>
      <c r="T162" s="2643"/>
    </row>
    <row r="163" spans="1:20" ht="16.5" customHeight="1" x14ac:dyDescent="0.3">
      <c r="A163" s="133" t="s">
        <v>488</v>
      </c>
      <c r="B163" s="134"/>
      <c r="C163" s="120"/>
      <c r="D163" s="120"/>
      <c r="E163" s="2645"/>
      <c r="F163" s="2646"/>
      <c r="G163" s="2643"/>
      <c r="H163" s="2644"/>
      <c r="I163" s="2643">
        <v>0</v>
      </c>
      <c r="J163" s="2644"/>
      <c r="K163" s="124"/>
      <c r="L163" s="122" t="s">
        <v>489</v>
      </c>
      <c r="M163" s="120"/>
      <c r="N163" s="120"/>
      <c r="O163" s="2643"/>
      <c r="P163" s="2643"/>
      <c r="Q163" s="2643"/>
      <c r="R163" s="2643"/>
      <c r="S163" s="2643">
        <v>0</v>
      </c>
      <c r="T163" s="2643"/>
    </row>
    <row r="164" spans="1:20" ht="16.5" customHeight="1" x14ac:dyDescent="0.35">
      <c r="A164" s="135" t="s">
        <v>490</v>
      </c>
      <c r="B164" s="136"/>
      <c r="C164" s="120"/>
      <c r="D164" s="120"/>
      <c r="E164" s="2645"/>
      <c r="F164" s="2646"/>
      <c r="G164" s="2643"/>
      <c r="H164" s="2644"/>
      <c r="I164" s="2715">
        <v>235000</v>
      </c>
      <c r="J164" s="2716"/>
      <c r="K164" s="124"/>
      <c r="L164" s="122" t="s">
        <v>491</v>
      </c>
      <c r="M164" s="120" t="s">
        <v>1237</v>
      </c>
      <c r="N164" s="120" t="s">
        <v>452</v>
      </c>
      <c r="O164" s="2643">
        <v>3</v>
      </c>
      <c r="P164" s="2643"/>
      <c r="Q164" s="2643">
        <v>25849</v>
      </c>
      <c r="R164" s="2643"/>
      <c r="S164" s="2643">
        <v>77547</v>
      </c>
      <c r="T164" s="2643"/>
    </row>
    <row r="165" spans="1:20" ht="16.5" customHeight="1" x14ac:dyDescent="0.4">
      <c r="A165" s="133" t="s">
        <v>492</v>
      </c>
      <c r="B165" s="136"/>
      <c r="C165" s="120"/>
      <c r="D165" s="120" t="s">
        <v>496</v>
      </c>
      <c r="E165" s="2643">
        <v>5</v>
      </c>
      <c r="F165" s="2643"/>
      <c r="G165" s="2641">
        <v>47000</v>
      </c>
      <c r="H165" s="2642">
        <v>38202.400000000001</v>
      </c>
      <c r="I165" s="2643">
        <v>235000</v>
      </c>
      <c r="J165" s="2644"/>
      <c r="K165" s="124"/>
      <c r="L165" s="122" t="s">
        <v>494</v>
      </c>
      <c r="M165" s="120"/>
      <c r="N165" s="120"/>
      <c r="O165" s="2643"/>
      <c r="P165" s="2643"/>
      <c r="Q165" s="2643"/>
      <c r="R165" s="2643"/>
      <c r="S165" s="2643">
        <v>0</v>
      </c>
      <c r="T165" s="2643"/>
    </row>
    <row r="166" spans="1:20" ht="16.5" customHeight="1" x14ac:dyDescent="0.3">
      <c r="A166" s="137" t="s">
        <v>594</v>
      </c>
      <c r="B166" s="138"/>
      <c r="C166" s="120"/>
      <c r="D166" s="120"/>
      <c r="E166" s="2643"/>
      <c r="F166" s="2643"/>
      <c r="G166" s="2643"/>
      <c r="H166" s="2644"/>
      <c r="I166" s="2643">
        <v>0</v>
      </c>
      <c r="J166" s="2644"/>
      <c r="K166" s="124"/>
      <c r="L166" s="122" t="s">
        <v>498</v>
      </c>
      <c r="M166" s="120"/>
      <c r="N166" s="120"/>
      <c r="O166" s="2643"/>
      <c r="P166" s="2643"/>
      <c r="Q166" s="2643"/>
      <c r="R166" s="2643"/>
      <c r="S166" s="2643">
        <v>0</v>
      </c>
      <c r="T166" s="2643"/>
    </row>
    <row r="167" spans="1:20" ht="16.5" customHeight="1" x14ac:dyDescent="0.3">
      <c r="A167" s="2578" t="s">
        <v>501</v>
      </c>
      <c r="B167" s="2579"/>
      <c r="C167" s="120"/>
      <c r="D167" s="120"/>
      <c r="E167" s="2643"/>
      <c r="F167" s="2643"/>
      <c r="G167" s="2643"/>
      <c r="H167" s="2644"/>
      <c r="I167" s="2643">
        <v>0</v>
      </c>
      <c r="J167" s="2644"/>
      <c r="K167" s="124"/>
      <c r="L167" s="139" t="s">
        <v>504</v>
      </c>
      <c r="M167" s="139"/>
      <c r="N167" s="139"/>
      <c r="O167" s="2643"/>
      <c r="P167" s="2643"/>
      <c r="Q167" s="2643"/>
      <c r="R167" s="2643"/>
      <c r="S167" s="2643">
        <v>0</v>
      </c>
      <c r="T167" s="2643"/>
    </row>
    <row r="168" spans="1:20" ht="16.5" customHeight="1" x14ac:dyDescent="0.3">
      <c r="A168" s="2589" t="s">
        <v>504</v>
      </c>
      <c r="B168" s="2590"/>
      <c r="C168" s="120"/>
      <c r="D168" s="120"/>
      <c r="E168" s="2643"/>
      <c r="F168" s="2643"/>
      <c r="G168" s="2643"/>
      <c r="H168" s="2644"/>
      <c r="I168" s="2643">
        <v>0</v>
      </c>
      <c r="J168" s="2644"/>
      <c r="K168" s="124"/>
      <c r="L168" s="139"/>
      <c r="M168" s="139"/>
      <c r="N168" s="139"/>
      <c r="O168" s="2643"/>
      <c r="P168" s="2643"/>
      <c r="Q168" s="2643"/>
      <c r="R168" s="2643"/>
      <c r="S168" s="2643"/>
      <c r="T168" s="2643"/>
    </row>
    <row r="169" spans="1:20" ht="16.5" customHeight="1" x14ac:dyDescent="0.3">
      <c r="A169" s="2589" t="s">
        <v>504</v>
      </c>
      <c r="B169" s="2590"/>
      <c r="C169" s="120"/>
      <c r="D169" s="120"/>
      <c r="E169" s="2643"/>
      <c r="F169" s="2643"/>
      <c r="G169" s="2643"/>
      <c r="H169" s="2644"/>
      <c r="I169" s="2643">
        <v>0</v>
      </c>
      <c r="J169" s="2644"/>
      <c r="K169" s="124"/>
      <c r="L169" s="139" t="s">
        <v>595</v>
      </c>
      <c r="M169" s="139"/>
      <c r="N169" s="139"/>
      <c r="O169" s="2643"/>
      <c r="P169" s="2643"/>
      <c r="Q169" s="2643"/>
      <c r="R169" s="2643"/>
      <c r="S169" s="2643">
        <v>0</v>
      </c>
      <c r="T169" s="2643"/>
    </row>
    <row r="170" spans="1:20" ht="16.5" customHeight="1" x14ac:dyDescent="0.35">
      <c r="A170" s="2595" t="s">
        <v>506</v>
      </c>
      <c r="B170" s="2596"/>
      <c r="C170" s="120"/>
      <c r="D170" s="120"/>
      <c r="E170" s="2645"/>
      <c r="F170" s="2646"/>
      <c r="G170" s="2643"/>
      <c r="H170" s="2644"/>
      <c r="I170" s="2715">
        <v>2021000</v>
      </c>
      <c r="J170" s="2716"/>
      <c r="K170" s="121"/>
      <c r="L170" s="139" t="s">
        <v>507</v>
      </c>
      <c r="M170" s="140" t="s">
        <v>596</v>
      </c>
      <c r="N170" s="140" t="s">
        <v>597</v>
      </c>
      <c r="O170" s="2643">
        <v>88</v>
      </c>
      <c r="P170" s="2643"/>
      <c r="Q170" s="2643">
        <v>5856.8616000000002</v>
      </c>
      <c r="R170" s="2643">
        <v>4763.6400000000003</v>
      </c>
      <c r="S170" s="2643">
        <v>515403.82079999999</v>
      </c>
      <c r="T170" s="2643"/>
    </row>
    <row r="171" spans="1:20" ht="16.5" customHeight="1" x14ac:dyDescent="0.4">
      <c r="A171" s="2589" t="s">
        <v>509</v>
      </c>
      <c r="B171" s="2590"/>
      <c r="C171" s="120"/>
      <c r="D171" s="120" t="s">
        <v>496</v>
      </c>
      <c r="E171" s="2645">
        <v>5</v>
      </c>
      <c r="F171" s="2646"/>
      <c r="G171" s="2641">
        <v>47000</v>
      </c>
      <c r="H171" s="2642">
        <v>38202.400000000001</v>
      </c>
      <c r="I171" s="2643">
        <v>235000</v>
      </c>
      <c r="J171" s="2644"/>
      <c r="K171" s="124"/>
      <c r="L171" s="139" t="s">
        <v>510</v>
      </c>
      <c r="M171" s="140" t="s">
        <v>598</v>
      </c>
      <c r="N171" s="140" t="s">
        <v>599</v>
      </c>
      <c r="O171" s="2643">
        <v>6</v>
      </c>
      <c r="P171" s="2643"/>
      <c r="Q171" s="2559">
        <v>14203.2582</v>
      </c>
      <c r="R171" s="2560">
        <v>11552.94</v>
      </c>
      <c r="S171" s="2643">
        <v>85219.549200000009</v>
      </c>
      <c r="T171" s="2643"/>
    </row>
    <row r="172" spans="1:20" ht="16.5" customHeight="1" x14ac:dyDescent="0.3">
      <c r="A172" s="2589" t="s">
        <v>512</v>
      </c>
      <c r="B172" s="2590"/>
      <c r="C172" s="120"/>
      <c r="D172" s="120"/>
      <c r="E172" s="2645"/>
      <c r="F172" s="2646"/>
      <c r="G172" s="2643"/>
      <c r="H172" s="2644"/>
      <c r="I172" s="2643">
        <v>0</v>
      </c>
      <c r="J172" s="2644"/>
      <c r="K172" s="124"/>
      <c r="L172" s="139" t="s">
        <v>574</v>
      </c>
      <c r="M172" s="140" t="s">
        <v>600</v>
      </c>
      <c r="N172" s="140" t="s">
        <v>597</v>
      </c>
      <c r="O172" s="2643">
        <v>2000</v>
      </c>
      <c r="P172" s="2643"/>
      <c r="Q172" s="2559">
        <v>2928.4308000000001</v>
      </c>
      <c r="R172" s="2560">
        <v>2381.8200000000002</v>
      </c>
      <c r="S172" s="2643">
        <v>5856861.6000000006</v>
      </c>
      <c r="T172" s="2643"/>
    </row>
    <row r="173" spans="1:20" ht="16.5" customHeight="1" x14ac:dyDescent="0.3">
      <c r="A173" s="137" t="s">
        <v>514</v>
      </c>
      <c r="B173" s="138"/>
      <c r="C173" s="120"/>
      <c r="D173" s="120"/>
      <c r="E173" s="2645"/>
      <c r="F173" s="2646"/>
      <c r="G173" s="2643"/>
      <c r="H173" s="2644"/>
      <c r="I173" s="2643">
        <v>0</v>
      </c>
      <c r="J173" s="2644"/>
      <c r="K173" s="124"/>
      <c r="L173" s="139" t="s">
        <v>515</v>
      </c>
      <c r="M173" s="140"/>
      <c r="N173" s="140"/>
      <c r="O173" s="2643"/>
      <c r="P173" s="2643"/>
      <c r="Q173" s="2643"/>
      <c r="R173" s="2643"/>
      <c r="S173" s="2643">
        <v>0</v>
      </c>
      <c r="T173" s="2643"/>
    </row>
    <row r="174" spans="1:20" ht="16.5" customHeight="1" x14ac:dyDescent="0.3">
      <c r="A174" s="2589" t="s">
        <v>516</v>
      </c>
      <c r="B174" s="2590"/>
      <c r="C174" s="120"/>
      <c r="D174" s="120"/>
      <c r="E174" s="2645"/>
      <c r="F174" s="2646"/>
      <c r="G174" s="2643"/>
      <c r="H174" s="2644"/>
      <c r="I174" s="2643">
        <v>0</v>
      </c>
      <c r="J174" s="2644"/>
      <c r="K174" s="124"/>
      <c r="L174" s="139" t="s">
        <v>575</v>
      </c>
      <c r="M174" s="140" t="s">
        <v>601</v>
      </c>
      <c r="N174" s="140"/>
      <c r="O174" s="2643">
        <v>8</v>
      </c>
      <c r="P174" s="2643"/>
      <c r="Q174" s="2643">
        <v>111283.78539999999</v>
      </c>
      <c r="R174" s="2643">
        <v>45258.82</v>
      </c>
      <c r="S174" s="2643">
        <v>890270.28319999995</v>
      </c>
      <c r="T174" s="2643"/>
    </row>
    <row r="175" spans="1:20" ht="16.5" customHeight="1" x14ac:dyDescent="0.4">
      <c r="A175" s="137" t="s">
        <v>602</v>
      </c>
      <c r="B175" s="138"/>
      <c r="C175" s="120"/>
      <c r="D175" s="120" t="s">
        <v>496</v>
      </c>
      <c r="E175" s="2645">
        <v>10</v>
      </c>
      <c r="F175" s="2646"/>
      <c r="G175" s="2641">
        <v>47000</v>
      </c>
      <c r="H175" s="2642">
        <v>38202.400000000001</v>
      </c>
      <c r="I175" s="2643">
        <v>470000</v>
      </c>
      <c r="J175" s="2644"/>
      <c r="K175" s="124"/>
      <c r="L175" s="139" t="s">
        <v>504</v>
      </c>
      <c r="M175" s="139"/>
      <c r="N175" s="139"/>
      <c r="O175" s="2643"/>
      <c r="P175" s="2643"/>
      <c r="Q175" s="2643"/>
      <c r="R175" s="2643"/>
      <c r="S175" s="2643">
        <v>0</v>
      </c>
      <c r="T175" s="2643"/>
    </row>
    <row r="176" spans="1:20" ht="16.5" customHeight="1" x14ac:dyDescent="0.3">
      <c r="A176" s="137" t="s">
        <v>519</v>
      </c>
      <c r="B176" s="141"/>
      <c r="C176" s="120"/>
      <c r="D176" s="140"/>
      <c r="E176" s="2655"/>
      <c r="F176" s="2655"/>
      <c r="G176" s="2643"/>
      <c r="H176" s="2644"/>
      <c r="I176" s="2643">
        <v>0</v>
      </c>
      <c r="J176" s="2644"/>
      <c r="K176" s="124"/>
      <c r="L176" s="139"/>
      <c r="M176" s="139"/>
      <c r="N176" s="139"/>
      <c r="O176" s="2643"/>
      <c r="P176" s="2643"/>
      <c r="Q176" s="2643"/>
      <c r="R176" s="2643"/>
      <c r="S176" s="2643"/>
      <c r="T176" s="2643"/>
    </row>
    <row r="177" spans="1:22" ht="16.5" customHeight="1" x14ac:dyDescent="0.3">
      <c r="A177" s="137" t="s">
        <v>475</v>
      </c>
      <c r="B177" s="138"/>
      <c r="C177" s="120"/>
      <c r="D177" s="120"/>
      <c r="E177" s="2643"/>
      <c r="F177" s="2643"/>
      <c r="G177" s="2643"/>
      <c r="H177" s="2644"/>
      <c r="I177" s="2643">
        <v>0</v>
      </c>
      <c r="J177" s="2644"/>
      <c r="K177" s="124"/>
      <c r="L177" s="139"/>
      <c r="M177" s="139"/>
      <c r="N177" s="139"/>
      <c r="O177" s="2643"/>
      <c r="P177" s="2643"/>
      <c r="Q177" s="2643"/>
      <c r="R177" s="2643"/>
      <c r="S177" s="2643"/>
      <c r="T177" s="2643"/>
    </row>
    <row r="178" spans="1:22" ht="16.5" customHeight="1" x14ac:dyDescent="0.4">
      <c r="A178" s="2578" t="s">
        <v>520</v>
      </c>
      <c r="B178" s="2579"/>
      <c r="C178" s="120"/>
      <c r="D178" s="120" t="s">
        <v>496</v>
      </c>
      <c r="E178" s="2645">
        <v>2</v>
      </c>
      <c r="F178" s="2646"/>
      <c r="G178" s="2641">
        <v>47000</v>
      </c>
      <c r="H178" s="2642">
        <v>38202.400000000001</v>
      </c>
      <c r="I178" s="2643">
        <v>94000</v>
      </c>
      <c r="J178" s="2644"/>
      <c r="K178" s="124"/>
      <c r="L178" s="142" t="s">
        <v>521</v>
      </c>
      <c r="M178" s="143"/>
      <c r="N178" s="143"/>
      <c r="O178" s="2591"/>
      <c r="P178" s="2592"/>
      <c r="Q178" s="2591"/>
      <c r="R178" s="2592"/>
      <c r="S178" s="2593">
        <v>9444416.7028000001</v>
      </c>
      <c r="T178" s="2594"/>
    </row>
    <row r="179" spans="1:22" ht="16.5" customHeight="1" x14ac:dyDescent="0.3">
      <c r="A179" s="137" t="s">
        <v>522</v>
      </c>
      <c r="B179" s="138"/>
      <c r="C179" s="120"/>
      <c r="D179" s="120"/>
      <c r="E179" s="2645"/>
      <c r="F179" s="2646"/>
      <c r="G179" s="2643"/>
      <c r="H179" s="2644"/>
      <c r="I179" s="2643">
        <v>0</v>
      </c>
      <c r="J179" s="2644"/>
      <c r="K179" s="124"/>
      <c r="L179" s="144" t="s">
        <v>577</v>
      </c>
      <c r="M179" s="145"/>
      <c r="N179" s="145"/>
      <c r="O179" s="146"/>
      <c r="P179" s="146"/>
      <c r="Q179" s="146"/>
      <c r="R179" s="146"/>
      <c r="S179" s="146"/>
      <c r="T179" s="147"/>
    </row>
    <row r="180" spans="1:22" ht="16.5" customHeight="1" x14ac:dyDescent="0.4">
      <c r="A180" s="2578" t="s">
        <v>524</v>
      </c>
      <c r="B180" s="2579"/>
      <c r="C180" s="120"/>
      <c r="D180" s="120" t="s">
        <v>496</v>
      </c>
      <c r="E180" s="2645">
        <v>1</v>
      </c>
      <c r="F180" s="2646"/>
      <c r="G180" s="2641">
        <v>47000</v>
      </c>
      <c r="H180" s="2642">
        <v>38202.400000000001</v>
      </c>
      <c r="I180" s="2643">
        <v>47000</v>
      </c>
      <c r="J180" s="2644"/>
      <c r="K180" s="124"/>
      <c r="L180" s="148" t="s">
        <v>525</v>
      </c>
      <c r="M180" s="149">
        <v>0.05</v>
      </c>
      <c r="N180" s="45"/>
      <c r="O180" s="26"/>
      <c r="P180" s="26"/>
      <c r="Q180" s="26"/>
      <c r="R180" s="26"/>
      <c r="S180" s="2575">
        <v>714647.94938000012</v>
      </c>
      <c r="T180" s="2560"/>
    </row>
    <row r="181" spans="1:22" ht="16.5" customHeight="1" x14ac:dyDescent="0.3">
      <c r="A181" s="137" t="s">
        <v>526</v>
      </c>
      <c r="B181" s="138"/>
      <c r="C181" s="120"/>
      <c r="D181" s="120"/>
      <c r="E181" s="2645"/>
      <c r="F181" s="2646"/>
      <c r="G181" s="2643"/>
      <c r="H181" s="2644"/>
      <c r="I181" s="2643">
        <v>0</v>
      </c>
      <c r="J181" s="2644"/>
      <c r="K181" s="124"/>
      <c r="L181" s="151" t="s">
        <v>527</v>
      </c>
      <c r="M181" s="45"/>
      <c r="N181" s="45"/>
      <c r="O181" s="26"/>
      <c r="P181" s="26"/>
      <c r="Q181" s="26"/>
      <c r="R181" s="26"/>
      <c r="S181" s="26"/>
      <c r="T181" s="150"/>
    </row>
    <row r="182" spans="1:22" ht="16.5" customHeight="1" x14ac:dyDescent="0.3">
      <c r="A182" s="133" t="s">
        <v>578</v>
      </c>
      <c r="B182" s="136"/>
      <c r="C182" s="140"/>
      <c r="D182" s="140"/>
      <c r="E182" s="2655"/>
      <c r="F182" s="2655"/>
      <c r="G182" s="2643"/>
      <c r="H182" s="2644"/>
      <c r="I182" s="2643">
        <v>0</v>
      </c>
      <c r="J182" s="2644"/>
      <c r="K182" s="124"/>
      <c r="L182" s="152" t="s">
        <v>529</v>
      </c>
      <c r="M182" s="45"/>
      <c r="N182" s="45"/>
      <c r="O182" s="26"/>
      <c r="P182" s="26"/>
      <c r="Q182" s="26"/>
      <c r="R182" s="26"/>
      <c r="S182" s="2575">
        <v>469904</v>
      </c>
      <c r="T182" s="2560"/>
    </row>
    <row r="183" spans="1:22" ht="16.5" customHeight="1" x14ac:dyDescent="0.4">
      <c r="A183" s="153" t="s">
        <v>579</v>
      </c>
      <c r="B183" s="154"/>
      <c r="C183" s="120"/>
      <c r="D183" s="120" t="s">
        <v>496</v>
      </c>
      <c r="E183" s="2643">
        <v>12</v>
      </c>
      <c r="F183" s="2643"/>
      <c r="G183" s="2641">
        <v>47000</v>
      </c>
      <c r="H183" s="2642">
        <v>38202.400000000001</v>
      </c>
      <c r="I183" s="2643">
        <v>564000</v>
      </c>
      <c r="J183" s="2644"/>
      <c r="K183" s="124"/>
      <c r="L183" s="152" t="s">
        <v>580</v>
      </c>
      <c r="M183" s="45"/>
      <c r="N183" s="45"/>
      <c r="O183" s="26"/>
      <c r="P183" s="26"/>
      <c r="Q183" s="26"/>
      <c r="R183" s="26"/>
      <c r="S183" s="2575">
        <v>428788.76962799998</v>
      </c>
      <c r="T183" s="2560"/>
    </row>
    <row r="184" spans="1:22" ht="16.5" customHeight="1" x14ac:dyDescent="0.3">
      <c r="A184" s="137" t="s">
        <v>532</v>
      </c>
      <c r="B184" s="138"/>
      <c r="C184" s="120"/>
      <c r="D184" s="120"/>
      <c r="E184" s="2645"/>
      <c r="F184" s="2646"/>
      <c r="G184" s="2643"/>
      <c r="H184" s="2644"/>
      <c r="I184" s="2643">
        <v>0</v>
      </c>
      <c r="J184" s="2644"/>
      <c r="K184" s="124"/>
      <c r="L184" s="166" t="s">
        <v>504</v>
      </c>
      <c r="M184" s="155"/>
      <c r="N184" s="155"/>
      <c r="O184" s="167"/>
      <c r="P184" s="167"/>
      <c r="Q184" s="167"/>
      <c r="R184" s="167"/>
      <c r="S184" s="2557">
        <v>185776</v>
      </c>
      <c r="T184" s="2558"/>
    </row>
    <row r="185" spans="1:22" ht="16.5" customHeight="1" x14ac:dyDescent="0.3">
      <c r="A185" s="137" t="s">
        <v>454</v>
      </c>
      <c r="B185" s="138"/>
      <c r="C185" s="120"/>
      <c r="D185" s="120"/>
      <c r="E185" s="2645"/>
      <c r="F185" s="2646"/>
      <c r="G185" s="2643"/>
      <c r="H185" s="2644"/>
      <c r="I185" s="2643">
        <v>0</v>
      </c>
      <c r="J185" s="2644"/>
      <c r="K185" s="124"/>
      <c r="L185" s="156" t="s">
        <v>533</v>
      </c>
      <c r="M185" s="157"/>
      <c r="N185" s="157"/>
      <c r="O185" s="158"/>
      <c r="P185" s="158"/>
      <c r="Q185" s="158"/>
      <c r="R185" s="158"/>
      <c r="S185" s="2587">
        <v>1799116.7190080001</v>
      </c>
      <c r="T185" s="2588"/>
    </row>
    <row r="186" spans="1:22" ht="16.5" customHeight="1" x14ac:dyDescent="0.3">
      <c r="A186" s="2578" t="s">
        <v>534</v>
      </c>
      <c r="B186" s="2579"/>
      <c r="C186" s="120"/>
      <c r="D186" s="120"/>
      <c r="E186" s="2643"/>
      <c r="F186" s="2643"/>
      <c r="G186" s="2643"/>
      <c r="H186" s="2644"/>
      <c r="I186" s="2643">
        <v>0</v>
      </c>
      <c r="J186" s="2644"/>
      <c r="K186" s="124"/>
      <c r="L186" s="159"/>
      <c r="M186" s="45"/>
      <c r="N186" s="45"/>
      <c r="O186" s="26"/>
      <c r="P186" s="26"/>
      <c r="Q186" s="26"/>
      <c r="R186" s="26"/>
      <c r="S186" s="26"/>
      <c r="T186" s="150"/>
    </row>
    <row r="187" spans="1:22" ht="16.5" customHeight="1" thickBot="1" x14ac:dyDescent="0.45">
      <c r="A187" s="2578" t="s">
        <v>535</v>
      </c>
      <c r="B187" s="2579"/>
      <c r="C187" s="120"/>
      <c r="D187" s="120" t="s">
        <v>496</v>
      </c>
      <c r="E187" s="2645">
        <v>3</v>
      </c>
      <c r="F187" s="2646"/>
      <c r="G187" s="2641">
        <v>47000</v>
      </c>
      <c r="H187" s="2642">
        <v>38202.400000000001</v>
      </c>
      <c r="I187" s="2643">
        <v>141000</v>
      </c>
      <c r="J187" s="2644"/>
      <c r="K187" s="124"/>
      <c r="L187" s="160" t="s">
        <v>583</v>
      </c>
      <c r="M187" s="161"/>
      <c r="N187" s="161"/>
      <c r="O187" s="161"/>
      <c r="P187" s="161"/>
      <c r="Q187" s="161"/>
      <c r="R187" s="161"/>
      <c r="S187" s="2580">
        <v>16092075.706608001</v>
      </c>
      <c r="T187" s="2581"/>
      <c r="V187" s="1047">
        <f>'TOTAL TRANSITORIOS'!W14</f>
        <v>16092075.706607999</v>
      </c>
    </row>
    <row r="188" spans="1:22" ht="16.5" customHeight="1" thickBot="1" x14ac:dyDescent="0.45">
      <c r="A188" s="133" t="s">
        <v>537</v>
      </c>
      <c r="B188" s="136"/>
      <c r="C188" s="140"/>
      <c r="D188" s="140" t="s">
        <v>496</v>
      </c>
      <c r="E188" s="2643">
        <v>2</v>
      </c>
      <c r="F188" s="2644"/>
      <c r="G188" s="2641">
        <v>47000</v>
      </c>
      <c r="H188" s="2642">
        <v>38202.400000000001</v>
      </c>
      <c r="I188" s="2643">
        <v>94000</v>
      </c>
      <c r="J188" s="2644"/>
      <c r="K188" s="124"/>
      <c r="L188" s="45"/>
      <c r="M188" s="45"/>
      <c r="N188" s="45"/>
      <c r="O188" s="45"/>
      <c r="P188" s="45"/>
      <c r="Q188" s="45"/>
      <c r="R188" s="45"/>
      <c r="S188" s="45"/>
      <c r="T188" s="45"/>
    </row>
    <row r="189" spans="1:22" ht="16.5" customHeight="1" x14ac:dyDescent="0.3">
      <c r="A189" s="133" t="s">
        <v>540</v>
      </c>
      <c r="B189" s="136"/>
      <c r="C189" s="140"/>
      <c r="D189" s="140"/>
      <c r="E189" s="2643"/>
      <c r="F189" s="2644"/>
      <c r="G189" s="2643"/>
      <c r="H189" s="2644"/>
      <c r="I189" s="2643">
        <v>0</v>
      </c>
      <c r="J189" s="2644"/>
      <c r="K189" s="124"/>
      <c r="L189" s="45"/>
      <c r="M189" s="2582" t="s">
        <v>539</v>
      </c>
      <c r="N189" s="2583"/>
      <c r="O189" s="2583"/>
      <c r="P189" s="2583"/>
      <c r="Q189" s="2584"/>
      <c r="R189" s="45"/>
      <c r="S189" s="45"/>
      <c r="T189" s="45"/>
    </row>
    <row r="190" spans="1:22" ht="16.5" customHeight="1" x14ac:dyDescent="0.3">
      <c r="A190" s="133" t="s">
        <v>543</v>
      </c>
      <c r="B190" s="136"/>
      <c r="C190" s="140"/>
      <c r="D190" s="140"/>
      <c r="E190" s="2559"/>
      <c r="F190" s="2560"/>
      <c r="G190" s="2559"/>
      <c r="H190" s="2560"/>
      <c r="I190" s="2643">
        <v>0</v>
      </c>
      <c r="J190" s="2644"/>
      <c r="K190" s="124"/>
      <c r="L190" s="45"/>
      <c r="M190" s="101" t="s">
        <v>541</v>
      </c>
      <c r="N190" s="102"/>
      <c r="O190" s="102"/>
      <c r="P190" s="102"/>
      <c r="Q190" s="103">
        <v>4.2507377234668482</v>
      </c>
      <c r="R190" s="45"/>
      <c r="S190" s="45"/>
      <c r="T190" s="45"/>
      <c r="U190" s="169" t="s">
        <v>542</v>
      </c>
    </row>
    <row r="191" spans="1:22" ht="16.5" customHeight="1" x14ac:dyDescent="0.4">
      <c r="A191" s="133" t="s">
        <v>603</v>
      </c>
      <c r="B191" s="136"/>
      <c r="C191" s="140"/>
      <c r="D191" s="140" t="s">
        <v>496</v>
      </c>
      <c r="E191" s="2643">
        <v>8</v>
      </c>
      <c r="F191" s="2644"/>
      <c r="G191" s="2641">
        <v>47000</v>
      </c>
      <c r="H191" s="2642">
        <v>38202.400000000001</v>
      </c>
      <c r="I191" s="2643">
        <v>376000</v>
      </c>
      <c r="J191" s="2644"/>
      <c r="K191" s="124"/>
      <c r="L191" s="45"/>
      <c r="M191" s="104" t="s">
        <v>544</v>
      </c>
      <c r="N191" s="102"/>
      <c r="O191" s="102"/>
      <c r="P191" s="105"/>
      <c r="Q191" s="106">
        <v>16092075.706608001</v>
      </c>
      <c r="R191" s="45"/>
      <c r="S191" s="45"/>
      <c r="T191" s="45"/>
      <c r="U191" s="37"/>
    </row>
    <row r="192" spans="1:22" ht="16.5" customHeight="1" x14ac:dyDescent="0.35">
      <c r="A192" s="135" t="s">
        <v>545</v>
      </c>
      <c r="B192" s="136"/>
      <c r="C192" s="140"/>
      <c r="D192" s="140"/>
      <c r="E192" s="2643"/>
      <c r="F192" s="2644"/>
      <c r="G192" s="2643"/>
      <c r="H192" s="2644"/>
      <c r="I192" s="2715">
        <v>1746542.2848</v>
      </c>
      <c r="J192" s="2716"/>
      <c r="K192" s="121"/>
      <c r="L192" s="45"/>
      <c r="M192" s="101" t="s">
        <v>546</v>
      </c>
      <c r="N192" s="102"/>
      <c r="O192" s="102"/>
      <c r="P192" s="102"/>
      <c r="Q192" s="103">
        <v>4129499.9999999995</v>
      </c>
      <c r="R192" s="45"/>
      <c r="S192" s="45"/>
      <c r="T192" s="45"/>
      <c r="U192" s="37"/>
    </row>
    <row r="193" spans="1:21" ht="16.5" customHeight="1" x14ac:dyDescent="0.4">
      <c r="A193" s="133" t="s">
        <v>547</v>
      </c>
      <c r="B193" s="136"/>
      <c r="C193" s="140"/>
      <c r="D193" s="140" t="s">
        <v>496</v>
      </c>
      <c r="E193" s="2643">
        <v>20</v>
      </c>
      <c r="F193" s="2644"/>
      <c r="G193" s="2641">
        <v>47000</v>
      </c>
      <c r="H193" s="2642">
        <v>38202.400000000001</v>
      </c>
      <c r="I193" s="2643">
        <v>940000</v>
      </c>
      <c r="J193" s="2644"/>
      <c r="K193" s="124"/>
      <c r="L193" s="45"/>
      <c r="M193" s="101" t="s">
        <v>758</v>
      </c>
      <c r="N193" s="102"/>
      <c r="O193" s="102"/>
      <c r="P193" s="102"/>
      <c r="Q193" s="106">
        <v>17553421.429056346</v>
      </c>
      <c r="R193" s="47"/>
      <c r="S193" s="45"/>
      <c r="T193" s="45"/>
      <c r="U193" s="169" t="s">
        <v>542</v>
      </c>
    </row>
    <row r="194" spans="1:21" ht="16.5" customHeight="1" thickBot="1" x14ac:dyDescent="0.35">
      <c r="A194" s="133" t="s">
        <v>548</v>
      </c>
      <c r="B194" s="136"/>
      <c r="C194" s="140"/>
      <c r="D194" s="140"/>
      <c r="E194" s="2643"/>
      <c r="F194" s="2644"/>
      <c r="G194" s="2643"/>
      <c r="H194" s="2644"/>
      <c r="I194" s="2643">
        <v>0</v>
      </c>
      <c r="J194" s="2644"/>
      <c r="K194" s="124"/>
      <c r="L194" s="45"/>
      <c r="M194" s="108" t="s">
        <v>549</v>
      </c>
      <c r="N194" s="109"/>
      <c r="O194" s="109"/>
      <c r="P194" s="109"/>
      <c r="Q194" s="110">
        <v>1461345.7224483453</v>
      </c>
      <c r="R194" s="44"/>
      <c r="S194" s="45"/>
      <c r="T194" s="45"/>
    </row>
    <row r="195" spans="1:21" ht="16.5" customHeight="1" thickBot="1" x14ac:dyDescent="0.45">
      <c r="A195" s="133" t="s">
        <v>604</v>
      </c>
      <c r="B195" s="136"/>
      <c r="C195" s="140"/>
      <c r="D195" s="140" t="s">
        <v>496</v>
      </c>
      <c r="E195" s="2643">
        <v>2</v>
      </c>
      <c r="F195" s="2644"/>
      <c r="G195" s="2641">
        <v>47000</v>
      </c>
      <c r="H195" s="2642">
        <v>38202.400000000001</v>
      </c>
      <c r="I195" s="2643">
        <v>94000</v>
      </c>
      <c r="J195" s="2644"/>
      <c r="K195" s="124"/>
      <c r="L195" s="45"/>
      <c r="M195" s="1048" t="s">
        <v>759</v>
      </c>
      <c r="N195" s="1049"/>
      <c r="O195" s="1049"/>
      <c r="P195" s="1049"/>
      <c r="Q195" s="1050">
        <v>9.0811511770868858</v>
      </c>
      <c r="R195" s="45"/>
      <c r="S195" s="45"/>
      <c r="T195" s="45"/>
    </row>
    <row r="196" spans="1:21" ht="16.5" customHeight="1" x14ac:dyDescent="0.4">
      <c r="A196" s="133" t="s">
        <v>605</v>
      </c>
      <c r="B196" s="136"/>
      <c r="C196" s="140"/>
      <c r="D196" s="140" t="s">
        <v>496</v>
      </c>
      <c r="E196" s="2643">
        <v>2</v>
      </c>
      <c r="F196" s="2644"/>
      <c r="G196" s="2641">
        <v>47000</v>
      </c>
      <c r="H196" s="2642">
        <v>38202.400000000001</v>
      </c>
      <c r="I196" s="2643">
        <v>94000</v>
      </c>
      <c r="J196" s="2644"/>
      <c r="K196" s="124"/>
      <c r="L196" s="45"/>
      <c r="M196" s="45"/>
      <c r="N196" s="45"/>
      <c r="O196" s="45"/>
      <c r="P196" s="45"/>
      <c r="Q196" s="45"/>
      <c r="R196" s="45"/>
      <c r="S196" s="45"/>
      <c r="T196" s="45"/>
    </row>
    <row r="197" spans="1:21" ht="16.5" customHeight="1" x14ac:dyDescent="0.3">
      <c r="A197" s="133" t="s">
        <v>557</v>
      </c>
      <c r="B197" s="136"/>
      <c r="C197" s="140"/>
      <c r="D197" s="140" t="s">
        <v>460</v>
      </c>
      <c r="E197" s="2643">
        <v>88</v>
      </c>
      <c r="F197" s="2644"/>
      <c r="G197" s="2643">
        <v>7028.8895999999995</v>
      </c>
      <c r="H197" s="2644">
        <v>5716.58</v>
      </c>
      <c r="I197" s="2643">
        <v>618542.28479999991</v>
      </c>
      <c r="J197" s="2644"/>
      <c r="K197" s="124"/>
      <c r="L197" s="7" t="s">
        <v>1528</v>
      </c>
      <c r="M197" s="8"/>
      <c r="N197" s="8"/>
      <c r="O197" s="8"/>
      <c r="P197" s="4"/>
      <c r="Q197" s="5"/>
      <c r="R197" s="1979"/>
      <c r="S197" s="44"/>
      <c r="T197" s="45"/>
    </row>
    <row r="198" spans="1:21" ht="16.5" customHeight="1" thickBot="1" x14ac:dyDescent="0.25">
      <c r="A198" s="162" t="s">
        <v>558</v>
      </c>
      <c r="B198" s="163"/>
      <c r="C198" s="164"/>
      <c r="D198" s="165"/>
      <c r="E198" s="2561">
        <v>90</v>
      </c>
      <c r="F198" s="2562"/>
      <c r="G198" s="2563"/>
      <c r="H198" s="2564"/>
      <c r="I198" s="2561">
        <v>4848542.2848000005</v>
      </c>
      <c r="J198" s="2562"/>
      <c r="K198" s="26"/>
      <c r="L198" s="597" t="s">
        <v>1583</v>
      </c>
      <c r="M198" s="45"/>
      <c r="N198" s="45"/>
      <c r="O198" s="45"/>
      <c r="P198" s="45"/>
      <c r="Q198" s="45"/>
      <c r="R198" s="44"/>
      <c r="S198" s="45"/>
      <c r="T198" s="45"/>
    </row>
    <row r="199" spans="1:21" ht="14.1" customHeight="1" x14ac:dyDescent="0.2">
      <c r="A199" s="40"/>
      <c r="B199" s="40"/>
      <c r="C199" s="41"/>
      <c r="D199" s="41"/>
      <c r="E199" s="41"/>
      <c r="F199" s="41"/>
      <c r="G199" s="42"/>
      <c r="H199" s="42"/>
      <c r="I199" s="44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</row>
    <row r="200" spans="1:21" ht="14.1" customHeight="1" x14ac:dyDescent="0.2">
      <c r="A200" s="40"/>
      <c r="B200" s="40"/>
      <c r="C200" s="41"/>
      <c r="D200" s="41"/>
      <c r="E200" s="41"/>
      <c r="F200" s="41"/>
      <c r="G200" s="42"/>
      <c r="H200" s="42"/>
      <c r="I200" s="44"/>
      <c r="J200" s="45"/>
      <c r="K200" s="45"/>
      <c r="L200" s="40"/>
      <c r="M200" s="40"/>
      <c r="N200" s="41"/>
      <c r="O200" s="41"/>
      <c r="P200" s="41"/>
      <c r="Q200" s="41"/>
      <c r="R200" s="45"/>
      <c r="S200" s="45"/>
      <c r="T200" s="45"/>
    </row>
    <row r="201" spans="1:21" ht="14.1" customHeight="1" x14ac:dyDescent="0.2">
      <c r="A201" s="2654"/>
      <c r="B201" s="2654"/>
      <c r="C201" s="2654"/>
      <c r="D201" s="2654"/>
      <c r="E201" s="2654"/>
      <c r="F201" s="2654"/>
      <c r="G201" s="2654"/>
      <c r="H201" s="2654"/>
      <c r="I201" s="2654"/>
      <c r="J201" s="2654"/>
      <c r="K201" s="2654"/>
      <c r="L201" s="2654"/>
      <c r="M201" s="2654"/>
      <c r="N201" s="2654"/>
      <c r="O201" s="2654"/>
      <c r="P201" s="2654"/>
      <c r="Q201" s="2654"/>
      <c r="R201" s="2654"/>
      <c r="S201" s="2654"/>
      <c r="T201" s="2654"/>
    </row>
    <row r="202" spans="1:21" ht="14.1" customHeight="1" x14ac:dyDescent="0.2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  <c r="K202" s="2654"/>
      <c r="L202" s="2654"/>
      <c r="M202" s="2654"/>
      <c r="N202" s="2654"/>
      <c r="O202" s="2654"/>
      <c r="P202" s="2654"/>
      <c r="Q202" s="2654"/>
      <c r="R202" s="2654"/>
      <c r="S202" s="2654"/>
      <c r="T202" s="2654"/>
    </row>
    <row r="203" spans="1:21" ht="14.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</row>
    <row r="204" spans="1:21" ht="14.1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</row>
    <row r="205" spans="1:21" ht="14.1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</row>
    <row r="206" spans="1:21" ht="14.1" customHeight="1" x14ac:dyDescent="0.2">
      <c r="A206" s="40"/>
      <c r="B206" s="40"/>
      <c r="C206" s="41"/>
      <c r="D206" s="41"/>
      <c r="E206" s="41"/>
      <c r="F206" s="41"/>
      <c r="G206" s="42"/>
      <c r="H206" s="42"/>
      <c r="I206" s="44"/>
      <c r="J206" s="45"/>
      <c r="K206" s="45"/>
      <c r="L206" s="40"/>
      <c r="M206" s="40"/>
      <c r="N206" s="41"/>
      <c r="O206" s="41"/>
      <c r="P206" s="41"/>
      <c r="Q206" s="41"/>
      <c r="R206" s="45"/>
      <c r="S206" s="45"/>
      <c r="T206" s="45"/>
    </row>
    <row r="207" spans="1:21" ht="18" customHeight="1" x14ac:dyDescent="0.2">
      <c r="A207" s="2611" t="s">
        <v>1916</v>
      </c>
      <c r="B207" s="2611"/>
      <c r="C207" s="2611"/>
      <c r="D207" s="2611"/>
      <c r="E207" s="2611"/>
      <c r="F207" s="2611"/>
      <c r="G207" s="2611"/>
      <c r="H207" s="2611"/>
      <c r="I207" s="2611"/>
      <c r="J207" s="2611"/>
      <c r="K207" s="2611"/>
      <c r="L207" s="2611"/>
      <c r="M207" s="2611"/>
      <c r="N207" s="2611"/>
      <c r="O207" s="2611"/>
      <c r="P207" s="2611"/>
      <c r="Q207" s="2611"/>
      <c r="R207" s="2611"/>
      <c r="S207" s="2611"/>
      <c r="T207" s="2611"/>
    </row>
    <row r="208" spans="1:21" ht="14.1" customHeight="1" x14ac:dyDescent="0.2">
      <c r="A208" s="40"/>
      <c r="B208" s="40"/>
      <c r="C208" s="115"/>
      <c r="D208" s="41"/>
      <c r="E208" s="41"/>
      <c r="F208" s="41"/>
      <c r="G208" s="42"/>
      <c r="H208" s="42"/>
      <c r="I208" s="44"/>
      <c r="J208" s="45"/>
      <c r="K208" s="45"/>
      <c r="L208" s="40"/>
      <c r="M208" s="40"/>
      <c r="N208" s="115"/>
      <c r="O208" s="45"/>
      <c r="P208" s="45"/>
      <c r="Q208" s="45"/>
      <c r="R208" s="45"/>
      <c r="S208" s="45"/>
      <c r="T208" s="45"/>
    </row>
    <row r="209" spans="1:20" ht="14.1" customHeight="1" thickBot="1" x14ac:dyDescent="0.25">
      <c r="A209" s="40"/>
      <c r="B209" s="40"/>
      <c r="C209" s="41"/>
      <c r="D209" s="41"/>
      <c r="E209" s="41"/>
      <c r="F209" s="41"/>
      <c r="G209" s="42"/>
      <c r="H209" s="42"/>
      <c r="I209" s="44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</row>
    <row r="210" spans="1:20" ht="16.5" customHeight="1" x14ac:dyDescent="0.3">
      <c r="A210" s="2612" t="s">
        <v>435</v>
      </c>
      <c r="B210" s="2613"/>
      <c r="C210" s="2618" t="s">
        <v>436</v>
      </c>
      <c r="D210" s="2619"/>
      <c r="E210" s="2619"/>
      <c r="F210" s="2620"/>
      <c r="G210" s="2624" t="s">
        <v>437</v>
      </c>
      <c r="H210" s="2625"/>
      <c r="I210" s="2618" t="s">
        <v>439</v>
      </c>
      <c r="J210" s="2620"/>
      <c r="K210" s="49"/>
      <c r="L210" s="2626" t="s">
        <v>435</v>
      </c>
      <c r="M210" s="2619" t="s">
        <v>436</v>
      </c>
      <c r="N210" s="2619"/>
      <c r="O210" s="2619"/>
      <c r="P210" s="2620"/>
      <c r="Q210" s="2624" t="s">
        <v>437</v>
      </c>
      <c r="R210" s="2625"/>
      <c r="S210" s="2618" t="s">
        <v>439</v>
      </c>
      <c r="T210" s="2649"/>
    </row>
    <row r="211" spans="1:20" ht="16.5" customHeight="1" thickBot="1" x14ac:dyDescent="0.35">
      <c r="A211" s="2614"/>
      <c r="B211" s="2615"/>
      <c r="C211" s="2621"/>
      <c r="D211" s="2622"/>
      <c r="E211" s="2622"/>
      <c r="F211" s="2623"/>
      <c r="G211" s="2629" t="s">
        <v>440</v>
      </c>
      <c r="H211" s="2630"/>
      <c r="I211" s="2631"/>
      <c r="J211" s="2632"/>
      <c r="K211" s="49"/>
      <c r="L211" s="2627"/>
      <c r="M211" s="2622"/>
      <c r="N211" s="2622"/>
      <c r="O211" s="2622"/>
      <c r="P211" s="2623"/>
      <c r="Q211" s="2629" t="s">
        <v>440</v>
      </c>
      <c r="R211" s="2630"/>
      <c r="S211" s="2631"/>
      <c r="T211" s="2650"/>
    </row>
    <row r="212" spans="1:20" ht="16.5" customHeight="1" x14ac:dyDescent="0.3">
      <c r="A212" s="2614"/>
      <c r="B212" s="2615"/>
      <c r="C212" s="53" t="s">
        <v>441</v>
      </c>
      <c r="D212" s="2670" t="s">
        <v>442</v>
      </c>
      <c r="E212" s="2631" t="s">
        <v>443</v>
      </c>
      <c r="F212" s="2632"/>
      <c r="G212" s="2629" t="s">
        <v>444</v>
      </c>
      <c r="H212" s="2630"/>
      <c r="I212" s="2631" t="s">
        <v>348</v>
      </c>
      <c r="J212" s="2632"/>
      <c r="K212" s="49"/>
      <c r="L212" s="2627"/>
      <c r="M212" s="51" t="s">
        <v>441</v>
      </c>
      <c r="N212" s="2670" t="s">
        <v>442</v>
      </c>
      <c r="O212" s="2631" t="s">
        <v>443</v>
      </c>
      <c r="P212" s="2632"/>
      <c r="Q212" s="2629" t="s">
        <v>444</v>
      </c>
      <c r="R212" s="2630"/>
      <c r="S212" s="2631" t="s">
        <v>348</v>
      </c>
      <c r="T212" s="2650"/>
    </row>
    <row r="213" spans="1:20" ht="16.5" customHeight="1" thickBot="1" x14ac:dyDescent="0.35">
      <c r="A213" s="2616"/>
      <c r="B213" s="2617"/>
      <c r="C213" s="54" t="s">
        <v>445</v>
      </c>
      <c r="D213" s="2634"/>
      <c r="E213" s="2621"/>
      <c r="F213" s="2623"/>
      <c r="G213" s="2561"/>
      <c r="H213" s="2562"/>
      <c r="I213" s="2635"/>
      <c r="J213" s="2636"/>
      <c r="K213" s="49"/>
      <c r="L213" s="2628"/>
      <c r="M213" s="50" t="s">
        <v>445</v>
      </c>
      <c r="N213" s="2634"/>
      <c r="O213" s="2621"/>
      <c r="P213" s="2623"/>
      <c r="Q213" s="2561"/>
      <c r="R213" s="2562"/>
      <c r="S213" s="2652"/>
      <c r="T213" s="2653"/>
    </row>
    <row r="214" spans="1:20" ht="16.5" customHeight="1" x14ac:dyDescent="0.3">
      <c r="A214" s="116" t="s">
        <v>446</v>
      </c>
      <c r="B214" s="117"/>
      <c r="C214" s="118"/>
      <c r="D214" s="118"/>
      <c r="E214" s="2712"/>
      <c r="F214" s="2713"/>
      <c r="G214" s="2651"/>
      <c r="H214" s="2714"/>
      <c r="I214" s="2607"/>
      <c r="J214" s="2608"/>
      <c r="K214" s="45"/>
      <c r="L214" s="119" t="s">
        <v>447</v>
      </c>
      <c r="M214" s="118"/>
      <c r="N214" s="118"/>
      <c r="O214" s="2651"/>
      <c r="P214" s="2651"/>
      <c r="Q214" s="2651"/>
      <c r="R214" s="2651"/>
      <c r="S214" s="2651"/>
      <c r="T214" s="2651"/>
    </row>
    <row r="215" spans="1:20" ht="16.5" customHeight="1" x14ac:dyDescent="0.35">
      <c r="A215" s="2595" t="s">
        <v>448</v>
      </c>
      <c r="B215" s="2596"/>
      <c r="C215" s="120"/>
      <c r="D215" s="120"/>
      <c r="E215" s="2645"/>
      <c r="F215" s="2646"/>
      <c r="G215" s="2643"/>
      <c r="H215" s="2644"/>
      <c r="I215" s="2715">
        <v>0</v>
      </c>
      <c r="J215" s="2716"/>
      <c r="K215" s="121"/>
      <c r="L215" s="122"/>
      <c r="M215" s="120"/>
      <c r="N215" s="120"/>
      <c r="O215" s="2643"/>
      <c r="P215" s="2643"/>
      <c r="Q215" s="2643"/>
      <c r="R215" s="2643"/>
      <c r="S215" s="2643"/>
      <c r="T215" s="2643"/>
    </row>
    <row r="216" spans="1:20" ht="16.5" customHeight="1" x14ac:dyDescent="0.3">
      <c r="A216" s="2589" t="s">
        <v>449</v>
      </c>
      <c r="B216" s="2590"/>
      <c r="C216" s="120"/>
      <c r="D216" s="120"/>
      <c r="E216" s="2645"/>
      <c r="F216" s="2646"/>
      <c r="G216" s="2643"/>
      <c r="H216" s="2644"/>
      <c r="I216" s="2643">
        <v>0</v>
      </c>
      <c r="J216" s="2644"/>
      <c r="K216" s="124"/>
      <c r="L216" s="122" t="s">
        <v>450</v>
      </c>
      <c r="M216" s="120" t="s">
        <v>606</v>
      </c>
      <c r="N216" s="120" t="s">
        <v>452</v>
      </c>
      <c r="O216" s="2718">
        <v>1.5</v>
      </c>
      <c r="P216" s="2718"/>
      <c r="Q216" s="2643">
        <v>131780.75200000001</v>
      </c>
      <c r="R216" s="2643">
        <v>107191.44</v>
      </c>
      <c r="S216" s="2643">
        <v>197671.12800000003</v>
      </c>
      <c r="T216" s="2643"/>
    </row>
    <row r="217" spans="1:20" ht="16.5" customHeight="1" x14ac:dyDescent="0.3">
      <c r="A217" s="2589" t="s">
        <v>607</v>
      </c>
      <c r="B217" s="2590"/>
      <c r="C217" s="120"/>
      <c r="D217" s="120"/>
      <c r="E217" s="2645"/>
      <c r="F217" s="2646"/>
      <c r="G217" s="2643"/>
      <c r="H217" s="2644"/>
      <c r="I217" s="2643">
        <v>0</v>
      </c>
      <c r="J217" s="2644"/>
      <c r="K217" s="124"/>
      <c r="L217" s="122" t="s">
        <v>454</v>
      </c>
      <c r="M217" s="120"/>
      <c r="N217" s="120"/>
      <c r="O217" s="2643"/>
      <c r="P217" s="2643"/>
      <c r="Q217" s="2643"/>
      <c r="R217" s="2643"/>
      <c r="S217" s="2643">
        <v>0</v>
      </c>
      <c r="T217" s="2643"/>
    </row>
    <row r="218" spans="1:20" ht="16.5" customHeight="1" x14ac:dyDescent="0.3">
      <c r="A218" s="2589" t="s">
        <v>455</v>
      </c>
      <c r="B218" s="2590"/>
      <c r="C218" s="120"/>
      <c r="D218" s="120"/>
      <c r="E218" s="2645"/>
      <c r="F218" s="2645"/>
      <c r="G218" s="2643"/>
      <c r="H218" s="2644"/>
      <c r="I218" s="2643">
        <v>0</v>
      </c>
      <c r="J218" s="2644"/>
      <c r="K218" s="124"/>
      <c r="L218" s="122" t="s">
        <v>456</v>
      </c>
      <c r="M218" s="120"/>
      <c r="N218" s="120"/>
      <c r="O218" s="2643"/>
      <c r="P218" s="2643"/>
      <c r="Q218" s="2643"/>
      <c r="R218" s="2643"/>
      <c r="S218" s="2643">
        <v>0</v>
      </c>
      <c r="T218" s="2643"/>
    </row>
    <row r="219" spans="1:20" ht="16.5" customHeight="1" x14ac:dyDescent="0.2">
      <c r="A219" s="2600" t="s">
        <v>560</v>
      </c>
      <c r="B219" s="2601"/>
      <c r="C219" s="120"/>
      <c r="D219" s="120"/>
      <c r="E219" s="2645"/>
      <c r="F219" s="2645"/>
      <c r="G219" s="2643"/>
      <c r="H219" s="2643"/>
      <c r="I219" s="2715">
        <v>647133.36320000002</v>
      </c>
      <c r="J219" s="2715"/>
      <c r="K219" s="126"/>
      <c r="L219" s="122" t="s">
        <v>458</v>
      </c>
      <c r="M219" s="120"/>
      <c r="N219" s="120"/>
      <c r="O219" s="2643"/>
      <c r="P219" s="2643"/>
      <c r="Q219" s="2643"/>
      <c r="R219" s="2643"/>
      <c r="S219" s="2643">
        <v>0</v>
      </c>
      <c r="T219" s="2643"/>
    </row>
    <row r="220" spans="1:20" ht="16.5" customHeight="1" x14ac:dyDescent="0.3">
      <c r="A220" s="127" t="s">
        <v>461</v>
      </c>
      <c r="B220" s="128"/>
      <c r="C220" s="120"/>
      <c r="D220" s="120"/>
      <c r="E220" s="2645"/>
      <c r="F220" s="2645"/>
      <c r="G220" s="2643"/>
      <c r="H220" s="2644"/>
      <c r="I220" s="2643">
        <v>0</v>
      </c>
      <c r="J220" s="2644"/>
      <c r="K220" s="124"/>
      <c r="L220" s="122" t="s">
        <v>589</v>
      </c>
      <c r="M220" s="120" t="s">
        <v>590</v>
      </c>
      <c r="N220" s="120" t="s">
        <v>460</v>
      </c>
      <c r="O220" s="2643">
        <v>4</v>
      </c>
      <c r="P220" s="2643"/>
      <c r="Q220" s="2643">
        <v>223254</v>
      </c>
      <c r="R220" s="2643"/>
      <c r="S220" s="2643">
        <v>893016</v>
      </c>
      <c r="T220" s="2643"/>
    </row>
    <row r="221" spans="1:20" ht="16.5" customHeight="1" x14ac:dyDescent="0.4">
      <c r="A221" s="129" t="s">
        <v>608</v>
      </c>
      <c r="B221" s="130"/>
      <c r="C221" s="120" t="s">
        <v>496</v>
      </c>
      <c r="D221" s="140" t="s">
        <v>497</v>
      </c>
      <c r="E221" s="2645">
        <v>2</v>
      </c>
      <c r="F221" s="2645"/>
      <c r="G221" s="2641">
        <v>47000</v>
      </c>
      <c r="H221" s="2642">
        <v>38202.400000000001</v>
      </c>
      <c r="I221" s="2643">
        <v>94000</v>
      </c>
      <c r="J221" s="2644"/>
      <c r="K221" s="124"/>
      <c r="L221" s="122" t="s">
        <v>471</v>
      </c>
      <c r="M221" s="120"/>
      <c r="N221" s="120"/>
      <c r="O221" s="2643"/>
      <c r="P221" s="2643"/>
      <c r="Q221" s="2643"/>
      <c r="R221" s="2643"/>
      <c r="S221" s="2643">
        <v>0</v>
      </c>
      <c r="T221" s="2643"/>
    </row>
    <row r="222" spans="1:20" ht="16.5" customHeight="1" x14ac:dyDescent="0.3">
      <c r="A222" s="127" t="s">
        <v>465</v>
      </c>
      <c r="B222" s="128"/>
      <c r="C222" s="120"/>
      <c r="D222" s="120"/>
      <c r="E222" s="2645"/>
      <c r="F222" s="2645"/>
      <c r="G222" s="2643"/>
      <c r="H222" s="2644"/>
      <c r="I222" s="2643">
        <v>0</v>
      </c>
      <c r="J222" s="2644"/>
      <c r="K222" s="124"/>
      <c r="L222" s="122" t="s">
        <v>504</v>
      </c>
      <c r="M222" s="120"/>
      <c r="N222" s="120"/>
      <c r="O222" s="2643"/>
      <c r="P222" s="2643"/>
      <c r="Q222" s="2643"/>
      <c r="R222" s="2643"/>
      <c r="S222" s="2643">
        <v>0</v>
      </c>
      <c r="T222" s="2643"/>
    </row>
    <row r="223" spans="1:20" ht="16.5" customHeight="1" x14ac:dyDescent="0.3">
      <c r="A223" s="127" t="s">
        <v>469</v>
      </c>
      <c r="B223" s="128"/>
      <c r="C223" s="120" t="s">
        <v>466</v>
      </c>
      <c r="D223" s="120" t="s">
        <v>493</v>
      </c>
      <c r="E223" s="2645">
        <v>1</v>
      </c>
      <c r="F223" s="2645"/>
      <c r="G223" s="2643">
        <v>232469.15839999999</v>
      </c>
      <c r="H223" s="2644">
        <v>173034.4</v>
      </c>
      <c r="I223" s="2643">
        <v>232469.15839999999</v>
      </c>
      <c r="J223" s="2644"/>
      <c r="K223" s="124"/>
      <c r="L223" s="122"/>
      <c r="M223" s="120"/>
      <c r="N223" s="120"/>
      <c r="O223" s="2643"/>
      <c r="P223" s="2643"/>
      <c r="Q223" s="2643"/>
      <c r="R223" s="2643"/>
      <c r="S223" s="2643"/>
      <c r="T223" s="2643"/>
    </row>
    <row r="224" spans="1:20" ht="16.5" customHeight="1" x14ac:dyDescent="0.3">
      <c r="A224" s="131" t="s">
        <v>470</v>
      </c>
      <c r="B224" s="132"/>
      <c r="C224" s="120" t="s">
        <v>466</v>
      </c>
      <c r="D224" s="120" t="s">
        <v>493</v>
      </c>
      <c r="E224" s="2645">
        <v>2</v>
      </c>
      <c r="F224" s="2645"/>
      <c r="G224" s="2643">
        <v>113332.1024</v>
      </c>
      <c r="H224" s="2644">
        <v>92185.02</v>
      </c>
      <c r="I224" s="2643">
        <v>226664.20480000001</v>
      </c>
      <c r="J224" s="2644"/>
      <c r="K224" s="124"/>
      <c r="L224" s="122"/>
      <c r="M224" s="120"/>
      <c r="N224" s="120"/>
      <c r="O224" s="2643"/>
      <c r="P224" s="2643"/>
      <c r="Q224" s="2643"/>
      <c r="R224" s="2643"/>
      <c r="S224" s="2643"/>
      <c r="T224" s="2643"/>
    </row>
    <row r="225" spans="1:20" ht="16.5" customHeight="1" x14ac:dyDescent="0.3">
      <c r="A225" s="127" t="s">
        <v>474</v>
      </c>
      <c r="B225" s="128"/>
      <c r="C225" s="120"/>
      <c r="D225" s="120"/>
      <c r="E225" s="2645"/>
      <c r="F225" s="2645"/>
      <c r="G225" s="2643"/>
      <c r="H225" s="2644"/>
      <c r="I225" s="2643">
        <v>0</v>
      </c>
      <c r="J225" s="2644"/>
      <c r="K225" s="124"/>
      <c r="L225" s="122" t="s">
        <v>475</v>
      </c>
      <c r="M225" s="120"/>
      <c r="N225" s="120"/>
      <c r="O225" s="2643"/>
      <c r="P225" s="2643"/>
      <c r="Q225" s="2643"/>
      <c r="R225" s="2643"/>
      <c r="S225" s="2643">
        <v>0</v>
      </c>
      <c r="T225" s="2643"/>
    </row>
    <row r="226" spans="1:20" ht="16.5" customHeight="1" x14ac:dyDescent="0.3">
      <c r="A226" s="127" t="s">
        <v>476</v>
      </c>
      <c r="B226" s="128"/>
      <c r="C226" s="120"/>
      <c r="D226" s="120"/>
      <c r="E226" s="2645"/>
      <c r="F226" s="2645"/>
      <c r="G226" s="2643"/>
      <c r="H226" s="2644"/>
      <c r="I226" s="2643">
        <v>0</v>
      </c>
      <c r="J226" s="2644"/>
      <c r="K226" s="124"/>
      <c r="L226" s="122" t="s">
        <v>477</v>
      </c>
      <c r="M226" s="120" t="s">
        <v>609</v>
      </c>
      <c r="N226" s="120" t="s">
        <v>591</v>
      </c>
      <c r="O226" s="2643">
        <v>3</v>
      </c>
      <c r="P226" s="2643"/>
      <c r="Q226" s="2643">
        <v>38296</v>
      </c>
      <c r="R226" s="2643">
        <v>19413.900000000001</v>
      </c>
      <c r="S226" s="2643">
        <v>114888</v>
      </c>
      <c r="T226" s="2643"/>
    </row>
    <row r="227" spans="1:20" ht="16.5" customHeight="1" x14ac:dyDescent="0.4">
      <c r="A227" s="2597" t="s">
        <v>480</v>
      </c>
      <c r="B227" s="2598"/>
      <c r="C227" s="120" t="s">
        <v>496</v>
      </c>
      <c r="D227" s="140" t="s">
        <v>497</v>
      </c>
      <c r="E227" s="2645">
        <v>2</v>
      </c>
      <c r="F227" s="2646"/>
      <c r="G227" s="2641">
        <v>47000</v>
      </c>
      <c r="H227" s="2642">
        <v>38202.400000000001</v>
      </c>
      <c r="I227" s="2643">
        <v>94000</v>
      </c>
      <c r="J227" s="2644"/>
      <c r="K227" s="124"/>
      <c r="L227" s="122" t="s">
        <v>481</v>
      </c>
      <c r="M227" s="120" t="s">
        <v>610</v>
      </c>
      <c r="N227" s="120" t="s">
        <v>591</v>
      </c>
      <c r="O227" s="2643">
        <v>1</v>
      </c>
      <c r="P227" s="2643"/>
      <c r="Q227" s="2643">
        <v>32985</v>
      </c>
      <c r="R227" s="2643"/>
      <c r="S227" s="2643">
        <v>32985</v>
      </c>
      <c r="T227" s="2643"/>
    </row>
    <row r="228" spans="1:20" ht="16.5" customHeight="1" x14ac:dyDescent="0.3">
      <c r="A228" s="127" t="s">
        <v>454</v>
      </c>
      <c r="B228" s="128"/>
      <c r="C228" s="120"/>
      <c r="D228" s="120"/>
      <c r="E228" s="2645"/>
      <c r="F228" s="2646"/>
      <c r="G228" s="2643"/>
      <c r="H228" s="2644"/>
      <c r="I228" s="2643">
        <v>0</v>
      </c>
      <c r="J228" s="2644"/>
      <c r="K228" s="124"/>
      <c r="L228" s="122" t="s">
        <v>483</v>
      </c>
      <c r="M228" s="120"/>
      <c r="N228" s="120"/>
      <c r="O228" s="2643"/>
      <c r="P228" s="2643"/>
      <c r="Q228" s="2643"/>
      <c r="R228" s="2643"/>
      <c r="S228" s="2643">
        <v>0</v>
      </c>
      <c r="T228" s="2643"/>
    </row>
    <row r="229" spans="1:20" ht="16.5" customHeight="1" x14ac:dyDescent="0.3">
      <c r="A229" s="127" t="s">
        <v>593</v>
      </c>
      <c r="B229" s="128"/>
      <c r="C229" s="120"/>
      <c r="D229" s="120"/>
      <c r="E229" s="2645"/>
      <c r="F229" s="2646"/>
      <c r="G229" s="2643"/>
      <c r="H229" s="2644"/>
      <c r="I229" s="2643">
        <v>0</v>
      </c>
      <c r="J229" s="2644"/>
      <c r="K229" s="124"/>
      <c r="L229" s="122" t="s">
        <v>486</v>
      </c>
      <c r="M229" s="120"/>
      <c r="N229" s="120"/>
      <c r="O229" s="2643"/>
      <c r="P229" s="2643"/>
      <c r="Q229" s="2643"/>
      <c r="R229" s="2643"/>
      <c r="S229" s="2643">
        <v>0</v>
      </c>
      <c r="T229" s="2643"/>
    </row>
    <row r="230" spans="1:20" ht="16.5" customHeight="1" x14ac:dyDescent="0.3">
      <c r="A230" s="133" t="s">
        <v>488</v>
      </c>
      <c r="B230" s="134"/>
      <c r="C230" s="120"/>
      <c r="D230" s="120"/>
      <c r="E230" s="2645"/>
      <c r="F230" s="2646"/>
      <c r="G230" s="2643"/>
      <c r="H230" s="2644"/>
      <c r="I230" s="2643">
        <v>0</v>
      </c>
      <c r="J230" s="2644"/>
      <c r="K230" s="124"/>
      <c r="L230" s="122" t="s">
        <v>489</v>
      </c>
      <c r="M230" s="120" t="s">
        <v>748</v>
      </c>
      <c r="N230" s="120" t="s">
        <v>591</v>
      </c>
      <c r="O230" s="2643">
        <v>3</v>
      </c>
      <c r="P230" s="2643"/>
      <c r="Q230" s="2643">
        <v>52332</v>
      </c>
      <c r="R230" s="2643"/>
      <c r="S230" s="2643">
        <v>156996</v>
      </c>
      <c r="T230" s="2643"/>
    </row>
    <row r="231" spans="1:20" ht="16.5" customHeight="1" x14ac:dyDescent="0.35">
      <c r="A231" s="135" t="s">
        <v>490</v>
      </c>
      <c r="B231" s="136"/>
      <c r="C231" s="120"/>
      <c r="D231" s="120"/>
      <c r="E231" s="2645"/>
      <c r="F231" s="2646"/>
      <c r="G231" s="2643"/>
      <c r="H231" s="2644"/>
      <c r="I231" s="2715">
        <v>235000</v>
      </c>
      <c r="J231" s="2716"/>
      <c r="K231" s="124"/>
      <c r="L231" s="122" t="s">
        <v>491</v>
      </c>
      <c r="M231" s="120"/>
      <c r="N231" s="120"/>
      <c r="O231" s="2643"/>
      <c r="P231" s="2643"/>
      <c r="Q231" s="2643"/>
      <c r="R231" s="2643"/>
      <c r="S231" s="2643">
        <v>0</v>
      </c>
      <c r="T231" s="2643"/>
    </row>
    <row r="232" spans="1:20" ht="16.5" customHeight="1" x14ac:dyDescent="0.4">
      <c r="A232" s="133" t="s">
        <v>492</v>
      </c>
      <c r="B232" s="136"/>
      <c r="C232" s="120" t="s">
        <v>496</v>
      </c>
      <c r="D232" s="140" t="s">
        <v>497</v>
      </c>
      <c r="E232" s="2643">
        <v>5</v>
      </c>
      <c r="F232" s="2643"/>
      <c r="G232" s="2641">
        <v>47000</v>
      </c>
      <c r="H232" s="2642">
        <v>38202.400000000001</v>
      </c>
      <c r="I232" s="2643">
        <v>235000</v>
      </c>
      <c r="J232" s="2644"/>
      <c r="K232" s="124"/>
      <c r="L232" s="122" t="s">
        <v>494</v>
      </c>
      <c r="M232" s="120" t="s">
        <v>612</v>
      </c>
      <c r="N232" s="120" t="s">
        <v>452</v>
      </c>
      <c r="O232" s="2647">
        <v>0.75</v>
      </c>
      <c r="P232" s="2647"/>
      <c r="Q232" s="2643">
        <v>122995.7328</v>
      </c>
      <c r="R232" s="2643">
        <v>100044.92</v>
      </c>
      <c r="S232" s="2643">
        <v>92246.799599999998</v>
      </c>
      <c r="T232" s="2643"/>
    </row>
    <row r="233" spans="1:20" ht="16.5" customHeight="1" x14ac:dyDescent="0.3">
      <c r="A233" s="137" t="s">
        <v>495</v>
      </c>
      <c r="B233" s="138"/>
      <c r="C233" s="120"/>
      <c r="D233" s="120"/>
      <c r="E233" s="2643"/>
      <c r="F233" s="2643"/>
      <c r="G233" s="2643"/>
      <c r="H233" s="2644"/>
      <c r="I233" s="2643">
        <v>0</v>
      </c>
      <c r="J233" s="2644"/>
      <c r="K233" s="124"/>
      <c r="L233" s="122" t="s">
        <v>498</v>
      </c>
      <c r="M233" s="120"/>
      <c r="N233" s="120" t="s">
        <v>591</v>
      </c>
      <c r="O233" s="2643">
        <v>2</v>
      </c>
      <c r="P233" s="2643"/>
      <c r="Q233" s="2643">
        <v>47988.126400000001</v>
      </c>
      <c r="R233" s="2643">
        <v>39303.74</v>
      </c>
      <c r="S233" s="2643">
        <v>95976.252800000002</v>
      </c>
      <c r="T233" s="2643"/>
    </row>
    <row r="234" spans="1:20" ht="16.5" customHeight="1" x14ac:dyDescent="0.3">
      <c r="A234" s="2578" t="s">
        <v>501</v>
      </c>
      <c r="B234" s="2579"/>
      <c r="C234" s="120"/>
      <c r="D234" s="120"/>
      <c r="E234" s="2643"/>
      <c r="F234" s="2643"/>
      <c r="G234" s="2643"/>
      <c r="H234" s="2644"/>
      <c r="I234" s="2643">
        <v>0</v>
      </c>
      <c r="J234" s="2644"/>
      <c r="K234" s="124"/>
      <c r="L234" s="139" t="s">
        <v>504</v>
      </c>
      <c r="M234" s="139"/>
      <c r="N234" s="139"/>
      <c r="O234" s="2643"/>
      <c r="P234" s="2643"/>
      <c r="Q234" s="2643"/>
      <c r="R234" s="2643"/>
      <c r="S234" s="2643">
        <v>0</v>
      </c>
      <c r="T234" s="2643"/>
    </row>
    <row r="235" spans="1:20" ht="16.5" customHeight="1" x14ac:dyDescent="0.3">
      <c r="A235" s="2589" t="s">
        <v>504</v>
      </c>
      <c r="B235" s="2590"/>
      <c r="C235" s="120"/>
      <c r="D235" s="120"/>
      <c r="E235" s="2643"/>
      <c r="F235" s="2643"/>
      <c r="G235" s="2643"/>
      <c r="H235" s="2644"/>
      <c r="I235" s="2643">
        <v>0</v>
      </c>
      <c r="J235" s="2644"/>
      <c r="K235" s="124"/>
      <c r="L235" s="139"/>
      <c r="M235" s="139"/>
      <c r="N235" s="139"/>
      <c r="O235" s="2643"/>
      <c r="P235" s="2643"/>
      <c r="Q235" s="2643"/>
      <c r="R235" s="2643"/>
      <c r="S235" s="2643"/>
      <c r="T235" s="2643"/>
    </row>
    <row r="236" spans="1:20" ht="16.5" customHeight="1" x14ac:dyDescent="0.3">
      <c r="A236" s="2589" t="s">
        <v>504</v>
      </c>
      <c r="B236" s="2590"/>
      <c r="C236" s="120"/>
      <c r="D236" s="120"/>
      <c r="E236" s="2643"/>
      <c r="F236" s="2643"/>
      <c r="G236" s="2643"/>
      <c r="H236" s="2644"/>
      <c r="I236" s="2643">
        <v>0</v>
      </c>
      <c r="J236" s="2644"/>
      <c r="K236" s="124"/>
      <c r="L236" s="139" t="s">
        <v>595</v>
      </c>
      <c r="M236" s="139"/>
      <c r="N236" s="139"/>
      <c r="O236" s="2643"/>
      <c r="P236" s="2643"/>
      <c r="Q236" s="2643"/>
      <c r="R236" s="2643"/>
      <c r="S236" s="2643">
        <v>0</v>
      </c>
      <c r="T236" s="2643"/>
    </row>
    <row r="237" spans="1:20" ht="16.5" customHeight="1" x14ac:dyDescent="0.35">
      <c r="A237" s="2595" t="s">
        <v>506</v>
      </c>
      <c r="B237" s="2596"/>
      <c r="C237" s="120"/>
      <c r="D237" s="120"/>
      <c r="E237" s="2645"/>
      <c r="F237" s="2646"/>
      <c r="G237" s="2643"/>
      <c r="H237" s="2644"/>
      <c r="I237" s="2715">
        <v>893000</v>
      </c>
      <c r="J237" s="2716"/>
      <c r="K237" s="121"/>
      <c r="L237" s="139" t="s">
        <v>507</v>
      </c>
      <c r="M237" s="139"/>
      <c r="N237" s="139"/>
      <c r="O237" s="2643"/>
      <c r="P237" s="2643"/>
      <c r="Q237" s="2643"/>
      <c r="R237" s="2643"/>
      <c r="S237" s="2643">
        <v>0</v>
      </c>
      <c r="T237" s="2643"/>
    </row>
    <row r="238" spans="1:20" ht="16.5" customHeight="1" x14ac:dyDescent="0.4">
      <c r="A238" s="2589" t="s">
        <v>509</v>
      </c>
      <c r="B238" s="2590"/>
      <c r="C238" s="120" t="s">
        <v>496</v>
      </c>
      <c r="D238" s="140" t="s">
        <v>497</v>
      </c>
      <c r="E238" s="2645">
        <v>2</v>
      </c>
      <c r="F238" s="2646"/>
      <c r="G238" s="2641">
        <v>47000</v>
      </c>
      <c r="H238" s="2642">
        <v>38202.400000000001</v>
      </c>
      <c r="I238" s="2643">
        <v>94000</v>
      </c>
      <c r="J238" s="2644"/>
      <c r="K238" s="124"/>
      <c r="L238" s="139" t="s">
        <v>510</v>
      </c>
      <c r="M238" s="139"/>
      <c r="N238" s="139"/>
      <c r="O238" s="2643"/>
      <c r="P238" s="2643"/>
      <c r="Q238" s="2643"/>
      <c r="R238" s="2643"/>
      <c r="S238" s="2643">
        <v>0</v>
      </c>
      <c r="T238" s="2643"/>
    </row>
    <row r="239" spans="1:20" ht="16.5" customHeight="1" x14ac:dyDescent="0.3">
      <c r="A239" s="2589" t="s">
        <v>512</v>
      </c>
      <c r="B239" s="2590"/>
      <c r="C239" s="120"/>
      <c r="D239" s="120"/>
      <c r="E239" s="2645"/>
      <c r="F239" s="2646"/>
      <c r="G239" s="2643"/>
      <c r="H239" s="2644"/>
      <c r="I239" s="2643">
        <v>0</v>
      </c>
      <c r="J239" s="2644"/>
      <c r="K239" s="124"/>
      <c r="L239" s="139" t="s">
        <v>574</v>
      </c>
      <c r="M239" s="139"/>
      <c r="N239" s="139"/>
      <c r="O239" s="2643"/>
      <c r="P239" s="2643"/>
      <c r="Q239" s="2643"/>
      <c r="R239" s="2643"/>
      <c r="S239" s="2643">
        <v>0</v>
      </c>
      <c r="T239" s="2643"/>
    </row>
    <row r="240" spans="1:20" ht="16.5" customHeight="1" x14ac:dyDescent="0.3">
      <c r="A240" s="137" t="s">
        <v>514</v>
      </c>
      <c r="B240" s="138"/>
      <c r="C240" s="120"/>
      <c r="D240" s="120"/>
      <c r="E240" s="2645"/>
      <c r="F240" s="2646"/>
      <c r="G240" s="2643"/>
      <c r="H240" s="2644"/>
      <c r="I240" s="2643">
        <v>0</v>
      </c>
      <c r="J240" s="2644"/>
      <c r="K240" s="124"/>
      <c r="L240" s="139" t="s">
        <v>515</v>
      </c>
      <c r="M240" s="139"/>
      <c r="N240" s="139"/>
      <c r="O240" s="2643"/>
      <c r="P240" s="2643"/>
      <c r="Q240" s="2643"/>
      <c r="R240" s="2643"/>
      <c r="S240" s="2643">
        <v>0</v>
      </c>
      <c r="T240" s="2643"/>
    </row>
    <row r="241" spans="1:22" ht="16.5" customHeight="1" x14ac:dyDescent="0.3">
      <c r="A241" s="2589" t="s">
        <v>516</v>
      </c>
      <c r="B241" s="2590"/>
      <c r="C241" s="120"/>
      <c r="D241" s="120"/>
      <c r="E241" s="2645"/>
      <c r="F241" s="2646"/>
      <c r="G241" s="2643"/>
      <c r="H241" s="2644"/>
      <c r="I241" s="2643">
        <v>0</v>
      </c>
      <c r="J241" s="2644"/>
      <c r="K241" s="124"/>
      <c r="L241" s="139" t="s">
        <v>575</v>
      </c>
      <c r="M241" s="139"/>
      <c r="N241" s="139"/>
      <c r="O241" s="2643"/>
      <c r="P241" s="2643"/>
      <c r="Q241" s="2643"/>
      <c r="R241" s="2643"/>
      <c r="S241" s="2643">
        <v>0</v>
      </c>
      <c r="T241" s="2643"/>
    </row>
    <row r="242" spans="1:22" ht="16.5" customHeight="1" x14ac:dyDescent="0.3">
      <c r="A242" s="137" t="s">
        <v>517</v>
      </c>
      <c r="B242" s="138"/>
      <c r="C242" s="120"/>
      <c r="D242" s="120"/>
      <c r="E242" s="2645"/>
      <c r="F242" s="2646"/>
      <c r="G242" s="2643"/>
      <c r="H242" s="2644"/>
      <c r="I242" s="2643">
        <v>0</v>
      </c>
      <c r="J242" s="2644"/>
      <c r="K242" s="124"/>
      <c r="L242" s="139" t="s">
        <v>504</v>
      </c>
      <c r="M242" s="139"/>
      <c r="N242" s="139"/>
      <c r="O242" s="2643"/>
      <c r="P242" s="2643"/>
      <c r="Q242" s="2643"/>
      <c r="R242" s="2643"/>
      <c r="S242" s="2643">
        <v>0</v>
      </c>
      <c r="T242" s="2643"/>
    </row>
    <row r="243" spans="1:22" ht="16.5" customHeight="1" x14ac:dyDescent="0.4">
      <c r="A243" s="137" t="s">
        <v>519</v>
      </c>
      <c r="B243" s="141"/>
      <c r="C243" s="120" t="s">
        <v>496</v>
      </c>
      <c r="D243" s="140" t="s">
        <v>497</v>
      </c>
      <c r="E243" s="2655">
        <v>2</v>
      </c>
      <c r="F243" s="2655"/>
      <c r="G243" s="2641">
        <v>47000</v>
      </c>
      <c r="H243" s="2642">
        <v>38202.400000000001</v>
      </c>
      <c r="I243" s="2643">
        <v>94000</v>
      </c>
      <c r="J243" s="2644"/>
      <c r="K243" s="124"/>
      <c r="L243" s="139"/>
      <c r="M243" s="139"/>
      <c r="N243" s="139"/>
      <c r="O243" s="2643"/>
      <c r="P243" s="2643"/>
      <c r="Q243" s="2643"/>
      <c r="R243" s="2643"/>
      <c r="S243" s="2643"/>
      <c r="T243" s="2643"/>
    </row>
    <row r="244" spans="1:22" ht="16.5" customHeight="1" x14ac:dyDescent="0.3">
      <c r="A244" s="137" t="s">
        <v>475</v>
      </c>
      <c r="B244" s="138"/>
      <c r="C244" s="120"/>
      <c r="D244" s="120"/>
      <c r="E244" s="2643"/>
      <c r="F244" s="2643"/>
      <c r="G244" s="2643"/>
      <c r="H244" s="2644"/>
      <c r="I244" s="2643">
        <v>0</v>
      </c>
      <c r="J244" s="2644"/>
      <c r="K244" s="124"/>
      <c r="L244" s="139"/>
      <c r="M244" s="139"/>
      <c r="N244" s="139"/>
      <c r="O244" s="2643"/>
      <c r="P244" s="2643"/>
      <c r="Q244" s="2643"/>
      <c r="R244" s="2643"/>
      <c r="S244" s="2643"/>
      <c r="T244" s="2643"/>
    </row>
    <row r="245" spans="1:22" ht="16.5" customHeight="1" x14ac:dyDescent="0.4">
      <c r="A245" s="2578" t="s">
        <v>520</v>
      </c>
      <c r="B245" s="2579"/>
      <c r="C245" s="120" t="s">
        <v>496</v>
      </c>
      <c r="D245" s="140" t="s">
        <v>497</v>
      </c>
      <c r="E245" s="2645">
        <v>4</v>
      </c>
      <c r="F245" s="2646"/>
      <c r="G245" s="2641">
        <v>47000</v>
      </c>
      <c r="H245" s="2642">
        <v>38202.400000000001</v>
      </c>
      <c r="I245" s="2643">
        <v>188000</v>
      </c>
      <c r="J245" s="2644"/>
      <c r="K245" s="124"/>
      <c r="L245" s="142" t="s">
        <v>521</v>
      </c>
      <c r="M245" s="143"/>
      <c r="N245" s="143"/>
      <c r="O245" s="2591"/>
      <c r="P245" s="2592"/>
      <c r="Q245" s="2591"/>
      <c r="R245" s="2592"/>
      <c r="S245" s="2593">
        <v>1583779.1804</v>
      </c>
      <c r="T245" s="2594"/>
    </row>
    <row r="246" spans="1:22" ht="16.5" customHeight="1" x14ac:dyDescent="0.3">
      <c r="A246" s="137" t="s">
        <v>522</v>
      </c>
      <c r="B246" s="138"/>
      <c r="C246" s="120"/>
      <c r="D246" s="120"/>
      <c r="E246" s="2645"/>
      <c r="F246" s="2646"/>
      <c r="G246" s="2643"/>
      <c r="H246" s="2644"/>
      <c r="I246" s="2643">
        <v>0</v>
      </c>
      <c r="J246" s="2644"/>
      <c r="K246" s="124"/>
      <c r="L246" s="144" t="s">
        <v>577</v>
      </c>
      <c r="M246" s="145"/>
      <c r="N246" s="145"/>
      <c r="O246" s="146"/>
      <c r="P246" s="146"/>
      <c r="Q246" s="146"/>
      <c r="R246" s="146"/>
      <c r="S246" s="146"/>
      <c r="T246" s="147"/>
    </row>
    <row r="247" spans="1:22" ht="16.5" customHeight="1" x14ac:dyDescent="0.3">
      <c r="A247" s="2578" t="s">
        <v>524</v>
      </c>
      <c r="B247" s="2579"/>
      <c r="C247" s="120"/>
      <c r="D247" s="120"/>
      <c r="E247" s="2645"/>
      <c r="F247" s="2646"/>
      <c r="G247" s="2643"/>
      <c r="H247" s="2644"/>
      <c r="I247" s="2643">
        <v>0</v>
      </c>
      <c r="J247" s="2644"/>
      <c r="K247" s="124"/>
      <c r="L247" s="148" t="s">
        <v>525</v>
      </c>
      <c r="M247" s="149">
        <v>0.05</v>
      </c>
      <c r="N247" s="45"/>
      <c r="O247" s="26"/>
      <c r="P247" s="26"/>
      <c r="Q247" s="26"/>
      <c r="R247" s="26"/>
      <c r="S247" s="2575">
        <v>255893.52019067152</v>
      </c>
      <c r="T247" s="2560"/>
    </row>
    <row r="248" spans="1:22" ht="16.5" customHeight="1" x14ac:dyDescent="0.3">
      <c r="A248" s="137" t="s">
        <v>526</v>
      </c>
      <c r="B248" s="138"/>
      <c r="C248" s="120"/>
      <c r="D248" s="120"/>
      <c r="E248" s="2645"/>
      <c r="F248" s="2646"/>
      <c r="G248" s="2643"/>
      <c r="H248" s="2644"/>
      <c r="I248" s="2643">
        <v>0</v>
      </c>
      <c r="J248" s="2644"/>
      <c r="K248" s="124"/>
      <c r="L248" s="151" t="s">
        <v>527</v>
      </c>
      <c r="M248" s="45"/>
      <c r="N248" s="45"/>
      <c r="O248" s="26"/>
      <c r="P248" s="26"/>
      <c r="Q248" s="26"/>
      <c r="R248" s="26"/>
      <c r="S248" s="26"/>
      <c r="T248" s="150"/>
    </row>
    <row r="249" spans="1:22" ht="16.5" customHeight="1" x14ac:dyDescent="0.4">
      <c r="A249" s="133" t="s">
        <v>578</v>
      </c>
      <c r="B249" s="136"/>
      <c r="C249" s="140" t="s">
        <v>496</v>
      </c>
      <c r="D249" s="140" t="s">
        <v>497</v>
      </c>
      <c r="E249" s="2655">
        <v>4</v>
      </c>
      <c r="F249" s="2655"/>
      <c r="G249" s="2641">
        <v>47000</v>
      </c>
      <c r="H249" s="2642">
        <v>38202.400000000001</v>
      </c>
      <c r="I249" s="2643">
        <v>188000</v>
      </c>
      <c r="J249" s="2644"/>
      <c r="K249" s="124"/>
      <c r="L249" s="152" t="s">
        <v>529</v>
      </c>
      <c r="M249" s="45"/>
      <c r="N249" s="45"/>
      <c r="O249" s="26"/>
      <c r="P249" s="26"/>
      <c r="Q249" s="26"/>
      <c r="R249" s="26"/>
      <c r="S249" s="2575">
        <v>874240</v>
      </c>
      <c r="T249" s="2560"/>
    </row>
    <row r="250" spans="1:22" ht="16.5" customHeight="1" x14ac:dyDescent="0.4">
      <c r="A250" s="153" t="s">
        <v>579</v>
      </c>
      <c r="B250" s="154"/>
      <c r="C250" s="120" t="s">
        <v>496</v>
      </c>
      <c r="D250" s="140" t="s">
        <v>497</v>
      </c>
      <c r="E250" s="2643">
        <v>3</v>
      </c>
      <c r="F250" s="2643"/>
      <c r="G250" s="2641">
        <v>47000</v>
      </c>
      <c r="H250" s="2642">
        <v>38202.400000000001</v>
      </c>
      <c r="I250" s="2643">
        <v>141000</v>
      </c>
      <c r="J250" s="2644"/>
      <c r="K250" s="124"/>
      <c r="L250" s="152" t="s">
        <v>580</v>
      </c>
      <c r="M250" s="45"/>
      <c r="N250" s="45"/>
      <c r="O250" s="26"/>
      <c r="P250" s="26"/>
      <c r="Q250" s="26"/>
      <c r="R250" s="26"/>
      <c r="S250" s="2575">
        <v>255893.52019067152</v>
      </c>
      <c r="T250" s="2560"/>
    </row>
    <row r="251" spans="1:22" ht="16.5" customHeight="1" x14ac:dyDescent="0.3">
      <c r="A251" s="137" t="s">
        <v>532</v>
      </c>
      <c r="B251" s="138"/>
      <c r="C251" s="120"/>
      <c r="D251" s="120"/>
      <c r="E251" s="2645"/>
      <c r="F251" s="2646"/>
      <c r="G251" s="2643"/>
      <c r="H251" s="2644"/>
      <c r="I251" s="2643">
        <v>0</v>
      </c>
      <c r="J251" s="2644"/>
      <c r="K251" s="124"/>
      <c r="L251" s="166" t="s">
        <v>504</v>
      </c>
      <c r="M251" s="155"/>
      <c r="N251" s="155"/>
      <c r="O251" s="167"/>
      <c r="P251" s="167"/>
      <c r="Q251" s="167"/>
      <c r="R251" s="167"/>
      <c r="S251" s="2557">
        <v>218560</v>
      </c>
      <c r="T251" s="2558"/>
    </row>
    <row r="252" spans="1:22" ht="16.5" customHeight="1" x14ac:dyDescent="0.3">
      <c r="A252" s="137" t="s">
        <v>454</v>
      </c>
      <c r="B252" s="138"/>
      <c r="C252" s="120"/>
      <c r="D252" s="120"/>
      <c r="E252" s="2645"/>
      <c r="F252" s="2646"/>
      <c r="G252" s="2643"/>
      <c r="H252" s="2644"/>
      <c r="I252" s="2643">
        <v>0</v>
      </c>
      <c r="J252" s="2644"/>
      <c r="K252" s="124"/>
      <c r="L252" s="156" t="s">
        <v>533</v>
      </c>
      <c r="M252" s="157"/>
      <c r="N252" s="157"/>
      <c r="O252" s="158"/>
      <c r="P252" s="158"/>
      <c r="Q252" s="158"/>
      <c r="R252" s="158"/>
      <c r="S252" s="2587">
        <v>1604587.0403813431</v>
      </c>
      <c r="T252" s="2588"/>
    </row>
    <row r="253" spans="1:22" ht="16.5" customHeight="1" x14ac:dyDescent="0.3">
      <c r="A253" s="2578" t="s">
        <v>534</v>
      </c>
      <c r="B253" s="2579"/>
      <c r="C253" s="120"/>
      <c r="D253" s="120"/>
      <c r="E253" s="2643"/>
      <c r="F253" s="2643"/>
      <c r="G253" s="2559"/>
      <c r="H253" s="2560"/>
      <c r="I253" s="2643">
        <v>0</v>
      </c>
      <c r="J253" s="2644"/>
      <c r="K253" s="124"/>
      <c r="L253" s="159"/>
      <c r="M253" s="45"/>
      <c r="N253" s="45"/>
      <c r="O253" s="26"/>
      <c r="P253" s="26"/>
      <c r="Q253" s="26"/>
      <c r="R253" s="26"/>
      <c r="S253" s="26"/>
      <c r="T253" s="150"/>
    </row>
    <row r="254" spans="1:22" ht="16.5" customHeight="1" thickBot="1" x14ac:dyDescent="0.45">
      <c r="A254" s="2578" t="s">
        <v>535</v>
      </c>
      <c r="B254" s="2579"/>
      <c r="C254" s="120" t="s">
        <v>496</v>
      </c>
      <c r="D254" s="140" t="s">
        <v>497</v>
      </c>
      <c r="E254" s="2645">
        <v>4</v>
      </c>
      <c r="F254" s="2646"/>
      <c r="G254" s="2641">
        <v>47000</v>
      </c>
      <c r="H254" s="2642">
        <v>38202.400000000001</v>
      </c>
      <c r="I254" s="2643">
        <v>188000</v>
      </c>
      <c r="J254" s="2644"/>
      <c r="K254" s="124"/>
      <c r="L254" s="160" t="s">
        <v>583</v>
      </c>
      <c r="M254" s="161"/>
      <c r="N254" s="161"/>
      <c r="O254" s="161"/>
      <c r="P254" s="161"/>
      <c r="Q254" s="161"/>
      <c r="R254" s="161"/>
      <c r="S254" s="2580">
        <v>6722457.4441947732</v>
      </c>
      <c r="T254" s="2581"/>
      <c r="V254" s="1047">
        <f>'TOTAL TRANSITORIOS'!W15</f>
        <v>6722457.4441947713</v>
      </c>
    </row>
    <row r="255" spans="1:22" ht="16.5" customHeight="1" thickBot="1" x14ac:dyDescent="0.35">
      <c r="A255" s="133" t="s">
        <v>537</v>
      </c>
      <c r="B255" s="136"/>
      <c r="C255" s="140"/>
      <c r="D255" s="140"/>
      <c r="E255" s="2643"/>
      <c r="F255" s="2644"/>
      <c r="G255" s="2643"/>
      <c r="H255" s="2644"/>
      <c r="I255" s="2643">
        <v>0</v>
      </c>
      <c r="J255" s="2644"/>
      <c r="K255" s="124"/>
      <c r="L255" s="45"/>
      <c r="M255" s="45"/>
      <c r="N255" s="45"/>
      <c r="O255" s="45"/>
      <c r="P255" s="45"/>
      <c r="Q255" s="45"/>
      <c r="R255" s="45"/>
      <c r="S255" s="45"/>
      <c r="T255" s="45"/>
    </row>
    <row r="256" spans="1:22" ht="16.5" customHeight="1" x14ac:dyDescent="0.3">
      <c r="A256" s="133" t="s">
        <v>538</v>
      </c>
      <c r="B256" s="136"/>
      <c r="C256" s="140"/>
      <c r="D256" s="140"/>
      <c r="E256" s="2643"/>
      <c r="F256" s="2644"/>
      <c r="G256" s="2643"/>
      <c r="H256" s="2644"/>
      <c r="I256" s="2643">
        <v>0</v>
      </c>
      <c r="J256" s="2644"/>
      <c r="K256" s="124"/>
      <c r="L256" s="45"/>
      <c r="M256" s="2582" t="s">
        <v>539</v>
      </c>
      <c r="N256" s="2583"/>
      <c r="O256" s="2583"/>
      <c r="P256" s="2583"/>
      <c r="Q256" s="2584"/>
      <c r="R256" s="45"/>
      <c r="S256" s="45"/>
      <c r="T256" s="45"/>
    </row>
    <row r="257" spans="1:21" ht="16.5" customHeight="1" x14ac:dyDescent="0.3">
      <c r="A257" s="133" t="s">
        <v>540</v>
      </c>
      <c r="B257" s="136"/>
      <c r="C257" s="140"/>
      <c r="D257" s="140"/>
      <c r="E257" s="2643"/>
      <c r="F257" s="2644"/>
      <c r="G257" s="2643"/>
      <c r="H257" s="2644"/>
      <c r="I257" s="2643">
        <v>0</v>
      </c>
      <c r="J257" s="2644"/>
      <c r="K257" s="124"/>
      <c r="L257" s="45"/>
      <c r="M257" s="101" t="s">
        <v>541</v>
      </c>
      <c r="N257" s="102"/>
      <c r="O257" s="102"/>
      <c r="P257" s="102"/>
      <c r="Q257" s="103">
        <v>10.623109497882638</v>
      </c>
      <c r="R257" s="45"/>
      <c r="S257" s="45"/>
      <c r="T257" s="45"/>
      <c r="U257" s="37" t="s">
        <v>542</v>
      </c>
    </row>
    <row r="258" spans="1:21" ht="16.5" customHeight="1" x14ac:dyDescent="0.3">
      <c r="A258" s="133" t="s">
        <v>543</v>
      </c>
      <c r="B258" s="136"/>
      <c r="C258" s="140"/>
      <c r="D258" s="140"/>
      <c r="E258" s="2643"/>
      <c r="F258" s="2644"/>
      <c r="G258" s="2643"/>
      <c r="H258" s="2644"/>
      <c r="I258" s="2643">
        <v>0</v>
      </c>
      <c r="J258" s="2644"/>
      <c r="K258" s="124"/>
      <c r="L258" s="45"/>
      <c r="M258" s="104" t="s">
        <v>544</v>
      </c>
      <c r="N258" s="102"/>
      <c r="O258" s="102"/>
      <c r="P258" s="105"/>
      <c r="Q258" s="106">
        <v>6722457.4441947732</v>
      </c>
      <c r="R258" s="45"/>
      <c r="S258" s="45"/>
      <c r="T258" s="45"/>
      <c r="U258" s="37"/>
    </row>
    <row r="259" spans="1:21" ht="16.5" customHeight="1" x14ac:dyDescent="0.35">
      <c r="A259" s="135" t="s">
        <v>545</v>
      </c>
      <c r="B259" s="136"/>
      <c r="C259" s="140"/>
      <c r="D259" s="140"/>
      <c r="E259" s="2643"/>
      <c r="F259" s="2644"/>
      <c r="G259" s="2643"/>
      <c r="H259" s="2644"/>
      <c r="I259" s="2715">
        <v>1758957.8602134301</v>
      </c>
      <c r="J259" s="2716"/>
      <c r="K259" s="121"/>
      <c r="L259" s="45"/>
      <c r="M259" s="101" t="s">
        <v>546</v>
      </c>
      <c r="N259" s="102"/>
      <c r="O259" s="102"/>
      <c r="P259" s="102"/>
      <c r="Q259" s="106">
        <v>1200000</v>
      </c>
      <c r="R259" s="47"/>
      <c r="S259" s="45"/>
      <c r="T259" s="45"/>
      <c r="U259" s="37" t="s">
        <v>542</v>
      </c>
    </row>
    <row r="260" spans="1:21" ht="16.5" customHeight="1" x14ac:dyDescent="0.4">
      <c r="A260" s="133" t="s">
        <v>547</v>
      </c>
      <c r="B260" s="136"/>
      <c r="C260" s="140" t="s">
        <v>496</v>
      </c>
      <c r="D260" s="140" t="s">
        <v>497</v>
      </c>
      <c r="E260" s="2643">
        <v>10</v>
      </c>
      <c r="F260" s="2644"/>
      <c r="G260" s="2641">
        <v>47000</v>
      </c>
      <c r="H260" s="2642">
        <v>38202.400000000001</v>
      </c>
      <c r="I260" s="2643">
        <v>470000</v>
      </c>
      <c r="J260" s="2644"/>
      <c r="K260" s="124"/>
      <c r="L260" s="45"/>
      <c r="M260" s="101" t="s">
        <v>758</v>
      </c>
      <c r="N260" s="102"/>
      <c r="O260" s="102"/>
      <c r="P260" s="102"/>
      <c r="Q260" s="106">
        <v>12747731.397459166</v>
      </c>
      <c r="R260" s="44"/>
      <c r="S260" s="45"/>
      <c r="T260" s="45"/>
    </row>
    <row r="261" spans="1:21" ht="16.5" customHeight="1" thickBot="1" x14ac:dyDescent="0.35">
      <c r="A261" s="133" t="s">
        <v>548</v>
      </c>
      <c r="B261" s="136"/>
      <c r="C261" s="140"/>
      <c r="D261" s="140"/>
      <c r="E261" s="2643"/>
      <c r="F261" s="2644"/>
      <c r="G261" s="2643"/>
      <c r="H261" s="2644"/>
      <c r="I261" s="2643">
        <v>0</v>
      </c>
      <c r="J261" s="2644"/>
      <c r="K261" s="124"/>
      <c r="L261" s="45"/>
      <c r="M261" s="108" t="s">
        <v>549</v>
      </c>
      <c r="N261" s="109"/>
      <c r="O261" s="109"/>
      <c r="P261" s="109"/>
      <c r="Q261" s="110">
        <v>6025273.9532643929</v>
      </c>
      <c r="R261" s="45"/>
      <c r="S261" s="45"/>
      <c r="T261" s="45"/>
    </row>
    <row r="262" spans="1:21" ht="16.5" customHeight="1" thickBot="1" x14ac:dyDescent="0.35">
      <c r="A262" s="133" t="s">
        <v>765</v>
      </c>
      <c r="B262" s="136"/>
      <c r="C262" s="140"/>
      <c r="D262" s="140" t="s">
        <v>1243</v>
      </c>
      <c r="E262" s="2643">
        <v>1</v>
      </c>
      <c r="F262" s="2644"/>
      <c r="G262" s="2643">
        <v>232812.29759999999</v>
      </c>
      <c r="H262" s="2644">
        <v>189371.12</v>
      </c>
      <c r="I262" s="2643">
        <v>232812.29759999999</v>
      </c>
      <c r="J262" s="2644"/>
      <c r="K262" s="124"/>
      <c r="L262" s="45"/>
      <c r="M262" s="1048" t="s">
        <v>759</v>
      </c>
      <c r="N262" s="1049"/>
      <c r="O262" s="1049"/>
      <c r="P262" s="1049"/>
      <c r="Q262" s="1050">
        <v>89.629038239097554</v>
      </c>
      <c r="R262" s="45"/>
      <c r="S262" s="45"/>
      <c r="T262" s="45"/>
    </row>
    <row r="263" spans="1:21" ht="16.5" customHeight="1" x14ac:dyDescent="0.3">
      <c r="A263" s="133" t="s">
        <v>614</v>
      </c>
      <c r="B263" s="136"/>
      <c r="C263" s="140"/>
      <c r="D263" s="140"/>
      <c r="E263" s="2643"/>
      <c r="F263" s="2644"/>
      <c r="G263" s="2643"/>
      <c r="H263" s="2644"/>
      <c r="I263" s="2643">
        <v>0</v>
      </c>
      <c r="J263" s="2644"/>
      <c r="K263" s="124"/>
      <c r="L263" s="7" t="s">
        <v>1528</v>
      </c>
      <c r="M263" s="8"/>
      <c r="N263" s="8"/>
      <c r="O263" s="8"/>
      <c r="P263" s="4"/>
      <c r="Q263" s="5"/>
      <c r="R263" s="1979"/>
      <c r="S263" s="45"/>
      <c r="T263" s="45"/>
    </row>
    <row r="264" spans="1:21" ht="16.5" customHeight="1" x14ac:dyDescent="0.3">
      <c r="A264" s="133" t="s">
        <v>555</v>
      </c>
      <c r="B264" s="136"/>
      <c r="C264" s="140"/>
      <c r="D264" s="140"/>
      <c r="E264" s="2643"/>
      <c r="F264" s="2644"/>
      <c r="G264" s="2643"/>
      <c r="H264" s="2644"/>
      <c r="I264" s="2643">
        <v>0</v>
      </c>
      <c r="J264" s="2644"/>
      <c r="K264" s="124"/>
      <c r="L264" s="597" t="s">
        <v>1583</v>
      </c>
      <c r="M264" s="45"/>
      <c r="N264" s="45"/>
      <c r="O264" s="45"/>
      <c r="P264" s="45"/>
      <c r="Q264" s="45"/>
      <c r="R264" s="45"/>
      <c r="S264" s="45"/>
      <c r="T264" s="45"/>
    </row>
    <row r="265" spans="1:21" ht="16.5" customHeight="1" x14ac:dyDescent="0.3">
      <c r="A265" s="133" t="s">
        <v>593</v>
      </c>
      <c r="B265" s="136"/>
      <c r="C265" s="140" t="s">
        <v>615</v>
      </c>
      <c r="D265" s="140" t="s">
        <v>556</v>
      </c>
      <c r="E265" s="2643">
        <v>10.623109497882638</v>
      </c>
      <c r="F265" s="2644"/>
      <c r="G265" s="2643">
        <v>99419.625</v>
      </c>
      <c r="H265" s="2644">
        <v>88373.26</v>
      </c>
      <c r="I265" s="2643">
        <v>1056145.5626134302</v>
      </c>
      <c r="J265" s="2644"/>
      <c r="K265" s="124"/>
      <c r="L265" s="45"/>
      <c r="M265" s="45"/>
      <c r="N265" s="45"/>
      <c r="O265" s="45"/>
      <c r="P265" s="45"/>
      <c r="Q265" s="45"/>
      <c r="R265" s="45"/>
      <c r="S265" s="44"/>
      <c r="T265" s="45"/>
    </row>
    <row r="266" spans="1:21" ht="16.5" customHeight="1" thickBot="1" x14ac:dyDescent="0.25">
      <c r="A266" s="162" t="s">
        <v>558</v>
      </c>
      <c r="B266" s="163"/>
      <c r="C266" s="164"/>
      <c r="D266" s="165"/>
      <c r="E266" s="2561">
        <v>38</v>
      </c>
      <c r="F266" s="2562"/>
      <c r="G266" s="2563"/>
      <c r="H266" s="2564"/>
      <c r="I266" s="2561">
        <v>3534091.2234134302</v>
      </c>
      <c r="J266" s="2562"/>
      <c r="K266" s="26"/>
      <c r="L266" s="45"/>
      <c r="M266" s="45"/>
      <c r="N266" s="45"/>
      <c r="O266" s="45"/>
      <c r="P266" s="45"/>
      <c r="Q266" s="45"/>
      <c r="R266" s="44"/>
      <c r="S266" s="45"/>
      <c r="T266" s="45"/>
    </row>
    <row r="267" spans="1:21" ht="14.1" customHeight="1" x14ac:dyDescent="0.2">
      <c r="A267" s="40"/>
      <c r="B267" s="40"/>
      <c r="C267" s="41"/>
      <c r="D267" s="41"/>
      <c r="E267" s="41"/>
      <c r="F267" s="41"/>
      <c r="G267" s="42"/>
      <c r="H267" s="42"/>
      <c r="I267" s="44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</row>
    <row r="268" spans="1:21" ht="14.1" customHeight="1" x14ac:dyDescent="0.2">
      <c r="A268" s="40"/>
      <c r="B268" s="40"/>
      <c r="C268" s="41"/>
      <c r="D268" s="41"/>
      <c r="E268" s="41"/>
      <c r="F268" s="41"/>
      <c r="G268" s="42"/>
      <c r="H268" s="42"/>
      <c r="I268" s="44"/>
      <c r="J268" s="45"/>
      <c r="K268" s="45"/>
      <c r="L268" s="40"/>
      <c r="M268" s="40"/>
      <c r="N268" s="41"/>
      <c r="O268" s="41"/>
      <c r="P268" s="41"/>
      <c r="Q268" s="41"/>
      <c r="R268" s="45"/>
      <c r="S268" s="45"/>
      <c r="T268" s="45"/>
    </row>
    <row r="269" spans="1:21" ht="14.1" customHeight="1" x14ac:dyDescent="0.2">
      <c r="A269" s="2654"/>
      <c r="B269" s="2654"/>
      <c r="C269" s="2654"/>
      <c r="D269" s="2654"/>
      <c r="E269" s="2654"/>
      <c r="F269" s="2654"/>
      <c r="G269" s="2654"/>
      <c r="H269" s="2654"/>
      <c r="I269" s="2654"/>
      <c r="J269" s="2654"/>
      <c r="K269" s="2654"/>
      <c r="L269" s="2654"/>
      <c r="M269" s="2654"/>
      <c r="N269" s="2654"/>
      <c r="O269" s="2654"/>
      <c r="P269" s="2654"/>
      <c r="Q269" s="2654"/>
      <c r="R269" s="2654"/>
      <c r="S269" s="2654"/>
      <c r="T269" s="2654"/>
    </row>
    <row r="270" spans="1:21" ht="14.1" customHeight="1" x14ac:dyDescent="0.2">
      <c r="A270" s="2654"/>
      <c r="B270" s="2654"/>
      <c r="C270" s="2654"/>
      <c r="D270" s="2654"/>
      <c r="E270" s="2654"/>
      <c r="F270" s="2654"/>
      <c r="G270" s="2654"/>
      <c r="H270" s="2654"/>
      <c r="I270" s="2654"/>
      <c r="J270" s="2654"/>
      <c r="K270" s="2654"/>
      <c r="L270" s="2654"/>
      <c r="M270" s="2654"/>
      <c r="N270" s="2654"/>
      <c r="O270" s="2654"/>
      <c r="P270" s="2654"/>
      <c r="Q270" s="2654"/>
      <c r="R270" s="2654"/>
      <c r="S270" s="2654"/>
      <c r="T270" s="2654"/>
    </row>
    <row r="271" spans="1:21" ht="14.1" customHeight="1" x14ac:dyDescent="0.2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</row>
    <row r="272" spans="1:21" ht="14.1" customHeight="1" x14ac:dyDescent="0.2">
      <c r="A272" s="40"/>
      <c r="B272" s="40"/>
      <c r="C272" s="41"/>
      <c r="D272" s="41"/>
      <c r="E272" s="41"/>
      <c r="F272" s="41"/>
      <c r="G272" s="42"/>
      <c r="H272" s="42"/>
      <c r="I272" s="44"/>
      <c r="J272" s="45"/>
      <c r="K272" s="45"/>
      <c r="L272" s="40"/>
      <c r="M272" s="40"/>
      <c r="N272" s="41"/>
      <c r="O272" s="41"/>
      <c r="P272" s="41"/>
      <c r="Q272" s="41"/>
      <c r="R272" s="45"/>
      <c r="S272" s="45"/>
      <c r="T272" s="45"/>
    </row>
    <row r="273" spans="1:22" ht="21.75" customHeight="1" x14ac:dyDescent="0.2">
      <c r="A273" s="2719" t="s">
        <v>1917</v>
      </c>
      <c r="B273" s="2719"/>
      <c r="C273" s="2719"/>
      <c r="D273" s="2719"/>
      <c r="E273" s="2719"/>
      <c r="F273" s="2719"/>
      <c r="G273" s="2719"/>
      <c r="H273" s="2719"/>
      <c r="I273" s="2719"/>
      <c r="J273" s="2719"/>
      <c r="K273" s="2719"/>
      <c r="L273" s="2719"/>
      <c r="M273" s="2719"/>
      <c r="N273" s="2719"/>
      <c r="O273" s="2719"/>
      <c r="P273" s="2719"/>
      <c r="Q273" s="2719"/>
      <c r="R273" s="2719"/>
      <c r="S273" s="2719"/>
      <c r="T273" s="2719"/>
    </row>
    <row r="274" spans="1:22" ht="14.1" customHeight="1" x14ac:dyDescent="0.2">
      <c r="A274" s="40"/>
      <c r="B274" s="40"/>
      <c r="C274" s="115"/>
      <c r="D274" s="41"/>
      <c r="E274" s="41"/>
      <c r="F274" s="41"/>
      <c r="G274" s="42"/>
      <c r="H274" s="42"/>
      <c r="I274" s="44"/>
      <c r="J274" s="45"/>
      <c r="K274" s="45"/>
      <c r="L274" s="40"/>
      <c r="M274" s="40"/>
      <c r="N274" s="115"/>
      <c r="O274" s="45"/>
      <c r="P274" s="45"/>
      <c r="Q274" s="45"/>
      <c r="R274" s="45"/>
      <c r="S274" s="45"/>
      <c r="T274" s="45"/>
    </row>
    <row r="275" spans="1:22" ht="14.1" customHeight="1" thickBot="1" x14ac:dyDescent="0.25">
      <c r="A275" s="40"/>
      <c r="B275" s="40"/>
      <c r="C275" s="41"/>
      <c r="D275" s="41"/>
      <c r="E275" s="41"/>
      <c r="F275" s="41"/>
      <c r="G275" s="42"/>
      <c r="H275" s="42"/>
      <c r="I275" s="44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</row>
    <row r="276" spans="1:22" ht="16.5" customHeight="1" x14ac:dyDescent="0.3">
      <c r="A276" s="2612" t="s">
        <v>435</v>
      </c>
      <c r="B276" s="2613"/>
      <c r="C276" s="2618" t="s">
        <v>436</v>
      </c>
      <c r="D276" s="2619"/>
      <c r="E276" s="2619"/>
      <c r="F276" s="2620"/>
      <c r="G276" s="2624" t="s">
        <v>437</v>
      </c>
      <c r="H276" s="2625"/>
      <c r="I276" s="2618" t="s">
        <v>439</v>
      </c>
      <c r="J276" s="2620"/>
      <c r="K276" s="49"/>
      <c r="L276" s="2626" t="s">
        <v>435</v>
      </c>
      <c r="M276" s="2619" t="s">
        <v>436</v>
      </c>
      <c r="N276" s="2619"/>
      <c r="O276" s="2619"/>
      <c r="P276" s="2620"/>
      <c r="Q276" s="2624" t="s">
        <v>437</v>
      </c>
      <c r="R276" s="2625"/>
      <c r="S276" s="2618" t="s">
        <v>439</v>
      </c>
      <c r="T276" s="2649"/>
      <c r="V276" s="2006"/>
    </row>
    <row r="277" spans="1:22" ht="16.5" customHeight="1" thickBot="1" x14ac:dyDescent="0.35">
      <c r="A277" s="2614"/>
      <c r="B277" s="2615"/>
      <c r="C277" s="2621"/>
      <c r="D277" s="2622"/>
      <c r="E277" s="2622"/>
      <c r="F277" s="2623"/>
      <c r="G277" s="2629" t="s">
        <v>440</v>
      </c>
      <c r="H277" s="2630"/>
      <c r="I277" s="2631"/>
      <c r="J277" s="2632"/>
      <c r="K277" s="49"/>
      <c r="L277" s="2627"/>
      <c r="M277" s="2622"/>
      <c r="N277" s="2622"/>
      <c r="O277" s="2622"/>
      <c r="P277" s="2623"/>
      <c r="Q277" s="2629" t="s">
        <v>440</v>
      </c>
      <c r="R277" s="2630"/>
      <c r="S277" s="2631"/>
      <c r="T277" s="2650"/>
    </row>
    <row r="278" spans="1:22" ht="16.5" customHeight="1" x14ac:dyDescent="0.3">
      <c r="A278" s="2614"/>
      <c r="B278" s="2615"/>
      <c r="C278" s="53" t="s">
        <v>441</v>
      </c>
      <c r="D278" s="2670" t="s">
        <v>442</v>
      </c>
      <c r="E278" s="2631" t="s">
        <v>443</v>
      </c>
      <c r="F278" s="2632"/>
      <c r="G278" s="2629" t="s">
        <v>444</v>
      </c>
      <c r="H278" s="2630"/>
      <c r="I278" s="2631" t="s">
        <v>348</v>
      </c>
      <c r="J278" s="2632"/>
      <c r="K278" s="49"/>
      <c r="L278" s="2627"/>
      <c r="M278" s="51" t="s">
        <v>441</v>
      </c>
      <c r="N278" s="2670" t="s">
        <v>442</v>
      </c>
      <c r="O278" s="2631" t="s">
        <v>443</v>
      </c>
      <c r="P278" s="2632"/>
      <c r="Q278" s="2629" t="s">
        <v>444</v>
      </c>
      <c r="R278" s="2630"/>
      <c r="S278" s="2631" t="s">
        <v>348</v>
      </c>
      <c r="T278" s="2650"/>
    </row>
    <row r="279" spans="1:22" ht="16.5" customHeight="1" thickBot="1" x14ac:dyDescent="0.35">
      <c r="A279" s="2616"/>
      <c r="B279" s="2617"/>
      <c r="C279" s="54" t="s">
        <v>445</v>
      </c>
      <c r="D279" s="2634"/>
      <c r="E279" s="2621"/>
      <c r="F279" s="2623"/>
      <c r="G279" s="2561"/>
      <c r="H279" s="2562"/>
      <c r="I279" s="2635"/>
      <c r="J279" s="2636"/>
      <c r="K279" s="49"/>
      <c r="L279" s="2628"/>
      <c r="M279" s="50" t="s">
        <v>445</v>
      </c>
      <c r="N279" s="2634"/>
      <c r="O279" s="2621"/>
      <c r="P279" s="2623"/>
      <c r="Q279" s="2561"/>
      <c r="R279" s="2562"/>
      <c r="S279" s="2652"/>
      <c r="T279" s="2653"/>
    </row>
    <row r="280" spans="1:22" ht="16.5" customHeight="1" x14ac:dyDescent="0.3">
      <c r="A280" s="116" t="s">
        <v>446</v>
      </c>
      <c r="B280" s="117"/>
      <c r="C280" s="118"/>
      <c r="D280" s="118"/>
      <c r="E280" s="2712"/>
      <c r="F280" s="2713"/>
      <c r="G280" s="2651"/>
      <c r="H280" s="2714"/>
      <c r="I280" s="2607"/>
      <c r="J280" s="2608"/>
      <c r="K280" s="45"/>
      <c r="L280" s="119" t="s">
        <v>447</v>
      </c>
      <c r="M280" s="118"/>
      <c r="N280" s="118"/>
      <c r="O280" s="2651"/>
      <c r="P280" s="2651"/>
      <c r="Q280" s="2651"/>
      <c r="R280" s="2651"/>
      <c r="S280" s="2651"/>
      <c r="T280" s="2651"/>
    </row>
    <row r="281" spans="1:22" ht="16.5" customHeight="1" x14ac:dyDescent="0.35">
      <c r="A281" s="2595" t="s">
        <v>448</v>
      </c>
      <c r="B281" s="2596"/>
      <c r="C281" s="120"/>
      <c r="D281" s="120"/>
      <c r="E281" s="2645"/>
      <c r="F281" s="2646"/>
      <c r="G281" s="2643"/>
      <c r="H281" s="2644"/>
      <c r="I281" s="2715">
        <v>0</v>
      </c>
      <c r="J281" s="2716"/>
      <c r="K281" s="121"/>
      <c r="L281" s="122"/>
      <c r="M281" s="120"/>
      <c r="N281" s="120"/>
      <c r="O281" s="2643"/>
      <c r="P281" s="2643"/>
      <c r="Q281" s="2643"/>
      <c r="R281" s="2643"/>
      <c r="S281" s="2643"/>
      <c r="T281" s="2643"/>
    </row>
    <row r="282" spans="1:22" ht="16.5" customHeight="1" x14ac:dyDescent="0.3">
      <c r="A282" s="2589" t="s">
        <v>449</v>
      </c>
      <c r="B282" s="2590"/>
      <c r="C282" s="120"/>
      <c r="D282" s="120"/>
      <c r="E282" s="2645"/>
      <c r="F282" s="2646"/>
      <c r="G282" s="2643"/>
      <c r="H282" s="2644"/>
      <c r="I282" s="2643">
        <v>0</v>
      </c>
      <c r="J282" s="2644"/>
      <c r="K282" s="124"/>
      <c r="L282" s="122" t="s">
        <v>450</v>
      </c>
      <c r="M282" s="120" t="s">
        <v>709</v>
      </c>
      <c r="N282" s="120" t="s">
        <v>452</v>
      </c>
      <c r="O282" s="2643">
        <v>30</v>
      </c>
      <c r="P282" s="2643"/>
      <c r="Q282" s="2643">
        <v>15845.6</v>
      </c>
      <c r="R282" s="2643">
        <v>11910.16</v>
      </c>
      <c r="S282" s="2643">
        <v>475368</v>
      </c>
      <c r="T282" s="2643"/>
    </row>
    <row r="283" spans="1:22" ht="16.5" customHeight="1" x14ac:dyDescent="0.3">
      <c r="A283" s="2589" t="s">
        <v>453</v>
      </c>
      <c r="B283" s="2590"/>
      <c r="C283" s="120"/>
      <c r="D283" s="120"/>
      <c r="E283" s="2645"/>
      <c r="F283" s="2646"/>
      <c r="G283" s="2643"/>
      <c r="H283" s="2644"/>
      <c r="I283" s="2643">
        <v>0</v>
      </c>
      <c r="J283" s="2644"/>
      <c r="K283" s="124"/>
      <c r="L283" s="122" t="s">
        <v>454</v>
      </c>
      <c r="M283" s="120"/>
      <c r="N283" s="120"/>
      <c r="O283" s="2643"/>
      <c r="P283" s="2643"/>
      <c r="Q283" s="2643"/>
      <c r="R283" s="2643"/>
      <c r="S283" s="2643">
        <v>0</v>
      </c>
      <c r="T283" s="2643"/>
    </row>
    <row r="284" spans="1:22" ht="16.5" customHeight="1" x14ac:dyDescent="0.3">
      <c r="A284" s="2589" t="s">
        <v>455</v>
      </c>
      <c r="B284" s="2590"/>
      <c r="C284" s="120"/>
      <c r="D284" s="120"/>
      <c r="E284" s="2645"/>
      <c r="F284" s="2645"/>
      <c r="G284" s="2643"/>
      <c r="H284" s="2644"/>
      <c r="I284" s="2643">
        <v>0</v>
      </c>
      <c r="J284" s="2644"/>
      <c r="K284" s="124"/>
      <c r="L284" s="122" t="s">
        <v>456</v>
      </c>
      <c r="M284" s="120" t="s">
        <v>710</v>
      </c>
      <c r="N284" s="120" t="s">
        <v>556</v>
      </c>
      <c r="O284" s="2643">
        <v>1</v>
      </c>
      <c r="P284" s="2643"/>
      <c r="Q284" s="2643">
        <v>199136.57279999999</v>
      </c>
      <c r="R284" s="2643">
        <v>161978.6</v>
      </c>
      <c r="S284" s="2643">
        <v>199136.57279999999</v>
      </c>
      <c r="T284" s="2643"/>
    </row>
    <row r="285" spans="1:22" ht="16.5" customHeight="1" x14ac:dyDescent="0.2">
      <c r="A285" s="2600" t="s">
        <v>560</v>
      </c>
      <c r="B285" s="2601"/>
      <c r="C285" s="120"/>
      <c r="D285" s="120"/>
      <c r="E285" s="2645"/>
      <c r="F285" s="2645"/>
      <c r="G285" s="2643"/>
      <c r="H285" s="2643"/>
      <c r="I285" s="2715">
        <v>611000</v>
      </c>
      <c r="J285" s="2715"/>
      <c r="K285" s="126"/>
      <c r="L285" s="122" t="s">
        <v>458</v>
      </c>
      <c r="M285" s="120"/>
      <c r="N285" s="120"/>
      <c r="O285" s="2643"/>
      <c r="P285" s="2643"/>
      <c r="Q285" s="2643"/>
      <c r="R285" s="2643"/>
      <c r="S285" s="2643">
        <v>0</v>
      </c>
      <c r="T285" s="2643"/>
    </row>
    <row r="286" spans="1:22" ht="16.5" customHeight="1" x14ac:dyDescent="0.3">
      <c r="A286" s="127" t="s">
        <v>461</v>
      </c>
      <c r="B286" s="128"/>
      <c r="C286" s="120"/>
      <c r="D286" s="120"/>
      <c r="E286" s="2645"/>
      <c r="F286" s="2645"/>
      <c r="G286" s="2643"/>
      <c r="H286" s="2644"/>
      <c r="I286" s="2643">
        <v>0</v>
      </c>
      <c r="J286" s="2644"/>
      <c r="K286" s="124"/>
      <c r="L286" s="122" t="s">
        <v>589</v>
      </c>
      <c r="M286" s="120" t="s">
        <v>753</v>
      </c>
      <c r="N286" s="120" t="s">
        <v>1581</v>
      </c>
      <c r="O286" s="2643">
        <v>5</v>
      </c>
      <c r="P286" s="2643"/>
      <c r="Q286" s="2643">
        <v>188974</v>
      </c>
      <c r="R286" s="2643"/>
      <c r="S286" s="2643">
        <v>944870</v>
      </c>
      <c r="T286" s="2643"/>
    </row>
    <row r="287" spans="1:22" ht="16.5" customHeight="1" x14ac:dyDescent="0.4">
      <c r="A287" s="129" t="s">
        <v>711</v>
      </c>
      <c r="B287" s="130"/>
      <c r="C287" s="120" t="s">
        <v>496</v>
      </c>
      <c r="D287" s="120" t="s">
        <v>496</v>
      </c>
      <c r="E287" s="2645">
        <v>5</v>
      </c>
      <c r="F287" s="2645"/>
      <c r="G287" s="2641">
        <v>47000</v>
      </c>
      <c r="H287" s="2642">
        <v>38202.400000000001</v>
      </c>
      <c r="I287" s="2643">
        <v>235000</v>
      </c>
      <c r="J287" s="2644"/>
      <c r="K287" s="124"/>
      <c r="L287" s="122" t="s">
        <v>471</v>
      </c>
      <c r="M287" s="120" t="s">
        <v>566</v>
      </c>
      <c r="N287" s="120" t="s">
        <v>591</v>
      </c>
      <c r="O287" s="2643">
        <v>2</v>
      </c>
      <c r="P287" s="2643"/>
      <c r="Q287" s="2643">
        <v>28583</v>
      </c>
      <c r="R287" s="2643"/>
      <c r="S287" s="2643">
        <v>57166</v>
      </c>
      <c r="T287" s="2643"/>
    </row>
    <row r="288" spans="1:22" ht="16.5" customHeight="1" x14ac:dyDescent="0.3">
      <c r="A288" s="127" t="s">
        <v>465</v>
      </c>
      <c r="B288" s="128"/>
      <c r="C288" s="120"/>
      <c r="D288" s="120"/>
      <c r="E288" s="2645"/>
      <c r="F288" s="2645"/>
      <c r="G288" s="2643"/>
      <c r="H288" s="2644"/>
      <c r="I288" s="2643">
        <v>0</v>
      </c>
      <c r="J288" s="2644"/>
      <c r="K288" s="124"/>
      <c r="L288" s="122" t="s">
        <v>504</v>
      </c>
      <c r="M288" s="120" t="s">
        <v>613</v>
      </c>
      <c r="N288" s="120" t="s">
        <v>1581</v>
      </c>
      <c r="O288" s="2643">
        <v>8</v>
      </c>
      <c r="P288" s="2643"/>
      <c r="Q288" s="2643">
        <v>13291</v>
      </c>
      <c r="R288" s="2643"/>
      <c r="S288" s="2643">
        <v>106328</v>
      </c>
      <c r="T288" s="2643"/>
    </row>
    <row r="289" spans="1:20" ht="16.5" customHeight="1" x14ac:dyDescent="0.3">
      <c r="A289" s="127" t="s">
        <v>469</v>
      </c>
      <c r="B289" s="128"/>
      <c r="C289" s="120"/>
      <c r="D289" s="120"/>
      <c r="E289" s="2645"/>
      <c r="F289" s="2645"/>
      <c r="G289" s="2643"/>
      <c r="H289" s="2644"/>
      <c r="I289" s="2643">
        <v>0</v>
      </c>
      <c r="J289" s="2644"/>
      <c r="K289" s="124"/>
      <c r="L289" s="122" t="s">
        <v>712</v>
      </c>
      <c r="M289" s="120" t="s">
        <v>712</v>
      </c>
      <c r="N289" s="120"/>
      <c r="O289" s="2643"/>
      <c r="P289" s="2643"/>
      <c r="Q289" s="2643"/>
      <c r="R289" s="2643"/>
      <c r="S289" s="2643">
        <v>20000</v>
      </c>
      <c r="T289" s="2643"/>
    </row>
    <row r="290" spans="1:20" ht="16.5" customHeight="1" x14ac:dyDescent="0.3">
      <c r="A290" s="131" t="s">
        <v>470</v>
      </c>
      <c r="B290" s="132"/>
      <c r="C290" s="120"/>
      <c r="D290" s="120"/>
      <c r="E290" s="2645"/>
      <c r="F290" s="2645"/>
      <c r="G290" s="2643"/>
      <c r="H290" s="2644"/>
      <c r="I290" s="2643">
        <v>0</v>
      </c>
      <c r="J290" s="2644"/>
      <c r="K290" s="124"/>
      <c r="L290" s="122"/>
      <c r="M290" s="120"/>
      <c r="N290" s="120"/>
      <c r="O290" s="2643"/>
      <c r="P290" s="2643"/>
      <c r="Q290" s="2643"/>
      <c r="R290" s="2643"/>
      <c r="S290" s="2643"/>
      <c r="T290" s="2643"/>
    </row>
    <row r="291" spans="1:20" ht="16.5" customHeight="1" x14ac:dyDescent="0.3">
      <c r="A291" s="127" t="s">
        <v>474</v>
      </c>
      <c r="B291" s="128"/>
      <c r="C291" s="120"/>
      <c r="D291" s="120"/>
      <c r="E291" s="2645"/>
      <c r="F291" s="2645"/>
      <c r="G291" s="2643"/>
      <c r="H291" s="2644"/>
      <c r="I291" s="2643">
        <v>0</v>
      </c>
      <c r="J291" s="2644"/>
      <c r="K291" s="124"/>
      <c r="L291" s="122" t="s">
        <v>475</v>
      </c>
      <c r="M291" s="120"/>
      <c r="N291" s="120"/>
      <c r="O291" s="2643"/>
      <c r="P291" s="2643"/>
      <c r="Q291" s="2643"/>
      <c r="R291" s="2643"/>
      <c r="S291" s="2643">
        <v>0</v>
      </c>
      <c r="T291" s="2643"/>
    </row>
    <row r="292" spans="1:20" ht="16.5" customHeight="1" x14ac:dyDescent="0.3">
      <c r="A292" s="127" t="s">
        <v>476</v>
      </c>
      <c r="B292" s="128"/>
      <c r="C292" s="120"/>
      <c r="D292" s="120"/>
      <c r="E292" s="2645"/>
      <c r="F292" s="2645"/>
      <c r="G292" s="2643"/>
      <c r="H292" s="2644"/>
      <c r="I292" s="2643">
        <v>0</v>
      </c>
      <c r="J292" s="2644"/>
      <c r="K292" s="124"/>
      <c r="L292" s="122" t="s">
        <v>477</v>
      </c>
      <c r="M292" s="120" t="s">
        <v>713</v>
      </c>
      <c r="N292" s="120" t="s">
        <v>591</v>
      </c>
      <c r="O292" s="2643">
        <v>2</v>
      </c>
      <c r="P292" s="2643"/>
      <c r="Q292" s="2643">
        <v>38296</v>
      </c>
      <c r="R292" s="2643"/>
      <c r="S292" s="2643">
        <v>76592</v>
      </c>
      <c r="T292" s="2643"/>
    </row>
    <row r="293" spans="1:20" ht="16.5" customHeight="1" x14ac:dyDescent="0.3">
      <c r="A293" s="2597" t="s">
        <v>480</v>
      </c>
      <c r="B293" s="2598"/>
      <c r="C293" s="120"/>
      <c r="D293" s="120"/>
      <c r="E293" s="2645"/>
      <c r="F293" s="2646"/>
      <c r="G293" s="2643"/>
      <c r="H293" s="2644"/>
      <c r="I293" s="2643">
        <v>0</v>
      </c>
      <c r="J293" s="2644"/>
      <c r="K293" s="124"/>
      <c r="L293" s="122" t="s">
        <v>481</v>
      </c>
      <c r="M293" s="120" t="s">
        <v>714</v>
      </c>
      <c r="N293" s="120" t="s">
        <v>591</v>
      </c>
      <c r="O293" s="2643">
        <v>2</v>
      </c>
      <c r="P293" s="2643"/>
      <c r="Q293" s="2643">
        <v>22026.4768</v>
      </c>
      <c r="R293" s="2643">
        <v>20155.900000000001</v>
      </c>
      <c r="S293" s="2643">
        <v>44052.953600000001</v>
      </c>
      <c r="T293" s="2643"/>
    </row>
    <row r="294" spans="1:20" ht="16.5" customHeight="1" x14ac:dyDescent="0.3">
      <c r="A294" s="127" t="s">
        <v>454</v>
      </c>
      <c r="B294" s="128"/>
      <c r="C294" s="120"/>
      <c r="D294" s="120"/>
      <c r="E294" s="2645"/>
      <c r="F294" s="2646"/>
      <c r="G294" s="2643"/>
      <c r="H294" s="2644"/>
      <c r="I294" s="2643">
        <v>0</v>
      </c>
      <c r="J294" s="2644"/>
      <c r="K294" s="124"/>
      <c r="L294" s="122" t="s">
        <v>483</v>
      </c>
      <c r="M294" s="120"/>
      <c r="N294" s="120"/>
      <c r="O294" s="2643"/>
      <c r="P294" s="2643"/>
      <c r="Q294" s="2643"/>
      <c r="R294" s="2643"/>
      <c r="S294" s="2643">
        <v>0</v>
      </c>
      <c r="T294" s="2643"/>
    </row>
    <row r="295" spans="1:20" ht="16.5" customHeight="1" x14ac:dyDescent="0.4">
      <c r="A295" s="127" t="s">
        <v>715</v>
      </c>
      <c r="B295" s="128"/>
      <c r="C295" s="120" t="s">
        <v>496</v>
      </c>
      <c r="D295" s="120" t="s">
        <v>496</v>
      </c>
      <c r="E295" s="2645">
        <v>8</v>
      </c>
      <c r="F295" s="2646"/>
      <c r="G295" s="2641">
        <v>47000</v>
      </c>
      <c r="H295" s="2642">
        <v>38202.400000000001</v>
      </c>
      <c r="I295" s="2643">
        <v>376000</v>
      </c>
      <c r="J295" s="2644"/>
      <c r="K295" s="124"/>
      <c r="L295" s="122" t="s">
        <v>486</v>
      </c>
      <c r="M295" s="120" t="s">
        <v>592</v>
      </c>
      <c r="N295" s="120" t="s">
        <v>591</v>
      </c>
      <c r="O295" s="2643">
        <v>1</v>
      </c>
      <c r="P295" s="2643"/>
      <c r="Q295" s="2643">
        <v>55966.659200000002</v>
      </c>
      <c r="R295" s="2643">
        <v>51213.9</v>
      </c>
      <c r="S295" s="2643">
        <v>55966.659200000002</v>
      </c>
      <c r="T295" s="2643"/>
    </row>
    <row r="296" spans="1:20" ht="16.5" customHeight="1" x14ac:dyDescent="0.3">
      <c r="A296" s="133" t="s">
        <v>488</v>
      </c>
      <c r="B296" s="134"/>
      <c r="C296" s="120"/>
      <c r="D296" s="120"/>
      <c r="E296" s="2645"/>
      <c r="F296" s="2646"/>
      <c r="G296" s="2643"/>
      <c r="H296" s="2644"/>
      <c r="I296" s="2643">
        <v>0</v>
      </c>
      <c r="J296" s="2644"/>
      <c r="K296" s="124"/>
      <c r="L296" s="122" t="s">
        <v>489</v>
      </c>
      <c r="M296" s="120"/>
      <c r="N296" s="120"/>
      <c r="O296" s="2643"/>
      <c r="P296" s="2643"/>
      <c r="Q296" s="2643"/>
      <c r="R296" s="2643"/>
      <c r="S296" s="2643">
        <v>0</v>
      </c>
      <c r="T296" s="2643"/>
    </row>
    <row r="297" spans="1:20" ht="16.5" customHeight="1" x14ac:dyDescent="0.35">
      <c r="A297" s="135" t="s">
        <v>490</v>
      </c>
      <c r="B297" s="136"/>
      <c r="C297" s="120"/>
      <c r="D297" s="120"/>
      <c r="E297" s="2645"/>
      <c r="F297" s="2646"/>
      <c r="G297" s="2643"/>
      <c r="H297" s="2644"/>
      <c r="I297" s="2715">
        <v>141000</v>
      </c>
      <c r="J297" s="2716"/>
      <c r="K297" s="124"/>
      <c r="L297" s="122" t="s">
        <v>491</v>
      </c>
      <c r="M297" s="120" t="s">
        <v>1240</v>
      </c>
      <c r="N297" s="120" t="s">
        <v>591</v>
      </c>
      <c r="O297" s="2643">
        <v>2</v>
      </c>
      <c r="P297" s="2643"/>
      <c r="Q297" s="2643">
        <v>62213.103999999999</v>
      </c>
      <c r="R297" s="2643">
        <v>56930.48</v>
      </c>
      <c r="S297" s="2643">
        <v>124426.208</v>
      </c>
      <c r="T297" s="2643"/>
    </row>
    <row r="298" spans="1:20" ht="16.5" customHeight="1" x14ac:dyDescent="0.4">
      <c r="A298" s="133" t="s">
        <v>492</v>
      </c>
      <c r="B298" s="136"/>
      <c r="C298" s="120" t="s">
        <v>496</v>
      </c>
      <c r="D298" s="120" t="s">
        <v>496</v>
      </c>
      <c r="E298" s="2643">
        <v>3</v>
      </c>
      <c r="F298" s="2643"/>
      <c r="G298" s="2641">
        <v>47000</v>
      </c>
      <c r="H298" s="2642">
        <v>38202.400000000001</v>
      </c>
      <c r="I298" s="2643">
        <v>141000</v>
      </c>
      <c r="J298" s="2644"/>
      <c r="K298" s="124"/>
      <c r="L298" s="122" t="s">
        <v>494</v>
      </c>
      <c r="M298" s="120" t="s">
        <v>716</v>
      </c>
      <c r="N298" s="120" t="s">
        <v>591</v>
      </c>
      <c r="O298" s="2643">
        <v>1</v>
      </c>
      <c r="P298" s="2643"/>
      <c r="Q298" s="2643">
        <v>71584.9568</v>
      </c>
      <c r="R298" s="2643">
        <v>65505.88</v>
      </c>
      <c r="S298" s="2643">
        <v>71584.9568</v>
      </c>
      <c r="T298" s="2643"/>
    </row>
    <row r="299" spans="1:20" ht="16.5" customHeight="1" x14ac:dyDescent="0.3">
      <c r="A299" s="137" t="s">
        <v>717</v>
      </c>
      <c r="B299" s="138"/>
      <c r="C299" s="120"/>
      <c r="D299" s="120"/>
      <c r="E299" s="2643"/>
      <c r="F299" s="2643"/>
      <c r="G299" s="2559"/>
      <c r="H299" s="2560"/>
      <c r="I299" s="2643">
        <v>0</v>
      </c>
      <c r="J299" s="2644"/>
      <c r="K299" s="124"/>
      <c r="L299" s="122" t="s">
        <v>498</v>
      </c>
      <c r="M299" s="120"/>
      <c r="N299" s="120"/>
      <c r="O299" s="2643"/>
      <c r="P299" s="2643"/>
      <c r="Q299" s="2643"/>
      <c r="R299" s="2643"/>
      <c r="S299" s="2643">
        <v>0</v>
      </c>
      <c r="T299" s="2643"/>
    </row>
    <row r="300" spans="1:20" ht="16.5" customHeight="1" x14ac:dyDescent="0.3">
      <c r="A300" s="2578" t="s">
        <v>501</v>
      </c>
      <c r="B300" s="2579"/>
      <c r="C300" s="120"/>
      <c r="D300" s="120"/>
      <c r="E300" s="2643"/>
      <c r="F300" s="2643"/>
      <c r="G300" s="2643"/>
      <c r="H300" s="2644"/>
      <c r="I300" s="2643">
        <v>0</v>
      </c>
      <c r="J300" s="2644"/>
      <c r="K300" s="124"/>
      <c r="L300" s="139" t="s">
        <v>573</v>
      </c>
      <c r="M300" s="140" t="s">
        <v>718</v>
      </c>
      <c r="N300" s="140" t="s">
        <v>591</v>
      </c>
      <c r="O300" s="2643">
        <v>1</v>
      </c>
      <c r="P300" s="2643"/>
      <c r="Q300" s="2643">
        <v>55966.659200000002</v>
      </c>
      <c r="R300" s="2643">
        <v>51213.9</v>
      </c>
      <c r="S300" s="2643">
        <v>55966.659200000002</v>
      </c>
      <c r="T300" s="2643"/>
    </row>
    <row r="301" spans="1:20" ht="16.5" customHeight="1" x14ac:dyDescent="0.3">
      <c r="A301" s="2589" t="s">
        <v>504</v>
      </c>
      <c r="B301" s="2590"/>
      <c r="C301" s="120"/>
      <c r="D301" s="120"/>
      <c r="E301" s="2643"/>
      <c r="F301" s="2643"/>
      <c r="G301" s="2643"/>
      <c r="H301" s="2644"/>
      <c r="I301" s="2643">
        <v>0</v>
      </c>
      <c r="J301" s="2644"/>
      <c r="K301" s="124"/>
      <c r="L301" s="139"/>
      <c r="M301" s="139"/>
      <c r="N301" s="139"/>
      <c r="O301" s="2643"/>
      <c r="P301" s="2643"/>
      <c r="Q301" s="2643"/>
      <c r="R301" s="2643"/>
      <c r="S301" s="2643"/>
      <c r="T301" s="2643"/>
    </row>
    <row r="302" spans="1:20" ht="16.5" customHeight="1" x14ac:dyDescent="0.3">
      <c r="A302" s="2589" t="s">
        <v>504</v>
      </c>
      <c r="B302" s="2590"/>
      <c r="C302" s="120"/>
      <c r="D302" s="120"/>
      <c r="E302" s="2643"/>
      <c r="F302" s="2643"/>
      <c r="G302" s="2643"/>
      <c r="H302" s="2644"/>
      <c r="I302" s="2643">
        <v>0</v>
      </c>
      <c r="J302" s="2644"/>
      <c r="K302" s="124"/>
      <c r="L302" s="139" t="s">
        <v>595</v>
      </c>
      <c r="M302" s="139"/>
      <c r="N302" s="139"/>
      <c r="O302" s="2643"/>
      <c r="P302" s="2643"/>
      <c r="Q302" s="2643"/>
      <c r="R302" s="2643"/>
      <c r="S302" s="2643">
        <v>0</v>
      </c>
      <c r="T302" s="2643"/>
    </row>
    <row r="303" spans="1:20" ht="16.5" customHeight="1" x14ac:dyDescent="0.35">
      <c r="A303" s="2595" t="s">
        <v>506</v>
      </c>
      <c r="B303" s="2596"/>
      <c r="C303" s="120"/>
      <c r="D303" s="120"/>
      <c r="E303" s="2645"/>
      <c r="F303" s="2646"/>
      <c r="G303" s="2643"/>
      <c r="H303" s="2644"/>
      <c r="I303" s="2715">
        <v>1410000</v>
      </c>
      <c r="J303" s="2716"/>
      <c r="K303" s="121"/>
      <c r="L303" s="139" t="s">
        <v>600</v>
      </c>
      <c r="M303" s="140" t="s">
        <v>1382</v>
      </c>
      <c r="N303" s="139" t="s">
        <v>497</v>
      </c>
      <c r="O303" s="2643">
        <v>2000</v>
      </c>
      <c r="P303" s="2643"/>
      <c r="Q303" s="2643">
        <v>2342.9632000000001</v>
      </c>
      <c r="R303" s="2643"/>
      <c r="S303" s="2643">
        <v>4685926.4000000004</v>
      </c>
      <c r="T303" s="2643"/>
    </row>
    <row r="304" spans="1:20" ht="16.5" customHeight="1" x14ac:dyDescent="0.4">
      <c r="A304" s="2589" t="s">
        <v>720</v>
      </c>
      <c r="B304" s="2590"/>
      <c r="C304" s="120" t="s">
        <v>496</v>
      </c>
      <c r="D304" s="120" t="s">
        <v>496</v>
      </c>
      <c r="E304" s="2645">
        <v>8</v>
      </c>
      <c r="F304" s="2646"/>
      <c r="G304" s="2641">
        <v>47000</v>
      </c>
      <c r="H304" s="2642">
        <v>38202.400000000001</v>
      </c>
      <c r="I304" s="2643">
        <v>376000</v>
      </c>
      <c r="J304" s="2644"/>
      <c r="K304" s="124"/>
      <c r="L304" s="139" t="s">
        <v>510</v>
      </c>
      <c r="M304" s="140" t="s">
        <v>721</v>
      </c>
      <c r="N304" s="139"/>
      <c r="O304" s="2643">
        <v>12</v>
      </c>
      <c r="P304" s="2643"/>
      <c r="Q304" s="2643">
        <v>14056.686400000001</v>
      </c>
      <c r="R304" s="2643">
        <v>11434.22</v>
      </c>
      <c r="S304" s="2643">
        <v>168680.23680000001</v>
      </c>
      <c r="T304" s="2643"/>
    </row>
    <row r="305" spans="1:22" ht="16.5" customHeight="1" x14ac:dyDescent="0.4">
      <c r="A305" s="2589" t="s">
        <v>722</v>
      </c>
      <c r="B305" s="2590"/>
      <c r="C305" s="120" t="s">
        <v>496</v>
      </c>
      <c r="D305" s="120" t="s">
        <v>496</v>
      </c>
      <c r="E305" s="2645">
        <v>4</v>
      </c>
      <c r="F305" s="2646"/>
      <c r="G305" s="2641">
        <v>47000</v>
      </c>
      <c r="H305" s="2642">
        <v>38202.400000000001</v>
      </c>
      <c r="I305" s="2643">
        <v>188000</v>
      </c>
      <c r="J305" s="2644"/>
      <c r="K305" s="124"/>
      <c r="L305" s="139" t="s">
        <v>575</v>
      </c>
      <c r="M305" s="140" t="s">
        <v>794</v>
      </c>
      <c r="N305" s="139"/>
      <c r="O305" s="2643"/>
      <c r="P305" s="2643"/>
      <c r="Q305" s="2643"/>
      <c r="R305" s="2643"/>
      <c r="S305" s="2643">
        <v>325000</v>
      </c>
      <c r="T305" s="2643"/>
    </row>
    <row r="306" spans="1:22" ht="16.5" customHeight="1" x14ac:dyDescent="0.4">
      <c r="A306" s="137" t="s">
        <v>723</v>
      </c>
      <c r="B306" s="138"/>
      <c r="C306" s="120" t="s">
        <v>496</v>
      </c>
      <c r="D306" s="120" t="s">
        <v>496</v>
      </c>
      <c r="E306" s="2645">
        <v>3</v>
      </c>
      <c r="F306" s="2646"/>
      <c r="G306" s="2641">
        <v>47000</v>
      </c>
      <c r="H306" s="2642">
        <v>38202.400000000001</v>
      </c>
      <c r="I306" s="2643">
        <v>141000</v>
      </c>
      <c r="J306" s="2644"/>
      <c r="K306" s="124"/>
      <c r="L306" s="139" t="s">
        <v>515</v>
      </c>
      <c r="M306" s="140"/>
      <c r="N306" s="139"/>
      <c r="O306" s="2643"/>
      <c r="P306" s="2643"/>
      <c r="Q306" s="2643"/>
      <c r="R306" s="2643"/>
      <c r="S306" s="2643">
        <v>0</v>
      </c>
      <c r="T306" s="2643"/>
    </row>
    <row r="307" spans="1:22" ht="16.5" customHeight="1" x14ac:dyDescent="0.4">
      <c r="A307" s="2589" t="s">
        <v>512</v>
      </c>
      <c r="B307" s="2590"/>
      <c r="C307" s="120" t="s">
        <v>496</v>
      </c>
      <c r="D307" s="120" t="s">
        <v>496</v>
      </c>
      <c r="E307" s="2645">
        <v>3</v>
      </c>
      <c r="F307" s="2646"/>
      <c r="G307" s="2641">
        <v>47000</v>
      </c>
      <c r="H307" s="2642">
        <v>38202.400000000001</v>
      </c>
      <c r="I307" s="2643">
        <v>141000</v>
      </c>
      <c r="J307" s="2644"/>
      <c r="K307" s="124"/>
      <c r="L307" s="139" t="s">
        <v>724</v>
      </c>
      <c r="M307" s="140" t="s">
        <v>735</v>
      </c>
      <c r="N307" s="139"/>
      <c r="O307" s="2643">
        <v>20</v>
      </c>
      <c r="P307" s="2643"/>
      <c r="Q307" s="2643">
        <v>3245.616</v>
      </c>
      <c r="R307" s="2643">
        <v>2640.46</v>
      </c>
      <c r="S307" s="2643">
        <v>64912.32</v>
      </c>
      <c r="T307" s="2643"/>
    </row>
    <row r="308" spans="1:22" ht="16.5" customHeight="1" x14ac:dyDescent="0.3">
      <c r="A308" s="137" t="s">
        <v>517</v>
      </c>
      <c r="B308" s="138"/>
      <c r="C308" s="120"/>
      <c r="D308" s="120"/>
      <c r="E308" s="2645"/>
      <c r="F308" s="2646"/>
      <c r="G308" s="2643"/>
      <c r="H308" s="2644"/>
      <c r="I308" s="2643">
        <v>0</v>
      </c>
      <c r="J308" s="2644"/>
      <c r="K308" s="124"/>
      <c r="L308" s="139" t="s">
        <v>510</v>
      </c>
      <c r="M308" s="139"/>
      <c r="N308" s="139"/>
      <c r="O308" s="2643"/>
      <c r="P308" s="2643"/>
      <c r="Q308" s="2643"/>
      <c r="R308" s="2643"/>
      <c r="S308" s="2643"/>
      <c r="T308" s="2643"/>
    </row>
    <row r="309" spans="1:22" ht="16.5" customHeight="1" x14ac:dyDescent="0.3">
      <c r="A309" s="137" t="s">
        <v>519</v>
      </c>
      <c r="B309" s="141"/>
      <c r="C309" s="120"/>
      <c r="D309" s="140"/>
      <c r="E309" s="2655"/>
      <c r="F309" s="2655"/>
      <c r="G309" s="2643"/>
      <c r="H309" s="2644"/>
      <c r="I309" s="2643">
        <v>0</v>
      </c>
      <c r="J309" s="2644"/>
      <c r="K309" s="124"/>
      <c r="L309" s="139"/>
      <c r="M309" s="139"/>
      <c r="N309" s="139"/>
      <c r="O309" s="2643"/>
      <c r="P309" s="2643"/>
      <c r="Q309" s="2643"/>
      <c r="R309" s="2643"/>
      <c r="S309" s="2643"/>
      <c r="T309" s="2643"/>
    </row>
    <row r="310" spans="1:22" ht="16.5" customHeight="1" x14ac:dyDescent="0.3">
      <c r="A310" s="137" t="s">
        <v>475</v>
      </c>
      <c r="B310" s="138"/>
      <c r="C310" s="120"/>
      <c r="D310" s="120"/>
      <c r="E310" s="2643"/>
      <c r="F310" s="2643"/>
      <c r="G310" s="2643"/>
      <c r="H310" s="2644"/>
      <c r="I310" s="2643">
        <v>0</v>
      </c>
      <c r="J310" s="2644"/>
      <c r="K310" s="124"/>
      <c r="L310" s="139"/>
      <c r="M310" s="139"/>
      <c r="N310" s="139"/>
      <c r="O310" s="2643"/>
      <c r="P310" s="2643"/>
      <c r="Q310" s="2643"/>
      <c r="R310" s="2643"/>
      <c r="S310" s="2643"/>
      <c r="T310" s="2643"/>
    </row>
    <row r="311" spans="1:22" ht="16.5" customHeight="1" x14ac:dyDescent="0.4">
      <c r="A311" s="2578" t="s">
        <v>520</v>
      </c>
      <c r="B311" s="2579"/>
      <c r="C311" s="120" t="s">
        <v>496</v>
      </c>
      <c r="D311" s="120" t="s">
        <v>496</v>
      </c>
      <c r="E311" s="2645">
        <v>3</v>
      </c>
      <c r="F311" s="2646"/>
      <c r="G311" s="2641">
        <v>47000</v>
      </c>
      <c r="H311" s="2642">
        <v>38202.400000000001</v>
      </c>
      <c r="I311" s="2643">
        <v>141000</v>
      </c>
      <c r="J311" s="2644"/>
      <c r="K311" s="124"/>
      <c r="L311" s="142" t="s">
        <v>521</v>
      </c>
      <c r="M311" s="143"/>
      <c r="N311" s="143"/>
      <c r="O311" s="2591"/>
      <c r="P311" s="2592"/>
      <c r="Q311" s="2591"/>
      <c r="R311" s="2592"/>
      <c r="S311" s="2593">
        <v>7475976.9664000012</v>
      </c>
      <c r="T311" s="2594"/>
    </row>
    <row r="312" spans="1:22" ht="16.5" customHeight="1" x14ac:dyDescent="0.3">
      <c r="A312" s="137" t="s">
        <v>522</v>
      </c>
      <c r="B312" s="138"/>
      <c r="C312" s="120"/>
      <c r="D312" s="120"/>
      <c r="E312" s="2645"/>
      <c r="F312" s="2646"/>
      <c r="G312" s="2643"/>
      <c r="H312" s="2644"/>
      <c r="I312" s="2643">
        <v>0</v>
      </c>
      <c r="J312" s="2644"/>
      <c r="K312" s="124"/>
      <c r="L312" s="144" t="s">
        <v>577</v>
      </c>
      <c r="M312" s="145"/>
      <c r="N312" s="145"/>
      <c r="O312" s="146"/>
      <c r="P312" s="146"/>
      <c r="Q312" s="146"/>
      <c r="R312" s="146"/>
      <c r="S312" s="146"/>
      <c r="T312" s="147"/>
    </row>
    <row r="313" spans="1:22" ht="16.5" customHeight="1" x14ac:dyDescent="0.4">
      <c r="A313" s="2578" t="s">
        <v>524</v>
      </c>
      <c r="B313" s="2579"/>
      <c r="C313" s="120" t="s">
        <v>496</v>
      </c>
      <c r="D313" s="120" t="s">
        <v>496</v>
      </c>
      <c r="E313" s="2645">
        <v>2</v>
      </c>
      <c r="F313" s="2646"/>
      <c r="G313" s="2641">
        <v>47000</v>
      </c>
      <c r="H313" s="2642">
        <v>38202.400000000001</v>
      </c>
      <c r="I313" s="2643">
        <v>94000</v>
      </c>
      <c r="J313" s="2644"/>
      <c r="K313" s="124"/>
      <c r="L313" s="148" t="s">
        <v>525</v>
      </c>
      <c r="M313" s="149">
        <v>0.05</v>
      </c>
      <c r="N313" s="45"/>
      <c r="O313" s="26"/>
      <c r="P313" s="26"/>
      <c r="Q313" s="26"/>
      <c r="R313" s="26"/>
      <c r="S313" s="2575">
        <v>544887.07393850805</v>
      </c>
      <c r="T313" s="2560"/>
    </row>
    <row r="314" spans="1:22" ht="16.5" customHeight="1" x14ac:dyDescent="0.3">
      <c r="A314" s="137" t="s">
        <v>526</v>
      </c>
      <c r="B314" s="138"/>
      <c r="C314" s="120"/>
      <c r="D314" s="120"/>
      <c r="E314" s="2645"/>
      <c r="F314" s="2646"/>
      <c r="G314" s="2643"/>
      <c r="H314" s="2644"/>
      <c r="I314" s="2643">
        <v>0</v>
      </c>
      <c r="J314" s="2644"/>
      <c r="K314" s="124"/>
      <c r="L314" s="151" t="s">
        <v>527</v>
      </c>
      <c r="M314" s="45"/>
      <c r="N314" s="45"/>
      <c r="O314" s="26"/>
      <c r="P314" s="26"/>
      <c r="Q314" s="26"/>
      <c r="R314" s="26"/>
      <c r="S314" s="26"/>
      <c r="T314" s="150"/>
    </row>
    <row r="315" spans="1:22" ht="16.5" customHeight="1" x14ac:dyDescent="0.4">
      <c r="A315" s="133" t="s">
        <v>578</v>
      </c>
      <c r="B315" s="136"/>
      <c r="C315" s="140" t="s">
        <v>496</v>
      </c>
      <c r="D315" s="140" t="s">
        <v>496</v>
      </c>
      <c r="E315" s="2655">
        <v>2</v>
      </c>
      <c r="F315" s="2655"/>
      <c r="G315" s="2641">
        <v>47000</v>
      </c>
      <c r="H315" s="2642">
        <v>38202.400000000001</v>
      </c>
      <c r="I315" s="2643">
        <v>94000</v>
      </c>
      <c r="J315" s="2644"/>
      <c r="K315" s="124"/>
      <c r="L315" s="152" t="s">
        <v>529</v>
      </c>
      <c r="M315" s="45"/>
      <c r="N315" s="45"/>
      <c r="O315" s="26"/>
      <c r="P315" s="26"/>
      <c r="Q315" s="26"/>
      <c r="R315" s="26"/>
      <c r="S315" s="2575">
        <v>546400</v>
      </c>
      <c r="T315" s="2560"/>
    </row>
    <row r="316" spans="1:22" ht="16.5" customHeight="1" x14ac:dyDescent="0.4">
      <c r="A316" s="153" t="s">
        <v>579</v>
      </c>
      <c r="B316" s="154"/>
      <c r="C316" s="120" t="s">
        <v>496</v>
      </c>
      <c r="D316" s="120" t="s">
        <v>496</v>
      </c>
      <c r="E316" s="2643">
        <v>2</v>
      </c>
      <c r="F316" s="2643"/>
      <c r="G316" s="2641">
        <v>47000</v>
      </c>
      <c r="H316" s="2642">
        <v>38202.400000000001</v>
      </c>
      <c r="I316" s="2643">
        <v>94000</v>
      </c>
      <c r="J316" s="2644"/>
      <c r="K316" s="124"/>
      <c r="L316" s="152" t="s">
        <v>726</v>
      </c>
      <c r="M316" s="45"/>
      <c r="N316" s="45"/>
      <c r="O316" s="26"/>
      <c r="P316" s="26"/>
      <c r="Q316" s="26"/>
      <c r="R316" s="26"/>
      <c r="S316" s="26"/>
      <c r="T316" s="150"/>
    </row>
    <row r="317" spans="1:22" ht="16.5" customHeight="1" x14ac:dyDescent="0.3">
      <c r="A317" s="137" t="s">
        <v>532</v>
      </c>
      <c r="B317" s="138"/>
      <c r="C317" s="120"/>
      <c r="D317" s="120"/>
      <c r="E317" s="2645"/>
      <c r="F317" s="2646"/>
      <c r="G317" s="2643"/>
      <c r="H317" s="2644"/>
      <c r="I317" s="2643">
        <v>0</v>
      </c>
      <c r="J317" s="2644"/>
      <c r="K317" s="124"/>
      <c r="L317" s="166" t="s">
        <v>504</v>
      </c>
      <c r="M317" s="155"/>
      <c r="N317" s="155"/>
      <c r="O317" s="167"/>
      <c r="P317" s="167"/>
      <c r="Q317" s="167"/>
      <c r="R317" s="167"/>
      <c r="S317" s="2557">
        <v>65568</v>
      </c>
      <c r="T317" s="2558"/>
    </row>
    <row r="318" spans="1:22" ht="16.5" customHeight="1" x14ac:dyDescent="0.3">
      <c r="A318" s="2578" t="s">
        <v>727</v>
      </c>
      <c r="B318" s="2579"/>
      <c r="C318" s="120"/>
      <c r="D318" s="120"/>
      <c r="E318" s="2645"/>
      <c r="F318" s="2646"/>
      <c r="G318" s="2643"/>
      <c r="H318" s="2644"/>
      <c r="I318" s="2643">
        <v>0</v>
      </c>
      <c r="J318" s="2644"/>
      <c r="K318" s="124"/>
      <c r="L318" s="156" t="s">
        <v>533</v>
      </c>
      <c r="M318" s="157"/>
      <c r="N318" s="157"/>
      <c r="O318" s="158"/>
      <c r="P318" s="158"/>
      <c r="Q318" s="158"/>
      <c r="R318" s="158"/>
      <c r="S318" s="2587">
        <v>1156855.0739385081</v>
      </c>
      <c r="T318" s="2588"/>
    </row>
    <row r="319" spans="1:22" ht="16.5" customHeight="1" x14ac:dyDescent="0.3">
      <c r="A319" s="2578" t="s">
        <v>534</v>
      </c>
      <c r="B319" s="2579"/>
      <c r="C319" s="120"/>
      <c r="D319" s="120"/>
      <c r="E319" s="2643"/>
      <c r="F319" s="2643"/>
      <c r="G319" s="2643"/>
      <c r="H319" s="2644"/>
      <c r="I319" s="2643">
        <v>0</v>
      </c>
      <c r="J319" s="2644"/>
      <c r="K319" s="124"/>
      <c r="L319" s="159"/>
      <c r="M319" s="45"/>
      <c r="N319" s="45"/>
      <c r="O319" s="26"/>
      <c r="P319" s="26"/>
      <c r="Q319" s="26"/>
      <c r="R319" s="26"/>
      <c r="S319" s="26"/>
      <c r="T319" s="150"/>
    </row>
    <row r="320" spans="1:22" ht="16.5" customHeight="1" thickBot="1" x14ac:dyDescent="0.45">
      <c r="A320" s="2578" t="s">
        <v>535</v>
      </c>
      <c r="B320" s="2579"/>
      <c r="C320" s="120" t="s">
        <v>496</v>
      </c>
      <c r="D320" s="120" t="s">
        <v>496</v>
      </c>
      <c r="E320" s="2645">
        <v>2</v>
      </c>
      <c r="F320" s="2646"/>
      <c r="G320" s="2641">
        <v>47000</v>
      </c>
      <c r="H320" s="2642">
        <v>38202.400000000001</v>
      </c>
      <c r="I320" s="2643">
        <v>94000</v>
      </c>
      <c r="J320" s="2644"/>
      <c r="K320" s="124"/>
      <c r="L320" s="160" t="s">
        <v>583</v>
      </c>
      <c r="M320" s="161"/>
      <c r="N320" s="161"/>
      <c r="O320" s="161"/>
      <c r="P320" s="161"/>
      <c r="Q320" s="161"/>
      <c r="R320" s="161"/>
      <c r="S320" s="2580">
        <v>12054596.552708669</v>
      </c>
      <c r="T320" s="2581"/>
      <c r="V320" s="1047">
        <f>'TOTAL TRANSITORIOS'!W17</f>
        <v>12054596.552708667</v>
      </c>
    </row>
    <row r="321" spans="1:21" ht="16.5" customHeight="1" thickBot="1" x14ac:dyDescent="0.45">
      <c r="A321" s="133" t="s">
        <v>537</v>
      </c>
      <c r="B321" s="136"/>
      <c r="C321" s="140" t="s">
        <v>496</v>
      </c>
      <c r="D321" s="140" t="s">
        <v>496</v>
      </c>
      <c r="E321" s="2643">
        <v>1</v>
      </c>
      <c r="F321" s="2644"/>
      <c r="G321" s="2641">
        <v>47000</v>
      </c>
      <c r="H321" s="2642">
        <v>38202.400000000001</v>
      </c>
      <c r="I321" s="2643">
        <v>47000</v>
      </c>
      <c r="J321" s="2644"/>
      <c r="K321" s="124"/>
      <c r="L321" s="45"/>
      <c r="M321" s="45"/>
      <c r="N321" s="45"/>
      <c r="O321" s="45"/>
      <c r="P321" s="45"/>
      <c r="Q321" s="45"/>
      <c r="R321" s="45"/>
      <c r="S321" s="45"/>
      <c r="T321" s="45"/>
    </row>
    <row r="322" spans="1:21" ht="16.5" customHeight="1" x14ac:dyDescent="0.3">
      <c r="A322" s="133" t="s">
        <v>540</v>
      </c>
      <c r="B322" s="136"/>
      <c r="C322" s="140"/>
      <c r="D322" s="140"/>
      <c r="E322" s="2643"/>
      <c r="F322" s="2644"/>
      <c r="G322" s="2643"/>
      <c r="H322" s="2644"/>
      <c r="I322" s="2643">
        <v>0</v>
      </c>
      <c r="J322" s="2644"/>
      <c r="K322" s="124"/>
      <c r="L322" s="45"/>
      <c r="M322" s="2582" t="s">
        <v>539</v>
      </c>
      <c r="N322" s="2583"/>
      <c r="O322" s="2583"/>
      <c r="P322" s="2583"/>
      <c r="Q322" s="2584"/>
      <c r="R322" s="45"/>
      <c r="S322" s="45"/>
      <c r="T322" s="45"/>
    </row>
    <row r="323" spans="1:21" ht="16.5" customHeight="1" x14ac:dyDescent="0.3">
      <c r="A323" s="133" t="s">
        <v>543</v>
      </c>
      <c r="B323" s="136"/>
      <c r="C323" s="140"/>
      <c r="D323" s="140"/>
      <c r="E323" s="2643"/>
      <c r="F323" s="2644"/>
      <c r="G323" s="2643"/>
      <c r="H323" s="2644"/>
      <c r="I323" s="2643">
        <v>0</v>
      </c>
      <c r="J323" s="2644"/>
      <c r="K323" s="124"/>
      <c r="L323" s="45"/>
      <c r="M323" s="101" t="s">
        <v>541</v>
      </c>
      <c r="N323" s="102"/>
      <c r="O323" s="102"/>
      <c r="P323" s="102"/>
      <c r="Q323" s="103">
        <v>1.4380733593690176</v>
      </c>
      <c r="R323" s="45"/>
      <c r="S323" s="45"/>
      <c r="T323" s="45"/>
      <c r="U323" s="37" t="s">
        <v>542</v>
      </c>
    </row>
    <row r="324" spans="1:21" ht="16.5" customHeight="1" x14ac:dyDescent="0.35">
      <c r="A324" s="135" t="s">
        <v>545</v>
      </c>
      <c r="B324" s="136"/>
      <c r="C324" s="140"/>
      <c r="D324" s="140"/>
      <c r="E324" s="2643"/>
      <c r="F324" s="2644"/>
      <c r="G324" s="2643"/>
      <c r="H324" s="2644"/>
      <c r="I324" s="2715">
        <v>1259764.5123701601</v>
      </c>
      <c r="J324" s="2716"/>
      <c r="K324" s="121"/>
      <c r="L324" s="45"/>
      <c r="M324" s="104" t="s">
        <v>544</v>
      </c>
      <c r="N324" s="102"/>
      <c r="O324" s="102"/>
      <c r="P324" s="105"/>
      <c r="Q324" s="106">
        <v>12054596.552708669</v>
      </c>
      <c r="R324" s="45"/>
      <c r="S324" s="45"/>
      <c r="T324" s="45"/>
      <c r="U324" s="37"/>
    </row>
    <row r="325" spans="1:21" ht="16.5" customHeight="1" x14ac:dyDescent="0.4">
      <c r="A325" s="133" t="s">
        <v>547</v>
      </c>
      <c r="B325" s="136"/>
      <c r="C325" s="140" t="s">
        <v>496</v>
      </c>
      <c r="D325" s="140" t="s">
        <v>496</v>
      </c>
      <c r="E325" s="2643">
        <v>13</v>
      </c>
      <c r="F325" s="2644"/>
      <c r="G325" s="2641">
        <v>47000</v>
      </c>
      <c r="H325" s="2642">
        <v>38202.400000000001</v>
      </c>
      <c r="I325" s="2643">
        <v>611000</v>
      </c>
      <c r="J325" s="2644"/>
      <c r="K325" s="124"/>
      <c r="L325" s="45"/>
      <c r="M325" s="101" t="s">
        <v>546</v>
      </c>
      <c r="N325" s="102"/>
      <c r="O325" s="102"/>
      <c r="P325" s="102"/>
      <c r="Q325" s="106">
        <v>8328229.0000000009</v>
      </c>
      <c r="R325" s="47"/>
      <c r="S325" s="45"/>
      <c r="T325" s="45"/>
      <c r="U325" s="37" t="s">
        <v>542</v>
      </c>
    </row>
    <row r="326" spans="1:21" ht="16.5" customHeight="1" x14ac:dyDescent="0.4">
      <c r="A326" s="133" t="s">
        <v>1238</v>
      </c>
      <c r="B326" s="136"/>
      <c r="C326" s="140" t="s">
        <v>496</v>
      </c>
      <c r="D326" s="140" t="s">
        <v>496</v>
      </c>
      <c r="E326" s="2643">
        <v>4</v>
      </c>
      <c r="F326" s="2644"/>
      <c r="G326" s="2641">
        <v>47000</v>
      </c>
      <c r="H326" s="2642">
        <v>38202.400000000001</v>
      </c>
      <c r="I326" s="2643">
        <v>188000</v>
      </c>
      <c r="J326" s="2644"/>
      <c r="K326" s="124"/>
      <c r="L326" s="45"/>
      <c r="M326" s="101" t="s">
        <v>758</v>
      </c>
      <c r="N326" s="102"/>
      <c r="O326" s="102"/>
      <c r="P326" s="102"/>
      <c r="Q326" s="106">
        <v>11976604.255624475</v>
      </c>
      <c r="R326" s="44"/>
      <c r="S326" s="45"/>
      <c r="T326" s="45"/>
    </row>
    <row r="327" spans="1:21" ht="16.5" customHeight="1" thickBot="1" x14ac:dyDescent="0.35">
      <c r="A327" s="133"/>
      <c r="B327" s="136"/>
      <c r="C327" s="140"/>
      <c r="D327" s="140"/>
      <c r="E327" s="2643"/>
      <c r="F327" s="2644"/>
      <c r="G327" s="2643"/>
      <c r="H327" s="2644"/>
      <c r="I327" s="2643">
        <v>0</v>
      </c>
      <c r="J327" s="2644"/>
      <c r="K327" s="124"/>
      <c r="L327" s="45"/>
      <c r="M327" s="108" t="s">
        <v>549</v>
      </c>
      <c r="N327" s="109"/>
      <c r="O327" s="109"/>
      <c r="P327" s="109"/>
      <c r="Q327" s="110">
        <v>-77992.297084193677</v>
      </c>
      <c r="R327" s="45"/>
      <c r="S327" s="45"/>
      <c r="T327" s="45"/>
    </row>
    <row r="328" spans="1:21" ht="16.5" customHeight="1" thickBot="1" x14ac:dyDescent="0.45">
      <c r="A328" s="133" t="s">
        <v>1239</v>
      </c>
      <c r="B328" s="136"/>
      <c r="C328" s="140" t="s">
        <v>496</v>
      </c>
      <c r="D328" s="140" t="s">
        <v>496</v>
      </c>
      <c r="E328" s="2643">
        <v>4</v>
      </c>
      <c r="F328" s="2644"/>
      <c r="G328" s="2641">
        <v>47000</v>
      </c>
      <c r="H328" s="2642">
        <v>38202.400000000001</v>
      </c>
      <c r="I328" s="2643">
        <v>188000</v>
      </c>
      <c r="J328" s="2644"/>
      <c r="K328" s="124"/>
      <c r="L328" s="45"/>
      <c r="M328" s="1048" t="s">
        <v>759</v>
      </c>
      <c r="N328" s="1049"/>
      <c r="O328" s="1049"/>
      <c r="P328" s="1049"/>
      <c r="Q328" s="1050">
        <v>-0.64699218047798379</v>
      </c>
      <c r="R328" s="45"/>
      <c r="S328" s="45"/>
      <c r="T328" s="45"/>
    </row>
    <row r="329" spans="1:21" ht="16.5" customHeight="1" x14ac:dyDescent="0.3">
      <c r="A329" s="133" t="s">
        <v>1529</v>
      </c>
      <c r="B329" s="136"/>
      <c r="C329" s="140" t="s">
        <v>730</v>
      </c>
      <c r="D329" s="140" t="s">
        <v>794</v>
      </c>
      <c r="E329" s="2643"/>
      <c r="F329" s="2644"/>
      <c r="G329" s="2643"/>
      <c r="H329" s="2644"/>
      <c r="I329" s="2643">
        <v>150000</v>
      </c>
      <c r="J329" s="2644"/>
      <c r="K329" s="124"/>
      <c r="L329" s="7" t="s">
        <v>1528</v>
      </c>
      <c r="M329" s="45"/>
      <c r="N329" s="45"/>
      <c r="O329" s="45"/>
      <c r="P329" s="45"/>
      <c r="Q329" s="45"/>
      <c r="R329" s="45"/>
      <c r="S329" s="45"/>
      <c r="T329" s="45"/>
    </row>
    <row r="330" spans="1:21" ht="16.5" customHeight="1" x14ac:dyDescent="0.3">
      <c r="A330" s="133" t="s">
        <v>615</v>
      </c>
      <c r="B330" s="136"/>
      <c r="C330" s="140" t="s">
        <v>730</v>
      </c>
      <c r="D330" s="140" t="s">
        <v>556</v>
      </c>
      <c r="E330" s="2647">
        <v>1.4380733593690176</v>
      </c>
      <c r="F330" s="2648"/>
      <c r="G330" s="2643">
        <v>85367.350399999996</v>
      </c>
      <c r="H330" s="2644">
        <v>69438.48</v>
      </c>
      <c r="I330" s="2643">
        <v>122764.51237016004</v>
      </c>
      <c r="J330" s="2644"/>
      <c r="K330" s="124"/>
      <c r="L330" s="597" t="s">
        <v>1583</v>
      </c>
      <c r="M330" s="8"/>
      <c r="N330" s="8"/>
      <c r="O330" s="8"/>
      <c r="P330" s="4"/>
      <c r="Q330" s="5"/>
      <c r="R330" s="1979"/>
      <c r="S330" s="44"/>
      <c r="T330" s="45"/>
    </row>
    <row r="331" spans="1:21" ht="16.5" customHeight="1" thickBot="1" x14ac:dyDescent="0.25">
      <c r="A331" s="162" t="s">
        <v>558</v>
      </c>
      <c r="B331" s="163"/>
      <c r="C331" s="164"/>
      <c r="D331" s="165"/>
      <c r="E331" s="2561">
        <v>67</v>
      </c>
      <c r="F331" s="2562"/>
      <c r="G331" s="2563"/>
      <c r="H331" s="2564"/>
      <c r="I331" s="2561">
        <v>3421764.5123701598</v>
      </c>
      <c r="J331" s="2562"/>
      <c r="K331" s="26"/>
      <c r="L331" t="s">
        <v>1604</v>
      </c>
      <c r="M331" s="45"/>
      <c r="N331" s="45"/>
      <c r="O331" s="45"/>
      <c r="P331" s="45"/>
      <c r="Q331" s="45"/>
      <c r="R331" s="44"/>
      <c r="S331" s="45"/>
      <c r="T331" s="45"/>
    </row>
    <row r="332" spans="1:21" ht="14.1" customHeight="1" x14ac:dyDescent="0.2">
      <c r="A332" s="40"/>
      <c r="B332" s="40"/>
      <c r="C332" s="41"/>
      <c r="D332" s="41"/>
      <c r="E332" s="41"/>
      <c r="F332" s="41"/>
      <c r="G332" s="42"/>
      <c r="H332" s="42"/>
      <c r="I332" s="44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</row>
    <row r="333" spans="1:21" ht="14.1" customHeight="1" x14ac:dyDescent="0.2">
      <c r="A333" s="40"/>
      <c r="B333" s="40"/>
      <c r="C333" s="41"/>
      <c r="D333" s="41"/>
      <c r="E333" s="41"/>
      <c r="F333" s="41"/>
      <c r="G333" s="42"/>
      <c r="H333" s="42"/>
      <c r="I333" s="44"/>
      <c r="J333" s="45"/>
      <c r="K333" s="45"/>
      <c r="L333" s="40"/>
      <c r="M333" s="40"/>
      <c r="N333" s="41"/>
      <c r="O333" s="41"/>
      <c r="P333" s="41"/>
      <c r="Q333" s="41"/>
      <c r="R333" s="45"/>
      <c r="S333" s="45"/>
      <c r="T333" s="45"/>
    </row>
    <row r="334" spans="1:21" ht="14.1" customHeight="1" x14ac:dyDescent="0.2">
      <c r="A334" s="2654"/>
      <c r="B334" s="2654"/>
      <c r="C334" s="2654"/>
      <c r="D334" s="2654"/>
      <c r="E334" s="2654"/>
      <c r="F334" s="2654"/>
      <c r="G334" s="2654"/>
      <c r="H334" s="2654"/>
      <c r="I334" s="2654"/>
      <c r="J334" s="2654"/>
      <c r="K334" s="2654"/>
      <c r="L334" s="2654"/>
      <c r="M334" s="2654"/>
      <c r="N334" s="2654"/>
      <c r="O334" s="2654"/>
      <c r="P334" s="2654"/>
      <c r="Q334" s="2654"/>
      <c r="R334" s="2654"/>
      <c r="S334" s="2654"/>
      <c r="T334" s="2654"/>
    </row>
    <row r="335" spans="1:21" ht="14.1" customHeight="1" x14ac:dyDescent="0.2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</row>
    <row r="336" spans="1:21" ht="14.1" customHeight="1" x14ac:dyDescent="0.2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</row>
    <row r="337" spans="1:20" ht="14.1" customHeight="1" x14ac:dyDescent="0.2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</row>
    <row r="338" spans="1:20" ht="14.1" customHeight="1" x14ac:dyDescent="0.2">
      <c r="A338" s="2654"/>
      <c r="B338" s="2654"/>
      <c r="C338" s="2654"/>
      <c r="D338" s="2654"/>
      <c r="E338" s="2654"/>
      <c r="F338" s="2654"/>
      <c r="G338" s="2654"/>
      <c r="H338" s="2654"/>
      <c r="I338" s="2654"/>
      <c r="J338" s="2654"/>
      <c r="K338" s="2654"/>
      <c r="L338" s="2654"/>
      <c r="M338" s="2654"/>
      <c r="N338" s="2654"/>
      <c r="O338" s="2654"/>
      <c r="P338" s="2654"/>
      <c r="Q338" s="2654"/>
      <c r="R338" s="2654"/>
      <c r="S338" s="2654"/>
      <c r="T338" s="2654"/>
    </row>
    <row r="339" spans="1:20" ht="14.1" customHeight="1" x14ac:dyDescent="0.2">
      <c r="A339" s="40"/>
      <c r="B339" s="40"/>
      <c r="C339" s="41"/>
      <c r="D339" s="41"/>
      <c r="E339" s="41"/>
      <c r="F339" s="41"/>
      <c r="G339" s="42"/>
      <c r="H339" s="42"/>
      <c r="I339" s="44"/>
      <c r="J339" s="45"/>
      <c r="K339" s="45"/>
      <c r="L339" s="40"/>
      <c r="M339" s="40"/>
      <c r="N339" s="41"/>
      <c r="O339" s="41"/>
      <c r="P339" s="41"/>
      <c r="Q339" s="41"/>
      <c r="R339" s="45"/>
      <c r="S339" s="45"/>
      <c r="T339" s="45"/>
    </row>
    <row r="340" spans="1:20" ht="24" customHeight="1" x14ac:dyDescent="0.2">
      <c r="A340" s="2654" t="s">
        <v>1909</v>
      </c>
      <c r="B340" s="2654"/>
      <c r="C340" s="2654"/>
      <c r="D340" s="2654"/>
      <c r="E340" s="2654"/>
      <c r="F340" s="2654"/>
      <c r="G340" s="2654"/>
      <c r="H340" s="2654"/>
      <c r="I340" s="2654"/>
      <c r="J340" s="2654"/>
      <c r="K340" s="2654"/>
      <c r="L340" s="2654"/>
      <c r="M340" s="2654"/>
      <c r="N340" s="2654"/>
      <c r="O340" s="2654"/>
      <c r="P340" s="2654"/>
      <c r="Q340" s="2654"/>
      <c r="R340" s="2654"/>
      <c r="S340" s="2654"/>
      <c r="T340" s="2654"/>
    </row>
    <row r="341" spans="1:20" ht="14.1" customHeight="1" x14ac:dyDescent="0.2">
      <c r="A341" s="40"/>
      <c r="B341" s="40"/>
      <c r="C341" s="115"/>
      <c r="D341" s="41"/>
      <c r="E341" s="41"/>
      <c r="F341" s="41"/>
      <c r="G341" s="42"/>
      <c r="H341" s="42"/>
      <c r="I341" s="44"/>
      <c r="J341" s="45"/>
      <c r="K341" s="45"/>
      <c r="L341" s="40"/>
      <c r="M341" s="40"/>
      <c r="N341" s="115"/>
      <c r="O341" s="45"/>
      <c r="P341" s="45"/>
      <c r="Q341" s="45"/>
      <c r="R341" s="45"/>
      <c r="S341" s="45"/>
      <c r="T341" s="45"/>
    </row>
    <row r="342" spans="1:20" ht="14.1" customHeight="1" thickBot="1" x14ac:dyDescent="0.25">
      <c r="A342" s="40"/>
      <c r="B342" s="40"/>
      <c r="C342" s="41"/>
      <c r="D342" s="41"/>
      <c r="E342" s="41"/>
      <c r="F342" s="41"/>
      <c r="G342" s="42"/>
      <c r="H342" s="42"/>
      <c r="I342" s="44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</row>
    <row r="343" spans="1:20" ht="16.5" customHeight="1" x14ac:dyDescent="0.3">
      <c r="A343" s="2612" t="s">
        <v>435</v>
      </c>
      <c r="B343" s="2613"/>
      <c r="C343" s="2618" t="s">
        <v>436</v>
      </c>
      <c r="D343" s="2619"/>
      <c r="E343" s="2619"/>
      <c r="F343" s="2620"/>
      <c r="G343" s="2624" t="s">
        <v>437</v>
      </c>
      <c r="H343" s="2625"/>
      <c r="I343" s="2618" t="s">
        <v>439</v>
      </c>
      <c r="J343" s="2620"/>
      <c r="K343" s="49"/>
      <c r="L343" s="2626" t="s">
        <v>435</v>
      </c>
      <c r="M343" s="2619" t="s">
        <v>436</v>
      </c>
      <c r="N343" s="2619"/>
      <c r="O343" s="2619"/>
      <c r="P343" s="2620"/>
      <c r="Q343" s="2624" t="s">
        <v>437</v>
      </c>
      <c r="R343" s="2625"/>
      <c r="S343" s="2618" t="s">
        <v>439</v>
      </c>
      <c r="T343" s="2649"/>
    </row>
    <row r="344" spans="1:20" ht="16.5" customHeight="1" thickBot="1" x14ac:dyDescent="0.35">
      <c r="A344" s="2614"/>
      <c r="B344" s="2615"/>
      <c r="C344" s="2621"/>
      <c r="D344" s="2622"/>
      <c r="E344" s="2622"/>
      <c r="F344" s="2623"/>
      <c r="G344" s="2629" t="s">
        <v>440</v>
      </c>
      <c r="H344" s="2630"/>
      <c r="I344" s="2631"/>
      <c r="J344" s="2632"/>
      <c r="K344" s="49"/>
      <c r="L344" s="2627"/>
      <c r="M344" s="2622"/>
      <c r="N344" s="2622"/>
      <c r="O344" s="2622"/>
      <c r="P344" s="2623"/>
      <c r="Q344" s="2629" t="s">
        <v>440</v>
      </c>
      <c r="R344" s="2630"/>
      <c r="S344" s="2631"/>
      <c r="T344" s="2650"/>
    </row>
    <row r="345" spans="1:20" ht="16.5" customHeight="1" x14ac:dyDescent="0.3">
      <c r="A345" s="2614"/>
      <c r="B345" s="2615"/>
      <c r="C345" s="53" t="s">
        <v>441</v>
      </c>
      <c r="D345" s="2670" t="s">
        <v>442</v>
      </c>
      <c r="E345" s="2631" t="s">
        <v>443</v>
      </c>
      <c r="F345" s="2632"/>
      <c r="G345" s="2629" t="s">
        <v>444</v>
      </c>
      <c r="H345" s="2630"/>
      <c r="I345" s="2631" t="s">
        <v>348</v>
      </c>
      <c r="J345" s="2632"/>
      <c r="K345" s="49"/>
      <c r="L345" s="2627"/>
      <c r="M345" s="51" t="s">
        <v>441</v>
      </c>
      <c r="N345" s="2670" t="s">
        <v>442</v>
      </c>
      <c r="O345" s="2631" t="s">
        <v>443</v>
      </c>
      <c r="P345" s="2632"/>
      <c r="Q345" s="2629" t="s">
        <v>444</v>
      </c>
      <c r="R345" s="2630"/>
      <c r="S345" s="2631" t="s">
        <v>348</v>
      </c>
      <c r="T345" s="2650"/>
    </row>
    <row r="346" spans="1:20" ht="16.5" customHeight="1" thickBot="1" x14ac:dyDescent="0.35">
      <c r="A346" s="2616"/>
      <c r="B346" s="2617"/>
      <c r="C346" s="54" t="s">
        <v>445</v>
      </c>
      <c r="D346" s="2634"/>
      <c r="E346" s="2621"/>
      <c r="F346" s="2623"/>
      <c r="G346" s="2561"/>
      <c r="H346" s="2562"/>
      <c r="I346" s="2635"/>
      <c r="J346" s="2636"/>
      <c r="K346" s="49"/>
      <c r="L346" s="2628"/>
      <c r="M346" s="50" t="s">
        <v>445</v>
      </c>
      <c r="N346" s="2634"/>
      <c r="O346" s="2621"/>
      <c r="P346" s="2623"/>
      <c r="Q346" s="2561"/>
      <c r="R346" s="2562"/>
      <c r="S346" s="2652"/>
      <c r="T346" s="2653"/>
    </row>
    <row r="347" spans="1:20" ht="16.5" customHeight="1" x14ac:dyDescent="0.3">
      <c r="A347" s="116" t="s">
        <v>446</v>
      </c>
      <c r="B347" s="117"/>
      <c r="C347" s="118"/>
      <c r="D347" s="118"/>
      <c r="E347" s="2712"/>
      <c r="F347" s="2713"/>
      <c r="G347" s="2651"/>
      <c r="H347" s="2714"/>
      <c r="I347" s="2607"/>
      <c r="J347" s="2608"/>
      <c r="K347" s="45"/>
      <c r="L347" s="119" t="s">
        <v>447</v>
      </c>
      <c r="M347" s="118"/>
      <c r="N347" s="118"/>
      <c r="O347" s="2651"/>
      <c r="P347" s="2651"/>
      <c r="Q347" s="2651"/>
      <c r="R347" s="2651"/>
      <c r="S347" s="2651"/>
      <c r="T347" s="2651"/>
    </row>
    <row r="348" spans="1:20" ht="16.5" customHeight="1" x14ac:dyDescent="0.35">
      <c r="A348" s="2595" t="s">
        <v>448</v>
      </c>
      <c r="B348" s="2596"/>
      <c r="C348" s="120"/>
      <c r="D348" s="120"/>
      <c r="E348" s="2645"/>
      <c r="F348" s="2646"/>
      <c r="G348" s="2643"/>
      <c r="H348" s="2644"/>
      <c r="I348" s="2715">
        <v>0</v>
      </c>
      <c r="J348" s="2716"/>
      <c r="K348" s="121"/>
      <c r="L348" s="122"/>
      <c r="M348" s="120"/>
      <c r="N348" s="120"/>
      <c r="O348" s="2643"/>
      <c r="P348" s="2643"/>
      <c r="Q348" s="2643"/>
      <c r="R348" s="2643"/>
      <c r="S348" s="2643"/>
      <c r="T348" s="2643"/>
    </row>
    <row r="349" spans="1:20" ht="16.5" customHeight="1" x14ac:dyDescent="0.3">
      <c r="A349" s="2589" t="s">
        <v>449</v>
      </c>
      <c r="B349" s="2590"/>
      <c r="C349" s="120"/>
      <c r="D349" s="120"/>
      <c r="E349" s="2645"/>
      <c r="F349" s="2646"/>
      <c r="G349" s="2643"/>
      <c r="H349" s="2644"/>
      <c r="I349" s="2643">
        <v>0</v>
      </c>
      <c r="J349" s="2644"/>
      <c r="K349" s="124"/>
      <c r="L349" s="122" t="s">
        <v>450</v>
      </c>
      <c r="M349" s="120" t="s">
        <v>731</v>
      </c>
      <c r="N349" s="120" t="s">
        <v>452</v>
      </c>
      <c r="O349" s="2643">
        <v>40</v>
      </c>
      <c r="P349" s="2643"/>
      <c r="Q349" s="2643">
        <v>12457.92</v>
      </c>
      <c r="R349" s="2643"/>
      <c r="S349" s="2643">
        <v>498316.79999999999</v>
      </c>
      <c r="T349" s="2643"/>
    </row>
    <row r="350" spans="1:20" ht="16.5" customHeight="1" x14ac:dyDescent="0.3">
      <c r="A350" s="2589" t="s">
        <v>453</v>
      </c>
      <c r="B350" s="2590"/>
      <c r="C350" s="120"/>
      <c r="D350" s="120"/>
      <c r="E350" s="2645"/>
      <c r="F350" s="2646"/>
      <c r="G350" s="2643"/>
      <c r="H350" s="2644"/>
      <c r="I350" s="2643">
        <v>0</v>
      </c>
      <c r="J350" s="2644"/>
      <c r="K350" s="124"/>
      <c r="L350" s="122" t="s">
        <v>454</v>
      </c>
      <c r="M350" s="120"/>
      <c r="N350" s="120"/>
      <c r="O350" s="2643"/>
      <c r="P350" s="2643"/>
      <c r="Q350" s="2643"/>
      <c r="R350" s="2643"/>
      <c r="S350" s="2643">
        <v>0</v>
      </c>
      <c r="T350" s="2643"/>
    </row>
    <row r="351" spans="1:20" ht="16.5" customHeight="1" x14ac:dyDescent="0.3">
      <c r="A351" s="2589" t="s">
        <v>455</v>
      </c>
      <c r="B351" s="2590"/>
      <c r="C351" s="120"/>
      <c r="D351" s="120"/>
      <c r="E351" s="2645"/>
      <c r="F351" s="2645"/>
      <c r="G351" s="2643"/>
      <c r="H351" s="2644"/>
      <c r="I351" s="2643">
        <v>0</v>
      </c>
      <c r="J351" s="2644"/>
      <c r="K351" s="124"/>
      <c r="L351" s="122" t="s">
        <v>456</v>
      </c>
      <c r="M351" s="120"/>
      <c r="N351" s="120"/>
      <c r="O351" s="2643"/>
      <c r="P351" s="2643"/>
      <c r="Q351" s="2643"/>
      <c r="R351" s="2643"/>
      <c r="S351" s="2643">
        <v>0</v>
      </c>
      <c r="T351" s="2643"/>
    </row>
    <row r="352" spans="1:20" ht="16.5" customHeight="1" x14ac:dyDescent="0.2">
      <c r="A352" s="2600" t="s">
        <v>560</v>
      </c>
      <c r="B352" s="2601"/>
      <c r="C352" s="120"/>
      <c r="D352" s="120"/>
      <c r="E352" s="2645"/>
      <c r="F352" s="2645"/>
      <c r="G352" s="2643"/>
      <c r="H352" s="2643"/>
      <c r="I352" s="2715">
        <v>376000</v>
      </c>
      <c r="J352" s="2715"/>
      <c r="K352" s="126"/>
      <c r="L352" s="122" t="s">
        <v>458</v>
      </c>
      <c r="M352" s="120"/>
      <c r="N352" s="120"/>
      <c r="O352" s="2643"/>
      <c r="P352" s="2643"/>
      <c r="Q352" s="2643"/>
      <c r="R352" s="2643"/>
      <c r="S352" s="2643">
        <v>0</v>
      </c>
      <c r="T352" s="2643"/>
    </row>
    <row r="353" spans="1:20" ht="16.5" customHeight="1" x14ac:dyDescent="0.4">
      <c r="A353" s="127" t="s">
        <v>461</v>
      </c>
      <c r="B353" s="128"/>
      <c r="C353" s="120" t="s">
        <v>496</v>
      </c>
      <c r="D353" s="120" t="s">
        <v>497</v>
      </c>
      <c r="E353" s="2645">
        <v>3</v>
      </c>
      <c r="F353" s="2645"/>
      <c r="G353" s="2641">
        <v>47000</v>
      </c>
      <c r="H353" s="2642">
        <v>38202.400000000001</v>
      </c>
      <c r="I353" s="2643">
        <v>141000</v>
      </c>
      <c r="J353" s="2644"/>
      <c r="K353" s="124"/>
      <c r="L353" s="122" t="s">
        <v>589</v>
      </c>
      <c r="M353" s="120"/>
      <c r="N353" s="120"/>
      <c r="O353" s="2643"/>
      <c r="P353" s="2643"/>
      <c r="Q353" s="2643"/>
      <c r="R353" s="2643"/>
      <c r="S353" s="2643">
        <v>0</v>
      </c>
      <c r="T353" s="2643"/>
    </row>
    <row r="354" spans="1:20" ht="16.5" customHeight="1" x14ac:dyDescent="0.4">
      <c r="A354" s="129" t="s">
        <v>711</v>
      </c>
      <c r="B354" s="130"/>
      <c r="C354" s="120" t="s">
        <v>496</v>
      </c>
      <c r="D354" s="120" t="s">
        <v>497</v>
      </c>
      <c r="E354" s="2645">
        <v>5</v>
      </c>
      <c r="F354" s="2645"/>
      <c r="G354" s="2641">
        <v>47000</v>
      </c>
      <c r="H354" s="2642">
        <v>38202.400000000001</v>
      </c>
      <c r="I354" s="2643">
        <v>235000</v>
      </c>
      <c r="J354" s="2644"/>
      <c r="K354" s="124"/>
      <c r="L354" s="122" t="s">
        <v>471</v>
      </c>
      <c r="M354" s="120"/>
      <c r="N354" s="120"/>
      <c r="O354" s="2643"/>
      <c r="P354" s="2643"/>
      <c r="Q354" s="2643"/>
      <c r="R354" s="2643"/>
      <c r="S354" s="2643">
        <v>0</v>
      </c>
      <c r="T354" s="2643"/>
    </row>
    <row r="355" spans="1:20" ht="16.5" customHeight="1" x14ac:dyDescent="0.3">
      <c r="A355" s="127" t="s">
        <v>465</v>
      </c>
      <c r="B355" s="128"/>
      <c r="C355" s="120"/>
      <c r="D355" s="120"/>
      <c r="E355" s="2645"/>
      <c r="F355" s="2645"/>
      <c r="G355" s="2643"/>
      <c r="H355" s="2644"/>
      <c r="I355" s="2643">
        <v>0</v>
      </c>
      <c r="J355" s="2644"/>
      <c r="K355" s="124"/>
      <c r="L355" s="122" t="s">
        <v>504</v>
      </c>
      <c r="M355" s="120"/>
      <c r="N355" s="120"/>
      <c r="O355" s="2643"/>
      <c r="P355" s="2643"/>
      <c r="Q355" s="2643"/>
      <c r="R355" s="2643"/>
      <c r="S355" s="2643">
        <v>0</v>
      </c>
      <c r="T355" s="2643"/>
    </row>
    <row r="356" spans="1:20" ht="16.5" customHeight="1" x14ac:dyDescent="0.3">
      <c r="A356" s="127" t="s">
        <v>469</v>
      </c>
      <c r="B356" s="128"/>
      <c r="C356" s="120"/>
      <c r="D356" s="120"/>
      <c r="E356" s="2645"/>
      <c r="F356" s="2645"/>
      <c r="G356" s="2643"/>
      <c r="H356" s="2644"/>
      <c r="I356" s="2643">
        <v>0</v>
      </c>
      <c r="J356" s="2644"/>
      <c r="K356" s="124"/>
      <c r="L356" s="122" t="s">
        <v>712</v>
      </c>
      <c r="M356" s="120"/>
      <c r="N356" s="120"/>
      <c r="O356" s="2643"/>
      <c r="P356" s="2643"/>
      <c r="Q356" s="2643"/>
      <c r="R356" s="2643"/>
      <c r="S356" s="2643">
        <v>0</v>
      </c>
      <c r="T356" s="2643"/>
    </row>
    <row r="357" spans="1:20" ht="16.5" customHeight="1" x14ac:dyDescent="0.3">
      <c r="A357" s="131" t="s">
        <v>470</v>
      </c>
      <c r="B357" s="132"/>
      <c r="C357" s="120"/>
      <c r="D357" s="120"/>
      <c r="E357" s="2645"/>
      <c r="F357" s="2645"/>
      <c r="G357" s="2643"/>
      <c r="H357" s="2644"/>
      <c r="I357" s="2643">
        <v>0</v>
      </c>
      <c r="J357" s="2644"/>
      <c r="K357" s="124"/>
      <c r="L357" s="122"/>
      <c r="M357" s="120"/>
      <c r="N357" s="120"/>
      <c r="O357" s="2643"/>
      <c r="P357" s="2643"/>
      <c r="Q357" s="2643"/>
      <c r="R357" s="2643"/>
      <c r="S357" s="2643"/>
      <c r="T357" s="2643"/>
    </row>
    <row r="358" spans="1:20" ht="16.5" customHeight="1" x14ac:dyDescent="0.3">
      <c r="A358" s="127" t="s">
        <v>474</v>
      </c>
      <c r="B358" s="128"/>
      <c r="C358" s="120"/>
      <c r="D358" s="120"/>
      <c r="E358" s="2645"/>
      <c r="F358" s="2645"/>
      <c r="G358" s="2643"/>
      <c r="H358" s="2644"/>
      <c r="I358" s="2643">
        <v>0</v>
      </c>
      <c r="J358" s="2644"/>
      <c r="K358" s="124"/>
      <c r="L358" s="122" t="s">
        <v>475</v>
      </c>
      <c r="M358" s="120"/>
      <c r="N358" s="120"/>
      <c r="O358" s="2643"/>
      <c r="P358" s="2643"/>
      <c r="Q358" s="2643"/>
      <c r="R358" s="2643"/>
      <c r="S358" s="2643">
        <v>0</v>
      </c>
      <c r="T358" s="2643"/>
    </row>
    <row r="359" spans="1:20" ht="16.5" customHeight="1" x14ac:dyDescent="0.3">
      <c r="A359" s="127" t="s">
        <v>476</v>
      </c>
      <c r="B359" s="128"/>
      <c r="C359" s="120"/>
      <c r="D359" s="120"/>
      <c r="E359" s="2645"/>
      <c r="F359" s="2645"/>
      <c r="G359" s="2643"/>
      <c r="H359" s="2644"/>
      <c r="I359" s="2643">
        <v>0</v>
      </c>
      <c r="J359" s="2644"/>
      <c r="K359" s="124"/>
      <c r="L359" s="122" t="s">
        <v>477</v>
      </c>
      <c r="M359" s="120"/>
      <c r="N359" s="120"/>
      <c r="O359" s="2643"/>
      <c r="P359" s="2643"/>
      <c r="Q359" s="2643"/>
      <c r="R359" s="2643"/>
      <c r="S359" s="2643">
        <v>0</v>
      </c>
      <c r="T359" s="2643"/>
    </row>
    <row r="360" spans="1:20" ht="16.5" customHeight="1" x14ac:dyDescent="0.3">
      <c r="A360" s="2597" t="s">
        <v>480</v>
      </c>
      <c r="B360" s="2598"/>
      <c r="C360" s="120"/>
      <c r="D360" s="120"/>
      <c r="E360" s="2645"/>
      <c r="F360" s="2646"/>
      <c r="G360" s="2643"/>
      <c r="H360" s="2644"/>
      <c r="I360" s="2643">
        <v>0</v>
      </c>
      <c r="J360" s="2644"/>
      <c r="K360" s="124"/>
      <c r="L360" s="122" t="s">
        <v>481</v>
      </c>
      <c r="M360" s="120"/>
      <c r="N360" s="120"/>
      <c r="O360" s="2643"/>
      <c r="P360" s="2643"/>
      <c r="Q360" s="2643"/>
      <c r="R360" s="2643"/>
      <c r="S360" s="2643">
        <v>0</v>
      </c>
      <c r="T360" s="2643"/>
    </row>
    <row r="361" spans="1:20" ht="16.5" customHeight="1" x14ac:dyDescent="0.3">
      <c r="A361" s="127" t="s">
        <v>454</v>
      </c>
      <c r="B361" s="128"/>
      <c r="C361" s="120"/>
      <c r="D361" s="120"/>
      <c r="E361" s="2645"/>
      <c r="F361" s="2646"/>
      <c r="G361" s="2643"/>
      <c r="H361" s="2644"/>
      <c r="I361" s="2643">
        <v>0</v>
      </c>
      <c r="J361" s="2644"/>
      <c r="K361" s="124"/>
      <c r="L361" s="122" t="s">
        <v>483</v>
      </c>
      <c r="M361" s="120"/>
      <c r="N361" s="120"/>
      <c r="O361" s="2643"/>
      <c r="P361" s="2643"/>
      <c r="Q361" s="2643"/>
      <c r="R361" s="2643"/>
      <c r="S361" s="2643">
        <v>0</v>
      </c>
      <c r="T361" s="2643"/>
    </row>
    <row r="362" spans="1:20" ht="16.5" customHeight="1" x14ac:dyDescent="0.3">
      <c r="A362" s="127" t="s">
        <v>715</v>
      </c>
      <c r="B362" s="128"/>
      <c r="C362" s="120"/>
      <c r="D362" s="120"/>
      <c r="E362" s="2645"/>
      <c r="F362" s="2646"/>
      <c r="G362" s="2643"/>
      <c r="H362" s="2644"/>
      <c r="I362" s="2643">
        <v>0</v>
      </c>
      <c r="J362" s="2644"/>
      <c r="K362" s="124"/>
      <c r="L362" s="122" t="s">
        <v>486</v>
      </c>
      <c r="M362" s="120"/>
      <c r="N362" s="120"/>
      <c r="O362" s="2643"/>
      <c r="P362" s="2643"/>
      <c r="Q362" s="2643"/>
      <c r="R362" s="2643"/>
      <c r="S362" s="2643">
        <v>0</v>
      </c>
      <c r="T362" s="2643"/>
    </row>
    <row r="363" spans="1:20" ht="16.5" customHeight="1" x14ac:dyDescent="0.3">
      <c r="A363" s="133" t="s">
        <v>488</v>
      </c>
      <c r="B363" s="134"/>
      <c r="C363" s="120"/>
      <c r="D363" s="120"/>
      <c r="E363" s="2645"/>
      <c r="F363" s="2646"/>
      <c r="G363" s="2643"/>
      <c r="H363" s="2644"/>
      <c r="I363" s="2643">
        <v>0</v>
      </c>
      <c r="J363" s="2644"/>
      <c r="K363" s="124"/>
      <c r="L363" s="122" t="s">
        <v>489</v>
      </c>
      <c r="M363" s="120" t="s">
        <v>592</v>
      </c>
      <c r="N363" s="120" t="s">
        <v>732</v>
      </c>
      <c r="O363" s="2643">
        <v>1</v>
      </c>
      <c r="P363" s="2643"/>
      <c r="Q363" s="2643">
        <v>62229.495999999999</v>
      </c>
      <c r="R363" s="2643"/>
      <c r="S363" s="2643">
        <v>62229.495999999999</v>
      </c>
      <c r="T363" s="2643"/>
    </row>
    <row r="364" spans="1:20" ht="16.5" customHeight="1" x14ac:dyDescent="0.35">
      <c r="A364" s="135" t="s">
        <v>490</v>
      </c>
      <c r="B364" s="136"/>
      <c r="C364" s="120"/>
      <c r="D364" s="120"/>
      <c r="E364" s="2645"/>
      <c r="F364" s="2646"/>
      <c r="G364" s="2643"/>
      <c r="H364" s="2644"/>
      <c r="I364" s="2715">
        <v>235000</v>
      </c>
      <c r="J364" s="2716"/>
      <c r="K364" s="124"/>
      <c r="L364" s="122" t="s">
        <v>491</v>
      </c>
      <c r="M364" s="120"/>
      <c r="N364" s="120"/>
      <c r="O364" s="2643"/>
      <c r="P364" s="2643"/>
      <c r="Q364" s="2643"/>
      <c r="R364" s="2643"/>
      <c r="S364" s="2643">
        <v>0</v>
      </c>
      <c r="T364" s="2643"/>
    </row>
    <row r="365" spans="1:20" ht="16.5" customHeight="1" x14ac:dyDescent="0.4">
      <c r="A365" s="133" t="s">
        <v>492</v>
      </c>
      <c r="B365" s="136"/>
      <c r="C365" s="120" t="s">
        <v>496</v>
      </c>
      <c r="D365" s="120" t="s">
        <v>497</v>
      </c>
      <c r="E365" s="2643">
        <v>3</v>
      </c>
      <c r="F365" s="2643"/>
      <c r="G365" s="2641">
        <v>47000</v>
      </c>
      <c r="H365" s="2642">
        <v>38202.400000000001</v>
      </c>
      <c r="I365" s="2643">
        <v>141000</v>
      </c>
      <c r="J365" s="2644"/>
      <c r="K365" s="124"/>
      <c r="L365" s="122" t="s">
        <v>494</v>
      </c>
      <c r="M365" s="120"/>
      <c r="N365" s="120"/>
      <c r="O365" s="2643"/>
      <c r="P365" s="2643"/>
      <c r="Q365" s="2643"/>
      <c r="R365" s="2643"/>
      <c r="S365" s="2643">
        <v>0</v>
      </c>
      <c r="T365" s="2643"/>
    </row>
    <row r="366" spans="1:20" ht="16.5" customHeight="1" x14ac:dyDescent="0.3">
      <c r="A366" s="137" t="s">
        <v>717</v>
      </c>
      <c r="B366" s="138"/>
      <c r="C366" s="120"/>
      <c r="D366" s="120"/>
      <c r="E366" s="2643"/>
      <c r="F366" s="2643"/>
      <c r="G366" s="2643"/>
      <c r="H366" s="2644"/>
      <c r="I366" s="2643">
        <v>0</v>
      </c>
      <c r="J366" s="2644"/>
      <c r="K366" s="124"/>
      <c r="L366" s="122" t="s">
        <v>498</v>
      </c>
      <c r="M366" s="120"/>
      <c r="N366" s="120"/>
      <c r="O366" s="2643"/>
      <c r="P366" s="2643"/>
      <c r="Q366" s="2643"/>
      <c r="R366" s="2643"/>
      <c r="S366" s="2643">
        <v>0</v>
      </c>
      <c r="T366" s="2643"/>
    </row>
    <row r="367" spans="1:20" ht="16.5" customHeight="1" x14ac:dyDescent="0.3">
      <c r="A367" s="2578" t="s">
        <v>501</v>
      </c>
      <c r="B367" s="2579"/>
      <c r="C367" s="120"/>
      <c r="D367" s="120"/>
      <c r="E367" s="2643"/>
      <c r="F367" s="2643"/>
      <c r="G367" s="2643"/>
      <c r="H367" s="2644"/>
      <c r="I367" s="2643">
        <v>0</v>
      </c>
      <c r="J367" s="2644"/>
      <c r="K367" s="124"/>
      <c r="L367" s="139" t="s">
        <v>573</v>
      </c>
      <c r="M367" s="140"/>
      <c r="N367" s="140"/>
      <c r="O367" s="2643"/>
      <c r="P367" s="2643"/>
      <c r="Q367" s="2643"/>
      <c r="R367" s="2643"/>
      <c r="S367" s="2643">
        <v>0</v>
      </c>
      <c r="T367" s="2643"/>
    </row>
    <row r="368" spans="1:20" ht="16.5" customHeight="1" x14ac:dyDescent="0.4">
      <c r="A368" s="2589" t="s">
        <v>733</v>
      </c>
      <c r="B368" s="2590"/>
      <c r="C368" s="120" t="s">
        <v>496</v>
      </c>
      <c r="D368" s="120" t="s">
        <v>497</v>
      </c>
      <c r="E368" s="2643">
        <v>2</v>
      </c>
      <c r="F368" s="2643"/>
      <c r="G368" s="2641">
        <v>47000</v>
      </c>
      <c r="H368" s="2642">
        <v>38202.400000000001</v>
      </c>
      <c r="I368" s="2643">
        <v>94000</v>
      </c>
      <c r="J368" s="2644"/>
      <c r="K368" s="124"/>
      <c r="L368" s="139"/>
      <c r="M368" s="139"/>
      <c r="N368" s="139"/>
      <c r="O368" s="2643"/>
      <c r="P368" s="2643"/>
      <c r="Q368" s="2643"/>
      <c r="R368" s="2643"/>
      <c r="S368" s="2643"/>
      <c r="T368" s="2643"/>
    </row>
    <row r="369" spans="1:20" ht="16.5" customHeight="1" x14ac:dyDescent="0.3">
      <c r="A369" s="2589" t="s">
        <v>504</v>
      </c>
      <c r="B369" s="2590"/>
      <c r="C369" s="120"/>
      <c r="D369" s="120"/>
      <c r="E369" s="2643"/>
      <c r="F369" s="2643"/>
      <c r="G369" s="2643"/>
      <c r="H369" s="2644"/>
      <c r="I369" s="2643">
        <v>0</v>
      </c>
      <c r="J369" s="2644"/>
      <c r="K369" s="124"/>
      <c r="L369" s="139" t="s">
        <v>595</v>
      </c>
      <c r="M369" s="139"/>
      <c r="N369" s="139"/>
      <c r="O369" s="2643"/>
      <c r="P369" s="2643"/>
      <c r="Q369" s="2643"/>
      <c r="R369" s="2643"/>
      <c r="S369" s="2643">
        <v>0</v>
      </c>
      <c r="T369" s="2643"/>
    </row>
    <row r="370" spans="1:20" ht="16.5" customHeight="1" x14ac:dyDescent="0.35">
      <c r="A370" s="2595" t="s">
        <v>506</v>
      </c>
      <c r="B370" s="2596"/>
      <c r="C370" s="120"/>
      <c r="D370" s="120"/>
      <c r="E370" s="2645"/>
      <c r="F370" s="2646"/>
      <c r="G370" s="2643"/>
      <c r="H370" s="2644"/>
      <c r="I370" s="2715">
        <v>752000</v>
      </c>
      <c r="J370" s="2716"/>
      <c r="K370" s="121"/>
      <c r="L370" s="139" t="s">
        <v>600</v>
      </c>
      <c r="M370" s="139"/>
      <c r="N370" s="139"/>
      <c r="O370" s="2643"/>
      <c r="P370" s="2643"/>
      <c r="Q370" s="2643"/>
      <c r="R370" s="2643"/>
      <c r="S370" s="2643">
        <v>0</v>
      </c>
      <c r="T370" s="2643"/>
    </row>
    <row r="371" spans="1:20" ht="16.5" customHeight="1" x14ac:dyDescent="0.4">
      <c r="A371" s="2589" t="s">
        <v>509</v>
      </c>
      <c r="B371" s="2590"/>
      <c r="C371" s="120" t="s">
        <v>496</v>
      </c>
      <c r="D371" s="120" t="s">
        <v>497</v>
      </c>
      <c r="E371" s="2645">
        <v>3</v>
      </c>
      <c r="F371" s="2646"/>
      <c r="G371" s="2641">
        <v>47000</v>
      </c>
      <c r="H371" s="2642">
        <v>38202.400000000001</v>
      </c>
      <c r="I371" s="2643">
        <v>141000</v>
      </c>
      <c r="J371" s="2644"/>
      <c r="K371" s="124"/>
      <c r="L371" s="139" t="s">
        <v>510</v>
      </c>
      <c r="M371" s="140" t="s">
        <v>734</v>
      </c>
      <c r="N371" s="140" t="s">
        <v>734</v>
      </c>
      <c r="O371" s="2643">
        <v>1</v>
      </c>
      <c r="P371" s="2643"/>
      <c r="Q371" s="2643">
        <v>14228.255999999999</v>
      </c>
      <c r="R371" s="2643"/>
      <c r="S371" s="2643">
        <v>14228.255999999999</v>
      </c>
      <c r="T371" s="2643"/>
    </row>
    <row r="372" spans="1:20" ht="16.5" customHeight="1" x14ac:dyDescent="0.3">
      <c r="A372" s="2589" t="s">
        <v>512</v>
      </c>
      <c r="B372" s="2590"/>
      <c r="C372" s="120"/>
      <c r="D372" s="120"/>
      <c r="E372" s="2645"/>
      <c r="F372" s="2646"/>
      <c r="G372" s="2643"/>
      <c r="H372" s="2644"/>
      <c r="I372" s="2643">
        <v>0</v>
      </c>
      <c r="J372" s="2644"/>
      <c r="K372" s="124"/>
      <c r="L372" s="139" t="s">
        <v>575</v>
      </c>
      <c r="M372" s="139"/>
      <c r="N372" s="139"/>
      <c r="O372" s="2643"/>
      <c r="P372" s="2643"/>
      <c r="Q372" s="2643"/>
      <c r="R372" s="2643"/>
      <c r="S372" s="2643">
        <v>0</v>
      </c>
      <c r="T372" s="2643"/>
    </row>
    <row r="373" spans="1:20" ht="16.5" customHeight="1" x14ac:dyDescent="0.3">
      <c r="A373" s="137" t="s">
        <v>514</v>
      </c>
      <c r="B373" s="138"/>
      <c r="C373" s="120"/>
      <c r="D373" s="120"/>
      <c r="E373" s="2645"/>
      <c r="F373" s="2646"/>
      <c r="G373" s="2643"/>
      <c r="H373" s="2644"/>
      <c r="I373" s="2643">
        <v>0</v>
      </c>
      <c r="J373" s="2644"/>
      <c r="K373" s="124"/>
      <c r="L373" s="139" t="s">
        <v>515</v>
      </c>
      <c r="M373" s="139"/>
      <c r="N373" s="139"/>
      <c r="O373" s="2643"/>
      <c r="P373" s="2643"/>
      <c r="Q373" s="2643"/>
      <c r="R373" s="2643"/>
      <c r="S373" s="2643">
        <v>0</v>
      </c>
      <c r="T373" s="2643"/>
    </row>
    <row r="374" spans="1:20" ht="16.5" customHeight="1" x14ac:dyDescent="0.4">
      <c r="A374" s="2589" t="s">
        <v>516</v>
      </c>
      <c r="B374" s="2590"/>
      <c r="C374" s="120" t="s">
        <v>496</v>
      </c>
      <c r="D374" s="120" t="s">
        <v>497</v>
      </c>
      <c r="E374" s="2645">
        <v>3</v>
      </c>
      <c r="F374" s="2646"/>
      <c r="G374" s="2641">
        <v>47000</v>
      </c>
      <c r="H374" s="2642">
        <v>38202.400000000001</v>
      </c>
      <c r="I374" s="2643">
        <v>141000</v>
      </c>
      <c r="J374" s="2644"/>
      <c r="K374" s="124"/>
      <c r="L374" s="139" t="s">
        <v>724</v>
      </c>
      <c r="M374" s="140" t="s">
        <v>735</v>
      </c>
      <c r="N374" s="140" t="s">
        <v>736</v>
      </c>
      <c r="O374" s="2643">
        <v>10</v>
      </c>
      <c r="P374" s="2643"/>
      <c r="Q374" s="2643">
        <v>3221.5744</v>
      </c>
      <c r="R374" s="2643"/>
      <c r="S374" s="2643">
        <v>32215.743999999999</v>
      </c>
      <c r="T374" s="2643"/>
    </row>
    <row r="375" spans="1:20" ht="16.5" customHeight="1" x14ac:dyDescent="0.3">
      <c r="A375" s="137" t="s">
        <v>517</v>
      </c>
      <c r="B375" s="138"/>
      <c r="C375" s="120"/>
      <c r="D375" s="120"/>
      <c r="E375" s="2645"/>
      <c r="F375" s="2646"/>
      <c r="G375" s="2643"/>
      <c r="H375" s="2644"/>
      <c r="I375" s="2643">
        <v>0</v>
      </c>
      <c r="J375" s="2644"/>
      <c r="K375" s="124"/>
      <c r="L375" s="139" t="s">
        <v>510</v>
      </c>
      <c r="M375" s="139"/>
      <c r="N375" s="139"/>
      <c r="O375" s="2643"/>
      <c r="P375" s="2643"/>
      <c r="Q375" s="2643"/>
      <c r="R375" s="2643"/>
      <c r="S375" s="2643">
        <v>0</v>
      </c>
      <c r="T375" s="2643"/>
    </row>
    <row r="376" spans="1:20" ht="16.5" customHeight="1" x14ac:dyDescent="0.3">
      <c r="A376" s="137" t="s">
        <v>519</v>
      </c>
      <c r="B376" s="141"/>
      <c r="C376" s="120"/>
      <c r="D376" s="140"/>
      <c r="E376" s="2655"/>
      <c r="F376" s="2655"/>
      <c r="G376" s="2643"/>
      <c r="H376" s="2644"/>
      <c r="I376" s="2643">
        <v>0</v>
      </c>
      <c r="J376" s="2644"/>
      <c r="K376" s="124"/>
      <c r="L376" s="139"/>
      <c r="M376" s="139"/>
      <c r="N376" s="139"/>
      <c r="O376" s="2643"/>
      <c r="P376" s="2643"/>
      <c r="Q376" s="2643"/>
      <c r="R376" s="2643"/>
      <c r="S376" s="2643"/>
      <c r="T376" s="2643"/>
    </row>
    <row r="377" spans="1:20" ht="16.5" customHeight="1" x14ac:dyDescent="0.3">
      <c r="A377" s="137" t="s">
        <v>475</v>
      </c>
      <c r="B377" s="138"/>
      <c r="C377" s="120"/>
      <c r="D377" s="120"/>
      <c r="E377" s="2643"/>
      <c r="F377" s="2643"/>
      <c r="G377" s="2643"/>
      <c r="H377" s="2644"/>
      <c r="I377" s="2643">
        <v>0</v>
      </c>
      <c r="J377" s="2644"/>
      <c r="K377" s="124"/>
      <c r="L377" s="139"/>
      <c r="M377" s="139"/>
      <c r="N377" s="139"/>
      <c r="O377" s="2643"/>
      <c r="P377" s="2643"/>
      <c r="Q377" s="2643"/>
      <c r="R377" s="2643"/>
      <c r="S377" s="2643"/>
      <c r="T377" s="2643"/>
    </row>
    <row r="378" spans="1:20" ht="16.5" customHeight="1" x14ac:dyDescent="0.3">
      <c r="A378" s="2578" t="s">
        <v>520</v>
      </c>
      <c r="B378" s="2579"/>
      <c r="C378" s="120"/>
      <c r="D378" s="120"/>
      <c r="E378" s="2645"/>
      <c r="F378" s="2646"/>
      <c r="G378" s="2643"/>
      <c r="H378" s="2644"/>
      <c r="I378" s="2643">
        <v>0</v>
      </c>
      <c r="J378" s="2644"/>
      <c r="K378" s="124"/>
      <c r="L378" s="142" t="s">
        <v>521</v>
      </c>
      <c r="M378" s="143"/>
      <c r="N378" s="143"/>
      <c r="O378" s="2591"/>
      <c r="P378" s="2592"/>
      <c r="Q378" s="2591"/>
      <c r="R378" s="2592"/>
      <c r="S378" s="2593">
        <v>606990.29599999997</v>
      </c>
      <c r="T378" s="2594"/>
    </row>
    <row r="379" spans="1:20" ht="16.5" customHeight="1" x14ac:dyDescent="0.3">
      <c r="A379" s="137" t="s">
        <v>522</v>
      </c>
      <c r="B379" s="138"/>
      <c r="C379" s="120"/>
      <c r="D379" s="120"/>
      <c r="E379" s="2645"/>
      <c r="F379" s="2646"/>
      <c r="G379" s="2643"/>
      <c r="H379" s="2644"/>
      <c r="I379" s="2643">
        <v>0</v>
      </c>
      <c r="J379" s="2644"/>
      <c r="K379" s="124"/>
      <c r="L379" s="144" t="s">
        <v>577</v>
      </c>
      <c r="M379" s="145"/>
      <c r="N379" s="145"/>
      <c r="O379" s="146"/>
      <c r="P379" s="146"/>
      <c r="Q379" s="146"/>
      <c r="R379" s="146"/>
      <c r="S379" s="146"/>
      <c r="T379" s="147"/>
    </row>
    <row r="380" spans="1:20" ht="16.5" customHeight="1" x14ac:dyDescent="0.4">
      <c r="A380" s="2578" t="s">
        <v>524</v>
      </c>
      <c r="B380" s="2579"/>
      <c r="C380" s="120" t="s">
        <v>496</v>
      </c>
      <c r="D380" s="120" t="s">
        <v>497</v>
      </c>
      <c r="E380" s="2645">
        <v>2</v>
      </c>
      <c r="F380" s="2646"/>
      <c r="G380" s="2641">
        <v>47000</v>
      </c>
      <c r="H380" s="2642">
        <v>38202.400000000001</v>
      </c>
      <c r="I380" s="2643">
        <v>94000</v>
      </c>
      <c r="J380" s="2644"/>
      <c r="K380" s="124"/>
      <c r="L380" s="148" t="s">
        <v>525</v>
      </c>
      <c r="M380" s="149"/>
      <c r="N380" s="45"/>
      <c r="O380" s="26"/>
      <c r="P380" s="26"/>
      <c r="Q380" s="26"/>
      <c r="R380" s="26"/>
      <c r="S380" s="26"/>
      <c r="T380" s="150"/>
    </row>
    <row r="381" spans="1:20" ht="16.5" customHeight="1" x14ac:dyDescent="0.3">
      <c r="A381" s="137" t="s">
        <v>526</v>
      </c>
      <c r="B381" s="138"/>
      <c r="C381" s="120"/>
      <c r="D381" s="120"/>
      <c r="E381" s="2645"/>
      <c r="F381" s="2646"/>
      <c r="G381" s="2643"/>
      <c r="H381" s="2644"/>
      <c r="I381" s="2643">
        <v>0</v>
      </c>
      <c r="J381" s="2644"/>
      <c r="K381" s="124"/>
      <c r="L381" s="151" t="s">
        <v>527</v>
      </c>
      <c r="M381" s="45"/>
      <c r="N381" s="45"/>
      <c r="O381" s="26"/>
      <c r="P381" s="26"/>
      <c r="Q381" s="26"/>
      <c r="R381" s="26"/>
      <c r="S381" s="26"/>
      <c r="T381" s="150"/>
    </row>
    <row r="382" spans="1:20" ht="16.5" customHeight="1" x14ac:dyDescent="0.3">
      <c r="A382" s="133" t="s">
        <v>578</v>
      </c>
      <c r="B382" s="136"/>
      <c r="C382" s="140"/>
      <c r="D382" s="140"/>
      <c r="E382" s="2655"/>
      <c r="F382" s="2655"/>
      <c r="G382" s="2643"/>
      <c r="H382" s="2644"/>
      <c r="I382" s="2643">
        <v>0</v>
      </c>
      <c r="J382" s="2644"/>
      <c r="K382" s="124"/>
      <c r="L382" s="152" t="s">
        <v>529</v>
      </c>
      <c r="M382" s="45"/>
      <c r="N382" s="45"/>
      <c r="O382" s="26"/>
      <c r="P382" s="26"/>
      <c r="Q382" s="26"/>
      <c r="R382" s="26"/>
      <c r="S382" s="2575">
        <v>382480</v>
      </c>
      <c r="T382" s="2560"/>
    </row>
    <row r="383" spans="1:20" ht="16.5" customHeight="1" x14ac:dyDescent="0.4">
      <c r="A383" s="153" t="s">
        <v>579</v>
      </c>
      <c r="B383" s="154"/>
      <c r="C383" s="120" t="s">
        <v>496</v>
      </c>
      <c r="D383" s="120" t="s">
        <v>497</v>
      </c>
      <c r="E383" s="2643">
        <v>8</v>
      </c>
      <c r="F383" s="2643"/>
      <c r="G383" s="2641">
        <v>47000</v>
      </c>
      <c r="H383" s="2642">
        <v>38202.400000000001</v>
      </c>
      <c r="I383" s="2643">
        <v>376000</v>
      </c>
      <c r="J383" s="2644"/>
      <c r="K383" s="124"/>
      <c r="L383" s="152" t="s">
        <v>531</v>
      </c>
      <c r="M383" s="45"/>
      <c r="N383" s="45"/>
      <c r="O383" s="26"/>
      <c r="P383" s="26"/>
      <c r="Q383" s="26"/>
      <c r="R383" s="26"/>
      <c r="S383" s="2575">
        <v>141249.5148</v>
      </c>
      <c r="T383" s="2560"/>
    </row>
    <row r="384" spans="1:20" ht="16.5" customHeight="1" x14ac:dyDescent="0.3">
      <c r="A384" s="137" t="s">
        <v>532</v>
      </c>
      <c r="B384" s="138"/>
      <c r="C384" s="120"/>
      <c r="D384" s="120"/>
      <c r="E384" s="2645"/>
      <c r="F384" s="2646"/>
      <c r="G384" s="2643"/>
      <c r="H384" s="2644"/>
      <c r="I384" s="2643">
        <v>0</v>
      </c>
      <c r="J384" s="2644"/>
      <c r="K384" s="124"/>
      <c r="L384" s="166" t="s">
        <v>504</v>
      </c>
      <c r="M384" s="155"/>
      <c r="N384" s="155"/>
      <c r="O384" s="167"/>
      <c r="P384" s="167"/>
      <c r="Q384" s="167"/>
      <c r="R384" s="167"/>
      <c r="S384" s="2557">
        <v>60104</v>
      </c>
      <c r="T384" s="2558"/>
    </row>
    <row r="385" spans="1:22" ht="16.5" customHeight="1" x14ac:dyDescent="0.3">
      <c r="A385" s="2578" t="s">
        <v>727</v>
      </c>
      <c r="B385" s="2579"/>
      <c r="C385" s="120"/>
      <c r="D385" s="120"/>
      <c r="E385" s="2645"/>
      <c r="F385" s="2646"/>
      <c r="G385" s="2643"/>
      <c r="H385" s="2644"/>
      <c r="I385" s="2643">
        <v>0</v>
      </c>
      <c r="J385" s="2644"/>
      <c r="K385" s="124"/>
      <c r="L385" s="156" t="s">
        <v>533</v>
      </c>
      <c r="M385" s="157"/>
      <c r="N385" s="157"/>
      <c r="O385" s="158"/>
      <c r="P385" s="158"/>
      <c r="Q385" s="158"/>
      <c r="R385" s="158"/>
      <c r="S385" s="2587">
        <v>583833.5148</v>
      </c>
      <c r="T385" s="2588"/>
    </row>
    <row r="386" spans="1:22" ht="16.5" customHeight="1" x14ac:dyDescent="0.3">
      <c r="A386" s="2578" t="s">
        <v>534</v>
      </c>
      <c r="B386" s="2579"/>
      <c r="C386" s="120"/>
      <c r="D386" s="120"/>
      <c r="E386" s="2643"/>
      <c r="F386" s="2643"/>
      <c r="G386" s="2643"/>
      <c r="H386" s="2644"/>
      <c r="I386" s="2643">
        <v>0</v>
      </c>
      <c r="J386" s="2644"/>
      <c r="K386" s="124"/>
      <c r="L386" s="159"/>
      <c r="M386" s="45"/>
      <c r="N386" s="45"/>
      <c r="O386" s="26"/>
      <c r="P386" s="26"/>
      <c r="Q386" s="26"/>
      <c r="R386" s="26"/>
      <c r="S386" s="26"/>
      <c r="T386" s="150"/>
    </row>
    <row r="387" spans="1:22" ht="16.5" customHeight="1" thickBot="1" x14ac:dyDescent="0.35">
      <c r="A387" s="2578" t="s">
        <v>535</v>
      </c>
      <c r="B387" s="2579"/>
      <c r="C387" s="120"/>
      <c r="D387" s="120"/>
      <c r="E387" s="2645"/>
      <c r="F387" s="2646"/>
      <c r="G387" s="2643"/>
      <c r="H387" s="2644"/>
      <c r="I387" s="2643">
        <v>0</v>
      </c>
      <c r="J387" s="2644"/>
      <c r="K387" s="124"/>
      <c r="L387" s="160" t="s">
        <v>583</v>
      </c>
      <c r="M387" s="161"/>
      <c r="N387" s="161"/>
      <c r="O387" s="161"/>
      <c r="P387" s="161"/>
      <c r="Q387" s="161"/>
      <c r="R387" s="161"/>
      <c r="S387" s="2580">
        <v>3408823.8108000001</v>
      </c>
      <c r="T387" s="2581"/>
      <c r="V387" s="1047">
        <f>'TOTAL TRANSITORIOS'!W18</f>
        <v>3408823.8108000006</v>
      </c>
    </row>
    <row r="388" spans="1:22" ht="16.5" customHeight="1" thickBot="1" x14ac:dyDescent="0.35">
      <c r="A388" s="133" t="s">
        <v>537</v>
      </c>
      <c r="B388" s="136"/>
      <c r="C388" s="140"/>
      <c r="D388" s="140"/>
      <c r="E388" s="2643"/>
      <c r="F388" s="2644"/>
      <c r="G388" s="2643"/>
      <c r="H388" s="2644"/>
      <c r="I388" s="2643">
        <v>0</v>
      </c>
      <c r="J388" s="2644"/>
      <c r="K388" s="124"/>
      <c r="L388" s="45"/>
      <c r="M388" s="45"/>
      <c r="N388" s="45"/>
      <c r="O388" s="45"/>
      <c r="P388" s="45"/>
      <c r="Q388" s="45"/>
      <c r="R388" s="45"/>
      <c r="S388" s="45"/>
      <c r="T388" s="45"/>
    </row>
    <row r="389" spans="1:22" ht="16.5" customHeight="1" x14ac:dyDescent="0.3">
      <c r="A389" s="133" t="s">
        <v>540</v>
      </c>
      <c r="B389" s="136"/>
      <c r="C389" s="140"/>
      <c r="D389" s="140"/>
      <c r="E389" s="2643"/>
      <c r="F389" s="2644"/>
      <c r="G389" s="2643"/>
      <c r="H389" s="2644"/>
      <c r="I389" s="2643">
        <v>0</v>
      </c>
      <c r="J389" s="2644"/>
      <c r="K389" s="124"/>
      <c r="L389" s="45"/>
      <c r="M389" s="2582" t="s">
        <v>539</v>
      </c>
      <c r="N389" s="2583"/>
      <c r="O389" s="2583"/>
      <c r="P389" s="2583"/>
      <c r="Q389" s="2584"/>
      <c r="R389" s="45"/>
      <c r="S389" s="45"/>
      <c r="T389" s="45"/>
    </row>
    <row r="390" spans="1:22" ht="16.5" customHeight="1" x14ac:dyDescent="0.3">
      <c r="A390" s="133" t="s">
        <v>543</v>
      </c>
      <c r="B390" s="136"/>
      <c r="C390" s="140"/>
      <c r="D390" s="140"/>
      <c r="E390" s="2643"/>
      <c r="F390" s="2644"/>
      <c r="G390" s="2643"/>
      <c r="H390" s="2644"/>
      <c r="I390" s="2643">
        <v>0</v>
      </c>
      <c r="J390" s="2644"/>
      <c r="K390" s="124"/>
      <c r="L390" s="45"/>
      <c r="M390" s="101" t="s">
        <v>541</v>
      </c>
      <c r="N390" s="102"/>
      <c r="O390" s="102"/>
      <c r="P390" s="102"/>
      <c r="Q390" s="103">
        <v>0.8375878388068263</v>
      </c>
      <c r="R390" s="45"/>
      <c r="S390" s="45"/>
      <c r="T390" s="45"/>
      <c r="U390" s="37" t="s">
        <v>542</v>
      </c>
    </row>
    <row r="391" spans="1:22" ht="16.5" customHeight="1" x14ac:dyDescent="0.35">
      <c r="A391" s="135" t="s">
        <v>545</v>
      </c>
      <c r="B391" s="136"/>
      <c r="C391" s="140"/>
      <c r="D391" s="140"/>
      <c r="E391" s="2643"/>
      <c r="F391" s="2644"/>
      <c r="G391" s="2643"/>
      <c r="H391" s="2644"/>
      <c r="I391" s="2715">
        <v>855000</v>
      </c>
      <c r="J391" s="2716"/>
      <c r="K391" s="121"/>
      <c r="L391" s="45"/>
      <c r="M391" s="104" t="s">
        <v>544</v>
      </c>
      <c r="N391" s="102"/>
      <c r="O391" s="102"/>
      <c r="P391" s="105"/>
      <c r="Q391" s="106">
        <v>3408823.8108000001</v>
      </c>
      <c r="R391" s="45"/>
      <c r="S391" s="45"/>
      <c r="T391" s="45"/>
      <c r="U391" s="37"/>
    </row>
    <row r="392" spans="1:22" ht="16.5" customHeight="1" x14ac:dyDescent="0.4">
      <c r="A392" s="133" t="s">
        <v>547</v>
      </c>
      <c r="B392" s="136"/>
      <c r="C392" s="140" t="s">
        <v>496</v>
      </c>
      <c r="D392" s="120" t="s">
        <v>497</v>
      </c>
      <c r="E392" s="2643">
        <v>9</v>
      </c>
      <c r="F392" s="2644"/>
      <c r="G392" s="2641">
        <v>47000</v>
      </c>
      <c r="H392" s="2642">
        <v>38202.400000000001</v>
      </c>
      <c r="I392" s="2643">
        <v>423000</v>
      </c>
      <c r="J392" s="2644"/>
      <c r="K392" s="124"/>
      <c r="L392" s="45"/>
      <c r="M392" s="101" t="s">
        <v>546</v>
      </c>
      <c r="N392" s="102"/>
      <c r="O392" s="102"/>
      <c r="P392" s="102"/>
      <c r="Q392" s="106">
        <v>7090000</v>
      </c>
      <c r="R392" s="47"/>
      <c r="S392" s="45"/>
      <c r="T392" s="45"/>
      <c r="U392" s="37" t="s">
        <v>542</v>
      </c>
    </row>
    <row r="393" spans="1:22" ht="16.5" customHeight="1" x14ac:dyDescent="0.4">
      <c r="A393" s="133" t="s">
        <v>1238</v>
      </c>
      <c r="B393" s="136"/>
      <c r="C393" s="140" t="s">
        <v>496</v>
      </c>
      <c r="D393" s="140" t="s">
        <v>497</v>
      </c>
      <c r="E393" s="2643">
        <v>3</v>
      </c>
      <c r="F393" s="2644"/>
      <c r="G393" s="2641">
        <v>47000</v>
      </c>
      <c r="H393" s="2642">
        <v>38202.400000000001</v>
      </c>
      <c r="I393" s="2643">
        <v>141000</v>
      </c>
      <c r="J393" s="2644"/>
      <c r="K393" s="124"/>
      <c r="L393" s="45"/>
      <c r="M393" s="101" t="s">
        <v>758</v>
      </c>
      <c r="N393" s="102"/>
      <c r="O393" s="102"/>
      <c r="P393" s="102"/>
      <c r="Q393" s="106">
        <v>5938497.7771403985</v>
      </c>
      <c r="R393" s="44"/>
      <c r="S393" s="45"/>
      <c r="T393" s="45"/>
    </row>
    <row r="394" spans="1:22" ht="16.5" customHeight="1" thickBot="1" x14ac:dyDescent="0.45">
      <c r="A394" s="133" t="s">
        <v>604</v>
      </c>
      <c r="B394" s="136"/>
      <c r="C394" s="140" t="s">
        <v>496</v>
      </c>
      <c r="D394" s="120" t="s">
        <v>497</v>
      </c>
      <c r="E394" s="2643">
        <v>3</v>
      </c>
      <c r="F394" s="2644"/>
      <c r="G394" s="2641">
        <v>47000</v>
      </c>
      <c r="H394" s="2642">
        <v>38202.400000000001</v>
      </c>
      <c r="I394" s="2643">
        <v>141000</v>
      </c>
      <c r="J394" s="2644"/>
      <c r="K394" s="124"/>
      <c r="L394" s="45"/>
      <c r="M394" s="108" t="s">
        <v>549</v>
      </c>
      <c r="N394" s="109"/>
      <c r="O394" s="109"/>
      <c r="P394" s="109"/>
      <c r="Q394" s="110">
        <v>2529673.9663403984</v>
      </c>
      <c r="R394" s="45"/>
      <c r="S394" s="45"/>
      <c r="T394" s="45"/>
    </row>
    <row r="395" spans="1:22" ht="16.5" customHeight="1" thickBot="1" x14ac:dyDescent="0.35">
      <c r="A395" s="133"/>
      <c r="B395" s="136"/>
      <c r="C395" s="140"/>
      <c r="D395" s="120"/>
      <c r="E395" s="2643"/>
      <c r="F395" s="2644"/>
      <c r="G395" s="2643"/>
      <c r="H395" s="2644"/>
      <c r="I395" s="2643">
        <v>0</v>
      </c>
      <c r="J395" s="2644"/>
      <c r="K395" s="124"/>
      <c r="L395" s="45"/>
      <c r="M395" s="1048" t="s">
        <v>759</v>
      </c>
      <c r="N395" s="1049"/>
      <c r="O395" s="1049"/>
      <c r="P395" s="1049"/>
      <c r="Q395" s="1050">
        <v>74.209583913541195</v>
      </c>
      <c r="R395" s="45"/>
      <c r="S395" s="45"/>
      <c r="T395" s="45"/>
    </row>
    <row r="396" spans="1:22" ht="16.5" customHeight="1" x14ac:dyDescent="0.3">
      <c r="A396" s="133" t="s">
        <v>1241</v>
      </c>
      <c r="B396" s="136"/>
      <c r="C396" s="140" t="s">
        <v>1242</v>
      </c>
      <c r="D396" s="120" t="s">
        <v>1243</v>
      </c>
      <c r="E396" s="2643"/>
      <c r="F396" s="2644"/>
      <c r="G396" s="2559"/>
      <c r="H396" s="2560"/>
      <c r="I396" s="2643">
        <v>150000</v>
      </c>
      <c r="J396" s="2644"/>
      <c r="K396" s="124"/>
      <c r="L396" s="45"/>
      <c r="M396" s="45"/>
      <c r="N396" s="45"/>
      <c r="O396" s="45"/>
      <c r="P396" s="45"/>
      <c r="Q396" s="45"/>
      <c r="R396" s="45"/>
      <c r="S396" s="45"/>
      <c r="T396" s="45"/>
    </row>
    <row r="397" spans="1:22" ht="16.5" customHeight="1" x14ac:dyDescent="0.3">
      <c r="A397" s="133"/>
      <c r="B397" s="136"/>
      <c r="C397" s="140"/>
      <c r="D397" s="140"/>
      <c r="E397" s="2647"/>
      <c r="F397" s="2648"/>
      <c r="G397" s="2643"/>
      <c r="H397" s="2644"/>
      <c r="I397" s="2643"/>
      <c r="J397" s="2644"/>
      <c r="K397" s="124"/>
      <c r="L397" s="7" t="s">
        <v>1528</v>
      </c>
      <c r="M397" s="8"/>
      <c r="N397" s="8"/>
      <c r="O397" s="8"/>
      <c r="P397" s="4"/>
      <c r="Q397" s="5"/>
      <c r="R397" s="1979"/>
      <c r="S397" s="44"/>
      <c r="T397" s="45"/>
    </row>
    <row r="398" spans="1:22" ht="16.5" customHeight="1" thickBot="1" x14ac:dyDescent="0.25">
      <c r="A398" s="162" t="s">
        <v>558</v>
      </c>
      <c r="B398" s="163"/>
      <c r="C398" s="164"/>
      <c r="D398" s="165"/>
      <c r="E398" s="2720">
        <v>41</v>
      </c>
      <c r="F398" s="2721"/>
      <c r="G398" s="2563"/>
      <c r="H398" s="2564"/>
      <c r="I398" s="2561">
        <v>2218000</v>
      </c>
      <c r="J398" s="2562"/>
      <c r="K398" s="26"/>
      <c r="L398" s="597" t="s">
        <v>1583</v>
      </c>
      <c r="M398" s="45"/>
      <c r="N398" s="45"/>
      <c r="O398" s="45"/>
      <c r="P398" s="45"/>
      <c r="Q398" s="45"/>
      <c r="R398" s="44"/>
      <c r="S398" s="45"/>
      <c r="T398" s="45"/>
    </row>
    <row r="399" spans="1:22" ht="14.1" customHeight="1" x14ac:dyDescent="0.2">
      <c r="A399" s="40"/>
      <c r="B399" s="40"/>
      <c r="C399" s="41"/>
      <c r="D399" s="41"/>
      <c r="E399" s="41"/>
      <c r="F399" s="41"/>
      <c r="G399" s="42"/>
      <c r="H399" s="42"/>
      <c r="I399" s="44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</row>
    <row r="400" spans="1:22" ht="14.1" customHeight="1" x14ac:dyDescent="0.2">
      <c r="A400" s="40"/>
      <c r="B400" s="40"/>
      <c r="C400" s="41"/>
      <c r="D400" s="41"/>
      <c r="E400" s="41"/>
      <c r="F400" s="41"/>
      <c r="G400" s="42"/>
      <c r="H400" s="42"/>
      <c r="I400" s="44"/>
      <c r="J400" s="45"/>
      <c r="K400" s="45"/>
      <c r="L400" s="40"/>
      <c r="M400" s="40"/>
      <c r="N400" s="41"/>
      <c r="O400" s="41"/>
      <c r="P400" s="41"/>
      <c r="Q400" s="41"/>
      <c r="R400" s="45"/>
      <c r="S400" s="45"/>
      <c r="T400" s="45"/>
    </row>
    <row r="401" spans="1:20" ht="14.1" customHeight="1" x14ac:dyDescent="0.2">
      <c r="A401" s="2654"/>
      <c r="B401" s="2654"/>
      <c r="C401" s="2654"/>
      <c r="D401" s="2654"/>
      <c r="E401" s="2654"/>
      <c r="F401" s="2654"/>
      <c r="G401" s="2654"/>
      <c r="H401" s="2654"/>
      <c r="I401" s="2654"/>
      <c r="J401" s="2654"/>
      <c r="K401" s="2654"/>
      <c r="L401" s="2654"/>
      <c r="M401" s="2654"/>
      <c r="N401" s="2654"/>
      <c r="O401" s="2654"/>
      <c r="P401" s="2654"/>
      <c r="Q401" s="2654"/>
      <c r="R401" s="2654"/>
      <c r="S401" s="2654"/>
      <c r="T401" s="2654"/>
    </row>
    <row r="402" spans="1:20" ht="13.9" customHeight="1" x14ac:dyDescent="0.2">
      <c r="A402" s="2654"/>
      <c r="B402" s="2654"/>
      <c r="C402" s="2654"/>
      <c r="D402" s="2654"/>
      <c r="E402" s="2654"/>
      <c r="F402" s="2654"/>
      <c r="G402" s="2654"/>
      <c r="H402" s="2654"/>
      <c r="I402" s="2654"/>
      <c r="J402" s="2654"/>
      <c r="K402" s="2654"/>
      <c r="L402" s="2654"/>
      <c r="M402" s="2654"/>
      <c r="N402" s="2654"/>
      <c r="O402" s="2654"/>
      <c r="P402" s="2654"/>
      <c r="Q402" s="2654"/>
      <c r="R402" s="2654"/>
      <c r="S402" s="2654"/>
      <c r="T402" s="2654"/>
    </row>
    <row r="403" spans="1:20" ht="14.1" customHeight="1" x14ac:dyDescent="0.2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</row>
    <row r="404" spans="1:20" ht="14.1" customHeight="1" x14ac:dyDescent="0.2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</row>
    <row r="405" spans="1:20" ht="14.1" customHeight="1" x14ac:dyDescent="0.2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</row>
    <row r="406" spans="1:20" ht="14.1" customHeight="1" x14ac:dyDescent="0.2">
      <c r="A406" s="40"/>
      <c r="B406" s="40"/>
      <c r="C406" s="41"/>
      <c r="D406" s="41"/>
      <c r="E406" s="41"/>
      <c r="F406" s="41"/>
      <c r="G406" s="42"/>
      <c r="H406" s="42"/>
      <c r="I406" s="44"/>
      <c r="J406" s="45"/>
      <c r="K406" s="45"/>
      <c r="L406" s="40"/>
      <c r="M406" s="40"/>
      <c r="N406" s="41"/>
      <c r="O406" s="41"/>
      <c r="P406" s="41"/>
      <c r="Q406" s="41"/>
      <c r="R406" s="45"/>
      <c r="S406" s="45"/>
      <c r="T406" s="45"/>
    </row>
    <row r="407" spans="1:20" ht="27.75" customHeight="1" x14ac:dyDescent="0.2">
      <c r="A407" s="2611" t="s">
        <v>1910</v>
      </c>
      <c r="B407" s="2611"/>
      <c r="C407" s="2611"/>
      <c r="D407" s="2611"/>
      <c r="E407" s="2611"/>
      <c r="F407" s="2611"/>
      <c r="G407" s="2611"/>
      <c r="H407" s="2611"/>
      <c r="I407" s="2611"/>
      <c r="J407" s="2611"/>
      <c r="K407" s="2611"/>
      <c r="L407" s="2611"/>
      <c r="M407" s="2611"/>
      <c r="N407" s="2611"/>
      <c r="O407" s="2611"/>
      <c r="P407" s="2611"/>
      <c r="Q407" s="2611"/>
      <c r="R407" s="2611"/>
      <c r="S407" s="2611"/>
      <c r="T407" s="2611"/>
    </row>
    <row r="408" spans="1:20" ht="14.1" customHeight="1" x14ac:dyDescent="0.2">
      <c r="A408" s="40"/>
      <c r="B408" s="40"/>
      <c r="C408" s="115"/>
      <c r="D408" s="41"/>
      <c r="E408" s="41"/>
      <c r="F408" s="41"/>
      <c r="G408" s="42"/>
      <c r="H408" s="42"/>
      <c r="I408" s="44"/>
      <c r="J408" s="45"/>
      <c r="K408" s="45"/>
      <c r="L408" s="40"/>
      <c r="M408" s="40"/>
      <c r="N408" s="115"/>
      <c r="O408" s="45"/>
      <c r="P408" s="45"/>
      <c r="Q408" s="45"/>
      <c r="R408" s="45"/>
      <c r="S408" s="45"/>
      <c r="T408" s="45"/>
    </row>
    <row r="409" spans="1:20" ht="14.1" customHeight="1" thickBot="1" x14ac:dyDescent="0.25">
      <c r="A409" s="40"/>
      <c r="B409" s="40"/>
      <c r="C409" s="41"/>
      <c r="D409" s="41"/>
      <c r="E409" s="41"/>
      <c r="F409" s="41"/>
      <c r="G409" s="42"/>
      <c r="H409" s="42"/>
      <c r="I409" s="44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</row>
    <row r="410" spans="1:20" ht="17.100000000000001" customHeight="1" x14ac:dyDescent="0.3">
      <c r="A410" s="2612" t="s">
        <v>435</v>
      </c>
      <c r="B410" s="2613"/>
      <c r="C410" s="2618" t="s">
        <v>436</v>
      </c>
      <c r="D410" s="2619"/>
      <c r="E410" s="2619"/>
      <c r="F410" s="2620"/>
      <c r="G410" s="2624" t="s">
        <v>437</v>
      </c>
      <c r="H410" s="2625"/>
      <c r="I410" s="2618" t="s">
        <v>439</v>
      </c>
      <c r="J410" s="2620"/>
      <c r="K410" s="49"/>
      <c r="L410" s="2626" t="s">
        <v>435</v>
      </c>
      <c r="M410" s="2619" t="s">
        <v>436</v>
      </c>
      <c r="N410" s="2619"/>
      <c r="O410" s="2619"/>
      <c r="P410" s="2620"/>
      <c r="Q410" s="2624" t="s">
        <v>437</v>
      </c>
      <c r="R410" s="2625"/>
      <c r="S410" s="2618" t="s">
        <v>439</v>
      </c>
      <c r="T410" s="2649"/>
    </row>
    <row r="411" spans="1:20" ht="17.100000000000001" customHeight="1" thickBot="1" x14ac:dyDescent="0.35">
      <c r="A411" s="2614"/>
      <c r="B411" s="2615"/>
      <c r="C411" s="2621"/>
      <c r="D411" s="2622"/>
      <c r="E411" s="2622"/>
      <c r="F411" s="2623"/>
      <c r="G411" s="2629" t="s">
        <v>440</v>
      </c>
      <c r="H411" s="2630"/>
      <c r="I411" s="2631"/>
      <c r="J411" s="2632"/>
      <c r="K411" s="49"/>
      <c r="L411" s="2627"/>
      <c r="M411" s="2622"/>
      <c r="N411" s="2622"/>
      <c r="O411" s="2622"/>
      <c r="P411" s="2623"/>
      <c r="Q411" s="2629" t="s">
        <v>440</v>
      </c>
      <c r="R411" s="2630"/>
      <c r="S411" s="2631"/>
      <c r="T411" s="2650"/>
    </row>
    <row r="412" spans="1:20" ht="17.100000000000001" customHeight="1" x14ac:dyDescent="0.3">
      <c r="A412" s="2614"/>
      <c r="B412" s="2615"/>
      <c r="C412" s="53" t="s">
        <v>441</v>
      </c>
      <c r="D412" s="2670" t="s">
        <v>442</v>
      </c>
      <c r="E412" s="2631" t="s">
        <v>443</v>
      </c>
      <c r="F412" s="2632"/>
      <c r="G412" s="2629" t="s">
        <v>444</v>
      </c>
      <c r="H412" s="2630"/>
      <c r="I412" s="2631" t="s">
        <v>348</v>
      </c>
      <c r="J412" s="2632"/>
      <c r="K412" s="49"/>
      <c r="L412" s="2627"/>
      <c r="M412" s="51" t="s">
        <v>441</v>
      </c>
      <c r="N412" s="2670" t="s">
        <v>442</v>
      </c>
      <c r="O412" s="2631" t="s">
        <v>443</v>
      </c>
      <c r="P412" s="2632"/>
      <c r="Q412" s="2629" t="s">
        <v>444</v>
      </c>
      <c r="R412" s="2630"/>
      <c r="S412" s="2631" t="s">
        <v>348</v>
      </c>
      <c r="T412" s="2650"/>
    </row>
    <row r="413" spans="1:20" ht="17.100000000000001" customHeight="1" thickBot="1" x14ac:dyDescent="0.35">
      <c r="A413" s="2616"/>
      <c r="B413" s="2617"/>
      <c r="C413" s="54" t="s">
        <v>445</v>
      </c>
      <c r="D413" s="2634"/>
      <c r="E413" s="2621"/>
      <c r="F413" s="2623"/>
      <c r="G413" s="2561"/>
      <c r="H413" s="2562"/>
      <c r="I413" s="2635"/>
      <c r="J413" s="2636"/>
      <c r="K413" s="49"/>
      <c r="L413" s="2628"/>
      <c r="M413" s="50" t="s">
        <v>445</v>
      </c>
      <c r="N413" s="2634"/>
      <c r="O413" s="2621"/>
      <c r="P413" s="2623"/>
      <c r="Q413" s="2561"/>
      <c r="R413" s="2562"/>
      <c r="S413" s="2652"/>
      <c r="T413" s="2653"/>
    </row>
    <row r="414" spans="1:20" ht="17.100000000000001" customHeight="1" x14ac:dyDescent="0.3">
      <c r="A414" s="116" t="s">
        <v>446</v>
      </c>
      <c r="B414" s="117"/>
      <c r="C414" s="118"/>
      <c r="D414" s="118"/>
      <c r="E414" s="2712"/>
      <c r="F414" s="2713"/>
      <c r="G414" s="2651"/>
      <c r="H414" s="2714"/>
      <c r="I414" s="2607"/>
      <c r="J414" s="2608"/>
      <c r="K414" s="45"/>
      <c r="L414" s="119" t="s">
        <v>447</v>
      </c>
      <c r="M414" s="118"/>
      <c r="N414" s="118"/>
      <c r="O414" s="2651"/>
      <c r="P414" s="2651"/>
      <c r="Q414" s="2651"/>
      <c r="R414" s="2651"/>
      <c r="S414" s="2651"/>
      <c r="T414" s="2651"/>
    </row>
    <row r="415" spans="1:20" ht="17.100000000000001" customHeight="1" x14ac:dyDescent="0.35">
      <c r="A415" s="2595" t="s">
        <v>448</v>
      </c>
      <c r="B415" s="2596"/>
      <c r="C415" s="120"/>
      <c r="D415" s="120"/>
      <c r="E415" s="2645"/>
      <c r="F415" s="2646"/>
      <c r="G415" s="2643"/>
      <c r="H415" s="2644"/>
      <c r="I415" s="2715">
        <v>0</v>
      </c>
      <c r="J415" s="2716"/>
      <c r="K415" s="121"/>
      <c r="L415" s="122"/>
      <c r="M415" s="120"/>
      <c r="N415" s="120"/>
      <c r="O415" s="2643"/>
      <c r="P415" s="2643"/>
      <c r="Q415" s="2643"/>
      <c r="R415" s="2643"/>
      <c r="S415" s="2643"/>
      <c r="T415" s="2643"/>
    </row>
    <row r="416" spans="1:20" ht="17.100000000000001" customHeight="1" x14ac:dyDescent="0.3">
      <c r="A416" s="2589" t="s">
        <v>449</v>
      </c>
      <c r="B416" s="2590"/>
      <c r="C416" s="120"/>
      <c r="D416" s="120"/>
      <c r="E416" s="2645"/>
      <c r="F416" s="2646"/>
      <c r="G416" s="2643"/>
      <c r="H416" s="2644"/>
      <c r="I416" s="2643">
        <v>0</v>
      </c>
      <c r="J416" s="2644"/>
      <c r="K416" s="124"/>
      <c r="L416" s="122" t="s">
        <v>450</v>
      </c>
      <c r="M416" s="120" t="s">
        <v>737</v>
      </c>
      <c r="N416" s="120" t="s">
        <v>452</v>
      </c>
      <c r="O416" s="2643">
        <v>30</v>
      </c>
      <c r="P416" s="2643"/>
      <c r="Q416" s="2643">
        <v>120799.20479999999</v>
      </c>
      <c r="R416" s="2643"/>
      <c r="S416" s="2643">
        <v>3623976.1439999999</v>
      </c>
      <c r="T416" s="2643"/>
    </row>
    <row r="417" spans="1:20" ht="17.100000000000001" customHeight="1" x14ac:dyDescent="0.3">
      <c r="A417" s="2589" t="s">
        <v>453</v>
      </c>
      <c r="B417" s="2590"/>
      <c r="C417" s="120"/>
      <c r="D417" s="120"/>
      <c r="E417" s="2645"/>
      <c r="F417" s="2646"/>
      <c r="G417" s="2643"/>
      <c r="H417" s="2644"/>
      <c r="I417" s="2643">
        <v>0</v>
      </c>
      <c r="J417" s="2644"/>
      <c r="K417" s="124"/>
      <c r="L417" s="122" t="s">
        <v>454</v>
      </c>
      <c r="M417" s="120"/>
      <c r="N417" s="120"/>
      <c r="O417" s="2643"/>
      <c r="P417" s="2643"/>
      <c r="Q417" s="2643"/>
      <c r="R417" s="2643"/>
      <c r="S417" s="2643">
        <v>0</v>
      </c>
      <c r="T417" s="2643"/>
    </row>
    <row r="418" spans="1:20" ht="17.100000000000001" customHeight="1" x14ac:dyDescent="0.3">
      <c r="A418" s="2589" t="s">
        <v>455</v>
      </c>
      <c r="B418" s="2590"/>
      <c r="C418" s="120"/>
      <c r="D418" s="120"/>
      <c r="E418" s="2645"/>
      <c r="F418" s="2645"/>
      <c r="G418" s="2643"/>
      <c r="H418" s="2644"/>
      <c r="I418" s="2643">
        <v>0</v>
      </c>
      <c r="J418" s="2644"/>
      <c r="K418" s="124"/>
      <c r="L418" s="122" t="s">
        <v>456</v>
      </c>
      <c r="M418" s="120"/>
      <c r="N418" s="120"/>
      <c r="O418" s="2643"/>
      <c r="P418" s="2643"/>
      <c r="Q418" s="2643"/>
      <c r="R418" s="2643"/>
      <c r="S418" s="2643">
        <v>0</v>
      </c>
      <c r="T418" s="2643"/>
    </row>
    <row r="419" spans="1:20" ht="17.100000000000001" customHeight="1" x14ac:dyDescent="0.2">
      <c r="A419" s="2600" t="s">
        <v>560</v>
      </c>
      <c r="B419" s="2601"/>
      <c r="C419" s="120"/>
      <c r="D419" s="120"/>
      <c r="E419" s="2645"/>
      <c r="F419" s="2645"/>
      <c r="G419" s="2643"/>
      <c r="H419" s="2643"/>
      <c r="I419" s="2715">
        <v>1028024.584</v>
      </c>
      <c r="J419" s="2715"/>
      <c r="K419" s="126"/>
      <c r="L419" s="122" t="s">
        <v>458</v>
      </c>
      <c r="M419" s="120"/>
      <c r="N419" s="120"/>
      <c r="O419" s="2643"/>
      <c r="P419" s="2643"/>
      <c r="Q419" s="2643"/>
      <c r="R419" s="2643"/>
      <c r="S419" s="2643">
        <v>0</v>
      </c>
      <c r="T419" s="2643"/>
    </row>
    <row r="420" spans="1:20" ht="17.100000000000001" customHeight="1" x14ac:dyDescent="0.4">
      <c r="A420" s="127" t="s">
        <v>461</v>
      </c>
      <c r="B420" s="128"/>
      <c r="C420" s="120" t="s">
        <v>496</v>
      </c>
      <c r="D420" s="120" t="s">
        <v>497</v>
      </c>
      <c r="E420" s="2645">
        <v>3</v>
      </c>
      <c r="F420" s="2645"/>
      <c r="G420" s="2641">
        <v>47000</v>
      </c>
      <c r="H420" s="2642">
        <v>38202.400000000001</v>
      </c>
      <c r="I420" s="2643">
        <v>141000</v>
      </c>
      <c r="J420" s="2644"/>
      <c r="K420" s="124"/>
      <c r="L420" s="122" t="s">
        <v>589</v>
      </c>
      <c r="M420" s="120" t="s">
        <v>590</v>
      </c>
      <c r="N420" s="120" t="s">
        <v>460</v>
      </c>
      <c r="O420" s="2643">
        <v>8</v>
      </c>
      <c r="P420" s="2643"/>
      <c r="Q420" s="2643">
        <v>223254</v>
      </c>
      <c r="R420" s="2643"/>
      <c r="S420" s="2643">
        <v>1786032</v>
      </c>
      <c r="T420" s="2643"/>
    </row>
    <row r="421" spans="1:20" ht="17.100000000000001" customHeight="1" x14ac:dyDescent="0.4">
      <c r="A421" s="129" t="s">
        <v>711</v>
      </c>
      <c r="B421" s="130"/>
      <c r="C421" s="120" t="s">
        <v>496</v>
      </c>
      <c r="D421" s="120" t="s">
        <v>497</v>
      </c>
      <c r="E421" s="2645">
        <v>5</v>
      </c>
      <c r="F421" s="2645"/>
      <c r="G421" s="2641">
        <v>47000</v>
      </c>
      <c r="H421" s="2642">
        <v>38202.400000000001</v>
      </c>
      <c r="I421" s="2643">
        <v>235000</v>
      </c>
      <c r="J421" s="2644"/>
      <c r="K421" s="124"/>
      <c r="L421" s="122" t="s">
        <v>471</v>
      </c>
      <c r="M421" s="120" t="s">
        <v>566</v>
      </c>
      <c r="N421" s="120" t="s">
        <v>591</v>
      </c>
      <c r="O421" s="2643">
        <v>4</v>
      </c>
      <c r="P421" s="2643"/>
      <c r="Q421" s="2643">
        <v>28583</v>
      </c>
      <c r="R421" s="2643"/>
      <c r="S421" s="2643">
        <v>114332</v>
      </c>
      <c r="T421" s="2643"/>
    </row>
    <row r="422" spans="1:20" ht="17.100000000000001" customHeight="1" x14ac:dyDescent="0.3">
      <c r="A422" s="127" t="s">
        <v>465</v>
      </c>
      <c r="B422" s="128"/>
      <c r="C422" s="120"/>
      <c r="D422" s="120"/>
      <c r="E422" s="2645"/>
      <c r="F422" s="2645"/>
      <c r="G422" s="2643"/>
      <c r="H422" s="2644"/>
      <c r="I422" s="2643">
        <v>0</v>
      </c>
      <c r="J422" s="2644"/>
      <c r="K422" s="124"/>
      <c r="L422" s="122" t="s">
        <v>504</v>
      </c>
      <c r="M422" s="120"/>
      <c r="N422" s="120"/>
      <c r="O422" s="2643"/>
      <c r="P422" s="2643"/>
      <c r="Q422" s="2643"/>
      <c r="R422" s="2643"/>
      <c r="S422" s="2643">
        <v>0</v>
      </c>
      <c r="T422" s="2643"/>
    </row>
    <row r="423" spans="1:20" ht="17.100000000000001" customHeight="1" x14ac:dyDescent="0.3">
      <c r="A423" s="127" t="s">
        <v>469</v>
      </c>
      <c r="B423" s="128"/>
      <c r="C423" s="120" t="s">
        <v>466</v>
      </c>
      <c r="D423" s="120" t="s">
        <v>493</v>
      </c>
      <c r="E423" s="2645">
        <v>1</v>
      </c>
      <c r="F423" s="2645"/>
      <c r="G423" s="2559">
        <v>425360.37920000002</v>
      </c>
      <c r="H423" s="2560">
        <v>172995.18</v>
      </c>
      <c r="I423" s="2643">
        <v>425360.37920000002</v>
      </c>
      <c r="J423" s="2644"/>
      <c r="K423" s="124"/>
      <c r="L423" s="122" t="s">
        <v>712</v>
      </c>
      <c r="M423" s="120"/>
      <c r="N423" s="120"/>
      <c r="O423" s="2643"/>
      <c r="P423" s="2643"/>
      <c r="Q423" s="2643"/>
      <c r="R423" s="2643"/>
      <c r="S423" s="2643"/>
      <c r="T423" s="2643"/>
    </row>
    <row r="424" spans="1:20" ht="17.100000000000001" customHeight="1" x14ac:dyDescent="0.3">
      <c r="A424" s="131" t="s">
        <v>470</v>
      </c>
      <c r="B424" s="132"/>
      <c r="C424" s="120" t="s">
        <v>466</v>
      </c>
      <c r="D424" s="120" t="s">
        <v>493</v>
      </c>
      <c r="E424" s="2645">
        <v>2</v>
      </c>
      <c r="F424" s="2645"/>
      <c r="G424" s="2643">
        <v>113332.1024</v>
      </c>
      <c r="H424" s="2644">
        <v>92185.02</v>
      </c>
      <c r="I424" s="2643">
        <v>226664.20480000001</v>
      </c>
      <c r="J424" s="2644"/>
      <c r="K424" s="124"/>
      <c r="L424" s="122"/>
      <c r="M424" s="120"/>
      <c r="N424" s="120"/>
      <c r="O424" s="2643"/>
      <c r="P424" s="2643"/>
      <c r="Q424" s="2643"/>
      <c r="R424" s="2643"/>
      <c r="S424" s="2643"/>
      <c r="T424" s="2643"/>
    </row>
    <row r="425" spans="1:20" ht="17.100000000000001" customHeight="1" x14ac:dyDescent="0.3">
      <c r="A425" s="127" t="s">
        <v>474</v>
      </c>
      <c r="B425" s="128"/>
      <c r="C425" s="120"/>
      <c r="D425" s="120"/>
      <c r="E425" s="2645"/>
      <c r="F425" s="2645"/>
      <c r="G425" s="2643"/>
      <c r="H425" s="2644"/>
      <c r="I425" s="2643">
        <v>0</v>
      </c>
      <c r="J425" s="2644"/>
      <c r="K425" s="124"/>
      <c r="L425" s="122" t="s">
        <v>475</v>
      </c>
      <c r="M425" s="120"/>
      <c r="N425" s="120"/>
      <c r="O425" s="2643"/>
      <c r="P425" s="2643"/>
      <c r="Q425" s="2643"/>
      <c r="R425" s="2643"/>
      <c r="S425" s="2643">
        <v>0</v>
      </c>
      <c r="T425" s="2643"/>
    </row>
    <row r="426" spans="1:20" ht="17.100000000000001" customHeight="1" x14ac:dyDescent="0.3">
      <c r="A426" s="127" t="s">
        <v>476</v>
      </c>
      <c r="B426" s="128"/>
      <c r="C426" s="120"/>
      <c r="D426" s="120"/>
      <c r="E426" s="2645"/>
      <c r="F426" s="2645"/>
      <c r="G426" s="2643"/>
      <c r="H426" s="2644"/>
      <c r="I426" s="2643">
        <v>0</v>
      </c>
      <c r="J426" s="2644"/>
      <c r="K426" s="124"/>
      <c r="L426" s="122" t="s">
        <v>477</v>
      </c>
      <c r="M426" s="120"/>
      <c r="N426" s="120"/>
      <c r="O426" s="2643"/>
      <c r="P426" s="2643"/>
      <c r="Q426" s="2643"/>
      <c r="R426" s="2643"/>
      <c r="S426" s="2643">
        <v>0</v>
      </c>
      <c r="T426" s="2643"/>
    </row>
    <row r="427" spans="1:20" ht="17.100000000000001" customHeight="1" x14ac:dyDescent="0.3">
      <c r="A427" s="2597" t="s">
        <v>480</v>
      </c>
      <c r="B427" s="2598"/>
      <c r="C427" s="120"/>
      <c r="D427" s="120"/>
      <c r="E427" s="2645"/>
      <c r="F427" s="2646"/>
      <c r="G427" s="2643"/>
      <c r="H427" s="2644"/>
      <c r="I427" s="2643">
        <v>0</v>
      </c>
      <c r="J427" s="2644"/>
      <c r="K427" s="124"/>
      <c r="L427" s="122" t="s">
        <v>481</v>
      </c>
      <c r="M427" s="120"/>
      <c r="N427" s="120"/>
      <c r="O427" s="2643"/>
      <c r="P427" s="2643"/>
      <c r="Q427" s="2643"/>
      <c r="R427" s="2643"/>
      <c r="S427" s="2643">
        <v>0</v>
      </c>
      <c r="T427" s="2643"/>
    </row>
    <row r="428" spans="1:20" ht="17.100000000000001" customHeight="1" x14ac:dyDescent="0.3">
      <c r="A428" s="127" t="s">
        <v>454</v>
      </c>
      <c r="B428" s="128"/>
      <c r="C428" s="120"/>
      <c r="D428" s="120"/>
      <c r="E428" s="2645"/>
      <c r="F428" s="2646"/>
      <c r="G428" s="2643"/>
      <c r="H428" s="2644"/>
      <c r="I428" s="2643">
        <v>0</v>
      </c>
      <c r="J428" s="2644"/>
      <c r="K428" s="124"/>
      <c r="L428" s="122" t="s">
        <v>483</v>
      </c>
      <c r="M428" s="120" t="s">
        <v>592</v>
      </c>
      <c r="N428" s="120" t="s">
        <v>591</v>
      </c>
      <c r="O428" s="2643">
        <v>2</v>
      </c>
      <c r="P428" s="2643"/>
      <c r="Q428" s="2643">
        <v>62229.495999999999</v>
      </c>
      <c r="R428" s="2643"/>
      <c r="S428" s="2643">
        <v>124458.992</v>
      </c>
      <c r="T428" s="2643"/>
    </row>
    <row r="429" spans="1:20" ht="17.100000000000001" customHeight="1" x14ac:dyDescent="0.3">
      <c r="A429" s="127" t="s">
        <v>715</v>
      </c>
      <c r="B429" s="128"/>
      <c r="C429" s="120"/>
      <c r="D429" s="120"/>
      <c r="E429" s="2645"/>
      <c r="F429" s="2646"/>
      <c r="G429" s="2643"/>
      <c r="H429" s="2644"/>
      <c r="I429" s="2643">
        <v>0</v>
      </c>
      <c r="J429" s="2644"/>
      <c r="K429" s="124"/>
      <c r="L429" s="122" t="s">
        <v>486</v>
      </c>
      <c r="M429" s="120" t="s">
        <v>1091</v>
      </c>
      <c r="N429" s="120" t="s">
        <v>591</v>
      </c>
      <c r="O429" s="2643">
        <v>1</v>
      </c>
      <c r="P429" s="2643"/>
      <c r="Q429" s="2643">
        <v>39534.225599999998</v>
      </c>
      <c r="R429" s="2643"/>
      <c r="S429" s="2643">
        <v>39534.225599999998</v>
      </c>
      <c r="T429" s="2643"/>
    </row>
    <row r="430" spans="1:20" ht="17.100000000000001" customHeight="1" x14ac:dyDescent="0.3">
      <c r="A430" s="133" t="s">
        <v>488</v>
      </c>
      <c r="B430" s="134"/>
      <c r="C430" s="120"/>
      <c r="D430" s="120"/>
      <c r="E430" s="2645"/>
      <c r="F430" s="2646"/>
      <c r="G430" s="2643"/>
      <c r="H430" s="2644"/>
      <c r="I430" s="2643">
        <v>0</v>
      </c>
      <c r="J430" s="2644"/>
      <c r="K430" s="124"/>
      <c r="L430" s="122" t="s">
        <v>489</v>
      </c>
      <c r="M430" s="120"/>
      <c r="N430" s="120"/>
      <c r="O430" s="2643"/>
      <c r="P430" s="2643"/>
      <c r="Q430" s="2643"/>
      <c r="R430" s="2643"/>
      <c r="S430" s="2643">
        <v>0</v>
      </c>
      <c r="T430" s="2643"/>
    </row>
    <row r="431" spans="1:20" ht="17.100000000000001" customHeight="1" x14ac:dyDescent="0.35">
      <c r="A431" s="135" t="s">
        <v>490</v>
      </c>
      <c r="B431" s="136"/>
      <c r="C431" s="120"/>
      <c r="D431" s="120"/>
      <c r="E431" s="2645"/>
      <c r="F431" s="2646"/>
      <c r="G431" s="2643"/>
      <c r="H431" s="2644"/>
      <c r="I431" s="2715">
        <v>282000</v>
      </c>
      <c r="J431" s="2716"/>
      <c r="K431" s="124"/>
      <c r="L431" s="122" t="s">
        <v>491</v>
      </c>
      <c r="M431" s="120"/>
      <c r="N431" s="120"/>
      <c r="O431" s="2643"/>
      <c r="P431" s="2643"/>
      <c r="Q431" s="2643"/>
      <c r="R431" s="2643"/>
      <c r="S431" s="2643">
        <v>0</v>
      </c>
      <c r="T431" s="2643"/>
    </row>
    <row r="432" spans="1:20" ht="17.100000000000001" customHeight="1" x14ac:dyDescent="0.4">
      <c r="A432" s="133" t="s">
        <v>492</v>
      </c>
      <c r="B432" s="136"/>
      <c r="C432" s="120" t="s">
        <v>496</v>
      </c>
      <c r="D432" s="120" t="s">
        <v>497</v>
      </c>
      <c r="E432" s="2643">
        <v>6</v>
      </c>
      <c r="F432" s="2643"/>
      <c r="G432" s="2641">
        <v>47000</v>
      </c>
      <c r="H432" s="2642">
        <v>38202.400000000001</v>
      </c>
      <c r="I432" s="2643">
        <v>282000</v>
      </c>
      <c r="J432" s="2644"/>
      <c r="K432" s="124"/>
      <c r="L432" s="122" t="s">
        <v>494</v>
      </c>
      <c r="M432" s="120" t="s">
        <v>796</v>
      </c>
      <c r="N432" s="120" t="s">
        <v>591</v>
      </c>
      <c r="O432" s="2643">
        <v>2</v>
      </c>
      <c r="P432" s="2643"/>
      <c r="Q432" s="2643">
        <v>161066.6992</v>
      </c>
      <c r="R432" s="2643"/>
      <c r="S432" s="2643">
        <v>322133.39840000001</v>
      </c>
      <c r="T432" s="2643"/>
    </row>
    <row r="433" spans="1:20" ht="17.100000000000001" customHeight="1" x14ac:dyDescent="0.3">
      <c r="A433" s="137" t="s">
        <v>717</v>
      </c>
      <c r="B433" s="138"/>
      <c r="C433" s="120"/>
      <c r="D433" s="120"/>
      <c r="E433" s="2643"/>
      <c r="F433" s="2643"/>
      <c r="G433" s="2643"/>
      <c r="H433" s="2644"/>
      <c r="I433" s="2643">
        <v>0</v>
      </c>
      <c r="J433" s="2644"/>
      <c r="K433" s="124"/>
      <c r="L433" s="122" t="s">
        <v>498</v>
      </c>
      <c r="M433" s="120"/>
      <c r="N433" s="120"/>
      <c r="O433" s="2643"/>
      <c r="P433" s="2643"/>
      <c r="Q433" s="2643"/>
      <c r="R433" s="2643"/>
      <c r="S433" s="2643">
        <v>0</v>
      </c>
      <c r="T433" s="2643"/>
    </row>
    <row r="434" spans="1:20" ht="17.100000000000001" customHeight="1" x14ac:dyDescent="0.3">
      <c r="A434" s="2578" t="s">
        <v>501</v>
      </c>
      <c r="B434" s="2579"/>
      <c r="C434" s="120"/>
      <c r="D434" s="120"/>
      <c r="E434" s="2643"/>
      <c r="F434" s="2643"/>
      <c r="G434" s="2643"/>
      <c r="H434" s="2644"/>
      <c r="I434" s="2643">
        <v>0</v>
      </c>
      <c r="J434" s="2644"/>
      <c r="K434" s="124"/>
      <c r="L434" s="139" t="s">
        <v>504</v>
      </c>
      <c r="M434" s="140" t="s">
        <v>738</v>
      </c>
      <c r="N434" s="140" t="s">
        <v>591</v>
      </c>
      <c r="O434" s="2643">
        <v>2</v>
      </c>
      <c r="P434" s="2643"/>
      <c r="Q434" s="2643">
        <v>24796.7248</v>
      </c>
      <c r="R434" s="2643"/>
      <c r="S434" s="2643">
        <v>49593.4496</v>
      </c>
      <c r="T434" s="2643"/>
    </row>
    <row r="435" spans="1:20" ht="17.100000000000001" customHeight="1" x14ac:dyDescent="0.3">
      <c r="A435" s="2589" t="s">
        <v>504</v>
      </c>
      <c r="B435" s="2590"/>
      <c r="C435" s="120"/>
      <c r="D435" s="120"/>
      <c r="E435" s="2643"/>
      <c r="F435" s="2643"/>
      <c r="G435" s="2643"/>
      <c r="H435" s="2644"/>
      <c r="I435" s="2643">
        <v>0</v>
      </c>
      <c r="J435" s="2644"/>
      <c r="K435" s="124"/>
      <c r="L435" s="139"/>
      <c r="M435" s="139"/>
      <c r="N435" s="139"/>
      <c r="O435" s="2643"/>
      <c r="P435" s="2643"/>
      <c r="Q435" s="2643"/>
      <c r="R435" s="2643"/>
      <c r="S435" s="2643"/>
      <c r="T435" s="2643"/>
    </row>
    <row r="436" spans="1:20" ht="17.100000000000001" customHeight="1" x14ac:dyDescent="0.3">
      <c r="A436" s="2589" t="s">
        <v>504</v>
      </c>
      <c r="B436" s="2590"/>
      <c r="C436" s="120"/>
      <c r="D436" s="120"/>
      <c r="E436" s="2643"/>
      <c r="F436" s="2643"/>
      <c r="G436" s="2643"/>
      <c r="H436" s="2644"/>
      <c r="I436" s="2643">
        <v>0</v>
      </c>
      <c r="J436" s="2644"/>
      <c r="K436" s="124"/>
      <c r="L436" s="139" t="s">
        <v>595</v>
      </c>
      <c r="M436" s="139"/>
      <c r="N436" s="139"/>
      <c r="O436" s="2643"/>
      <c r="P436" s="2643"/>
      <c r="Q436" s="2643"/>
      <c r="R436" s="2643"/>
      <c r="S436" s="2643">
        <v>0</v>
      </c>
      <c r="T436" s="2643"/>
    </row>
    <row r="437" spans="1:20" ht="17.100000000000001" customHeight="1" x14ac:dyDescent="0.35">
      <c r="A437" s="2595" t="s">
        <v>506</v>
      </c>
      <c r="B437" s="2596"/>
      <c r="C437" s="120"/>
      <c r="D437" s="120"/>
      <c r="E437" s="2645"/>
      <c r="F437" s="2646"/>
      <c r="G437" s="2643"/>
      <c r="H437" s="2644"/>
      <c r="I437" s="2715">
        <v>1786000</v>
      </c>
      <c r="J437" s="2716"/>
      <c r="K437" s="121"/>
      <c r="L437" s="139" t="s">
        <v>507</v>
      </c>
      <c r="M437" s="140" t="s">
        <v>596</v>
      </c>
      <c r="N437" s="140" t="s">
        <v>497</v>
      </c>
      <c r="O437" s="2643">
        <v>106</v>
      </c>
      <c r="P437" s="2643"/>
      <c r="Q437" s="2643">
        <v>3221.5744</v>
      </c>
      <c r="R437" s="2643"/>
      <c r="S437" s="2643">
        <v>341486.88640000002</v>
      </c>
      <c r="T437" s="2643"/>
    </row>
    <row r="438" spans="1:20" ht="17.100000000000001" customHeight="1" x14ac:dyDescent="0.4">
      <c r="A438" s="2589" t="s">
        <v>509</v>
      </c>
      <c r="B438" s="2590"/>
      <c r="C438" s="120" t="s">
        <v>496</v>
      </c>
      <c r="D438" s="120" t="s">
        <v>497</v>
      </c>
      <c r="E438" s="2645">
        <v>4</v>
      </c>
      <c r="F438" s="2646"/>
      <c r="G438" s="2641">
        <v>47000</v>
      </c>
      <c r="H438" s="2642">
        <v>38202.400000000001</v>
      </c>
      <c r="I438" s="2643">
        <v>188000</v>
      </c>
      <c r="J438" s="2644"/>
      <c r="K438" s="124"/>
      <c r="L438" s="139" t="s">
        <v>510</v>
      </c>
      <c r="M438" s="140" t="s">
        <v>739</v>
      </c>
      <c r="N438" s="140" t="s">
        <v>599</v>
      </c>
      <c r="O438" s="2643">
        <v>5</v>
      </c>
      <c r="P438" s="2643"/>
      <c r="Q438" s="2643">
        <v>14203.1216</v>
      </c>
      <c r="R438" s="2643"/>
      <c r="S438" s="2643">
        <v>71015.608000000007</v>
      </c>
      <c r="T438" s="2643"/>
    </row>
    <row r="439" spans="1:20" ht="17.100000000000001" customHeight="1" x14ac:dyDescent="0.3">
      <c r="A439" s="2589" t="s">
        <v>512</v>
      </c>
      <c r="B439" s="2590"/>
      <c r="C439" s="120"/>
      <c r="D439" s="120"/>
      <c r="E439" s="2645"/>
      <c r="F439" s="2646"/>
      <c r="G439" s="2643"/>
      <c r="H439" s="2644"/>
      <c r="I439" s="2643">
        <v>0</v>
      </c>
      <c r="J439" s="2644"/>
      <c r="K439" s="124"/>
      <c r="L439" s="139" t="s">
        <v>600</v>
      </c>
      <c r="M439" s="140" t="s">
        <v>600</v>
      </c>
      <c r="N439" s="140" t="s">
        <v>600</v>
      </c>
      <c r="O439" s="2643">
        <v>800</v>
      </c>
      <c r="P439" s="2643"/>
      <c r="Q439" s="2643">
        <v>2210.7343999999998</v>
      </c>
      <c r="R439" s="2643"/>
      <c r="S439" s="2643">
        <v>1768587.5199999998</v>
      </c>
      <c r="T439" s="2643"/>
    </row>
    <row r="440" spans="1:20" ht="17.100000000000001" customHeight="1" x14ac:dyDescent="0.3">
      <c r="A440" s="137" t="s">
        <v>514</v>
      </c>
      <c r="B440" s="138"/>
      <c r="C440" s="120"/>
      <c r="D440" s="120"/>
      <c r="E440" s="2645"/>
      <c r="F440" s="2646"/>
      <c r="G440" s="2643"/>
      <c r="H440" s="2644"/>
      <c r="I440" s="2643">
        <v>0</v>
      </c>
      <c r="J440" s="2644"/>
      <c r="K440" s="124"/>
      <c r="L440" s="139" t="s">
        <v>515</v>
      </c>
      <c r="M440" s="140"/>
      <c r="N440" s="140"/>
      <c r="O440" s="2643"/>
      <c r="P440" s="2643"/>
      <c r="Q440" s="2643"/>
      <c r="R440" s="2643"/>
      <c r="S440" s="2643">
        <v>0</v>
      </c>
      <c r="T440" s="2643"/>
    </row>
    <row r="441" spans="1:20" ht="17.100000000000001" customHeight="1" x14ac:dyDescent="0.3">
      <c r="A441" s="2589" t="s">
        <v>516</v>
      </c>
      <c r="B441" s="2590"/>
      <c r="C441" s="120"/>
      <c r="D441" s="120"/>
      <c r="E441" s="2645"/>
      <c r="F441" s="2646"/>
      <c r="G441" s="2643"/>
      <c r="H441" s="2644"/>
      <c r="I441" s="2643">
        <v>0</v>
      </c>
      <c r="J441" s="2644"/>
      <c r="K441" s="124"/>
      <c r="L441" s="139" t="s">
        <v>575</v>
      </c>
      <c r="M441" s="140" t="s">
        <v>740</v>
      </c>
      <c r="N441" s="140" t="s">
        <v>740</v>
      </c>
      <c r="O441" s="2643">
        <v>80</v>
      </c>
      <c r="P441" s="2643"/>
      <c r="Q441" s="2643">
        <v>4835.6400000000003</v>
      </c>
      <c r="R441" s="2643"/>
      <c r="S441" s="2643">
        <v>386851.2</v>
      </c>
      <c r="T441" s="2643"/>
    </row>
    <row r="442" spans="1:20" ht="17.100000000000001" customHeight="1" x14ac:dyDescent="0.4">
      <c r="A442" s="137" t="s">
        <v>741</v>
      </c>
      <c r="B442" s="138"/>
      <c r="C442" s="120" t="s">
        <v>496</v>
      </c>
      <c r="D442" s="120" t="s">
        <v>497</v>
      </c>
      <c r="E442" s="2645">
        <v>5</v>
      </c>
      <c r="F442" s="2646"/>
      <c r="G442" s="2641">
        <v>47000</v>
      </c>
      <c r="H442" s="2642">
        <v>38202.400000000001</v>
      </c>
      <c r="I442" s="2643">
        <v>235000</v>
      </c>
      <c r="J442" s="2644"/>
      <c r="K442" s="124"/>
      <c r="L442" s="139" t="s">
        <v>510</v>
      </c>
      <c r="M442" s="139"/>
      <c r="N442" s="139"/>
      <c r="O442" s="2643"/>
      <c r="P442" s="2643"/>
      <c r="Q442" s="2643"/>
      <c r="R442" s="2643"/>
      <c r="S442" s="2643"/>
      <c r="T442" s="2643"/>
    </row>
    <row r="443" spans="1:20" ht="17.100000000000001" customHeight="1" x14ac:dyDescent="0.4">
      <c r="A443" s="137" t="s">
        <v>519</v>
      </c>
      <c r="B443" s="141"/>
      <c r="C443" s="120" t="s">
        <v>496</v>
      </c>
      <c r="D443" s="120" t="s">
        <v>497</v>
      </c>
      <c r="E443" s="2655">
        <v>2</v>
      </c>
      <c r="F443" s="2655"/>
      <c r="G443" s="2641">
        <v>47000</v>
      </c>
      <c r="H443" s="2642">
        <v>38202.400000000001</v>
      </c>
      <c r="I443" s="2643">
        <v>94000</v>
      </c>
      <c r="J443" s="2644"/>
      <c r="K443" s="124"/>
      <c r="L443" s="139"/>
      <c r="M443" s="139"/>
      <c r="N443" s="139"/>
      <c r="O443" s="2643"/>
      <c r="P443" s="2643"/>
      <c r="Q443" s="2643"/>
      <c r="R443" s="2643"/>
      <c r="S443" s="2643"/>
      <c r="T443" s="2643"/>
    </row>
    <row r="444" spans="1:20" ht="17.100000000000001" customHeight="1" x14ac:dyDescent="0.3">
      <c r="A444" s="137" t="s">
        <v>475</v>
      </c>
      <c r="B444" s="138"/>
      <c r="C444" s="120"/>
      <c r="D444" s="120"/>
      <c r="E444" s="2643"/>
      <c r="F444" s="2643"/>
      <c r="G444" s="2643"/>
      <c r="H444" s="2644"/>
      <c r="I444" s="2643">
        <v>0</v>
      </c>
      <c r="J444" s="2644"/>
      <c r="K444" s="124"/>
      <c r="L444" s="139"/>
      <c r="M444" s="139"/>
      <c r="N444" s="139"/>
      <c r="O444" s="2643"/>
      <c r="P444" s="2643"/>
      <c r="Q444" s="2643"/>
      <c r="R444" s="2643"/>
      <c r="S444" s="2643"/>
      <c r="T444" s="2643"/>
    </row>
    <row r="445" spans="1:20" ht="17.100000000000001" customHeight="1" x14ac:dyDescent="0.4">
      <c r="A445" s="2578" t="s">
        <v>520</v>
      </c>
      <c r="B445" s="2579"/>
      <c r="C445" s="120" t="s">
        <v>496</v>
      </c>
      <c r="D445" s="120" t="s">
        <v>497</v>
      </c>
      <c r="E445" s="2645">
        <v>3</v>
      </c>
      <c r="F445" s="2646"/>
      <c r="G445" s="2641">
        <v>47000</v>
      </c>
      <c r="H445" s="2642">
        <v>38202.400000000001</v>
      </c>
      <c r="I445" s="2643">
        <v>141000</v>
      </c>
      <c r="J445" s="2644"/>
      <c r="K445" s="124"/>
      <c r="L445" s="142" t="s">
        <v>521</v>
      </c>
      <c r="M445" s="143"/>
      <c r="N445" s="143"/>
      <c r="O445" s="2591"/>
      <c r="P445" s="2592"/>
      <c r="Q445" s="2591"/>
      <c r="R445" s="2592"/>
      <c r="S445" s="2593">
        <v>8628001.4239999987</v>
      </c>
      <c r="T445" s="2594"/>
    </row>
    <row r="446" spans="1:20" ht="17.100000000000001" customHeight="1" x14ac:dyDescent="0.3">
      <c r="A446" s="137" t="s">
        <v>522</v>
      </c>
      <c r="B446" s="138"/>
      <c r="C446" s="120"/>
      <c r="D446" s="120"/>
      <c r="E446" s="2645"/>
      <c r="F446" s="2646"/>
      <c r="G446" s="2559"/>
      <c r="H446" s="2560"/>
      <c r="I446" s="2643">
        <v>0</v>
      </c>
      <c r="J446" s="2644"/>
      <c r="K446" s="124"/>
      <c r="L446" s="144" t="s">
        <v>577</v>
      </c>
      <c r="M446" s="145"/>
      <c r="N446" s="145"/>
      <c r="O446" s="146"/>
      <c r="P446" s="146"/>
      <c r="Q446" s="146"/>
      <c r="R446" s="146"/>
      <c r="S446" s="146"/>
      <c r="T446" s="147"/>
    </row>
    <row r="447" spans="1:20" ht="17.100000000000001" customHeight="1" x14ac:dyDescent="0.4">
      <c r="A447" s="2578" t="s">
        <v>524</v>
      </c>
      <c r="B447" s="2579"/>
      <c r="C447" s="120" t="s">
        <v>496</v>
      </c>
      <c r="D447" s="120" t="s">
        <v>497</v>
      </c>
      <c r="E447" s="2645">
        <v>3</v>
      </c>
      <c r="F447" s="2646"/>
      <c r="G447" s="2641">
        <v>47000</v>
      </c>
      <c r="H447" s="2642">
        <v>38202.400000000001</v>
      </c>
      <c r="I447" s="2643">
        <v>141000</v>
      </c>
      <c r="J447" s="2644"/>
      <c r="K447" s="124"/>
      <c r="L447" s="148" t="s">
        <v>525</v>
      </c>
      <c r="M447" s="149">
        <v>0.05</v>
      </c>
      <c r="N447" s="45"/>
      <c r="O447" s="26"/>
      <c r="P447" s="26"/>
      <c r="Q447" s="26"/>
      <c r="R447" s="26"/>
      <c r="S447" s="2575">
        <v>675218.43808562495</v>
      </c>
      <c r="T447" s="2560"/>
    </row>
    <row r="448" spans="1:20" ht="17.100000000000001" customHeight="1" x14ac:dyDescent="0.3">
      <c r="A448" s="137" t="s">
        <v>526</v>
      </c>
      <c r="B448" s="138"/>
      <c r="C448" s="120"/>
      <c r="D448" s="120"/>
      <c r="E448" s="2645"/>
      <c r="F448" s="2646"/>
      <c r="G448" s="2643"/>
      <c r="H448" s="2644"/>
      <c r="I448" s="2643">
        <v>0</v>
      </c>
      <c r="J448" s="2644"/>
      <c r="K448" s="124"/>
      <c r="L448" s="151" t="s">
        <v>527</v>
      </c>
      <c r="M448" s="45"/>
      <c r="N448" s="45"/>
      <c r="O448" s="26"/>
      <c r="P448" s="26"/>
      <c r="Q448" s="26"/>
      <c r="R448" s="26"/>
      <c r="S448" s="2575">
        <v>103816</v>
      </c>
      <c r="T448" s="2560"/>
    </row>
    <row r="449" spans="1:22" ht="17.100000000000001" customHeight="1" x14ac:dyDescent="0.3">
      <c r="A449" s="133" t="s">
        <v>578</v>
      </c>
      <c r="B449" s="136"/>
      <c r="C449" s="140"/>
      <c r="D449" s="140"/>
      <c r="E449" s="2655"/>
      <c r="F449" s="2655"/>
      <c r="G449" s="2643"/>
      <c r="H449" s="2644"/>
      <c r="I449" s="2643">
        <v>0</v>
      </c>
      <c r="J449" s="2644"/>
      <c r="K449" s="124"/>
      <c r="L449" s="152" t="s">
        <v>529</v>
      </c>
      <c r="M449" s="45"/>
      <c r="N449" s="45"/>
      <c r="O449" s="26"/>
      <c r="P449" s="26"/>
      <c r="Q449" s="26"/>
      <c r="R449" s="26"/>
      <c r="S449" s="2575">
        <v>546400</v>
      </c>
      <c r="T449" s="2560"/>
    </row>
    <row r="450" spans="1:22" ht="17.100000000000001" customHeight="1" x14ac:dyDescent="0.4">
      <c r="A450" s="153" t="s">
        <v>579</v>
      </c>
      <c r="B450" s="154"/>
      <c r="C450" s="120" t="s">
        <v>496</v>
      </c>
      <c r="D450" s="120" t="s">
        <v>497</v>
      </c>
      <c r="E450" s="2643">
        <v>8</v>
      </c>
      <c r="F450" s="2643"/>
      <c r="G450" s="2641">
        <v>47000</v>
      </c>
      <c r="H450" s="2642">
        <v>38202.400000000001</v>
      </c>
      <c r="I450" s="2643">
        <v>376000</v>
      </c>
      <c r="J450" s="2644"/>
      <c r="K450" s="124"/>
      <c r="L450" s="152" t="s">
        <v>531</v>
      </c>
      <c r="M450" s="45"/>
      <c r="N450" s="45"/>
      <c r="O450" s="26"/>
      <c r="P450" s="26"/>
      <c r="Q450" s="26"/>
      <c r="R450" s="26"/>
      <c r="S450" s="2575">
        <v>405131.06285137497</v>
      </c>
      <c r="T450" s="2560"/>
    </row>
    <row r="451" spans="1:22" ht="17.100000000000001" customHeight="1" x14ac:dyDescent="0.3">
      <c r="A451" s="137" t="s">
        <v>532</v>
      </c>
      <c r="B451" s="138"/>
      <c r="C451" s="120"/>
      <c r="D451" s="120"/>
      <c r="E451" s="2645"/>
      <c r="F451" s="2646"/>
      <c r="G451" s="2643"/>
      <c r="H451" s="2644"/>
      <c r="I451" s="2643">
        <v>0</v>
      </c>
      <c r="J451" s="2644"/>
      <c r="K451" s="124"/>
      <c r="L451" s="166" t="s">
        <v>504</v>
      </c>
      <c r="M451" s="155"/>
      <c r="N451" s="155"/>
      <c r="O451" s="167"/>
      <c r="P451" s="167"/>
      <c r="Q451" s="167"/>
      <c r="R451" s="167"/>
      <c r="S451" s="2557">
        <v>196704</v>
      </c>
      <c r="T451" s="2558"/>
    </row>
    <row r="452" spans="1:22" ht="17.100000000000001" customHeight="1" x14ac:dyDescent="0.3">
      <c r="A452" s="2578" t="s">
        <v>727</v>
      </c>
      <c r="B452" s="2579"/>
      <c r="C452" s="120"/>
      <c r="D452" s="120"/>
      <c r="E452" s="2645"/>
      <c r="F452" s="2646"/>
      <c r="G452" s="2643"/>
      <c r="H452" s="2644"/>
      <c r="I452" s="2643">
        <v>0</v>
      </c>
      <c r="J452" s="2644"/>
      <c r="K452" s="124"/>
      <c r="L452" s="156" t="s">
        <v>533</v>
      </c>
      <c r="M452" s="157"/>
      <c r="N452" s="157"/>
      <c r="O452" s="158"/>
      <c r="P452" s="158"/>
      <c r="Q452" s="158"/>
      <c r="R452" s="158"/>
      <c r="S452" s="2587">
        <v>1927269.5009369999</v>
      </c>
      <c r="T452" s="2588"/>
    </row>
    <row r="453" spans="1:22" ht="17.100000000000001" customHeight="1" x14ac:dyDescent="0.3">
      <c r="A453" s="2578" t="s">
        <v>534</v>
      </c>
      <c r="B453" s="2579"/>
      <c r="C453" s="120"/>
      <c r="D453" s="120"/>
      <c r="E453" s="2643"/>
      <c r="F453" s="2643"/>
      <c r="G453" s="2643"/>
      <c r="H453" s="2644"/>
      <c r="I453" s="2643">
        <v>0</v>
      </c>
      <c r="J453" s="2644"/>
      <c r="K453" s="124"/>
      <c r="L453" s="159"/>
      <c r="M453" s="45"/>
      <c r="N453" s="45"/>
      <c r="O453" s="26"/>
      <c r="P453" s="26"/>
      <c r="Q453" s="26"/>
      <c r="R453" s="26"/>
      <c r="S453" s="26"/>
      <c r="T453" s="150"/>
    </row>
    <row r="454" spans="1:22" ht="17.100000000000001" customHeight="1" thickBot="1" x14ac:dyDescent="0.45">
      <c r="A454" s="2578" t="s">
        <v>535</v>
      </c>
      <c r="B454" s="2579"/>
      <c r="C454" s="120" t="s">
        <v>496</v>
      </c>
      <c r="D454" s="120" t="s">
        <v>497</v>
      </c>
      <c r="E454" s="2645">
        <v>3</v>
      </c>
      <c r="F454" s="2646"/>
      <c r="G454" s="2641">
        <v>47000</v>
      </c>
      <c r="H454" s="2642">
        <v>38202.400000000001</v>
      </c>
      <c r="I454" s="2643">
        <v>141000</v>
      </c>
      <c r="J454" s="2644"/>
      <c r="K454" s="124"/>
      <c r="L454" s="160" t="s">
        <v>583</v>
      </c>
      <c r="M454" s="161"/>
      <c r="N454" s="161"/>
      <c r="O454" s="161"/>
      <c r="P454" s="161"/>
      <c r="Q454" s="161"/>
      <c r="R454" s="161"/>
      <c r="S454" s="2580">
        <v>15431638.262649499</v>
      </c>
      <c r="T454" s="2581"/>
      <c r="V454" s="1047">
        <f>'TOTAL TRANSITORIOS'!W19</f>
        <v>15431638.262649499</v>
      </c>
    </row>
    <row r="455" spans="1:22" ht="17.100000000000001" customHeight="1" thickBot="1" x14ac:dyDescent="0.45">
      <c r="A455" s="133" t="s">
        <v>537</v>
      </c>
      <c r="B455" s="136"/>
      <c r="C455" s="140" t="s">
        <v>496</v>
      </c>
      <c r="D455" s="120" t="s">
        <v>497</v>
      </c>
      <c r="E455" s="2643">
        <v>2</v>
      </c>
      <c r="F455" s="2644"/>
      <c r="G455" s="2641">
        <v>47000</v>
      </c>
      <c r="H455" s="2642">
        <v>38202.400000000001</v>
      </c>
      <c r="I455" s="2643">
        <v>94000</v>
      </c>
      <c r="J455" s="2644"/>
      <c r="K455" s="124"/>
      <c r="L455" s="45"/>
      <c r="M455" s="45"/>
      <c r="N455" s="45"/>
      <c r="O455" s="45"/>
      <c r="P455" s="45"/>
      <c r="Q455" s="45"/>
      <c r="R455" s="45"/>
      <c r="S455" s="45"/>
      <c r="T455" s="45"/>
    </row>
    <row r="456" spans="1:22" ht="17.100000000000001" customHeight="1" x14ac:dyDescent="0.3">
      <c r="A456" s="133" t="s">
        <v>538</v>
      </c>
      <c r="B456" s="136"/>
      <c r="C456" s="140"/>
      <c r="D456" s="120"/>
      <c r="E456" s="2643"/>
      <c r="F456" s="2644"/>
      <c r="G456" s="2643"/>
      <c r="H456" s="2644"/>
      <c r="I456" s="2643">
        <v>0</v>
      </c>
      <c r="J456" s="2644"/>
      <c r="K456" s="124"/>
      <c r="L456" s="45"/>
      <c r="M456" s="2582" t="s">
        <v>539</v>
      </c>
      <c r="N456" s="2583"/>
      <c r="O456" s="2583"/>
      <c r="P456" s="2583"/>
      <c r="Q456" s="2584"/>
      <c r="R456" s="45"/>
      <c r="S456" s="45"/>
      <c r="T456" s="45"/>
    </row>
    <row r="457" spans="1:22" ht="17.100000000000001" customHeight="1" x14ac:dyDescent="0.3">
      <c r="A457" s="133" t="s">
        <v>540</v>
      </c>
      <c r="B457" s="136"/>
      <c r="C457" s="140"/>
      <c r="D457" s="140"/>
      <c r="E457" s="2643"/>
      <c r="F457" s="2644"/>
      <c r="G457" s="2643"/>
      <c r="H457" s="2644"/>
      <c r="I457" s="2643">
        <v>0</v>
      </c>
      <c r="J457" s="2644"/>
      <c r="K457" s="124"/>
      <c r="L457" s="45"/>
      <c r="M457" s="101" t="s">
        <v>541</v>
      </c>
      <c r="N457" s="102"/>
      <c r="O457" s="102"/>
      <c r="P457" s="102"/>
      <c r="Q457" s="103">
        <v>6.5390625</v>
      </c>
      <c r="R457" s="45"/>
      <c r="S457" s="45"/>
      <c r="T457" s="45"/>
      <c r="U457" s="37" t="s">
        <v>542</v>
      </c>
    </row>
    <row r="458" spans="1:22" ht="17.100000000000001" customHeight="1" x14ac:dyDescent="0.4">
      <c r="A458" s="133" t="s">
        <v>742</v>
      </c>
      <c r="B458" s="136"/>
      <c r="C458" s="140" t="s">
        <v>496</v>
      </c>
      <c r="D458" s="120" t="s">
        <v>497</v>
      </c>
      <c r="E458" s="2643">
        <v>8</v>
      </c>
      <c r="F458" s="2644"/>
      <c r="G458" s="2641">
        <v>47000</v>
      </c>
      <c r="H458" s="2642">
        <v>38202.400000000001</v>
      </c>
      <c r="I458" s="2643">
        <v>376000</v>
      </c>
      <c r="J458" s="2644"/>
      <c r="K458" s="124"/>
      <c r="L458" s="45"/>
      <c r="M458" s="104" t="s">
        <v>544</v>
      </c>
      <c r="N458" s="102"/>
      <c r="O458" s="102"/>
      <c r="P458" s="105"/>
      <c r="Q458" s="106">
        <v>15431638.262649499</v>
      </c>
      <c r="R458" s="45"/>
      <c r="S458" s="45"/>
      <c r="T458" s="45"/>
      <c r="U458" s="37"/>
    </row>
    <row r="459" spans="1:22" ht="17.100000000000001" customHeight="1" x14ac:dyDescent="0.35">
      <c r="A459" s="135" t="s">
        <v>545</v>
      </c>
      <c r="B459" s="136"/>
      <c r="C459" s="140"/>
      <c r="D459" s="140"/>
      <c r="E459" s="2643"/>
      <c r="F459" s="2644"/>
      <c r="G459" s="2643"/>
      <c r="H459" s="2644"/>
      <c r="I459" s="2715">
        <v>1780342.7537125</v>
      </c>
      <c r="J459" s="2716"/>
      <c r="K459" s="121"/>
      <c r="L459" s="45"/>
      <c r="M459" s="101" t="s">
        <v>546</v>
      </c>
      <c r="N459" s="102"/>
      <c r="O459" s="102"/>
      <c r="P459" s="102"/>
      <c r="Q459" s="106">
        <v>2563999.9999999995</v>
      </c>
      <c r="R459" s="47"/>
      <c r="S459" s="45"/>
      <c r="T459" s="45"/>
      <c r="U459" s="37" t="s">
        <v>542</v>
      </c>
    </row>
    <row r="460" spans="1:22" ht="17.100000000000001" customHeight="1" x14ac:dyDescent="0.4">
      <c r="A460" s="133" t="s">
        <v>547</v>
      </c>
      <c r="B460" s="136"/>
      <c r="C460" s="140" t="s">
        <v>496</v>
      </c>
      <c r="D460" s="120" t="s">
        <v>497</v>
      </c>
      <c r="E460" s="2643">
        <v>20</v>
      </c>
      <c r="F460" s="2644"/>
      <c r="G460" s="2641">
        <v>47000</v>
      </c>
      <c r="H460" s="2642">
        <v>38202.400000000001</v>
      </c>
      <c r="I460" s="2643">
        <v>940000</v>
      </c>
      <c r="J460" s="2644"/>
      <c r="K460" s="124"/>
      <c r="L460" s="45"/>
      <c r="M460" s="101" t="s">
        <v>758</v>
      </c>
      <c r="N460" s="102"/>
      <c r="O460" s="102"/>
      <c r="P460" s="102"/>
      <c r="Q460" s="106">
        <v>16766156.249999996</v>
      </c>
      <c r="R460" s="44"/>
      <c r="S460" s="45"/>
      <c r="T460" s="45"/>
    </row>
    <row r="461" spans="1:22" ht="17.100000000000001" customHeight="1" thickBot="1" x14ac:dyDescent="0.35">
      <c r="A461" s="133" t="s">
        <v>548</v>
      </c>
      <c r="B461" s="136"/>
      <c r="C461" s="140"/>
      <c r="D461" s="140"/>
      <c r="E461" s="2643"/>
      <c r="F461" s="2644"/>
      <c r="G461" s="2643"/>
      <c r="H461" s="2644"/>
      <c r="I461" s="2643">
        <v>0</v>
      </c>
      <c r="J461" s="2644"/>
      <c r="K461" s="124"/>
      <c r="L461" s="45"/>
      <c r="M461" s="108" t="s">
        <v>549</v>
      </c>
      <c r="N461" s="109"/>
      <c r="O461" s="109"/>
      <c r="P461" s="109"/>
      <c r="Q461" s="110">
        <v>1334517.9873504974</v>
      </c>
      <c r="R461" s="45"/>
      <c r="S461" s="45"/>
      <c r="T461" s="45"/>
    </row>
    <row r="462" spans="1:22" ht="17.100000000000001" customHeight="1" thickBot="1" x14ac:dyDescent="0.35">
      <c r="A462" s="133" t="s">
        <v>614</v>
      </c>
      <c r="B462" s="136"/>
      <c r="C462" s="140"/>
      <c r="D462" s="140"/>
      <c r="E462" s="2643"/>
      <c r="F462" s="2644"/>
      <c r="G462" s="2643"/>
      <c r="H462" s="2644"/>
      <c r="I462" s="2643">
        <v>0</v>
      </c>
      <c r="J462" s="2644"/>
      <c r="K462" s="124"/>
      <c r="L462" s="45"/>
      <c r="M462" s="1048" t="s">
        <v>759</v>
      </c>
      <c r="N462" s="1049"/>
      <c r="O462" s="1049"/>
      <c r="P462" s="1049"/>
      <c r="Q462" s="1050">
        <v>8.6479346174187111</v>
      </c>
      <c r="R462" s="45"/>
      <c r="S462" s="45"/>
      <c r="T462" s="45"/>
    </row>
    <row r="463" spans="1:22" ht="17.100000000000001" customHeight="1" x14ac:dyDescent="0.3">
      <c r="A463" s="133" t="s">
        <v>1241</v>
      </c>
      <c r="B463" s="136"/>
      <c r="C463" s="140"/>
      <c r="D463" s="140" t="s">
        <v>794</v>
      </c>
      <c r="E463" s="2643"/>
      <c r="F463" s="2644"/>
      <c r="G463" s="2643"/>
      <c r="H463" s="2644"/>
      <c r="I463" s="2643">
        <v>150000</v>
      </c>
      <c r="J463" s="2644"/>
      <c r="K463" s="124"/>
      <c r="L463" s="7" t="s">
        <v>1528</v>
      </c>
      <c r="M463" s="8"/>
      <c r="N463" s="8"/>
      <c r="O463" s="8"/>
      <c r="P463" s="4"/>
      <c r="Q463" s="5"/>
      <c r="R463" s="1979"/>
      <c r="S463" s="45"/>
      <c r="T463" s="44"/>
    </row>
    <row r="464" spans="1:22" ht="17.100000000000001" customHeight="1" x14ac:dyDescent="0.3">
      <c r="A464" s="133" t="s">
        <v>615</v>
      </c>
      <c r="B464" s="136"/>
      <c r="C464" s="140" t="s">
        <v>730</v>
      </c>
      <c r="D464" s="140" t="s">
        <v>556</v>
      </c>
      <c r="E464" s="2718">
        <v>6.5390625</v>
      </c>
      <c r="F464" s="2722"/>
      <c r="G464" s="2643">
        <v>105572.1296</v>
      </c>
      <c r="H464" s="2644">
        <v>85872.72</v>
      </c>
      <c r="I464" s="2643">
        <v>690342.75371249998</v>
      </c>
      <c r="J464" s="2644"/>
      <c r="K464" s="124"/>
      <c r="L464" s="597" t="s">
        <v>1583</v>
      </c>
      <c r="M464" s="45"/>
      <c r="N464" s="45"/>
      <c r="O464" s="45"/>
      <c r="P464" s="45"/>
      <c r="Q464" s="45"/>
      <c r="R464" s="45"/>
      <c r="S464" s="44"/>
      <c r="T464" s="45"/>
    </row>
    <row r="465" spans="1:20" ht="17.100000000000001" customHeight="1" thickBot="1" x14ac:dyDescent="0.25">
      <c r="A465" s="162" t="s">
        <v>558</v>
      </c>
      <c r="B465" s="163"/>
      <c r="C465" s="164"/>
      <c r="D465" s="165"/>
      <c r="E465" s="2561">
        <v>72</v>
      </c>
      <c r="F465" s="2562"/>
      <c r="G465" s="2563"/>
      <c r="H465" s="2564"/>
      <c r="I465" s="2561">
        <v>4876367.3377125002</v>
      </c>
      <c r="J465" s="2562"/>
      <c r="K465" s="26"/>
      <c r="L465" s="45"/>
      <c r="M465" s="45"/>
      <c r="N465" s="45"/>
      <c r="O465" s="45"/>
      <c r="P465" s="45"/>
      <c r="Q465" s="45"/>
      <c r="R465" s="44"/>
      <c r="S465" s="45"/>
      <c r="T465" s="45"/>
    </row>
    <row r="466" spans="1:20" ht="13.9" customHeight="1" x14ac:dyDescent="0.2">
      <c r="A466" s="40"/>
      <c r="B466" s="40"/>
      <c r="C466" s="41"/>
      <c r="D466" s="41"/>
      <c r="E466" s="41"/>
      <c r="F466" s="41"/>
      <c r="G466" s="42"/>
      <c r="H466" s="42"/>
      <c r="I466" s="44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</row>
    <row r="467" spans="1:20" ht="13.9" customHeight="1" x14ac:dyDescent="0.2">
      <c r="A467" s="40"/>
      <c r="B467" s="40"/>
      <c r="C467" s="41"/>
      <c r="D467" s="41"/>
      <c r="E467" s="41"/>
      <c r="F467" s="41"/>
      <c r="G467" s="42"/>
      <c r="H467" s="42"/>
      <c r="I467" s="44"/>
      <c r="J467" s="45"/>
      <c r="K467" s="45"/>
      <c r="L467" s="40"/>
      <c r="M467" s="40"/>
      <c r="N467" s="41"/>
      <c r="O467" s="41"/>
      <c r="P467" s="41"/>
      <c r="Q467" s="41"/>
      <c r="R467" s="45"/>
      <c r="S467" s="45"/>
      <c r="T467" s="45"/>
    </row>
    <row r="468" spans="1:20" ht="13.9" customHeight="1" x14ac:dyDescent="0.2">
      <c r="A468" s="2654"/>
      <c r="B468" s="2654"/>
      <c r="C468" s="2654"/>
      <c r="D468" s="2654"/>
      <c r="E468" s="2654"/>
      <c r="F468" s="2654"/>
      <c r="G468" s="2654"/>
      <c r="H468" s="2654"/>
      <c r="I468" s="2654"/>
      <c r="J468" s="2654"/>
      <c r="K468" s="2654"/>
      <c r="L468" s="2654"/>
      <c r="M468" s="2654"/>
      <c r="N468" s="2654"/>
      <c r="O468" s="2654"/>
      <c r="P468" s="2654"/>
      <c r="Q468" s="2654"/>
      <c r="R468" s="2654"/>
      <c r="S468" s="2654"/>
      <c r="T468" s="2654"/>
    </row>
    <row r="469" spans="1:20" ht="13.9" customHeight="1" x14ac:dyDescent="0.2">
      <c r="A469" s="2654"/>
      <c r="B469" s="2654"/>
      <c r="C469" s="2654"/>
      <c r="D469" s="2654"/>
      <c r="E469" s="2654"/>
      <c r="F469" s="2654"/>
      <c r="G469" s="2654"/>
      <c r="H469" s="2654"/>
      <c r="I469" s="2654"/>
      <c r="J469" s="2654"/>
      <c r="K469" s="2654"/>
      <c r="L469" s="2654"/>
      <c r="M469" s="2654"/>
      <c r="N469" s="2654"/>
      <c r="O469" s="2654"/>
      <c r="P469" s="2654"/>
      <c r="Q469" s="2654"/>
      <c r="R469" s="2654"/>
      <c r="S469" s="2654"/>
      <c r="T469" s="2654"/>
    </row>
    <row r="470" spans="1:20" ht="10.9" customHeight="1" x14ac:dyDescent="0.2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</row>
    <row r="471" spans="1:20" ht="14.1" customHeight="1" x14ac:dyDescent="0.2">
      <c r="A471" s="40"/>
      <c r="B471" s="40"/>
      <c r="C471" s="41"/>
      <c r="D471" s="41"/>
      <c r="E471" s="41"/>
      <c r="F471" s="41"/>
      <c r="G471" s="42"/>
      <c r="H471" s="42"/>
      <c r="I471" s="44"/>
      <c r="J471" s="45"/>
      <c r="K471" s="45"/>
      <c r="L471" s="40"/>
      <c r="M471" s="40"/>
      <c r="N471" s="41"/>
      <c r="O471" s="41"/>
      <c r="P471" s="41"/>
      <c r="Q471" s="41"/>
      <c r="R471" s="45"/>
      <c r="S471" s="45"/>
      <c r="T471" s="45"/>
    </row>
    <row r="472" spans="1:20" ht="19.5" customHeight="1" x14ac:dyDescent="0.2">
      <c r="A472" s="2654" t="s">
        <v>1911</v>
      </c>
      <c r="B472" s="2654"/>
      <c r="C472" s="2654"/>
      <c r="D472" s="2654"/>
      <c r="E472" s="2654"/>
      <c r="F472" s="2654"/>
      <c r="G472" s="2654"/>
      <c r="H472" s="2654"/>
      <c r="I472" s="2654"/>
      <c r="J472" s="2654"/>
      <c r="K472" s="2654"/>
      <c r="L472" s="2654"/>
      <c r="M472" s="2654"/>
      <c r="N472" s="2654"/>
      <c r="O472" s="2654"/>
      <c r="P472" s="2654"/>
      <c r="Q472" s="2654"/>
      <c r="R472" s="2654"/>
      <c r="S472" s="2654"/>
      <c r="T472" s="2654"/>
    </row>
    <row r="473" spans="1:20" ht="14.1" customHeight="1" x14ac:dyDescent="0.2">
      <c r="A473" s="40"/>
      <c r="B473" s="40"/>
      <c r="C473" s="115"/>
      <c r="D473" s="41"/>
      <c r="E473" s="41"/>
      <c r="F473" s="41"/>
      <c r="G473" s="42"/>
      <c r="H473" s="42"/>
      <c r="I473" s="44"/>
      <c r="J473" s="45"/>
      <c r="K473" s="45"/>
      <c r="L473" s="40"/>
      <c r="M473" s="40"/>
      <c r="N473" s="115"/>
      <c r="O473" s="45"/>
      <c r="P473" s="45"/>
      <c r="Q473" s="45"/>
      <c r="R473" s="45"/>
      <c r="S473" s="45"/>
      <c r="T473" s="45"/>
    </row>
    <row r="474" spans="1:20" ht="14.1" customHeight="1" thickBot="1" x14ac:dyDescent="0.25">
      <c r="A474" s="40"/>
      <c r="B474" s="40"/>
      <c r="C474" s="41"/>
      <c r="D474" s="41"/>
      <c r="E474" s="41"/>
      <c r="F474" s="41"/>
      <c r="G474" s="42"/>
      <c r="H474" s="42"/>
      <c r="I474" s="44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</row>
    <row r="475" spans="1:20" ht="17.100000000000001" customHeight="1" x14ac:dyDescent="0.3">
      <c r="A475" s="2612" t="s">
        <v>435</v>
      </c>
      <c r="B475" s="2613"/>
      <c r="C475" s="2618" t="s">
        <v>436</v>
      </c>
      <c r="D475" s="2619"/>
      <c r="E475" s="2619"/>
      <c r="F475" s="2620"/>
      <c r="G475" s="2624" t="s">
        <v>437</v>
      </c>
      <c r="H475" s="2625"/>
      <c r="I475" s="2618" t="s">
        <v>439</v>
      </c>
      <c r="J475" s="2620"/>
      <c r="K475" s="49"/>
      <c r="L475" s="2626" t="s">
        <v>435</v>
      </c>
      <c r="M475" s="2619" t="s">
        <v>436</v>
      </c>
      <c r="N475" s="2619"/>
      <c r="O475" s="2619"/>
      <c r="P475" s="2620"/>
      <c r="Q475" s="2624" t="s">
        <v>437</v>
      </c>
      <c r="R475" s="2625"/>
      <c r="S475" s="2618" t="s">
        <v>439</v>
      </c>
      <c r="T475" s="2649"/>
    </row>
    <row r="476" spans="1:20" ht="17.100000000000001" customHeight="1" thickBot="1" x14ac:dyDescent="0.35">
      <c r="A476" s="2614"/>
      <c r="B476" s="2615"/>
      <c r="C476" s="2621"/>
      <c r="D476" s="2622"/>
      <c r="E476" s="2622"/>
      <c r="F476" s="2623"/>
      <c r="G476" s="2629" t="s">
        <v>440</v>
      </c>
      <c r="H476" s="2630"/>
      <c r="I476" s="2631"/>
      <c r="J476" s="2632"/>
      <c r="K476" s="49"/>
      <c r="L476" s="2627"/>
      <c r="M476" s="2622"/>
      <c r="N476" s="2622"/>
      <c r="O476" s="2622"/>
      <c r="P476" s="2623"/>
      <c r="Q476" s="2629" t="s">
        <v>440</v>
      </c>
      <c r="R476" s="2630"/>
      <c r="S476" s="2631"/>
      <c r="T476" s="2650"/>
    </row>
    <row r="477" spans="1:20" ht="17.100000000000001" customHeight="1" x14ac:dyDescent="0.3">
      <c r="A477" s="2614"/>
      <c r="B477" s="2615"/>
      <c r="C477" s="53" t="s">
        <v>441</v>
      </c>
      <c r="D477" s="2670" t="s">
        <v>442</v>
      </c>
      <c r="E477" s="2631" t="s">
        <v>443</v>
      </c>
      <c r="F477" s="2632"/>
      <c r="G477" s="2629" t="s">
        <v>444</v>
      </c>
      <c r="H477" s="2630"/>
      <c r="I477" s="2631" t="s">
        <v>348</v>
      </c>
      <c r="J477" s="2632"/>
      <c r="K477" s="49"/>
      <c r="L477" s="2627"/>
      <c r="M477" s="51" t="s">
        <v>441</v>
      </c>
      <c r="N477" s="2670" t="s">
        <v>442</v>
      </c>
      <c r="O477" s="2631" t="s">
        <v>443</v>
      </c>
      <c r="P477" s="2632"/>
      <c r="Q477" s="2629" t="s">
        <v>444</v>
      </c>
      <c r="R477" s="2630"/>
      <c r="S477" s="2631" t="s">
        <v>348</v>
      </c>
      <c r="T477" s="2650"/>
    </row>
    <row r="478" spans="1:20" ht="17.100000000000001" customHeight="1" thickBot="1" x14ac:dyDescent="0.35">
      <c r="A478" s="2616"/>
      <c r="B478" s="2617"/>
      <c r="C478" s="54" t="s">
        <v>445</v>
      </c>
      <c r="D478" s="2634"/>
      <c r="E478" s="2621"/>
      <c r="F478" s="2623"/>
      <c r="G478" s="2561"/>
      <c r="H478" s="2562"/>
      <c r="I478" s="2635"/>
      <c r="J478" s="2636"/>
      <c r="K478" s="49"/>
      <c r="L478" s="2628"/>
      <c r="M478" s="50" t="s">
        <v>445</v>
      </c>
      <c r="N478" s="2634"/>
      <c r="O478" s="2621"/>
      <c r="P478" s="2623"/>
      <c r="Q478" s="2561"/>
      <c r="R478" s="2562"/>
      <c r="S478" s="2652"/>
      <c r="T478" s="2653"/>
    </row>
    <row r="479" spans="1:20" ht="17.100000000000001" customHeight="1" x14ac:dyDescent="0.3">
      <c r="A479" s="116" t="s">
        <v>446</v>
      </c>
      <c r="B479" s="117"/>
      <c r="C479" s="118"/>
      <c r="D479" s="118"/>
      <c r="E479" s="2712"/>
      <c r="F479" s="2713"/>
      <c r="G479" s="2651"/>
      <c r="H479" s="2714"/>
      <c r="I479" s="2607"/>
      <c r="J479" s="2608"/>
      <c r="K479" s="45"/>
      <c r="L479" s="119" t="s">
        <v>447</v>
      </c>
      <c r="M479" s="118"/>
      <c r="N479" s="118"/>
      <c r="O479" s="2651"/>
      <c r="P479" s="2651"/>
      <c r="Q479" s="2651"/>
      <c r="R479" s="2651"/>
      <c r="S479" s="2651"/>
      <c r="T479" s="2651"/>
    </row>
    <row r="480" spans="1:20" ht="17.100000000000001" customHeight="1" x14ac:dyDescent="0.35">
      <c r="A480" s="2595" t="s">
        <v>448</v>
      </c>
      <c r="B480" s="2596"/>
      <c r="C480" s="120"/>
      <c r="D480" s="120"/>
      <c r="E480" s="2645"/>
      <c r="F480" s="2646"/>
      <c r="G480" s="2643"/>
      <c r="H480" s="2644"/>
      <c r="I480" s="2715">
        <v>0</v>
      </c>
      <c r="J480" s="2716"/>
      <c r="K480" s="121"/>
      <c r="L480" s="122"/>
      <c r="M480" s="120"/>
      <c r="N480" s="120"/>
      <c r="O480" s="2643"/>
      <c r="P480" s="2643"/>
      <c r="Q480" s="2643"/>
      <c r="R480" s="2643"/>
      <c r="S480" s="2643"/>
      <c r="T480" s="2643"/>
    </row>
    <row r="481" spans="1:20" ht="17.100000000000001" customHeight="1" x14ac:dyDescent="0.3">
      <c r="A481" s="2589" t="s">
        <v>449</v>
      </c>
      <c r="B481" s="2590"/>
      <c r="C481" s="120"/>
      <c r="D481" s="120"/>
      <c r="E481" s="2645"/>
      <c r="F481" s="2646"/>
      <c r="G481" s="2643"/>
      <c r="H481" s="2644"/>
      <c r="I481" s="2643">
        <v>0</v>
      </c>
      <c r="J481" s="2644"/>
      <c r="K481" s="124"/>
      <c r="L481" s="122" t="s">
        <v>450</v>
      </c>
      <c r="M481" s="120" t="s">
        <v>743</v>
      </c>
      <c r="N481" s="120" t="s">
        <v>452</v>
      </c>
      <c r="O481" s="2643">
        <v>20</v>
      </c>
      <c r="P481" s="2643"/>
      <c r="Q481" s="2643">
        <v>24173.828799999999</v>
      </c>
      <c r="R481" s="2643"/>
      <c r="S481" s="2643">
        <v>483476.576</v>
      </c>
      <c r="T481" s="2643"/>
    </row>
    <row r="482" spans="1:20" ht="17.100000000000001" customHeight="1" x14ac:dyDescent="0.3">
      <c r="A482" s="2589" t="s">
        <v>453</v>
      </c>
      <c r="B482" s="2590"/>
      <c r="C482" s="120"/>
      <c r="D482" s="120"/>
      <c r="E482" s="2645"/>
      <c r="F482" s="2646"/>
      <c r="G482" s="2643"/>
      <c r="H482" s="2644"/>
      <c r="I482" s="2643">
        <v>0</v>
      </c>
      <c r="J482" s="2644"/>
      <c r="K482" s="124"/>
      <c r="L482" s="122" t="s">
        <v>454</v>
      </c>
      <c r="M482" s="120"/>
      <c r="N482" s="120"/>
      <c r="O482" s="2643"/>
      <c r="P482" s="2643"/>
      <c r="Q482" s="2643"/>
      <c r="R482" s="2643"/>
      <c r="S482" s="2643">
        <v>0</v>
      </c>
      <c r="T482" s="2643"/>
    </row>
    <row r="483" spans="1:20" ht="17.100000000000001" customHeight="1" x14ac:dyDescent="0.3">
      <c r="A483" s="2589" t="s">
        <v>455</v>
      </c>
      <c r="B483" s="2590"/>
      <c r="C483" s="120"/>
      <c r="D483" s="120"/>
      <c r="E483" s="2645"/>
      <c r="F483" s="2645"/>
      <c r="G483" s="2643"/>
      <c r="H483" s="2644"/>
      <c r="I483" s="2643">
        <v>0</v>
      </c>
      <c r="J483" s="2644"/>
      <c r="K483" s="124"/>
      <c r="L483" s="122" t="s">
        <v>456</v>
      </c>
      <c r="M483" s="120"/>
      <c r="N483" s="120"/>
      <c r="O483" s="2643"/>
      <c r="P483" s="2643"/>
      <c r="Q483" s="2643"/>
      <c r="R483" s="2643"/>
      <c r="S483" s="2643">
        <v>0</v>
      </c>
      <c r="T483" s="2643"/>
    </row>
    <row r="484" spans="1:20" ht="17.100000000000001" customHeight="1" x14ac:dyDescent="0.2">
      <c r="A484" s="2600" t="s">
        <v>560</v>
      </c>
      <c r="B484" s="2601"/>
      <c r="C484" s="120"/>
      <c r="D484" s="120"/>
      <c r="E484" s="2645"/>
      <c r="F484" s="2645"/>
      <c r="G484" s="2643"/>
      <c r="H484" s="2643"/>
      <c r="I484" s="2715">
        <v>736556.13599999994</v>
      </c>
      <c r="J484" s="2715"/>
      <c r="K484" s="126"/>
      <c r="L484" s="122" t="s">
        <v>562</v>
      </c>
      <c r="M484" s="120"/>
      <c r="N484" s="120"/>
      <c r="O484" s="2643"/>
      <c r="P484" s="2643"/>
      <c r="Q484" s="2643"/>
      <c r="R484" s="2643"/>
      <c r="S484" s="2643">
        <v>0</v>
      </c>
      <c r="T484" s="2643"/>
    </row>
    <row r="485" spans="1:20" ht="17.100000000000001" customHeight="1" x14ac:dyDescent="0.3">
      <c r="A485" s="127" t="s">
        <v>461</v>
      </c>
      <c r="B485" s="128"/>
      <c r="C485" s="120"/>
      <c r="D485" s="120"/>
      <c r="E485" s="2645"/>
      <c r="F485" s="2645"/>
      <c r="G485" s="2643"/>
      <c r="H485" s="2644"/>
      <c r="I485" s="2643">
        <v>0</v>
      </c>
      <c r="J485" s="2644"/>
      <c r="K485" s="124"/>
      <c r="L485" s="122" t="s">
        <v>744</v>
      </c>
      <c r="M485" s="120" t="s">
        <v>459</v>
      </c>
      <c r="N485" s="120" t="s">
        <v>809</v>
      </c>
      <c r="O485" s="2643">
        <v>4</v>
      </c>
      <c r="P485" s="2643"/>
      <c r="Q485" s="2602">
        <v>149734</v>
      </c>
      <c r="R485" s="2602"/>
      <c r="S485" s="2643">
        <v>598936</v>
      </c>
      <c r="T485" s="2643"/>
    </row>
    <row r="486" spans="1:20" ht="17.100000000000001" customHeight="1" x14ac:dyDescent="0.3">
      <c r="A486" s="129" t="s">
        <v>711</v>
      </c>
      <c r="B486" s="130"/>
      <c r="C486" s="120"/>
      <c r="D486" s="120"/>
      <c r="E486" s="2645"/>
      <c r="F486" s="2645"/>
      <c r="G486" s="2643"/>
      <c r="H486" s="2644"/>
      <c r="I486" s="2643">
        <v>0</v>
      </c>
      <c r="J486" s="2644"/>
      <c r="K486" s="124"/>
      <c r="L486" s="122" t="s">
        <v>562</v>
      </c>
      <c r="M486" s="120" t="s">
        <v>565</v>
      </c>
      <c r="N486" s="120" t="s">
        <v>809</v>
      </c>
      <c r="O486" s="2643">
        <v>2</v>
      </c>
      <c r="P486" s="2643"/>
      <c r="Q486" s="2599">
        <v>164123</v>
      </c>
      <c r="R486" s="2599"/>
      <c r="S486" s="2643">
        <v>328246</v>
      </c>
      <c r="T486" s="2643"/>
    </row>
    <row r="487" spans="1:20" ht="17.100000000000001" customHeight="1" x14ac:dyDescent="0.3">
      <c r="A487" s="127" t="s">
        <v>465</v>
      </c>
      <c r="B487" s="128"/>
      <c r="C487" s="120" t="s">
        <v>466</v>
      </c>
      <c r="D487" s="120" t="s">
        <v>564</v>
      </c>
      <c r="E487" s="2645">
        <v>2</v>
      </c>
      <c r="F487" s="2645"/>
      <c r="G487" s="2643">
        <v>113332.1024</v>
      </c>
      <c r="H487" s="2644">
        <v>92185.02</v>
      </c>
      <c r="I487" s="2643">
        <v>226664.20480000001</v>
      </c>
      <c r="J487" s="2644"/>
      <c r="K487" s="124"/>
      <c r="L487" s="122" t="s">
        <v>562</v>
      </c>
      <c r="M487" s="120" t="s">
        <v>563</v>
      </c>
      <c r="N487" s="120" t="s">
        <v>809</v>
      </c>
      <c r="O487" s="2643">
        <v>2</v>
      </c>
      <c r="P487" s="2643"/>
      <c r="Q487" s="2643">
        <v>201451</v>
      </c>
      <c r="R487" s="2643"/>
      <c r="S487" s="2643">
        <v>402902</v>
      </c>
      <c r="T487" s="2643"/>
    </row>
    <row r="488" spans="1:20" ht="17.100000000000001" customHeight="1" x14ac:dyDescent="0.3">
      <c r="A488" s="127" t="s">
        <v>469</v>
      </c>
      <c r="B488" s="128"/>
      <c r="C488" s="120" t="s">
        <v>466</v>
      </c>
      <c r="D488" s="120" t="s">
        <v>564</v>
      </c>
      <c r="E488" s="2645">
        <v>1</v>
      </c>
      <c r="F488" s="2645"/>
      <c r="G488" s="2643">
        <v>212727.72639999999</v>
      </c>
      <c r="H488" s="2644">
        <v>173034.4</v>
      </c>
      <c r="I488" s="2643">
        <v>212727.72639999999</v>
      </c>
      <c r="J488" s="2644"/>
      <c r="K488" s="124"/>
      <c r="L488" s="122" t="s">
        <v>562</v>
      </c>
      <c r="M488" s="120" t="s">
        <v>561</v>
      </c>
      <c r="N488" s="120" t="s">
        <v>809</v>
      </c>
      <c r="O488" s="2643">
        <v>2</v>
      </c>
      <c r="P488" s="2643"/>
      <c r="Q488" s="2717">
        <v>87816.315199999997</v>
      </c>
      <c r="R488" s="2717"/>
      <c r="S488" s="2643">
        <v>175632.63039999999</v>
      </c>
      <c r="T488" s="2643"/>
    </row>
    <row r="489" spans="1:20" ht="17.100000000000001" customHeight="1" x14ac:dyDescent="0.3">
      <c r="A489" s="131" t="s">
        <v>470</v>
      </c>
      <c r="B489" s="132"/>
      <c r="C489" s="120" t="s">
        <v>466</v>
      </c>
      <c r="D489" s="120" t="s">
        <v>564</v>
      </c>
      <c r="E489" s="2645">
        <v>2</v>
      </c>
      <c r="F489" s="2645"/>
      <c r="G489" s="2643">
        <v>113332.1024</v>
      </c>
      <c r="H489" s="2644">
        <v>92185.02</v>
      </c>
      <c r="I489" s="2643">
        <v>226664.20480000001</v>
      </c>
      <c r="J489" s="2644"/>
      <c r="K489" s="124"/>
      <c r="L489" s="122"/>
      <c r="M489" s="120"/>
      <c r="N489" s="120"/>
      <c r="O489" s="2643"/>
      <c r="P489" s="2643"/>
      <c r="Q489" s="2643"/>
      <c r="R489" s="2643"/>
      <c r="S489" s="2643"/>
      <c r="T489" s="2643"/>
    </row>
    <row r="490" spans="1:20" ht="17.100000000000001" customHeight="1" x14ac:dyDescent="0.3">
      <c r="A490" s="127" t="s">
        <v>474</v>
      </c>
      <c r="B490" s="128"/>
      <c r="C490" s="120"/>
      <c r="D490" s="120"/>
      <c r="E490" s="2645"/>
      <c r="F490" s="2645"/>
      <c r="G490" s="2643"/>
      <c r="H490" s="2644"/>
      <c r="I490" s="2643">
        <v>0</v>
      </c>
      <c r="J490" s="2644"/>
      <c r="K490" s="124"/>
      <c r="L490" s="122" t="s">
        <v>475</v>
      </c>
      <c r="M490" s="120"/>
      <c r="N490" s="120"/>
      <c r="O490" s="2643"/>
      <c r="P490" s="2643"/>
      <c r="Q490" s="2643"/>
      <c r="R490" s="2643"/>
      <c r="S490" s="2643">
        <v>0</v>
      </c>
      <c r="T490" s="2643"/>
    </row>
    <row r="491" spans="1:20" ht="17.100000000000001" customHeight="1" x14ac:dyDescent="0.3">
      <c r="A491" s="127" t="s">
        <v>476</v>
      </c>
      <c r="B491" s="128"/>
      <c r="C491" s="120"/>
      <c r="D491" s="120"/>
      <c r="E491" s="2645"/>
      <c r="F491" s="2645"/>
      <c r="G491" s="2643"/>
      <c r="H491" s="2644"/>
      <c r="I491" s="2643">
        <v>0</v>
      </c>
      <c r="J491" s="2644"/>
      <c r="K491" s="124"/>
      <c r="L491" s="122" t="s">
        <v>477</v>
      </c>
      <c r="M491" s="120" t="s">
        <v>745</v>
      </c>
      <c r="N491" s="120" t="s">
        <v>591</v>
      </c>
      <c r="O491" s="2647">
        <v>0.25</v>
      </c>
      <c r="P491" s="2647"/>
      <c r="Q491" s="2643">
        <v>100592.24</v>
      </c>
      <c r="R491" s="2643"/>
      <c r="S491" s="2643">
        <v>25148.06</v>
      </c>
      <c r="T491" s="2643"/>
    </row>
    <row r="492" spans="1:20" ht="17.100000000000001" customHeight="1" x14ac:dyDescent="0.3">
      <c r="A492" s="2597" t="s">
        <v>480</v>
      </c>
      <c r="B492" s="2598"/>
      <c r="C492" s="120"/>
      <c r="D492" s="120"/>
      <c r="E492" s="2645"/>
      <c r="F492" s="2646"/>
      <c r="G492" s="2643"/>
      <c r="H492" s="2644"/>
      <c r="I492" s="2643">
        <v>0</v>
      </c>
      <c r="J492" s="2644"/>
      <c r="K492" s="124"/>
      <c r="L492" s="122" t="s">
        <v>481</v>
      </c>
      <c r="M492" s="120" t="s">
        <v>746</v>
      </c>
      <c r="N492" s="120" t="s">
        <v>452</v>
      </c>
      <c r="O492" s="2643">
        <v>2</v>
      </c>
      <c r="P492" s="2643"/>
      <c r="Q492" s="2643">
        <v>44377</v>
      </c>
      <c r="R492" s="2643"/>
      <c r="S492" s="2643">
        <v>88754</v>
      </c>
      <c r="T492" s="2643"/>
    </row>
    <row r="493" spans="1:20" ht="17.100000000000001" customHeight="1" x14ac:dyDescent="0.3">
      <c r="A493" s="127" t="s">
        <v>454</v>
      </c>
      <c r="B493" s="128"/>
      <c r="C493" s="120"/>
      <c r="D493" s="120"/>
      <c r="E493" s="2645"/>
      <c r="F493" s="2646"/>
      <c r="G493" s="2643"/>
      <c r="H493" s="2644"/>
      <c r="I493" s="2643">
        <v>0</v>
      </c>
      <c r="J493" s="2644"/>
      <c r="K493" s="124"/>
      <c r="L493" s="122" t="s">
        <v>483</v>
      </c>
      <c r="M493" s="120"/>
      <c r="N493" s="120"/>
      <c r="O493" s="2643"/>
      <c r="P493" s="2643"/>
      <c r="Q493" s="2643"/>
      <c r="R493" s="2643"/>
      <c r="S493" s="2643">
        <v>0</v>
      </c>
      <c r="T493" s="2643"/>
    </row>
    <row r="494" spans="1:20" ht="17.100000000000001" customHeight="1" x14ac:dyDescent="0.4">
      <c r="A494" s="2723" t="s">
        <v>747</v>
      </c>
      <c r="B494" s="2724"/>
      <c r="C494" s="120" t="s">
        <v>496</v>
      </c>
      <c r="D494" s="120" t="s">
        <v>497</v>
      </c>
      <c r="E494" s="2645">
        <v>1.5</v>
      </c>
      <c r="F494" s="2646"/>
      <c r="G494" s="2641">
        <v>47000</v>
      </c>
      <c r="H494" s="2642">
        <v>38202.400000000001</v>
      </c>
      <c r="I494" s="2643">
        <v>70500</v>
      </c>
      <c r="J494" s="2644"/>
      <c r="K494" s="124"/>
      <c r="L494" s="122" t="s">
        <v>486</v>
      </c>
      <c r="M494" s="120" t="s">
        <v>1245</v>
      </c>
      <c r="N494" s="120" t="s">
        <v>452</v>
      </c>
      <c r="O494" s="2718">
        <v>0.5</v>
      </c>
      <c r="P494" s="2718"/>
      <c r="Q494" s="2643">
        <v>120799.20479999999</v>
      </c>
      <c r="R494" s="2643"/>
      <c r="S494" s="2643">
        <v>60399.602399999996</v>
      </c>
      <c r="T494" s="2643"/>
    </row>
    <row r="495" spans="1:20" ht="17.100000000000001" customHeight="1" x14ac:dyDescent="0.3">
      <c r="A495" s="133"/>
      <c r="B495" s="134"/>
      <c r="C495" s="120"/>
      <c r="D495" s="120"/>
      <c r="E495" s="2645"/>
      <c r="F495" s="2646"/>
      <c r="G495" s="2643"/>
      <c r="H495" s="2644"/>
      <c r="I495" s="2643">
        <v>0</v>
      </c>
      <c r="J495" s="2644"/>
      <c r="K495" s="124"/>
      <c r="L495" s="122" t="s">
        <v>489</v>
      </c>
      <c r="M495" s="120"/>
      <c r="N495" s="120"/>
      <c r="O495" s="2647"/>
      <c r="P495" s="2647"/>
      <c r="Q495" s="2643"/>
      <c r="R495" s="2643"/>
      <c r="S495" s="2643">
        <v>0</v>
      </c>
      <c r="T495" s="2643"/>
    </row>
    <row r="496" spans="1:20" ht="17.100000000000001" customHeight="1" x14ac:dyDescent="0.35">
      <c r="A496" s="135" t="s">
        <v>490</v>
      </c>
      <c r="B496" s="136"/>
      <c r="C496" s="120"/>
      <c r="D496" s="120"/>
      <c r="E496" s="2645"/>
      <c r="F496" s="2646"/>
      <c r="G496" s="2643"/>
      <c r="H496" s="2644"/>
      <c r="I496" s="2715">
        <v>169976.29759999999</v>
      </c>
      <c r="J496" s="2716"/>
      <c r="K496" s="124"/>
      <c r="L496" s="122" t="s">
        <v>491</v>
      </c>
      <c r="M496" s="120"/>
      <c r="N496" s="120"/>
      <c r="O496" s="2643"/>
      <c r="P496" s="2643"/>
      <c r="Q496" s="2643"/>
      <c r="R496" s="2643"/>
      <c r="S496" s="2643">
        <v>0</v>
      </c>
      <c r="T496" s="2643"/>
    </row>
    <row r="497" spans="1:20" ht="17.100000000000001" customHeight="1" x14ac:dyDescent="0.3">
      <c r="A497" s="133" t="s">
        <v>492</v>
      </c>
      <c r="B497" s="136"/>
      <c r="C497" s="120" t="s">
        <v>466</v>
      </c>
      <c r="D497" s="120" t="s">
        <v>493</v>
      </c>
      <c r="E497" s="2643">
        <v>1</v>
      </c>
      <c r="F497" s="2643"/>
      <c r="G497" s="2643">
        <v>169976.29759999999</v>
      </c>
      <c r="H497" s="2644">
        <v>138876.96</v>
      </c>
      <c r="I497" s="2643">
        <v>169976.29759999999</v>
      </c>
      <c r="J497" s="2644"/>
      <c r="K497" s="124"/>
      <c r="L497" s="122" t="s">
        <v>494</v>
      </c>
      <c r="M497" s="120"/>
      <c r="N497" s="120"/>
      <c r="O497" s="2643"/>
      <c r="P497" s="2643"/>
      <c r="Q497" s="2643"/>
      <c r="R497" s="2643"/>
      <c r="S497" s="2643">
        <v>0</v>
      </c>
      <c r="T497" s="2643"/>
    </row>
    <row r="498" spans="1:20" ht="17.100000000000001" customHeight="1" x14ac:dyDescent="0.3">
      <c r="A498" s="137" t="s">
        <v>717</v>
      </c>
      <c r="B498" s="138"/>
      <c r="C498" s="120"/>
      <c r="D498" s="120"/>
      <c r="E498" s="2643"/>
      <c r="F498" s="2643"/>
      <c r="G498" s="2643"/>
      <c r="H498" s="2644"/>
      <c r="I498" s="2643">
        <v>0</v>
      </c>
      <c r="J498" s="2644"/>
      <c r="K498" s="124"/>
      <c r="L498" s="122" t="s">
        <v>498</v>
      </c>
      <c r="M498" s="120"/>
      <c r="N498" s="120"/>
      <c r="O498" s="2643"/>
      <c r="P498" s="2643"/>
      <c r="Q498" s="2643"/>
      <c r="R498" s="2643"/>
      <c r="S498" s="2643">
        <v>0</v>
      </c>
      <c r="T498" s="2643"/>
    </row>
    <row r="499" spans="1:20" ht="17.100000000000001" customHeight="1" x14ac:dyDescent="0.3">
      <c r="A499" s="2578" t="s">
        <v>501</v>
      </c>
      <c r="B499" s="2579"/>
      <c r="C499" s="120"/>
      <c r="D499" s="120"/>
      <c r="E499" s="2643"/>
      <c r="F499" s="2643"/>
      <c r="G499" s="2643"/>
      <c r="H499" s="2644"/>
      <c r="I499" s="2643">
        <v>0</v>
      </c>
      <c r="J499" s="2644"/>
      <c r="K499" s="124"/>
      <c r="L499" s="139" t="s">
        <v>504</v>
      </c>
      <c r="M499" s="140"/>
      <c r="N499" s="140"/>
      <c r="O499" s="2643"/>
      <c r="P499" s="2643"/>
      <c r="Q499" s="2643"/>
      <c r="R499" s="2643"/>
      <c r="S499" s="2643">
        <v>0</v>
      </c>
      <c r="T499" s="2643"/>
    </row>
    <row r="500" spans="1:20" ht="17.100000000000001" customHeight="1" x14ac:dyDescent="0.3">
      <c r="A500" s="2589" t="s">
        <v>504</v>
      </c>
      <c r="B500" s="2590"/>
      <c r="C500" s="120"/>
      <c r="D500" s="120"/>
      <c r="E500" s="2643"/>
      <c r="F500" s="2643"/>
      <c r="G500" s="2643"/>
      <c r="H500" s="2644"/>
      <c r="I500" s="2643">
        <v>0</v>
      </c>
      <c r="J500" s="2644"/>
      <c r="K500" s="124"/>
      <c r="L500" s="139"/>
      <c r="M500" s="139"/>
      <c r="N500" s="139"/>
      <c r="O500" s="2643"/>
      <c r="P500" s="2643"/>
      <c r="Q500" s="2643"/>
      <c r="R500" s="2643"/>
      <c r="S500" s="2643"/>
      <c r="T500" s="2643"/>
    </row>
    <row r="501" spans="1:20" ht="17.100000000000001" customHeight="1" x14ac:dyDescent="0.3">
      <c r="A501" s="2589" t="s">
        <v>504</v>
      </c>
      <c r="B501" s="2590"/>
      <c r="C501" s="120"/>
      <c r="D501" s="120"/>
      <c r="E501" s="2643"/>
      <c r="F501" s="2643"/>
      <c r="G501" s="2643"/>
      <c r="H501" s="2644"/>
      <c r="I501" s="2643">
        <v>0</v>
      </c>
      <c r="J501" s="2644"/>
      <c r="K501" s="124"/>
      <c r="L501" s="139" t="s">
        <v>595</v>
      </c>
      <c r="M501" s="139"/>
      <c r="N501" s="139"/>
      <c r="O501" s="2643"/>
      <c r="P501" s="2643"/>
      <c r="Q501" s="2643"/>
      <c r="R501" s="2643"/>
      <c r="S501" s="2643">
        <v>0</v>
      </c>
      <c r="T501" s="2643"/>
    </row>
    <row r="502" spans="1:20" ht="17.100000000000001" customHeight="1" x14ac:dyDescent="0.35">
      <c r="A502" s="2595" t="s">
        <v>506</v>
      </c>
      <c r="B502" s="2596"/>
      <c r="C502" s="120"/>
      <c r="D502" s="120"/>
      <c r="E502" s="2645"/>
      <c r="F502" s="2646"/>
      <c r="G502" s="2643"/>
      <c r="H502" s="2644"/>
      <c r="I502" s="2715">
        <v>587500</v>
      </c>
      <c r="J502" s="2716"/>
      <c r="K502" s="121"/>
      <c r="L502" s="139" t="s">
        <v>750</v>
      </c>
      <c r="M502" s="140" t="s">
        <v>507</v>
      </c>
      <c r="N502" s="139"/>
      <c r="O502" s="2643">
        <v>58</v>
      </c>
      <c r="P502" s="2643"/>
      <c r="Q502" s="2643">
        <v>3221.5744</v>
      </c>
      <c r="R502" s="2643"/>
      <c r="S502" s="2643">
        <v>186851.31520000001</v>
      </c>
      <c r="T502" s="2643"/>
    </row>
    <row r="503" spans="1:20" ht="17.100000000000001" customHeight="1" x14ac:dyDescent="0.3">
      <c r="A503" s="2589" t="s">
        <v>509</v>
      </c>
      <c r="B503" s="2590"/>
      <c r="C503" s="120"/>
      <c r="D503" s="120"/>
      <c r="E503" s="2645"/>
      <c r="F503" s="2646"/>
      <c r="G503" s="2643"/>
      <c r="H503" s="2644"/>
      <c r="I503" s="2643">
        <v>0</v>
      </c>
      <c r="J503" s="2644"/>
      <c r="K503" s="124"/>
      <c r="L503" s="139" t="s">
        <v>510</v>
      </c>
      <c r="M503" s="140" t="s">
        <v>721</v>
      </c>
      <c r="N503" s="139"/>
      <c r="O503" s="2643">
        <v>1</v>
      </c>
      <c r="P503" s="2643"/>
      <c r="Q503" s="2643">
        <v>14228.255999999999</v>
      </c>
      <c r="R503" s="2643"/>
      <c r="S503" s="2643">
        <v>14228.255999999999</v>
      </c>
      <c r="T503" s="2643"/>
    </row>
    <row r="504" spans="1:20" ht="17.100000000000001" customHeight="1" x14ac:dyDescent="0.3">
      <c r="A504" s="2589" t="s">
        <v>512</v>
      </c>
      <c r="B504" s="2590"/>
      <c r="C504" s="120"/>
      <c r="D504" s="120"/>
      <c r="E504" s="2645"/>
      <c r="F504" s="2646"/>
      <c r="G504" s="2643"/>
      <c r="H504" s="2644"/>
      <c r="I504" s="2643">
        <v>0</v>
      </c>
      <c r="J504" s="2644"/>
      <c r="K504" s="124"/>
      <c r="L504" s="139" t="s">
        <v>575</v>
      </c>
      <c r="M504" s="139"/>
      <c r="N504" s="139"/>
      <c r="O504" s="2643"/>
      <c r="P504" s="2643"/>
      <c r="Q504" s="2643"/>
      <c r="R504" s="2643"/>
      <c r="S504" s="2643"/>
      <c r="T504" s="2643"/>
    </row>
    <row r="505" spans="1:20" ht="17.100000000000001" customHeight="1" x14ac:dyDescent="0.3">
      <c r="A505" s="137" t="s">
        <v>514</v>
      </c>
      <c r="B505" s="138"/>
      <c r="C505" s="120"/>
      <c r="D505" s="120"/>
      <c r="E505" s="2645"/>
      <c r="F505" s="2646"/>
      <c r="G505" s="2643"/>
      <c r="H505" s="2644"/>
      <c r="I505" s="2643">
        <v>0</v>
      </c>
      <c r="J505" s="2644"/>
      <c r="K505" s="124"/>
      <c r="L505" s="139" t="s">
        <v>515</v>
      </c>
      <c r="M505" s="139"/>
      <c r="N505" s="139"/>
      <c r="O505" s="2643"/>
      <c r="P505" s="2643"/>
      <c r="Q505" s="2643"/>
      <c r="R505" s="2643"/>
      <c r="S505" s="2643">
        <v>0</v>
      </c>
      <c r="T505" s="2643"/>
    </row>
    <row r="506" spans="1:20" ht="17.100000000000001" customHeight="1" x14ac:dyDescent="0.3">
      <c r="A506" s="2589" t="s">
        <v>516</v>
      </c>
      <c r="B506" s="2590"/>
      <c r="C506" s="120"/>
      <c r="D506" s="120"/>
      <c r="E506" s="2645"/>
      <c r="F506" s="2646"/>
      <c r="G506" s="2643"/>
      <c r="H506" s="2644"/>
      <c r="I506" s="2643">
        <v>0</v>
      </c>
      <c r="J506" s="2644"/>
      <c r="K506" s="124"/>
      <c r="L506" s="139" t="s">
        <v>575</v>
      </c>
      <c r="M506" s="139"/>
      <c r="N506" s="139"/>
      <c r="O506" s="2643"/>
      <c r="P506" s="2643"/>
      <c r="Q506" s="2643"/>
      <c r="R506" s="2643"/>
      <c r="S506" s="2643">
        <v>0</v>
      </c>
      <c r="T506" s="2643"/>
    </row>
    <row r="507" spans="1:20" ht="17.100000000000001" customHeight="1" x14ac:dyDescent="0.3">
      <c r="A507" s="137" t="s">
        <v>517</v>
      </c>
      <c r="B507" s="138"/>
      <c r="C507" s="120"/>
      <c r="D507" s="120"/>
      <c r="E507" s="2645"/>
      <c r="F507" s="2646"/>
      <c r="G507" s="2643"/>
      <c r="H507" s="2644"/>
      <c r="I507" s="2643">
        <v>0</v>
      </c>
      <c r="J507" s="2644"/>
      <c r="K507" s="124"/>
      <c r="L507" s="139" t="s">
        <v>504</v>
      </c>
      <c r="M507" s="139"/>
      <c r="N507" s="139"/>
      <c r="O507" s="2643"/>
      <c r="P507" s="2643"/>
      <c r="Q507" s="2643"/>
      <c r="R507" s="2643"/>
      <c r="S507" s="2643"/>
      <c r="T507" s="2643"/>
    </row>
    <row r="508" spans="1:20" ht="17.100000000000001" customHeight="1" x14ac:dyDescent="0.4">
      <c r="A508" s="137" t="s">
        <v>519</v>
      </c>
      <c r="B508" s="141"/>
      <c r="C508" s="120" t="s">
        <v>496</v>
      </c>
      <c r="D508" s="120" t="s">
        <v>497</v>
      </c>
      <c r="E508" s="2655">
        <v>4</v>
      </c>
      <c r="F508" s="2655"/>
      <c r="G508" s="2641">
        <v>47000</v>
      </c>
      <c r="H508" s="2642">
        <v>38202.400000000001</v>
      </c>
      <c r="I508" s="2643">
        <v>188000</v>
      </c>
      <c r="J508" s="2644"/>
      <c r="K508" s="124"/>
      <c r="L508" s="139"/>
      <c r="M508" s="139"/>
      <c r="N508" s="139"/>
      <c r="O508" s="2643"/>
      <c r="P508" s="2643"/>
      <c r="Q508" s="2643"/>
      <c r="R508" s="2643"/>
      <c r="S508" s="2643"/>
      <c r="T508" s="2643"/>
    </row>
    <row r="509" spans="1:20" ht="17.100000000000001" customHeight="1" x14ac:dyDescent="0.3">
      <c r="A509" s="137" t="s">
        <v>475</v>
      </c>
      <c r="B509" s="138"/>
      <c r="C509" s="120"/>
      <c r="D509" s="120"/>
      <c r="E509" s="2643"/>
      <c r="F509" s="2643"/>
      <c r="G509" s="2643"/>
      <c r="H509" s="2644"/>
      <c r="I509" s="2643">
        <v>0</v>
      </c>
      <c r="J509" s="2644"/>
      <c r="K509" s="124"/>
      <c r="L509" s="139"/>
      <c r="M509" s="139"/>
      <c r="N509" s="139"/>
      <c r="O509" s="2643"/>
      <c r="P509" s="2643"/>
      <c r="Q509" s="2643"/>
      <c r="R509" s="2643"/>
      <c r="S509" s="2643"/>
      <c r="T509" s="2643"/>
    </row>
    <row r="510" spans="1:20" ht="17.100000000000001" customHeight="1" x14ac:dyDescent="0.3">
      <c r="A510" s="2578" t="s">
        <v>520</v>
      </c>
      <c r="B510" s="2579"/>
      <c r="C510" s="120"/>
      <c r="D510" s="120"/>
      <c r="E510" s="2645"/>
      <c r="F510" s="2646"/>
      <c r="G510" s="2643"/>
      <c r="H510" s="2644"/>
      <c r="I510" s="2643">
        <v>0</v>
      </c>
      <c r="J510" s="2644"/>
      <c r="K510" s="124"/>
      <c r="L510" s="142" t="s">
        <v>521</v>
      </c>
      <c r="M510" s="143"/>
      <c r="N510" s="143"/>
      <c r="O510" s="2591"/>
      <c r="P510" s="2592"/>
      <c r="Q510" s="2591"/>
      <c r="R510" s="2592"/>
      <c r="S510" s="2593">
        <v>2364574.4400000004</v>
      </c>
      <c r="T510" s="2594"/>
    </row>
    <row r="511" spans="1:20" ht="17.100000000000001" customHeight="1" x14ac:dyDescent="0.3">
      <c r="A511" s="137" t="s">
        <v>522</v>
      </c>
      <c r="B511" s="138"/>
      <c r="C511" s="120"/>
      <c r="D511" s="120"/>
      <c r="E511" s="2645"/>
      <c r="F511" s="2646"/>
      <c r="G511" s="2643"/>
      <c r="H511" s="2644"/>
      <c r="I511" s="2643">
        <v>0</v>
      </c>
      <c r="J511" s="2644"/>
      <c r="K511" s="124"/>
      <c r="L511" s="144" t="s">
        <v>577</v>
      </c>
      <c r="M511" s="145"/>
      <c r="N511" s="145"/>
      <c r="O511" s="146"/>
      <c r="P511" s="146"/>
      <c r="Q511" s="146"/>
      <c r="R511" s="146"/>
      <c r="S511" s="146"/>
      <c r="T511" s="147"/>
    </row>
    <row r="512" spans="1:20" ht="17.100000000000001" customHeight="1" x14ac:dyDescent="0.4">
      <c r="A512" s="2578" t="s">
        <v>524</v>
      </c>
      <c r="B512" s="2579"/>
      <c r="C512" s="120" t="s">
        <v>496</v>
      </c>
      <c r="D512" s="120" t="s">
        <v>497</v>
      </c>
      <c r="E512" s="2645">
        <v>2.5</v>
      </c>
      <c r="F512" s="2646"/>
      <c r="G512" s="2641">
        <v>47000</v>
      </c>
      <c r="H512" s="2642">
        <v>38202.400000000001</v>
      </c>
      <c r="I512" s="2643">
        <v>117500</v>
      </c>
      <c r="J512" s="2644"/>
      <c r="K512" s="124"/>
      <c r="L512" s="148" t="s">
        <v>525</v>
      </c>
      <c r="M512" s="149">
        <v>0.05</v>
      </c>
      <c r="N512" s="45"/>
      <c r="O512" s="26"/>
      <c r="P512" s="26"/>
      <c r="Q512" s="26"/>
      <c r="R512" s="26"/>
      <c r="S512" s="2575">
        <v>270068.92422694241</v>
      </c>
      <c r="T512" s="2560"/>
    </row>
    <row r="513" spans="1:22" ht="17.100000000000001" customHeight="1" x14ac:dyDescent="0.3">
      <c r="A513" s="137" t="s">
        <v>526</v>
      </c>
      <c r="B513" s="138"/>
      <c r="C513" s="120"/>
      <c r="D513" s="120"/>
      <c r="E513" s="2645"/>
      <c r="F513" s="2646"/>
      <c r="G513" s="2643"/>
      <c r="H513" s="2644"/>
      <c r="I513" s="2643">
        <v>0</v>
      </c>
      <c r="J513" s="2644"/>
      <c r="K513" s="124"/>
      <c r="L513" s="151" t="s">
        <v>527</v>
      </c>
      <c r="M513" s="45"/>
      <c r="N513" s="45"/>
      <c r="O513" s="26"/>
      <c r="P513" s="26"/>
      <c r="Q513" s="26"/>
      <c r="R513" s="26"/>
      <c r="S513" s="2575">
        <v>71032</v>
      </c>
      <c r="T513" s="2560"/>
    </row>
    <row r="514" spans="1:22" ht="17.100000000000001" customHeight="1" x14ac:dyDescent="0.4">
      <c r="A514" s="133" t="s">
        <v>578</v>
      </c>
      <c r="B514" s="136"/>
      <c r="C514" s="140" t="s">
        <v>496</v>
      </c>
      <c r="D514" s="120" t="s">
        <v>497</v>
      </c>
      <c r="E514" s="2655">
        <v>1</v>
      </c>
      <c r="F514" s="2655"/>
      <c r="G514" s="2641">
        <v>47000</v>
      </c>
      <c r="H514" s="2642">
        <v>38202.400000000001</v>
      </c>
      <c r="I514" s="2643">
        <v>47000</v>
      </c>
      <c r="J514" s="2644"/>
      <c r="K514" s="124"/>
      <c r="L514" s="152" t="s">
        <v>529</v>
      </c>
      <c r="M514" s="45"/>
      <c r="N514" s="45"/>
      <c r="O514" s="26"/>
      <c r="P514" s="26"/>
      <c r="Q514" s="26"/>
      <c r="R514" s="26"/>
      <c r="S514" s="2575">
        <v>546400</v>
      </c>
      <c r="T514" s="2560"/>
    </row>
    <row r="515" spans="1:22" ht="17.100000000000001" customHeight="1" x14ac:dyDescent="0.3">
      <c r="A515" s="153" t="s">
        <v>579</v>
      </c>
      <c r="B515" s="154"/>
      <c r="C515" s="120"/>
      <c r="D515" s="120"/>
      <c r="E515" s="2643"/>
      <c r="F515" s="2643"/>
      <c r="G515" s="2643"/>
      <c r="H515" s="2644"/>
      <c r="I515" s="2643">
        <v>0</v>
      </c>
      <c r="J515" s="2644"/>
      <c r="K515" s="124"/>
      <c r="L515" s="152" t="s">
        <v>580</v>
      </c>
      <c r="M515" s="45"/>
      <c r="N515" s="45"/>
      <c r="O515" s="26"/>
      <c r="P515" s="26"/>
      <c r="Q515" s="26"/>
      <c r="R515" s="26"/>
      <c r="S515" s="2575">
        <v>270068.92422694241</v>
      </c>
      <c r="T515" s="2560"/>
    </row>
    <row r="516" spans="1:22" ht="17.100000000000001" customHeight="1" x14ac:dyDescent="0.3">
      <c r="A516" s="137" t="s">
        <v>532</v>
      </c>
      <c r="B516" s="138"/>
      <c r="C516" s="120"/>
      <c r="D516" s="120"/>
      <c r="E516" s="2645"/>
      <c r="F516" s="2646"/>
      <c r="G516" s="2643"/>
      <c r="H516" s="2644"/>
      <c r="I516" s="2643">
        <v>0</v>
      </c>
      <c r="J516" s="2644"/>
      <c r="K516" s="124"/>
      <c r="L516" s="166" t="s">
        <v>751</v>
      </c>
      <c r="M516" s="155"/>
      <c r="N516" s="155"/>
      <c r="O516" s="167"/>
      <c r="P516" s="167"/>
      <c r="Q516" s="167"/>
      <c r="R516" s="167"/>
      <c r="S516" s="2557">
        <v>65568</v>
      </c>
      <c r="T516" s="2558"/>
    </row>
    <row r="517" spans="1:22" ht="17.100000000000001" customHeight="1" x14ac:dyDescent="0.3">
      <c r="A517" s="2578" t="s">
        <v>727</v>
      </c>
      <c r="B517" s="2579"/>
      <c r="C517" s="120"/>
      <c r="D517" s="120"/>
      <c r="E517" s="2645"/>
      <c r="F517" s="2646"/>
      <c r="G517" s="2643"/>
      <c r="H517" s="2644"/>
      <c r="I517" s="2643">
        <v>0</v>
      </c>
      <c r="J517" s="2644"/>
      <c r="K517" s="124"/>
      <c r="L517" s="156" t="s">
        <v>533</v>
      </c>
      <c r="M517" s="157"/>
      <c r="N517" s="157"/>
      <c r="O517" s="158"/>
      <c r="P517" s="158"/>
      <c r="Q517" s="158"/>
      <c r="R517" s="158"/>
      <c r="S517" s="2587">
        <v>1223137.8484538849</v>
      </c>
      <c r="T517" s="2588"/>
    </row>
    <row r="518" spans="1:22" ht="17.100000000000001" customHeight="1" x14ac:dyDescent="0.3">
      <c r="A518" s="2578" t="s">
        <v>534</v>
      </c>
      <c r="B518" s="2579"/>
      <c r="C518" s="120"/>
      <c r="D518" s="120"/>
      <c r="E518" s="2643"/>
      <c r="F518" s="2643"/>
      <c r="G518" s="2643"/>
      <c r="H518" s="2644"/>
      <c r="I518" s="2643">
        <v>0</v>
      </c>
      <c r="J518" s="2644"/>
      <c r="K518" s="124"/>
      <c r="L518" s="159"/>
      <c r="M518" s="45"/>
      <c r="N518" s="45"/>
      <c r="O518" s="26"/>
      <c r="P518" s="26"/>
      <c r="Q518" s="26"/>
      <c r="R518" s="26"/>
      <c r="S518" s="26"/>
      <c r="T518" s="150"/>
    </row>
    <row r="519" spans="1:22" ht="17.100000000000001" customHeight="1" thickBot="1" x14ac:dyDescent="0.45">
      <c r="A519" s="2578" t="s">
        <v>535</v>
      </c>
      <c r="B519" s="2579"/>
      <c r="C519" s="120" t="s">
        <v>496</v>
      </c>
      <c r="D519" s="120" t="s">
        <v>497</v>
      </c>
      <c r="E519" s="2645">
        <v>5</v>
      </c>
      <c r="F519" s="2646"/>
      <c r="G519" s="2641">
        <v>47000</v>
      </c>
      <c r="H519" s="2642">
        <v>38202.400000000001</v>
      </c>
      <c r="I519" s="2643">
        <v>235000</v>
      </c>
      <c r="J519" s="2644"/>
      <c r="K519" s="124"/>
      <c r="L519" s="160" t="s">
        <v>583</v>
      </c>
      <c r="M519" s="161"/>
      <c r="N519" s="161"/>
      <c r="O519" s="161"/>
      <c r="P519" s="161"/>
      <c r="Q519" s="161"/>
      <c r="R519" s="161"/>
      <c r="S519" s="2580">
        <v>6624516.3329927325</v>
      </c>
      <c r="T519" s="2581"/>
      <c r="V519" s="1047">
        <f>'TOTAL TRANSITORIOS'!W22</f>
        <v>6624516.3329927307</v>
      </c>
    </row>
    <row r="520" spans="1:22" ht="17.100000000000001" customHeight="1" thickBot="1" x14ac:dyDescent="0.35">
      <c r="A520" s="133" t="s">
        <v>537</v>
      </c>
      <c r="B520" s="136"/>
      <c r="C520" s="140"/>
      <c r="D520" s="140"/>
      <c r="E520" s="2643"/>
      <c r="F520" s="2644"/>
      <c r="G520" s="2643"/>
      <c r="H520" s="2644"/>
      <c r="I520" s="2643">
        <v>0</v>
      </c>
      <c r="J520" s="2644"/>
      <c r="K520" s="124"/>
      <c r="L520" s="45"/>
      <c r="M520" s="45"/>
      <c r="N520" s="45"/>
      <c r="O520" s="45"/>
      <c r="P520" s="45"/>
      <c r="Q520" s="45"/>
      <c r="R520" s="45"/>
      <c r="S520" s="45"/>
      <c r="T520" s="45"/>
    </row>
    <row r="521" spans="1:22" ht="17.100000000000001" customHeight="1" x14ac:dyDescent="0.3">
      <c r="A521" s="133" t="s">
        <v>538</v>
      </c>
      <c r="B521" s="136"/>
      <c r="C521" s="140"/>
      <c r="D521" s="140"/>
      <c r="E521" s="2643"/>
      <c r="F521" s="2644"/>
      <c r="G521" s="2643"/>
      <c r="H521" s="2644"/>
      <c r="I521" s="2643">
        <v>0</v>
      </c>
      <c r="J521" s="2644"/>
      <c r="K521" s="124"/>
      <c r="L521" s="45"/>
      <c r="M521" s="2582" t="s">
        <v>539</v>
      </c>
      <c r="N521" s="2583"/>
      <c r="O521" s="2583"/>
      <c r="P521" s="2583"/>
      <c r="Q521" s="2584"/>
      <c r="R521" s="45"/>
      <c r="S521" s="45"/>
      <c r="T521" s="45"/>
    </row>
    <row r="522" spans="1:22" ht="17.100000000000001" customHeight="1" x14ac:dyDescent="0.3">
      <c r="A522" s="133" t="s">
        <v>540</v>
      </c>
      <c r="B522" s="136"/>
      <c r="C522" s="140"/>
      <c r="D522" s="140"/>
      <c r="E522" s="2643"/>
      <c r="F522" s="2644"/>
      <c r="G522" s="2643"/>
      <c r="H522" s="2644"/>
      <c r="I522" s="2643">
        <v>0</v>
      </c>
      <c r="J522" s="2644"/>
      <c r="K522" s="124"/>
      <c r="L522" s="45"/>
      <c r="M522" s="101" t="s">
        <v>541</v>
      </c>
      <c r="N522" s="102"/>
      <c r="O522" s="102"/>
      <c r="P522" s="102"/>
      <c r="Q522" s="103">
        <v>4.8545269741783006</v>
      </c>
      <c r="R522" s="45"/>
      <c r="S522" s="45"/>
      <c r="T522" s="45"/>
      <c r="U522" s="37" t="s">
        <v>542</v>
      </c>
    </row>
    <row r="523" spans="1:22" ht="17.100000000000001" customHeight="1" x14ac:dyDescent="0.3">
      <c r="A523" s="133" t="s">
        <v>543</v>
      </c>
      <c r="B523" s="136"/>
      <c r="C523" s="140"/>
      <c r="D523" s="140"/>
      <c r="E523" s="2643"/>
      <c r="F523" s="2644"/>
      <c r="G523" s="2643"/>
      <c r="H523" s="2644"/>
      <c r="I523" s="2643">
        <v>0</v>
      </c>
      <c r="J523" s="2644"/>
      <c r="K523" s="124"/>
      <c r="L523" s="45"/>
      <c r="M523" s="104" t="s">
        <v>544</v>
      </c>
      <c r="N523" s="102"/>
      <c r="O523" s="102"/>
      <c r="P523" s="105"/>
      <c r="Q523" s="106">
        <v>6624516.3329927325</v>
      </c>
      <c r="R523" s="45"/>
      <c r="S523" s="45"/>
      <c r="T523" s="45"/>
      <c r="U523" s="37"/>
    </row>
    <row r="524" spans="1:22" ht="17.100000000000001" customHeight="1" x14ac:dyDescent="0.35">
      <c r="A524" s="135" t="s">
        <v>545</v>
      </c>
      <c r="B524" s="136"/>
      <c r="C524" s="140"/>
      <c r="D524" s="140"/>
      <c r="E524" s="2643"/>
      <c r="F524" s="2644"/>
      <c r="G524" s="2643"/>
      <c r="H524" s="2644"/>
      <c r="I524" s="2715">
        <v>1542771.6109388471</v>
      </c>
      <c r="J524" s="2716"/>
      <c r="K524" s="121"/>
      <c r="L524" s="45"/>
      <c r="M524" s="101" t="s">
        <v>546</v>
      </c>
      <c r="N524" s="102"/>
      <c r="O524" s="102"/>
      <c r="P524" s="102"/>
      <c r="Q524" s="106">
        <v>1637875</v>
      </c>
      <c r="R524" s="47"/>
      <c r="S524" s="45"/>
      <c r="T524" s="45"/>
      <c r="U524" s="37" t="s">
        <v>542</v>
      </c>
    </row>
    <row r="525" spans="1:22" ht="17.100000000000001" customHeight="1" x14ac:dyDescent="0.3">
      <c r="A525" s="133" t="s">
        <v>547</v>
      </c>
      <c r="B525" s="136"/>
      <c r="C525" s="140"/>
      <c r="D525" s="140" t="s">
        <v>452</v>
      </c>
      <c r="E525" s="2643">
        <v>4854.5269741783004</v>
      </c>
      <c r="F525" s="2644"/>
      <c r="G525" s="2643">
        <v>166.10560000000001</v>
      </c>
      <c r="H525" s="2644">
        <v>134.62</v>
      </c>
      <c r="I525" s="2643">
        <v>806364.1157620711</v>
      </c>
      <c r="J525" s="2644"/>
      <c r="K525" s="124"/>
      <c r="L525" s="45"/>
      <c r="M525" s="101" t="s">
        <v>758</v>
      </c>
      <c r="N525" s="102"/>
      <c r="O525" s="102"/>
      <c r="P525" s="102"/>
      <c r="Q525" s="106">
        <v>7951108.3678322844</v>
      </c>
      <c r="R525" s="44"/>
      <c r="S525" s="45"/>
      <c r="T525" s="45"/>
    </row>
    <row r="526" spans="1:22" ht="17.100000000000001" customHeight="1" thickBot="1" x14ac:dyDescent="0.45">
      <c r="A526" s="133" t="s">
        <v>1244</v>
      </c>
      <c r="B526" s="136"/>
      <c r="C526" s="140" t="s">
        <v>496</v>
      </c>
      <c r="D526" s="140" t="s">
        <v>497</v>
      </c>
      <c r="E526" s="2643">
        <v>6</v>
      </c>
      <c r="F526" s="2644"/>
      <c r="G526" s="2641">
        <v>47000</v>
      </c>
      <c r="H526" s="2642">
        <v>38202.400000000001</v>
      </c>
      <c r="I526" s="2643">
        <v>282000</v>
      </c>
      <c r="J526" s="2644"/>
      <c r="K526" s="124"/>
      <c r="L526" s="45"/>
      <c r="M526" s="108" t="s">
        <v>549</v>
      </c>
      <c r="N526" s="109"/>
      <c r="O526" s="109"/>
      <c r="P526" s="109"/>
      <c r="Q526" s="110">
        <v>1326592.0348395519</v>
      </c>
      <c r="R526" s="45"/>
      <c r="S526" s="45"/>
      <c r="T526" s="45"/>
    </row>
    <row r="527" spans="1:22" ht="17.100000000000001" customHeight="1" thickBot="1" x14ac:dyDescent="0.35">
      <c r="A527" s="133"/>
      <c r="B527" s="136"/>
      <c r="C527" s="140"/>
      <c r="D527" s="140"/>
      <c r="E527" s="2643"/>
      <c r="F527" s="2644"/>
      <c r="G527" s="2643"/>
      <c r="H527" s="2644"/>
      <c r="I527" s="2643">
        <v>0</v>
      </c>
      <c r="J527" s="2644"/>
      <c r="K527" s="124"/>
      <c r="L527" s="45"/>
      <c r="M527" s="1048" t="s">
        <v>759</v>
      </c>
      <c r="N527" s="1049"/>
      <c r="O527" s="1049"/>
      <c r="P527" s="1049"/>
      <c r="Q527" s="1050">
        <v>20.025492702502589</v>
      </c>
      <c r="R527" s="45"/>
      <c r="S527" s="45"/>
      <c r="T527" s="45"/>
    </row>
    <row r="528" spans="1:22" ht="17.100000000000001" customHeight="1" x14ac:dyDescent="0.3">
      <c r="A528" s="133" t="s">
        <v>1530</v>
      </c>
      <c r="B528" s="136"/>
      <c r="C528" s="140"/>
      <c r="D528" s="140" t="s">
        <v>1243</v>
      </c>
      <c r="E528" s="2643"/>
      <c r="F528" s="2644"/>
      <c r="G528" s="2643"/>
      <c r="H528" s="2644"/>
      <c r="I528" s="2643">
        <v>40000</v>
      </c>
      <c r="J528" s="2644"/>
      <c r="K528" s="124"/>
      <c r="L528" s="7" t="s">
        <v>1528</v>
      </c>
      <c r="M528" s="8"/>
      <c r="N528" s="8"/>
      <c r="O528" s="8"/>
      <c r="P528" s="4"/>
      <c r="Q528" s="5"/>
      <c r="R528" s="1979"/>
      <c r="S528" s="44"/>
      <c r="T528" s="45"/>
    </row>
    <row r="529" spans="1:20" ht="17.100000000000001" customHeight="1" x14ac:dyDescent="0.3">
      <c r="A529" s="133" t="s">
        <v>729</v>
      </c>
      <c r="B529" s="136"/>
      <c r="C529" s="140" t="s">
        <v>752</v>
      </c>
      <c r="D529" s="140" t="s">
        <v>556</v>
      </c>
      <c r="E529" s="2647">
        <v>4.8545269741783006</v>
      </c>
      <c r="F529" s="2648"/>
      <c r="G529" s="2643">
        <v>85365.164799999999</v>
      </c>
      <c r="H529" s="2644">
        <v>69436.36</v>
      </c>
      <c r="I529" s="2643">
        <v>414407.49517677596</v>
      </c>
      <c r="J529" s="2644"/>
      <c r="K529" s="124"/>
      <c r="L529" s="597" t="s">
        <v>1583</v>
      </c>
      <c r="M529" s="45"/>
      <c r="N529" s="45"/>
      <c r="O529" s="45"/>
      <c r="P529" s="45"/>
      <c r="Q529" s="45"/>
      <c r="R529" s="45"/>
      <c r="S529" s="45"/>
      <c r="T529" s="45"/>
    </row>
    <row r="530" spans="1:20" ht="17.100000000000001" customHeight="1" thickBot="1" x14ac:dyDescent="0.25">
      <c r="A530" s="162" t="s">
        <v>558</v>
      </c>
      <c r="B530" s="163"/>
      <c r="C530" s="164"/>
      <c r="D530" s="165"/>
      <c r="E530" s="2561">
        <v>20</v>
      </c>
      <c r="F530" s="2562"/>
      <c r="G530" s="2563"/>
      <c r="H530" s="2564"/>
      <c r="I530" s="2561">
        <v>3036804.0445388472</v>
      </c>
      <c r="J530" s="2562"/>
      <c r="K530" s="26"/>
      <c r="L530" s="45"/>
      <c r="M530" s="45"/>
      <c r="N530" s="45"/>
      <c r="O530" s="45"/>
      <c r="P530" s="45"/>
      <c r="Q530" s="45"/>
      <c r="R530" s="44"/>
      <c r="S530" s="45"/>
      <c r="T530" s="45"/>
    </row>
    <row r="531" spans="1:20" ht="14.1" customHeight="1" x14ac:dyDescent="0.2">
      <c r="A531" s="40"/>
      <c r="B531" s="40"/>
      <c r="C531" s="41"/>
      <c r="D531" s="41"/>
      <c r="E531" s="41"/>
      <c r="F531" s="41"/>
      <c r="G531" s="42"/>
      <c r="H531" s="42"/>
      <c r="I531" s="44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</row>
    <row r="532" spans="1:20" ht="14.1" customHeight="1" x14ac:dyDescent="0.2">
      <c r="A532" s="40"/>
      <c r="B532" s="40"/>
      <c r="C532" s="41"/>
      <c r="D532" s="41"/>
      <c r="E532" s="41"/>
      <c r="F532" s="41"/>
      <c r="G532" s="42"/>
      <c r="H532" s="42"/>
      <c r="I532" s="44"/>
      <c r="J532" s="45"/>
      <c r="K532" s="45"/>
      <c r="L532" s="40"/>
      <c r="M532" s="40"/>
      <c r="N532" s="41"/>
      <c r="O532" s="41"/>
      <c r="P532" s="41"/>
      <c r="Q532" s="41"/>
      <c r="R532" s="45"/>
      <c r="S532" s="45"/>
      <c r="T532" s="45"/>
    </row>
    <row r="533" spans="1:20" ht="14.1" customHeight="1" x14ac:dyDescent="0.2">
      <c r="A533" s="2654"/>
      <c r="B533" s="2654"/>
      <c r="C533" s="2654"/>
      <c r="D533" s="2654"/>
      <c r="E533" s="2654"/>
      <c r="F533" s="2654"/>
      <c r="G533" s="2654"/>
      <c r="H533" s="2654"/>
      <c r="I533" s="2654"/>
      <c r="J533" s="2654"/>
      <c r="K533" s="2654"/>
      <c r="L533" s="2654"/>
      <c r="M533" s="2654"/>
      <c r="N533" s="2654"/>
      <c r="O533" s="2654"/>
      <c r="P533" s="2654"/>
      <c r="Q533" s="2654"/>
      <c r="R533" s="2654"/>
      <c r="S533" s="2654"/>
      <c r="T533" s="2654"/>
    </row>
    <row r="534" spans="1:20" ht="14.1" customHeight="1" x14ac:dyDescent="0.2">
      <c r="A534" s="2654"/>
      <c r="B534" s="2654"/>
      <c r="C534" s="2654"/>
      <c r="D534" s="2654"/>
      <c r="E534" s="2654"/>
      <c r="F534" s="2654"/>
      <c r="G534" s="2654"/>
      <c r="H534" s="2654"/>
      <c r="I534" s="2654"/>
      <c r="J534" s="2654"/>
      <c r="K534" s="2654"/>
      <c r="L534" s="2654"/>
      <c r="M534" s="2654"/>
      <c r="N534" s="2654"/>
      <c r="O534" s="2654"/>
      <c r="P534" s="2654"/>
      <c r="Q534" s="2654"/>
      <c r="R534" s="2654"/>
      <c r="S534" s="2654"/>
      <c r="T534" s="2654"/>
    </row>
    <row r="535" spans="1:20" ht="14.1" customHeight="1" x14ac:dyDescent="0.2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</row>
    <row r="536" spans="1:20" ht="14.1" customHeight="1" x14ac:dyDescent="0.2">
      <c r="A536" s="40"/>
      <c r="B536" s="40"/>
      <c r="C536" s="41"/>
      <c r="D536" s="41"/>
      <c r="E536" s="41"/>
      <c r="F536" s="41"/>
      <c r="G536" s="42"/>
      <c r="H536" s="42"/>
      <c r="I536" s="44"/>
      <c r="J536" s="45"/>
      <c r="K536" s="45"/>
      <c r="L536" s="40"/>
      <c r="M536" s="40"/>
      <c r="N536" s="41"/>
      <c r="O536" s="41"/>
      <c r="P536" s="41"/>
      <c r="Q536" s="41"/>
      <c r="R536" s="45"/>
      <c r="S536" s="45"/>
      <c r="T536" s="45"/>
    </row>
    <row r="537" spans="1:20" ht="27" customHeight="1" x14ac:dyDescent="0.2">
      <c r="A537" s="2719" t="s">
        <v>1912</v>
      </c>
      <c r="B537" s="2719"/>
      <c r="C537" s="2719"/>
      <c r="D537" s="2719"/>
      <c r="E537" s="2719"/>
      <c r="F537" s="2719"/>
      <c r="G537" s="2719"/>
      <c r="H537" s="2719"/>
      <c r="I537" s="2719"/>
      <c r="J537" s="2719"/>
      <c r="K537" s="2719"/>
      <c r="L537" s="2719"/>
      <c r="M537" s="2719"/>
      <c r="N537" s="2719"/>
      <c r="O537" s="2719"/>
      <c r="P537" s="2719"/>
      <c r="Q537" s="2719"/>
      <c r="R537" s="2719"/>
      <c r="S537" s="2719"/>
      <c r="T537" s="2719"/>
    </row>
    <row r="538" spans="1:20" ht="14.1" customHeight="1" x14ac:dyDescent="0.2">
      <c r="A538" s="40"/>
      <c r="B538" s="40"/>
      <c r="C538" s="115"/>
      <c r="D538" s="41"/>
      <c r="E538" s="41"/>
      <c r="F538" s="41"/>
      <c r="G538" s="42"/>
      <c r="H538" s="42"/>
      <c r="I538" s="44"/>
      <c r="J538" s="45"/>
      <c r="K538" s="45"/>
      <c r="L538" s="40"/>
      <c r="M538" s="40"/>
      <c r="N538" s="115"/>
      <c r="O538" s="45"/>
      <c r="P538" s="45"/>
      <c r="Q538" s="45"/>
      <c r="R538" s="45"/>
      <c r="S538" s="45"/>
      <c r="T538" s="45"/>
    </row>
    <row r="539" spans="1:20" ht="14.1" customHeight="1" thickBot="1" x14ac:dyDescent="0.25">
      <c r="A539" s="40"/>
      <c r="B539" s="40"/>
      <c r="C539" s="41"/>
      <c r="D539" s="41"/>
      <c r="E539" s="41"/>
      <c r="F539" s="41"/>
      <c r="G539" s="42"/>
      <c r="H539" s="42"/>
      <c r="I539" s="44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</row>
    <row r="540" spans="1:20" ht="17.100000000000001" customHeight="1" x14ac:dyDescent="0.3">
      <c r="A540" s="2612" t="s">
        <v>435</v>
      </c>
      <c r="B540" s="2613"/>
      <c r="C540" s="2618" t="s">
        <v>436</v>
      </c>
      <c r="D540" s="2619"/>
      <c r="E540" s="2619"/>
      <c r="F540" s="2620"/>
      <c r="G540" s="2624" t="s">
        <v>437</v>
      </c>
      <c r="H540" s="2625"/>
      <c r="I540" s="2618" t="s">
        <v>439</v>
      </c>
      <c r="J540" s="2620"/>
      <c r="K540" s="49"/>
      <c r="L540" s="2626" t="s">
        <v>435</v>
      </c>
      <c r="M540" s="2619" t="s">
        <v>436</v>
      </c>
      <c r="N540" s="2619"/>
      <c r="O540" s="2619"/>
      <c r="P540" s="2620"/>
      <c r="Q540" s="2624" t="s">
        <v>437</v>
      </c>
      <c r="R540" s="2625"/>
      <c r="S540" s="2618" t="s">
        <v>439</v>
      </c>
      <c r="T540" s="2649"/>
    </row>
    <row r="541" spans="1:20" ht="17.100000000000001" customHeight="1" thickBot="1" x14ac:dyDescent="0.35">
      <c r="A541" s="2614"/>
      <c r="B541" s="2615"/>
      <c r="C541" s="2621"/>
      <c r="D541" s="2622"/>
      <c r="E541" s="2622"/>
      <c r="F541" s="2623"/>
      <c r="G541" s="2629" t="s">
        <v>440</v>
      </c>
      <c r="H541" s="2630"/>
      <c r="I541" s="2631"/>
      <c r="J541" s="2632"/>
      <c r="K541" s="49"/>
      <c r="L541" s="2627"/>
      <c r="M541" s="2622"/>
      <c r="N541" s="2622"/>
      <c r="O541" s="2622"/>
      <c r="P541" s="2623"/>
      <c r="Q541" s="2629" t="s">
        <v>440</v>
      </c>
      <c r="R541" s="2630"/>
      <c r="S541" s="2631"/>
      <c r="T541" s="2650"/>
    </row>
    <row r="542" spans="1:20" ht="17.100000000000001" customHeight="1" x14ac:dyDescent="0.3">
      <c r="A542" s="2614"/>
      <c r="B542" s="2615"/>
      <c r="C542" s="53" t="s">
        <v>441</v>
      </c>
      <c r="D542" s="2670" t="s">
        <v>442</v>
      </c>
      <c r="E542" s="2631" t="s">
        <v>443</v>
      </c>
      <c r="F542" s="2632"/>
      <c r="G542" s="2629" t="s">
        <v>444</v>
      </c>
      <c r="H542" s="2630"/>
      <c r="I542" s="2631" t="s">
        <v>348</v>
      </c>
      <c r="J542" s="2632"/>
      <c r="K542" s="49"/>
      <c r="L542" s="2627"/>
      <c r="M542" s="51" t="s">
        <v>441</v>
      </c>
      <c r="N542" s="2670" t="s">
        <v>442</v>
      </c>
      <c r="O542" s="2631" t="s">
        <v>443</v>
      </c>
      <c r="P542" s="2632"/>
      <c r="Q542" s="2629" t="s">
        <v>444</v>
      </c>
      <c r="R542" s="2630"/>
      <c r="S542" s="2631" t="s">
        <v>348</v>
      </c>
      <c r="T542" s="2650"/>
    </row>
    <row r="543" spans="1:20" ht="17.100000000000001" customHeight="1" thickBot="1" x14ac:dyDescent="0.35">
      <c r="A543" s="2616"/>
      <c r="B543" s="2617"/>
      <c r="C543" s="54" t="s">
        <v>445</v>
      </c>
      <c r="D543" s="2634"/>
      <c r="E543" s="2621"/>
      <c r="F543" s="2623"/>
      <c r="G543" s="2561"/>
      <c r="H543" s="2562"/>
      <c r="I543" s="2635"/>
      <c r="J543" s="2636"/>
      <c r="K543" s="49"/>
      <c r="L543" s="2628"/>
      <c r="M543" s="50" t="s">
        <v>445</v>
      </c>
      <c r="N543" s="2634"/>
      <c r="O543" s="2621"/>
      <c r="P543" s="2623"/>
      <c r="Q543" s="2561"/>
      <c r="R543" s="2562"/>
      <c r="S543" s="2652"/>
      <c r="T543" s="2653"/>
    </row>
    <row r="544" spans="1:20" ht="17.100000000000001" customHeight="1" x14ac:dyDescent="0.3">
      <c r="A544" s="116" t="s">
        <v>446</v>
      </c>
      <c r="B544" s="117"/>
      <c r="C544" s="118"/>
      <c r="D544" s="118"/>
      <c r="E544" s="2712"/>
      <c r="F544" s="2713"/>
      <c r="G544" s="2651"/>
      <c r="H544" s="2714"/>
      <c r="I544" s="2607"/>
      <c r="J544" s="2608"/>
      <c r="K544" s="45"/>
      <c r="L544" s="119" t="s">
        <v>447</v>
      </c>
      <c r="M544" s="118"/>
      <c r="N544" s="118"/>
      <c r="O544" s="2651"/>
      <c r="P544" s="2651"/>
      <c r="Q544" s="2651"/>
      <c r="R544" s="2651"/>
      <c r="S544" s="2651"/>
      <c r="T544" s="2651"/>
    </row>
    <row r="545" spans="1:20" ht="17.100000000000001" customHeight="1" x14ac:dyDescent="0.35">
      <c r="A545" s="2595" t="s">
        <v>448</v>
      </c>
      <c r="B545" s="2596"/>
      <c r="C545" s="120"/>
      <c r="D545" s="120"/>
      <c r="E545" s="2645"/>
      <c r="F545" s="2646"/>
      <c r="G545" s="2643"/>
      <c r="H545" s="2644"/>
      <c r="I545" s="2715">
        <v>0</v>
      </c>
      <c r="J545" s="2716"/>
      <c r="K545" s="121"/>
      <c r="L545" s="122"/>
      <c r="M545" s="120"/>
      <c r="N545" s="120"/>
      <c r="O545" s="2643"/>
      <c r="P545" s="2643"/>
      <c r="Q545" s="2643"/>
      <c r="R545" s="2643"/>
      <c r="S545" s="2643"/>
      <c r="T545" s="2643"/>
    </row>
    <row r="546" spans="1:20" ht="17.100000000000001" customHeight="1" x14ac:dyDescent="0.3">
      <c r="A546" s="2589" t="s">
        <v>449</v>
      </c>
      <c r="B546" s="2590"/>
      <c r="C546" s="120"/>
      <c r="D546" s="120"/>
      <c r="E546" s="2645"/>
      <c r="F546" s="2646"/>
      <c r="G546" s="2643"/>
      <c r="H546" s="2644"/>
      <c r="I546" s="2643">
        <v>0</v>
      </c>
      <c r="J546" s="2644"/>
      <c r="K546" s="124"/>
      <c r="L546" s="122" t="s">
        <v>450</v>
      </c>
      <c r="M546" s="120" t="s">
        <v>731</v>
      </c>
      <c r="N546" s="120" t="s">
        <v>452</v>
      </c>
      <c r="O546" s="2643">
        <v>20</v>
      </c>
      <c r="P546" s="2643"/>
      <c r="Q546" s="2643">
        <v>10982.64</v>
      </c>
      <c r="R546" s="2643"/>
      <c r="S546" s="2643">
        <v>219652.8</v>
      </c>
      <c r="T546" s="2643"/>
    </row>
    <row r="547" spans="1:20" ht="17.100000000000001" customHeight="1" x14ac:dyDescent="0.3">
      <c r="A547" s="2589" t="s">
        <v>453</v>
      </c>
      <c r="B547" s="2590"/>
      <c r="C547" s="120"/>
      <c r="D547" s="120"/>
      <c r="E547" s="2645"/>
      <c r="F547" s="2646"/>
      <c r="G547" s="2643"/>
      <c r="H547" s="2644"/>
      <c r="I547" s="2643">
        <v>0</v>
      </c>
      <c r="J547" s="2644"/>
      <c r="K547" s="124"/>
      <c r="L547" s="122" t="s">
        <v>454</v>
      </c>
      <c r="M547" s="120"/>
      <c r="N547" s="120"/>
      <c r="O547" s="2643"/>
      <c r="P547" s="2643"/>
      <c r="Q547" s="2643"/>
      <c r="R547" s="2643"/>
      <c r="S547" s="2643">
        <v>0</v>
      </c>
      <c r="T547" s="2643"/>
    </row>
    <row r="548" spans="1:20" ht="17.100000000000001" customHeight="1" x14ac:dyDescent="0.3">
      <c r="A548" s="2589" t="s">
        <v>455</v>
      </c>
      <c r="B548" s="2590"/>
      <c r="C548" s="120"/>
      <c r="D548" s="120"/>
      <c r="E548" s="2645"/>
      <c r="F548" s="2645"/>
      <c r="G548" s="2643"/>
      <c r="H548" s="2644"/>
      <c r="I548" s="2643">
        <v>0</v>
      </c>
      <c r="J548" s="2644"/>
      <c r="K548" s="124"/>
      <c r="L548" s="122" t="s">
        <v>456</v>
      </c>
      <c r="M548" s="120"/>
      <c r="N548" s="120"/>
      <c r="O548" s="2643"/>
      <c r="P548" s="2643"/>
      <c r="Q548" s="2643"/>
      <c r="R548" s="2643"/>
      <c r="S548" s="2643">
        <v>0</v>
      </c>
      <c r="T548" s="2643"/>
    </row>
    <row r="549" spans="1:20" ht="17.100000000000001" customHeight="1" x14ac:dyDescent="0.2">
      <c r="A549" s="2600" t="s">
        <v>560</v>
      </c>
      <c r="B549" s="2601"/>
      <c r="C549" s="120"/>
      <c r="D549" s="120"/>
      <c r="E549" s="2645"/>
      <c r="F549" s="2645"/>
      <c r="G549" s="2643"/>
      <c r="H549" s="2643"/>
      <c r="I549" s="2715">
        <v>376000</v>
      </c>
      <c r="J549" s="2715"/>
      <c r="K549" s="126"/>
      <c r="L549" s="122" t="s">
        <v>458</v>
      </c>
      <c r="M549" s="120"/>
      <c r="N549" s="120"/>
      <c r="O549" s="2643"/>
      <c r="P549" s="2643"/>
      <c r="Q549" s="2643"/>
      <c r="R549" s="2643"/>
      <c r="S549" s="2643">
        <v>0</v>
      </c>
      <c r="T549" s="2643"/>
    </row>
    <row r="550" spans="1:20" ht="17.100000000000001" customHeight="1" x14ac:dyDescent="0.4">
      <c r="A550" s="127" t="s">
        <v>461</v>
      </c>
      <c r="B550" s="128"/>
      <c r="C550" s="120" t="s">
        <v>496</v>
      </c>
      <c r="D550" s="120" t="s">
        <v>497</v>
      </c>
      <c r="E550" s="2645">
        <v>8</v>
      </c>
      <c r="F550" s="2645"/>
      <c r="G550" s="2641">
        <v>47000</v>
      </c>
      <c r="H550" s="2642">
        <v>38202.400000000001</v>
      </c>
      <c r="I550" s="2643">
        <v>376000</v>
      </c>
      <c r="J550" s="2644"/>
      <c r="K550" s="124"/>
      <c r="L550" s="122" t="s">
        <v>589</v>
      </c>
      <c r="M550" s="120" t="s">
        <v>753</v>
      </c>
      <c r="N550" s="120" t="s">
        <v>452</v>
      </c>
      <c r="O550" s="2643">
        <v>4.5</v>
      </c>
      <c r="P550" s="2643"/>
      <c r="Q550" s="2643">
        <v>188974</v>
      </c>
      <c r="R550" s="2643"/>
      <c r="S550" s="2643">
        <v>850383</v>
      </c>
      <c r="T550" s="2643"/>
    </row>
    <row r="551" spans="1:20" ht="17.100000000000001" customHeight="1" x14ac:dyDescent="0.3">
      <c r="A551" s="129" t="s">
        <v>711</v>
      </c>
      <c r="B551" s="130"/>
      <c r="C551" s="120"/>
      <c r="D551" s="120"/>
      <c r="E551" s="2645"/>
      <c r="F551" s="2645"/>
      <c r="G551" s="2643"/>
      <c r="H551" s="2644"/>
      <c r="I551" s="2643">
        <v>0</v>
      </c>
      <c r="J551" s="2644"/>
      <c r="K551" s="124"/>
      <c r="L551" s="122" t="s">
        <v>471</v>
      </c>
      <c r="M551" s="120"/>
      <c r="N551" s="120"/>
      <c r="O551" s="2643"/>
      <c r="P551" s="2643"/>
      <c r="Q551" s="2643"/>
      <c r="R551" s="2643"/>
      <c r="S551" s="2643">
        <v>0</v>
      </c>
      <c r="T551" s="2643"/>
    </row>
    <row r="552" spans="1:20" ht="17.100000000000001" customHeight="1" x14ac:dyDescent="0.3">
      <c r="A552" s="127" t="s">
        <v>465</v>
      </c>
      <c r="B552" s="128"/>
      <c r="C552" s="120"/>
      <c r="D552" s="120"/>
      <c r="E552" s="2645"/>
      <c r="F552" s="2645"/>
      <c r="G552" s="2643"/>
      <c r="H552" s="2644"/>
      <c r="I552" s="2643">
        <v>0</v>
      </c>
      <c r="J552" s="2644"/>
      <c r="K552" s="124"/>
      <c r="L552" s="122" t="s">
        <v>504</v>
      </c>
      <c r="M552" s="120"/>
      <c r="N552" s="120"/>
      <c r="O552" s="2643"/>
      <c r="P552" s="2643"/>
      <c r="Q552" s="2643"/>
      <c r="R552" s="2643"/>
      <c r="S552" s="2643">
        <v>0</v>
      </c>
      <c r="T552" s="2643"/>
    </row>
    <row r="553" spans="1:20" ht="17.100000000000001" customHeight="1" x14ac:dyDescent="0.3">
      <c r="A553" s="127" t="s">
        <v>469</v>
      </c>
      <c r="B553" s="128"/>
      <c r="C553" s="120"/>
      <c r="D553" s="120"/>
      <c r="E553" s="2645"/>
      <c r="F553" s="2645"/>
      <c r="G553" s="2643"/>
      <c r="H553" s="2644"/>
      <c r="I553" s="2643">
        <v>0</v>
      </c>
      <c r="J553" s="2644"/>
      <c r="K553" s="124"/>
      <c r="L553" s="122"/>
      <c r="M553" s="120"/>
      <c r="N553" s="120"/>
      <c r="O553" s="2643"/>
      <c r="P553" s="2643"/>
      <c r="Q553" s="2643"/>
      <c r="R553" s="2643"/>
      <c r="S553" s="2643"/>
      <c r="T553" s="2643"/>
    </row>
    <row r="554" spans="1:20" ht="17.100000000000001" customHeight="1" x14ac:dyDescent="0.3">
      <c r="A554" s="131" t="s">
        <v>470</v>
      </c>
      <c r="B554" s="132"/>
      <c r="C554" s="120"/>
      <c r="D554" s="120"/>
      <c r="E554" s="2645"/>
      <c r="F554" s="2645"/>
      <c r="G554" s="2643"/>
      <c r="H554" s="2644"/>
      <c r="I554" s="2643">
        <v>0</v>
      </c>
      <c r="J554" s="2644"/>
      <c r="K554" s="124"/>
      <c r="L554" s="122"/>
      <c r="M554" s="120"/>
      <c r="N554" s="120"/>
      <c r="O554" s="2643"/>
      <c r="P554" s="2643"/>
      <c r="Q554" s="2643"/>
      <c r="R554" s="2643"/>
      <c r="S554" s="2643"/>
      <c r="T554" s="2643"/>
    </row>
    <row r="555" spans="1:20" ht="17.100000000000001" customHeight="1" x14ac:dyDescent="0.3">
      <c r="A555" s="127" t="s">
        <v>474</v>
      </c>
      <c r="B555" s="128"/>
      <c r="C555" s="120"/>
      <c r="D555" s="120"/>
      <c r="E555" s="2645"/>
      <c r="F555" s="2645"/>
      <c r="G555" s="2643"/>
      <c r="H555" s="2644"/>
      <c r="I555" s="2643">
        <v>0</v>
      </c>
      <c r="J555" s="2644"/>
      <c r="K555" s="124"/>
      <c r="L555" s="122" t="s">
        <v>475</v>
      </c>
      <c r="M555" s="120"/>
      <c r="N555" s="120"/>
      <c r="O555" s="2643"/>
      <c r="P555" s="2643"/>
      <c r="Q555" s="2643"/>
      <c r="R555" s="2643"/>
      <c r="S555" s="2643">
        <v>0</v>
      </c>
      <c r="T555" s="2643"/>
    </row>
    <row r="556" spans="1:20" ht="17.100000000000001" customHeight="1" x14ac:dyDescent="0.3">
      <c r="A556" s="127" t="s">
        <v>476</v>
      </c>
      <c r="B556" s="128"/>
      <c r="C556" s="120"/>
      <c r="D556" s="120"/>
      <c r="E556" s="2645"/>
      <c r="F556" s="2645"/>
      <c r="G556" s="2643"/>
      <c r="H556" s="2644"/>
      <c r="I556" s="2643">
        <v>0</v>
      </c>
      <c r="J556" s="2644"/>
      <c r="K556" s="124"/>
      <c r="L556" s="122" t="s">
        <v>477</v>
      </c>
      <c r="M556" s="120"/>
      <c r="N556" s="120"/>
      <c r="O556" s="2643"/>
      <c r="P556" s="2643"/>
      <c r="Q556" s="2643"/>
      <c r="R556" s="2643"/>
      <c r="S556" s="2643">
        <v>0</v>
      </c>
      <c r="T556" s="2643"/>
    </row>
    <row r="557" spans="1:20" ht="17.100000000000001" customHeight="1" x14ac:dyDescent="0.3">
      <c r="A557" s="2597" t="s">
        <v>480</v>
      </c>
      <c r="B557" s="2598"/>
      <c r="C557" s="120"/>
      <c r="D557" s="120"/>
      <c r="E557" s="2645"/>
      <c r="F557" s="2646"/>
      <c r="G557" s="2643"/>
      <c r="H557" s="2644"/>
      <c r="I557" s="2643">
        <v>0</v>
      </c>
      <c r="J557" s="2644"/>
      <c r="K557" s="124"/>
      <c r="L557" s="122" t="s">
        <v>481</v>
      </c>
      <c r="M557" s="120"/>
      <c r="N557" s="120"/>
      <c r="O557" s="2643"/>
      <c r="P557" s="2643"/>
      <c r="Q557" s="2643"/>
      <c r="R557" s="2643"/>
      <c r="S557" s="2643">
        <v>0</v>
      </c>
      <c r="T557" s="2643"/>
    </row>
    <row r="558" spans="1:20" ht="17.100000000000001" customHeight="1" x14ac:dyDescent="0.3">
      <c r="A558" s="127" t="s">
        <v>454</v>
      </c>
      <c r="B558" s="128"/>
      <c r="C558" s="120"/>
      <c r="D558" s="120"/>
      <c r="E558" s="2645"/>
      <c r="F558" s="2646"/>
      <c r="G558" s="2643"/>
      <c r="H558" s="2644"/>
      <c r="I558" s="2643">
        <v>0</v>
      </c>
      <c r="J558" s="2644"/>
      <c r="K558" s="124"/>
      <c r="L558" s="122" t="s">
        <v>483</v>
      </c>
      <c r="M558" s="120"/>
      <c r="N558" s="120"/>
      <c r="O558" s="2643"/>
      <c r="P558" s="2643"/>
      <c r="Q558" s="2643"/>
      <c r="R558" s="2643"/>
      <c r="S558" s="2643">
        <v>0</v>
      </c>
      <c r="T558" s="2643"/>
    </row>
    <row r="559" spans="1:20" ht="17.100000000000001" customHeight="1" x14ac:dyDescent="0.3">
      <c r="A559" s="127" t="s">
        <v>715</v>
      </c>
      <c r="B559" s="128"/>
      <c r="C559" s="120"/>
      <c r="D559" s="120"/>
      <c r="E559" s="2645"/>
      <c r="F559" s="2646"/>
      <c r="G559" s="2643"/>
      <c r="H559" s="2644"/>
      <c r="I559" s="2643">
        <v>0</v>
      </c>
      <c r="J559" s="2644"/>
      <c r="K559" s="124"/>
      <c r="L559" s="122" t="s">
        <v>486</v>
      </c>
      <c r="M559" s="120"/>
      <c r="N559" s="120"/>
      <c r="O559" s="2643"/>
      <c r="P559" s="2643"/>
      <c r="Q559" s="2643"/>
      <c r="R559" s="2643"/>
      <c r="S559" s="2643">
        <v>0</v>
      </c>
      <c r="T559" s="2643"/>
    </row>
    <row r="560" spans="1:20" ht="17.100000000000001" customHeight="1" x14ac:dyDescent="0.3">
      <c r="A560" s="133" t="s">
        <v>488</v>
      </c>
      <c r="B560" s="134"/>
      <c r="C560" s="120"/>
      <c r="D560" s="120"/>
      <c r="E560" s="2645"/>
      <c r="F560" s="2646"/>
      <c r="G560" s="2643"/>
      <c r="H560" s="2644"/>
      <c r="I560" s="2643">
        <v>0</v>
      </c>
      <c r="J560" s="2644"/>
      <c r="K560" s="124"/>
      <c r="L560" s="122" t="s">
        <v>489</v>
      </c>
      <c r="M560" s="120" t="s">
        <v>754</v>
      </c>
      <c r="N560" s="120" t="s">
        <v>732</v>
      </c>
      <c r="O560" s="2643">
        <v>1</v>
      </c>
      <c r="P560" s="2643"/>
      <c r="Q560" s="2643">
        <v>52332</v>
      </c>
      <c r="R560" s="2643"/>
      <c r="S560" s="2643">
        <v>52332</v>
      </c>
      <c r="T560" s="2643"/>
    </row>
    <row r="561" spans="1:20" ht="17.100000000000001" customHeight="1" x14ac:dyDescent="0.35">
      <c r="A561" s="135" t="s">
        <v>490</v>
      </c>
      <c r="B561" s="136"/>
      <c r="C561" s="120"/>
      <c r="D561" s="120"/>
      <c r="E561" s="2645"/>
      <c r="F561" s="2646"/>
      <c r="G561" s="2643"/>
      <c r="H561" s="2644"/>
      <c r="I561" s="2715">
        <v>235000</v>
      </c>
      <c r="J561" s="2716"/>
      <c r="K561" s="124"/>
      <c r="L561" s="122" t="s">
        <v>491</v>
      </c>
      <c r="M561" s="120"/>
      <c r="N561" s="120"/>
      <c r="O561" s="2643"/>
      <c r="P561" s="2643"/>
      <c r="Q561" s="2643"/>
      <c r="R561" s="2643"/>
      <c r="S561" s="2643">
        <v>0</v>
      </c>
      <c r="T561" s="2643"/>
    </row>
    <row r="562" spans="1:20" ht="17.100000000000001" customHeight="1" x14ac:dyDescent="0.4">
      <c r="A562" s="133" t="s">
        <v>492</v>
      </c>
      <c r="B562" s="136"/>
      <c r="C562" s="120" t="s">
        <v>496</v>
      </c>
      <c r="D562" s="120" t="s">
        <v>497</v>
      </c>
      <c r="E562" s="2643">
        <v>5</v>
      </c>
      <c r="F562" s="2643"/>
      <c r="G562" s="2641">
        <v>47000</v>
      </c>
      <c r="H562" s="2642">
        <v>38202.400000000001</v>
      </c>
      <c r="I562" s="2643">
        <v>235000</v>
      </c>
      <c r="J562" s="2644"/>
      <c r="K562" s="124"/>
      <c r="L562" s="122" t="s">
        <v>494</v>
      </c>
      <c r="M562" s="120"/>
      <c r="N562" s="120"/>
      <c r="O562" s="2643"/>
      <c r="P562" s="2643"/>
      <c r="Q562" s="2643"/>
      <c r="R562" s="2643"/>
      <c r="S562" s="2643">
        <v>0</v>
      </c>
      <c r="T562" s="2643"/>
    </row>
    <row r="563" spans="1:20" ht="17.100000000000001" customHeight="1" x14ac:dyDescent="0.3">
      <c r="A563" s="137" t="s">
        <v>717</v>
      </c>
      <c r="B563" s="138"/>
      <c r="C563" s="120"/>
      <c r="D563" s="120"/>
      <c r="E563" s="2643"/>
      <c r="F563" s="2643"/>
      <c r="G563" s="2643"/>
      <c r="H563" s="2644"/>
      <c r="I563" s="2643">
        <v>0</v>
      </c>
      <c r="J563" s="2644"/>
      <c r="K563" s="124"/>
      <c r="L563" s="122" t="s">
        <v>498</v>
      </c>
      <c r="M563" s="120"/>
      <c r="N563" s="120"/>
      <c r="O563" s="2643"/>
      <c r="P563" s="2643"/>
      <c r="Q563" s="2643"/>
      <c r="R563" s="2643"/>
      <c r="S563" s="2643">
        <v>0</v>
      </c>
      <c r="T563" s="2643"/>
    </row>
    <row r="564" spans="1:20" ht="17.100000000000001" customHeight="1" x14ac:dyDescent="0.3">
      <c r="A564" s="2578" t="s">
        <v>501</v>
      </c>
      <c r="B564" s="2579"/>
      <c r="C564" s="120"/>
      <c r="D564" s="120"/>
      <c r="E564" s="2643"/>
      <c r="F564" s="2643"/>
      <c r="G564" s="2643"/>
      <c r="H564" s="2644"/>
      <c r="I564" s="2643">
        <v>0</v>
      </c>
      <c r="J564" s="2644"/>
      <c r="K564" s="124"/>
      <c r="L564" s="139" t="s">
        <v>504</v>
      </c>
      <c r="M564" s="140"/>
      <c r="N564" s="140"/>
      <c r="O564" s="2643"/>
      <c r="P564" s="2643"/>
      <c r="Q564" s="2643"/>
      <c r="R564" s="2643"/>
      <c r="S564" s="2643">
        <v>0</v>
      </c>
      <c r="T564" s="2643"/>
    </row>
    <row r="565" spans="1:20" ht="17.100000000000001" customHeight="1" x14ac:dyDescent="0.3">
      <c r="A565" s="2589" t="s">
        <v>504</v>
      </c>
      <c r="B565" s="2590"/>
      <c r="C565" s="120"/>
      <c r="D565" s="120"/>
      <c r="E565" s="2643"/>
      <c r="F565" s="2643"/>
      <c r="G565" s="2643"/>
      <c r="H565" s="2644"/>
      <c r="I565" s="2643">
        <v>0</v>
      </c>
      <c r="J565" s="2644"/>
      <c r="K565" s="124"/>
      <c r="L565" s="139"/>
      <c r="M565" s="139"/>
      <c r="N565" s="139"/>
      <c r="O565" s="2643"/>
      <c r="P565" s="2643"/>
      <c r="Q565" s="2643"/>
      <c r="R565" s="2643"/>
      <c r="S565" s="2643"/>
      <c r="T565" s="2643"/>
    </row>
    <row r="566" spans="1:20" ht="17.100000000000001" customHeight="1" x14ac:dyDescent="0.3">
      <c r="A566" s="2589" t="s">
        <v>504</v>
      </c>
      <c r="B566" s="2590"/>
      <c r="C566" s="120"/>
      <c r="D566" s="120"/>
      <c r="E566" s="2643"/>
      <c r="F566" s="2643"/>
      <c r="G566" s="2643"/>
      <c r="H566" s="2644"/>
      <c r="I566" s="2643">
        <v>0</v>
      </c>
      <c r="J566" s="2644"/>
      <c r="K566" s="124"/>
      <c r="L566" s="139" t="s">
        <v>595</v>
      </c>
      <c r="M566" s="139"/>
      <c r="N566" s="139"/>
      <c r="O566" s="2643"/>
      <c r="P566" s="2643"/>
      <c r="Q566" s="2643"/>
      <c r="R566" s="2643"/>
      <c r="S566" s="2643">
        <v>0</v>
      </c>
      <c r="T566" s="2643"/>
    </row>
    <row r="567" spans="1:20" ht="17.100000000000001" customHeight="1" x14ac:dyDescent="0.35">
      <c r="A567" s="2595" t="s">
        <v>506</v>
      </c>
      <c r="B567" s="2596"/>
      <c r="C567" s="120"/>
      <c r="D567" s="120"/>
      <c r="E567" s="2645"/>
      <c r="F567" s="2646"/>
      <c r="G567" s="2643"/>
      <c r="H567" s="2644"/>
      <c r="I567" s="2715">
        <v>282000</v>
      </c>
      <c r="J567" s="2716"/>
      <c r="K567" s="121"/>
      <c r="L567" s="139" t="s">
        <v>724</v>
      </c>
      <c r="M567" s="140" t="s">
        <v>596</v>
      </c>
      <c r="N567" s="140" t="s">
        <v>497</v>
      </c>
      <c r="O567" s="2643">
        <v>22</v>
      </c>
      <c r="P567" s="2643"/>
      <c r="Q567" s="2643">
        <v>3453.248</v>
      </c>
      <c r="R567" s="2643"/>
      <c r="S567" s="2643">
        <v>75971.456000000006</v>
      </c>
      <c r="T567" s="2643"/>
    </row>
    <row r="568" spans="1:20" ht="17.100000000000001" customHeight="1" x14ac:dyDescent="0.4">
      <c r="A568" s="2589" t="s">
        <v>509</v>
      </c>
      <c r="B568" s="2590"/>
      <c r="C568" s="120" t="s">
        <v>496</v>
      </c>
      <c r="D568" s="120" t="s">
        <v>497</v>
      </c>
      <c r="E568" s="2645">
        <v>2</v>
      </c>
      <c r="F568" s="2646"/>
      <c r="G568" s="2641">
        <v>47000</v>
      </c>
      <c r="H568" s="2642">
        <v>38202.400000000001</v>
      </c>
      <c r="I568" s="2643">
        <v>94000</v>
      </c>
      <c r="J568" s="2644"/>
      <c r="K568" s="124"/>
      <c r="L568" s="139" t="s">
        <v>510</v>
      </c>
      <c r="M568" s="140" t="s">
        <v>599</v>
      </c>
      <c r="N568" s="140" t="s">
        <v>497</v>
      </c>
      <c r="O568" s="2643">
        <v>1</v>
      </c>
      <c r="P568" s="2643"/>
      <c r="Q568" s="2643">
        <v>15960.343999999999</v>
      </c>
      <c r="R568" s="2643"/>
      <c r="S568" s="2643">
        <v>15960.343999999999</v>
      </c>
      <c r="T568" s="2643"/>
    </row>
    <row r="569" spans="1:20" ht="17.100000000000001" customHeight="1" x14ac:dyDescent="0.3">
      <c r="A569" s="2589" t="s">
        <v>512</v>
      </c>
      <c r="B569" s="2590"/>
      <c r="C569" s="120"/>
      <c r="D569" s="120"/>
      <c r="E569" s="2645"/>
      <c r="F569" s="2646"/>
      <c r="G569" s="2643"/>
      <c r="H569" s="2644"/>
      <c r="I569" s="2643">
        <v>0</v>
      </c>
      <c r="J569" s="2644"/>
      <c r="K569" s="124"/>
      <c r="L569" s="139" t="s">
        <v>575</v>
      </c>
      <c r="M569" s="139"/>
      <c r="N569" s="139"/>
      <c r="O569" s="2643"/>
      <c r="P569" s="2643"/>
      <c r="Q569" s="2643"/>
      <c r="R569" s="2643"/>
      <c r="S569" s="2643">
        <v>0</v>
      </c>
      <c r="T569" s="2643"/>
    </row>
    <row r="570" spans="1:20" ht="17.100000000000001" customHeight="1" x14ac:dyDescent="0.3">
      <c r="A570" s="137" t="s">
        <v>514</v>
      </c>
      <c r="B570" s="138"/>
      <c r="C570" s="120"/>
      <c r="D570" s="120"/>
      <c r="E570" s="2645"/>
      <c r="F570" s="2646"/>
      <c r="G570" s="2643"/>
      <c r="H570" s="2644"/>
      <c r="I570" s="2643">
        <v>0</v>
      </c>
      <c r="J570" s="2644"/>
      <c r="K570" s="124"/>
      <c r="L570" s="139" t="s">
        <v>515</v>
      </c>
      <c r="M570" s="139"/>
      <c r="N570" s="139"/>
      <c r="O570" s="2643"/>
      <c r="P570" s="2643"/>
      <c r="Q570" s="2643"/>
      <c r="R570" s="2643"/>
      <c r="S570" s="2643">
        <v>0</v>
      </c>
      <c r="T570" s="2643"/>
    </row>
    <row r="571" spans="1:20" ht="17.100000000000001" customHeight="1" x14ac:dyDescent="0.3">
      <c r="A571" s="2589" t="s">
        <v>755</v>
      </c>
      <c r="B571" s="2590"/>
      <c r="C571" s="120"/>
      <c r="D571" s="120"/>
      <c r="E571" s="2645"/>
      <c r="F571" s="2646"/>
      <c r="G571" s="2643"/>
      <c r="H571" s="2644"/>
      <c r="I571" s="2643">
        <v>0</v>
      </c>
      <c r="J571" s="2644"/>
      <c r="K571" s="124"/>
      <c r="L571" s="139" t="s">
        <v>724</v>
      </c>
      <c r="M571" s="139"/>
      <c r="N571" s="139"/>
      <c r="O571" s="2643"/>
      <c r="P571" s="2643"/>
      <c r="Q571" s="2643"/>
      <c r="R571" s="2643"/>
      <c r="S571" s="2643">
        <v>0</v>
      </c>
      <c r="T571" s="2643"/>
    </row>
    <row r="572" spans="1:20" ht="17.100000000000001" customHeight="1" x14ac:dyDescent="0.3">
      <c r="A572" s="137" t="s">
        <v>517</v>
      </c>
      <c r="B572" s="138"/>
      <c r="C572" s="120"/>
      <c r="D572" s="120"/>
      <c r="E572" s="2645"/>
      <c r="F572" s="2646"/>
      <c r="G572" s="2643"/>
      <c r="H572" s="2644"/>
      <c r="I572" s="2643">
        <v>0</v>
      </c>
      <c r="J572" s="2644"/>
      <c r="K572" s="124"/>
      <c r="L572" s="139" t="s">
        <v>510</v>
      </c>
      <c r="M572" s="139"/>
      <c r="N572" s="139"/>
      <c r="O572" s="2643"/>
      <c r="P572" s="2643"/>
      <c r="Q572" s="2643"/>
      <c r="R572" s="2643"/>
      <c r="S572" s="2643">
        <v>0</v>
      </c>
      <c r="T572" s="2643"/>
    </row>
    <row r="573" spans="1:20" ht="17.100000000000001" customHeight="1" x14ac:dyDescent="0.3">
      <c r="A573" s="137" t="s">
        <v>519</v>
      </c>
      <c r="B573" s="141"/>
      <c r="C573" s="120"/>
      <c r="D573" s="140"/>
      <c r="E573" s="2655"/>
      <c r="F573" s="2655"/>
      <c r="G573" s="2643"/>
      <c r="H573" s="2644"/>
      <c r="I573" s="2643">
        <v>0</v>
      </c>
      <c r="J573" s="2644"/>
      <c r="K573" s="124"/>
      <c r="L573" s="139"/>
      <c r="M573" s="139"/>
      <c r="N573" s="139"/>
      <c r="O573" s="2643"/>
      <c r="P573" s="2643"/>
      <c r="Q573" s="2643"/>
      <c r="R573" s="2643"/>
      <c r="S573" s="2643"/>
      <c r="T573" s="2643"/>
    </row>
    <row r="574" spans="1:20" ht="17.100000000000001" customHeight="1" x14ac:dyDescent="0.3">
      <c r="A574" s="137" t="s">
        <v>475</v>
      </c>
      <c r="B574" s="138"/>
      <c r="C574" s="120"/>
      <c r="D574" s="120"/>
      <c r="E574" s="2643"/>
      <c r="F574" s="2643"/>
      <c r="G574" s="2643"/>
      <c r="H574" s="2644"/>
      <c r="I574" s="2643">
        <v>0</v>
      </c>
      <c r="J574" s="2644"/>
      <c r="K574" s="124"/>
      <c r="L574" s="139"/>
      <c r="M574" s="139"/>
      <c r="N574" s="139"/>
      <c r="O574" s="2643"/>
      <c r="P574" s="2643"/>
      <c r="Q574" s="2643"/>
      <c r="R574" s="2643"/>
      <c r="S574" s="2643"/>
      <c r="T574" s="2643"/>
    </row>
    <row r="575" spans="1:20" ht="17.100000000000001" customHeight="1" x14ac:dyDescent="0.3">
      <c r="A575" s="2578" t="s">
        <v>520</v>
      </c>
      <c r="B575" s="2579"/>
      <c r="C575" s="120"/>
      <c r="D575" s="120"/>
      <c r="E575" s="2645"/>
      <c r="F575" s="2646"/>
      <c r="G575" s="2643"/>
      <c r="H575" s="2644"/>
      <c r="I575" s="2643">
        <v>0</v>
      </c>
      <c r="J575" s="2644"/>
      <c r="K575" s="124"/>
      <c r="L575" s="142" t="s">
        <v>521</v>
      </c>
      <c r="M575" s="143"/>
      <c r="N575" s="143"/>
      <c r="O575" s="2591"/>
      <c r="P575" s="2592"/>
      <c r="Q575" s="2591"/>
      <c r="R575" s="2592"/>
      <c r="S575" s="2593">
        <v>1214299.6000000001</v>
      </c>
      <c r="T575" s="2594"/>
    </row>
    <row r="576" spans="1:20" ht="17.100000000000001" customHeight="1" x14ac:dyDescent="0.3">
      <c r="A576" s="137" t="s">
        <v>522</v>
      </c>
      <c r="B576" s="138"/>
      <c r="C576" s="120"/>
      <c r="D576" s="120"/>
      <c r="E576" s="2645"/>
      <c r="F576" s="2646"/>
      <c r="G576" s="2643"/>
      <c r="H576" s="2644"/>
      <c r="I576" s="2643">
        <v>0</v>
      </c>
      <c r="J576" s="2644"/>
      <c r="K576" s="124"/>
      <c r="L576" s="144" t="s">
        <v>577</v>
      </c>
      <c r="M576" s="145"/>
      <c r="N576" s="145"/>
      <c r="O576" s="146"/>
      <c r="P576" s="146"/>
      <c r="Q576" s="146"/>
      <c r="R576" s="146"/>
      <c r="S576" s="146"/>
      <c r="T576" s="147"/>
    </row>
    <row r="577" spans="1:22" ht="17.100000000000001" customHeight="1" x14ac:dyDescent="0.4">
      <c r="A577" s="2578" t="s">
        <v>524</v>
      </c>
      <c r="B577" s="2579"/>
      <c r="C577" s="120" t="s">
        <v>496</v>
      </c>
      <c r="D577" s="120" t="s">
        <v>497</v>
      </c>
      <c r="E577" s="2645">
        <v>1</v>
      </c>
      <c r="F577" s="2646"/>
      <c r="G577" s="2641">
        <v>47000</v>
      </c>
      <c r="H577" s="2642">
        <v>38202.400000000001</v>
      </c>
      <c r="I577" s="2643">
        <v>47000</v>
      </c>
      <c r="J577" s="2644"/>
      <c r="K577" s="124"/>
      <c r="L577" s="148" t="s">
        <v>525</v>
      </c>
      <c r="M577" s="149">
        <v>0.05</v>
      </c>
      <c r="N577" s="45"/>
      <c r="O577" s="26"/>
      <c r="P577" s="26"/>
      <c r="Q577" s="26"/>
      <c r="R577" s="26"/>
      <c r="S577" s="26"/>
      <c r="T577" s="150"/>
    </row>
    <row r="578" spans="1:22" ht="17.100000000000001" customHeight="1" x14ac:dyDescent="0.4">
      <c r="A578" s="137" t="s">
        <v>526</v>
      </c>
      <c r="B578" s="138"/>
      <c r="C578" s="120" t="s">
        <v>496</v>
      </c>
      <c r="D578" s="120" t="s">
        <v>497</v>
      </c>
      <c r="E578" s="2645">
        <v>2</v>
      </c>
      <c r="F578" s="2646"/>
      <c r="G578" s="2641">
        <v>47000</v>
      </c>
      <c r="H578" s="2642">
        <v>38202.400000000001</v>
      </c>
      <c r="I578" s="2643">
        <v>94000</v>
      </c>
      <c r="J578" s="2644"/>
      <c r="K578" s="124"/>
      <c r="L578" s="151" t="s">
        <v>527</v>
      </c>
      <c r="M578" s="45"/>
      <c r="N578" s="45"/>
      <c r="O578" s="26"/>
      <c r="P578" s="26"/>
      <c r="Q578" s="26"/>
      <c r="R578" s="26"/>
      <c r="S578" s="26"/>
      <c r="T578" s="150"/>
    </row>
    <row r="579" spans="1:22" ht="17.100000000000001" customHeight="1" x14ac:dyDescent="0.3">
      <c r="A579" s="133" t="s">
        <v>578</v>
      </c>
      <c r="B579" s="136"/>
      <c r="C579" s="140"/>
      <c r="D579" s="140"/>
      <c r="E579" s="2655"/>
      <c r="F579" s="2655"/>
      <c r="G579" s="2643"/>
      <c r="H579" s="2644"/>
      <c r="I579" s="2643">
        <v>0</v>
      </c>
      <c r="J579" s="2644"/>
      <c r="K579" s="124"/>
      <c r="L579" s="152" t="s">
        <v>529</v>
      </c>
      <c r="M579" s="45"/>
      <c r="N579" s="45"/>
      <c r="O579" s="26"/>
      <c r="P579" s="26"/>
      <c r="Q579" s="26"/>
      <c r="R579" s="26"/>
      <c r="S579" s="2575">
        <v>382480</v>
      </c>
      <c r="T579" s="2560"/>
    </row>
    <row r="580" spans="1:22" ht="17.100000000000001" customHeight="1" x14ac:dyDescent="0.3">
      <c r="A580" s="153" t="s">
        <v>579</v>
      </c>
      <c r="B580" s="154"/>
      <c r="C580" s="120"/>
      <c r="D580" s="120"/>
      <c r="E580" s="2643"/>
      <c r="F580" s="2643"/>
      <c r="G580" s="2643"/>
      <c r="H580" s="2644"/>
      <c r="I580" s="2643">
        <v>0</v>
      </c>
      <c r="J580" s="2644"/>
      <c r="K580" s="124"/>
      <c r="L580" s="152" t="s">
        <v>756</v>
      </c>
      <c r="M580" s="45"/>
      <c r="N580" s="45"/>
      <c r="O580" s="26"/>
      <c r="P580" s="26"/>
      <c r="Q580" s="26"/>
      <c r="R580" s="26"/>
      <c r="S580" s="2575">
        <v>130874.90989291687</v>
      </c>
      <c r="T580" s="2560"/>
    </row>
    <row r="581" spans="1:22" ht="17.100000000000001" customHeight="1" x14ac:dyDescent="0.3">
      <c r="A581" s="137" t="s">
        <v>532</v>
      </c>
      <c r="B581" s="138"/>
      <c r="C581" s="120"/>
      <c r="D581" s="120"/>
      <c r="E581" s="2645"/>
      <c r="F581" s="2646"/>
      <c r="G581" s="2643"/>
      <c r="H581" s="2644"/>
      <c r="I581" s="2643">
        <v>0</v>
      </c>
      <c r="J581" s="2644"/>
      <c r="K581" s="124"/>
      <c r="L581" s="166" t="s">
        <v>504</v>
      </c>
      <c r="M581" s="155"/>
      <c r="N581" s="155"/>
      <c r="O581" s="167"/>
      <c r="P581" s="167"/>
      <c r="Q581" s="167"/>
      <c r="R581" s="167"/>
      <c r="S581" s="167"/>
      <c r="T581" s="168"/>
    </row>
    <row r="582" spans="1:22" ht="17.100000000000001" customHeight="1" x14ac:dyDescent="0.3">
      <c r="A582" s="2578" t="s">
        <v>727</v>
      </c>
      <c r="B582" s="2579"/>
      <c r="C582" s="120"/>
      <c r="D582" s="120"/>
      <c r="E582" s="2645"/>
      <c r="F582" s="2646"/>
      <c r="G582" s="2643"/>
      <c r="H582" s="2644"/>
      <c r="I582" s="2643">
        <v>0</v>
      </c>
      <c r="J582" s="2644"/>
      <c r="K582" s="124"/>
      <c r="L582" s="156" t="s">
        <v>533</v>
      </c>
      <c r="M582" s="157"/>
      <c r="N582" s="157"/>
      <c r="O582" s="158"/>
      <c r="P582" s="158"/>
      <c r="Q582" s="158"/>
      <c r="R582" s="158"/>
      <c r="S582" s="2587">
        <v>513354.90989291685</v>
      </c>
      <c r="T582" s="2588"/>
    </row>
    <row r="583" spans="1:22" ht="17.100000000000001" customHeight="1" x14ac:dyDescent="0.4">
      <c r="A583" s="2578" t="s">
        <v>534</v>
      </c>
      <c r="B583" s="2579"/>
      <c r="C583" s="120" t="s">
        <v>496</v>
      </c>
      <c r="D583" s="120" t="s">
        <v>497</v>
      </c>
      <c r="E583" s="2643">
        <v>1</v>
      </c>
      <c r="F583" s="2643"/>
      <c r="G583" s="2641">
        <v>47000</v>
      </c>
      <c r="H583" s="2642">
        <v>38202.400000000001</v>
      </c>
      <c r="I583" s="2643">
        <v>47000</v>
      </c>
      <c r="J583" s="2644"/>
      <c r="K583" s="124"/>
      <c r="L583" s="159"/>
      <c r="M583" s="45"/>
      <c r="N583" s="45"/>
      <c r="O583" s="26"/>
      <c r="P583" s="26"/>
      <c r="Q583" s="26"/>
      <c r="R583" s="26"/>
      <c r="S583" s="26"/>
      <c r="T583" s="150"/>
    </row>
    <row r="584" spans="1:22" ht="17.100000000000001" customHeight="1" thickBot="1" x14ac:dyDescent="0.35">
      <c r="A584" s="2578" t="s">
        <v>535</v>
      </c>
      <c r="B584" s="2579"/>
      <c r="C584" s="120"/>
      <c r="D584" s="120"/>
      <c r="E584" s="2645"/>
      <c r="F584" s="2646"/>
      <c r="G584" s="2643"/>
      <c r="H584" s="2644"/>
      <c r="I584" s="2643">
        <v>0</v>
      </c>
      <c r="J584" s="2644"/>
      <c r="K584" s="124"/>
      <c r="L584" s="160" t="s">
        <v>583</v>
      </c>
      <c r="M584" s="161"/>
      <c r="N584" s="161"/>
      <c r="O584" s="161"/>
      <c r="P584" s="161"/>
      <c r="Q584" s="161"/>
      <c r="R584" s="161"/>
      <c r="S584" s="2580">
        <v>3130853.107751254</v>
      </c>
      <c r="T584" s="2581"/>
      <c r="V584" s="1047">
        <f>'TOTAL TRANSITORIOS'!W24</f>
        <v>3130853.107751254</v>
      </c>
    </row>
    <row r="585" spans="1:22" ht="17.100000000000001" customHeight="1" thickBot="1" x14ac:dyDescent="0.35">
      <c r="A585" s="133" t="s">
        <v>537</v>
      </c>
      <c r="B585" s="136"/>
      <c r="C585" s="140"/>
      <c r="D585" s="140"/>
      <c r="E585" s="2643"/>
      <c r="F585" s="2644"/>
      <c r="G585" s="2643"/>
      <c r="H585" s="2644"/>
      <c r="I585" s="2643">
        <v>0</v>
      </c>
      <c r="J585" s="2644"/>
      <c r="K585" s="124"/>
      <c r="L585" s="45"/>
      <c r="M585" s="45"/>
      <c r="N585" s="45"/>
      <c r="O585" s="45"/>
      <c r="P585" s="45"/>
      <c r="Q585" s="45"/>
      <c r="R585" s="45"/>
      <c r="S585" s="45"/>
      <c r="T585" s="45"/>
    </row>
    <row r="586" spans="1:22" ht="17.100000000000001" customHeight="1" x14ac:dyDescent="0.3">
      <c r="A586" s="133" t="s">
        <v>538</v>
      </c>
      <c r="B586" s="136"/>
      <c r="C586" s="140"/>
      <c r="D586" s="140"/>
      <c r="E586" s="2643"/>
      <c r="F586" s="2644"/>
      <c r="G586" s="2643"/>
      <c r="H586" s="2644"/>
      <c r="I586" s="2643">
        <v>0</v>
      </c>
      <c r="J586" s="2644"/>
      <c r="K586" s="124"/>
      <c r="L586" s="45"/>
      <c r="M586" s="2582" t="s">
        <v>539</v>
      </c>
      <c r="N586" s="2583"/>
      <c r="O586" s="2583"/>
      <c r="P586" s="2583"/>
      <c r="Q586" s="2584"/>
      <c r="R586" s="45"/>
      <c r="S586" s="45"/>
      <c r="T586" s="45"/>
    </row>
    <row r="587" spans="1:22" ht="17.100000000000001" customHeight="1" x14ac:dyDescent="0.3">
      <c r="A587" s="133" t="s">
        <v>540</v>
      </c>
      <c r="B587" s="136"/>
      <c r="C587" s="140"/>
      <c r="D587" s="140"/>
      <c r="E587" s="2643"/>
      <c r="F587" s="2644"/>
      <c r="G587" s="2643"/>
      <c r="H587" s="2644"/>
      <c r="I587" s="2643">
        <v>0</v>
      </c>
      <c r="J587" s="2644"/>
      <c r="K587" s="124"/>
      <c r="L587" s="45"/>
      <c r="M587" s="101" t="s">
        <v>541</v>
      </c>
      <c r="N587" s="102"/>
      <c r="O587" s="102"/>
      <c r="P587" s="102"/>
      <c r="Q587" s="103">
        <v>1.6663842872209507</v>
      </c>
      <c r="R587" s="45"/>
      <c r="S587" s="45"/>
      <c r="T587" s="45"/>
      <c r="U587" s="37" t="s">
        <v>542</v>
      </c>
    </row>
    <row r="588" spans="1:22" ht="17.100000000000001" customHeight="1" x14ac:dyDescent="0.3">
      <c r="A588" s="133" t="s">
        <v>543</v>
      </c>
      <c r="B588" s="136"/>
      <c r="C588" s="140"/>
      <c r="D588" s="140"/>
      <c r="E588" s="2643"/>
      <c r="F588" s="2644"/>
      <c r="G588" s="2643"/>
      <c r="H588" s="2644"/>
      <c r="I588" s="2643">
        <v>0</v>
      </c>
      <c r="J588" s="2644"/>
      <c r="K588" s="124"/>
      <c r="L588" s="45"/>
      <c r="M588" s="104" t="s">
        <v>544</v>
      </c>
      <c r="N588" s="102"/>
      <c r="O588" s="102"/>
      <c r="P588" s="105"/>
      <c r="Q588" s="106">
        <v>3130853.107751254</v>
      </c>
      <c r="R588" s="45"/>
      <c r="S588" s="45"/>
      <c r="T588" s="45"/>
      <c r="U588" s="37"/>
    </row>
    <row r="589" spans="1:22" ht="17.100000000000001" customHeight="1" x14ac:dyDescent="0.35">
      <c r="A589" s="135" t="s">
        <v>545</v>
      </c>
      <c r="B589" s="136"/>
      <c r="C589" s="140"/>
      <c r="D589" s="140"/>
      <c r="E589" s="2643"/>
      <c r="F589" s="2644"/>
      <c r="G589" s="2643"/>
      <c r="H589" s="2644"/>
      <c r="I589" s="2715">
        <v>510198.5978583371</v>
      </c>
      <c r="J589" s="2716"/>
      <c r="K589" s="121"/>
      <c r="L589" s="45"/>
      <c r="M589" s="101" t="s">
        <v>546</v>
      </c>
      <c r="N589" s="102"/>
      <c r="O589" s="102"/>
      <c r="P589" s="102"/>
      <c r="Q589" s="106">
        <v>1637874.9999999998</v>
      </c>
      <c r="R589" s="47"/>
      <c r="S589" s="45"/>
      <c r="T589" s="45"/>
      <c r="U589" s="37" t="s">
        <v>542</v>
      </c>
    </row>
    <row r="590" spans="1:22" ht="17.100000000000001" customHeight="1" x14ac:dyDescent="0.4">
      <c r="A590" s="133" t="s">
        <v>547</v>
      </c>
      <c r="B590" s="136"/>
      <c r="C590" s="140" t="s">
        <v>496</v>
      </c>
      <c r="D590" s="120" t="s">
        <v>497</v>
      </c>
      <c r="E590" s="2643">
        <v>4</v>
      </c>
      <c r="F590" s="2644"/>
      <c r="G590" s="2641">
        <v>47000</v>
      </c>
      <c r="H590" s="2642">
        <v>38202.400000000001</v>
      </c>
      <c r="I590" s="2643">
        <v>188000</v>
      </c>
      <c r="J590" s="2644"/>
      <c r="K590" s="124"/>
      <c r="L590" s="45"/>
      <c r="M590" s="101" t="s">
        <v>758</v>
      </c>
      <c r="N590" s="102"/>
      <c r="O590" s="102"/>
      <c r="P590" s="102"/>
      <c r="Q590" s="106">
        <v>2729329.1644320143</v>
      </c>
      <c r="R590" s="44"/>
      <c r="S590" s="45"/>
      <c r="T590" s="45"/>
    </row>
    <row r="591" spans="1:22" ht="17.100000000000001" customHeight="1" thickBot="1" x14ac:dyDescent="0.45">
      <c r="A591" s="133" t="s">
        <v>1244</v>
      </c>
      <c r="B591" s="136"/>
      <c r="C591" s="140" t="s">
        <v>496</v>
      </c>
      <c r="D591" s="140" t="s">
        <v>497</v>
      </c>
      <c r="E591" s="2643">
        <v>2</v>
      </c>
      <c r="F591" s="2644"/>
      <c r="G591" s="2641">
        <v>47000</v>
      </c>
      <c r="H591" s="2642">
        <v>38202.400000000001</v>
      </c>
      <c r="I591" s="2643">
        <v>94000</v>
      </c>
      <c r="J591" s="2644"/>
      <c r="K591" s="124"/>
      <c r="L591" s="45"/>
      <c r="M591" s="108" t="s">
        <v>549</v>
      </c>
      <c r="N591" s="109"/>
      <c r="O591" s="109"/>
      <c r="P591" s="109"/>
      <c r="Q591" s="110">
        <v>-401523.94331923965</v>
      </c>
      <c r="R591" s="45"/>
      <c r="S591" s="45"/>
      <c r="T591" s="45"/>
    </row>
    <row r="592" spans="1:22" ht="17.100000000000001" customHeight="1" thickBot="1" x14ac:dyDescent="0.45">
      <c r="A592" s="133" t="s">
        <v>550</v>
      </c>
      <c r="B592" s="136"/>
      <c r="C592" s="140" t="s">
        <v>496</v>
      </c>
      <c r="D592" s="120" t="s">
        <v>497</v>
      </c>
      <c r="E592" s="2643">
        <v>2</v>
      </c>
      <c r="F592" s="2644"/>
      <c r="G592" s="2641">
        <v>47000</v>
      </c>
      <c r="H592" s="2642">
        <v>38202.400000000001</v>
      </c>
      <c r="I592" s="2643">
        <v>94000</v>
      </c>
      <c r="J592" s="2644"/>
      <c r="K592" s="124"/>
      <c r="L592" s="45"/>
      <c r="M592" s="1048" t="s">
        <v>759</v>
      </c>
      <c r="N592" s="1049"/>
      <c r="O592" s="1049"/>
      <c r="P592" s="1049"/>
      <c r="Q592" s="1050">
        <v>-12.824745508665389</v>
      </c>
      <c r="R592" s="45"/>
      <c r="S592" s="45"/>
      <c r="T592" s="45"/>
    </row>
    <row r="593" spans="1:20" ht="17.100000000000001" customHeight="1" x14ac:dyDescent="0.3">
      <c r="A593" s="133" t="s">
        <v>729</v>
      </c>
      <c r="B593" s="136"/>
      <c r="C593" s="140"/>
      <c r="D593" s="140" t="s">
        <v>556</v>
      </c>
      <c r="E593" s="2718">
        <v>1.6663842872209507</v>
      </c>
      <c r="F593" s="2722"/>
      <c r="G593" s="2643">
        <v>80532.803199999995</v>
      </c>
      <c r="H593" s="2644">
        <v>65505.88</v>
      </c>
      <c r="I593" s="2643">
        <v>134198.59785833707</v>
      </c>
      <c r="J593" s="2644"/>
      <c r="K593" s="124"/>
      <c r="L593" s="45"/>
      <c r="M593" s="45"/>
      <c r="N593" s="45"/>
      <c r="O593" s="45"/>
      <c r="P593" s="45"/>
      <c r="Q593" s="45"/>
      <c r="R593" s="45"/>
      <c r="S593" s="44"/>
      <c r="T593" s="45"/>
    </row>
    <row r="594" spans="1:20" ht="17.100000000000001" customHeight="1" x14ac:dyDescent="0.3">
      <c r="A594" s="133" t="s">
        <v>615</v>
      </c>
      <c r="B594" s="136"/>
      <c r="C594" s="140"/>
      <c r="D594" s="140"/>
      <c r="E594" s="2718"/>
      <c r="F594" s="2722"/>
      <c r="G594" s="2643"/>
      <c r="H594" s="2644"/>
      <c r="I594" s="2643">
        <v>0</v>
      </c>
      <c r="J594" s="2644"/>
      <c r="K594" s="124"/>
      <c r="L594" s="7" t="s">
        <v>1528</v>
      </c>
      <c r="M594" s="8"/>
      <c r="N594" s="8"/>
      <c r="O594" s="8"/>
      <c r="P594" s="4"/>
      <c r="Q594" s="5"/>
      <c r="R594" s="1979"/>
      <c r="S594" s="45"/>
      <c r="T594" s="45"/>
    </row>
    <row r="595" spans="1:20" ht="17.100000000000001" customHeight="1" thickBot="1" x14ac:dyDescent="0.25">
      <c r="A595" s="162" t="s">
        <v>558</v>
      </c>
      <c r="B595" s="163"/>
      <c r="C595" s="164"/>
      <c r="D595" s="165"/>
      <c r="E595" s="2561">
        <v>25</v>
      </c>
      <c r="F595" s="2562"/>
      <c r="G595" s="2563"/>
      <c r="H595" s="2564"/>
      <c r="I595" s="2561">
        <v>1403198.5978583372</v>
      </c>
      <c r="J595" s="2562"/>
      <c r="K595" s="26"/>
      <c r="L595" s="597" t="s">
        <v>1583</v>
      </c>
      <c r="M595" s="45"/>
      <c r="N595" s="45"/>
      <c r="O595" s="45"/>
      <c r="P595" s="45"/>
      <c r="Q595" s="45"/>
      <c r="R595" s="44"/>
      <c r="S595" s="45"/>
      <c r="T595" s="45"/>
    </row>
    <row r="596" spans="1:20" ht="14.1" customHeight="1" x14ac:dyDescent="0.2">
      <c r="A596" s="40"/>
      <c r="B596" s="40"/>
      <c r="C596" s="41"/>
      <c r="D596" s="41"/>
      <c r="E596" s="41"/>
      <c r="F596" s="41"/>
      <c r="G596" s="42"/>
      <c r="H596" s="42"/>
      <c r="I596" s="44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</row>
    <row r="597" spans="1:20" ht="14.1" customHeight="1" x14ac:dyDescent="0.2">
      <c r="A597" s="40"/>
      <c r="B597" s="40"/>
      <c r="C597" s="41"/>
      <c r="D597" s="41"/>
      <c r="E597" s="41"/>
      <c r="F597" s="41"/>
      <c r="G597" s="42"/>
      <c r="H597" s="42"/>
      <c r="I597" s="44"/>
      <c r="J597" s="45"/>
      <c r="K597" s="45"/>
      <c r="L597" s="40"/>
      <c r="M597" s="40"/>
      <c r="N597" s="41"/>
      <c r="O597" s="41"/>
      <c r="P597" s="41"/>
      <c r="Q597" s="41"/>
      <c r="R597" s="45"/>
      <c r="S597" s="45"/>
      <c r="T597" s="45"/>
    </row>
    <row r="598" spans="1:20" ht="14.1" customHeight="1" x14ac:dyDescent="0.2">
      <c r="A598" s="2654"/>
      <c r="B598" s="2654"/>
      <c r="C598" s="2654"/>
      <c r="D598" s="2654"/>
      <c r="E598" s="2654"/>
      <c r="F598" s="2654"/>
      <c r="G598" s="2654"/>
      <c r="H598" s="2654"/>
      <c r="I598" s="2654"/>
      <c r="J598" s="2654"/>
      <c r="K598" s="2654"/>
      <c r="L598" s="2654"/>
      <c r="M598" s="2654"/>
      <c r="N598" s="2654"/>
      <c r="O598" s="2654"/>
      <c r="P598" s="2654"/>
      <c r="Q598" s="2654"/>
      <c r="R598" s="2654"/>
      <c r="S598" s="2654"/>
      <c r="T598" s="2654"/>
    </row>
    <row r="599" spans="1:20" ht="14.1" customHeight="1" x14ac:dyDescent="0.2">
      <c r="A599" s="2654"/>
      <c r="B599" s="2654"/>
      <c r="C599" s="2654"/>
      <c r="D599" s="2654"/>
      <c r="E599" s="2654"/>
      <c r="F599" s="2654"/>
      <c r="G599" s="2654"/>
      <c r="H599" s="2654"/>
      <c r="I599" s="2654"/>
      <c r="J599" s="2654"/>
      <c r="K599" s="2654"/>
      <c r="L599" s="2654"/>
      <c r="M599" s="2654"/>
      <c r="N599" s="2654"/>
      <c r="O599" s="2654"/>
      <c r="P599" s="2654"/>
      <c r="Q599" s="2654"/>
      <c r="R599" s="2654"/>
      <c r="S599" s="2654"/>
      <c r="T599" s="2654"/>
    </row>
    <row r="600" spans="1:20" ht="14.1" customHeight="1" x14ac:dyDescent="0.2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</row>
    <row r="601" spans="1:20" ht="14.1" customHeight="1" x14ac:dyDescent="0.2">
      <c r="A601" s="40"/>
      <c r="B601" s="40"/>
      <c r="C601" s="41"/>
      <c r="D601" s="41"/>
      <c r="E601" s="41"/>
      <c r="F601" s="41"/>
      <c r="G601" s="42"/>
      <c r="H601" s="42"/>
      <c r="I601" s="44"/>
      <c r="J601" s="45"/>
      <c r="K601" s="45"/>
      <c r="L601" s="40"/>
      <c r="M601" s="40"/>
      <c r="N601" s="41"/>
      <c r="O601" s="41"/>
      <c r="P601" s="41"/>
      <c r="Q601" s="41"/>
      <c r="R601" s="45"/>
      <c r="S601" s="45"/>
      <c r="T601" s="45"/>
    </row>
    <row r="602" spans="1:20" ht="23.25" customHeight="1" x14ac:dyDescent="0.2">
      <c r="A602" s="2611" t="s">
        <v>1913</v>
      </c>
      <c r="B602" s="2611"/>
      <c r="C602" s="2611"/>
      <c r="D602" s="2611"/>
      <c r="E602" s="2611"/>
      <c r="F602" s="2611"/>
      <c r="G602" s="2611"/>
      <c r="H602" s="2611"/>
      <c r="I602" s="2611"/>
      <c r="J602" s="2611"/>
      <c r="K602" s="2611"/>
      <c r="L602" s="2611"/>
      <c r="M602" s="2611"/>
      <c r="N602" s="2611"/>
      <c r="O602" s="2611"/>
      <c r="P602" s="2611"/>
      <c r="Q602" s="2611"/>
      <c r="R602" s="2611"/>
      <c r="S602" s="2611"/>
      <c r="T602" s="2611"/>
    </row>
    <row r="603" spans="1:20" ht="12.75" customHeight="1" x14ac:dyDescent="0.2">
      <c r="A603" s="40"/>
      <c r="B603" s="40"/>
      <c r="C603" s="115"/>
      <c r="D603" s="41"/>
      <c r="E603" s="41"/>
      <c r="F603" s="41"/>
      <c r="G603" s="42"/>
      <c r="H603" s="42"/>
      <c r="I603" s="44"/>
      <c r="J603" s="45"/>
      <c r="K603" s="45"/>
      <c r="L603" s="40"/>
      <c r="M603" s="40"/>
      <c r="N603" s="115"/>
      <c r="O603" s="45"/>
      <c r="P603" s="45"/>
      <c r="Q603" s="45"/>
      <c r="R603" s="45"/>
      <c r="S603" s="45"/>
      <c r="T603" s="45"/>
    </row>
    <row r="604" spans="1:20" ht="14.1" customHeight="1" thickBot="1" x14ac:dyDescent="0.25">
      <c r="A604" s="40"/>
      <c r="B604" s="40"/>
      <c r="C604" s="41"/>
      <c r="D604" s="41"/>
      <c r="E604" s="41"/>
      <c r="F604" s="41"/>
      <c r="G604" s="42"/>
      <c r="H604" s="42"/>
      <c r="I604" s="44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</row>
    <row r="605" spans="1:20" ht="17.100000000000001" customHeight="1" x14ac:dyDescent="0.3">
      <c r="A605" s="2612" t="s">
        <v>435</v>
      </c>
      <c r="B605" s="2613"/>
      <c r="C605" s="2618" t="s">
        <v>436</v>
      </c>
      <c r="D605" s="2619"/>
      <c r="E605" s="2619"/>
      <c r="F605" s="2620"/>
      <c r="G605" s="2624" t="s">
        <v>437</v>
      </c>
      <c r="H605" s="2625"/>
      <c r="I605" s="2618" t="s">
        <v>439</v>
      </c>
      <c r="J605" s="2620"/>
      <c r="K605" s="49"/>
      <c r="L605" s="2626" t="s">
        <v>435</v>
      </c>
      <c r="M605" s="2619" t="s">
        <v>436</v>
      </c>
      <c r="N605" s="2619"/>
      <c r="O605" s="2619"/>
      <c r="P605" s="2620"/>
      <c r="Q605" s="2624" t="s">
        <v>437</v>
      </c>
      <c r="R605" s="2625"/>
      <c r="S605" s="2618" t="s">
        <v>439</v>
      </c>
      <c r="T605" s="2649"/>
    </row>
    <row r="606" spans="1:20" ht="17.100000000000001" customHeight="1" thickBot="1" x14ac:dyDescent="0.35">
      <c r="A606" s="2614"/>
      <c r="B606" s="2615"/>
      <c r="C606" s="2621"/>
      <c r="D606" s="2622"/>
      <c r="E606" s="2622"/>
      <c r="F606" s="2623"/>
      <c r="G606" s="2629" t="s">
        <v>440</v>
      </c>
      <c r="H606" s="2630"/>
      <c r="I606" s="2631"/>
      <c r="J606" s="2632"/>
      <c r="K606" s="49"/>
      <c r="L606" s="2627"/>
      <c r="M606" s="2622"/>
      <c r="N606" s="2622"/>
      <c r="O606" s="2622"/>
      <c r="P606" s="2623"/>
      <c r="Q606" s="2629" t="s">
        <v>440</v>
      </c>
      <c r="R606" s="2630"/>
      <c r="S606" s="2631"/>
      <c r="T606" s="2650"/>
    </row>
    <row r="607" spans="1:20" ht="17.100000000000001" customHeight="1" x14ac:dyDescent="0.3">
      <c r="A607" s="2614"/>
      <c r="B607" s="2615"/>
      <c r="C607" s="53" t="s">
        <v>441</v>
      </c>
      <c r="D607" s="2670" t="s">
        <v>442</v>
      </c>
      <c r="E607" s="2631" t="s">
        <v>443</v>
      </c>
      <c r="F607" s="2632"/>
      <c r="G607" s="2629" t="s">
        <v>444</v>
      </c>
      <c r="H607" s="2630"/>
      <c r="I607" s="2631" t="s">
        <v>348</v>
      </c>
      <c r="J607" s="2632"/>
      <c r="K607" s="49"/>
      <c r="L607" s="2627"/>
      <c r="M607" s="51" t="s">
        <v>441</v>
      </c>
      <c r="N607" s="2670" t="s">
        <v>442</v>
      </c>
      <c r="O607" s="2631" t="s">
        <v>443</v>
      </c>
      <c r="P607" s="2632"/>
      <c r="Q607" s="2629" t="s">
        <v>444</v>
      </c>
      <c r="R607" s="2630"/>
      <c r="S607" s="2631" t="s">
        <v>348</v>
      </c>
      <c r="T607" s="2650"/>
    </row>
    <row r="608" spans="1:20" ht="17.100000000000001" customHeight="1" thickBot="1" x14ac:dyDescent="0.35">
      <c r="A608" s="2616"/>
      <c r="B608" s="2617"/>
      <c r="C608" s="54" t="s">
        <v>445</v>
      </c>
      <c r="D608" s="2634"/>
      <c r="E608" s="2621"/>
      <c r="F608" s="2623"/>
      <c r="G608" s="2561"/>
      <c r="H608" s="2562"/>
      <c r="I608" s="2635"/>
      <c r="J608" s="2636"/>
      <c r="K608" s="49"/>
      <c r="L608" s="2628"/>
      <c r="M608" s="50" t="s">
        <v>445</v>
      </c>
      <c r="N608" s="2634"/>
      <c r="O608" s="2621"/>
      <c r="P608" s="2623"/>
      <c r="Q608" s="2561"/>
      <c r="R608" s="2562"/>
      <c r="S608" s="2652"/>
      <c r="T608" s="2653"/>
    </row>
    <row r="609" spans="1:24" ht="17.100000000000001" customHeight="1" x14ac:dyDescent="0.3">
      <c r="A609" s="116" t="s">
        <v>446</v>
      </c>
      <c r="B609" s="117"/>
      <c r="C609" s="118"/>
      <c r="D609" s="118"/>
      <c r="E609" s="2712"/>
      <c r="F609" s="2713"/>
      <c r="G609" s="2651"/>
      <c r="H609" s="2714"/>
      <c r="I609" s="2607"/>
      <c r="J609" s="2608"/>
      <c r="K609" s="45"/>
      <c r="L609" s="119" t="s">
        <v>447</v>
      </c>
      <c r="M609" s="118"/>
      <c r="N609" s="118"/>
      <c r="O609" s="2651"/>
      <c r="P609" s="2651"/>
      <c r="Q609" s="2651"/>
      <c r="R609" s="2651"/>
      <c r="S609" s="2651"/>
      <c r="T609" s="2651"/>
    </row>
    <row r="610" spans="1:24" ht="17.100000000000001" customHeight="1" x14ac:dyDescent="0.35">
      <c r="A610" s="2595" t="s">
        <v>448</v>
      </c>
      <c r="B610" s="2596"/>
      <c r="C610" s="120"/>
      <c r="D610" s="120"/>
      <c r="E610" s="2645"/>
      <c r="F610" s="2646"/>
      <c r="G610" s="2643"/>
      <c r="H610" s="2644"/>
      <c r="I610" s="2715">
        <v>0</v>
      </c>
      <c r="J610" s="2716"/>
      <c r="K610" s="121"/>
      <c r="L610" s="122"/>
      <c r="M610" s="120"/>
      <c r="N610" s="120"/>
      <c r="O610" s="2643"/>
      <c r="P610" s="2643"/>
      <c r="Q610" s="2643"/>
      <c r="R610" s="2643"/>
      <c r="S610" s="2643"/>
      <c r="T610" s="2643"/>
    </row>
    <row r="611" spans="1:24" ht="17.100000000000001" customHeight="1" x14ac:dyDescent="0.3">
      <c r="A611" s="2589" t="s">
        <v>449</v>
      </c>
      <c r="B611" s="2590"/>
      <c r="C611" s="120"/>
      <c r="D611" s="120"/>
      <c r="E611" s="2645"/>
      <c r="F611" s="2646"/>
      <c r="G611" s="2643"/>
      <c r="H611" s="2644"/>
      <c r="I611" s="2643">
        <v>0</v>
      </c>
      <c r="J611" s="2644"/>
      <c r="K611" s="124"/>
      <c r="L611" s="122" t="s">
        <v>450</v>
      </c>
      <c r="M611" s="120" t="s">
        <v>606</v>
      </c>
      <c r="N611" s="120" t="s">
        <v>497</v>
      </c>
      <c r="O611" s="2643">
        <v>5000</v>
      </c>
      <c r="P611" s="2643"/>
      <c r="Q611" s="2643">
        <v>369.3664</v>
      </c>
      <c r="R611" s="2643"/>
      <c r="S611" s="2643">
        <v>1846832</v>
      </c>
      <c r="T611" s="2643"/>
    </row>
    <row r="612" spans="1:24" ht="17.100000000000001" customHeight="1" x14ac:dyDescent="0.3">
      <c r="A612" s="2589" t="s">
        <v>453</v>
      </c>
      <c r="B612" s="2590"/>
      <c r="C612" s="120"/>
      <c r="D612" s="120"/>
      <c r="E612" s="2645"/>
      <c r="F612" s="2646"/>
      <c r="G612" s="2643"/>
      <c r="H612" s="2644"/>
      <c r="I612" s="2643">
        <v>0</v>
      </c>
      <c r="J612" s="2644"/>
      <c r="K612" s="124"/>
      <c r="L612" s="122" t="s">
        <v>454</v>
      </c>
      <c r="M612" s="120"/>
      <c r="N612" s="120"/>
      <c r="O612" s="2643"/>
      <c r="P612" s="2643"/>
      <c r="Q612" s="2643"/>
      <c r="R612" s="2643"/>
      <c r="S612" s="2643">
        <v>0</v>
      </c>
      <c r="T612" s="2643"/>
    </row>
    <row r="613" spans="1:24" ht="17.100000000000001" customHeight="1" x14ac:dyDescent="0.3">
      <c r="A613" s="2589" t="s">
        <v>455</v>
      </c>
      <c r="B613" s="2590"/>
      <c r="C613" s="120"/>
      <c r="D613" s="120"/>
      <c r="E613" s="2645"/>
      <c r="F613" s="2645"/>
      <c r="G613" s="2643"/>
      <c r="H613" s="2644"/>
      <c r="I613" s="2643">
        <v>0</v>
      </c>
      <c r="J613" s="2644"/>
      <c r="K613" s="124"/>
      <c r="L613" s="122" t="s">
        <v>456</v>
      </c>
      <c r="M613" s="120"/>
      <c r="N613" s="120"/>
      <c r="O613" s="2643"/>
      <c r="P613" s="2643"/>
      <c r="Q613" s="2643"/>
      <c r="R613" s="2643"/>
      <c r="S613" s="2643">
        <v>0</v>
      </c>
      <c r="T613" s="2643"/>
    </row>
    <row r="614" spans="1:24" ht="17.100000000000001" customHeight="1" x14ac:dyDescent="0.2">
      <c r="A614" s="2600" t="s">
        <v>560</v>
      </c>
      <c r="B614" s="2601"/>
      <c r="C614" s="120"/>
      <c r="D614" s="120"/>
      <c r="E614" s="2645"/>
      <c r="F614" s="2645"/>
      <c r="G614" s="2643"/>
      <c r="H614" s="2643"/>
      <c r="I614" s="2715">
        <v>439343.848</v>
      </c>
      <c r="J614" s="2715"/>
      <c r="K614" s="126"/>
      <c r="L614" s="122" t="s">
        <v>458</v>
      </c>
      <c r="M614" s="120" t="s">
        <v>459</v>
      </c>
      <c r="N614" s="120" t="s">
        <v>460</v>
      </c>
      <c r="O614" s="2718">
        <v>2</v>
      </c>
      <c r="P614" s="2718"/>
      <c r="Q614" s="2602">
        <v>149734</v>
      </c>
      <c r="R614" s="2602"/>
      <c r="S614" s="2643">
        <v>299468</v>
      </c>
      <c r="T614" s="2643"/>
    </row>
    <row r="615" spans="1:24" ht="17.100000000000001" customHeight="1" x14ac:dyDescent="0.3">
      <c r="A615" s="127" t="s">
        <v>461</v>
      </c>
      <c r="B615" s="128"/>
      <c r="C615" s="120"/>
      <c r="D615" s="120"/>
      <c r="E615" s="2645"/>
      <c r="F615" s="2645"/>
      <c r="G615" s="2643"/>
      <c r="H615" s="2644"/>
      <c r="I615" s="2643">
        <v>0</v>
      </c>
      <c r="J615" s="2644"/>
      <c r="K615" s="124"/>
      <c r="L615" s="122" t="s">
        <v>589</v>
      </c>
      <c r="M615" s="120" t="s">
        <v>753</v>
      </c>
      <c r="N615" s="120" t="s">
        <v>460</v>
      </c>
      <c r="O615" s="2643">
        <v>3</v>
      </c>
      <c r="P615" s="2643"/>
      <c r="Q615" s="2643">
        <v>188974</v>
      </c>
      <c r="R615" s="2643"/>
      <c r="S615" s="2643">
        <v>566922</v>
      </c>
      <c r="T615" s="2643"/>
    </row>
    <row r="616" spans="1:24" ht="17.100000000000001" customHeight="1" x14ac:dyDescent="0.3">
      <c r="A616" s="129" t="s">
        <v>711</v>
      </c>
      <c r="B616" s="130"/>
      <c r="C616" s="120"/>
      <c r="D616" s="120"/>
      <c r="E616" s="2645"/>
      <c r="F616" s="2645"/>
      <c r="G616" s="2643"/>
      <c r="H616" s="2644"/>
      <c r="I616" s="2643">
        <v>0</v>
      </c>
      <c r="J616" s="2644"/>
      <c r="K616" s="124"/>
      <c r="L616" s="122" t="s">
        <v>471</v>
      </c>
      <c r="M616" s="120" t="s">
        <v>566</v>
      </c>
      <c r="N616" s="120" t="s">
        <v>760</v>
      </c>
      <c r="O616" s="2643">
        <v>2</v>
      </c>
      <c r="P616" s="2643"/>
      <c r="Q616" s="2643">
        <v>28583</v>
      </c>
      <c r="R616" s="2643"/>
      <c r="S616" s="2643">
        <v>57166</v>
      </c>
      <c r="T616" s="2643"/>
    </row>
    <row r="617" spans="1:24" ht="17.100000000000001" customHeight="1" x14ac:dyDescent="0.3">
      <c r="A617" s="127" t="s">
        <v>465</v>
      </c>
      <c r="B617" s="128"/>
      <c r="C617" s="120"/>
      <c r="D617" s="120"/>
      <c r="E617" s="2645"/>
      <c r="F617" s="2645"/>
      <c r="G617" s="2643"/>
      <c r="H617" s="2644"/>
      <c r="I617" s="2643">
        <v>0</v>
      </c>
      <c r="J617" s="2644"/>
      <c r="K617" s="124"/>
      <c r="L617" s="122" t="s">
        <v>504</v>
      </c>
      <c r="M617" s="120"/>
      <c r="N617" s="120"/>
      <c r="O617" s="2643"/>
      <c r="P617" s="2643"/>
      <c r="Q617" s="2643"/>
      <c r="R617" s="2643"/>
      <c r="S617" s="2643">
        <v>0</v>
      </c>
      <c r="T617" s="2643"/>
    </row>
    <row r="618" spans="1:24" ht="17.100000000000001" customHeight="1" x14ac:dyDescent="0.3">
      <c r="A618" s="127" t="s">
        <v>469</v>
      </c>
      <c r="B618" s="128"/>
      <c r="C618" s="120" t="s">
        <v>466</v>
      </c>
      <c r="D618" s="120" t="s">
        <v>493</v>
      </c>
      <c r="E618" s="2645">
        <v>1</v>
      </c>
      <c r="F618" s="2645"/>
      <c r="G618" s="2643">
        <v>212679.64319999999</v>
      </c>
      <c r="H618" s="2725">
        <v>172995.18</v>
      </c>
      <c r="I618" s="2643">
        <v>212679.64319999999</v>
      </c>
      <c r="J618" s="2644"/>
      <c r="K618" s="124"/>
      <c r="L618" s="122"/>
      <c r="M618" s="120"/>
      <c r="N618" s="120"/>
      <c r="O618" s="2643"/>
      <c r="P618" s="2643"/>
      <c r="Q618" s="2643"/>
      <c r="R618" s="2643"/>
      <c r="S618" s="2643"/>
      <c r="T618" s="2643"/>
    </row>
    <row r="619" spans="1:24" ht="17.100000000000001" customHeight="1" x14ac:dyDescent="0.3">
      <c r="A619" s="131" t="s">
        <v>465</v>
      </c>
      <c r="B619" s="132"/>
      <c r="C619" s="120" t="s">
        <v>466</v>
      </c>
      <c r="D619" s="120" t="s">
        <v>493</v>
      </c>
      <c r="E619" s="2645">
        <v>2</v>
      </c>
      <c r="F619" s="2645"/>
      <c r="G619" s="2643">
        <v>113332.1024</v>
      </c>
      <c r="H619" s="2725">
        <v>92185.02</v>
      </c>
      <c r="I619" s="2643">
        <v>226664.20480000001</v>
      </c>
      <c r="J619" s="2644"/>
      <c r="K619" s="124"/>
      <c r="L619" s="122"/>
      <c r="M619" s="120"/>
      <c r="N619" s="120"/>
      <c r="O619" s="2643"/>
      <c r="P619" s="2643"/>
      <c r="Q619" s="2643"/>
      <c r="R619" s="2643"/>
      <c r="S619" s="2643"/>
      <c r="T619" s="2643"/>
    </row>
    <row r="620" spans="1:24" ht="17.100000000000001" customHeight="1" x14ac:dyDescent="0.3">
      <c r="A620" s="127" t="s">
        <v>474</v>
      </c>
      <c r="B620" s="128"/>
      <c r="C620" s="120"/>
      <c r="D620" s="120"/>
      <c r="E620" s="2645"/>
      <c r="F620" s="2645"/>
      <c r="G620" s="2643"/>
      <c r="H620" s="2725"/>
      <c r="I620" s="2643">
        <v>0</v>
      </c>
      <c r="J620" s="2644"/>
      <c r="K620" s="124"/>
      <c r="L620" s="122" t="s">
        <v>475</v>
      </c>
      <c r="M620" s="120"/>
      <c r="N620" s="120"/>
      <c r="O620" s="2643"/>
      <c r="P620" s="2643"/>
      <c r="Q620" s="2643"/>
      <c r="R620" s="2643"/>
      <c r="S620" s="2643">
        <v>0</v>
      </c>
      <c r="T620" s="2643"/>
    </row>
    <row r="621" spans="1:24" ht="17.100000000000001" customHeight="1" x14ac:dyDescent="0.3">
      <c r="A621" s="127" t="s">
        <v>476</v>
      </c>
      <c r="B621" s="128"/>
      <c r="C621" s="120"/>
      <c r="D621" s="120"/>
      <c r="E621" s="2645"/>
      <c r="F621" s="2645"/>
      <c r="G621" s="2643"/>
      <c r="H621" s="2725"/>
      <c r="I621" s="2643">
        <v>0</v>
      </c>
      <c r="J621" s="2644"/>
      <c r="K621" s="124"/>
      <c r="L621" s="122" t="s">
        <v>477</v>
      </c>
      <c r="M621" s="120"/>
      <c r="N621" s="120"/>
      <c r="O621" s="2643"/>
      <c r="P621" s="2643"/>
      <c r="Q621" s="2643"/>
      <c r="R621" s="2643"/>
      <c r="S621" s="2643">
        <v>0</v>
      </c>
      <c r="T621" s="2643"/>
    </row>
    <row r="622" spans="1:24" ht="17.100000000000001" customHeight="1" x14ac:dyDescent="0.3">
      <c r="A622" s="2597" t="s">
        <v>480</v>
      </c>
      <c r="B622" s="2598"/>
      <c r="C622" s="120"/>
      <c r="D622" s="120"/>
      <c r="E622" s="2645"/>
      <c r="F622" s="2726"/>
      <c r="G622" s="2643"/>
      <c r="H622" s="2725"/>
      <c r="I622" s="2643">
        <v>0</v>
      </c>
      <c r="J622" s="2644"/>
      <c r="K622" s="124"/>
      <c r="L622" s="122" t="s">
        <v>481</v>
      </c>
      <c r="M622" s="120"/>
      <c r="N622" s="120"/>
      <c r="O622" s="2643"/>
      <c r="P622" s="2643"/>
      <c r="Q622" s="2643"/>
      <c r="R622" s="2643"/>
      <c r="S622" s="2643">
        <v>0</v>
      </c>
      <c r="T622" s="2643"/>
    </row>
    <row r="623" spans="1:24" ht="17.100000000000001" customHeight="1" x14ac:dyDescent="0.3">
      <c r="A623" s="127" t="s">
        <v>454</v>
      </c>
      <c r="B623" s="128"/>
      <c r="C623" s="120"/>
      <c r="D623" s="120"/>
      <c r="E623" s="2645"/>
      <c r="F623" s="2726"/>
      <c r="G623" s="2643"/>
      <c r="H623" s="2725"/>
      <c r="I623" s="2643">
        <v>0</v>
      </c>
      <c r="J623" s="2644"/>
      <c r="K623" s="124"/>
      <c r="L623" s="122" t="s">
        <v>483</v>
      </c>
      <c r="M623" s="120"/>
      <c r="N623" s="120"/>
      <c r="O623" s="2643"/>
      <c r="P623" s="2643"/>
      <c r="Q623" s="2643"/>
      <c r="R623" s="2643"/>
      <c r="S623" s="2643">
        <v>0</v>
      </c>
      <c r="T623" s="2643"/>
      <c r="V623" s="176"/>
      <c r="W623" s="176"/>
      <c r="X623" s="1646"/>
    </row>
    <row r="624" spans="1:24" ht="17.100000000000001" customHeight="1" x14ac:dyDescent="0.3">
      <c r="A624" s="127" t="s">
        <v>715</v>
      </c>
      <c r="B624" s="128"/>
      <c r="C624" s="120"/>
      <c r="D624" s="120"/>
      <c r="E624" s="2645"/>
      <c r="F624" s="2726"/>
      <c r="G624" s="2643"/>
      <c r="H624" s="2725"/>
      <c r="I624" s="2643">
        <v>0</v>
      </c>
      <c r="J624" s="2644"/>
      <c r="K624" s="124"/>
      <c r="L624" s="122" t="s">
        <v>486</v>
      </c>
      <c r="M624" s="120" t="s">
        <v>761</v>
      </c>
      <c r="N624" s="120" t="s">
        <v>591</v>
      </c>
      <c r="O624" s="2643">
        <v>1</v>
      </c>
      <c r="P624" s="2643"/>
      <c r="Q624" s="2643">
        <v>43883</v>
      </c>
      <c r="R624" s="2643"/>
      <c r="S624" s="2643">
        <v>43883</v>
      </c>
      <c r="T624" s="2643"/>
      <c r="V624" s="176"/>
      <c r="W624" s="176"/>
    </row>
    <row r="625" spans="1:20" ht="17.100000000000001" customHeight="1" x14ac:dyDescent="0.3">
      <c r="A625" s="133" t="s">
        <v>488</v>
      </c>
      <c r="B625" s="134"/>
      <c r="C625" s="120"/>
      <c r="D625" s="120"/>
      <c r="E625" s="2645"/>
      <c r="F625" s="2726"/>
      <c r="G625" s="2643"/>
      <c r="H625" s="2725"/>
      <c r="I625" s="2643">
        <v>0</v>
      </c>
      <c r="J625" s="2644"/>
      <c r="K625" s="124"/>
      <c r="L625" s="122" t="s">
        <v>489</v>
      </c>
      <c r="M625" s="120"/>
      <c r="N625" s="120"/>
      <c r="O625" s="2643"/>
      <c r="P625" s="2643"/>
      <c r="Q625" s="2643"/>
      <c r="R625" s="2643"/>
      <c r="S625" s="2643">
        <v>0</v>
      </c>
      <c r="T625" s="2643"/>
    </row>
    <row r="626" spans="1:20" ht="17.100000000000001" customHeight="1" x14ac:dyDescent="0.35">
      <c r="A626" s="135" t="s">
        <v>490</v>
      </c>
      <c r="B626" s="136"/>
      <c r="C626" s="120"/>
      <c r="D626" s="120"/>
      <c r="E626" s="2645"/>
      <c r="F626" s="2726"/>
      <c r="G626" s="2643"/>
      <c r="H626" s="2725"/>
      <c r="I626" s="2715">
        <v>705000</v>
      </c>
      <c r="J626" s="2716"/>
      <c r="K626" s="124"/>
      <c r="L626" s="122" t="s">
        <v>491</v>
      </c>
      <c r="M626" s="120" t="s">
        <v>1703</v>
      </c>
      <c r="N626" s="120" t="s">
        <v>452</v>
      </c>
      <c r="O626" s="2643">
        <v>2</v>
      </c>
      <c r="P626" s="2643"/>
      <c r="Q626" s="2643">
        <v>52365.883199999997</v>
      </c>
      <c r="R626" s="2643"/>
      <c r="S626" s="2643">
        <v>104731.76639999999</v>
      </c>
      <c r="T626" s="2643"/>
    </row>
    <row r="627" spans="1:20" ht="17.100000000000001" customHeight="1" x14ac:dyDescent="0.4">
      <c r="A627" s="133" t="s">
        <v>492</v>
      </c>
      <c r="B627" s="136"/>
      <c r="C627" s="120" t="s">
        <v>496</v>
      </c>
      <c r="D627" s="120" t="s">
        <v>497</v>
      </c>
      <c r="E627" s="2643">
        <v>15</v>
      </c>
      <c r="F627" s="2643"/>
      <c r="G627" s="2641">
        <v>47000</v>
      </c>
      <c r="H627" s="2642">
        <v>38202.400000000001</v>
      </c>
      <c r="I627" s="2643">
        <v>705000</v>
      </c>
      <c r="J627" s="2644"/>
      <c r="K627" s="124"/>
      <c r="L627" s="122" t="s">
        <v>494</v>
      </c>
      <c r="M627" s="120" t="s">
        <v>762</v>
      </c>
      <c r="N627" s="120" t="s">
        <v>452</v>
      </c>
      <c r="O627" s="2643">
        <v>2</v>
      </c>
      <c r="P627" s="2643"/>
      <c r="Q627" s="2643">
        <v>71454.9136</v>
      </c>
      <c r="R627" s="2643"/>
      <c r="S627" s="2643">
        <v>142909.8272</v>
      </c>
      <c r="T627" s="2643"/>
    </row>
    <row r="628" spans="1:20" ht="17.100000000000001" customHeight="1" x14ac:dyDescent="0.3">
      <c r="A628" s="137" t="s">
        <v>717</v>
      </c>
      <c r="B628" s="138"/>
      <c r="C628" s="120"/>
      <c r="D628" s="120"/>
      <c r="E628" s="2643"/>
      <c r="F628" s="2643"/>
      <c r="G628" s="2643"/>
      <c r="H628" s="2725"/>
      <c r="I628" s="2643">
        <v>0</v>
      </c>
      <c r="J628" s="2644"/>
      <c r="K628" s="124"/>
      <c r="L628" s="122" t="s">
        <v>498</v>
      </c>
      <c r="M628" s="120"/>
      <c r="N628" s="120"/>
      <c r="O628" s="2643"/>
      <c r="P628" s="2643"/>
      <c r="Q628" s="2643"/>
      <c r="R628" s="2643"/>
      <c r="S628" s="2643">
        <v>0</v>
      </c>
      <c r="T628" s="2643"/>
    </row>
    <row r="629" spans="1:20" ht="17.100000000000001" customHeight="1" x14ac:dyDescent="0.3">
      <c r="A629" s="2578" t="s">
        <v>501</v>
      </c>
      <c r="B629" s="2579"/>
      <c r="C629" s="120"/>
      <c r="D629" s="120"/>
      <c r="E629" s="2643"/>
      <c r="F629" s="2643"/>
      <c r="G629" s="2643"/>
      <c r="H629" s="2725"/>
      <c r="I629" s="2643">
        <v>0</v>
      </c>
      <c r="J629" s="2644"/>
      <c r="K629" s="124"/>
      <c r="L629" s="139" t="s">
        <v>573</v>
      </c>
      <c r="M629" s="140"/>
      <c r="N629" s="140"/>
      <c r="O629" s="2643"/>
      <c r="P629" s="2643"/>
      <c r="Q629" s="2643"/>
      <c r="R629" s="2643"/>
      <c r="S629" s="2643">
        <v>0</v>
      </c>
      <c r="T629" s="2643"/>
    </row>
    <row r="630" spans="1:20" ht="17.100000000000001" customHeight="1" x14ac:dyDescent="0.3">
      <c r="A630" s="2589" t="s">
        <v>504</v>
      </c>
      <c r="B630" s="2590"/>
      <c r="C630" s="120"/>
      <c r="D630" s="120"/>
      <c r="E630" s="2643"/>
      <c r="F630" s="2643"/>
      <c r="G630" s="2643"/>
      <c r="H630" s="2725"/>
      <c r="I630" s="2643">
        <v>0</v>
      </c>
      <c r="J630" s="2644"/>
      <c r="K630" s="124"/>
      <c r="L630" s="139"/>
      <c r="M630" s="139"/>
      <c r="N630" s="139"/>
      <c r="O630" s="2643"/>
      <c r="P630" s="2643"/>
      <c r="Q630" s="2643"/>
      <c r="R630" s="2643"/>
      <c r="S630" s="2643"/>
      <c r="T630" s="2643"/>
    </row>
    <row r="631" spans="1:20" ht="17.100000000000001" customHeight="1" x14ac:dyDescent="0.3">
      <c r="A631" s="2589" t="s">
        <v>504</v>
      </c>
      <c r="B631" s="2590"/>
      <c r="C631" s="120"/>
      <c r="D631" s="120"/>
      <c r="E631" s="2643"/>
      <c r="F631" s="2643"/>
      <c r="G631" s="2643"/>
      <c r="H631" s="2725"/>
      <c r="I631" s="2643">
        <v>0</v>
      </c>
      <c r="J631" s="2644"/>
      <c r="K631" s="124"/>
      <c r="L631" s="139" t="s">
        <v>595</v>
      </c>
      <c r="M631" s="139"/>
      <c r="N631" s="139"/>
      <c r="O631" s="2643"/>
      <c r="P631" s="2643"/>
      <c r="Q631" s="2643"/>
      <c r="R631" s="2643"/>
      <c r="S631" s="2643">
        <v>0</v>
      </c>
      <c r="T631" s="2643"/>
    </row>
    <row r="632" spans="1:20" ht="17.100000000000001" customHeight="1" x14ac:dyDescent="0.35">
      <c r="A632" s="2595" t="s">
        <v>506</v>
      </c>
      <c r="B632" s="2596"/>
      <c r="C632" s="120"/>
      <c r="D632" s="120"/>
      <c r="E632" s="2645"/>
      <c r="F632" s="2726"/>
      <c r="G632" s="2643"/>
      <c r="H632" s="2725"/>
      <c r="I632" s="2715">
        <v>1128000</v>
      </c>
      <c r="J632" s="2716"/>
      <c r="K632" s="121"/>
      <c r="L632" s="139" t="s">
        <v>600</v>
      </c>
      <c r="M632" s="139"/>
      <c r="N632" s="139"/>
      <c r="O632" s="2643"/>
      <c r="P632" s="2643"/>
      <c r="Q632" s="2643"/>
      <c r="R632" s="2643"/>
      <c r="S632" s="2643">
        <v>0</v>
      </c>
      <c r="T632" s="2643"/>
    </row>
    <row r="633" spans="1:20" ht="17.100000000000001" customHeight="1" x14ac:dyDescent="0.4">
      <c r="A633" s="2589" t="s">
        <v>509</v>
      </c>
      <c r="B633" s="2590"/>
      <c r="C633" s="120" t="s">
        <v>496</v>
      </c>
      <c r="D633" s="120" t="s">
        <v>497</v>
      </c>
      <c r="E633" s="2645">
        <v>8</v>
      </c>
      <c r="F633" s="2726"/>
      <c r="G633" s="2641">
        <v>47000</v>
      </c>
      <c r="H633" s="2642">
        <v>38202.400000000001</v>
      </c>
      <c r="I633" s="2643">
        <v>376000</v>
      </c>
      <c r="J633" s="2644"/>
      <c r="K633" s="124"/>
      <c r="L633" s="139" t="s">
        <v>510</v>
      </c>
      <c r="M633" s="139"/>
      <c r="N633" s="139"/>
      <c r="O633" s="2643"/>
      <c r="P633" s="2643"/>
      <c r="Q633" s="2643"/>
      <c r="R633" s="2643"/>
      <c r="S633" s="2643">
        <v>0</v>
      </c>
      <c r="T633" s="2643"/>
    </row>
    <row r="634" spans="1:20" ht="17.100000000000001" customHeight="1" x14ac:dyDescent="0.3">
      <c r="A634" s="2589" t="s">
        <v>512</v>
      </c>
      <c r="B634" s="2590"/>
      <c r="C634" s="120"/>
      <c r="D634" s="120"/>
      <c r="E634" s="2645"/>
      <c r="F634" s="2726"/>
      <c r="G634" s="2643"/>
      <c r="H634" s="2725"/>
      <c r="I634" s="2643">
        <v>0</v>
      </c>
      <c r="J634" s="2644"/>
      <c r="K634" s="124"/>
      <c r="L634" s="139" t="s">
        <v>575</v>
      </c>
      <c r="M634" s="139"/>
      <c r="N634" s="139"/>
      <c r="O634" s="2643"/>
      <c r="P634" s="2643"/>
      <c r="Q634" s="2643"/>
      <c r="R634" s="2643"/>
      <c r="S634" s="2643">
        <v>0</v>
      </c>
      <c r="T634" s="2643"/>
    </row>
    <row r="635" spans="1:20" ht="17.100000000000001" customHeight="1" x14ac:dyDescent="0.3">
      <c r="A635" s="137" t="s">
        <v>514</v>
      </c>
      <c r="B635" s="138"/>
      <c r="C635" s="120"/>
      <c r="D635" s="120"/>
      <c r="E635" s="2645"/>
      <c r="F635" s="2726"/>
      <c r="G635" s="2643"/>
      <c r="H635" s="2725"/>
      <c r="I635" s="2643">
        <v>0</v>
      </c>
      <c r="J635" s="2644"/>
      <c r="K635" s="124"/>
      <c r="L635" s="139" t="s">
        <v>515</v>
      </c>
      <c r="M635" s="139"/>
      <c r="N635" s="139"/>
      <c r="O635" s="2643"/>
      <c r="P635" s="2643"/>
      <c r="Q635" s="2643"/>
      <c r="R635" s="2643"/>
      <c r="S635" s="2643">
        <v>0</v>
      </c>
      <c r="T635" s="2643"/>
    </row>
    <row r="636" spans="1:20" ht="17.100000000000001" customHeight="1" x14ac:dyDescent="0.3">
      <c r="A636" s="2589" t="s">
        <v>516</v>
      </c>
      <c r="B636" s="2590"/>
      <c r="C636" s="120"/>
      <c r="D636" s="120"/>
      <c r="E636" s="2645"/>
      <c r="F636" s="2726"/>
      <c r="G636" s="2643"/>
      <c r="H636" s="2725"/>
      <c r="I636" s="2643">
        <v>0</v>
      </c>
      <c r="J636" s="2644"/>
      <c r="K636" s="124"/>
      <c r="L636" s="139" t="s">
        <v>724</v>
      </c>
      <c r="M636" s="139"/>
      <c r="N636" s="139"/>
      <c r="O636" s="2643"/>
      <c r="P636" s="2643"/>
      <c r="Q636" s="2643"/>
      <c r="R636" s="2643"/>
      <c r="S636" s="2643">
        <v>0</v>
      </c>
      <c r="T636" s="2643"/>
    </row>
    <row r="637" spans="1:20" ht="17.100000000000001" customHeight="1" x14ac:dyDescent="0.3">
      <c r="A637" s="137" t="s">
        <v>517</v>
      </c>
      <c r="B637" s="138"/>
      <c r="C637" s="120"/>
      <c r="D637" s="120"/>
      <c r="E637" s="2645"/>
      <c r="F637" s="2726"/>
      <c r="G637" s="2643"/>
      <c r="H637" s="2725"/>
      <c r="I637" s="2643">
        <v>0</v>
      </c>
      <c r="J637" s="2644"/>
      <c r="K637" s="124"/>
      <c r="L637" s="139" t="s">
        <v>510</v>
      </c>
      <c r="M637" s="139"/>
      <c r="N637" s="139"/>
      <c r="O637" s="2643"/>
      <c r="P637" s="2643"/>
      <c r="Q637" s="2643"/>
      <c r="R637" s="2643"/>
      <c r="S637" s="2643">
        <v>0</v>
      </c>
      <c r="T637" s="2643"/>
    </row>
    <row r="638" spans="1:20" ht="17.100000000000001" customHeight="1" x14ac:dyDescent="0.4">
      <c r="A638" s="137" t="s">
        <v>519</v>
      </c>
      <c r="B638" s="141"/>
      <c r="C638" s="120" t="s">
        <v>496</v>
      </c>
      <c r="D638" s="120" t="s">
        <v>497</v>
      </c>
      <c r="E638" s="2655">
        <v>6</v>
      </c>
      <c r="F638" s="2655"/>
      <c r="G638" s="2641">
        <v>47000</v>
      </c>
      <c r="H638" s="2642">
        <v>38202.400000000001</v>
      </c>
      <c r="I638" s="2643">
        <v>282000</v>
      </c>
      <c r="J638" s="2644"/>
      <c r="K638" s="124"/>
      <c r="L638" s="139"/>
      <c r="M638" s="139"/>
      <c r="N638" s="139"/>
      <c r="O638" s="2643"/>
      <c r="P638" s="2643"/>
      <c r="Q638" s="2643"/>
      <c r="R638" s="2643"/>
      <c r="S638" s="2643"/>
      <c r="T638" s="2643"/>
    </row>
    <row r="639" spans="1:20" ht="17.100000000000001" customHeight="1" x14ac:dyDescent="0.3">
      <c r="A639" s="137" t="s">
        <v>475</v>
      </c>
      <c r="B639" s="138"/>
      <c r="C639" s="120"/>
      <c r="D639" s="120"/>
      <c r="E639" s="2643"/>
      <c r="F639" s="2643"/>
      <c r="G639" s="2643"/>
      <c r="H639" s="2725"/>
      <c r="I639" s="2643">
        <v>0</v>
      </c>
      <c r="J639" s="2644"/>
      <c r="K639" s="124"/>
      <c r="L639" s="139"/>
      <c r="M639" s="139"/>
      <c r="N639" s="139"/>
      <c r="O639" s="2643"/>
      <c r="P639" s="2643"/>
      <c r="Q639" s="2643"/>
      <c r="R639" s="2643"/>
      <c r="S639" s="2643"/>
      <c r="T639" s="2643"/>
    </row>
    <row r="640" spans="1:20" ht="17.100000000000001" customHeight="1" x14ac:dyDescent="0.4">
      <c r="A640" s="2578" t="s">
        <v>520</v>
      </c>
      <c r="B640" s="2579"/>
      <c r="C640" s="120" t="s">
        <v>496</v>
      </c>
      <c r="D640" s="120" t="s">
        <v>497</v>
      </c>
      <c r="E640" s="2645">
        <v>3</v>
      </c>
      <c r="F640" s="2726"/>
      <c r="G640" s="2641">
        <v>47000</v>
      </c>
      <c r="H640" s="2642">
        <v>38202.400000000001</v>
      </c>
      <c r="I640" s="2643">
        <v>141000</v>
      </c>
      <c r="J640" s="2644"/>
      <c r="K640" s="124"/>
      <c r="L640" s="142" t="s">
        <v>521</v>
      </c>
      <c r="M640" s="143"/>
      <c r="N640" s="143"/>
      <c r="O640" s="2591"/>
      <c r="P640" s="2592"/>
      <c r="Q640" s="2591"/>
      <c r="R640" s="2592"/>
      <c r="S640" s="2593">
        <v>3061912.5936000003</v>
      </c>
      <c r="T640" s="2594"/>
    </row>
    <row r="641" spans="1:22" ht="17.100000000000001" customHeight="1" x14ac:dyDescent="0.3">
      <c r="A641" s="137" t="s">
        <v>522</v>
      </c>
      <c r="B641" s="138"/>
      <c r="C641" s="120"/>
      <c r="D641" s="120"/>
      <c r="E641" s="2645"/>
      <c r="F641" s="2726"/>
      <c r="G641" s="2643"/>
      <c r="H641" s="2725"/>
      <c r="I641" s="2643">
        <v>0</v>
      </c>
      <c r="J641" s="2644"/>
      <c r="K641" s="124"/>
      <c r="L641" s="144" t="s">
        <v>577</v>
      </c>
      <c r="M641" s="145"/>
      <c r="N641" s="145"/>
      <c r="O641" s="146"/>
      <c r="P641" s="146"/>
      <c r="Q641" s="146"/>
      <c r="R641" s="146"/>
      <c r="S641" s="146"/>
      <c r="T641" s="147"/>
    </row>
    <row r="642" spans="1:22" ht="17.100000000000001" customHeight="1" x14ac:dyDescent="0.4">
      <c r="A642" s="2578" t="s">
        <v>524</v>
      </c>
      <c r="B642" s="2579"/>
      <c r="C642" s="120" t="s">
        <v>496</v>
      </c>
      <c r="D642" s="120" t="s">
        <v>497</v>
      </c>
      <c r="E642" s="2645">
        <v>2</v>
      </c>
      <c r="F642" s="2726"/>
      <c r="G642" s="2641">
        <v>47000</v>
      </c>
      <c r="H642" s="2642">
        <v>38202.400000000001</v>
      </c>
      <c r="I642" s="2643">
        <v>94000</v>
      </c>
      <c r="J642" s="2644"/>
      <c r="K642" s="124"/>
      <c r="L642" s="148" t="s">
        <v>525</v>
      </c>
      <c r="M642" s="149">
        <v>0.05</v>
      </c>
      <c r="N642" s="45"/>
      <c r="O642" s="26"/>
      <c r="P642" s="26"/>
      <c r="Q642" s="26"/>
      <c r="R642" s="26"/>
      <c r="S642" s="2575">
        <v>419470.47958991159</v>
      </c>
      <c r="T642" s="2560"/>
    </row>
    <row r="643" spans="1:22" ht="17.100000000000001" customHeight="1" x14ac:dyDescent="0.3">
      <c r="A643" s="137" t="s">
        <v>526</v>
      </c>
      <c r="B643" s="138"/>
      <c r="C643" s="120"/>
      <c r="D643" s="120"/>
      <c r="E643" s="2645"/>
      <c r="F643" s="2726"/>
      <c r="G643" s="2643"/>
      <c r="H643" s="2725"/>
      <c r="I643" s="2643">
        <v>0</v>
      </c>
      <c r="J643" s="2644"/>
      <c r="K643" s="124"/>
      <c r="L643" s="151" t="s">
        <v>527</v>
      </c>
      <c r="M643" s="45"/>
      <c r="N643" s="45"/>
      <c r="O643" s="26"/>
      <c r="P643" s="26"/>
      <c r="Q643" s="26"/>
      <c r="R643" s="26"/>
      <c r="S643" s="2575">
        <v>163920</v>
      </c>
      <c r="T643" s="2560"/>
    </row>
    <row r="644" spans="1:22" ht="17.100000000000001" customHeight="1" x14ac:dyDescent="0.3">
      <c r="A644" s="133" t="s">
        <v>578</v>
      </c>
      <c r="B644" s="136"/>
      <c r="C644" s="140"/>
      <c r="D644" s="140"/>
      <c r="E644" s="2655"/>
      <c r="F644" s="2655"/>
      <c r="G644" s="2643"/>
      <c r="H644" s="2725"/>
      <c r="I644" s="2643">
        <v>0</v>
      </c>
      <c r="J644" s="2644"/>
      <c r="K644" s="124"/>
      <c r="L644" s="152" t="s">
        <v>529</v>
      </c>
      <c r="M644" s="45"/>
      <c r="N644" s="45"/>
      <c r="O644" s="26"/>
      <c r="P644" s="26"/>
      <c r="Q644" s="26"/>
      <c r="R644" s="26"/>
      <c r="S644" s="2575">
        <v>764960</v>
      </c>
      <c r="T644" s="2560"/>
    </row>
    <row r="645" spans="1:22" ht="17.100000000000001" customHeight="1" x14ac:dyDescent="0.3">
      <c r="A645" s="153" t="s">
        <v>579</v>
      </c>
      <c r="B645" s="154"/>
      <c r="C645" s="120"/>
      <c r="D645" s="120"/>
      <c r="E645" s="2643"/>
      <c r="F645" s="2643"/>
      <c r="G645" s="2643"/>
      <c r="H645" s="2725"/>
      <c r="I645" s="2643">
        <v>0</v>
      </c>
      <c r="J645" s="2644"/>
      <c r="K645" s="124"/>
      <c r="L645" s="152" t="s">
        <v>580</v>
      </c>
      <c r="M645" s="45"/>
      <c r="N645" s="45"/>
      <c r="O645" s="26"/>
      <c r="P645" s="26"/>
      <c r="Q645" s="26"/>
      <c r="R645" s="26"/>
      <c r="S645" s="2575">
        <v>419470.47958991159</v>
      </c>
      <c r="T645" s="2560"/>
    </row>
    <row r="646" spans="1:22" ht="17.100000000000001" customHeight="1" x14ac:dyDescent="0.3">
      <c r="A646" s="137" t="s">
        <v>532</v>
      </c>
      <c r="B646" s="138"/>
      <c r="C646" s="120"/>
      <c r="D646" s="120"/>
      <c r="E646" s="2645"/>
      <c r="F646" s="2726"/>
      <c r="G646" s="2643"/>
      <c r="H646" s="2725"/>
      <c r="I646" s="2643">
        <v>0</v>
      </c>
      <c r="J646" s="2644"/>
      <c r="K646" s="124"/>
      <c r="L646" s="166" t="s">
        <v>504</v>
      </c>
      <c r="M646" s="155"/>
      <c r="N646" s="155"/>
      <c r="O646" s="167"/>
      <c r="P646" s="167"/>
      <c r="Q646" s="167"/>
      <c r="R646" s="167"/>
      <c r="S646" s="2557">
        <v>163920</v>
      </c>
      <c r="T646" s="2558"/>
    </row>
    <row r="647" spans="1:22" ht="17.100000000000001" customHeight="1" x14ac:dyDescent="0.3">
      <c r="A647" s="2578" t="s">
        <v>727</v>
      </c>
      <c r="B647" s="2579"/>
      <c r="C647" s="120"/>
      <c r="D647" s="120"/>
      <c r="E647" s="2645"/>
      <c r="F647" s="2726"/>
      <c r="G647" s="2643"/>
      <c r="H647" s="2725"/>
      <c r="I647" s="2643">
        <v>0</v>
      </c>
      <c r="J647" s="2644"/>
      <c r="K647" s="124"/>
      <c r="L647" s="156" t="s">
        <v>533</v>
      </c>
      <c r="M647" s="157"/>
      <c r="N647" s="157"/>
      <c r="O647" s="158"/>
      <c r="P647" s="158"/>
      <c r="Q647" s="158"/>
      <c r="R647" s="158"/>
      <c r="S647" s="2587">
        <v>1931740.9591798233</v>
      </c>
      <c r="T647" s="2588"/>
    </row>
    <row r="648" spans="1:22" ht="17.100000000000001" customHeight="1" x14ac:dyDescent="0.4">
      <c r="A648" s="2578" t="s">
        <v>534</v>
      </c>
      <c r="B648" s="2579"/>
      <c r="C648" s="120" t="s">
        <v>496</v>
      </c>
      <c r="D648" s="120" t="s">
        <v>497</v>
      </c>
      <c r="E648" s="2643">
        <v>2</v>
      </c>
      <c r="F648" s="2643"/>
      <c r="G648" s="2641">
        <v>47000</v>
      </c>
      <c r="H648" s="2642">
        <v>38202.400000000001</v>
      </c>
      <c r="I648" s="2643">
        <v>94000</v>
      </c>
      <c r="J648" s="2644"/>
      <c r="K648" s="124"/>
      <c r="L648" s="159"/>
      <c r="M648" s="45"/>
      <c r="N648" s="45"/>
      <c r="O648" s="26"/>
      <c r="P648" s="26"/>
      <c r="Q648" s="26"/>
      <c r="R648" s="26"/>
      <c r="S648" s="26"/>
      <c r="T648" s="150"/>
    </row>
    <row r="649" spans="1:22" ht="17.100000000000001" customHeight="1" thickBot="1" x14ac:dyDescent="0.45">
      <c r="A649" s="2578" t="s">
        <v>535</v>
      </c>
      <c r="B649" s="2579"/>
      <c r="C649" s="120" t="s">
        <v>496</v>
      </c>
      <c r="D649" s="120" t="s">
        <v>497</v>
      </c>
      <c r="E649" s="2645">
        <v>2</v>
      </c>
      <c r="F649" s="2726"/>
      <c r="G649" s="2641">
        <v>47000</v>
      </c>
      <c r="H649" s="2642">
        <v>38202.400000000001</v>
      </c>
      <c r="I649" s="2643">
        <v>94000</v>
      </c>
      <c r="J649" s="2644"/>
      <c r="K649" s="124"/>
      <c r="L649" s="160" t="s">
        <v>583</v>
      </c>
      <c r="M649" s="161"/>
      <c r="N649" s="161"/>
      <c r="O649" s="161"/>
      <c r="P649" s="161"/>
      <c r="Q649" s="161"/>
      <c r="R649" s="161"/>
      <c r="S649" s="2580">
        <v>10321150.550978053</v>
      </c>
      <c r="T649" s="2581"/>
      <c r="V649" s="1047">
        <f>'TOTAL TRANSITORIOS'!W30</f>
        <v>10321150.550978053</v>
      </c>
    </row>
    <row r="650" spans="1:22" ht="17.100000000000001" customHeight="1" thickBot="1" x14ac:dyDescent="0.45">
      <c r="A650" s="133" t="s">
        <v>537</v>
      </c>
      <c r="B650" s="136"/>
      <c r="C650" s="140" t="s">
        <v>496</v>
      </c>
      <c r="D650" s="120" t="s">
        <v>497</v>
      </c>
      <c r="E650" s="2643">
        <v>1</v>
      </c>
      <c r="F650" s="2725"/>
      <c r="G650" s="2641">
        <v>47000</v>
      </c>
      <c r="H650" s="2642">
        <v>38202.400000000001</v>
      </c>
      <c r="I650" s="2643">
        <v>47000</v>
      </c>
      <c r="J650" s="2644"/>
      <c r="K650" s="124"/>
      <c r="L650" s="45"/>
      <c r="M650" s="45"/>
      <c r="N650" s="45"/>
      <c r="O650" s="45"/>
      <c r="P650" s="45"/>
      <c r="Q650" s="45"/>
      <c r="R650" s="45"/>
      <c r="S650" s="45"/>
      <c r="T650" s="45"/>
    </row>
    <row r="651" spans="1:22" ht="17.100000000000001" customHeight="1" x14ac:dyDescent="0.3">
      <c r="A651" s="133" t="s">
        <v>538</v>
      </c>
      <c r="B651" s="136"/>
      <c r="C651" s="140"/>
      <c r="D651" s="140"/>
      <c r="E651" s="2643"/>
      <c r="F651" s="2725"/>
      <c r="G651" s="2643"/>
      <c r="H651" s="2725"/>
      <c r="I651" s="2643">
        <v>0</v>
      </c>
      <c r="J651" s="2644"/>
      <c r="K651" s="124"/>
      <c r="L651" s="45"/>
      <c r="M651" s="2582" t="s">
        <v>539</v>
      </c>
      <c r="N651" s="2583"/>
      <c r="O651" s="2583"/>
      <c r="P651" s="2583"/>
      <c r="Q651" s="2584"/>
      <c r="R651" s="45"/>
      <c r="S651" s="45"/>
      <c r="T651" s="45"/>
    </row>
    <row r="652" spans="1:22" ht="17.100000000000001" customHeight="1" x14ac:dyDescent="0.3">
      <c r="A652" s="133" t="s">
        <v>540</v>
      </c>
      <c r="B652" s="136"/>
      <c r="C652" s="140"/>
      <c r="D652" s="140"/>
      <c r="E652" s="2643"/>
      <c r="F652" s="2725"/>
      <c r="G652" s="2643"/>
      <c r="H652" s="2725"/>
      <c r="I652" s="2643">
        <v>0</v>
      </c>
      <c r="J652" s="2644"/>
      <c r="K652" s="124"/>
      <c r="L652" s="45"/>
      <c r="M652" s="101" t="s">
        <v>541</v>
      </c>
      <c r="N652" s="102"/>
      <c r="O652" s="102"/>
      <c r="P652" s="102"/>
      <c r="Q652" s="103">
        <v>17.298672566371682</v>
      </c>
      <c r="R652" s="45"/>
      <c r="S652" s="45"/>
      <c r="T652" s="45"/>
      <c r="U652" s="37" t="s">
        <v>542</v>
      </c>
    </row>
    <row r="653" spans="1:22" ht="17.100000000000001" customHeight="1" x14ac:dyDescent="0.3">
      <c r="A653" s="133" t="s">
        <v>543</v>
      </c>
      <c r="B653" s="136"/>
      <c r="C653" s="140"/>
      <c r="D653" s="140"/>
      <c r="E653" s="2643"/>
      <c r="F653" s="2725"/>
      <c r="G653" s="2643"/>
      <c r="H653" s="2725"/>
      <c r="I653" s="2643">
        <v>0</v>
      </c>
      <c r="J653" s="2644"/>
      <c r="K653" s="124"/>
      <c r="L653" s="45"/>
      <c r="M653" s="104" t="s">
        <v>544</v>
      </c>
      <c r="N653" s="102"/>
      <c r="O653" s="102"/>
      <c r="P653" s="105"/>
      <c r="Q653" s="106">
        <v>10321150.550978053</v>
      </c>
      <c r="R653" s="45"/>
      <c r="S653" s="45"/>
      <c r="T653" s="45"/>
      <c r="U653" s="37"/>
    </row>
    <row r="654" spans="1:22" ht="17.100000000000001" customHeight="1" x14ac:dyDescent="0.35">
      <c r="A654" s="135" t="s">
        <v>545</v>
      </c>
      <c r="B654" s="136"/>
      <c r="C654" s="140"/>
      <c r="D654" s="140"/>
      <c r="E654" s="2643"/>
      <c r="F654" s="2725"/>
      <c r="G654" s="2643"/>
      <c r="H654" s="2725"/>
      <c r="I654" s="2715">
        <v>3055153.1501982305</v>
      </c>
      <c r="J654" s="2716"/>
      <c r="K654" s="121"/>
      <c r="L654" s="45"/>
      <c r="M654" s="101" t="s">
        <v>546</v>
      </c>
      <c r="N654" s="102"/>
      <c r="O654" s="102"/>
      <c r="P654" s="102"/>
      <c r="Q654" s="106">
        <v>1326280</v>
      </c>
      <c r="R654" s="47"/>
      <c r="S654" s="45"/>
      <c r="T654" s="45"/>
      <c r="U654" s="37" t="s">
        <v>542</v>
      </c>
    </row>
    <row r="655" spans="1:22" ht="17.100000000000001" customHeight="1" x14ac:dyDescent="0.4">
      <c r="A655" s="133" t="s">
        <v>547</v>
      </c>
      <c r="B655" s="136"/>
      <c r="C655" s="140" t="s">
        <v>496</v>
      </c>
      <c r="D655" s="120" t="s">
        <v>497</v>
      </c>
      <c r="E655" s="2643">
        <v>18</v>
      </c>
      <c r="F655" s="2725"/>
      <c r="G655" s="2641">
        <v>47000</v>
      </c>
      <c r="H655" s="2642">
        <v>38202.400000000001</v>
      </c>
      <c r="I655" s="2643">
        <v>846000</v>
      </c>
      <c r="J655" s="2644"/>
      <c r="K655" s="124"/>
      <c r="L655" s="45"/>
      <c r="M655" s="101" t="s">
        <v>758</v>
      </c>
      <c r="N655" s="102"/>
      <c r="O655" s="102"/>
      <c r="P655" s="102"/>
      <c r="Q655" s="106">
        <v>22942883.451327436</v>
      </c>
      <c r="R655" s="44"/>
      <c r="S655" s="45"/>
      <c r="T655" s="45"/>
    </row>
    <row r="656" spans="1:22" ht="17.100000000000001" customHeight="1" thickBot="1" x14ac:dyDescent="0.45">
      <c r="A656" s="133" t="s">
        <v>728</v>
      </c>
      <c r="B656" s="136"/>
      <c r="C656" s="140" t="s">
        <v>496</v>
      </c>
      <c r="D656" s="120" t="s">
        <v>497</v>
      </c>
      <c r="E656" s="2643">
        <v>3</v>
      </c>
      <c r="F656" s="2725"/>
      <c r="G656" s="2641">
        <v>47000</v>
      </c>
      <c r="H656" s="2642">
        <v>38202.400000000001</v>
      </c>
      <c r="I656" s="2643">
        <v>141000</v>
      </c>
      <c r="J656" s="2644"/>
      <c r="K656" s="124"/>
      <c r="L656" s="45"/>
      <c r="M656" s="108" t="s">
        <v>549</v>
      </c>
      <c r="N656" s="109"/>
      <c r="O656" s="109"/>
      <c r="P656" s="109"/>
      <c r="Q656" s="110">
        <v>12621732.900349382</v>
      </c>
      <c r="R656" s="45"/>
      <c r="S656" s="45"/>
      <c r="T656" s="45"/>
    </row>
    <row r="657" spans="1:20" ht="17.100000000000001" customHeight="1" thickBot="1" x14ac:dyDescent="0.35">
      <c r="A657" s="133" t="s">
        <v>550</v>
      </c>
      <c r="B657" s="136"/>
      <c r="C657" s="140"/>
      <c r="D657" s="140"/>
      <c r="E657" s="2643"/>
      <c r="F657" s="2725"/>
      <c r="G657" s="2643"/>
      <c r="H657" s="2725"/>
      <c r="I657" s="2643">
        <v>0</v>
      </c>
      <c r="J657" s="2644"/>
      <c r="K657" s="124"/>
      <c r="L657" s="45"/>
      <c r="M657" s="1048" t="s">
        <v>759</v>
      </c>
      <c r="N657" s="1049"/>
      <c r="O657" s="1049"/>
      <c r="P657" s="1049"/>
      <c r="Q657" s="1050">
        <v>122.28997957164107</v>
      </c>
      <c r="R657" s="45"/>
      <c r="S657" s="45"/>
      <c r="T657" s="45"/>
    </row>
    <row r="658" spans="1:20" ht="17.100000000000001" customHeight="1" x14ac:dyDescent="0.3">
      <c r="A658" s="133" t="s">
        <v>555</v>
      </c>
      <c r="B658" s="136"/>
      <c r="C658" s="140"/>
      <c r="D658" s="140"/>
      <c r="E658" s="2643"/>
      <c r="F658" s="2644"/>
      <c r="G658" s="2643"/>
      <c r="H658" s="2644"/>
      <c r="I658" s="2643">
        <v>0</v>
      </c>
      <c r="J658" s="2644"/>
      <c r="K658" s="124"/>
      <c r="L658" s="7" t="s">
        <v>1528</v>
      </c>
      <c r="M658" s="8"/>
      <c r="N658" s="8"/>
      <c r="O658" s="8"/>
      <c r="P658" s="4"/>
      <c r="Q658" s="5"/>
      <c r="R658" s="1979"/>
      <c r="S658" s="45"/>
      <c r="T658" s="45"/>
    </row>
    <row r="659" spans="1:20" ht="17.100000000000001" customHeight="1" x14ac:dyDescent="0.3">
      <c r="A659" s="133" t="s">
        <v>729</v>
      </c>
      <c r="B659" s="136"/>
      <c r="C659" s="140" t="s">
        <v>763</v>
      </c>
      <c r="D659" s="140" t="s">
        <v>556</v>
      </c>
      <c r="E659" s="2718">
        <v>17.298672566371682</v>
      </c>
      <c r="F659" s="2722"/>
      <c r="G659" s="2643">
        <v>119555.5984</v>
      </c>
      <c r="H659" s="2644">
        <v>97246.52</v>
      </c>
      <c r="I659" s="2643">
        <v>2068153.1501982303</v>
      </c>
      <c r="J659" s="2644"/>
      <c r="K659" s="124"/>
      <c r="L659" s="597" t="s">
        <v>1583</v>
      </c>
      <c r="M659" s="45"/>
      <c r="N659" s="45"/>
      <c r="O659" s="45"/>
      <c r="P659" s="45"/>
      <c r="Q659" s="45"/>
      <c r="R659" s="45"/>
      <c r="S659" s="44"/>
      <c r="T659" s="45"/>
    </row>
    <row r="660" spans="1:20" ht="17.100000000000001" customHeight="1" thickBot="1" x14ac:dyDescent="0.25">
      <c r="A660" s="162" t="s">
        <v>558</v>
      </c>
      <c r="B660" s="163"/>
      <c r="C660" s="164"/>
      <c r="D660" s="165"/>
      <c r="E660" s="2561">
        <v>57</v>
      </c>
      <c r="F660" s="2562"/>
      <c r="G660" s="2563"/>
      <c r="H660" s="2564"/>
      <c r="I660" s="2561">
        <v>5327496.9981982308</v>
      </c>
      <c r="J660" s="2562"/>
      <c r="K660" s="26"/>
      <c r="L660" s="45"/>
      <c r="M660" s="45"/>
      <c r="N660" s="45"/>
      <c r="O660" s="45"/>
      <c r="P660" s="45"/>
      <c r="Q660" s="45"/>
      <c r="R660" s="44"/>
      <c r="S660" s="45"/>
      <c r="T660" s="45"/>
    </row>
    <row r="661" spans="1:20" ht="14.1" customHeight="1" x14ac:dyDescent="0.2">
      <c r="A661" s="40"/>
      <c r="B661" s="40"/>
      <c r="C661" s="41"/>
      <c r="D661" s="41"/>
      <c r="E661" s="41"/>
      <c r="F661" s="41"/>
      <c r="G661" s="42"/>
      <c r="H661" s="42"/>
      <c r="I661" s="44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</row>
    <row r="662" spans="1:20" ht="14.1" customHeight="1" x14ac:dyDescent="0.2">
      <c r="A662" s="40"/>
      <c r="B662" s="40"/>
      <c r="C662" s="41"/>
      <c r="D662" s="41"/>
      <c r="E662" s="41"/>
      <c r="F662" s="41"/>
      <c r="G662" s="42"/>
      <c r="H662" s="42"/>
      <c r="I662" s="44"/>
      <c r="J662" s="45"/>
      <c r="K662" s="45"/>
      <c r="L662" s="40"/>
      <c r="M662" s="40"/>
      <c r="N662" s="41"/>
      <c r="O662" s="41"/>
      <c r="P662" s="41"/>
      <c r="Q662" s="41"/>
      <c r="R662" s="45"/>
      <c r="S662" s="45"/>
      <c r="T662" s="45"/>
    </row>
    <row r="663" spans="1:20" ht="13.9" customHeight="1" x14ac:dyDescent="0.2">
      <c r="A663" s="2654"/>
      <c r="B663" s="2654"/>
      <c r="C663" s="2654"/>
      <c r="D663" s="2654"/>
      <c r="E663" s="2654"/>
      <c r="F663" s="2654"/>
      <c r="G663" s="2654"/>
      <c r="H663" s="2654"/>
      <c r="I663" s="2654"/>
      <c r="J663" s="2654"/>
      <c r="K663" s="2654"/>
      <c r="L663" s="2654"/>
      <c r="M663" s="2654"/>
      <c r="N663" s="2654"/>
      <c r="O663" s="2654"/>
      <c r="P663" s="2654"/>
      <c r="Q663" s="2654"/>
      <c r="R663" s="2654"/>
      <c r="S663" s="2654"/>
      <c r="T663" s="2654"/>
    </row>
    <row r="664" spans="1:20" ht="13.9" customHeight="1" x14ac:dyDescent="0.2">
      <c r="A664" s="2654"/>
      <c r="B664" s="2654"/>
      <c r="C664" s="2654"/>
      <c r="D664" s="2654"/>
      <c r="E664" s="2654"/>
      <c r="F664" s="2654"/>
      <c r="G664" s="2654"/>
      <c r="H664" s="2654"/>
      <c r="I664" s="2654"/>
      <c r="J664" s="2654"/>
      <c r="K664" s="2654"/>
      <c r="L664" s="2654"/>
      <c r="M664" s="2654"/>
      <c r="N664" s="2654"/>
      <c r="O664" s="2654"/>
      <c r="P664" s="2654"/>
      <c r="Q664" s="2654"/>
      <c r="R664" s="2654"/>
      <c r="S664" s="2654"/>
      <c r="T664" s="2654"/>
    </row>
    <row r="665" spans="1:20" ht="14.1" customHeight="1" x14ac:dyDescent="0.2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</row>
    <row r="666" spans="1:20" ht="14.1" customHeight="1" x14ac:dyDescent="0.2">
      <c r="A666" s="40"/>
      <c r="B666" s="40"/>
      <c r="C666" s="41"/>
      <c r="D666" s="41"/>
      <c r="E666" s="41"/>
      <c r="F666" s="41"/>
      <c r="G666" s="42"/>
      <c r="H666" s="42"/>
      <c r="I666" s="44"/>
      <c r="J666" s="45"/>
      <c r="K666" s="45"/>
      <c r="L666" s="40"/>
      <c r="M666" s="40"/>
      <c r="N666" s="41"/>
      <c r="O666" s="41"/>
      <c r="P666" s="41"/>
      <c r="Q666" s="41"/>
      <c r="R666" s="45"/>
      <c r="S666" s="45"/>
      <c r="T666" s="45"/>
    </row>
    <row r="667" spans="1:20" ht="20.25" customHeight="1" x14ac:dyDescent="0.2">
      <c r="A667" s="2611" t="s">
        <v>1900</v>
      </c>
      <c r="B667" s="2611"/>
      <c r="C667" s="2611"/>
      <c r="D667" s="2611"/>
      <c r="E667" s="2611"/>
      <c r="F667" s="2611"/>
      <c r="G667" s="2611"/>
      <c r="H667" s="2611"/>
      <c r="I667" s="2611"/>
      <c r="J667" s="2611"/>
      <c r="K667" s="2611"/>
      <c r="L667" s="2611"/>
      <c r="M667" s="2611"/>
      <c r="N667" s="2611"/>
      <c r="O667" s="2611"/>
      <c r="P667" s="2611"/>
      <c r="Q667" s="2611"/>
      <c r="R667" s="2611"/>
      <c r="S667" s="2611"/>
      <c r="T667" s="2611"/>
    </row>
    <row r="668" spans="1:20" ht="14.1" customHeight="1" x14ac:dyDescent="0.2">
      <c r="A668" s="40"/>
      <c r="B668" s="40"/>
      <c r="C668" s="115"/>
      <c r="D668" s="41"/>
      <c r="E668" s="41"/>
      <c r="F668" s="41"/>
      <c r="G668" s="42"/>
      <c r="H668" s="42"/>
      <c r="I668" s="44"/>
      <c r="J668" s="45"/>
      <c r="K668" s="45"/>
      <c r="L668" s="40"/>
      <c r="M668" s="40"/>
      <c r="N668" s="115"/>
      <c r="O668" s="45"/>
      <c r="P668" s="45"/>
      <c r="Q668" s="45"/>
      <c r="R668" s="45"/>
      <c r="S668" s="45"/>
      <c r="T668" s="45"/>
    </row>
    <row r="669" spans="1:20" ht="14.1" customHeight="1" thickBot="1" x14ac:dyDescent="0.25">
      <c r="A669" s="40"/>
      <c r="B669" s="40"/>
      <c r="C669" s="41"/>
      <c r="D669" s="41"/>
      <c r="E669" s="41"/>
      <c r="F669" s="41"/>
      <c r="G669" s="42"/>
      <c r="H669" s="42"/>
      <c r="I669" s="44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</row>
    <row r="670" spans="1:20" ht="17.100000000000001" customHeight="1" x14ac:dyDescent="0.3">
      <c r="A670" s="2612" t="s">
        <v>435</v>
      </c>
      <c r="B670" s="2613"/>
      <c r="C670" s="2618" t="s">
        <v>436</v>
      </c>
      <c r="D670" s="2619"/>
      <c r="E670" s="2619"/>
      <c r="F670" s="2620"/>
      <c r="G670" s="2624" t="s">
        <v>437</v>
      </c>
      <c r="H670" s="2625"/>
      <c r="I670" s="2618" t="s">
        <v>439</v>
      </c>
      <c r="J670" s="2620"/>
      <c r="K670" s="49"/>
      <c r="L670" s="2626" t="s">
        <v>435</v>
      </c>
      <c r="M670" s="2619" t="s">
        <v>436</v>
      </c>
      <c r="N670" s="2619"/>
      <c r="O670" s="2619"/>
      <c r="P670" s="2620"/>
      <c r="Q670" s="2624" t="s">
        <v>437</v>
      </c>
      <c r="R670" s="2625"/>
      <c r="S670" s="2618" t="s">
        <v>439</v>
      </c>
      <c r="T670" s="2649"/>
    </row>
    <row r="671" spans="1:20" ht="17.100000000000001" customHeight="1" thickBot="1" x14ac:dyDescent="0.35">
      <c r="A671" s="2614"/>
      <c r="B671" s="2615"/>
      <c r="C671" s="2621"/>
      <c r="D671" s="2622"/>
      <c r="E671" s="2622"/>
      <c r="F671" s="2623"/>
      <c r="G671" s="2629" t="s">
        <v>440</v>
      </c>
      <c r="H671" s="2630"/>
      <c r="I671" s="2631"/>
      <c r="J671" s="2632"/>
      <c r="K671" s="49"/>
      <c r="L671" s="2627"/>
      <c r="M671" s="2622"/>
      <c r="N671" s="2622"/>
      <c r="O671" s="2622"/>
      <c r="P671" s="2623"/>
      <c r="Q671" s="2629" t="s">
        <v>440</v>
      </c>
      <c r="R671" s="2630"/>
      <c r="S671" s="2631"/>
      <c r="T671" s="2650"/>
    </row>
    <row r="672" spans="1:20" ht="17.100000000000001" customHeight="1" x14ac:dyDescent="0.3">
      <c r="A672" s="2614"/>
      <c r="B672" s="2615"/>
      <c r="C672" s="53" t="s">
        <v>441</v>
      </c>
      <c r="D672" s="2670" t="s">
        <v>442</v>
      </c>
      <c r="E672" s="2631" t="s">
        <v>443</v>
      </c>
      <c r="F672" s="2632"/>
      <c r="G672" s="2629" t="s">
        <v>444</v>
      </c>
      <c r="H672" s="2630"/>
      <c r="I672" s="2631" t="s">
        <v>348</v>
      </c>
      <c r="J672" s="2632"/>
      <c r="K672" s="49"/>
      <c r="L672" s="2627"/>
      <c r="M672" s="51" t="s">
        <v>441</v>
      </c>
      <c r="N672" s="2670" t="s">
        <v>442</v>
      </c>
      <c r="O672" s="2631" t="s">
        <v>443</v>
      </c>
      <c r="P672" s="2632"/>
      <c r="Q672" s="2629" t="s">
        <v>444</v>
      </c>
      <c r="R672" s="2630"/>
      <c r="S672" s="2631" t="s">
        <v>348</v>
      </c>
      <c r="T672" s="2650"/>
    </row>
    <row r="673" spans="1:20" ht="17.100000000000001" customHeight="1" thickBot="1" x14ac:dyDescent="0.35">
      <c r="A673" s="2616"/>
      <c r="B673" s="2617"/>
      <c r="C673" s="54" t="s">
        <v>445</v>
      </c>
      <c r="D673" s="2634"/>
      <c r="E673" s="2621"/>
      <c r="F673" s="2623"/>
      <c r="G673" s="2561"/>
      <c r="H673" s="2562"/>
      <c r="I673" s="2635"/>
      <c r="J673" s="2636"/>
      <c r="K673" s="49"/>
      <c r="L673" s="2628"/>
      <c r="M673" s="50" t="s">
        <v>445</v>
      </c>
      <c r="N673" s="2634"/>
      <c r="O673" s="2621"/>
      <c r="P673" s="2623"/>
      <c r="Q673" s="2561"/>
      <c r="R673" s="2562"/>
      <c r="S673" s="2652"/>
      <c r="T673" s="2653"/>
    </row>
    <row r="674" spans="1:20" ht="17.100000000000001" customHeight="1" x14ac:dyDescent="0.3">
      <c r="A674" s="116" t="s">
        <v>446</v>
      </c>
      <c r="B674" s="117"/>
      <c r="C674" s="118"/>
      <c r="D674" s="118"/>
      <c r="E674" s="2712"/>
      <c r="F674" s="2713"/>
      <c r="G674" s="2651"/>
      <c r="H674" s="2714"/>
      <c r="I674" s="2607"/>
      <c r="J674" s="2608"/>
      <c r="K674" s="45"/>
      <c r="L674" s="119" t="s">
        <v>447</v>
      </c>
      <c r="M674" s="118"/>
      <c r="N674" s="118"/>
      <c r="O674" s="2651"/>
      <c r="P674" s="2651"/>
      <c r="Q674" s="2651"/>
      <c r="R674" s="2651"/>
      <c r="S674" s="2651"/>
      <c r="T674" s="2651"/>
    </row>
    <row r="675" spans="1:20" ht="17.100000000000001" customHeight="1" x14ac:dyDescent="0.35">
      <c r="A675" s="2595" t="s">
        <v>448</v>
      </c>
      <c r="B675" s="2596"/>
      <c r="C675" s="120"/>
      <c r="D675" s="120"/>
      <c r="E675" s="2645"/>
      <c r="F675" s="2646"/>
      <c r="G675" s="2643"/>
      <c r="H675" s="2644"/>
      <c r="I675" s="2715">
        <v>0</v>
      </c>
      <c r="J675" s="2716"/>
      <c r="K675" s="121"/>
      <c r="L675" s="122"/>
      <c r="M675" s="120"/>
      <c r="N675" s="120"/>
      <c r="O675" s="2643"/>
      <c r="P675" s="2643"/>
      <c r="Q675" s="2643"/>
      <c r="R675" s="2643"/>
      <c r="S675" s="2643"/>
      <c r="T675" s="2643"/>
    </row>
    <row r="676" spans="1:20" ht="17.100000000000001" customHeight="1" x14ac:dyDescent="0.3">
      <c r="A676" s="2589" t="s">
        <v>449</v>
      </c>
      <c r="B676" s="2590"/>
      <c r="C676" s="120"/>
      <c r="D676" s="120"/>
      <c r="E676" s="2645"/>
      <c r="F676" s="2646"/>
      <c r="G676" s="2643"/>
      <c r="H676" s="2644"/>
      <c r="I676" s="2643">
        <v>0</v>
      </c>
      <c r="J676" s="2644"/>
      <c r="K676" s="124"/>
      <c r="L676" s="122" t="s">
        <v>450</v>
      </c>
      <c r="M676" s="120" t="s">
        <v>743</v>
      </c>
      <c r="N676" s="120" t="s">
        <v>452</v>
      </c>
      <c r="O676" s="2643">
        <v>20</v>
      </c>
      <c r="P676" s="2643"/>
      <c r="Q676" s="2643">
        <v>19338.1888</v>
      </c>
      <c r="R676" s="2643"/>
      <c r="S676" s="2643">
        <v>386763.77600000001</v>
      </c>
      <c r="T676" s="2643"/>
    </row>
    <row r="677" spans="1:20" ht="17.100000000000001" customHeight="1" x14ac:dyDescent="0.3">
      <c r="A677" s="2589" t="s">
        <v>453</v>
      </c>
      <c r="B677" s="2590"/>
      <c r="C677" s="120"/>
      <c r="D677" s="120"/>
      <c r="E677" s="2645"/>
      <c r="F677" s="2646"/>
      <c r="G677" s="2643"/>
      <c r="H677" s="2644"/>
      <c r="I677" s="2643">
        <v>0</v>
      </c>
      <c r="J677" s="2644"/>
      <c r="K677" s="124"/>
      <c r="L677" s="122" t="s">
        <v>454</v>
      </c>
      <c r="M677" s="120"/>
      <c r="N677" s="120"/>
      <c r="O677" s="2643"/>
      <c r="P677" s="2643"/>
      <c r="Q677" s="2643"/>
      <c r="R677" s="2643"/>
      <c r="S677" s="2643">
        <v>0</v>
      </c>
      <c r="T677" s="2643"/>
    </row>
    <row r="678" spans="1:20" ht="17.100000000000001" customHeight="1" x14ac:dyDescent="0.3">
      <c r="A678" s="2589" t="s">
        <v>455</v>
      </c>
      <c r="B678" s="2590"/>
      <c r="C678" s="120"/>
      <c r="D678" s="120"/>
      <c r="E678" s="2645"/>
      <c r="F678" s="2645"/>
      <c r="G678" s="2643"/>
      <c r="H678" s="2644"/>
      <c r="I678" s="2643">
        <v>0</v>
      </c>
      <c r="J678" s="2644"/>
      <c r="K678" s="124"/>
      <c r="L678" s="122" t="s">
        <v>456</v>
      </c>
      <c r="M678" s="120" t="s">
        <v>563</v>
      </c>
      <c r="N678" s="120" t="s">
        <v>460</v>
      </c>
      <c r="O678" s="2718">
        <v>1.5</v>
      </c>
      <c r="P678" s="2718"/>
      <c r="Q678" s="2643">
        <v>201451</v>
      </c>
      <c r="R678" s="2643"/>
      <c r="S678" s="2643">
        <v>302176.5</v>
      </c>
      <c r="T678" s="2643"/>
    </row>
    <row r="679" spans="1:20" ht="17.100000000000001" customHeight="1" x14ac:dyDescent="0.2">
      <c r="A679" s="2600" t="s">
        <v>560</v>
      </c>
      <c r="B679" s="2601"/>
      <c r="C679" s="120"/>
      <c r="D679" s="120"/>
      <c r="E679" s="2645"/>
      <c r="F679" s="2645"/>
      <c r="G679" s="2643"/>
      <c r="H679" s="2643"/>
      <c r="I679" s="2715">
        <v>500328.40960000001</v>
      </c>
      <c r="J679" s="2715"/>
      <c r="K679" s="126"/>
      <c r="L679" s="122" t="s">
        <v>458</v>
      </c>
      <c r="M679" s="120" t="s">
        <v>565</v>
      </c>
      <c r="N679" s="120" t="s">
        <v>460</v>
      </c>
      <c r="O679" s="2718">
        <v>1.5</v>
      </c>
      <c r="P679" s="2718"/>
      <c r="Q679" s="2599">
        <v>164123</v>
      </c>
      <c r="R679" s="2599"/>
      <c r="S679" s="2643">
        <v>246184.5</v>
      </c>
      <c r="T679" s="2643"/>
    </row>
    <row r="680" spans="1:20" ht="17.100000000000001" customHeight="1" x14ac:dyDescent="0.3">
      <c r="A680" s="127" t="s">
        <v>461</v>
      </c>
      <c r="B680" s="128"/>
      <c r="C680" s="120"/>
      <c r="D680" s="120"/>
      <c r="E680" s="2645"/>
      <c r="F680" s="2645"/>
      <c r="G680" s="2643"/>
      <c r="H680" s="2644"/>
      <c r="I680" s="2643">
        <v>0</v>
      </c>
      <c r="J680" s="2644"/>
      <c r="K680" s="124"/>
      <c r="L680" s="122" t="s">
        <v>458</v>
      </c>
      <c r="M680" s="120" t="s">
        <v>459</v>
      </c>
      <c r="N680" s="120" t="s">
        <v>460</v>
      </c>
      <c r="O680" s="2718">
        <v>3</v>
      </c>
      <c r="P680" s="2718"/>
      <c r="Q680" s="2602">
        <v>149734</v>
      </c>
      <c r="R680" s="2602"/>
      <c r="S680" s="2643">
        <v>449202</v>
      </c>
      <c r="T680" s="2643"/>
    </row>
    <row r="681" spans="1:20" ht="17.100000000000001" customHeight="1" x14ac:dyDescent="0.3">
      <c r="A681" s="129" t="s">
        <v>711</v>
      </c>
      <c r="B681" s="130"/>
      <c r="C681" s="120"/>
      <c r="D681" s="120"/>
      <c r="E681" s="2645"/>
      <c r="F681" s="2645"/>
      <c r="G681" s="2643"/>
      <c r="H681" s="2644"/>
      <c r="I681" s="2643">
        <v>0</v>
      </c>
      <c r="J681" s="2644"/>
      <c r="K681" s="124"/>
      <c r="L681" s="122" t="s">
        <v>458</v>
      </c>
      <c r="M681" s="120" t="s">
        <v>561</v>
      </c>
      <c r="N681" s="120" t="s">
        <v>460</v>
      </c>
      <c r="O681" s="2718">
        <v>1</v>
      </c>
      <c r="P681" s="2718"/>
      <c r="Q681" s="2717">
        <v>87816.315199999997</v>
      </c>
      <c r="R681" s="2717"/>
      <c r="S681" s="2643">
        <v>87816.315199999997</v>
      </c>
      <c r="T681" s="2643"/>
    </row>
    <row r="682" spans="1:20" ht="17.100000000000001" customHeight="1" x14ac:dyDescent="0.3">
      <c r="A682" s="127" t="s">
        <v>465</v>
      </c>
      <c r="B682" s="128"/>
      <c r="C682" s="120" t="s">
        <v>466</v>
      </c>
      <c r="D682" s="120" t="s">
        <v>493</v>
      </c>
      <c r="E682" s="2645">
        <v>2</v>
      </c>
      <c r="F682" s="2645"/>
      <c r="G682" s="2643">
        <v>113332.1024</v>
      </c>
      <c r="H682" s="2644">
        <v>92185.02</v>
      </c>
      <c r="I682" s="2643">
        <v>226664.20480000001</v>
      </c>
      <c r="J682" s="2644"/>
      <c r="K682" s="124"/>
      <c r="L682" s="122" t="s">
        <v>504</v>
      </c>
      <c r="M682" s="120"/>
      <c r="N682" s="120"/>
      <c r="O682" s="2643"/>
      <c r="P682" s="2643"/>
      <c r="Q682" s="2643"/>
      <c r="R682" s="2643"/>
      <c r="S682" s="2643">
        <v>0</v>
      </c>
      <c r="T682" s="2643"/>
    </row>
    <row r="683" spans="1:20" ht="17.100000000000001" customHeight="1" x14ac:dyDescent="0.3">
      <c r="A683" s="127" t="s">
        <v>469</v>
      </c>
      <c r="B683" s="128"/>
      <c r="C683" s="120"/>
      <c r="D683" s="120"/>
      <c r="E683" s="2645"/>
      <c r="F683" s="2645"/>
      <c r="G683" s="2643"/>
      <c r="H683" s="2644"/>
      <c r="I683" s="2643">
        <v>0</v>
      </c>
      <c r="J683" s="2644"/>
      <c r="K683" s="124"/>
      <c r="L683" s="122"/>
      <c r="M683" s="120"/>
      <c r="N683" s="120"/>
      <c r="O683" s="2643"/>
      <c r="P683" s="2643"/>
      <c r="Q683" s="2643"/>
      <c r="R683" s="2643"/>
      <c r="S683" s="2643"/>
      <c r="T683" s="2643"/>
    </row>
    <row r="684" spans="1:20" ht="17.100000000000001" customHeight="1" x14ac:dyDescent="0.3">
      <c r="A684" s="131" t="s">
        <v>470</v>
      </c>
      <c r="B684" s="132"/>
      <c r="C684" s="120" t="s">
        <v>466</v>
      </c>
      <c r="D684" s="120" t="s">
        <v>493</v>
      </c>
      <c r="E684" s="2645">
        <v>2</v>
      </c>
      <c r="F684" s="2645"/>
      <c r="G684" s="2643">
        <v>113332.1024</v>
      </c>
      <c r="H684" s="2644">
        <v>92185.02</v>
      </c>
      <c r="I684" s="2643">
        <v>226664.20480000001</v>
      </c>
      <c r="J684" s="2644"/>
      <c r="K684" s="124"/>
      <c r="L684" s="122"/>
      <c r="M684" s="120"/>
      <c r="N684" s="120"/>
      <c r="O684" s="2643"/>
      <c r="P684" s="2643"/>
      <c r="Q684" s="2643"/>
      <c r="R684" s="2643"/>
      <c r="S684" s="2643"/>
      <c r="T684" s="2643"/>
    </row>
    <row r="685" spans="1:20" ht="17.100000000000001" customHeight="1" x14ac:dyDescent="0.3">
      <c r="A685" s="127" t="s">
        <v>474</v>
      </c>
      <c r="B685" s="128"/>
      <c r="C685" s="120"/>
      <c r="D685" s="120"/>
      <c r="E685" s="2645"/>
      <c r="F685" s="2645"/>
      <c r="G685" s="2643"/>
      <c r="H685" s="2644"/>
      <c r="I685" s="2643">
        <v>0</v>
      </c>
      <c r="J685" s="2644"/>
      <c r="K685" s="124"/>
      <c r="L685" s="122" t="s">
        <v>475</v>
      </c>
      <c r="M685" s="120"/>
      <c r="N685" s="120"/>
      <c r="O685" s="2643"/>
      <c r="P685" s="2643"/>
      <c r="Q685" s="2643"/>
      <c r="R685" s="2643"/>
      <c r="S685" s="2643">
        <v>0</v>
      </c>
      <c r="T685" s="2643"/>
    </row>
    <row r="686" spans="1:20" ht="17.100000000000001" customHeight="1" x14ac:dyDescent="0.3">
      <c r="A686" s="127" t="s">
        <v>476</v>
      </c>
      <c r="B686" s="128"/>
      <c r="C686" s="120"/>
      <c r="D686" s="120"/>
      <c r="E686" s="2645"/>
      <c r="F686" s="2645"/>
      <c r="G686" s="2643"/>
      <c r="H686" s="2644"/>
      <c r="I686" s="2643">
        <v>0</v>
      </c>
      <c r="J686" s="2644"/>
      <c r="K686" s="124"/>
      <c r="L686" s="122" t="s">
        <v>477</v>
      </c>
      <c r="M686" s="120" t="s">
        <v>746</v>
      </c>
      <c r="N686" s="120" t="s">
        <v>452</v>
      </c>
      <c r="O686" s="2643">
        <v>2</v>
      </c>
      <c r="P686" s="2643"/>
      <c r="Q686" s="2643">
        <v>44377</v>
      </c>
      <c r="R686" s="2643"/>
      <c r="S686" s="2643">
        <v>88754</v>
      </c>
      <c r="T686" s="2643"/>
    </row>
    <row r="687" spans="1:20" ht="17.100000000000001" customHeight="1" x14ac:dyDescent="0.3">
      <c r="A687" s="2597" t="s">
        <v>480</v>
      </c>
      <c r="B687" s="2598"/>
      <c r="C687" s="120"/>
      <c r="D687" s="120"/>
      <c r="E687" s="2645"/>
      <c r="F687" s="2646"/>
      <c r="G687" s="2643"/>
      <c r="H687" s="2644"/>
      <c r="I687" s="2643">
        <v>0</v>
      </c>
      <c r="J687" s="2644"/>
      <c r="K687" s="124"/>
      <c r="L687" s="122" t="s">
        <v>481</v>
      </c>
      <c r="M687" s="120" t="s">
        <v>745</v>
      </c>
      <c r="N687" s="120" t="s">
        <v>591</v>
      </c>
      <c r="O687" s="2643">
        <v>1</v>
      </c>
      <c r="P687" s="2643"/>
      <c r="Q687" s="2643">
        <v>112787.88800000001</v>
      </c>
      <c r="R687" s="2643"/>
      <c r="S687" s="2643">
        <v>112787.88800000001</v>
      </c>
      <c r="T687" s="2643"/>
    </row>
    <row r="688" spans="1:20" ht="17.100000000000001" customHeight="1" x14ac:dyDescent="0.3">
      <c r="A688" s="127" t="s">
        <v>454</v>
      </c>
      <c r="B688" s="128"/>
      <c r="C688" s="120"/>
      <c r="D688" s="120"/>
      <c r="E688" s="2645"/>
      <c r="F688" s="2646"/>
      <c r="G688" s="2643"/>
      <c r="H688" s="2644"/>
      <c r="I688" s="2643">
        <v>0</v>
      </c>
      <c r="J688" s="2644"/>
      <c r="K688" s="124"/>
      <c r="L688" s="122" t="s">
        <v>483</v>
      </c>
      <c r="M688" s="120"/>
      <c r="N688" s="120"/>
      <c r="O688" s="2643"/>
      <c r="P688" s="2643"/>
      <c r="Q688" s="2643"/>
      <c r="R688" s="2643"/>
      <c r="S688" s="2643">
        <v>0</v>
      </c>
      <c r="T688" s="2643"/>
    </row>
    <row r="689" spans="1:20" ht="17.100000000000001" customHeight="1" x14ac:dyDescent="0.4">
      <c r="A689" s="2723" t="s">
        <v>747</v>
      </c>
      <c r="B689" s="2724"/>
      <c r="C689" s="120" t="s">
        <v>496</v>
      </c>
      <c r="D689" s="120" t="s">
        <v>497</v>
      </c>
      <c r="E689" s="2645">
        <v>1</v>
      </c>
      <c r="F689" s="2646"/>
      <c r="G689" s="2641">
        <v>47000</v>
      </c>
      <c r="H689" s="2642">
        <v>38202.400000000001</v>
      </c>
      <c r="I689" s="2643">
        <v>47000</v>
      </c>
      <c r="J689" s="2644"/>
      <c r="K689" s="124"/>
      <c r="L689" s="122" t="s">
        <v>486</v>
      </c>
      <c r="M689" s="120" t="s">
        <v>748</v>
      </c>
      <c r="N689" s="120" t="s">
        <v>591</v>
      </c>
      <c r="O689" s="2643">
        <v>1</v>
      </c>
      <c r="P689" s="2643"/>
      <c r="Q689" s="2643">
        <v>52332</v>
      </c>
      <c r="R689" s="2643"/>
      <c r="S689" s="2643">
        <v>52332</v>
      </c>
      <c r="T689" s="2643"/>
    </row>
    <row r="690" spans="1:20" ht="17.100000000000001" customHeight="1" x14ac:dyDescent="0.3">
      <c r="A690" s="133"/>
      <c r="B690" s="134"/>
      <c r="C690" s="120"/>
      <c r="D690" s="120"/>
      <c r="E690" s="2645"/>
      <c r="F690" s="2646"/>
      <c r="G690" s="2643"/>
      <c r="H690" s="2644"/>
      <c r="I690" s="2643">
        <v>0</v>
      </c>
      <c r="J690" s="2644"/>
      <c r="K690" s="124"/>
      <c r="L690" s="122" t="s">
        <v>489</v>
      </c>
      <c r="M690" s="120" t="s">
        <v>749</v>
      </c>
      <c r="N690" s="120" t="s">
        <v>452</v>
      </c>
      <c r="O690" s="2647">
        <v>0.25</v>
      </c>
      <c r="P690" s="2647"/>
      <c r="Q690" s="2643">
        <v>112787.88800000001</v>
      </c>
      <c r="R690" s="2643"/>
      <c r="S690" s="2643">
        <v>28196.972000000002</v>
      </c>
      <c r="T690" s="2643"/>
    </row>
    <row r="691" spans="1:20" ht="17.100000000000001" customHeight="1" x14ac:dyDescent="0.35">
      <c r="A691" s="135" t="s">
        <v>490</v>
      </c>
      <c r="B691" s="136"/>
      <c r="C691" s="120"/>
      <c r="D691" s="120"/>
      <c r="E691" s="2645"/>
      <c r="F691" s="2646"/>
      <c r="G691" s="2643"/>
      <c r="H691" s="2644"/>
      <c r="I691" s="2715">
        <v>165611.25</v>
      </c>
      <c r="J691" s="2716"/>
      <c r="K691" s="124"/>
      <c r="L691" s="122" t="s">
        <v>491</v>
      </c>
      <c r="M691" s="120"/>
      <c r="N691" s="120"/>
      <c r="O691" s="2643"/>
      <c r="P691" s="2643"/>
      <c r="Q691" s="2643"/>
      <c r="R691" s="2643"/>
      <c r="S691" s="2643">
        <v>0</v>
      </c>
      <c r="T691" s="2643"/>
    </row>
    <row r="692" spans="1:20" ht="17.100000000000001" customHeight="1" x14ac:dyDescent="0.3">
      <c r="A692" s="133" t="s">
        <v>492</v>
      </c>
      <c r="B692" s="136"/>
      <c r="C692" s="120" t="s">
        <v>466</v>
      </c>
      <c r="D692" s="120" t="s">
        <v>493</v>
      </c>
      <c r="E692" s="2643">
        <v>1</v>
      </c>
      <c r="F692" s="2643"/>
      <c r="G692" s="2643">
        <v>165611.25</v>
      </c>
      <c r="H692" s="2644">
        <v>147209.62</v>
      </c>
      <c r="I692" s="2643">
        <v>165611.25</v>
      </c>
      <c r="J692" s="2644"/>
      <c r="K692" s="124"/>
      <c r="L692" s="122" t="s">
        <v>494</v>
      </c>
      <c r="M692" s="120"/>
      <c r="N692" s="120"/>
      <c r="O692" s="2643"/>
      <c r="P692" s="2643"/>
      <c r="Q692" s="2643"/>
      <c r="R692" s="2643"/>
      <c r="S692" s="2643">
        <v>0</v>
      </c>
      <c r="T692" s="2643"/>
    </row>
    <row r="693" spans="1:20" ht="17.100000000000001" customHeight="1" x14ac:dyDescent="0.3">
      <c r="A693" s="137" t="s">
        <v>717</v>
      </c>
      <c r="B693" s="138"/>
      <c r="C693" s="120"/>
      <c r="D693" s="120"/>
      <c r="E693" s="2643"/>
      <c r="F693" s="2643"/>
      <c r="G693" s="2643"/>
      <c r="H693" s="2644"/>
      <c r="I693" s="2643">
        <v>0</v>
      </c>
      <c r="J693" s="2644"/>
      <c r="K693" s="124"/>
      <c r="L693" s="122" t="s">
        <v>498</v>
      </c>
      <c r="M693" s="120"/>
      <c r="N693" s="120"/>
      <c r="O693" s="2643"/>
      <c r="P693" s="2643"/>
      <c r="Q693" s="2643"/>
      <c r="R693" s="2643"/>
      <c r="S693" s="2643">
        <v>0</v>
      </c>
      <c r="T693" s="2643"/>
    </row>
    <row r="694" spans="1:20" ht="17.100000000000001" customHeight="1" x14ac:dyDescent="0.3">
      <c r="A694" s="2578" t="s">
        <v>501</v>
      </c>
      <c r="B694" s="2579"/>
      <c r="C694" s="120"/>
      <c r="D694" s="120"/>
      <c r="E694" s="2643"/>
      <c r="F694" s="2643"/>
      <c r="G694" s="2643"/>
      <c r="H694" s="2644"/>
      <c r="I694" s="2643">
        <v>0</v>
      </c>
      <c r="J694" s="2644"/>
      <c r="K694" s="124"/>
      <c r="L694" s="139" t="s">
        <v>504</v>
      </c>
      <c r="M694" s="140"/>
      <c r="N694" s="140"/>
      <c r="O694" s="2643"/>
      <c r="P694" s="2643"/>
      <c r="Q694" s="2643"/>
      <c r="R694" s="2643"/>
      <c r="S694" s="2643">
        <v>0</v>
      </c>
      <c r="T694" s="2643"/>
    </row>
    <row r="695" spans="1:20" ht="17.100000000000001" customHeight="1" x14ac:dyDescent="0.3">
      <c r="A695" s="2589" t="s">
        <v>504</v>
      </c>
      <c r="B695" s="2590"/>
      <c r="C695" s="120"/>
      <c r="D695" s="120"/>
      <c r="E695" s="2643"/>
      <c r="F695" s="2643"/>
      <c r="G695" s="2643"/>
      <c r="H695" s="2644"/>
      <c r="I695" s="2643">
        <v>0</v>
      </c>
      <c r="J695" s="2644"/>
      <c r="K695" s="124"/>
      <c r="L695" s="139"/>
      <c r="M695" s="139"/>
      <c r="N695" s="139"/>
      <c r="O695" s="2643"/>
      <c r="P695" s="2643"/>
      <c r="Q695" s="2643"/>
      <c r="R695" s="2643"/>
      <c r="S695" s="2643"/>
      <c r="T695" s="2643"/>
    </row>
    <row r="696" spans="1:20" ht="17.100000000000001" customHeight="1" x14ac:dyDescent="0.3">
      <c r="A696" s="2589" t="s">
        <v>504</v>
      </c>
      <c r="B696" s="2590"/>
      <c r="C696" s="120"/>
      <c r="D696" s="120"/>
      <c r="E696" s="2643"/>
      <c r="F696" s="2643"/>
      <c r="G696" s="2643"/>
      <c r="H696" s="2644"/>
      <c r="I696" s="2643">
        <v>0</v>
      </c>
      <c r="J696" s="2644"/>
      <c r="K696" s="124"/>
      <c r="L696" s="139" t="s">
        <v>595</v>
      </c>
      <c r="M696" s="139"/>
      <c r="N696" s="139"/>
      <c r="O696" s="2643"/>
      <c r="P696" s="2643"/>
      <c r="Q696" s="2643"/>
      <c r="R696" s="2643"/>
      <c r="S696" s="2643">
        <v>0</v>
      </c>
      <c r="T696" s="2643"/>
    </row>
    <row r="697" spans="1:20" ht="17.100000000000001" customHeight="1" x14ac:dyDescent="0.35">
      <c r="A697" s="2595" t="s">
        <v>506</v>
      </c>
      <c r="B697" s="2596"/>
      <c r="C697" s="120"/>
      <c r="D697" s="120"/>
      <c r="E697" s="2645"/>
      <c r="F697" s="2646"/>
      <c r="G697" s="2643"/>
      <c r="H697" s="2644"/>
      <c r="I697" s="2715">
        <v>399500</v>
      </c>
      <c r="J697" s="2716"/>
      <c r="K697" s="121"/>
      <c r="L697" s="139" t="s">
        <v>600</v>
      </c>
      <c r="M697" s="139"/>
      <c r="N697" s="139"/>
      <c r="O697" s="2643"/>
      <c r="P697" s="2643"/>
      <c r="Q697" s="2643"/>
      <c r="R697" s="2643"/>
      <c r="S697" s="2643">
        <v>0</v>
      </c>
      <c r="T697" s="2643"/>
    </row>
    <row r="698" spans="1:20" ht="17.100000000000001" customHeight="1" x14ac:dyDescent="0.3">
      <c r="A698" s="2589" t="s">
        <v>509</v>
      </c>
      <c r="B698" s="2590"/>
      <c r="C698" s="120"/>
      <c r="D698" s="120"/>
      <c r="E698" s="2645"/>
      <c r="F698" s="2646"/>
      <c r="G698" s="2643"/>
      <c r="H698" s="2644"/>
      <c r="I698" s="2643">
        <v>0</v>
      </c>
      <c r="J698" s="2644"/>
      <c r="K698" s="124"/>
      <c r="L698" s="139" t="s">
        <v>510</v>
      </c>
      <c r="M698" s="140" t="s">
        <v>721</v>
      </c>
      <c r="N698" s="139"/>
      <c r="O698" s="2647">
        <v>1.5</v>
      </c>
      <c r="P698" s="2647"/>
      <c r="Q698" s="2643">
        <v>15960.343999999999</v>
      </c>
      <c r="R698" s="2643"/>
      <c r="S698" s="2643">
        <v>23940.516</v>
      </c>
      <c r="T698" s="2643"/>
    </row>
    <row r="699" spans="1:20" ht="17.100000000000001" customHeight="1" x14ac:dyDescent="0.3">
      <c r="A699" s="2589" t="s">
        <v>512</v>
      </c>
      <c r="B699" s="2590"/>
      <c r="C699" s="120"/>
      <c r="D699" s="120"/>
      <c r="E699" s="2645"/>
      <c r="F699" s="2646"/>
      <c r="G699" s="2643"/>
      <c r="H699" s="2644"/>
      <c r="I699" s="2643">
        <v>0</v>
      </c>
      <c r="J699" s="2644"/>
      <c r="K699" s="124"/>
      <c r="L699" s="139" t="s">
        <v>575</v>
      </c>
      <c r="M699" s="139"/>
      <c r="N699" s="139"/>
      <c r="O699" s="2643"/>
      <c r="P699" s="2643"/>
      <c r="Q699" s="2643"/>
      <c r="R699" s="2643"/>
      <c r="S699" s="2643">
        <v>0</v>
      </c>
      <c r="T699" s="2643"/>
    </row>
    <row r="700" spans="1:20" ht="17.100000000000001" customHeight="1" x14ac:dyDescent="0.3">
      <c r="A700" s="137" t="s">
        <v>514</v>
      </c>
      <c r="B700" s="138"/>
      <c r="C700" s="120"/>
      <c r="D700" s="120"/>
      <c r="E700" s="2645"/>
      <c r="F700" s="2646"/>
      <c r="G700" s="2643"/>
      <c r="H700" s="2644"/>
      <c r="I700" s="2643">
        <v>0</v>
      </c>
      <c r="J700" s="2644"/>
      <c r="K700" s="124"/>
      <c r="L700" s="139" t="s">
        <v>515</v>
      </c>
      <c r="M700" s="139"/>
      <c r="N700" s="139"/>
      <c r="O700" s="2643"/>
      <c r="P700" s="2643"/>
      <c r="Q700" s="2643"/>
      <c r="R700" s="2643"/>
      <c r="S700" s="2643">
        <v>0</v>
      </c>
      <c r="T700" s="2643"/>
    </row>
    <row r="701" spans="1:20" ht="17.100000000000001" customHeight="1" x14ac:dyDescent="0.3">
      <c r="A701" s="2589" t="s">
        <v>516</v>
      </c>
      <c r="B701" s="2590"/>
      <c r="C701" s="120"/>
      <c r="D701" s="120"/>
      <c r="E701" s="2645"/>
      <c r="F701" s="2646"/>
      <c r="G701" s="2643"/>
      <c r="H701" s="2644"/>
      <c r="I701" s="2643">
        <v>0</v>
      </c>
      <c r="J701" s="2644"/>
      <c r="K701" s="124"/>
      <c r="L701" s="139" t="s">
        <v>724</v>
      </c>
      <c r="M701" s="140" t="s">
        <v>764</v>
      </c>
      <c r="N701" s="140" t="s">
        <v>497</v>
      </c>
      <c r="O701" s="2643">
        <v>65</v>
      </c>
      <c r="P701" s="2643"/>
      <c r="Q701" s="2717">
        <v>3453.248</v>
      </c>
      <c r="R701" s="2717"/>
      <c r="S701" s="2643">
        <v>224461.12</v>
      </c>
      <c r="T701" s="2643"/>
    </row>
    <row r="702" spans="1:20" ht="17.100000000000001" customHeight="1" x14ac:dyDescent="0.3">
      <c r="A702" s="137" t="s">
        <v>517</v>
      </c>
      <c r="B702" s="138"/>
      <c r="C702" s="120"/>
      <c r="D702" s="120"/>
      <c r="E702" s="2645"/>
      <c r="F702" s="2646"/>
      <c r="G702" s="2643"/>
      <c r="H702" s="2644"/>
      <c r="I702" s="2643">
        <v>0</v>
      </c>
      <c r="J702" s="2644"/>
      <c r="K702" s="124"/>
      <c r="L702" s="139" t="s">
        <v>510</v>
      </c>
      <c r="M702" s="139"/>
      <c r="N702" s="139"/>
      <c r="O702" s="2643"/>
      <c r="P702" s="2643"/>
      <c r="Q702" s="2643"/>
      <c r="R702" s="2643"/>
      <c r="S702" s="2643">
        <v>0</v>
      </c>
      <c r="T702" s="2643"/>
    </row>
    <row r="703" spans="1:20" ht="17.100000000000001" customHeight="1" x14ac:dyDescent="0.4">
      <c r="A703" s="137" t="s">
        <v>519</v>
      </c>
      <c r="B703" s="141"/>
      <c r="C703" s="120" t="s">
        <v>496</v>
      </c>
      <c r="D703" s="140" t="s">
        <v>497</v>
      </c>
      <c r="E703" s="2655">
        <v>5</v>
      </c>
      <c r="F703" s="2655"/>
      <c r="G703" s="2641">
        <v>47000</v>
      </c>
      <c r="H703" s="2642">
        <v>38202.400000000001</v>
      </c>
      <c r="I703" s="2643">
        <v>235000</v>
      </c>
      <c r="J703" s="2644"/>
      <c r="K703" s="124"/>
      <c r="L703" s="139"/>
      <c r="M703" s="139"/>
      <c r="N703" s="139"/>
      <c r="O703" s="2643"/>
      <c r="P703" s="2643"/>
      <c r="Q703" s="2643"/>
      <c r="R703" s="2643"/>
      <c r="S703" s="2643"/>
      <c r="T703" s="2643"/>
    </row>
    <row r="704" spans="1:20" ht="17.100000000000001" customHeight="1" x14ac:dyDescent="0.3">
      <c r="A704" s="137" t="s">
        <v>475</v>
      </c>
      <c r="B704" s="138"/>
      <c r="C704" s="120"/>
      <c r="D704" s="120"/>
      <c r="E704" s="2643"/>
      <c r="F704" s="2643"/>
      <c r="G704" s="2643"/>
      <c r="H704" s="2644"/>
      <c r="I704" s="2643">
        <v>0</v>
      </c>
      <c r="J704" s="2644"/>
      <c r="K704" s="124"/>
      <c r="L704" s="139"/>
      <c r="M704" s="139"/>
      <c r="N704" s="139"/>
      <c r="O704" s="2643"/>
      <c r="P704" s="2643"/>
      <c r="Q704" s="2643"/>
      <c r="R704" s="2643"/>
      <c r="S704" s="2643"/>
      <c r="T704" s="2643"/>
    </row>
    <row r="705" spans="1:22" ht="17.100000000000001" customHeight="1" x14ac:dyDescent="0.3">
      <c r="A705" s="2578" t="s">
        <v>520</v>
      </c>
      <c r="B705" s="2579"/>
      <c r="C705" s="120"/>
      <c r="D705" s="120"/>
      <c r="E705" s="2645"/>
      <c r="F705" s="2646"/>
      <c r="G705" s="2643"/>
      <c r="H705" s="2644"/>
      <c r="I705" s="2643">
        <v>0</v>
      </c>
      <c r="J705" s="2644"/>
      <c r="K705" s="124"/>
      <c r="L705" s="142" t="s">
        <v>521</v>
      </c>
      <c r="M705" s="143"/>
      <c r="N705" s="143"/>
      <c r="O705" s="2591"/>
      <c r="P705" s="2592"/>
      <c r="Q705" s="2591"/>
      <c r="R705" s="2592"/>
      <c r="S705" s="2593">
        <v>2002615.5872000004</v>
      </c>
      <c r="T705" s="2594"/>
    </row>
    <row r="706" spans="1:22" ht="17.100000000000001" customHeight="1" x14ac:dyDescent="0.3">
      <c r="A706" s="137" t="s">
        <v>522</v>
      </c>
      <c r="B706" s="138"/>
      <c r="C706" s="120"/>
      <c r="D706" s="120"/>
      <c r="E706" s="2645"/>
      <c r="F706" s="2646"/>
      <c r="G706" s="2643"/>
      <c r="H706" s="2644"/>
      <c r="I706" s="2643">
        <v>0</v>
      </c>
      <c r="J706" s="2644"/>
      <c r="K706" s="124"/>
      <c r="L706" s="144" t="s">
        <v>577</v>
      </c>
      <c r="M706" s="145"/>
      <c r="N706" s="145"/>
      <c r="O706" s="146"/>
      <c r="P706" s="146"/>
      <c r="Q706" s="146"/>
      <c r="R706" s="146"/>
      <c r="S706" s="146"/>
      <c r="T706" s="147"/>
    </row>
    <row r="707" spans="1:22" ht="17.100000000000001" customHeight="1" x14ac:dyDescent="0.4">
      <c r="A707" s="2578" t="s">
        <v>524</v>
      </c>
      <c r="B707" s="2579"/>
      <c r="C707" s="120" t="s">
        <v>496</v>
      </c>
      <c r="D707" s="120" t="s">
        <v>497</v>
      </c>
      <c r="E707" s="2645">
        <v>1</v>
      </c>
      <c r="F707" s="2646"/>
      <c r="G707" s="2641">
        <v>47000</v>
      </c>
      <c r="H707" s="2642">
        <v>38202.400000000001</v>
      </c>
      <c r="I707" s="2643">
        <v>47000</v>
      </c>
      <c r="J707" s="2644"/>
      <c r="K707" s="124"/>
      <c r="L707" s="148" t="s">
        <v>525</v>
      </c>
      <c r="M707" s="149">
        <v>0.05</v>
      </c>
      <c r="N707" s="45"/>
      <c r="O707" s="26"/>
      <c r="P707" s="26"/>
      <c r="Q707" s="26"/>
      <c r="R707" s="26"/>
      <c r="S707" s="2575">
        <v>191745.6926716551</v>
      </c>
      <c r="T707" s="2560"/>
    </row>
    <row r="708" spans="1:22" ht="17.100000000000001" customHeight="1" x14ac:dyDescent="0.3">
      <c r="A708" s="137" t="s">
        <v>526</v>
      </c>
      <c r="B708" s="138"/>
      <c r="C708" s="120"/>
      <c r="D708" s="120"/>
      <c r="E708" s="2645"/>
      <c r="F708" s="2646"/>
      <c r="G708" s="2643"/>
      <c r="H708" s="2644"/>
      <c r="I708" s="2643">
        <v>0</v>
      </c>
      <c r="J708" s="2644"/>
      <c r="K708" s="124"/>
      <c r="L708" s="151" t="s">
        <v>527</v>
      </c>
      <c r="M708" s="45"/>
      <c r="N708" s="45"/>
      <c r="O708" s="26"/>
      <c r="P708" s="26"/>
      <c r="Q708" s="26"/>
      <c r="R708" s="26"/>
      <c r="S708" s="2575">
        <v>81960</v>
      </c>
      <c r="T708" s="2560"/>
    </row>
    <row r="709" spans="1:22" ht="17.100000000000001" customHeight="1" x14ac:dyDescent="0.4">
      <c r="A709" s="133" t="s">
        <v>578</v>
      </c>
      <c r="B709" s="136"/>
      <c r="C709" s="140" t="s">
        <v>496</v>
      </c>
      <c r="D709" s="120" t="s">
        <v>497</v>
      </c>
      <c r="E709" s="2655">
        <v>1</v>
      </c>
      <c r="F709" s="2655"/>
      <c r="G709" s="2641">
        <v>47000</v>
      </c>
      <c r="H709" s="2642">
        <v>38202.400000000001</v>
      </c>
      <c r="I709" s="2643">
        <v>47000</v>
      </c>
      <c r="J709" s="2644"/>
      <c r="K709" s="124"/>
      <c r="L709" s="152" t="s">
        <v>529</v>
      </c>
      <c r="M709" s="45"/>
      <c r="N709" s="45"/>
      <c r="O709" s="26"/>
      <c r="P709" s="26"/>
      <c r="Q709" s="26"/>
      <c r="R709" s="26"/>
      <c r="S709" s="2575">
        <v>655680</v>
      </c>
      <c r="T709" s="2560"/>
    </row>
    <row r="710" spans="1:22" ht="17.100000000000001" customHeight="1" x14ac:dyDescent="0.3">
      <c r="A710" s="153" t="s">
        <v>579</v>
      </c>
      <c r="B710" s="154"/>
      <c r="C710" s="120"/>
      <c r="D710" s="120"/>
      <c r="E710" s="2643"/>
      <c r="F710" s="2643"/>
      <c r="G710" s="2643"/>
      <c r="H710" s="2644"/>
      <c r="I710" s="2643">
        <v>0</v>
      </c>
      <c r="J710" s="2644"/>
      <c r="K710" s="124"/>
      <c r="L710" s="152" t="s">
        <v>531</v>
      </c>
      <c r="M710" s="45"/>
      <c r="N710" s="45"/>
      <c r="O710" s="26"/>
      <c r="P710" s="26"/>
      <c r="Q710" s="26"/>
      <c r="R710" s="26"/>
      <c r="S710" s="2575">
        <v>191745.6926716551</v>
      </c>
      <c r="T710" s="2560"/>
    </row>
    <row r="711" spans="1:22" ht="17.100000000000001" customHeight="1" x14ac:dyDescent="0.3">
      <c r="A711" s="137" t="s">
        <v>532</v>
      </c>
      <c r="B711" s="138"/>
      <c r="C711" s="120"/>
      <c r="D711" s="120"/>
      <c r="E711" s="2645"/>
      <c r="F711" s="2646"/>
      <c r="G711" s="2643"/>
      <c r="H711" s="2644"/>
      <c r="I711" s="2643">
        <v>0</v>
      </c>
      <c r="J711" s="2644"/>
      <c r="K711" s="124"/>
      <c r="L711" s="166" t="s">
        <v>504</v>
      </c>
      <c r="M711" s="155"/>
      <c r="N711" s="155"/>
      <c r="O711" s="167"/>
      <c r="P711" s="167"/>
      <c r="Q711" s="167"/>
      <c r="R711" s="167"/>
      <c r="S711" s="2557">
        <v>71032</v>
      </c>
      <c r="T711" s="2558"/>
    </row>
    <row r="712" spans="1:22" ht="17.100000000000001" customHeight="1" x14ac:dyDescent="0.4">
      <c r="A712" s="2578" t="s">
        <v>727</v>
      </c>
      <c r="B712" s="2579"/>
      <c r="C712" s="120" t="s">
        <v>496</v>
      </c>
      <c r="D712" s="120" t="s">
        <v>497</v>
      </c>
      <c r="E712" s="2645">
        <v>1.5</v>
      </c>
      <c r="F712" s="2646"/>
      <c r="G712" s="2641">
        <v>47000</v>
      </c>
      <c r="H712" s="2642">
        <v>38202.400000000001</v>
      </c>
      <c r="I712" s="2643">
        <v>70500</v>
      </c>
      <c r="J712" s="2644"/>
      <c r="K712" s="124"/>
      <c r="L712" s="156" t="s">
        <v>533</v>
      </c>
      <c r="M712" s="157"/>
      <c r="N712" s="157"/>
      <c r="O712" s="158"/>
      <c r="P712" s="158"/>
      <c r="Q712" s="158"/>
      <c r="R712" s="158"/>
      <c r="S712" s="2587">
        <v>1192163.3853433102</v>
      </c>
      <c r="T712" s="2588"/>
    </row>
    <row r="713" spans="1:22" ht="17.100000000000001" customHeight="1" x14ac:dyDescent="0.3">
      <c r="A713" s="2578" t="s">
        <v>534</v>
      </c>
      <c r="B713" s="2579"/>
      <c r="C713" s="120"/>
      <c r="D713" s="120"/>
      <c r="E713" s="2643"/>
      <c r="F713" s="2643"/>
      <c r="G713" s="2643"/>
      <c r="H713" s="2644"/>
      <c r="I713" s="2643">
        <v>0</v>
      </c>
      <c r="J713" s="2644"/>
      <c r="K713" s="124"/>
      <c r="L713" s="159"/>
      <c r="M713" s="45"/>
      <c r="N713" s="45"/>
      <c r="O713" s="26"/>
      <c r="P713" s="26"/>
      <c r="Q713" s="26"/>
      <c r="R713" s="26"/>
      <c r="S713" s="26"/>
      <c r="T713" s="150"/>
    </row>
    <row r="714" spans="1:22" ht="17.100000000000001" customHeight="1" thickBot="1" x14ac:dyDescent="0.35">
      <c r="A714" s="2578" t="s">
        <v>535</v>
      </c>
      <c r="B714" s="2579"/>
      <c r="C714" s="120"/>
      <c r="D714" s="120"/>
      <c r="E714" s="2645"/>
      <c r="F714" s="2646"/>
      <c r="G714" s="2643"/>
      <c r="H714" s="2644"/>
      <c r="I714" s="2643">
        <v>0</v>
      </c>
      <c r="J714" s="2644"/>
      <c r="K714" s="124"/>
      <c r="L714" s="160" t="s">
        <v>583</v>
      </c>
      <c r="M714" s="161"/>
      <c r="N714" s="161"/>
      <c r="O714" s="161"/>
      <c r="P714" s="161"/>
      <c r="Q714" s="161"/>
      <c r="R714" s="161"/>
      <c r="S714" s="2580">
        <v>5027077.2387764119</v>
      </c>
      <c r="T714" s="2581"/>
      <c r="V714" s="1047">
        <f>'TOTAL TRANSITORIOS'!W31</f>
        <v>5027077.2387764119</v>
      </c>
    </row>
    <row r="715" spans="1:22" ht="17.100000000000001" customHeight="1" thickBot="1" x14ac:dyDescent="0.35">
      <c r="A715" s="133" t="s">
        <v>537</v>
      </c>
      <c r="B715" s="136"/>
      <c r="C715" s="140"/>
      <c r="D715" s="140"/>
      <c r="E715" s="2643"/>
      <c r="F715" s="2644"/>
      <c r="G715" s="2643"/>
      <c r="H715" s="2644"/>
      <c r="I715" s="2643">
        <v>0</v>
      </c>
      <c r="J715" s="2644"/>
      <c r="K715" s="124"/>
      <c r="L715" s="45"/>
      <c r="M715" s="45"/>
      <c r="N715" s="45"/>
      <c r="O715" s="45"/>
      <c r="P715" s="45"/>
      <c r="Q715" s="45"/>
      <c r="R715" s="45"/>
      <c r="S715" s="45"/>
      <c r="T715" s="45"/>
    </row>
    <row r="716" spans="1:22" ht="17.100000000000001" customHeight="1" x14ac:dyDescent="0.3">
      <c r="A716" s="133" t="s">
        <v>538</v>
      </c>
      <c r="B716" s="136"/>
      <c r="C716" s="140"/>
      <c r="D716" s="140"/>
      <c r="E716" s="2643"/>
      <c r="F716" s="2644"/>
      <c r="G716" s="2643"/>
      <c r="H716" s="2644"/>
      <c r="I716" s="2643">
        <v>0</v>
      </c>
      <c r="J716" s="2644"/>
      <c r="K716" s="124"/>
      <c r="L716" s="45"/>
      <c r="M716" s="2582" t="s">
        <v>539</v>
      </c>
      <c r="N716" s="2583"/>
      <c r="O716" s="2583"/>
      <c r="P716" s="2583"/>
      <c r="Q716" s="2584"/>
      <c r="R716" s="45"/>
      <c r="S716" s="45"/>
      <c r="T716" s="45"/>
    </row>
    <row r="717" spans="1:22" ht="17.100000000000001" customHeight="1" x14ac:dyDescent="0.3">
      <c r="A717" s="133" t="s">
        <v>540</v>
      </c>
      <c r="B717" s="136"/>
      <c r="C717" s="140"/>
      <c r="D717" s="140"/>
      <c r="E717" s="2643"/>
      <c r="F717" s="2644"/>
      <c r="G717" s="2643"/>
      <c r="H717" s="2644"/>
      <c r="I717" s="2643">
        <v>0</v>
      </c>
      <c r="J717" s="2644"/>
      <c r="K717" s="124"/>
      <c r="L717" s="45"/>
      <c r="M717" s="101" t="s">
        <v>541</v>
      </c>
      <c r="N717" s="102"/>
      <c r="O717" s="102"/>
      <c r="P717" s="102"/>
      <c r="Q717" s="103">
        <v>4.5287958115183242</v>
      </c>
      <c r="R717" s="45"/>
      <c r="S717" s="45"/>
      <c r="T717" s="45"/>
      <c r="U717" s="37" t="s">
        <v>542</v>
      </c>
    </row>
    <row r="718" spans="1:22" ht="17.100000000000001" customHeight="1" x14ac:dyDescent="0.3">
      <c r="A718" s="133" t="s">
        <v>543</v>
      </c>
      <c r="B718" s="136"/>
      <c r="C718" s="140"/>
      <c r="D718" s="140"/>
      <c r="E718" s="2643"/>
      <c r="F718" s="2644"/>
      <c r="G718" s="2643"/>
      <c r="H718" s="2644"/>
      <c r="I718" s="2643">
        <v>0</v>
      </c>
      <c r="J718" s="2644"/>
      <c r="K718" s="124"/>
      <c r="L718" s="45"/>
      <c r="M718" s="104" t="s">
        <v>544</v>
      </c>
      <c r="N718" s="102"/>
      <c r="O718" s="102"/>
      <c r="P718" s="105"/>
      <c r="Q718" s="106">
        <v>5027077.2387764119</v>
      </c>
      <c r="R718" s="45"/>
      <c r="S718" s="45"/>
      <c r="T718" s="45"/>
      <c r="U718" s="37"/>
    </row>
    <row r="719" spans="1:22" ht="17.100000000000001" customHeight="1" x14ac:dyDescent="0.35">
      <c r="A719" s="135" t="s">
        <v>545</v>
      </c>
      <c r="B719" s="136"/>
      <c r="C719" s="140"/>
      <c r="D719" s="140"/>
      <c r="E719" s="2643"/>
      <c r="F719" s="2644"/>
      <c r="G719" s="2643"/>
      <c r="H719" s="2644"/>
      <c r="I719" s="2715">
        <v>766858.60663310112</v>
      </c>
      <c r="J719" s="2716"/>
      <c r="K719" s="121"/>
      <c r="L719" s="45"/>
      <c r="M719" s="101" t="s">
        <v>546</v>
      </c>
      <c r="N719" s="102"/>
      <c r="O719" s="102"/>
      <c r="P719" s="102"/>
      <c r="Q719" s="106">
        <v>1255000</v>
      </c>
      <c r="R719" s="47"/>
      <c r="S719" s="45"/>
      <c r="T719" s="45"/>
      <c r="U719" s="37" t="s">
        <v>542</v>
      </c>
    </row>
    <row r="720" spans="1:22" ht="17.100000000000001" customHeight="1" x14ac:dyDescent="0.3">
      <c r="A720" s="133" t="s">
        <v>547</v>
      </c>
      <c r="B720" s="136"/>
      <c r="C720" s="140" t="s">
        <v>466</v>
      </c>
      <c r="D720" s="140" t="s">
        <v>493</v>
      </c>
      <c r="E720" s="2643">
        <v>1</v>
      </c>
      <c r="F720" s="2644"/>
      <c r="G720" s="2643">
        <v>201771.31359999999</v>
      </c>
      <c r="H720" s="2644">
        <v>164121.92000000001</v>
      </c>
      <c r="I720" s="2643">
        <v>201771.31359999999</v>
      </c>
      <c r="J720" s="2644"/>
      <c r="K720" s="124"/>
      <c r="L720" s="45"/>
      <c r="M720" s="101" t="s">
        <v>758</v>
      </c>
      <c r="N720" s="102"/>
      <c r="O720" s="102"/>
      <c r="P720" s="102"/>
      <c r="Q720" s="106">
        <v>5683638.7434554966</v>
      </c>
      <c r="R720" s="44"/>
      <c r="S720" s="45"/>
      <c r="T720" s="45"/>
    </row>
    <row r="721" spans="1:22" ht="17.100000000000001" customHeight="1" thickBot="1" x14ac:dyDescent="0.35">
      <c r="A721" s="133" t="s">
        <v>728</v>
      </c>
      <c r="B721" s="136"/>
      <c r="C721" s="140"/>
      <c r="D721" s="140"/>
      <c r="E721" s="2643"/>
      <c r="F721" s="2644"/>
      <c r="G721" s="2643"/>
      <c r="H721" s="2644"/>
      <c r="I721" s="2643">
        <v>0</v>
      </c>
      <c r="J721" s="2644"/>
      <c r="K721" s="124"/>
      <c r="L721" s="45"/>
      <c r="M721" s="108" t="s">
        <v>549</v>
      </c>
      <c r="N721" s="109"/>
      <c r="O721" s="109"/>
      <c r="P721" s="109"/>
      <c r="Q721" s="110">
        <v>656561.50467908476</v>
      </c>
      <c r="R721" s="45"/>
      <c r="S721" s="45"/>
      <c r="T721" s="45"/>
    </row>
    <row r="722" spans="1:22" ht="17.100000000000001" customHeight="1" thickBot="1" x14ac:dyDescent="0.35">
      <c r="A722" s="133" t="s">
        <v>550</v>
      </c>
      <c r="B722" s="136"/>
      <c r="C722" s="140" t="s">
        <v>460</v>
      </c>
      <c r="D722" s="140" t="s">
        <v>460</v>
      </c>
      <c r="E722" s="2643">
        <v>74.856129116005363</v>
      </c>
      <c r="F722" s="2644"/>
      <c r="G722" s="2643">
        <v>1173.6672000000001</v>
      </c>
      <c r="H722" s="2644">
        <v>955.06</v>
      </c>
      <c r="I722" s="2643">
        <v>87856.183462420493</v>
      </c>
      <c r="J722" s="2644"/>
      <c r="K722" s="124"/>
      <c r="L722" s="45"/>
      <c r="M722" s="1048" t="s">
        <v>759</v>
      </c>
      <c r="N722" s="1049"/>
      <c r="O722" s="1049"/>
      <c r="P722" s="1049"/>
      <c r="Q722" s="1050">
        <v>13.060501629350169</v>
      </c>
      <c r="R722" s="45"/>
      <c r="S722" s="45"/>
      <c r="T722" s="45"/>
    </row>
    <row r="723" spans="1:22" ht="17.100000000000001" customHeight="1" x14ac:dyDescent="0.3">
      <c r="A723" s="133" t="s">
        <v>729</v>
      </c>
      <c r="B723" s="136"/>
      <c r="C723" s="140" t="s">
        <v>763</v>
      </c>
      <c r="D723" s="140" t="s">
        <v>556</v>
      </c>
      <c r="E723" s="2647">
        <v>4.5287958115183242</v>
      </c>
      <c r="F723" s="2648"/>
      <c r="G723" s="2643">
        <v>66768.987200000003</v>
      </c>
      <c r="H723" s="2644">
        <v>54310.16</v>
      </c>
      <c r="I723" s="2643">
        <v>302383.10957068059</v>
      </c>
      <c r="J723" s="2644"/>
      <c r="K723" s="124"/>
      <c r="L723" s="7" t="s">
        <v>1528</v>
      </c>
      <c r="M723" s="8"/>
      <c r="N723" s="8"/>
      <c r="O723" s="8"/>
      <c r="P723" s="4"/>
      <c r="Q723" s="5"/>
      <c r="R723" s="1979"/>
      <c r="S723" s="44"/>
      <c r="T723" s="45"/>
    </row>
    <row r="724" spans="1:22" ht="17.100000000000001" customHeight="1" x14ac:dyDescent="0.3">
      <c r="A724" s="133" t="s">
        <v>765</v>
      </c>
      <c r="B724" s="136"/>
      <c r="C724" s="140" t="s">
        <v>763</v>
      </c>
      <c r="D724" s="140" t="s">
        <v>1243</v>
      </c>
      <c r="E724" s="2643"/>
      <c r="F724" s="2644"/>
      <c r="G724" s="2643"/>
      <c r="H724" s="2644"/>
      <c r="I724" s="2643">
        <v>174848</v>
      </c>
      <c r="J724" s="2644"/>
      <c r="K724" s="124"/>
      <c r="L724" s="597" t="s">
        <v>1583</v>
      </c>
      <c r="M724" s="45"/>
      <c r="N724" s="45"/>
      <c r="O724" s="45"/>
      <c r="P724" s="45"/>
      <c r="Q724" s="45"/>
      <c r="R724" s="45"/>
      <c r="S724" s="45"/>
      <c r="T724" s="45"/>
    </row>
    <row r="725" spans="1:22" ht="17.100000000000001" customHeight="1" thickBot="1" x14ac:dyDescent="0.25">
      <c r="A725" s="162" t="s">
        <v>558</v>
      </c>
      <c r="B725" s="163"/>
      <c r="C725" s="164"/>
      <c r="D725" s="165"/>
      <c r="E725" s="2720">
        <v>10.5</v>
      </c>
      <c r="F725" s="2721"/>
      <c r="G725" s="2563"/>
      <c r="H725" s="2564"/>
      <c r="I725" s="2561">
        <v>1832298.266233101</v>
      </c>
      <c r="J725" s="2562"/>
      <c r="K725" s="26"/>
      <c r="L725" s="45"/>
      <c r="M725" s="45"/>
      <c r="N725" s="45"/>
      <c r="O725" s="45"/>
      <c r="P725" s="45"/>
      <c r="Q725" s="45"/>
      <c r="R725" s="44"/>
      <c r="S725" s="45"/>
      <c r="T725" s="45"/>
    </row>
    <row r="726" spans="1:22" ht="14.1" customHeight="1" x14ac:dyDescent="0.2">
      <c r="A726" s="40"/>
      <c r="B726" s="40"/>
      <c r="C726" s="41"/>
      <c r="D726" s="41"/>
      <c r="E726" s="41"/>
      <c r="F726" s="41"/>
      <c r="G726" s="42"/>
      <c r="H726" s="42"/>
      <c r="I726" s="44"/>
      <c r="J726" s="45"/>
      <c r="K726" s="45"/>
      <c r="L726" s="40"/>
      <c r="M726" s="40"/>
      <c r="N726" s="41"/>
      <c r="O726" s="41"/>
      <c r="P726" s="41"/>
      <c r="Q726" s="41"/>
      <c r="R726" s="45"/>
      <c r="S726" s="45"/>
      <c r="T726" s="45"/>
    </row>
    <row r="727" spans="1:22" ht="14.1" customHeight="1" x14ac:dyDescent="0.2">
      <c r="A727" s="2654"/>
      <c r="B727" s="2654"/>
      <c r="C727" s="2654"/>
      <c r="D727" s="2654"/>
      <c r="E727" s="2654"/>
      <c r="F727" s="2654"/>
      <c r="G727" s="2654"/>
      <c r="H727" s="2654"/>
      <c r="I727" s="2654"/>
      <c r="J727" s="2654"/>
      <c r="K727" s="2654"/>
      <c r="L727" s="2654"/>
      <c r="M727" s="2654"/>
      <c r="N727" s="2654"/>
      <c r="O727" s="2654"/>
      <c r="P727" s="2654"/>
      <c r="Q727" s="2654"/>
      <c r="R727" s="2654"/>
      <c r="S727" s="2654"/>
      <c r="T727" s="2654"/>
    </row>
    <row r="728" spans="1:22" ht="14.1" customHeight="1" x14ac:dyDescent="0.2">
      <c r="A728" s="2654"/>
      <c r="B728" s="2654"/>
      <c r="C728" s="2654"/>
      <c r="D728" s="2654"/>
      <c r="E728" s="2654"/>
      <c r="F728" s="2654"/>
      <c r="G728" s="2654"/>
      <c r="H728" s="2654"/>
      <c r="I728" s="2654"/>
      <c r="J728" s="2654"/>
      <c r="K728" s="2654"/>
      <c r="L728" s="2654"/>
      <c r="M728" s="2654"/>
      <c r="N728" s="2654"/>
      <c r="O728" s="2654"/>
      <c r="P728" s="2654"/>
      <c r="Q728" s="2654"/>
      <c r="R728" s="2654"/>
      <c r="S728" s="2654"/>
      <c r="T728" s="2654"/>
    </row>
    <row r="729" spans="1:22" ht="13.9" customHeight="1" x14ac:dyDescent="0.2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</row>
    <row r="730" spans="1:22" ht="13.9" customHeight="1" x14ac:dyDescent="0.2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</row>
    <row r="731" spans="1:22" ht="14.1" customHeight="1" x14ac:dyDescent="0.2">
      <c r="A731" s="40"/>
      <c r="B731" s="40"/>
      <c r="C731" s="41"/>
      <c r="D731" s="41"/>
      <c r="E731" s="41"/>
      <c r="F731" s="41"/>
      <c r="G731" s="42"/>
      <c r="H731" s="42"/>
      <c r="I731" s="44"/>
      <c r="J731" s="45"/>
      <c r="K731" s="45"/>
      <c r="L731" s="40"/>
      <c r="M731" s="40"/>
      <c r="N731" s="41"/>
      <c r="O731" s="41"/>
      <c r="P731" s="41"/>
      <c r="Q731" s="41"/>
      <c r="R731" s="45"/>
      <c r="S731" s="45"/>
      <c r="T731" s="45"/>
    </row>
    <row r="732" spans="1:22" ht="18" customHeight="1" x14ac:dyDescent="0.2">
      <c r="A732" s="2611" t="s">
        <v>1914</v>
      </c>
      <c r="B732" s="2611"/>
      <c r="C732" s="2611"/>
      <c r="D732" s="2611"/>
      <c r="E732" s="2611"/>
      <c r="F732" s="2611"/>
      <c r="G732" s="2611"/>
      <c r="H732" s="2611"/>
      <c r="I732" s="2611"/>
      <c r="J732" s="2611"/>
      <c r="K732" s="2611"/>
      <c r="L732" s="2611"/>
      <c r="M732" s="2611"/>
      <c r="N732" s="2611"/>
      <c r="O732" s="2611"/>
      <c r="P732" s="2611"/>
      <c r="Q732" s="2611"/>
      <c r="R732" s="2611"/>
      <c r="S732" s="2611"/>
      <c r="T732" s="2611"/>
    </row>
    <row r="733" spans="1:22" ht="14.1" customHeight="1" x14ac:dyDescent="0.2">
      <c r="A733" s="40"/>
      <c r="B733" s="40"/>
      <c r="C733" s="115"/>
      <c r="D733" s="41"/>
      <c r="E733" s="41"/>
      <c r="F733" s="41"/>
      <c r="G733" s="42"/>
      <c r="H733" s="42"/>
      <c r="I733" s="44"/>
      <c r="J733" s="45"/>
      <c r="K733" s="45"/>
      <c r="L733" s="40"/>
      <c r="M733" s="40"/>
      <c r="N733" s="115"/>
      <c r="O733" s="45"/>
      <c r="P733" s="45"/>
      <c r="Q733" s="45"/>
      <c r="R733" s="45"/>
      <c r="S733" s="45"/>
      <c r="T733" s="45"/>
    </row>
    <row r="734" spans="1:22" ht="14.1" customHeight="1" thickBot="1" x14ac:dyDescent="0.25">
      <c r="A734" s="40"/>
      <c r="B734" s="40"/>
      <c r="C734" s="41"/>
      <c r="D734" s="41"/>
      <c r="E734" s="41"/>
      <c r="F734" s="41"/>
      <c r="G734" s="42"/>
      <c r="H734" s="42"/>
      <c r="I734" s="44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</row>
    <row r="735" spans="1:22" ht="17.100000000000001" customHeight="1" x14ac:dyDescent="0.3">
      <c r="A735" s="2612" t="s">
        <v>435</v>
      </c>
      <c r="B735" s="2613"/>
      <c r="C735" s="2618" t="s">
        <v>436</v>
      </c>
      <c r="D735" s="2619"/>
      <c r="E735" s="2619"/>
      <c r="F735" s="2620"/>
      <c r="G735" s="2624" t="s">
        <v>437</v>
      </c>
      <c r="H735" s="2625"/>
      <c r="I735" s="2618" t="s">
        <v>439</v>
      </c>
      <c r="J735" s="2620"/>
      <c r="K735" s="49"/>
      <c r="L735" s="2626" t="s">
        <v>435</v>
      </c>
      <c r="M735" s="2619" t="s">
        <v>436</v>
      </c>
      <c r="N735" s="2619"/>
      <c r="O735" s="2619"/>
      <c r="P735" s="2620"/>
      <c r="Q735" s="2624" t="s">
        <v>437</v>
      </c>
      <c r="R735" s="2625"/>
      <c r="S735" s="2618" t="s">
        <v>439</v>
      </c>
      <c r="T735" s="2649"/>
    </row>
    <row r="736" spans="1:22" ht="17.100000000000001" customHeight="1" thickBot="1" x14ac:dyDescent="0.35">
      <c r="A736" s="2614"/>
      <c r="B736" s="2615"/>
      <c r="C736" s="2621"/>
      <c r="D736" s="2622"/>
      <c r="E736" s="2622"/>
      <c r="F736" s="2623"/>
      <c r="G736" s="2629" t="s">
        <v>440</v>
      </c>
      <c r="H736" s="2630"/>
      <c r="I736" s="2631"/>
      <c r="J736" s="2632"/>
      <c r="K736" s="49"/>
      <c r="L736" s="2627"/>
      <c r="M736" s="2622"/>
      <c r="N736" s="2622"/>
      <c r="O736" s="2622"/>
      <c r="P736" s="2623"/>
      <c r="Q736" s="2629" t="s">
        <v>440</v>
      </c>
      <c r="R736" s="2630"/>
      <c r="S736" s="2631"/>
      <c r="T736" s="2650"/>
      <c r="V736" s="2083" t="s">
        <v>1639</v>
      </c>
    </row>
    <row r="737" spans="1:20" ht="17.100000000000001" customHeight="1" x14ac:dyDescent="0.3">
      <c r="A737" s="2614"/>
      <c r="B737" s="2615"/>
      <c r="C737" s="53" t="s">
        <v>441</v>
      </c>
      <c r="D737" s="2670" t="s">
        <v>442</v>
      </c>
      <c r="E737" s="2631" t="s">
        <v>443</v>
      </c>
      <c r="F737" s="2632"/>
      <c r="G737" s="2629" t="s">
        <v>444</v>
      </c>
      <c r="H737" s="2630"/>
      <c r="I737" s="2631" t="s">
        <v>348</v>
      </c>
      <c r="J737" s="2632"/>
      <c r="K737" s="49"/>
      <c r="L737" s="2627"/>
      <c r="M737" s="51" t="s">
        <v>441</v>
      </c>
      <c r="N737" s="2670" t="s">
        <v>442</v>
      </c>
      <c r="O737" s="2631" t="s">
        <v>443</v>
      </c>
      <c r="P737" s="2632"/>
      <c r="Q737" s="2629" t="s">
        <v>444</v>
      </c>
      <c r="R737" s="2630"/>
      <c r="S737" s="2631" t="s">
        <v>348</v>
      </c>
      <c r="T737" s="2650"/>
    </row>
    <row r="738" spans="1:20" ht="17.100000000000001" customHeight="1" thickBot="1" x14ac:dyDescent="0.35">
      <c r="A738" s="2616"/>
      <c r="B738" s="2617"/>
      <c r="C738" s="54" t="s">
        <v>445</v>
      </c>
      <c r="D738" s="2634"/>
      <c r="E738" s="2621"/>
      <c r="F738" s="2623"/>
      <c r="G738" s="2561"/>
      <c r="H738" s="2562"/>
      <c r="I738" s="2635"/>
      <c r="J738" s="2636"/>
      <c r="K738" s="49"/>
      <c r="L738" s="2628"/>
      <c r="M738" s="50" t="s">
        <v>445</v>
      </c>
      <c r="N738" s="2634"/>
      <c r="O738" s="2621"/>
      <c r="P738" s="2623"/>
      <c r="Q738" s="2561"/>
      <c r="R738" s="2562"/>
      <c r="S738" s="2652"/>
      <c r="T738" s="2653"/>
    </row>
    <row r="739" spans="1:20" ht="17.100000000000001" customHeight="1" x14ac:dyDescent="0.2">
      <c r="A739" s="2727" t="s">
        <v>446</v>
      </c>
      <c r="B739" s="2728"/>
      <c r="C739" s="1394"/>
      <c r="D739" s="1394"/>
      <c r="E739" s="2729"/>
      <c r="F739" s="2730"/>
      <c r="G739" s="2731"/>
      <c r="H739" s="2732"/>
      <c r="I739" s="2733"/>
      <c r="J739" s="2734"/>
      <c r="K739" s="513"/>
      <c r="L739" s="1395" t="s">
        <v>447</v>
      </c>
      <c r="M739" s="1394"/>
      <c r="N739" s="1394"/>
      <c r="O739" s="2731"/>
      <c r="P739" s="2731"/>
      <c r="Q739" s="2731"/>
      <c r="R739" s="2731"/>
      <c r="S739" s="2731"/>
      <c r="T739" s="2731"/>
    </row>
    <row r="740" spans="1:20" ht="17.100000000000001" customHeight="1" x14ac:dyDescent="0.25">
      <c r="A740" s="2735" t="s">
        <v>448</v>
      </c>
      <c r="B740" s="2736"/>
      <c r="C740" s="1396"/>
      <c r="D740" s="1396"/>
      <c r="E740" s="2737"/>
      <c r="F740" s="2738"/>
      <c r="G740" s="2739"/>
      <c r="H740" s="2740"/>
      <c r="I740" s="2741">
        <v>540500</v>
      </c>
      <c r="J740" s="2742"/>
      <c r="K740" s="1397"/>
      <c r="L740" s="1398"/>
      <c r="M740" s="1396"/>
      <c r="N740" s="1396"/>
      <c r="O740" s="2739"/>
      <c r="P740" s="2739"/>
      <c r="Q740" s="2739"/>
      <c r="R740" s="2739"/>
      <c r="S740" s="2739"/>
      <c r="T740" s="2739"/>
    </row>
    <row r="741" spans="1:20" ht="18.75" customHeight="1" x14ac:dyDescent="0.4">
      <c r="A741" s="2743" t="s">
        <v>449</v>
      </c>
      <c r="B741" s="2744"/>
      <c r="C741" s="1396" t="s">
        <v>496</v>
      </c>
      <c r="D741" s="1396" t="s">
        <v>497</v>
      </c>
      <c r="E741" s="2737">
        <v>3</v>
      </c>
      <c r="F741" s="2738"/>
      <c r="G741" s="2641">
        <v>47000</v>
      </c>
      <c r="H741" s="2642">
        <v>38202.400000000001</v>
      </c>
      <c r="I741" s="2739">
        <v>141000</v>
      </c>
      <c r="J741" s="2740"/>
      <c r="K741" s="1401"/>
      <c r="L741" s="1402" t="s">
        <v>766</v>
      </c>
      <c r="M741" s="1396"/>
      <c r="N741" s="1396"/>
      <c r="O741" s="2739"/>
      <c r="P741" s="2739"/>
      <c r="Q741" s="2754">
        <v>644284.28159999999</v>
      </c>
      <c r="R741" s="2754"/>
      <c r="S741" s="2741">
        <v>644284.28159999999</v>
      </c>
      <c r="T741" s="2741"/>
    </row>
    <row r="742" spans="1:20" ht="17.100000000000001" customHeight="1" x14ac:dyDescent="0.4">
      <c r="A742" s="2743" t="s">
        <v>1246</v>
      </c>
      <c r="B742" s="2744"/>
      <c r="C742" s="1396" t="s">
        <v>496</v>
      </c>
      <c r="D742" s="1396" t="s">
        <v>497</v>
      </c>
      <c r="E742" s="2737">
        <v>8.5</v>
      </c>
      <c r="F742" s="2738"/>
      <c r="G742" s="2641">
        <v>47000</v>
      </c>
      <c r="H742" s="2642">
        <v>38202.400000000001</v>
      </c>
      <c r="I742" s="2739">
        <v>399500</v>
      </c>
      <c r="J742" s="2740"/>
      <c r="K742" s="1401"/>
      <c r="L742" s="1402" t="s">
        <v>768</v>
      </c>
      <c r="M742" s="1396"/>
      <c r="N742" s="1396"/>
      <c r="O742" s="2739"/>
      <c r="P742" s="2739"/>
      <c r="Q742" s="2739"/>
      <c r="R742" s="2739"/>
      <c r="S742" s="2741">
        <v>3575449.2671999997</v>
      </c>
      <c r="T742" s="2741"/>
    </row>
    <row r="743" spans="1:20" ht="17.100000000000001" customHeight="1" x14ac:dyDescent="0.2">
      <c r="A743" s="2743" t="s">
        <v>769</v>
      </c>
      <c r="B743" s="2744"/>
      <c r="C743" s="1396"/>
      <c r="D743" s="1396"/>
      <c r="E743" s="2737"/>
      <c r="F743" s="2737"/>
      <c r="G743" s="2739"/>
      <c r="H743" s="2740"/>
      <c r="I743" s="2739">
        <v>0</v>
      </c>
      <c r="J743" s="2740"/>
      <c r="K743" s="1401"/>
      <c r="L743" s="1398" t="s">
        <v>589</v>
      </c>
      <c r="M743" s="1396" t="s">
        <v>770</v>
      </c>
      <c r="N743" s="1396" t="s">
        <v>771</v>
      </c>
      <c r="O743" s="2739">
        <v>14</v>
      </c>
      <c r="P743" s="2739"/>
      <c r="Q743" s="2739">
        <v>201263.16159999999</v>
      </c>
      <c r="R743" s="2739"/>
      <c r="S743" s="2739">
        <v>2817684.2623999999</v>
      </c>
      <c r="T743" s="2739"/>
    </row>
    <row r="744" spans="1:20" ht="17.100000000000001" customHeight="1" x14ac:dyDescent="0.2">
      <c r="A744" s="2748" t="s">
        <v>560</v>
      </c>
      <c r="B744" s="2749"/>
      <c r="C744" s="1396"/>
      <c r="D744" s="1396"/>
      <c r="E744" s="2737"/>
      <c r="F744" s="2737"/>
      <c r="G744" s="2739"/>
      <c r="H744" s="2739"/>
      <c r="I744" s="2741">
        <v>4526739</v>
      </c>
      <c r="J744" s="2741"/>
      <c r="K744" s="1403"/>
      <c r="L744" s="1398" t="s">
        <v>458</v>
      </c>
      <c r="M744" s="1396" t="s">
        <v>772</v>
      </c>
      <c r="N744" s="1396" t="s">
        <v>771</v>
      </c>
      <c r="O744" s="2739">
        <v>2</v>
      </c>
      <c r="P744" s="2739"/>
      <c r="Q744" s="2739">
        <v>163821.64799999999</v>
      </c>
      <c r="R744" s="2739"/>
      <c r="S744" s="2739">
        <v>327643.29599999997</v>
      </c>
      <c r="T744" s="2739"/>
    </row>
    <row r="745" spans="1:20" ht="17.100000000000001" customHeight="1" x14ac:dyDescent="0.2">
      <c r="A745" s="2750" t="s">
        <v>1247</v>
      </c>
      <c r="B745" s="2751"/>
      <c r="C745" s="1396" t="s">
        <v>773</v>
      </c>
      <c r="D745" s="1396" t="s">
        <v>493</v>
      </c>
      <c r="E745" s="2637">
        <v>2</v>
      </c>
      <c r="F745" s="2638"/>
      <c r="G745" s="2639">
        <v>1898922.375</v>
      </c>
      <c r="H745" s="2640">
        <v>1687931.28</v>
      </c>
      <c r="I745" s="2639">
        <v>3797844.75</v>
      </c>
      <c r="J745" s="2640"/>
      <c r="K745" s="1401"/>
      <c r="L745" s="1398" t="s">
        <v>458</v>
      </c>
      <c r="M745" s="1396" t="s">
        <v>774</v>
      </c>
      <c r="N745" s="1396" t="s">
        <v>452</v>
      </c>
      <c r="O745" s="2739">
        <v>2</v>
      </c>
      <c r="P745" s="2739"/>
      <c r="Q745" s="2739">
        <v>20970.831999999999</v>
      </c>
      <c r="R745" s="2739"/>
      <c r="S745" s="2739">
        <v>41941.663999999997</v>
      </c>
      <c r="T745" s="2739"/>
    </row>
    <row r="746" spans="1:20" ht="17.100000000000001" customHeight="1" x14ac:dyDescent="0.2">
      <c r="A746" s="2746" t="s">
        <v>1248</v>
      </c>
      <c r="B746" s="2747"/>
      <c r="C746" s="1396" t="s">
        <v>773</v>
      </c>
      <c r="D746" s="1396" t="s">
        <v>493</v>
      </c>
      <c r="E746" s="2737">
        <v>2</v>
      </c>
      <c r="F746" s="2737"/>
      <c r="G746" s="2639">
        <v>103714.875</v>
      </c>
      <c r="H746" s="2640">
        <v>92191.38</v>
      </c>
      <c r="I746" s="2639">
        <v>207429.75</v>
      </c>
      <c r="J746" s="2640"/>
      <c r="K746" s="1401"/>
      <c r="L746" s="1398" t="s">
        <v>589</v>
      </c>
      <c r="M746" s="1396" t="s">
        <v>775</v>
      </c>
      <c r="N746" s="1396" t="s">
        <v>771</v>
      </c>
      <c r="O746" s="2739">
        <v>2</v>
      </c>
      <c r="P746" s="2739"/>
      <c r="Q746" s="2739">
        <v>194090.02239999999</v>
      </c>
      <c r="R746" s="2739"/>
      <c r="S746" s="2739">
        <v>388180.04479999997</v>
      </c>
      <c r="T746" s="2739"/>
    </row>
    <row r="747" spans="1:20" ht="17.100000000000001" customHeight="1" x14ac:dyDescent="0.2">
      <c r="A747" s="2750" t="s">
        <v>1249</v>
      </c>
      <c r="B747" s="2751"/>
      <c r="C747" s="1396" t="s">
        <v>773</v>
      </c>
      <c r="D747" s="1396" t="s">
        <v>493</v>
      </c>
      <c r="E747" s="2737">
        <v>1</v>
      </c>
      <c r="F747" s="2737"/>
      <c r="G747" s="2639">
        <v>63913.5</v>
      </c>
      <c r="H747" s="2640">
        <v>56811.76</v>
      </c>
      <c r="I747" s="2639">
        <v>63913.5</v>
      </c>
      <c r="J747" s="2640"/>
      <c r="K747" s="1401"/>
      <c r="L747" s="1398" t="s">
        <v>504</v>
      </c>
      <c r="M747" s="1396"/>
      <c r="N747" s="1396"/>
      <c r="O747" s="2739"/>
      <c r="P747" s="2739"/>
      <c r="Q747" s="2739"/>
      <c r="R747" s="2739"/>
      <c r="S747" s="2739">
        <v>0</v>
      </c>
      <c r="T747" s="2739"/>
    </row>
    <row r="748" spans="1:20" ht="17.100000000000001" customHeight="1" x14ac:dyDescent="0.2">
      <c r="A748" s="2750" t="s">
        <v>776</v>
      </c>
      <c r="B748" s="2751"/>
      <c r="C748" s="1396" t="s">
        <v>773</v>
      </c>
      <c r="D748" s="1396" t="s">
        <v>493</v>
      </c>
      <c r="E748" s="2737">
        <v>1</v>
      </c>
      <c r="F748" s="2737"/>
      <c r="G748" s="2639">
        <v>92453.625</v>
      </c>
      <c r="H748" s="2640">
        <v>82191.34</v>
      </c>
      <c r="I748" s="2639">
        <v>92453.625</v>
      </c>
      <c r="J748" s="2640"/>
      <c r="K748" s="1401"/>
      <c r="L748" s="1402" t="s">
        <v>777</v>
      </c>
      <c r="M748" s="1396"/>
      <c r="N748" s="1396"/>
      <c r="O748" s="2739"/>
      <c r="P748" s="2739"/>
      <c r="Q748" s="2739"/>
      <c r="R748" s="2739"/>
      <c r="S748" s="2741">
        <v>2607754.2132800003</v>
      </c>
      <c r="T748" s="2741"/>
    </row>
    <row r="749" spans="1:20" ht="17.100000000000001" customHeight="1" x14ac:dyDescent="0.2">
      <c r="A749" s="2746" t="s">
        <v>512</v>
      </c>
      <c r="B749" s="2747"/>
      <c r="C749" s="1396" t="s">
        <v>773</v>
      </c>
      <c r="D749" s="1396" t="s">
        <v>493</v>
      </c>
      <c r="E749" s="2637">
        <v>1</v>
      </c>
      <c r="F749" s="2638"/>
      <c r="G749" s="2639">
        <v>170434.125</v>
      </c>
      <c r="H749" s="2640">
        <v>151497.32</v>
      </c>
      <c r="I749" s="2639">
        <v>170434.125</v>
      </c>
      <c r="J749" s="2640"/>
      <c r="K749" s="1401"/>
      <c r="L749" s="1398" t="s">
        <v>483</v>
      </c>
      <c r="M749" s="1396" t="s">
        <v>778</v>
      </c>
      <c r="N749" s="1396" t="s">
        <v>473</v>
      </c>
      <c r="O749" s="2745">
        <v>1</v>
      </c>
      <c r="P749" s="2745"/>
      <c r="Q749" s="2739">
        <v>29284.8544</v>
      </c>
      <c r="R749" s="2739"/>
      <c r="S749" s="2739">
        <v>29284.8544</v>
      </c>
      <c r="T749" s="2739"/>
    </row>
    <row r="750" spans="1:20" ht="17.100000000000001" customHeight="1" x14ac:dyDescent="0.2">
      <c r="A750" s="2750" t="s">
        <v>1250</v>
      </c>
      <c r="B750" s="2751"/>
      <c r="C750" s="1396" t="s">
        <v>773</v>
      </c>
      <c r="D750" s="1396" t="s">
        <v>493</v>
      </c>
      <c r="E750" s="2637">
        <v>1</v>
      </c>
      <c r="F750" s="2752"/>
      <c r="G750" s="2639">
        <v>194663.25</v>
      </c>
      <c r="H750" s="2753">
        <v>173034.4</v>
      </c>
      <c r="I750" s="2639">
        <v>194663.25</v>
      </c>
      <c r="J750" s="2640"/>
      <c r="K750" s="1401"/>
      <c r="L750" s="1398" t="s">
        <v>486</v>
      </c>
      <c r="M750" s="1396" t="s">
        <v>779</v>
      </c>
      <c r="N750" s="1396" t="s">
        <v>780</v>
      </c>
      <c r="O750" s="2745">
        <v>1.5</v>
      </c>
      <c r="P750" s="2745"/>
      <c r="Q750" s="2754">
        <v>104084.8288</v>
      </c>
      <c r="R750" s="2754"/>
      <c r="S750" s="2739">
        <v>156127.2432</v>
      </c>
      <c r="T750" s="2739"/>
    </row>
    <row r="751" spans="1:20" ht="17.100000000000001" customHeight="1" x14ac:dyDescent="0.2">
      <c r="A751" s="2750"/>
      <c r="B751" s="2751"/>
      <c r="C751" s="1396"/>
      <c r="D751" s="1396"/>
      <c r="E751" s="2637"/>
      <c r="F751" s="2752"/>
      <c r="G751" s="2639"/>
      <c r="H751" s="2640"/>
      <c r="I751" s="2639"/>
      <c r="J751" s="2640"/>
      <c r="K751" s="1401"/>
      <c r="L751" s="1398" t="s">
        <v>489</v>
      </c>
      <c r="M751" s="1396" t="s">
        <v>781</v>
      </c>
      <c r="N751" s="1396" t="s">
        <v>452</v>
      </c>
      <c r="O751" s="2745">
        <v>0.6</v>
      </c>
      <c r="P751" s="2745"/>
      <c r="Q751" s="2739">
        <v>117909.8416</v>
      </c>
      <c r="R751" s="2739"/>
      <c r="S751" s="2739">
        <v>70745.90496</v>
      </c>
      <c r="T751" s="2739"/>
    </row>
    <row r="752" spans="1:20" ht="17.100000000000001" customHeight="1" x14ac:dyDescent="0.2">
      <c r="A752" s="2755"/>
      <c r="B752" s="2756"/>
      <c r="C752" s="1396"/>
      <c r="D752" s="1396"/>
      <c r="E752" s="2637"/>
      <c r="F752" s="2752"/>
      <c r="G752" s="2639"/>
      <c r="H752" s="2753"/>
      <c r="I752" s="2639"/>
      <c r="J752" s="2640"/>
      <c r="K752" s="1401"/>
      <c r="L752" s="1398" t="s">
        <v>782</v>
      </c>
      <c r="M752" s="1396" t="s">
        <v>783</v>
      </c>
      <c r="N752" s="1396" t="s">
        <v>452</v>
      </c>
      <c r="O752" s="2745">
        <v>1.3</v>
      </c>
      <c r="P752" s="2745"/>
      <c r="Q752" s="2739">
        <v>1580541.7744</v>
      </c>
      <c r="R752" s="2739"/>
      <c r="S752" s="2739">
        <v>2054704.30672</v>
      </c>
      <c r="T752" s="2739"/>
    </row>
    <row r="753" spans="1:20" ht="17.100000000000001" customHeight="1" x14ac:dyDescent="0.2">
      <c r="A753" s="2757" t="s">
        <v>490</v>
      </c>
      <c r="B753" s="2758"/>
      <c r="C753" s="1396"/>
      <c r="D753" s="1396"/>
      <c r="E753" s="1404"/>
      <c r="F753" s="1405"/>
      <c r="G753" s="1343"/>
      <c r="H753" s="1406"/>
      <c r="I753" s="2759">
        <v>1222000</v>
      </c>
      <c r="J753" s="2760"/>
      <c r="K753" s="1401"/>
      <c r="L753" s="1398" t="s">
        <v>784</v>
      </c>
      <c r="M753" s="1396" t="s">
        <v>487</v>
      </c>
      <c r="N753" s="1396" t="s">
        <v>785</v>
      </c>
      <c r="O753" s="2739">
        <v>5</v>
      </c>
      <c r="P753" s="2739"/>
      <c r="Q753" s="2739">
        <v>59378.380799999999</v>
      </c>
      <c r="R753" s="2739"/>
      <c r="S753" s="2739">
        <v>296891.90399999998</v>
      </c>
      <c r="T753" s="2739"/>
    </row>
    <row r="754" spans="1:20" ht="17.100000000000001" customHeight="1" x14ac:dyDescent="0.4">
      <c r="A754" s="1408" t="s">
        <v>1251</v>
      </c>
      <c r="B754" s="1409"/>
      <c r="C754" s="1396" t="s">
        <v>496</v>
      </c>
      <c r="D754" s="1396" t="s">
        <v>497</v>
      </c>
      <c r="E754" s="2639">
        <v>10</v>
      </c>
      <c r="F754" s="2640"/>
      <c r="G754" s="2641">
        <v>47000</v>
      </c>
      <c r="H754" s="2642">
        <v>38202.400000000001</v>
      </c>
      <c r="I754" s="2639">
        <v>470000</v>
      </c>
      <c r="J754" s="2640"/>
      <c r="K754" s="1401"/>
      <c r="L754" s="1402" t="s">
        <v>786</v>
      </c>
      <c r="M754" s="1396"/>
      <c r="N754" s="1396"/>
      <c r="O754" s="2739"/>
      <c r="P754" s="2739"/>
      <c r="Q754" s="2739"/>
      <c r="R754" s="2739"/>
      <c r="S754" s="2741">
        <v>197040.25456</v>
      </c>
      <c r="T754" s="2741"/>
    </row>
    <row r="755" spans="1:20" ht="17.100000000000001" customHeight="1" x14ac:dyDescent="0.4">
      <c r="A755" s="2743" t="s">
        <v>1252</v>
      </c>
      <c r="B755" s="2744"/>
      <c r="C755" s="1396" t="s">
        <v>496</v>
      </c>
      <c r="D755" s="1396" t="s">
        <v>497</v>
      </c>
      <c r="E755" s="2639">
        <v>14</v>
      </c>
      <c r="F755" s="2640"/>
      <c r="G755" s="2641">
        <v>47000</v>
      </c>
      <c r="H755" s="2642">
        <v>38202.400000000001</v>
      </c>
      <c r="I755" s="2639">
        <v>658000</v>
      </c>
      <c r="J755" s="2640"/>
      <c r="K755" s="1401"/>
      <c r="L755" s="1398" t="s">
        <v>477</v>
      </c>
      <c r="M755" s="1396" t="s">
        <v>787</v>
      </c>
      <c r="N755" s="1396" t="s">
        <v>473</v>
      </c>
      <c r="O755" s="2745">
        <v>1.5</v>
      </c>
      <c r="P755" s="2745"/>
      <c r="Q755" s="2739">
        <v>106669.3008</v>
      </c>
      <c r="R755" s="2739"/>
      <c r="S755" s="2739">
        <v>160003.95120000001</v>
      </c>
      <c r="T755" s="2739"/>
    </row>
    <row r="756" spans="1:20" ht="17.100000000000001" customHeight="1" x14ac:dyDescent="0.4">
      <c r="A756" s="2743" t="s">
        <v>501</v>
      </c>
      <c r="B756" s="2744"/>
      <c r="C756" s="1396" t="s">
        <v>496</v>
      </c>
      <c r="D756" s="1396" t="s">
        <v>497</v>
      </c>
      <c r="E756" s="2639">
        <v>2</v>
      </c>
      <c r="F756" s="2640"/>
      <c r="G756" s="2641">
        <v>47000</v>
      </c>
      <c r="H756" s="2642">
        <v>38202.400000000001</v>
      </c>
      <c r="I756" s="2639">
        <v>94000</v>
      </c>
      <c r="J756" s="2640"/>
      <c r="K756" s="1401"/>
      <c r="L756" s="1398" t="s">
        <v>481</v>
      </c>
      <c r="M756" s="1396" t="s">
        <v>788</v>
      </c>
      <c r="N756" s="1396" t="s">
        <v>473</v>
      </c>
      <c r="O756" s="2745">
        <v>0.7</v>
      </c>
      <c r="P756" s="2745"/>
      <c r="Q756" s="2739">
        <v>52909.004800000002</v>
      </c>
      <c r="R756" s="2739"/>
      <c r="S756" s="2739">
        <v>37036.303359999998</v>
      </c>
      <c r="T756" s="2739"/>
    </row>
    <row r="757" spans="1:20" ht="17.100000000000001" customHeight="1" x14ac:dyDescent="0.2">
      <c r="A757" s="2743" t="s">
        <v>504</v>
      </c>
      <c r="B757" s="2744"/>
      <c r="C757" s="1396"/>
      <c r="D757" s="1396"/>
      <c r="E757" s="1343"/>
      <c r="F757" s="1344"/>
      <c r="G757" s="1343"/>
      <c r="H757" s="1406"/>
      <c r="I757" s="2639">
        <v>0</v>
      </c>
      <c r="J757" s="2640"/>
      <c r="K757" s="1401"/>
      <c r="L757" s="1741" t="s">
        <v>789</v>
      </c>
      <c r="M757" s="1396"/>
      <c r="N757" s="1396"/>
      <c r="O757" s="2739"/>
      <c r="P757" s="2739"/>
      <c r="Q757" s="2739"/>
      <c r="R757" s="2739"/>
      <c r="S757" s="2741">
        <v>880593.16159999999</v>
      </c>
      <c r="T757" s="2741"/>
    </row>
    <row r="758" spans="1:20" ht="17.100000000000001" customHeight="1" x14ac:dyDescent="0.2">
      <c r="A758" s="1399"/>
      <c r="B758" s="1400"/>
      <c r="C758" s="1396"/>
      <c r="D758" s="1396"/>
      <c r="E758" s="1343"/>
      <c r="F758" s="1344"/>
      <c r="G758" s="1343"/>
      <c r="H758" s="1406"/>
      <c r="I758" s="2639"/>
      <c r="J758" s="2640"/>
      <c r="K758" s="1401"/>
      <c r="L758" s="1410" t="s">
        <v>1266</v>
      </c>
      <c r="M758" s="1411" t="s">
        <v>790</v>
      </c>
      <c r="N758" s="1411" t="s">
        <v>473</v>
      </c>
      <c r="O758" s="2761">
        <v>2.5</v>
      </c>
      <c r="P758" s="2762"/>
      <c r="Q758" s="2639">
        <v>23374</v>
      </c>
      <c r="R758" s="2640"/>
      <c r="S758" s="2639">
        <v>58435</v>
      </c>
      <c r="T758" s="2640"/>
    </row>
    <row r="759" spans="1:20" ht="17.100000000000001" customHeight="1" x14ac:dyDescent="0.2">
      <c r="A759" s="2735" t="s">
        <v>506</v>
      </c>
      <c r="B759" s="2736"/>
      <c r="C759" s="1396"/>
      <c r="D759" s="1396"/>
      <c r="E759" s="1404"/>
      <c r="F759" s="1405"/>
      <c r="G759" s="1343"/>
      <c r="H759" s="1406"/>
      <c r="I759" s="2759">
        <v>2021000</v>
      </c>
      <c r="J759" s="2760"/>
      <c r="K759" s="1401"/>
      <c r="L759" s="1410" t="s">
        <v>494</v>
      </c>
      <c r="M759" s="1411" t="s">
        <v>791</v>
      </c>
      <c r="N759" s="1411" t="s">
        <v>452</v>
      </c>
      <c r="O759" s="2761">
        <v>5</v>
      </c>
      <c r="P759" s="2762"/>
      <c r="Q759" s="2639">
        <v>22412</v>
      </c>
      <c r="R759" s="2640"/>
      <c r="S759" s="2639">
        <v>112060</v>
      </c>
      <c r="T759" s="2640"/>
    </row>
    <row r="760" spans="1:20" ht="17.100000000000001" customHeight="1" x14ac:dyDescent="0.4">
      <c r="A760" s="2743" t="s">
        <v>1253</v>
      </c>
      <c r="B760" s="2744"/>
      <c r="C760" s="1396" t="s">
        <v>496</v>
      </c>
      <c r="D760" s="1396" t="s">
        <v>497</v>
      </c>
      <c r="E760" s="2637">
        <v>6</v>
      </c>
      <c r="F760" s="2638"/>
      <c r="G760" s="2641">
        <v>47000</v>
      </c>
      <c r="H760" s="2642">
        <v>38202.400000000001</v>
      </c>
      <c r="I760" s="2639">
        <v>282000</v>
      </c>
      <c r="J760" s="2640"/>
      <c r="K760" s="1401"/>
      <c r="L760" s="1410" t="s">
        <v>792</v>
      </c>
      <c r="M760" s="1411" t="s">
        <v>793</v>
      </c>
      <c r="N760" s="1411" t="s">
        <v>452</v>
      </c>
      <c r="O760" s="2745">
        <v>3</v>
      </c>
      <c r="P760" s="2745"/>
      <c r="Q760" s="2739">
        <v>65963.593599999993</v>
      </c>
      <c r="R760" s="2739"/>
      <c r="S760" s="2739">
        <v>197890.78079999998</v>
      </c>
      <c r="T760" s="2739"/>
    </row>
    <row r="761" spans="1:20" ht="17.100000000000001" customHeight="1" x14ac:dyDescent="0.4">
      <c r="A761" s="2743" t="s">
        <v>1254</v>
      </c>
      <c r="B761" s="2744"/>
      <c r="C761" s="1396" t="s">
        <v>496</v>
      </c>
      <c r="D761" s="1396" t="s">
        <v>497</v>
      </c>
      <c r="E761" s="2637">
        <v>3</v>
      </c>
      <c r="F761" s="2638"/>
      <c r="G761" s="2641">
        <v>47000</v>
      </c>
      <c r="H761" s="2642">
        <v>38202.400000000001</v>
      </c>
      <c r="I761" s="2639">
        <v>141000</v>
      </c>
      <c r="J761" s="2640"/>
      <c r="K761" s="1401"/>
      <c r="L761" s="1410" t="s">
        <v>795</v>
      </c>
      <c r="M761" s="1411" t="s">
        <v>796</v>
      </c>
      <c r="N761" s="1411" t="s">
        <v>473</v>
      </c>
      <c r="O761" s="2745">
        <v>3</v>
      </c>
      <c r="P761" s="2745"/>
      <c r="Q761" s="2739">
        <v>170735.7936</v>
      </c>
      <c r="R761" s="2739"/>
      <c r="S761" s="2739">
        <v>512207.38080000004</v>
      </c>
      <c r="T761" s="2739"/>
    </row>
    <row r="762" spans="1:20" ht="17.100000000000001" customHeight="1" x14ac:dyDescent="0.4">
      <c r="A762" s="2743" t="s">
        <v>1255</v>
      </c>
      <c r="B762" s="2744"/>
      <c r="C762" s="1396" t="s">
        <v>496</v>
      </c>
      <c r="D762" s="1396" t="s">
        <v>497</v>
      </c>
      <c r="E762" s="2637">
        <v>15</v>
      </c>
      <c r="F762" s="2638"/>
      <c r="G762" s="2641">
        <v>47000</v>
      </c>
      <c r="H762" s="2642">
        <v>38202.400000000001</v>
      </c>
      <c r="I762" s="2639">
        <v>705000</v>
      </c>
      <c r="J762" s="2640"/>
      <c r="K762" s="1397"/>
      <c r="L762" s="1412" t="s">
        <v>797</v>
      </c>
      <c r="M762" s="1411" t="s">
        <v>798</v>
      </c>
      <c r="N762" s="1411" t="s">
        <v>473</v>
      </c>
      <c r="O762" s="2739">
        <v>8</v>
      </c>
      <c r="P762" s="2739"/>
      <c r="Q762" s="2739">
        <v>34189.340799999998</v>
      </c>
      <c r="R762" s="2739"/>
      <c r="S762" s="2741">
        <v>273514.72639999999</v>
      </c>
      <c r="T762" s="2741"/>
    </row>
    <row r="763" spans="1:20" ht="17.100000000000001" customHeight="1" x14ac:dyDescent="0.4">
      <c r="A763" s="2743" t="s">
        <v>1256</v>
      </c>
      <c r="B763" s="2744"/>
      <c r="C763" s="1396" t="s">
        <v>496</v>
      </c>
      <c r="D763" s="1396" t="s">
        <v>497</v>
      </c>
      <c r="E763" s="2637">
        <v>8</v>
      </c>
      <c r="F763" s="2638"/>
      <c r="G763" s="2641">
        <v>47000</v>
      </c>
      <c r="H763" s="2642">
        <v>38202.400000000001</v>
      </c>
      <c r="I763" s="2639">
        <v>376000</v>
      </c>
      <c r="J763" s="2640"/>
      <c r="K763" s="1401"/>
      <c r="L763" s="1412" t="s">
        <v>799</v>
      </c>
      <c r="M763" s="1411"/>
      <c r="N763" s="1410"/>
      <c r="O763" s="2763"/>
      <c r="P763" s="2763"/>
      <c r="Q763" s="2739"/>
      <c r="R763" s="2739"/>
      <c r="S763" s="2741">
        <v>1396432.608</v>
      </c>
      <c r="T763" s="2741"/>
    </row>
    <row r="764" spans="1:20" ht="17.100000000000001" customHeight="1" x14ac:dyDescent="0.4">
      <c r="A764" s="2743" t="s">
        <v>1257</v>
      </c>
      <c r="B764" s="2744"/>
      <c r="C764" s="1396" t="s">
        <v>496</v>
      </c>
      <c r="D764" s="1396" t="s">
        <v>497</v>
      </c>
      <c r="E764" s="2637">
        <v>7</v>
      </c>
      <c r="F764" s="2638"/>
      <c r="G764" s="2641">
        <v>47000</v>
      </c>
      <c r="H764" s="2642">
        <v>38202.400000000001</v>
      </c>
      <c r="I764" s="2639">
        <v>329000</v>
      </c>
      <c r="J764" s="2640"/>
      <c r="K764" s="1401"/>
      <c r="L764" s="1410" t="s">
        <v>598</v>
      </c>
      <c r="M764" s="1411" t="s">
        <v>800</v>
      </c>
      <c r="N764" s="1411" t="s">
        <v>497</v>
      </c>
      <c r="O764" s="2739">
        <v>6</v>
      </c>
      <c r="P764" s="2739"/>
      <c r="Q764" s="2739">
        <v>15080.64</v>
      </c>
      <c r="R764" s="2739"/>
      <c r="S764" s="2739">
        <v>90483.839999999997</v>
      </c>
      <c r="T764" s="2739"/>
    </row>
    <row r="765" spans="1:20" ht="17.100000000000001" customHeight="1" x14ac:dyDescent="0.4">
      <c r="A765" s="2743" t="s">
        <v>1258</v>
      </c>
      <c r="B765" s="2744"/>
      <c r="C765" s="1396" t="s">
        <v>496</v>
      </c>
      <c r="D765" s="1396" t="s">
        <v>497</v>
      </c>
      <c r="E765" s="2764">
        <v>4</v>
      </c>
      <c r="F765" s="2765"/>
      <c r="G765" s="2641">
        <v>47000</v>
      </c>
      <c r="H765" s="2642">
        <v>38202.400000000001</v>
      </c>
      <c r="I765" s="2639">
        <v>188000</v>
      </c>
      <c r="J765" s="2640"/>
      <c r="K765" s="1401"/>
      <c r="L765" s="1410" t="s">
        <v>801</v>
      </c>
      <c r="M765" s="1411" t="s">
        <v>800</v>
      </c>
      <c r="N765" s="1411" t="s">
        <v>497</v>
      </c>
      <c r="O765" s="2739">
        <v>3</v>
      </c>
      <c r="P765" s="2739"/>
      <c r="Q765" s="2739">
        <v>14228.255999999999</v>
      </c>
      <c r="R765" s="2739"/>
      <c r="S765" s="2739">
        <v>42684.767999999996</v>
      </c>
      <c r="T765" s="2739"/>
    </row>
    <row r="766" spans="1:20" ht="17.100000000000001" customHeight="1" x14ac:dyDescent="0.2">
      <c r="A766" s="2743"/>
      <c r="B766" s="2744"/>
      <c r="C766" s="1396"/>
      <c r="D766" s="1396"/>
      <c r="E766" s="2639"/>
      <c r="F766" s="2640"/>
      <c r="G766" s="2639"/>
      <c r="H766" s="2640"/>
      <c r="I766" s="2639">
        <v>0</v>
      </c>
      <c r="J766" s="2640"/>
      <c r="K766" s="1401"/>
      <c r="L766" s="1410" t="s">
        <v>802</v>
      </c>
      <c r="M766" s="1411" t="s">
        <v>803</v>
      </c>
      <c r="N766" s="1411" t="s">
        <v>452</v>
      </c>
      <c r="O766" s="2639">
        <v>2500</v>
      </c>
      <c r="P766" s="2640"/>
      <c r="Q766" s="2639">
        <v>439.30559999999997</v>
      </c>
      <c r="R766" s="2640"/>
      <c r="S766" s="2639">
        <v>1098264</v>
      </c>
      <c r="T766" s="2640"/>
    </row>
    <row r="767" spans="1:20" ht="17.100000000000001" customHeight="1" x14ac:dyDescent="0.2">
      <c r="A767" s="2743"/>
      <c r="B767" s="2744"/>
      <c r="C767" s="1396"/>
      <c r="D767" s="1396"/>
      <c r="E767" s="2637"/>
      <c r="F767" s="2638"/>
      <c r="G767" s="2639"/>
      <c r="H767" s="2640"/>
      <c r="I767" s="2639">
        <v>0</v>
      </c>
      <c r="J767" s="2640"/>
      <c r="K767" s="1401"/>
      <c r="L767" s="1410" t="s">
        <v>804</v>
      </c>
      <c r="M767" s="1411" t="s">
        <v>794</v>
      </c>
      <c r="N767" s="1411"/>
      <c r="O767" s="1343"/>
      <c r="P767" s="1344"/>
      <c r="Q767" s="1343"/>
      <c r="R767" s="1344"/>
      <c r="S767" s="2639">
        <v>85000</v>
      </c>
      <c r="T767" s="2640"/>
    </row>
    <row r="768" spans="1:20" ht="17.100000000000001" customHeight="1" x14ac:dyDescent="0.2">
      <c r="A768" s="2743"/>
      <c r="B768" s="2744"/>
      <c r="C768" s="1396"/>
      <c r="D768" s="1396"/>
      <c r="E768" s="2637"/>
      <c r="F768" s="2638"/>
      <c r="G768" s="2639"/>
      <c r="H768" s="2640"/>
      <c r="I768" s="2639">
        <v>0</v>
      </c>
      <c r="J768" s="2640"/>
      <c r="K768" s="1401"/>
      <c r="L768" s="1410" t="s">
        <v>805</v>
      </c>
      <c r="M768" s="1411" t="s">
        <v>794</v>
      </c>
      <c r="N768" s="1411"/>
      <c r="O768" s="2739"/>
      <c r="P768" s="2739"/>
      <c r="Q768" s="2739"/>
      <c r="R768" s="2739"/>
      <c r="S768" s="2739">
        <v>80000</v>
      </c>
      <c r="T768" s="2739"/>
    </row>
    <row r="769" spans="1:22" ht="17.100000000000001" customHeight="1" x14ac:dyDescent="0.2">
      <c r="A769" s="2743"/>
      <c r="B769" s="2744"/>
      <c r="C769" s="1396"/>
      <c r="D769" s="1396"/>
      <c r="E769" s="2637"/>
      <c r="F769" s="2638"/>
      <c r="G769" s="2639"/>
      <c r="H769" s="2640"/>
      <c r="I769" s="2639">
        <v>0</v>
      </c>
      <c r="J769" s="2640"/>
      <c r="K769" s="1401"/>
      <c r="L769" s="1410" t="s">
        <v>504</v>
      </c>
      <c r="M769" s="1411"/>
      <c r="N769" s="1411"/>
      <c r="O769" s="2739"/>
      <c r="P769" s="2739"/>
      <c r="Q769" s="2739"/>
      <c r="R769" s="2739"/>
      <c r="S769" s="2739"/>
      <c r="T769" s="2739"/>
    </row>
    <row r="770" spans="1:22" ht="17.100000000000001" customHeight="1" x14ac:dyDescent="0.2">
      <c r="A770" s="2743"/>
      <c r="B770" s="2744"/>
      <c r="C770" s="1396"/>
      <c r="D770" s="1396"/>
      <c r="E770" s="2637"/>
      <c r="F770" s="2638"/>
      <c r="G770" s="2639"/>
      <c r="H770" s="2640"/>
      <c r="I770" s="2639">
        <v>0</v>
      </c>
      <c r="J770" s="2640"/>
      <c r="K770" s="1401"/>
      <c r="L770" s="1415" t="s">
        <v>521</v>
      </c>
      <c r="M770" s="1416"/>
      <c r="N770" s="1416"/>
      <c r="O770" s="2766"/>
      <c r="P770" s="2767"/>
      <c r="Q770" s="2766"/>
      <c r="R770" s="2767"/>
      <c r="S770" s="2768">
        <v>9575068.5126400013</v>
      </c>
      <c r="T770" s="2769"/>
    </row>
    <row r="771" spans="1:22" ht="17.100000000000001" customHeight="1" x14ac:dyDescent="0.2">
      <c r="A771" s="1408"/>
      <c r="B771" s="1409"/>
      <c r="C771" s="1411"/>
      <c r="D771" s="1396"/>
      <c r="E771" s="1413"/>
      <c r="F771" s="1414"/>
      <c r="G771" s="1343"/>
      <c r="H771" s="1406"/>
      <c r="I771" s="2639"/>
      <c r="J771" s="2640"/>
      <c r="K771" s="1401"/>
      <c r="L771" s="1417" t="s">
        <v>806</v>
      </c>
      <c r="M771" s="1418"/>
      <c r="N771" s="1418"/>
      <c r="O771" s="1419"/>
      <c r="P771" s="1419"/>
      <c r="Q771" s="1419"/>
      <c r="R771" s="1419"/>
      <c r="S771" s="1419"/>
      <c r="T771" s="1420"/>
    </row>
    <row r="772" spans="1:22" ht="17.100000000000001" customHeight="1" x14ac:dyDescent="0.2">
      <c r="A772" s="1421"/>
      <c r="B772" s="1422"/>
      <c r="C772" s="1396"/>
      <c r="D772" s="1396"/>
      <c r="E772" s="1343"/>
      <c r="F772" s="1344"/>
      <c r="G772" s="1343"/>
      <c r="H772" s="1406"/>
      <c r="I772" s="2639"/>
      <c r="J772" s="2640"/>
      <c r="K772" s="1401"/>
      <c r="L772" s="2743" t="s">
        <v>1267</v>
      </c>
      <c r="M772" s="2771"/>
      <c r="N772" s="513"/>
      <c r="O772" s="1423"/>
      <c r="P772" s="1423"/>
      <c r="Q772" s="1423"/>
      <c r="R772" s="1423"/>
      <c r="S772" s="2770">
        <v>250000</v>
      </c>
      <c r="T772" s="2640"/>
    </row>
    <row r="773" spans="1:22" ht="17.100000000000001" customHeight="1" x14ac:dyDescent="0.2">
      <c r="A773" s="1424"/>
      <c r="B773" s="1425"/>
      <c r="C773" s="1396"/>
      <c r="D773" s="1396"/>
      <c r="E773" s="1404"/>
      <c r="F773" s="1405"/>
      <c r="G773" s="1343"/>
      <c r="H773" s="1406"/>
      <c r="I773" s="2639"/>
      <c r="J773" s="2640"/>
      <c r="K773" s="1401"/>
      <c r="L773" s="1408" t="s">
        <v>1496</v>
      </c>
      <c r="M773" s="1894">
        <v>300</v>
      </c>
      <c r="N773" s="513"/>
      <c r="O773" s="1423"/>
      <c r="P773" s="1423"/>
      <c r="Q773" s="1423"/>
      <c r="R773" s="1423"/>
      <c r="S773" s="2770" t="e">
        <v>#DIV/0!</v>
      </c>
      <c r="T773" s="2640"/>
    </row>
    <row r="774" spans="1:22" ht="17.100000000000001" customHeight="1" x14ac:dyDescent="0.2">
      <c r="A774" s="1426" t="s">
        <v>545</v>
      </c>
      <c r="B774" s="1409"/>
      <c r="C774" s="1411"/>
      <c r="D774" s="1411"/>
      <c r="E774" s="1343"/>
      <c r="F774" s="1406"/>
      <c r="G774" s="1343"/>
      <c r="H774" s="1406"/>
      <c r="I774" s="2759" t="e">
        <v>#DIV/0!</v>
      </c>
      <c r="J774" s="2760"/>
      <c r="K774" s="1401"/>
      <c r="L774" s="1407" t="s">
        <v>807</v>
      </c>
      <c r="M774" s="513"/>
      <c r="N774" s="513"/>
      <c r="O774" s="1423"/>
      <c r="P774" s="1423"/>
      <c r="Q774" s="1423"/>
      <c r="R774" s="1423"/>
      <c r="S774" s="2770">
        <v>1200000</v>
      </c>
      <c r="T774" s="2640"/>
    </row>
    <row r="775" spans="1:22" ht="17.100000000000001" customHeight="1" x14ac:dyDescent="0.4">
      <c r="A775" s="2755" t="s">
        <v>547</v>
      </c>
      <c r="B775" s="2756"/>
      <c r="C775" s="1411" t="s">
        <v>496</v>
      </c>
      <c r="D775" s="1396" t="s">
        <v>497</v>
      </c>
      <c r="E775" s="2639">
        <v>48</v>
      </c>
      <c r="F775" s="2640"/>
      <c r="G775" s="2641">
        <v>47000</v>
      </c>
      <c r="H775" s="2642">
        <v>38202.400000000001</v>
      </c>
      <c r="I775" s="2639">
        <v>2256000</v>
      </c>
      <c r="J775" s="2640"/>
      <c r="K775" s="1401"/>
      <c r="L775" s="1407" t="s">
        <v>1582</v>
      </c>
      <c r="M775" s="1427"/>
      <c r="N775" s="513"/>
      <c r="O775" s="1423"/>
      <c r="P775" s="1423"/>
      <c r="Q775" s="1423"/>
      <c r="R775" s="1423"/>
      <c r="S775" s="2770">
        <v>240000</v>
      </c>
      <c r="T775" s="2640"/>
    </row>
    <row r="776" spans="1:22" ht="17.100000000000001" customHeight="1" x14ac:dyDescent="0.2">
      <c r="A776" s="2755" t="s">
        <v>1259</v>
      </c>
      <c r="B776" s="2756"/>
      <c r="C776" s="1411" t="s">
        <v>600</v>
      </c>
      <c r="D776" s="1411" t="s">
        <v>497</v>
      </c>
      <c r="E776" s="2639">
        <v>3250</v>
      </c>
      <c r="F776" s="2640"/>
      <c r="G776" s="2639">
        <v>186.86879999999999</v>
      </c>
      <c r="H776" s="2640">
        <v>168.54</v>
      </c>
      <c r="I776" s="2639">
        <v>607323.6</v>
      </c>
      <c r="J776" s="2640"/>
      <c r="K776" s="1401"/>
      <c r="L776" s="1407" t="s">
        <v>1531</v>
      </c>
      <c r="M776" s="1895" t="e">
        <v>#DIV/0!</v>
      </c>
      <c r="N776" s="513"/>
      <c r="O776" s="1423"/>
      <c r="P776" s="1423"/>
      <c r="Q776" s="1423"/>
      <c r="R776" s="1423"/>
      <c r="S776" s="2770" t="e">
        <v>#DIV/0!</v>
      </c>
      <c r="T776" s="2640"/>
    </row>
    <row r="777" spans="1:22" ht="17.100000000000001" customHeight="1" x14ac:dyDescent="0.2">
      <c r="A777" s="2755" t="s">
        <v>1260</v>
      </c>
      <c r="B777" s="2756"/>
      <c r="C777" s="1411" t="s">
        <v>600</v>
      </c>
      <c r="D777" s="1396" t="s">
        <v>497</v>
      </c>
      <c r="E777" s="2639">
        <v>3250</v>
      </c>
      <c r="F777" s="2640"/>
      <c r="G777" s="2639">
        <v>88.516800000000003</v>
      </c>
      <c r="H777" s="2753">
        <v>72.08</v>
      </c>
      <c r="I777" s="2639">
        <v>287679.60000000003</v>
      </c>
      <c r="J777" s="2640"/>
      <c r="K777" s="1401"/>
      <c r="L777" s="1428" t="s">
        <v>1268</v>
      </c>
      <c r="M777" s="1429"/>
      <c r="N777" s="1429"/>
      <c r="O777" s="1429"/>
      <c r="P777" s="1429"/>
      <c r="Q777" s="1429"/>
      <c r="R777" s="1429"/>
      <c r="S777" s="2772" t="e">
        <v>#DIV/0!</v>
      </c>
      <c r="T777" s="2773"/>
    </row>
    <row r="778" spans="1:22" ht="17.100000000000001" customHeight="1" x14ac:dyDescent="0.2">
      <c r="A778" s="2755" t="s">
        <v>1261</v>
      </c>
      <c r="B778" s="2756"/>
      <c r="C778" s="1411" t="s">
        <v>600</v>
      </c>
      <c r="D778" s="1396" t="s">
        <v>497</v>
      </c>
      <c r="E778" s="2639">
        <v>3250</v>
      </c>
      <c r="F778" s="2640"/>
      <c r="G778" s="2639">
        <v>59.011200000000002</v>
      </c>
      <c r="H778" s="2753">
        <v>47.7</v>
      </c>
      <c r="I778" s="2739">
        <v>191786.4</v>
      </c>
      <c r="J778" s="2740"/>
      <c r="K778" s="1401"/>
      <c r="L778" s="1430" t="s">
        <v>533</v>
      </c>
      <c r="M778" s="1431"/>
      <c r="N778" s="1431"/>
      <c r="O778" s="1432"/>
      <c r="P778" s="1432"/>
      <c r="Q778" s="1432"/>
      <c r="R778" s="1432"/>
      <c r="S778" s="2774" t="e">
        <v>#DIV/0!</v>
      </c>
      <c r="T778" s="2775"/>
    </row>
    <row r="779" spans="1:22" ht="17.100000000000001" customHeight="1" x14ac:dyDescent="0.2">
      <c r="A779" s="2755" t="s">
        <v>802</v>
      </c>
      <c r="B779" s="2756"/>
      <c r="C779" s="1411" t="s">
        <v>1262</v>
      </c>
      <c r="D779" s="1396" t="s">
        <v>452</v>
      </c>
      <c r="E779" s="2739" t="e">
        <v>#DIV/0!</v>
      </c>
      <c r="F779" s="2740"/>
      <c r="G779" s="2639">
        <v>322.37599999999998</v>
      </c>
      <c r="H779" s="2753">
        <v>261.82</v>
      </c>
      <c r="I779" s="2739" t="e">
        <v>#DIV/0!</v>
      </c>
      <c r="J779" s="2740"/>
      <c r="K779" s="1401"/>
      <c r="L779" s="1175"/>
      <c r="M779" s="513"/>
      <c r="N779" s="513"/>
      <c r="O779" s="1423"/>
      <c r="P779" s="1423"/>
      <c r="Q779" s="1423"/>
      <c r="R779" s="1423"/>
      <c r="S779" s="1423"/>
      <c r="T779" s="1344"/>
    </row>
    <row r="780" spans="1:22" ht="17.100000000000001" customHeight="1" thickBot="1" x14ac:dyDescent="0.25">
      <c r="A780" s="2755" t="s">
        <v>810</v>
      </c>
      <c r="B780" s="2756"/>
      <c r="C780" s="1411" t="s">
        <v>1262</v>
      </c>
      <c r="D780" s="1396" t="s">
        <v>452</v>
      </c>
      <c r="E780" s="2739" t="e">
        <v>#DIV/0!</v>
      </c>
      <c r="F780" s="2740"/>
      <c r="G780" s="2739">
        <v>137.69280000000001</v>
      </c>
      <c r="H780" s="2740">
        <v>112.36</v>
      </c>
      <c r="I780" s="2739" t="e">
        <v>#DIV/0!</v>
      </c>
      <c r="J780" s="2740"/>
      <c r="K780" s="1401"/>
      <c r="L780" s="1433" t="s">
        <v>820</v>
      </c>
      <c r="M780" s="1434"/>
      <c r="N780" s="1434"/>
      <c r="O780" s="1434"/>
      <c r="P780" s="1434"/>
      <c r="Q780" s="1434"/>
      <c r="R780" s="1434"/>
      <c r="S780" s="2776" t="e">
        <v>#DIV/0!</v>
      </c>
      <c r="T780" s="2777"/>
      <c r="V780" s="1047" t="e">
        <f>'TOTAL TRANSITORIOS'!W33</f>
        <v>#DIV/0!</v>
      </c>
    </row>
    <row r="781" spans="1:22" ht="17.100000000000001" customHeight="1" thickBot="1" x14ac:dyDescent="0.25">
      <c r="A781" s="2755" t="s">
        <v>1263</v>
      </c>
      <c r="B781" s="2756"/>
      <c r="C781" s="1411" t="s">
        <v>1262</v>
      </c>
      <c r="D781" s="1411" t="s">
        <v>452</v>
      </c>
      <c r="E781" s="2739" t="e">
        <v>#DIV/0!</v>
      </c>
      <c r="F781" s="2740"/>
      <c r="G781" s="2739">
        <v>276.47840000000002</v>
      </c>
      <c r="H781" s="2740">
        <v>224.72</v>
      </c>
      <c r="I781" s="2739" t="e">
        <v>#DIV/0!</v>
      </c>
      <c r="J781" s="2740"/>
      <c r="K781" s="1401"/>
      <c r="L781" s="513"/>
      <c r="M781" s="513"/>
      <c r="N781" s="513"/>
      <c r="O781" s="513"/>
      <c r="P781" s="513"/>
      <c r="Q781" s="513"/>
      <c r="R781" s="513"/>
      <c r="S781" s="513"/>
      <c r="T781" s="513"/>
    </row>
    <row r="782" spans="1:22" ht="17.100000000000001" customHeight="1" x14ac:dyDescent="0.2">
      <c r="A782" s="2755" t="s">
        <v>1264</v>
      </c>
      <c r="B782" s="2756"/>
      <c r="C782" s="1411"/>
      <c r="D782" s="1411" t="s">
        <v>1243</v>
      </c>
      <c r="E782" s="2639">
        <v>1</v>
      </c>
      <c r="F782" s="2640"/>
      <c r="G782" s="2739">
        <v>90891.454400000002</v>
      </c>
      <c r="H782" s="2740">
        <v>73842.78</v>
      </c>
      <c r="I782" s="2639">
        <v>90891.454400000002</v>
      </c>
      <c r="J782" s="2640"/>
      <c r="K782" s="1401"/>
      <c r="L782" s="513"/>
      <c r="M782" s="2778" t="s">
        <v>539</v>
      </c>
      <c r="N782" s="2779"/>
      <c r="O782" s="2779"/>
      <c r="P782" s="2779"/>
      <c r="Q782" s="2780"/>
      <c r="R782" s="513"/>
      <c r="S782" s="513"/>
      <c r="T782" s="513"/>
    </row>
    <row r="783" spans="1:22" ht="17.100000000000001" customHeight="1" x14ac:dyDescent="0.2">
      <c r="A783" s="2755" t="s">
        <v>1265</v>
      </c>
      <c r="B783" s="2756"/>
      <c r="C783" s="1411"/>
      <c r="D783" s="1396" t="s">
        <v>1532</v>
      </c>
      <c r="E783" s="2639">
        <v>8</v>
      </c>
      <c r="F783" s="2640"/>
      <c r="G783" s="2639">
        <v>90782.174400000004</v>
      </c>
      <c r="H783" s="2640">
        <v>73842.78</v>
      </c>
      <c r="I783" s="2639">
        <v>726257.39520000003</v>
      </c>
      <c r="J783" s="2640"/>
      <c r="K783" s="1401"/>
      <c r="L783" s="1980"/>
      <c r="M783" s="1382" t="s">
        <v>541</v>
      </c>
      <c r="N783" s="1383"/>
      <c r="O783" s="1383"/>
      <c r="P783" s="1383"/>
      <c r="Q783" s="1384" t="e">
        <v>#DIV/0!</v>
      </c>
      <c r="R783" s="513"/>
      <c r="S783" s="513"/>
      <c r="T783" s="513"/>
      <c r="U783" s="37" t="s">
        <v>542</v>
      </c>
    </row>
    <row r="784" spans="1:22" ht="17.100000000000001" customHeight="1" x14ac:dyDescent="0.25">
      <c r="A784" s="2755" t="s">
        <v>808</v>
      </c>
      <c r="B784" s="2756"/>
      <c r="C784" s="1411"/>
      <c r="D784" s="1411" t="s">
        <v>452</v>
      </c>
      <c r="E784" s="2739" t="e">
        <v>#DIV/0!</v>
      </c>
      <c r="F784" s="2740"/>
      <c r="G784" s="2739">
        <v>96.166399999999996</v>
      </c>
      <c r="H784" s="2740">
        <v>78.44</v>
      </c>
      <c r="I784" s="2739" t="e">
        <v>#DIV/0!</v>
      </c>
      <c r="J784" s="2740"/>
      <c r="K784" s="1397"/>
      <c r="L784" s="513"/>
      <c r="M784" s="1385" t="s">
        <v>544</v>
      </c>
      <c r="N784" s="1383"/>
      <c r="O784" s="1383"/>
      <c r="P784" s="1386"/>
      <c r="Q784" s="1387" t="e">
        <v>#DIV/0!</v>
      </c>
      <c r="R784" s="513"/>
      <c r="S784" s="513"/>
      <c r="T784" s="513"/>
      <c r="U784" s="37"/>
    </row>
    <row r="785" spans="1:21" ht="17.100000000000001" customHeight="1" x14ac:dyDescent="0.2">
      <c r="A785" s="1408" t="s">
        <v>765</v>
      </c>
      <c r="B785" s="1409"/>
      <c r="C785" s="1411"/>
      <c r="D785" s="1411" t="s">
        <v>1243</v>
      </c>
      <c r="E785" s="2739">
        <v>1</v>
      </c>
      <c r="F785" s="2740"/>
      <c r="G785" s="2739">
        <v>197671.128</v>
      </c>
      <c r="H785" s="2740">
        <v>160787.16</v>
      </c>
      <c r="I785" s="2739">
        <v>197671.128</v>
      </c>
      <c r="J785" s="2740"/>
      <c r="K785" s="1401"/>
      <c r="L785" s="513"/>
      <c r="M785" s="1382" t="s">
        <v>546</v>
      </c>
      <c r="N785" s="1383"/>
      <c r="O785" s="1383"/>
      <c r="P785" s="1383"/>
      <c r="Q785" s="1387" t="e">
        <v>#DIV/0!</v>
      </c>
      <c r="R785" s="513"/>
      <c r="S785" s="513"/>
      <c r="T785" s="513"/>
      <c r="U785" s="37" t="s">
        <v>542</v>
      </c>
    </row>
    <row r="786" spans="1:21" ht="17.100000000000001" customHeight="1" x14ac:dyDescent="0.2">
      <c r="A786" s="2755"/>
      <c r="B786" s="2756"/>
      <c r="C786" s="1411"/>
      <c r="D786" s="1411"/>
      <c r="E786" s="2739"/>
      <c r="F786" s="2740"/>
      <c r="G786" s="2739"/>
      <c r="H786" s="2740"/>
      <c r="I786" s="2739">
        <v>0</v>
      </c>
      <c r="J786" s="2740"/>
      <c r="K786" s="1401"/>
      <c r="L786" s="513"/>
      <c r="M786" s="1382" t="s">
        <v>758</v>
      </c>
      <c r="N786" s="1383"/>
      <c r="O786" s="1383"/>
      <c r="P786" s="1383"/>
      <c r="Q786" s="1387" t="e">
        <v>#DIV/0!</v>
      </c>
      <c r="R786" s="513"/>
      <c r="S786" s="513"/>
      <c r="T786" s="513"/>
    </row>
    <row r="787" spans="1:21" ht="17.100000000000001" customHeight="1" thickBot="1" x14ac:dyDescent="0.25">
      <c r="A787" s="1408"/>
      <c r="B787" s="1409"/>
      <c r="C787" s="1411"/>
      <c r="D787" s="1396"/>
      <c r="E787" s="2739"/>
      <c r="F787" s="2740"/>
      <c r="G787" s="2739"/>
      <c r="H787" s="2740"/>
      <c r="I787" s="2739"/>
      <c r="J787" s="2740"/>
      <c r="K787" s="1401"/>
      <c r="L787" s="1435"/>
      <c r="M787" s="1388" t="s">
        <v>549</v>
      </c>
      <c r="N787" s="1389"/>
      <c r="O787" s="1389"/>
      <c r="P787" s="1389"/>
      <c r="Q787" s="1390" t="e">
        <v>#DIV/0!</v>
      </c>
      <c r="R787" s="513"/>
      <c r="S787" s="513"/>
      <c r="T787" s="513"/>
    </row>
    <row r="788" spans="1:21" ht="17.100000000000001" customHeight="1" thickBot="1" x14ac:dyDescent="0.3">
      <c r="A788" s="1408" t="s">
        <v>821</v>
      </c>
      <c r="B788" s="1409"/>
      <c r="C788" s="1411"/>
      <c r="D788" s="1411"/>
      <c r="E788" s="2781">
        <v>128.5</v>
      </c>
      <c r="F788" s="2782"/>
      <c r="G788" s="2739"/>
      <c r="H788" s="2740"/>
      <c r="I788" s="2739"/>
      <c r="J788" s="2740"/>
      <c r="K788" s="1401"/>
      <c r="L788" s="513"/>
      <c r="M788" s="1391" t="s">
        <v>759</v>
      </c>
      <c r="N788" s="1392"/>
      <c r="O788" s="1392"/>
      <c r="P788" s="1392"/>
      <c r="Q788" s="1393" t="e">
        <v>#DIV/0!</v>
      </c>
      <c r="R788" s="250"/>
      <c r="S788" s="1435"/>
      <c r="T788" s="513"/>
    </row>
    <row r="789" spans="1:21" ht="17.100000000000001" customHeight="1" thickBot="1" x14ac:dyDescent="0.25">
      <c r="A789" s="1436" t="s">
        <v>558</v>
      </c>
      <c r="B789" s="1437"/>
      <c r="C789" s="1438"/>
      <c r="D789" s="1439"/>
      <c r="E789" s="2783"/>
      <c r="F789" s="2784"/>
      <c r="G789" s="2783"/>
      <c r="H789" s="2784"/>
      <c r="I789" s="2785" t="e">
        <v>#DIV/0!</v>
      </c>
      <c r="J789" s="2786"/>
      <c r="K789" s="1423"/>
      <c r="L789" s="513"/>
      <c r="M789" s="513"/>
      <c r="N789" s="513"/>
      <c r="O789" s="513"/>
      <c r="P789" s="513"/>
      <c r="Q789" s="513"/>
      <c r="R789" s="513"/>
      <c r="S789" s="513"/>
      <c r="T789" s="513"/>
    </row>
    <row r="790" spans="1:21" ht="14.1" customHeight="1" x14ac:dyDescent="0.2">
      <c r="A790" s="40"/>
      <c r="B790" s="40"/>
      <c r="C790" s="41"/>
      <c r="D790" s="41"/>
      <c r="E790" s="41"/>
      <c r="F790" s="41"/>
      <c r="G790" s="42"/>
      <c r="H790" s="42"/>
      <c r="I790" s="44"/>
      <c r="J790" s="45"/>
      <c r="K790" s="45"/>
      <c r="L790" s="7" t="s">
        <v>1528</v>
      </c>
      <c r="M790" s="8"/>
      <c r="N790" s="8"/>
      <c r="O790" s="8"/>
      <c r="P790" s="4"/>
      <c r="Q790" s="5"/>
      <c r="R790" s="1979"/>
      <c r="S790" s="45"/>
      <c r="T790" s="45"/>
    </row>
    <row r="791" spans="1:21" ht="14.1" customHeight="1" x14ac:dyDescent="0.2">
      <c r="A791" s="40"/>
      <c r="B791" s="40"/>
      <c r="C791" s="41"/>
      <c r="D791" s="41"/>
      <c r="E791" s="41"/>
      <c r="F791" s="41"/>
      <c r="G791" s="42"/>
      <c r="H791" s="42"/>
      <c r="I791" s="44"/>
      <c r="J791" s="45"/>
      <c r="K791" s="45"/>
      <c r="L791" s="597" t="s">
        <v>1583</v>
      </c>
      <c r="M791" s="45"/>
      <c r="N791" s="45"/>
      <c r="O791" s="45"/>
      <c r="P791" s="45"/>
      <c r="Q791" s="45"/>
      <c r="R791" s="45"/>
      <c r="S791" s="45"/>
      <c r="T791" s="45"/>
    </row>
    <row r="792" spans="1:21" ht="14.1" customHeight="1" x14ac:dyDescent="0.2">
      <c r="A792" s="40"/>
      <c r="B792" s="40"/>
      <c r="C792" s="41"/>
      <c r="D792" s="41"/>
      <c r="E792" s="41"/>
      <c r="F792" s="41"/>
      <c r="G792" s="42"/>
      <c r="H792" s="42"/>
      <c r="I792" s="44"/>
      <c r="J792" s="45"/>
      <c r="K792" s="45"/>
      <c r="L792" s="597" t="s">
        <v>1938</v>
      </c>
      <c r="M792" s="40"/>
      <c r="N792" s="41"/>
      <c r="O792" s="41"/>
      <c r="P792" s="41"/>
      <c r="Q792" s="41"/>
      <c r="R792" s="45"/>
      <c r="S792" s="45"/>
      <c r="T792" s="45"/>
    </row>
    <row r="793" spans="1:21" ht="14.1" customHeight="1" x14ac:dyDescent="0.2">
      <c r="A793" s="2654"/>
      <c r="B793" s="2654"/>
      <c r="C793" s="2654"/>
      <c r="D793" s="2654"/>
      <c r="E793" s="2654"/>
      <c r="F793" s="2654"/>
      <c r="G793" s="2654"/>
      <c r="H793" s="2654"/>
      <c r="I793" s="2654"/>
      <c r="J793" s="2654"/>
      <c r="K793" s="2654"/>
      <c r="L793" s="2654"/>
      <c r="M793" s="2654"/>
      <c r="N793" s="2654"/>
      <c r="O793" s="2654"/>
      <c r="P793" s="2654"/>
      <c r="Q793" s="2654"/>
      <c r="R793" s="2654"/>
      <c r="S793" s="2654"/>
      <c r="T793" s="2654"/>
    </row>
    <row r="794" spans="1:21" ht="14.1" customHeight="1" x14ac:dyDescent="0.2">
      <c r="A794" s="2787"/>
      <c r="B794" s="2787"/>
      <c r="C794" s="2787"/>
      <c r="D794" s="2787"/>
      <c r="E794" s="2787"/>
      <c r="F794" s="2787"/>
      <c r="G794" s="2787"/>
      <c r="H794" s="2787"/>
      <c r="I794" s="2787"/>
      <c r="J794" s="2787"/>
      <c r="K794" s="2787"/>
      <c r="L794" s="2787"/>
      <c r="M794" s="2787"/>
      <c r="N794" s="2787"/>
      <c r="O794" s="2787"/>
      <c r="P794" s="2787"/>
      <c r="Q794" s="2787"/>
      <c r="R794" s="2787"/>
      <c r="S794" s="2787"/>
      <c r="T794" s="2787"/>
    </row>
    <row r="795" spans="1:21" ht="14.1" customHeight="1" x14ac:dyDescent="0.2">
      <c r="A795" s="2298"/>
      <c r="B795" s="2298"/>
      <c r="C795" s="2298"/>
      <c r="D795" s="2298"/>
      <c r="E795" s="2298"/>
      <c r="F795" s="2298"/>
      <c r="G795" s="2298"/>
      <c r="H795" s="2298"/>
      <c r="I795" s="2298"/>
      <c r="J795" s="2298"/>
      <c r="K795" s="2298"/>
      <c r="L795" s="2298"/>
      <c r="M795" s="2298"/>
      <c r="N795" s="2298"/>
      <c r="O795" s="2298"/>
      <c r="P795" s="2298"/>
      <c r="Q795" s="2298"/>
      <c r="R795" s="2298"/>
      <c r="S795" s="2298"/>
      <c r="T795" s="2298"/>
    </row>
    <row r="796" spans="1:21" ht="14.1" customHeight="1" x14ac:dyDescent="0.2">
      <c r="A796" s="40"/>
      <c r="B796" s="40"/>
      <c r="C796" s="41"/>
      <c r="D796" s="41"/>
      <c r="E796" s="41"/>
      <c r="F796" s="41"/>
      <c r="G796" s="42"/>
      <c r="H796" s="42"/>
      <c r="I796" s="44"/>
      <c r="J796" s="45"/>
      <c r="K796" s="45"/>
      <c r="L796" s="40"/>
      <c r="M796" s="40"/>
      <c r="N796" s="41"/>
      <c r="O796" s="41"/>
      <c r="P796" s="41"/>
      <c r="Q796" s="41"/>
      <c r="R796" s="45"/>
      <c r="S796" s="45"/>
      <c r="T796" s="45"/>
    </row>
    <row r="797" spans="1:21" ht="21.75" customHeight="1" x14ac:dyDescent="0.2">
      <c r="A797" s="2611" t="s">
        <v>1918</v>
      </c>
      <c r="B797" s="2611"/>
      <c r="C797" s="2611"/>
      <c r="D797" s="2611"/>
      <c r="E797" s="2611"/>
      <c r="F797" s="2611"/>
      <c r="G797" s="2611"/>
      <c r="H797" s="2611"/>
      <c r="I797" s="2611"/>
      <c r="J797" s="2611"/>
      <c r="K797" s="2611"/>
      <c r="L797" s="2611"/>
      <c r="M797" s="2611"/>
      <c r="N797" s="2611"/>
      <c r="O797" s="2611"/>
      <c r="P797" s="2611"/>
      <c r="Q797" s="2611"/>
      <c r="R797" s="2611"/>
      <c r="S797" s="2611"/>
      <c r="T797" s="2611"/>
    </row>
    <row r="798" spans="1:21" ht="14.1" customHeight="1" x14ac:dyDescent="0.2">
      <c r="A798" s="40"/>
      <c r="B798" s="40"/>
      <c r="C798" s="115"/>
      <c r="D798" s="41"/>
      <c r="E798" s="41"/>
      <c r="F798" s="41"/>
      <c r="G798" s="42"/>
      <c r="H798" s="42"/>
      <c r="I798" s="44"/>
      <c r="J798" s="45"/>
      <c r="K798" s="45"/>
      <c r="L798" s="40"/>
      <c r="M798" s="40"/>
      <c r="N798" s="115"/>
      <c r="O798" s="45"/>
      <c r="P798" s="45"/>
      <c r="Q798" s="45"/>
      <c r="R798" s="45"/>
      <c r="S798" s="45"/>
      <c r="T798" s="45"/>
    </row>
    <row r="799" spans="1:21" ht="14.1" customHeight="1" thickBot="1" x14ac:dyDescent="0.25">
      <c r="A799" s="40"/>
      <c r="B799" s="40"/>
      <c r="C799" s="41"/>
      <c r="D799" s="41"/>
      <c r="E799" s="41"/>
      <c r="F799" s="41"/>
      <c r="G799" s="42"/>
      <c r="H799" s="42"/>
      <c r="I799" s="44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</row>
    <row r="800" spans="1:21" ht="17.100000000000001" customHeight="1" x14ac:dyDescent="0.3">
      <c r="A800" s="2612" t="s">
        <v>435</v>
      </c>
      <c r="B800" s="2613"/>
      <c r="C800" s="2618" t="s">
        <v>436</v>
      </c>
      <c r="D800" s="2619"/>
      <c r="E800" s="2619"/>
      <c r="F800" s="2620"/>
      <c r="G800" s="2624" t="s">
        <v>437</v>
      </c>
      <c r="H800" s="2625"/>
      <c r="I800" s="2618" t="s">
        <v>439</v>
      </c>
      <c r="J800" s="2620"/>
      <c r="K800" s="49"/>
      <c r="L800" s="2626" t="s">
        <v>435</v>
      </c>
      <c r="M800" s="2618" t="s">
        <v>436</v>
      </c>
      <c r="N800" s="2619"/>
      <c r="O800" s="2619"/>
      <c r="P800" s="2620"/>
      <c r="Q800" s="2624" t="s">
        <v>437</v>
      </c>
      <c r="R800" s="2625"/>
      <c r="S800" s="2618" t="s">
        <v>439</v>
      </c>
      <c r="T800" s="2620"/>
    </row>
    <row r="801" spans="1:20" ht="17.100000000000001" customHeight="1" thickBot="1" x14ac:dyDescent="0.35">
      <c r="A801" s="2614"/>
      <c r="B801" s="2615"/>
      <c r="C801" s="2621"/>
      <c r="D801" s="2622"/>
      <c r="E801" s="2622"/>
      <c r="F801" s="2623"/>
      <c r="G801" s="2629" t="s">
        <v>440</v>
      </c>
      <c r="H801" s="2630"/>
      <c r="I801" s="2631"/>
      <c r="J801" s="2632"/>
      <c r="K801" s="49"/>
      <c r="L801" s="2627"/>
      <c r="M801" s="2621"/>
      <c r="N801" s="2622"/>
      <c r="O801" s="2622"/>
      <c r="P801" s="2623"/>
      <c r="Q801" s="2629" t="s">
        <v>440</v>
      </c>
      <c r="R801" s="2630"/>
      <c r="S801" s="2631"/>
      <c r="T801" s="2632"/>
    </row>
    <row r="802" spans="1:20" ht="17.100000000000001" customHeight="1" x14ac:dyDescent="0.3">
      <c r="A802" s="2614"/>
      <c r="B802" s="2615"/>
      <c r="C802" s="53" t="s">
        <v>441</v>
      </c>
      <c r="D802" s="2633" t="s">
        <v>442</v>
      </c>
      <c r="E802" s="2618" t="s">
        <v>443</v>
      </c>
      <c r="F802" s="2620"/>
      <c r="G802" s="2629" t="s">
        <v>444</v>
      </c>
      <c r="H802" s="2630"/>
      <c r="I802" s="2631" t="s">
        <v>348</v>
      </c>
      <c r="J802" s="2632"/>
      <c r="K802" s="49"/>
      <c r="L802" s="2627"/>
      <c r="M802" s="51" t="s">
        <v>441</v>
      </c>
      <c r="N802" s="2633" t="s">
        <v>442</v>
      </c>
      <c r="O802" s="2618" t="s">
        <v>443</v>
      </c>
      <c r="P802" s="2620"/>
      <c r="Q802" s="2629" t="s">
        <v>444</v>
      </c>
      <c r="R802" s="2630"/>
      <c r="S802" s="2631" t="s">
        <v>348</v>
      </c>
      <c r="T802" s="2632"/>
    </row>
    <row r="803" spans="1:20" ht="17.100000000000001" customHeight="1" thickBot="1" x14ac:dyDescent="0.35">
      <c r="A803" s="2616"/>
      <c r="B803" s="2617"/>
      <c r="C803" s="54" t="s">
        <v>445</v>
      </c>
      <c r="D803" s="2634"/>
      <c r="E803" s="2621"/>
      <c r="F803" s="2623"/>
      <c r="G803" s="2561"/>
      <c r="H803" s="2562"/>
      <c r="I803" s="2635"/>
      <c r="J803" s="2636"/>
      <c r="K803" s="49"/>
      <c r="L803" s="2628"/>
      <c r="M803" s="50" t="s">
        <v>445</v>
      </c>
      <c r="N803" s="2634"/>
      <c r="O803" s="2621"/>
      <c r="P803" s="2623"/>
      <c r="Q803" s="2561"/>
      <c r="R803" s="2562"/>
      <c r="S803" s="2621"/>
      <c r="T803" s="2623"/>
    </row>
    <row r="804" spans="1:20" ht="17.100000000000001" customHeight="1" x14ac:dyDescent="0.3">
      <c r="A804" s="116" t="s">
        <v>446</v>
      </c>
      <c r="B804" s="117"/>
      <c r="C804" s="118"/>
      <c r="D804" s="118"/>
      <c r="E804" s="2603"/>
      <c r="F804" s="2604"/>
      <c r="G804" s="2605"/>
      <c r="H804" s="2606"/>
      <c r="I804" s="2607"/>
      <c r="J804" s="2608"/>
      <c r="K804" s="45"/>
      <c r="L804" s="119" t="s">
        <v>447</v>
      </c>
      <c r="M804" s="118"/>
      <c r="N804" s="118"/>
      <c r="O804" s="2605"/>
      <c r="P804" s="2606"/>
      <c r="Q804" s="2605"/>
      <c r="R804" s="2606"/>
      <c r="S804" s="2605"/>
      <c r="T804" s="2606"/>
    </row>
    <row r="805" spans="1:20" ht="17.100000000000001" customHeight="1" x14ac:dyDescent="0.35">
      <c r="A805" s="2595" t="s">
        <v>448</v>
      </c>
      <c r="B805" s="2596"/>
      <c r="C805" s="120"/>
      <c r="D805" s="120"/>
      <c r="E805" s="2576"/>
      <c r="F805" s="2577"/>
      <c r="G805" s="2559"/>
      <c r="H805" s="2560"/>
      <c r="I805" s="2565">
        <v>141000</v>
      </c>
      <c r="J805" s="2566"/>
      <c r="K805" s="121"/>
      <c r="L805" s="122"/>
      <c r="M805" s="120"/>
      <c r="N805" s="120"/>
      <c r="O805" s="2559"/>
      <c r="P805" s="2560"/>
      <c r="Q805" s="2559"/>
      <c r="R805" s="2560"/>
      <c r="S805" s="2559"/>
      <c r="T805" s="2560"/>
    </row>
    <row r="806" spans="1:20" ht="17.100000000000001" customHeight="1" x14ac:dyDescent="0.4">
      <c r="A806" s="2589" t="s">
        <v>449</v>
      </c>
      <c r="B806" s="2590"/>
      <c r="C806" s="120" t="s">
        <v>496</v>
      </c>
      <c r="D806" s="120" t="s">
        <v>497</v>
      </c>
      <c r="E806" s="2576">
        <v>3</v>
      </c>
      <c r="F806" s="2577"/>
      <c r="G806" s="2641">
        <v>47000</v>
      </c>
      <c r="H806" s="2642">
        <v>38202.400000000001</v>
      </c>
      <c r="I806" s="2559">
        <v>141000</v>
      </c>
      <c r="J806" s="2560"/>
      <c r="K806" s="124"/>
      <c r="L806" s="122" t="s">
        <v>450</v>
      </c>
      <c r="M806" s="120" t="s">
        <v>822</v>
      </c>
      <c r="N806" s="120" t="s">
        <v>823</v>
      </c>
      <c r="O806" s="2559">
        <v>800</v>
      </c>
      <c r="P806" s="2560"/>
      <c r="Q806" s="2559">
        <v>1038.1600000000001</v>
      </c>
      <c r="R806" s="2560"/>
      <c r="S806" s="2559">
        <v>830528.00000000012</v>
      </c>
      <c r="T806" s="2560"/>
    </row>
    <row r="807" spans="1:20" ht="17.100000000000001" customHeight="1" x14ac:dyDescent="0.3">
      <c r="A807" s="2589" t="s">
        <v>453</v>
      </c>
      <c r="B807" s="2590"/>
      <c r="C807" s="120"/>
      <c r="D807" s="120"/>
      <c r="E807" s="2576"/>
      <c r="F807" s="2577"/>
      <c r="G807" s="2559"/>
      <c r="H807" s="2560"/>
      <c r="I807" s="2559">
        <v>0</v>
      </c>
      <c r="J807" s="2560"/>
      <c r="K807" s="124"/>
      <c r="L807" s="122" t="s">
        <v>454</v>
      </c>
      <c r="M807" s="120"/>
      <c r="N807" s="120"/>
      <c r="O807" s="2559"/>
      <c r="P807" s="2560"/>
      <c r="Q807" s="2559"/>
      <c r="R807" s="2560"/>
      <c r="S807" s="2559">
        <v>0</v>
      </c>
      <c r="T807" s="2560"/>
    </row>
    <row r="808" spans="1:20" ht="17.100000000000001" customHeight="1" x14ac:dyDescent="0.3">
      <c r="A808" s="2589" t="s">
        <v>455</v>
      </c>
      <c r="B808" s="2590"/>
      <c r="C808" s="120"/>
      <c r="D808" s="120"/>
      <c r="E808" s="2576"/>
      <c r="F808" s="2577"/>
      <c r="G808" s="2559"/>
      <c r="H808" s="2560"/>
      <c r="I808" s="2559">
        <v>0</v>
      </c>
      <c r="J808" s="2560"/>
      <c r="K808" s="124"/>
      <c r="L808" s="122" t="s">
        <v>456</v>
      </c>
      <c r="M808" s="120"/>
      <c r="N808" s="120"/>
      <c r="O808" s="2559"/>
      <c r="P808" s="2560"/>
      <c r="Q808" s="2559"/>
      <c r="R808" s="2560"/>
      <c r="S808" s="2559">
        <v>0</v>
      </c>
      <c r="T808" s="2560"/>
    </row>
    <row r="809" spans="1:20" ht="17.100000000000001" customHeight="1" x14ac:dyDescent="0.2">
      <c r="A809" s="2600" t="s">
        <v>560</v>
      </c>
      <c r="B809" s="2601"/>
      <c r="C809" s="120"/>
      <c r="D809" s="120"/>
      <c r="E809" s="2576"/>
      <c r="F809" s="2577"/>
      <c r="G809" s="2559"/>
      <c r="H809" s="2560"/>
      <c r="I809" s="2565">
        <v>1686119.6576</v>
      </c>
      <c r="J809" s="2566"/>
      <c r="K809" s="126"/>
      <c r="L809" s="122" t="s">
        <v>458</v>
      </c>
      <c r="M809" s="120" t="s">
        <v>459</v>
      </c>
      <c r="N809" s="120" t="s">
        <v>809</v>
      </c>
      <c r="O809" s="2559">
        <v>2</v>
      </c>
      <c r="P809" s="2560"/>
      <c r="Q809" s="2602">
        <v>149734</v>
      </c>
      <c r="R809" s="2602"/>
      <c r="S809" s="2559">
        <v>299468</v>
      </c>
      <c r="T809" s="2560"/>
    </row>
    <row r="810" spans="1:20" ht="17.100000000000001" customHeight="1" x14ac:dyDescent="0.4">
      <c r="A810" s="127" t="s">
        <v>461</v>
      </c>
      <c r="B810" s="128"/>
      <c r="C810" s="120" t="s">
        <v>496</v>
      </c>
      <c r="D810" s="120" t="s">
        <v>497</v>
      </c>
      <c r="E810" s="2576">
        <v>10</v>
      </c>
      <c r="F810" s="2577"/>
      <c r="G810" s="2641">
        <v>47000</v>
      </c>
      <c r="H810" s="2642">
        <v>38202.400000000001</v>
      </c>
      <c r="I810" s="2559">
        <v>470000</v>
      </c>
      <c r="J810" s="2560"/>
      <c r="K810" s="124"/>
      <c r="L810" s="122" t="s">
        <v>589</v>
      </c>
      <c r="M810" s="120" t="s">
        <v>590</v>
      </c>
      <c r="N810" s="120" t="s">
        <v>809</v>
      </c>
      <c r="O810" s="2559">
        <v>8</v>
      </c>
      <c r="P810" s="2560"/>
      <c r="Q810" s="2559">
        <v>223254</v>
      </c>
      <c r="R810" s="2560"/>
      <c r="S810" s="2559">
        <v>1786032</v>
      </c>
      <c r="T810" s="2560"/>
    </row>
    <row r="811" spans="1:20" ht="17.100000000000001" customHeight="1" x14ac:dyDescent="0.4">
      <c r="A811" s="129" t="s">
        <v>711</v>
      </c>
      <c r="B811" s="130"/>
      <c r="C811" s="120" t="s">
        <v>496</v>
      </c>
      <c r="D811" s="120" t="s">
        <v>497</v>
      </c>
      <c r="E811" s="2576">
        <v>12</v>
      </c>
      <c r="F811" s="2577"/>
      <c r="G811" s="2641">
        <v>47000</v>
      </c>
      <c r="H811" s="2642">
        <v>38202.400000000001</v>
      </c>
      <c r="I811" s="2559">
        <v>564000</v>
      </c>
      <c r="J811" s="2560"/>
      <c r="K811" s="124"/>
      <c r="L811" s="122" t="s">
        <v>471</v>
      </c>
      <c r="M811" s="120" t="s">
        <v>566</v>
      </c>
      <c r="N811" s="120" t="s">
        <v>591</v>
      </c>
      <c r="O811" s="2559">
        <v>6</v>
      </c>
      <c r="P811" s="2560"/>
      <c r="Q811" s="2559">
        <v>28583</v>
      </c>
      <c r="R811" s="2560"/>
      <c r="S811" s="2559">
        <v>171498</v>
      </c>
      <c r="T811" s="2560"/>
    </row>
    <row r="812" spans="1:20" ht="17.100000000000001" customHeight="1" x14ac:dyDescent="0.3">
      <c r="A812" s="127" t="s">
        <v>465</v>
      </c>
      <c r="B812" s="128"/>
      <c r="C812" s="120"/>
      <c r="D812" s="120"/>
      <c r="E812" s="2576"/>
      <c r="F812" s="2577"/>
      <c r="G812" s="2559"/>
      <c r="H812" s="2560"/>
      <c r="I812" s="2559">
        <v>0</v>
      </c>
      <c r="J812" s="2560"/>
      <c r="K812" s="124"/>
      <c r="L812" s="122" t="s">
        <v>504</v>
      </c>
      <c r="M812" s="120"/>
      <c r="N812" s="120"/>
      <c r="O812" s="2559"/>
      <c r="P812" s="2560"/>
      <c r="Q812" s="2559"/>
      <c r="R812" s="2560"/>
      <c r="S812" s="2559">
        <v>0</v>
      </c>
      <c r="T812" s="2560"/>
    </row>
    <row r="813" spans="1:20" ht="17.100000000000001" customHeight="1" x14ac:dyDescent="0.3">
      <c r="A813" s="127" t="s">
        <v>469</v>
      </c>
      <c r="B813" s="128"/>
      <c r="C813" s="120" t="s">
        <v>466</v>
      </c>
      <c r="D813" s="120" t="s">
        <v>493</v>
      </c>
      <c r="E813" s="2576">
        <v>2</v>
      </c>
      <c r="F813" s="2577"/>
      <c r="G813" s="2559">
        <v>212727.72639999999</v>
      </c>
      <c r="H813" s="2560">
        <v>173034.4</v>
      </c>
      <c r="I813" s="2559">
        <v>425455.45279999997</v>
      </c>
      <c r="J813" s="2560"/>
      <c r="K813" s="124"/>
      <c r="L813" s="122"/>
      <c r="M813" s="120"/>
      <c r="N813" s="120"/>
      <c r="O813" s="2559"/>
      <c r="P813" s="2560"/>
      <c r="Q813" s="2559"/>
      <c r="R813" s="2560"/>
      <c r="S813" s="2559"/>
      <c r="T813" s="2560"/>
    </row>
    <row r="814" spans="1:20" ht="17.100000000000001" customHeight="1" x14ac:dyDescent="0.3">
      <c r="A814" s="131" t="s">
        <v>470</v>
      </c>
      <c r="B814" s="132"/>
      <c r="C814" s="120" t="s">
        <v>466</v>
      </c>
      <c r="D814" s="120" t="s">
        <v>493</v>
      </c>
      <c r="E814" s="2576">
        <v>2</v>
      </c>
      <c r="F814" s="2577"/>
      <c r="G814" s="2559">
        <v>113332.1024</v>
      </c>
      <c r="H814" s="2560">
        <v>92185.02</v>
      </c>
      <c r="I814" s="2559">
        <v>226664.20480000001</v>
      </c>
      <c r="J814" s="2560"/>
      <c r="K814" s="124"/>
      <c r="L814" s="122"/>
      <c r="M814" s="120"/>
      <c r="N814" s="120"/>
      <c r="O814" s="2559"/>
      <c r="P814" s="2560"/>
      <c r="Q814" s="2559"/>
      <c r="R814" s="2560"/>
      <c r="S814" s="2559"/>
      <c r="T814" s="2560"/>
    </row>
    <row r="815" spans="1:20" ht="17.100000000000001" customHeight="1" x14ac:dyDescent="0.3">
      <c r="A815" s="127" t="s">
        <v>474</v>
      </c>
      <c r="B815" s="128"/>
      <c r="C815" s="120"/>
      <c r="D815" s="120"/>
      <c r="E815" s="2576"/>
      <c r="F815" s="2577"/>
      <c r="G815" s="2559"/>
      <c r="H815" s="2560"/>
      <c r="I815" s="2559">
        <v>0</v>
      </c>
      <c r="J815" s="2560"/>
      <c r="K815" s="124"/>
      <c r="L815" s="122" t="s">
        <v>475</v>
      </c>
      <c r="M815" s="120"/>
      <c r="N815" s="120"/>
      <c r="O815" s="2559"/>
      <c r="P815" s="2560"/>
      <c r="Q815" s="2559"/>
      <c r="R815" s="2560"/>
      <c r="S815" s="2559">
        <v>0</v>
      </c>
      <c r="T815" s="2560"/>
    </row>
    <row r="816" spans="1:20" ht="17.100000000000001" customHeight="1" x14ac:dyDescent="0.3">
      <c r="A816" s="127" t="s">
        <v>476</v>
      </c>
      <c r="B816" s="128"/>
      <c r="C816" s="120"/>
      <c r="D816" s="120"/>
      <c r="E816" s="2576"/>
      <c r="F816" s="2577"/>
      <c r="G816" s="2559"/>
      <c r="H816" s="2560"/>
      <c r="I816" s="2559">
        <v>0</v>
      </c>
      <c r="J816" s="2560"/>
      <c r="K816" s="124"/>
      <c r="L816" s="122" t="s">
        <v>477</v>
      </c>
      <c r="M816" s="120"/>
      <c r="N816" s="120"/>
      <c r="O816" s="2559"/>
      <c r="P816" s="2560"/>
      <c r="Q816" s="2559"/>
      <c r="R816" s="2560"/>
      <c r="S816" s="2559">
        <v>0</v>
      </c>
      <c r="T816" s="2560"/>
    </row>
    <row r="817" spans="1:20" ht="17.100000000000001" customHeight="1" x14ac:dyDescent="0.3">
      <c r="A817" s="2597" t="s">
        <v>480</v>
      </c>
      <c r="B817" s="2598"/>
      <c r="C817" s="120"/>
      <c r="D817" s="120"/>
      <c r="E817" s="2576"/>
      <c r="F817" s="2577"/>
      <c r="G817" s="2559"/>
      <c r="H817" s="2560"/>
      <c r="I817" s="2559">
        <v>0</v>
      </c>
      <c r="J817" s="2560"/>
      <c r="K817" s="124"/>
      <c r="L817" s="122" t="s">
        <v>481</v>
      </c>
      <c r="M817" s="120"/>
      <c r="N817" s="120"/>
      <c r="O817" s="2559"/>
      <c r="P817" s="2560"/>
      <c r="Q817" s="2559"/>
      <c r="R817" s="2560"/>
      <c r="S817" s="2559">
        <v>0</v>
      </c>
      <c r="T817" s="2560"/>
    </row>
    <row r="818" spans="1:20" ht="17.100000000000001" customHeight="1" x14ac:dyDescent="0.3">
      <c r="A818" s="127" t="s">
        <v>454</v>
      </c>
      <c r="B818" s="128"/>
      <c r="C818" s="120"/>
      <c r="D818" s="120"/>
      <c r="E818" s="2576"/>
      <c r="F818" s="2577"/>
      <c r="G818" s="2559"/>
      <c r="H818" s="2560"/>
      <c r="I818" s="2559">
        <v>0</v>
      </c>
      <c r="J818" s="2560"/>
      <c r="K818" s="124"/>
      <c r="L818" s="122" t="s">
        <v>483</v>
      </c>
      <c r="M818" s="120" t="s">
        <v>592</v>
      </c>
      <c r="N818" s="120" t="s">
        <v>591</v>
      </c>
      <c r="O818" s="2559">
        <v>2</v>
      </c>
      <c r="P818" s="2560"/>
      <c r="Q818" s="2559">
        <v>65230.324800000002</v>
      </c>
      <c r="R818" s="2560"/>
      <c r="S818" s="2559">
        <v>130460.6496</v>
      </c>
      <c r="T818" s="2560"/>
    </row>
    <row r="819" spans="1:20" ht="17.100000000000001" customHeight="1" x14ac:dyDescent="0.3">
      <c r="A819" s="127" t="s">
        <v>715</v>
      </c>
      <c r="B819" s="128"/>
      <c r="C819" s="120"/>
      <c r="D819" s="120"/>
      <c r="E819" s="2576"/>
      <c r="F819" s="2577"/>
      <c r="G819" s="2559"/>
      <c r="H819" s="2560"/>
      <c r="I819" s="2559">
        <v>0</v>
      </c>
      <c r="J819" s="2560"/>
      <c r="K819" s="124"/>
      <c r="L819" s="122" t="s">
        <v>486</v>
      </c>
      <c r="M819" s="120" t="s">
        <v>761</v>
      </c>
      <c r="N819" s="120" t="s">
        <v>591</v>
      </c>
      <c r="O819" s="2559">
        <v>2</v>
      </c>
      <c r="P819" s="2560"/>
      <c r="Q819" s="2559">
        <v>43883</v>
      </c>
      <c r="R819" s="2560"/>
      <c r="S819" s="2559">
        <v>87766</v>
      </c>
      <c r="T819" s="2560"/>
    </row>
    <row r="820" spans="1:20" ht="17.100000000000001" customHeight="1" x14ac:dyDescent="0.3">
      <c r="A820" s="133" t="s">
        <v>488</v>
      </c>
      <c r="B820" s="134"/>
      <c r="C820" s="120"/>
      <c r="D820" s="120"/>
      <c r="E820" s="2576"/>
      <c r="F820" s="2577"/>
      <c r="G820" s="2559"/>
      <c r="H820" s="2560"/>
      <c r="I820" s="2559">
        <v>0</v>
      </c>
      <c r="J820" s="2560"/>
      <c r="K820" s="124"/>
      <c r="L820" s="122" t="s">
        <v>489</v>
      </c>
      <c r="M820" s="120" t="s">
        <v>824</v>
      </c>
      <c r="N820" s="120" t="s">
        <v>452</v>
      </c>
      <c r="O820" s="2559">
        <v>2</v>
      </c>
      <c r="P820" s="2560"/>
      <c r="Q820" s="2559">
        <v>214218.30559999999</v>
      </c>
      <c r="R820" s="2560"/>
      <c r="S820" s="2559">
        <v>428436.61119999998</v>
      </c>
      <c r="T820" s="2560"/>
    </row>
    <row r="821" spans="1:20" ht="17.100000000000001" customHeight="1" x14ac:dyDescent="0.3">
      <c r="A821" s="135" t="s">
        <v>490</v>
      </c>
      <c r="B821" s="136"/>
      <c r="C821" s="120"/>
      <c r="D821" s="120"/>
      <c r="E821" s="2576"/>
      <c r="F821" s="2577"/>
      <c r="G821" s="2559"/>
      <c r="H821" s="2560"/>
      <c r="I821" s="2565">
        <v>517000</v>
      </c>
      <c r="J821" s="2566"/>
      <c r="K821" s="124"/>
      <c r="L821" s="122" t="s">
        <v>491</v>
      </c>
      <c r="M821" s="120" t="s">
        <v>796</v>
      </c>
      <c r="N821" s="120" t="s">
        <v>591</v>
      </c>
      <c r="O821" s="2559">
        <v>2</v>
      </c>
      <c r="P821" s="2560"/>
      <c r="Q821" s="2559">
        <v>170735.7936</v>
      </c>
      <c r="R821" s="2560"/>
      <c r="S821" s="2559">
        <v>341471.58720000001</v>
      </c>
      <c r="T821" s="2560"/>
    </row>
    <row r="822" spans="1:20" ht="17.100000000000001" customHeight="1" x14ac:dyDescent="0.4">
      <c r="A822" s="133" t="s">
        <v>492</v>
      </c>
      <c r="B822" s="136"/>
      <c r="C822" s="120" t="s">
        <v>496</v>
      </c>
      <c r="D822" s="120" t="s">
        <v>497</v>
      </c>
      <c r="E822" s="2559">
        <v>9</v>
      </c>
      <c r="F822" s="2560"/>
      <c r="G822" s="2641">
        <v>47000</v>
      </c>
      <c r="H822" s="2642">
        <v>38202.400000000001</v>
      </c>
      <c r="I822" s="2559">
        <v>423000</v>
      </c>
      <c r="J822" s="2560"/>
      <c r="K822" s="124"/>
      <c r="L822" s="122" t="s">
        <v>494</v>
      </c>
      <c r="M822" s="120" t="s">
        <v>825</v>
      </c>
      <c r="N822" s="120" t="s">
        <v>452</v>
      </c>
      <c r="O822" s="2559">
        <v>10</v>
      </c>
      <c r="P822" s="2560"/>
      <c r="Q822" s="2559">
        <v>22548.835200000001</v>
      </c>
      <c r="R822" s="2560"/>
      <c r="S822" s="2559">
        <v>225488.35200000001</v>
      </c>
      <c r="T822" s="2560"/>
    </row>
    <row r="823" spans="1:20" ht="17.100000000000001" customHeight="1" x14ac:dyDescent="0.3">
      <c r="A823" s="137" t="s">
        <v>717</v>
      </c>
      <c r="B823" s="138"/>
      <c r="C823" s="120"/>
      <c r="D823" s="120"/>
      <c r="E823" s="2559"/>
      <c r="F823" s="2560"/>
      <c r="G823" s="2559"/>
      <c r="H823" s="2560"/>
      <c r="I823" s="2559">
        <v>0</v>
      </c>
      <c r="J823" s="2560"/>
      <c r="K823" s="124"/>
      <c r="L823" s="122" t="s">
        <v>498</v>
      </c>
      <c r="M823" s="120"/>
      <c r="N823" s="120"/>
      <c r="O823" s="2559"/>
      <c r="P823" s="2560"/>
      <c r="Q823" s="2559"/>
      <c r="R823" s="2560"/>
      <c r="S823" s="2559">
        <v>0</v>
      </c>
      <c r="T823" s="2560"/>
    </row>
    <row r="824" spans="1:20" ht="17.100000000000001" customHeight="1" x14ac:dyDescent="0.3">
      <c r="A824" s="2578" t="s">
        <v>501</v>
      </c>
      <c r="B824" s="2579"/>
      <c r="C824" s="120"/>
      <c r="D824" s="120"/>
      <c r="E824" s="2559"/>
      <c r="F824" s="2560"/>
      <c r="G824" s="2559"/>
      <c r="H824" s="2560"/>
      <c r="I824" s="2559">
        <v>0</v>
      </c>
      <c r="J824" s="2560"/>
      <c r="K824" s="124"/>
      <c r="L824" s="139" t="s">
        <v>504</v>
      </c>
      <c r="M824" s="140"/>
      <c r="N824" s="140"/>
      <c r="O824" s="2559"/>
      <c r="P824" s="2560"/>
      <c r="Q824" s="2559"/>
      <c r="R824" s="2560"/>
      <c r="S824" s="2559">
        <v>0</v>
      </c>
      <c r="T824" s="2560"/>
    </row>
    <row r="825" spans="1:20" ht="17.100000000000001" customHeight="1" x14ac:dyDescent="0.4">
      <c r="A825" s="2589" t="s">
        <v>495</v>
      </c>
      <c r="B825" s="2590"/>
      <c r="C825" s="120" t="s">
        <v>496</v>
      </c>
      <c r="D825" s="120" t="s">
        <v>497</v>
      </c>
      <c r="E825" s="2559">
        <v>2</v>
      </c>
      <c r="F825" s="2560"/>
      <c r="G825" s="2641">
        <v>47000</v>
      </c>
      <c r="H825" s="2642">
        <v>38202.400000000001</v>
      </c>
      <c r="I825" s="2559">
        <v>94000</v>
      </c>
      <c r="J825" s="2560"/>
      <c r="K825" s="124"/>
      <c r="L825" s="139"/>
      <c r="M825" s="139"/>
      <c r="N825" s="139"/>
      <c r="O825" s="2559"/>
      <c r="P825" s="2560"/>
      <c r="Q825" s="2559"/>
      <c r="R825" s="2560"/>
      <c r="S825" s="2559"/>
      <c r="T825" s="2560"/>
    </row>
    <row r="826" spans="1:20" ht="17.100000000000001" customHeight="1" x14ac:dyDescent="0.3">
      <c r="A826" s="2589"/>
      <c r="B826" s="2590"/>
      <c r="C826" s="120"/>
      <c r="D826" s="120"/>
      <c r="E826" s="2559"/>
      <c r="F826" s="2560"/>
      <c r="G826" s="2559"/>
      <c r="H826" s="2560"/>
      <c r="I826" s="2559">
        <v>0</v>
      </c>
      <c r="J826" s="2560"/>
      <c r="K826" s="124"/>
      <c r="L826" s="139" t="s">
        <v>595</v>
      </c>
      <c r="M826" s="139"/>
      <c r="N826" s="139"/>
      <c r="O826" s="2559"/>
      <c r="P826" s="2560"/>
      <c r="Q826" s="2559"/>
      <c r="R826" s="2560"/>
      <c r="S826" s="2559">
        <v>0</v>
      </c>
      <c r="T826" s="2560"/>
    </row>
    <row r="827" spans="1:20" ht="17.100000000000001" customHeight="1" x14ac:dyDescent="0.35">
      <c r="A827" s="2595" t="s">
        <v>506</v>
      </c>
      <c r="B827" s="2596"/>
      <c r="C827" s="120"/>
      <c r="D827" s="120"/>
      <c r="E827" s="2576"/>
      <c r="F827" s="2577"/>
      <c r="G827" s="2559"/>
      <c r="H827" s="2560"/>
      <c r="I827" s="2565">
        <v>3525000</v>
      </c>
      <c r="J827" s="2566"/>
      <c r="K827" s="121"/>
      <c r="L827" s="139" t="s">
        <v>507</v>
      </c>
      <c r="M827" s="140" t="s">
        <v>645</v>
      </c>
      <c r="N827" s="140" t="s">
        <v>826</v>
      </c>
      <c r="O827" s="2559">
        <v>150</v>
      </c>
      <c r="P827" s="2560"/>
      <c r="Q827" s="2559">
        <v>16326.432000000001</v>
      </c>
      <c r="R827" s="2560"/>
      <c r="S827" s="2559">
        <v>2448964.8000000003</v>
      </c>
      <c r="T827" s="2560"/>
    </row>
    <row r="828" spans="1:20" ht="17.100000000000001" customHeight="1" x14ac:dyDescent="0.4">
      <c r="A828" s="2589" t="s">
        <v>509</v>
      </c>
      <c r="B828" s="2590"/>
      <c r="C828" s="120" t="s">
        <v>496</v>
      </c>
      <c r="D828" s="120" t="s">
        <v>497</v>
      </c>
      <c r="E828" s="2576">
        <v>4</v>
      </c>
      <c r="F828" s="2577"/>
      <c r="G828" s="2641">
        <v>47000</v>
      </c>
      <c r="H828" s="2642">
        <v>38202.400000000001</v>
      </c>
      <c r="I828" s="2559">
        <v>188000</v>
      </c>
      <c r="J828" s="2560"/>
      <c r="K828" s="124"/>
      <c r="L828" s="139" t="s">
        <v>510</v>
      </c>
      <c r="M828" s="140" t="s">
        <v>721</v>
      </c>
      <c r="N828" s="140" t="s">
        <v>826</v>
      </c>
      <c r="O828" s="2571">
        <v>36.206890000000001</v>
      </c>
      <c r="P828" s="2572"/>
      <c r="Q828" s="2559">
        <v>14186.729600000001</v>
      </c>
      <c r="R828" s="2560"/>
      <c r="S828" s="2559">
        <v>513657.35808694403</v>
      </c>
      <c r="T828" s="2560"/>
    </row>
    <row r="829" spans="1:20" ht="17.100000000000001" customHeight="1" x14ac:dyDescent="0.3">
      <c r="A829" s="2589" t="s">
        <v>827</v>
      </c>
      <c r="B829" s="2590"/>
      <c r="C829" s="120"/>
      <c r="D829" s="120"/>
      <c r="E829" s="2576"/>
      <c r="F829" s="2577"/>
      <c r="G829" s="2559"/>
      <c r="H829" s="2560"/>
      <c r="I829" s="2559">
        <v>0</v>
      </c>
      <c r="J829" s="2560"/>
      <c r="K829" s="124"/>
      <c r="L829" s="139" t="s">
        <v>574</v>
      </c>
      <c r="M829" s="140" t="s">
        <v>600</v>
      </c>
      <c r="N829" s="140" t="s">
        <v>826</v>
      </c>
      <c r="O829" s="2559">
        <v>4000</v>
      </c>
      <c r="P829" s="2560"/>
      <c r="Q829" s="2559">
        <v>2071.9488000000001</v>
      </c>
      <c r="R829" s="2560"/>
      <c r="S829" s="2559">
        <v>8287795.2000000002</v>
      </c>
      <c r="T829" s="2560"/>
    </row>
    <row r="830" spans="1:20" ht="17.100000000000001" customHeight="1" x14ac:dyDescent="0.4">
      <c r="A830" s="137" t="s">
        <v>514</v>
      </c>
      <c r="B830" s="138"/>
      <c r="C830" s="120" t="s">
        <v>496</v>
      </c>
      <c r="D830" s="120" t="s">
        <v>497</v>
      </c>
      <c r="E830" s="2576">
        <v>7</v>
      </c>
      <c r="F830" s="2577"/>
      <c r="G830" s="2641">
        <v>47000</v>
      </c>
      <c r="H830" s="2642">
        <v>38202.400000000001</v>
      </c>
      <c r="I830" s="2559">
        <v>329000</v>
      </c>
      <c r="J830" s="2560"/>
      <c r="K830" s="124"/>
      <c r="L830" s="139" t="s">
        <v>515</v>
      </c>
      <c r="M830" s="140"/>
      <c r="N830" s="140"/>
      <c r="O830" s="2559"/>
      <c r="P830" s="2560"/>
      <c r="Q830" s="2559"/>
      <c r="R830" s="2560"/>
      <c r="S830" s="2559">
        <v>0</v>
      </c>
      <c r="T830" s="2560"/>
    </row>
    <row r="831" spans="1:20" ht="17.100000000000001" customHeight="1" x14ac:dyDescent="0.4">
      <c r="A831" s="2589" t="s">
        <v>516</v>
      </c>
      <c r="B831" s="2590"/>
      <c r="C831" s="120" t="s">
        <v>496</v>
      </c>
      <c r="D831" s="120" t="s">
        <v>497</v>
      </c>
      <c r="E831" s="2576">
        <v>5</v>
      </c>
      <c r="F831" s="2577"/>
      <c r="G831" s="2641">
        <v>47000</v>
      </c>
      <c r="H831" s="2642">
        <v>38202.400000000001</v>
      </c>
      <c r="I831" s="2559">
        <v>235000</v>
      </c>
      <c r="J831" s="2560"/>
      <c r="K831" s="124"/>
      <c r="L831" s="139" t="s">
        <v>575</v>
      </c>
      <c r="M831" s="140" t="s">
        <v>828</v>
      </c>
      <c r="N831" s="140" t="s">
        <v>829</v>
      </c>
      <c r="O831" s="2559">
        <v>10</v>
      </c>
      <c r="P831" s="2560"/>
      <c r="Q831" s="2559">
        <v>51249.041599999997</v>
      </c>
      <c r="R831" s="2560"/>
      <c r="S831" s="2559">
        <v>512490.41599999997</v>
      </c>
      <c r="T831" s="2560"/>
    </row>
    <row r="832" spans="1:20" ht="17.100000000000001" customHeight="1" x14ac:dyDescent="0.4">
      <c r="A832" s="137" t="s">
        <v>830</v>
      </c>
      <c r="B832" s="138"/>
      <c r="C832" s="120" t="s">
        <v>496</v>
      </c>
      <c r="D832" s="120" t="s">
        <v>497</v>
      </c>
      <c r="E832" s="2576">
        <v>22</v>
      </c>
      <c r="F832" s="2577"/>
      <c r="G832" s="2641">
        <v>47000</v>
      </c>
      <c r="H832" s="2642">
        <v>38202.400000000001</v>
      </c>
      <c r="I832" s="2559">
        <v>1034000</v>
      </c>
      <c r="J832" s="2560"/>
      <c r="K832" s="124"/>
      <c r="L832" s="139" t="s">
        <v>510</v>
      </c>
      <c r="M832" s="139"/>
      <c r="N832" s="139"/>
      <c r="O832" s="2559"/>
      <c r="P832" s="2560"/>
      <c r="Q832" s="2559"/>
      <c r="R832" s="2560"/>
      <c r="S832" s="2559"/>
      <c r="T832" s="2560"/>
    </row>
    <row r="833" spans="1:22" ht="17.100000000000001" customHeight="1" x14ac:dyDescent="0.4">
      <c r="A833" s="137" t="s">
        <v>519</v>
      </c>
      <c r="B833" s="141"/>
      <c r="C833" s="120" t="s">
        <v>496</v>
      </c>
      <c r="D833" s="120" t="s">
        <v>497</v>
      </c>
      <c r="E833" s="2573">
        <v>5</v>
      </c>
      <c r="F833" s="2574"/>
      <c r="G833" s="2641">
        <v>47000</v>
      </c>
      <c r="H833" s="2642">
        <v>38202.400000000001</v>
      </c>
      <c r="I833" s="2559">
        <v>235000</v>
      </c>
      <c r="J833" s="2560"/>
      <c r="K833" s="124"/>
      <c r="L833" s="139"/>
      <c r="M833" s="139"/>
      <c r="N833" s="139"/>
      <c r="O833" s="2559"/>
      <c r="P833" s="2560"/>
      <c r="Q833" s="2559"/>
      <c r="R833" s="2560"/>
      <c r="S833" s="2559"/>
      <c r="T833" s="2560"/>
    </row>
    <row r="834" spans="1:22" ht="17.100000000000001" customHeight="1" x14ac:dyDescent="0.3">
      <c r="A834" s="137" t="s">
        <v>475</v>
      </c>
      <c r="B834" s="138"/>
      <c r="C834" s="120"/>
      <c r="D834" s="120"/>
      <c r="E834" s="2559"/>
      <c r="F834" s="2560"/>
      <c r="G834" s="2559"/>
      <c r="H834" s="2560"/>
      <c r="I834" s="2559">
        <v>0</v>
      </c>
      <c r="J834" s="2560"/>
      <c r="K834" s="124"/>
      <c r="L834" s="139"/>
      <c r="M834" s="139"/>
      <c r="N834" s="139"/>
      <c r="O834" s="2559"/>
      <c r="P834" s="2560"/>
      <c r="Q834" s="2559"/>
      <c r="R834" s="2560"/>
      <c r="S834" s="2559"/>
      <c r="T834" s="2560"/>
    </row>
    <row r="835" spans="1:22" ht="17.100000000000001" customHeight="1" x14ac:dyDescent="0.4">
      <c r="A835" s="2578" t="s">
        <v>520</v>
      </c>
      <c r="B835" s="2579"/>
      <c r="C835" s="120" t="s">
        <v>496</v>
      </c>
      <c r="D835" s="120" t="s">
        <v>497</v>
      </c>
      <c r="E835" s="2576">
        <v>8</v>
      </c>
      <c r="F835" s="2577"/>
      <c r="G835" s="2641">
        <v>47000</v>
      </c>
      <c r="H835" s="2642">
        <v>38202.400000000001</v>
      </c>
      <c r="I835" s="2559">
        <v>376000</v>
      </c>
      <c r="J835" s="2560"/>
      <c r="K835" s="124"/>
      <c r="L835" s="142" t="s">
        <v>521</v>
      </c>
      <c r="M835" s="143"/>
      <c r="N835" s="143"/>
      <c r="O835" s="2591"/>
      <c r="P835" s="2592"/>
      <c r="Q835" s="2591"/>
      <c r="R835" s="2592"/>
      <c r="S835" s="2593">
        <v>16064056.974086942</v>
      </c>
      <c r="T835" s="2594"/>
    </row>
    <row r="836" spans="1:22" ht="17.100000000000001" customHeight="1" x14ac:dyDescent="0.3">
      <c r="A836" s="137" t="s">
        <v>522</v>
      </c>
      <c r="B836" s="138"/>
      <c r="C836" s="120"/>
      <c r="D836" s="120"/>
      <c r="E836" s="2576"/>
      <c r="F836" s="2577"/>
      <c r="G836" s="2559"/>
      <c r="H836" s="2560"/>
      <c r="I836" s="2559">
        <v>0</v>
      </c>
      <c r="J836" s="2560"/>
      <c r="K836" s="124"/>
      <c r="L836" s="144" t="s">
        <v>577</v>
      </c>
      <c r="M836" s="145"/>
      <c r="N836" s="145"/>
      <c r="O836" s="146"/>
      <c r="P836" s="146"/>
      <c r="Q836" s="146"/>
      <c r="R836" s="146"/>
      <c r="S836" s="146"/>
      <c r="T836" s="147"/>
    </row>
    <row r="837" spans="1:22" ht="17.100000000000001" customHeight="1" x14ac:dyDescent="0.4">
      <c r="A837" s="2578" t="s">
        <v>524</v>
      </c>
      <c r="B837" s="2579"/>
      <c r="C837" s="120" t="s">
        <v>496</v>
      </c>
      <c r="D837" s="120" t="s">
        <v>497</v>
      </c>
      <c r="E837" s="2576">
        <v>8</v>
      </c>
      <c r="F837" s="2577"/>
      <c r="G837" s="2641">
        <v>47000</v>
      </c>
      <c r="H837" s="2642">
        <v>38202.400000000001</v>
      </c>
      <c r="I837" s="2559">
        <v>376000</v>
      </c>
      <c r="J837" s="2560"/>
      <c r="K837" s="124"/>
      <c r="L837" s="148" t="s">
        <v>525</v>
      </c>
      <c r="M837" s="149">
        <v>0.05</v>
      </c>
      <c r="N837" s="45"/>
      <c r="O837" s="26"/>
      <c r="P837" s="26"/>
      <c r="Q837" s="26"/>
      <c r="R837" s="26"/>
      <c r="S837" s="2575">
        <v>1419878.0834803742</v>
      </c>
      <c r="T837" s="2560"/>
    </row>
    <row r="838" spans="1:22" ht="17.100000000000001" customHeight="1" x14ac:dyDescent="0.3">
      <c r="A838" s="137" t="s">
        <v>526</v>
      </c>
      <c r="B838" s="138"/>
      <c r="C838" s="120"/>
      <c r="D838" s="120"/>
      <c r="E838" s="2576"/>
      <c r="F838" s="2577"/>
      <c r="G838" s="2559"/>
      <c r="H838" s="2560"/>
      <c r="I838" s="2559">
        <v>0</v>
      </c>
      <c r="J838" s="2560"/>
      <c r="K838" s="124"/>
      <c r="L838" s="151" t="s">
        <v>527</v>
      </c>
      <c r="M838" s="45"/>
      <c r="N838" s="45"/>
      <c r="O838" s="26"/>
      <c r="P838" s="26"/>
      <c r="Q838" s="26"/>
      <c r="R838" s="26"/>
      <c r="S838" s="2575">
        <v>163920</v>
      </c>
      <c r="T838" s="2560"/>
    </row>
    <row r="839" spans="1:22" ht="17.100000000000001" customHeight="1" x14ac:dyDescent="0.3">
      <c r="A839" s="133" t="s">
        <v>578</v>
      </c>
      <c r="B839" s="136"/>
      <c r="C839" s="140"/>
      <c r="D839" s="140"/>
      <c r="E839" s="2573"/>
      <c r="F839" s="2574"/>
      <c r="G839" s="2559"/>
      <c r="H839" s="2560"/>
      <c r="I839" s="2559">
        <v>0</v>
      </c>
      <c r="J839" s="2560"/>
      <c r="K839" s="124"/>
      <c r="L839" s="152" t="s">
        <v>529</v>
      </c>
      <c r="M839" s="45"/>
      <c r="N839" s="45"/>
      <c r="O839" s="26"/>
      <c r="P839" s="26"/>
      <c r="Q839" s="26"/>
      <c r="R839" s="26"/>
      <c r="S839" s="2575">
        <v>928880</v>
      </c>
      <c r="T839" s="2560"/>
    </row>
    <row r="840" spans="1:22" ht="17.100000000000001" customHeight="1" x14ac:dyDescent="0.4">
      <c r="A840" s="153" t="s">
        <v>579</v>
      </c>
      <c r="B840" s="154"/>
      <c r="C840" s="120" t="s">
        <v>496</v>
      </c>
      <c r="D840" s="120" t="s">
        <v>497</v>
      </c>
      <c r="E840" s="2559">
        <v>7</v>
      </c>
      <c r="F840" s="2560"/>
      <c r="G840" s="2641">
        <v>47000</v>
      </c>
      <c r="H840" s="2642">
        <v>38202.400000000001</v>
      </c>
      <c r="I840" s="2559">
        <v>329000</v>
      </c>
      <c r="J840" s="2560"/>
      <c r="K840" s="124"/>
      <c r="L840" s="152" t="s">
        <v>580</v>
      </c>
      <c r="M840" s="45"/>
      <c r="N840" s="45"/>
      <c r="O840" s="26"/>
      <c r="P840" s="26"/>
      <c r="Q840" s="26"/>
      <c r="R840" s="26"/>
      <c r="S840" s="2575">
        <v>1419878.0834803742</v>
      </c>
      <c r="T840" s="2560"/>
    </row>
    <row r="841" spans="1:22" ht="17.100000000000001" customHeight="1" x14ac:dyDescent="0.3">
      <c r="A841" s="137" t="s">
        <v>532</v>
      </c>
      <c r="B841" s="138"/>
      <c r="C841" s="120"/>
      <c r="D841" s="120"/>
      <c r="E841" s="2576"/>
      <c r="F841" s="2577"/>
      <c r="G841" s="2559"/>
      <c r="H841" s="2560"/>
      <c r="I841" s="2559">
        <v>0</v>
      </c>
      <c r="J841" s="2560"/>
      <c r="K841" s="124"/>
      <c r="L841" s="166" t="s">
        <v>504</v>
      </c>
      <c r="M841" s="155"/>
      <c r="N841" s="155"/>
      <c r="O841" s="167"/>
      <c r="P841" s="167"/>
      <c r="Q841" s="167"/>
      <c r="R841" s="167"/>
      <c r="S841" s="2557">
        <v>174848</v>
      </c>
      <c r="T841" s="2558"/>
    </row>
    <row r="842" spans="1:22" ht="17.100000000000001" customHeight="1" x14ac:dyDescent="0.3">
      <c r="A842" s="2578" t="s">
        <v>727</v>
      </c>
      <c r="B842" s="2579"/>
      <c r="C842" s="120"/>
      <c r="D842" s="120"/>
      <c r="E842" s="2576"/>
      <c r="F842" s="2577"/>
      <c r="G842" s="2559"/>
      <c r="H842" s="2560"/>
      <c r="I842" s="2559">
        <v>0</v>
      </c>
      <c r="J842" s="2560"/>
      <c r="K842" s="124"/>
      <c r="L842" s="156" t="s">
        <v>533</v>
      </c>
      <c r="M842" s="157"/>
      <c r="N842" s="157"/>
      <c r="O842" s="158"/>
      <c r="P842" s="158"/>
      <c r="Q842" s="158"/>
      <c r="R842" s="158"/>
      <c r="S842" s="2587">
        <v>4107404.1669607479</v>
      </c>
      <c r="T842" s="2588"/>
    </row>
    <row r="843" spans="1:22" ht="17.100000000000001" customHeight="1" x14ac:dyDescent="0.4">
      <c r="A843" s="2578" t="s">
        <v>534</v>
      </c>
      <c r="B843" s="2579"/>
      <c r="C843" s="120" t="s">
        <v>496</v>
      </c>
      <c r="D843" s="120" t="s">
        <v>497</v>
      </c>
      <c r="E843" s="2559">
        <v>1</v>
      </c>
      <c r="F843" s="2560"/>
      <c r="G843" s="2641">
        <v>47000</v>
      </c>
      <c r="H843" s="2642">
        <v>38202.400000000001</v>
      </c>
      <c r="I843" s="2559">
        <v>47000</v>
      </c>
      <c r="J843" s="2560"/>
      <c r="K843" s="124"/>
      <c r="L843" s="159"/>
      <c r="M843" s="45"/>
      <c r="N843" s="45"/>
      <c r="O843" s="26"/>
      <c r="P843" s="26"/>
      <c r="Q843" s="26"/>
      <c r="R843" s="26"/>
      <c r="S843" s="26"/>
      <c r="T843" s="150"/>
    </row>
    <row r="844" spans="1:22" ht="17.100000000000001" customHeight="1" thickBot="1" x14ac:dyDescent="0.45">
      <c r="A844" s="2578" t="s">
        <v>535</v>
      </c>
      <c r="B844" s="2579"/>
      <c r="C844" s="120" t="s">
        <v>496</v>
      </c>
      <c r="D844" s="120" t="s">
        <v>497</v>
      </c>
      <c r="E844" s="2576">
        <v>4</v>
      </c>
      <c r="F844" s="2577"/>
      <c r="G844" s="2641">
        <v>47000</v>
      </c>
      <c r="H844" s="2642">
        <v>38202.400000000001</v>
      </c>
      <c r="I844" s="2559">
        <v>188000</v>
      </c>
      <c r="J844" s="2560"/>
      <c r="K844" s="124"/>
      <c r="L844" s="160" t="s">
        <v>583</v>
      </c>
      <c r="M844" s="161"/>
      <c r="N844" s="161"/>
      <c r="O844" s="161"/>
      <c r="P844" s="161"/>
      <c r="Q844" s="161"/>
      <c r="R844" s="161"/>
      <c r="S844" s="2580">
        <v>32504965.836568229</v>
      </c>
      <c r="T844" s="2581"/>
      <c r="V844" s="1047">
        <f>'TOTAL TRANSITORIOS'!W35</f>
        <v>32504965.836568229</v>
      </c>
    </row>
    <row r="845" spans="1:22" ht="17.100000000000001" customHeight="1" thickBot="1" x14ac:dyDescent="0.45">
      <c r="A845" s="133" t="s">
        <v>537</v>
      </c>
      <c r="B845" s="136"/>
      <c r="C845" s="140" t="s">
        <v>496</v>
      </c>
      <c r="D845" s="120" t="s">
        <v>497</v>
      </c>
      <c r="E845" s="2559">
        <v>2</v>
      </c>
      <c r="F845" s="2560"/>
      <c r="G845" s="2641">
        <v>47000</v>
      </c>
      <c r="H845" s="2642">
        <v>38202.400000000001</v>
      </c>
      <c r="I845" s="2559">
        <v>94000</v>
      </c>
      <c r="J845" s="2560"/>
      <c r="K845" s="124"/>
      <c r="L845" s="45"/>
      <c r="M845" s="45"/>
      <c r="N845" s="45"/>
      <c r="O845" s="45"/>
      <c r="P845" s="45"/>
      <c r="Q845" s="45"/>
      <c r="R845" s="45"/>
      <c r="S845" s="45"/>
      <c r="T845" s="45"/>
    </row>
    <row r="846" spans="1:22" ht="17.100000000000001" customHeight="1" x14ac:dyDescent="0.4">
      <c r="A846" s="133" t="s">
        <v>538</v>
      </c>
      <c r="B846" s="136"/>
      <c r="C846" s="140" t="s">
        <v>496</v>
      </c>
      <c r="D846" s="120" t="s">
        <v>497</v>
      </c>
      <c r="E846" s="2559">
        <v>2</v>
      </c>
      <c r="F846" s="2560"/>
      <c r="G846" s="2641">
        <v>47000</v>
      </c>
      <c r="H846" s="2642">
        <v>38202.400000000001</v>
      </c>
      <c r="I846" s="2559">
        <v>94000</v>
      </c>
      <c r="J846" s="2560"/>
      <c r="K846" s="124"/>
      <c r="L846" s="45"/>
      <c r="M846" s="2582" t="s">
        <v>539</v>
      </c>
      <c r="N846" s="2583"/>
      <c r="O846" s="2583"/>
      <c r="P846" s="2583"/>
      <c r="Q846" s="2584"/>
      <c r="R846" s="45"/>
      <c r="S846" s="45"/>
      <c r="T846" s="45"/>
    </row>
    <row r="847" spans="1:22" ht="17.100000000000001" customHeight="1" x14ac:dyDescent="0.3">
      <c r="A847" s="133" t="s">
        <v>540</v>
      </c>
      <c r="B847" s="136"/>
      <c r="C847" s="140"/>
      <c r="D847" s="140"/>
      <c r="E847" s="2559"/>
      <c r="F847" s="2560"/>
      <c r="G847" s="2559"/>
      <c r="H847" s="2560"/>
      <c r="I847" s="2559">
        <v>0</v>
      </c>
      <c r="J847" s="2560"/>
      <c r="K847" s="124"/>
      <c r="L847" s="45"/>
      <c r="M847" s="101" t="s">
        <v>541</v>
      </c>
      <c r="N847" s="102"/>
      <c r="O847" s="102"/>
      <c r="P847" s="102"/>
      <c r="Q847" s="103">
        <v>18.688916659484615</v>
      </c>
      <c r="R847" s="45"/>
      <c r="S847" s="45"/>
      <c r="T847" s="45"/>
      <c r="U847" s="37" t="s">
        <v>542</v>
      </c>
    </row>
    <row r="848" spans="1:22" ht="17.100000000000001" customHeight="1" x14ac:dyDescent="0.3">
      <c r="A848" s="133" t="s">
        <v>543</v>
      </c>
      <c r="B848" s="136"/>
      <c r="C848" s="140"/>
      <c r="D848" s="140"/>
      <c r="E848" s="2559"/>
      <c r="F848" s="2560"/>
      <c r="G848" s="2559"/>
      <c r="H848" s="2560"/>
      <c r="I848" s="2559">
        <v>0</v>
      </c>
      <c r="J848" s="2560"/>
      <c r="K848" s="124"/>
      <c r="L848" s="45"/>
      <c r="M848" s="104" t="s">
        <v>544</v>
      </c>
      <c r="N848" s="102"/>
      <c r="O848" s="102"/>
      <c r="P848" s="105"/>
      <c r="Q848" s="106">
        <v>32504965.836568229</v>
      </c>
      <c r="R848" s="45"/>
      <c r="S848" s="45"/>
      <c r="T848" s="45"/>
      <c r="U848" s="37"/>
    </row>
    <row r="849" spans="1:21" ht="17.100000000000001" customHeight="1" x14ac:dyDescent="0.35">
      <c r="A849" s="135" t="s">
        <v>545</v>
      </c>
      <c r="B849" s="136"/>
      <c r="C849" s="140"/>
      <c r="D849" s="140"/>
      <c r="E849" s="2559"/>
      <c r="F849" s="2560"/>
      <c r="G849" s="2559"/>
      <c r="H849" s="2560"/>
      <c r="I849" s="2565">
        <v>6464385.0379205383</v>
      </c>
      <c r="J849" s="2566"/>
      <c r="K849" s="121"/>
      <c r="L849" s="45"/>
      <c r="M849" s="101" t="s">
        <v>546</v>
      </c>
      <c r="N849" s="102"/>
      <c r="O849" s="102"/>
      <c r="P849" s="102"/>
      <c r="Q849" s="106">
        <v>2215500</v>
      </c>
      <c r="R849" s="47"/>
      <c r="S849" s="45"/>
      <c r="T849" s="45"/>
      <c r="U849" s="37" t="s">
        <v>542</v>
      </c>
    </row>
    <row r="850" spans="1:21" ht="17.100000000000001" customHeight="1" x14ac:dyDescent="0.4">
      <c r="A850" s="133" t="s">
        <v>547</v>
      </c>
      <c r="B850" s="136"/>
      <c r="C850" s="140" t="s">
        <v>496</v>
      </c>
      <c r="D850" s="120" t="s">
        <v>497</v>
      </c>
      <c r="E850" s="2559">
        <v>60</v>
      </c>
      <c r="F850" s="2560"/>
      <c r="G850" s="2641">
        <v>47000</v>
      </c>
      <c r="H850" s="2642">
        <v>38202.400000000001</v>
      </c>
      <c r="I850" s="2559">
        <v>2820000</v>
      </c>
      <c r="J850" s="2560"/>
      <c r="K850" s="124"/>
      <c r="L850" s="45"/>
      <c r="M850" s="101" t="s">
        <v>758</v>
      </c>
      <c r="N850" s="102"/>
      <c r="O850" s="102"/>
      <c r="P850" s="102"/>
      <c r="Q850" s="106">
        <v>41405294.859088168</v>
      </c>
      <c r="R850" s="44"/>
      <c r="S850" s="45"/>
      <c r="T850" s="45"/>
    </row>
    <row r="851" spans="1:21" ht="17.100000000000001" customHeight="1" thickBot="1" x14ac:dyDescent="0.35">
      <c r="A851" s="133" t="s">
        <v>728</v>
      </c>
      <c r="B851" s="136"/>
      <c r="C851" s="140"/>
      <c r="D851" s="120"/>
      <c r="E851" s="2559"/>
      <c r="F851" s="2560"/>
      <c r="G851" s="2559"/>
      <c r="H851" s="2560"/>
      <c r="I851" s="2559">
        <v>0</v>
      </c>
      <c r="J851" s="2560"/>
      <c r="K851" s="124"/>
      <c r="L851" s="45"/>
      <c r="M851" s="108" t="s">
        <v>549</v>
      </c>
      <c r="N851" s="109"/>
      <c r="O851" s="109"/>
      <c r="P851" s="109"/>
      <c r="Q851" s="110">
        <v>8900329.0225199386</v>
      </c>
      <c r="R851" s="45"/>
      <c r="S851" s="45"/>
      <c r="T851" s="45"/>
    </row>
    <row r="852" spans="1:21" ht="17.100000000000001" customHeight="1" thickBot="1" x14ac:dyDescent="0.45">
      <c r="A852" s="133" t="s">
        <v>831</v>
      </c>
      <c r="B852" s="136"/>
      <c r="C852" s="140" t="s">
        <v>496</v>
      </c>
      <c r="D852" s="120" t="s">
        <v>497</v>
      </c>
      <c r="E852" s="2559">
        <v>30</v>
      </c>
      <c r="F852" s="2560"/>
      <c r="G852" s="2641">
        <v>47000</v>
      </c>
      <c r="H852" s="2642">
        <v>38202.400000000001</v>
      </c>
      <c r="I852" s="2559">
        <v>1410000</v>
      </c>
      <c r="J852" s="2560"/>
      <c r="K852" s="124"/>
      <c r="L852" s="45"/>
      <c r="M852" s="1048" t="s">
        <v>759</v>
      </c>
      <c r="N852" s="1049"/>
      <c r="O852" s="1049"/>
      <c r="P852" s="1049"/>
      <c r="Q852" s="1050">
        <v>27.381444014646618</v>
      </c>
      <c r="R852" s="45"/>
      <c r="S852" s="45"/>
      <c r="T852" s="45"/>
    </row>
    <row r="853" spans="1:21" ht="17.100000000000001" customHeight="1" x14ac:dyDescent="0.3">
      <c r="A853" s="133" t="s">
        <v>557</v>
      </c>
      <c r="B853" s="136"/>
      <c r="C853" s="140" t="s">
        <v>763</v>
      </c>
      <c r="D853" s="140" t="s">
        <v>556</v>
      </c>
      <c r="E853" s="2571">
        <v>18.688916659484615</v>
      </c>
      <c r="F853" s="2572"/>
      <c r="G853" s="2559">
        <v>119556.6912</v>
      </c>
      <c r="H853" s="2560">
        <v>97247.58</v>
      </c>
      <c r="I853" s="2559">
        <v>2234385.0379205379</v>
      </c>
      <c r="J853" s="2560"/>
      <c r="K853" s="124"/>
      <c r="L853" s="7" t="s">
        <v>1528</v>
      </c>
      <c r="M853" s="8"/>
      <c r="N853" s="8"/>
      <c r="O853" s="8"/>
      <c r="P853" s="4"/>
      <c r="Q853" s="5"/>
      <c r="R853" s="1979"/>
      <c r="S853" s="44"/>
      <c r="T853" s="45"/>
    </row>
    <row r="854" spans="1:21" ht="17.100000000000001" customHeight="1" x14ac:dyDescent="0.3">
      <c r="A854" s="133"/>
      <c r="B854" s="136"/>
      <c r="C854" s="140"/>
      <c r="D854" s="140"/>
      <c r="E854" s="2559"/>
      <c r="F854" s="2560"/>
      <c r="G854" s="2559"/>
      <c r="H854" s="2560"/>
      <c r="I854" s="2559"/>
      <c r="J854" s="2560"/>
      <c r="K854" s="124"/>
      <c r="L854" s="597" t="s">
        <v>1583</v>
      </c>
      <c r="M854" s="45"/>
      <c r="N854" s="45"/>
      <c r="O854" s="45"/>
      <c r="P854" s="45"/>
      <c r="Q854" s="45"/>
      <c r="R854" s="45"/>
      <c r="S854" s="45"/>
      <c r="T854" s="45"/>
    </row>
    <row r="855" spans="1:21" ht="17.100000000000001" customHeight="1" thickBot="1" x14ac:dyDescent="0.25">
      <c r="A855" s="162" t="s">
        <v>558</v>
      </c>
      <c r="B855" s="163"/>
      <c r="C855" s="164"/>
      <c r="D855" s="165"/>
      <c r="E855" s="2561">
        <v>205</v>
      </c>
      <c r="F855" s="2562"/>
      <c r="G855" s="2563"/>
      <c r="H855" s="2564"/>
      <c r="I855" s="2561">
        <v>12333504.695520539</v>
      </c>
      <c r="J855" s="2562"/>
      <c r="K855" s="26"/>
      <c r="L855" s="45"/>
      <c r="M855" s="45"/>
      <c r="N855" s="45"/>
      <c r="O855" s="45"/>
      <c r="P855" s="45"/>
      <c r="Q855" s="45"/>
      <c r="R855" s="44"/>
      <c r="S855" s="45"/>
      <c r="T855" s="45"/>
    </row>
    <row r="856" spans="1:21" ht="14.1" customHeight="1" x14ac:dyDescent="0.2">
      <c r="A856" s="40"/>
      <c r="B856" s="40"/>
      <c r="C856" s="41"/>
      <c r="D856" s="41"/>
      <c r="E856" s="41"/>
      <c r="F856" s="41"/>
      <c r="G856" s="42"/>
      <c r="H856" s="42"/>
      <c r="I856" s="44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</row>
    <row r="857" spans="1:21" ht="14.1" customHeight="1" x14ac:dyDescent="0.2"/>
    <row r="858" spans="1:21" ht="14.1" customHeight="1" x14ac:dyDescent="0.2"/>
    <row r="861" spans="1:21" ht="18" x14ac:dyDescent="0.2">
      <c r="A861" s="2611" t="s">
        <v>1919</v>
      </c>
      <c r="B861" s="2611"/>
      <c r="C861" s="2611"/>
      <c r="D861" s="2611"/>
      <c r="E861" s="2611"/>
      <c r="F861" s="2611"/>
      <c r="G861" s="2611"/>
      <c r="H861" s="2611"/>
      <c r="I861" s="2611"/>
      <c r="J861" s="2611"/>
      <c r="K861" s="2611"/>
      <c r="L861" s="2611"/>
      <c r="M861" s="2611"/>
      <c r="N861" s="2611"/>
      <c r="O861" s="2611"/>
      <c r="P861" s="2611"/>
      <c r="Q861" s="2611"/>
      <c r="R861" s="2611"/>
      <c r="S861" s="2611"/>
      <c r="T861" s="2611"/>
    </row>
    <row r="862" spans="1:21" ht="17.100000000000001" customHeight="1" x14ac:dyDescent="0.2">
      <c r="A862" s="40"/>
      <c r="B862" s="40"/>
      <c r="C862" s="115"/>
      <c r="D862" s="41"/>
      <c r="E862" s="41"/>
      <c r="F862" s="41"/>
      <c r="G862" s="42"/>
      <c r="H862" s="42"/>
      <c r="I862" s="44"/>
      <c r="J862" s="45"/>
      <c r="K862" s="45"/>
      <c r="L862" s="40"/>
      <c r="M862" s="40"/>
      <c r="N862" s="115"/>
      <c r="O862" s="45"/>
      <c r="P862" s="45"/>
      <c r="Q862" s="45"/>
      <c r="R862" s="45"/>
      <c r="S862" s="45"/>
      <c r="T862" s="45"/>
    </row>
    <row r="863" spans="1:21" ht="17.100000000000001" customHeight="1" thickBot="1" x14ac:dyDescent="0.25">
      <c r="A863" s="40"/>
      <c r="B863" s="40"/>
      <c r="C863" s="41"/>
      <c r="D863" s="41"/>
      <c r="E863" s="41"/>
      <c r="F863" s="41"/>
      <c r="G863" s="42"/>
      <c r="H863" s="42"/>
      <c r="I863" s="44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</row>
    <row r="864" spans="1:21" ht="17.100000000000001" customHeight="1" x14ac:dyDescent="0.3">
      <c r="A864" s="2612" t="s">
        <v>435</v>
      </c>
      <c r="B864" s="2613"/>
      <c r="C864" s="2618" t="s">
        <v>436</v>
      </c>
      <c r="D864" s="2619"/>
      <c r="E864" s="2619"/>
      <c r="F864" s="2620"/>
      <c r="G864" s="2624" t="s">
        <v>437</v>
      </c>
      <c r="H864" s="2625"/>
      <c r="I864" s="2618" t="s">
        <v>439</v>
      </c>
      <c r="J864" s="2620"/>
      <c r="K864" s="49"/>
      <c r="L864" s="2626" t="s">
        <v>435</v>
      </c>
      <c r="M864" s="2618" t="s">
        <v>436</v>
      </c>
      <c r="N864" s="2619"/>
      <c r="O864" s="2619"/>
      <c r="P864" s="2620"/>
      <c r="Q864" s="2624" t="s">
        <v>437</v>
      </c>
      <c r="R864" s="2625"/>
      <c r="S864" s="2618" t="s">
        <v>439</v>
      </c>
      <c r="T864" s="2620"/>
    </row>
    <row r="865" spans="1:20" ht="17.100000000000001" customHeight="1" thickBot="1" x14ac:dyDescent="0.35">
      <c r="A865" s="2614"/>
      <c r="B865" s="2615"/>
      <c r="C865" s="2621"/>
      <c r="D865" s="2622"/>
      <c r="E865" s="2622"/>
      <c r="F865" s="2623"/>
      <c r="G865" s="2629" t="s">
        <v>440</v>
      </c>
      <c r="H865" s="2630"/>
      <c r="I865" s="2631"/>
      <c r="J865" s="2632"/>
      <c r="K865" s="49"/>
      <c r="L865" s="2627"/>
      <c r="M865" s="2621"/>
      <c r="N865" s="2622"/>
      <c r="O865" s="2622"/>
      <c r="P865" s="2623"/>
      <c r="Q865" s="2629" t="s">
        <v>440</v>
      </c>
      <c r="R865" s="2630"/>
      <c r="S865" s="2631"/>
      <c r="T865" s="2632"/>
    </row>
    <row r="866" spans="1:20" ht="17.100000000000001" customHeight="1" x14ac:dyDescent="0.3">
      <c r="A866" s="2614"/>
      <c r="B866" s="2615"/>
      <c r="C866" s="53" t="s">
        <v>441</v>
      </c>
      <c r="D866" s="2633" t="s">
        <v>442</v>
      </c>
      <c r="E866" s="2618" t="s">
        <v>443</v>
      </c>
      <c r="F866" s="2620"/>
      <c r="G866" s="2629" t="s">
        <v>444</v>
      </c>
      <c r="H866" s="2630"/>
      <c r="I866" s="2631" t="s">
        <v>348</v>
      </c>
      <c r="J866" s="2632"/>
      <c r="K866" s="49"/>
      <c r="L866" s="2627"/>
      <c r="M866" s="51" t="s">
        <v>441</v>
      </c>
      <c r="N866" s="2633" t="s">
        <v>442</v>
      </c>
      <c r="O866" s="2618" t="s">
        <v>443</v>
      </c>
      <c r="P866" s="2620"/>
      <c r="Q866" s="2629" t="s">
        <v>444</v>
      </c>
      <c r="R866" s="2630"/>
      <c r="S866" s="2631" t="s">
        <v>348</v>
      </c>
      <c r="T866" s="2632"/>
    </row>
    <row r="867" spans="1:20" ht="17.100000000000001" customHeight="1" thickBot="1" x14ac:dyDescent="0.35">
      <c r="A867" s="2616"/>
      <c r="B867" s="2617"/>
      <c r="C867" s="54" t="s">
        <v>445</v>
      </c>
      <c r="D867" s="2634"/>
      <c r="E867" s="2621"/>
      <c r="F867" s="2623"/>
      <c r="G867" s="2561"/>
      <c r="H867" s="2562"/>
      <c r="I867" s="2635"/>
      <c r="J867" s="2636"/>
      <c r="K867" s="49"/>
      <c r="L867" s="2628"/>
      <c r="M867" s="50" t="s">
        <v>445</v>
      </c>
      <c r="N867" s="2634"/>
      <c r="O867" s="2621"/>
      <c r="P867" s="2623"/>
      <c r="Q867" s="2561"/>
      <c r="R867" s="2562"/>
      <c r="S867" s="2621"/>
      <c r="T867" s="2623"/>
    </row>
    <row r="868" spans="1:20" ht="17.100000000000001" customHeight="1" x14ac:dyDescent="0.3">
      <c r="A868" s="116" t="s">
        <v>446</v>
      </c>
      <c r="B868" s="117"/>
      <c r="C868" s="118"/>
      <c r="D868" s="118"/>
      <c r="E868" s="2603"/>
      <c r="F868" s="2604"/>
      <c r="G868" s="2605"/>
      <c r="H868" s="2606"/>
      <c r="I868" s="2607"/>
      <c r="J868" s="2608"/>
      <c r="K868" s="45"/>
      <c r="L868" s="119" t="s">
        <v>447</v>
      </c>
      <c r="M868" s="118"/>
      <c r="N868" s="118"/>
      <c r="O868" s="2605"/>
      <c r="P868" s="2606"/>
      <c r="Q868" s="2605"/>
      <c r="R868" s="2606"/>
      <c r="S868" s="2605"/>
      <c r="T868" s="2606"/>
    </row>
    <row r="869" spans="1:20" ht="17.100000000000001" customHeight="1" x14ac:dyDescent="0.35">
      <c r="A869" s="2595" t="s">
        <v>448</v>
      </c>
      <c r="B869" s="2596"/>
      <c r="C869" s="120"/>
      <c r="D869" s="120"/>
      <c r="E869" s="2576"/>
      <c r="F869" s="2577"/>
      <c r="G869" s="2559"/>
      <c r="H869" s="2560"/>
      <c r="I869" s="2565">
        <v>235000</v>
      </c>
      <c r="J869" s="2566"/>
      <c r="K869" s="121"/>
      <c r="L869" s="122"/>
      <c r="M869" s="120"/>
      <c r="N869" s="120"/>
      <c r="O869" s="2559"/>
      <c r="P869" s="2560"/>
      <c r="Q869" s="2559"/>
      <c r="R869" s="2560"/>
      <c r="S869" s="2559"/>
      <c r="T869" s="2560"/>
    </row>
    <row r="870" spans="1:20" ht="17.100000000000001" customHeight="1" x14ac:dyDescent="0.4">
      <c r="A870" s="2589" t="s">
        <v>1640</v>
      </c>
      <c r="B870" s="2590"/>
      <c r="C870" s="120"/>
      <c r="D870" s="120"/>
      <c r="E870" s="2576"/>
      <c r="F870" s="2577"/>
      <c r="G870" s="2609"/>
      <c r="H870" s="2610"/>
      <c r="I870" s="2559">
        <v>0</v>
      </c>
      <c r="J870" s="2560"/>
      <c r="K870" s="124"/>
      <c r="L870" s="122" t="s">
        <v>450</v>
      </c>
      <c r="M870" s="120"/>
      <c r="N870" s="120" t="s">
        <v>1648</v>
      </c>
      <c r="O870" s="2559">
        <v>1</v>
      </c>
      <c r="P870" s="2560"/>
      <c r="Q870" s="2559">
        <v>2841280</v>
      </c>
      <c r="R870" s="2560"/>
      <c r="S870" s="2559">
        <v>2841280</v>
      </c>
      <c r="T870" s="2560"/>
    </row>
    <row r="871" spans="1:20" ht="17.100000000000001" customHeight="1" x14ac:dyDescent="0.3">
      <c r="A871" s="2589"/>
      <c r="B871" s="2590"/>
      <c r="C871" s="120" t="s">
        <v>496</v>
      </c>
      <c r="D871" s="120" t="s">
        <v>497</v>
      </c>
      <c r="E871" s="2576">
        <v>5</v>
      </c>
      <c r="F871" s="2577"/>
      <c r="G871" s="2567">
        <v>47000</v>
      </c>
      <c r="H871" s="2568">
        <v>38202.400000000001</v>
      </c>
      <c r="I871" s="2559">
        <v>235000</v>
      </c>
      <c r="J871" s="2560"/>
      <c r="K871" s="124"/>
      <c r="L871" s="122" t="s">
        <v>454</v>
      </c>
      <c r="M871" s="120"/>
      <c r="N871" s="120"/>
      <c r="O871" s="2559"/>
      <c r="P871" s="2560"/>
      <c r="Q871" s="2559"/>
      <c r="R871" s="2560"/>
      <c r="S871" s="2559">
        <v>0</v>
      </c>
      <c r="T871" s="2560"/>
    </row>
    <row r="872" spans="1:20" ht="17.100000000000001" customHeight="1" x14ac:dyDescent="0.3">
      <c r="A872" s="2589" t="s">
        <v>455</v>
      </c>
      <c r="B872" s="2590"/>
      <c r="C872" s="120"/>
      <c r="D872" s="120"/>
      <c r="E872" s="2576"/>
      <c r="F872" s="2577"/>
      <c r="G872" s="2559"/>
      <c r="H872" s="2560"/>
      <c r="I872" s="2559">
        <v>0</v>
      </c>
      <c r="J872" s="2560"/>
      <c r="K872" s="124"/>
      <c r="L872" s="122" t="s">
        <v>458</v>
      </c>
      <c r="M872" s="120" t="s">
        <v>468</v>
      </c>
      <c r="N872" s="120" t="s">
        <v>809</v>
      </c>
      <c r="O872" s="2559">
        <v>3</v>
      </c>
      <c r="P872" s="2560"/>
      <c r="Q872" s="2599">
        <v>164123</v>
      </c>
      <c r="R872" s="2599"/>
      <c r="S872" s="2559">
        <v>492369</v>
      </c>
      <c r="T872" s="2560"/>
    </row>
    <row r="873" spans="1:20" ht="17.100000000000001" customHeight="1" x14ac:dyDescent="0.2">
      <c r="A873" s="2600" t="s">
        <v>560</v>
      </c>
      <c r="B873" s="2601"/>
      <c r="C873" s="120"/>
      <c r="D873" s="120"/>
      <c r="E873" s="2576"/>
      <c r="F873" s="2577"/>
      <c r="G873" s="2559"/>
      <c r="H873" s="2560"/>
      <c r="I873" s="2565">
        <v>1004032.0075000001</v>
      </c>
      <c r="J873" s="2566"/>
      <c r="K873" s="126"/>
      <c r="L873" s="122" t="s">
        <v>458</v>
      </c>
      <c r="M873" s="120" t="s">
        <v>459</v>
      </c>
      <c r="N873" s="120" t="s">
        <v>809</v>
      </c>
      <c r="O873" s="2571">
        <v>4.5</v>
      </c>
      <c r="P873" s="2572"/>
      <c r="Q873" s="2602">
        <v>149734</v>
      </c>
      <c r="R873" s="2602"/>
      <c r="S873" s="2559">
        <v>673803</v>
      </c>
      <c r="T873" s="2560"/>
    </row>
    <row r="874" spans="1:20" ht="17.100000000000001" customHeight="1" x14ac:dyDescent="0.3">
      <c r="A874" s="127" t="s">
        <v>461</v>
      </c>
      <c r="B874" s="128"/>
      <c r="C874" s="120"/>
      <c r="D874" s="120"/>
      <c r="E874" s="2576"/>
      <c r="F874" s="2577"/>
      <c r="G874" s="2569"/>
      <c r="H874" s="2570"/>
      <c r="I874" s="2559">
        <v>0</v>
      </c>
      <c r="J874" s="2560"/>
      <c r="K874" s="124"/>
      <c r="L874" s="122" t="s">
        <v>589</v>
      </c>
      <c r="M874" s="120" t="s">
        <v>563</v>
      </c>
      <c r="N874" s="120" t="s">
        <v>809</v>
      </c>
      <c r="O874" s="2571">
        <v>1.5</v>
      </c>
      <c r="P874" s="2572"/>
      <c r="Q874" s="2559">
        <v>201451</v>
      </c>
      <c r="R874" s="2560"/>
      <c r="S874" s="2559">
        <v>302176.5</v>
      </c>
      <c r="T874" s="2560"/>
    </row>
    <row r="875" spans="1:20" ht="17.100000000000001" customHeight="1" x14ac:dyDescent="0.3">
      <c r="A875" s="129" t="s">
        <v>711</v>
      </c>
      <c r="B875" s="130"/>
      <c r="C875" s="120"/>
      <c r="D875" s="120"/>
      <c r="E875" s="2576"/>
      <c r="F875" s="2577"/>
      <c r="G875" s="2569"/>
      <c r="H875" s="2570"/>
      <c r="I875" s="2559">
        <v>0</v>
      </c>
      <c r="J875" s="2560"/>
      <c r="K875" s="124"/>
      <c r="L875" s="122" t="s">
        <v>471</v>
      </c>
      <c r="M875" s="120" t="s">
        <v>566</v>
      </c>
      <c r="N875" s="120" t="s">
        <v>473</v>
      </c>
      <c r="O875" s="2571">
        <v>5</v>
      </c>
      <c r="P875" s="2572"/>
      <c r="Q875" s="2559">
        <v>28583</v>
      </c>
      <c r="R875" s="2560"/>
      <c r="S875" s="2559">
        <v>142915</v>
      </c>
      <c r="T875" s="2560"/>
    </row>
    <row r="876" spans="1:20" ht="17.100000000000001" customHeight="1" x14ac:dyDescent="0.3">
      <c r="A876" s="127" t="s">
        <v>465</v>
      </c>
      <c r="B876" s="128"/>
      <c r="C876" s="120" t="s">
        <v>773</v>
      </c>
      <c r="D876" s="120" t="s">
        <v>1641</v>
      </c>
      <c r="E876" s="2576">
        <v>1.5</v>
      </c>
      <c r="F876" s="2577"/>
      <c r="G876" s="2559">
        <v>110005.875</v>
      </c>
      <c r="H876" s="2560">
        <v>97782.88</v>
      </c>
      <c r="I876" s="2559">
        <v>165008.8125</v>
      </c>
      <c r="J876" s="2560"/>
      <c r="K876" s="124"/>
      <c r="L876" s="122" t="s">
        <v>504</v>
      </c>
      <c r="M876" s="120"/>
      <c r="N876" s="120"/>
      <c r="O876" s="2571"/>
      <c r="P876" s="2572"/>
      <c r="Q876" s="2559"/>
      <c r="R876" s="2560"/>
      <c r="S876" s="2559">
        <v>0</v>
      </c>
      <c r="T876" s="2560"/>
    </row>
    <row r="877" spans="1:20" ht="17.100000000000001" customHeight="1" x14ac:dyDescent="0.3">
      <c r="A877" s="127" t="s">
        <v>469</v>
      </c>
      <c r="B877" s="128"/>
      <c r="C877" s="120" t="s">
        <v>773</v>
      </c>
      <c r="D877" s="120" t="s">
        <v>493</v>
      </c>
      <c r="E877" s="2576">
        <v>1</v>
      </c>
      <c r="F877" s="2577"/>
      <c r="G877" s="2559">
        <v>206343</v>
      </c>
      <c r="H877" s="2560">
        <v>183416.04</v>
      </c>
      <c r="I877" s="2559">
        <v>206343</v>
      </c>
      <c r="J877" s="2560"/>
      <c r="K877" s="124"/>
      <c r="L877" s="122"/>
      <c r="M877" s="120"/>
      <c r="N877" s="120"/>
      <c r="O877" s="2571"/>
      <c r="P877" s="2572"/>
      <c r="Q877" s="2559"/>
      <c r="R877" s="2560"/>
      <c r="S877" s="2559"/>
      <c r="T877" s="2560"/>
    </row>
    <row r="878" spans="1:20" ht="17.100000000000001" customHeight="1" x14ac:dyDescent="0.3">
      <c r="A878" s="131" t="s">
        <v>470</v>
      </c>
      <c r="B878" s="132"/>
      <c r="C878" s="120" t="s">
        <v>773</v>
      </c>
      <c r="D878" s="120" t="s">
        <v>1641</v>
      </c>
      <c r="E878" s="2576">
        <v>1.5</v>
      </c>
      <c r="F878" s="2577"/>
      <c r="G878" s="2559">
        <v>97782.88</v>
      </c>
      <c r="H878" s="2560">
        <v>97782.88</v>
      </c>
      <c r="I878" s="2559">
        <v>146674.32</v>
      </c>
      <c r="J878" s="2560"/>
      <c r="K878" s="124"/>
      <c r="L878" s="122"/>
      <c r="M878" s="120"/>
      <c r="N878" s="120"/>
      <c r="O878" s="2571"/>
      <c r="P878" s="2572"/>
      <c r="Q878" s="2559"/>
      <c r="R878" s="2560"/>
      <c r="S878" s="2559"/>
      <c r="T878" s="2560"/>
    </row>
    <row r="879" spans="1:20" ht="17.100000000000001" customHeight="1" x14ac:dyDescent="0.3">
      <c r="A879" s="127" t="s">
        <v>474</v>
      </c>
      <c r="B879" s="128"/>
      <c r="C879" s="120"/>
      <c r="D879" s="120"/>
      <c r="E879" s="2576"/>
      <c r="F879" s="2577"/>
      <c r="G879" s="2559"/>
      <c r="H879" s="2560"/>
      <c r="I879" s="2559">
        <v>0</v>
      </c>
      <c r="J879" s="2560"/>
      <c r="K879" s="124"/>
      <c r="L879" s="122" t="s">
        <v>475</v>
      </c>
      <c r="M879" s="120"/>
      <c r="N879" s="120"/>
      <c r="O879" s="2571"/>
      <c r="P879" s="2572"/>
      <c r="Q879" s="2559"/>
      <c r="R879" s="2560"/>
      <c r="S879" s="2559">
        <v>0</v>
      </c>
      <c r="T879" s="2560"/>
    </row>
    <row r="880" spans="1:20" ht="17.100000000000001" customHeight="1" x14ac:dyDescent="0.3">
      <c r="A880" s="127" t="s">
        <v>476</v>
      </c>
      <c r="B880" s="128"/>
      <c r="C880" s="120" t="s">
        <v>773</v>
      </c>
      <c r="D880" s="120" t="s">
        <v>493</v>
      </c>
      <c r="E880" s="2576">
        <v>1</v>
      </c>
      <c r="F880" s="2577"/>
      <c r="G880" s="2559">
        <v>110005.875</v>
      </c>
      <c r="H880" s="2560">
        <v>97782.88</v>
      </c>
      <c r="I880" s="2559">
        <v>110005.875</v>
      </c>
      <c r="J880" s="2560"/>
      <c r="K880" s="124"/>
      <c r="L880" s="122" t="s">
        <v>477</v>
      </c>
      <c r="M880" s="120" t="s">
        <v>1656</v>
      </c>
      <c r="N880" s="120" t="s">
        <v>473</v>
      </c>
      <c r="O880" s="2571">
        <v>1.5</v>
      </c>
      <c r="P880" s="2572"/>
      <c r="Q880" s="2559">
        <v>17566.759999999998</v>
      </c>
      <c r="R880" s="2560"/>
      <c r="S880" s="2559">
        <v>26350.14</v>
      </c>
      <c r="T880" s="2560"/>
    </row>
    <row r="881" spans="1:20" ht="17.100000000000001" customHeight="1" x14ac:dyDescent="0.3">
      <c r="A881" s="2597" t="s">
        <v>480</v>
      </c>
      <c r="B881" s="2598"/>
      <c r="C881" s="120" t="s">
        <v>496</v>
      </c>
      <c r="D881" s="120" t="s">
        <v>497</v>
      </c>
      <c r="E881" s="2576">
        <v>8</v>
      </c>
      <c r="F881" s="2577"/>
      <c r="G881" s="2567">
        <v>47000</v>
      </c>
      <c r="H881" s="2568">
        <v>38202.400000000001</v>
      </c>
      <c r="I881" s="2559">
        <v>376000</v>
      </c>
      <c r="J881" s="2560"/>
      <c r="K881" s="124"/>
      <c r="L881" s="122" t="s">
        <v>481</v>
      </c>
      <c r="M881" s="120" t="s">
        <v>576</v>
      </c>
      <c r="N881" s="120" t="s">
        <v>473</v>
      </c>
      <c r="O881" s="2571">
        <v>2</v>
      </c>
      <c r="P881" s="2572"/>
      <c r="Q881" s="2559">
        <v>18961.1728</v>
      </c>
      <c r="R881" s="2560"/>
      <c r="S881" s="2559">
        <v>37922.345600000001</v>
      </c>
      <c r="T881" s="2560"/>
    </row>
    <row r="882" spans="1:20" ht="17.100000000000001" customHeight="1" x14ac:dyDescent="0.3">
      <c r="A882" s="127" t="s">
        <v>454</v>
      </c>
      <c r="B882" s="128"/>
      <c r="C882" s="120"/>
      <c r="D882" s="120"/>
      <c r="E882" s="2576"/>
      <c r="F882" s="2577"/>
      <c r="G882" s="2559"/>
      <c r="H882" s="2560"/>
      <c r="I882" s="2559">
        <v>0</v>
      </c>
      <c r="J882" s="2560"/>
      <c r="K882" s="124"/>
      <c r="L882" s="122" t="s">
        <v>483</v>
      </c>
      <c r="M882" s="120" t="s">
        <v>1649</v>
      </c>
      <c r="N882" s="120" t="s">
        <v>473</v>
      </c>
      <c r="O882" s="2571">
        <v>2</v>
      </c>
      <c r="P882" s="2572"/>
      <c r="Q882" s="2559">
        <v>180957.84479999999</v>
      </c>
      <c r="R882" s="2560"/>
      <c r="S882" s="2559">
        <v>361915.68959999998</v>
      </c>
      <c r="T882" s="2560"/>
    </row>
    <row r="883" spans="1:20" ht="17.100000000000001" customHeight="1" x14ac:dyDescent="0.3">
      <c r="A883" s="127" t="s">
        <v>715</v>
      </c>
      <c r="B883" s="128"/>
      <c r="C883" s="120"/>
      <c r="D883" s="120"/>
      <c r="E883" s="2576"/>
      <c r="F883" s="2577"/>
      <c r="G883" s="2559"/>
      <c r="H883" s="2560"/>
      <c r="I883" s="2559">
        <v>0</v>
      </c>
      <c r="J883" s="2560"/>
      <c r="K883" s="124"/>
      <c r="L883" s="122" t="s">
        <v>486</v>
      </c>
      <c r="M883" s="120" t="s">
        <v>1650</v>
      </c>
      <c r="N883" s="120" t="s">
        <v>473</v>
      </c>
      <c r="O883" s="2571">
        <v>2</v>
      </c>
      <c r="P883" s="2572"/>
      <c r="Q883" s="2559">
        <v>69965.427200000006</v>
      </c>
      <c r="R883" s="2560"/>
      <c r="S883" s="2559">
        <v>139930.85440000001</v>
      </c>
      <c r="T883" s="2560"/>
    </row>
    <row r="884" spans="1:20" ht="17.100000000000001" customHeight="1" x14ac:dyDescent="0.3">
      <c r="A884" s="133" t="s">
        <v>488</v>
      </c>
      <c r="B884" s="134"/>
      <c r="C884" s="120"/>
      <c r="D884" s="120"/>
      <c r="E884" s="2576"/>
      <c r="F884" s="2577"/>
      <c r="G884" s="2559"/>
      <c r="H884" s="2560"/>
      <c r="I884" s="2559">
        <v>0</v>
      </c>
      <c r="J884" s="2560"/>
      <c r="K884" s="124"/>
      <c r="L884" s="122" t="s">
        <v>489</v>
      </c>
      <c r="M884" s="120" t="s">
        <v>1651</v>
      </c>
      <c r="N884" s="120" t="s">
        <v>473</v>
      </c>
      <c r="O884" s="2571">
        <v>1</v>
      </c>
      <c r="P884" s="2572"/>
      <c r="Q884" s="2559">
        <v>424489.41759999999</v>
      </c>
      <c r="R884" s="2560"/>
      <c r="S884" s="2559">
        <v>424489.41759999999</v>
      </c>
      <c r="T884" s="2560"/>
    </row>
    <row r="885" spans="1:20" ht="17.100000000000001" customHeight="1" x14ac:dyDescent="0.3">
      <c r="A885" s="135" t="s">
        <v>490</v>
      </c>
      <c r="B885" s="136"/>
      <c r="C885" s="120"/>
      <c r="D885" s="120"/>
      <c r="E885" s="2576"/>
      <c r="F885" s="2577"/>
      <c r="G885" s="2559"/>
      <c r="H885" s="2560"/>
      <c r="I885" s="2565">
        <v>423000</v>
      </c>
      <c r="J885" s="2566"/>
      <c r="K885" s="124"/>
      <c r="L885" s="122" t="s">
        <v>491</v>
      </c>
      <c r="M885" s="120" t="s">
        <v>1652</v>
      </c>
      <c r="N885" s="120" t="s">
        <v>1101</v>
      </c>
      <c r="O885" s="2571">
        <v>5</v>
      </c>
      <c r="P885" s="2572"/>
      <c r="Q885" s="2559">
        <v>25583</v>
      </c>
      <c r="R885" s="2560"/>
      <c r="S885" s="2559">
        <v>127915</v>
      </c>
      <c r="T885" s="2560"/>
    </row>
    <row r="886" spans="1:20" ht="17.100000000000001" customHeight="1" x14ac:dyDescent="0.3">
      <c r="A886" s="133" t="s">
        <v>492</v>
      </c>
      <c r="B886" s="136"/>
      <c r="C886" s="120"/>
      <c r="D886" s="120"/>
      <c r="E886" s="2559"/>
      <c r="F886" s="2560"/>
      <c r="G886" s="2569"/>
      <c r="H886" s="2570"/>
      <c r="I886" s="2559">
        <v>0</v>
      </c>
      <c r="J886" s="2560"/>
      <c r="K886" s="124"/>
      <c r="L886" s="122" t="s">
        <v>494</v>
      </c>
      <c r="M886" s="120" t="s">
        <v>1653</v>
      </c>
      <c r="N886" s="120" t="s">
        <v>1101</v>
      </c>
      <c r="O886" s="2571">
        <v>5</v>
      </c>
      <c r="P886" s="2572"/>
      <c r="Q886" s="2559">
        <v>37265.572800000002</v>
      </c>
      <c r="R886" s="2560"/>
      <c r="S886" s="2559">
        <v>186327.864</v>
      </c>
      <c r="T886" s="2560"/>
    </row>
    <row r="887" spans="1:20" ht="17.100000000000001" customHeight="1" x14ac:dyDescent="0.3">
      <c r="A887" s="137" t="s">
        <v>717</v>
      </c>
      <c r="B887" s="138"/>
      <c r="C887" s="120" t="s">
        <v>496</v>
      </c>
      <c r="D887" s="120" t="s">
        <v>497</v>
      </c>
      <c r="E887" s="2559">
        <v>9</v>
      </c>
      <c r="F887" s="2560"/>
      <c r="G887" s="2567">
        <v>47000</v>
      </c>
      <c r="H887" s="2568">
        <v>38202.400000000001</v>
      </c>
      <c r="I887" s="2559">
        <v>423000</v>
      </c>
      <c r="J887" s="2560"/>
      <c r="K887" s="124"/>
      <c r="L887" s="122" t="s">
        <v>498</v>
      </c>
      <c r="M887" s="120"/>
      <c r="N887" s="120"/>
      <c r="O887" s="2571"/>
      <c r="P887" s="2572"/>
      <c r="Q887" s="2559"/>
      <c r="R887" s="2560"/>
      <c r="S887" s="2559">
        <v>0</v>
      </c>
      <c r="T887" s="2560"/>
    </row>
    <row r="888" spans="1:20" ht="17.100000000000001" customHeight="1" x14ac:dyDescent="0.3">
      <c r="A888" s="2578" t="s">
        <v>501</v>
      </c>
      <c r="B888" s="2579"/>
      <c r="C888" s="120"/>
      <c r="D888" s="120"/>
      <c r="E888" s="2559"/>
      <c r="F888" s="2560"/>
      <c r="G888" s="2559"/>
      <c r="H888" s="2560"/>
      <c r="I888" s="2559">
        <v>0</v>
      </c>
      <c r="J888" s="2560"/>
      <c r="K888" s="124"/>
      <c r="L888" s="139" t="s">
        <v>504</v>
      </c>
      <c r="M888" s="140" t="s">
        <v>1654</v>
      </c>
      <c r="N888" s="140" t="s">
        <v>1655</v>
      </c>
      <c r="O888" s="2571">
        <v>431</v>
      </c>
      <c r="P888" s="2572"/>
      <c r="Q888" s="2559">
        <v>4909.9503999999997</v>
      </c>
      <c r="R888" s="2560"/>
      <c r="S888" s="2559">
        <v>2116188.6223999998</v>
      </c>
      <c r="T888" s="2560"/>
    </row>
    <row r="889" spans="1:20" ht="17.100000000000001" customHeight="1" x14ac:dyDescent="0.3">
      <c r="A889" s="2589" t="s">
        <v>495</v>
      </c>
      <c r="B889" s="2590"/>
      <c r="C889" s="120"/>
      <c r="D889" s="120"/>
      <c r="E889" s="2559"/>
      <c r="F889" s="2560"/>
      <c r="G889" s="2569"/>
      <c r="H889" s="2570"/>
      <c r="I889" s="2559">
        <v>0</v>
      </c>
      <c r="J889" s="2560"/>
      <c r="K889" s="124"/>
      <c r="L889" s="139"/>
      <c r="M889" s="139"/>
      <c r="N889" s="139"/>
      <c r="O889" s="2559"/>
      <c r="P889" s="2560"/>
      <c r="Q889" s="2559"/>
      <c r="R889" s="2560"/>
      <c r="S889" s="2559"/>
      <c r="T889" s="2560"/>
    </row>
    <row r="890" spans="1:20" ht="17.100000000000001" customHeight="1" x14ac:dyDescent="0.3">
      <c r="A890" s="2589"/>
      <c r="B890" s="2590"/>
      <c r="C890" s="120"/>
      <c r="D890" s="120"/>
      <c r="E890" s="2559"/>
      <c r="F890" s="2560"/>
      <c r="G890" s="2559"/>
      <c r="H890" s="2560"/>
      <c r="I890" s="2559">
        <v>0</v>
      </c>
      <c r="J890" s="2560"/>
      <c r="K890" s="124"/>
      <c r="L890" s="139" t="s">
        <v>595</v>
      </c>
      <c r="M890" s="139"/>
      <c r="N890" s="139"/>
      <c r="O890" s="2559"/>
      <c r="P890" s="2560"/>
      <c r="Q890" s="2559"/>
      <c r="R890" s="2560"/>
      <c r="S890" s="2559">
        <v>0</v>
      </c>
      <c r="T890" s="2560"/>
    </row>
    <row r="891" spans="1:20" ht="17.100000000000001" customHeight="1" x14ac:dyDescent="0.35">
      <c r="A891" s="2595" t="s">
        <v>506</v>
      </c>
      <c r="B891" s="2596"/>
      <c r="C891" s="120"/>
      <c r="D891" s="120"/>
      <c r="E891" s="2576"/>
      <c r="F891" s="2577"/>
      <c r="G891" s="2559"/>
      <c r="H891" s="2560"/>
      <c r="I891" s="2565">
        <v>5005500</v>
      </c>
      <c r="J891" s="2566"/>
      <c r="K891" s="121"/>
      <c r="L891" s="139" t="s">
        <v>507</v>
      </c>
      <c r="M891" s="140" t="s">
        <v>1079</v>
      </c>
      <c r="N891" s="140" t="s">
        <v>497</v>
      </c>
      <c r="O891" s="2559">
        <v>1600</v>
      </c>
      <c r="P891" s="2560"/>
      <c r="Q891" s="2559">
        <v>3539.25</v>
      </c>
      <c r="R891" s="2560"/>
      <c r="S891" s="2559">
        <v>5662800</v>
      </c>
      <c r="T891" s="2560"/>
    </row>
    <row r="892" spans="1:20" ht="17.100000000000001" customHeight="1" x14ac:dyDescent="0.3">
      <c r="A892" s="2589" t="s">
        <v>509</v>
      </c>
      <c r="B892" s="2590"/>
      <c r="C892" s="120"/>
      <c r="D892" s="120"/>
      <c r="E892" s="2576"/>
      <c r="F892" s="2577"/>
      <c r="G892" s="2569"/>
      <c r="H892" s="2570"/>
      <c r="I892" s="2559">
        <v>0</v>
      </c>
      <c r="J892" s="2560"/>
      <c r="K892" s="124"/>
      <c r="L892" s="139" t="s">
        <v>510</v>
      </c>
      <c r="M892" s="140"/>
      <c r="N892" s="140"/>
      <c r="O892" s="2571"/>
      <c r="P892" s="2572"/>
      <c r="Q892" s="2559"/>
      <c r="R892" s="2560"/>
      <c r="S892" s="2559">
        <v>0</v>
      </c>
      <c r="T892" s="2560"/>
    </row>
    <row r="893" spans="1:20" ht="17.100000000000001" customHeight="1" x14ac:dyDescent="0.3">
      <c r="A893" s="2589" t="s">
        <v>827</v>
      </c>
      <c r="B893" s="2590"/>
      <c r="C893" s="120"/>
      <c r="D893" s="120"/>
      <c r="E893" s="2576"/>
      <c r="F893" s="2577"/>
      <c r="G893" s="2559"/>
      <c r="H893" s="2560"/>
      <c r="I893" s="2559">
        <v>0</v>
      </c>
      <c r="J893" s="2560"/>
      <c r="K893" s="124"/>
      <c r="L893" s="139" t="s">
        <v>574</v>
      </c>
      <c r="M893" s="140"/>
      <c r="N893" s="140"/>
      <c r="O893" s="2559"/>
      <c r="P893" s="2560"/>
      <c r="Q893" s="2559"/>
      <c r="R893" s="2560"/>
      <c r="S893" s="2559">
        <v>0</v>
      </c>
      <c r="T893" s="2560"/>
    </row>
    <row r="894" spans="1:20" ht="17.100000000000001" customHeight="1" x14ac:dyDescent="0.3">
      <c r="A894" s="137" t="s">
        <v>514</v>
      </c>
      <c r="B894" s="138"/>
      <c r="C894" s="120"/>
      <c r="D894" s="120"/>
      <c r="E894" s="2576"/>
      <c r="F894" s="2577"/>
      <c r="G894" s="2569"/>
      <c r="H894" s="2570"/>
      <c r="I894" s="2559">
        <v>0</v>
      </c>
      <c r="J894" s="2560"/>
      <c r="K894" s="124"/>
      <c r="L894" s="139" t="s">
        <v>515</v>
      </c>
      <c r="M894" s="140"/>
      <c r="N894" s="140"/>
      <c r="O894" s="2559"/>
      <c r="P894" s="2560"/>
      <c r="Q894" s="2559"/>
      <c r="R894" s="2560"/>
      <c r="S894" s="2559">
        <v>0</v>
      </c>
      <c r="T894" s="2560"/>
    </row>
    <row r="895" spans="1:20" ht="17.100000000000001" customHeight="1" x14ac:dyDescent="0.3">
      <c r="A895" s="2589" t="s">
        <v>516</v>
      </c>
      <c r="B895" s="2590"/>
      <c r="C895" s="120"/>
      <c r="D895" s="120"/>
      <c r="E895" s="2576"/>
      <c r="F895" s="2577"/>
      <c r="G895" s="2569"/>
      <c r="H895" s="2570"/>
      <c r="I895" s="2559">
        <v>0</v>
      </c>
      <c r="J895" s="2560"/>
      <c r="K895" s="124"/>
      <c r="L895" s="139" t="s">
        <v>575</v>
      </c>
      <c r="M895" s="140"/>
      <c r="N895" s="140"/>
      <c r="O895" s="2559"/>
      <c r="P895" s="2560"/>
      <c r="Q895" s="2559"/>
      <c r="R895" s="2560"/>
      <c r="S895" s="2559">
        <v>0</v>
      </c>
      <c r="T895" s="2560"/>
    </row>
    <row r="896" spans="1:20" ht="17.100000000000001" customHeight="1" x14ac:dyDescent="0.3">
      <c r="A896" s="137" t="s">
        <v>830</v>
      </c>
      <c r="B896" s="138"/>
      <c r="C896" s="120"/>
      <c r="D896" s="120"/>
      <c r="E896" s="2576"/>
      <c r="F896" s="2577"/>
      <c r="G896" s="2569"/>
      <c r="H896" s="2570"/>
      <c r="I896" s="2559">
        <v>0</v>
      </c>
      <c r="J896" s="2560"/>
      <c r="K896" s="124"/>
      <c r="L896" s="139" t="s">
        <v>510</v>
      </c>
      <c r="M896" s="139"/>
      <c r="N896" s="139"/>
      <c r="O896" s="2559"/>
      <c r="P896" s="2560"/>
      <c r="Q896" s="2559"/>
      <c r="R896" s="2560"/>
      <c r="S896" s="2559"/>
      <c r="T896" s="2560"/>
    </row>
    <row r="897" spans="1:22" ht="17.100000000000001" customHeight="1" x14ac:dyDescent="0.3">
      <c r="A897" s="137" t="s">
        <v>519</v>
      </c>
      <c r="B897" s="141"/>
      <c r="C897" s="120" t="s">
        <v>496</v>
      </c>
      <c r="D897" s="120" t="s">
        <v>497</v>
      </c>
      <c r="E897" s="2573">
        <v>16</v>
      </c>
      <c r="F897" s="2574"/>
      <c r="G897" s="2567">
        <v>47000</v>
      </c>
      <c r="H897" s="2568">
        <v>38202.400000000001</v>
      </c>
      <c r="I897" s="2559">
        <v>752000</v>
      </c>
      <c r="J897" s="2560"/>
      <c r="K897" s="124"/>
      <c r="L897" s="139"/>
      <c r="M897" s="139"/>
      <c r="N897" s="139"/>
      <c r="O897" s="2559"/>
      <c r="P897" s="2560"/>
      <c r="Q897" s="2559"/>
      <c r="R897" s="2560"/>
      <c r="S897" s="2559"/>
      <c r="T897" s="2560"/>
    </row>
    <row r="898" spans="1:22" ht="17.100000000000001" customHeight="1" x14ac:dyDescent="0.3">
      <c r="A898" s="137" t="s">
        <v>475</v>
      </c>
      <c r="B898" s="138"/>
      <c r="C898" s="120" t="s">
        <v>496</v>
      </c>
      <c r="D898" s="120" t="s">
        <v>497</v>
      </c>
      <c r="E898" s="2559">
        <v>18</v>
      </c>
      <c r="F898" s="2560"/>
      <c r="G898" s="2567">
        <v>47000</v>
      </c>
      <c r="H898" s="2568">
        <v>38202.400000000001</v>
      </c>
      <c r="I898" s="2559">
        <v>846000</v>
      </c>
      <c r="J898" s="2560"/>
      <c r="K898" s="124"/>
      <c r="L898" s="139"/>
      <c r="M898" s="139"/>
      <c r="N898" s="139"/>
      <c r="O898" s="2559"/>
      <c r="P898" s="2560"/>
      <c r="Q898" s="2559"/>
      <c r="R898" s="2560"/>
      <c r="S898" s="2559"/>
      <c r="T898" s="2560"/>
    </row>
    <row r="899" spans="1:22" ht="17.100000000000001" customHeight="1" x14ac:dyDescent="0.3">
      <c r="A899" s="2578" t="s">
        <v>520</v>
      </c>
      <c r="B899" s="2579"/>
      <c r="C899" s="120"/>
      <c r="D899" s="120"/>
      <c r="E899" s="2576"/>
      <c r="F899" s="2577"/>
      <c r="G899" s="2569"/>
      <c r="H899" s="2570"/>
      <c r="I899" s="2559">
        <v>0</v>
      </c>
      <c r="J899" s="2560"/>
      <c r="K899" s="124"/>
      <c r="L899" s="142" t="s">
        <v>521</v>
      </c>
      <c r="M899" s="143"/>
      <c r="N899" s="143"/>
      <c r="O899" s="2591"/>
      <c r="P899" s="2592"/>
      <c r="Q899" s="2591"/>
      <c r="R899" s="2592"/>
      <c r="S899" s="2593">
        <v>13536383.433599999</v>
      </c>
      <c r="T899" s="2594"/>
    </row>
    <row r="900" spans="1:22" ht="17.100000000000001" customHeight="1" x14ac:dyDescent="0.3">
      <c r="A900" s="137" t="s">
        <v>522</v>
      </c>
      <c r="B900" s="138"/>
      <c r="C900" s="120"/>
      <c r="D900" s="120"/>
      <c r="E900" s="2576"/>
      <c r="F900" s="2577"/>
      <c r="G900" s="2559"/>
      <c r="H900" s="2560"/>
      <c r="I900" s="2559">
        <v>0</v>
      </c>
      <c r="J900" s="2560"/>
      <c r="K900" s="124"/>
      <c r="L900" s="144" t="s">
        <v>577</v>
      </c>
      <c r="M900" s="145"/>
      <c r="N900" s="145"/>
      <c r="O900" s="146"/>
      <c r="P900" s="146"/>
      <c r="Q900" s="146"/>
      <c r="R900" s="146"/>
      <c r="S900" s="146"/>
      <c r="T900" s="147"/>
    </row>
    <row r="901" spans="1:22" ht="17.100000000000001" customHeight="1" x14ac:dyDescent="0.3">
      <c r="A901" s="2578" t="s">
        <v>524</v>
      </c>
      <c r="B901" s="2579"/>
      <c r="C901" s="120"/>
      <c r="D901" s="120"/>
      <c r="E901" s="2576"/>
      <c r="F901" s="2577"/>
      <c r="G901" s="2569"/>
      <c r="H901" s="2570"/>
      <c r="I901" s="2559">
        <v>0</v>
      </c>
      <c r="J901" s="2560"/>
      <c r="K901" s="124"/>
      <c r="L901" s="148" t="s">
        <v>525</v>
      </c>
      <c r="M901" s="149">
        <v>0.05</v>
      </c>
      <c r="N901" s="45"/>
      <c r="O901" s="26"/>
      <c r="P901" s="26"/>
      <c r="Q901" s="26"/>
      <c r="R901" s="26"/>
      <c r="S901" s="2575">
        <v>1132845.7720550001</v>
      </c>
      <c r="T901" s="2560"/>
    </row>
    <row r="902" spans="1:22" ht="17.100000000000001" customHeight="1" x14ac:dyDescent="0.3">
      <c r="A902" s="133" t="s">
        <v>578</v>
      </c>
      <c r="B902" s="138"/>
      <c r="C902" s="120" t="s">
        <v>496</v>
      </c>
      <c r="D902" s="120" t="s">
        <v>497</v>
      </c>
      <c r="E902" s="2576">
        <v>5</v>
      </c>
      <c r="F902" s="2577"/>
      <c r="G902" s="2567">
        <v>47000</v>
      </c>
      <c r="H902" s="2568">
        <v>38202.400000000001</v>
      </c>
      <c r="I902" s="2559">
        <v>235000</v>
      </c>
      <c r="J902" s="2560"/>
      <c r="K902" s="124"/>
      <c r="L902" s="151" t="s">
        <v>527</v>
      </c>
      <c r="M902" s="45"/>
      <c r="N902" s="45"/>
      <c r="O902" s="26"/>
      <c r="P902" s="26"/>
      <c r="Q902" s="26"/>
      <c r="R902" s="26"/>
      <c r="S902" s="2575">
        <v>218560</v>
      </c>
      <c r="T902" s="2560"/>
    </row>
    <row r="903" spans="1:22" ht="17.100000000000001" customHeight="1" x14ac:dyDescent="0.3">
      <c r="A903" s="153" t="s">
        <v>579</v>
      </c>
      <c r="B903" s="136"/>
      <c r="C903" s="120" t="s">
        <v>496</v>
      </c>
      <c r="D903" s="120" t="s">
        <v>497</v>
      </c>
      <c r="E903" s="2573">
        <v>9</v>
      </c>
      <c r="F903" s="2574"/>
      <c r="G903" s="2567">
        <v>47000</v>
      </c>
      <c r="H903" s="2568">
        <v>38202.400000000001</v>
      </c>
      <c r="I903" s="2559">
        <v>423000</v>
      </c>
      <c r="J903" s="2560"/>
      <c r="K903" s="124"/>
      <c r="L903" s="152" t="s">
        <v>529</v>
      </c>
      <c r="M903" s="45"/>
      <c r="N903" s="45"/>
      <c r="O903" s="26"/>
      <c r="P903" s="26"/>
      <c r="Q903" s="26"/>
      <c r="R903" s="26"/>
      <c r="S903" s="2575">
        <v>1092800</v>
      </c>
      <c r="T903" s="2560"/>
    </row>
    <row r="904" spans="1:22" ht="17.100000000000001" customHeight="1" x14ac:dyDescent="0.3">
      <c r="A904" s="2578" t="s">
        <v>727</v>
      </c>
      <c r="B904" s="2579"/>
      <c r="C904" s="120" t="s">
        <v>496</v>
      </c>
      <c r="D904" s="120" t="s">
        <v>497</v>
      </c>
      <c r="E904" s="2576">
        <v>9</v>
      </c>
      <c r="F904" s="2577"/>
      <c r="G904" s="2567">
        <v>47000</v>
      </c>
      <c r="H904" s="2568">
        <v>38202.400000000001</v>
      </c>
      <c r="I904" s="2559">
        <v>423000</v>
      </c>
      <c r="J904" s="2560"/>
      <c r="K904" s="124"/>
      <c r="L904" s="152" t="s">
        <v>580</v>
      </c>
      <c r="M904" s="45"/>
      <c r="N904" s="45"/>
      <c r="O904" s="26"/>
      <c r="P904" s="26"/>
      <c r="Q904" s="26"/>
      <c r="R904" s="26"/>
      <c r="S904" s="2575">
        <v>1132845.7720550001</v>
      </c>
      <c r="T904" s="2560"/>
    </row>
    <row r="905" spans="1:22" ht="17.100000000000001" customHeight="1" x14ac:dyDescent="0.3">
      <c r="A905" s="2589" t="s">
        <v>1642</v>
      </c>
      <c r="B905" s="2590"/>
      <c r="C905" s="120" t="s">
        <v>496</v>
      </c>
      <c r="D905" s="120" t="s">
        <v>497</v>
      </c>
      <c r="E905" s="2576">
        <v>2</v>
      </c>
      <c r="F905" s="2577"/>
      <c r="G905" s="2567">
        <v>47000</v>
      </c>
      <c r="H905" s="2568">
        <v>38202.400000000001</v>
      </c>
      <c r="I905" s="2559">
        <v>94000</v>
      </c>
      <c r="J905" s="2560"/>
      <c r="K905" s="124"/>
      <c r="L905" s="166" t="s">
        <v>504</v>
      </c>
      <c r="M905" s="155"/>
      <c r="N905" s="155"/>
      <c r="O905" s="167"/>
      <c r="P905" s="167"/>
      <c r="Q905" s="167"/>
      <c r="R905" s="167"/>
      <c r="S905" s="2557">
        <v>196704</v>
      </c>
      <c r="T905" s="2558"/>
    </row>
    <row r="906" spans="1:22" ht="17.100000000000001" customHeight="1" x14ac:dyDescent="0.3">
      <c r="A906" s="2578" t="s">
        <v>1643</v>
      </c>
      <c r="B906" s="2579"/>
      <c r="C906" s="120" t="s">
        <v>496</v>
      </c>
      <c r="D906" s="120" t="s">
        <v>497</v>
      </c>
      <c r="E906" s="2576">
        <v>4.5</v>
      </c>
      <c r="F906" s="2577"/>
      <c r="G906" s="2567">
        <v>47000</v>
      </c>
      <c r="H906" s="2568">
        <v>38202.400000000001</v>
      </c>
      <c r="I906" s="2559">
        <v>211500</v>
      </c>
      <c r="J906" s="2560"/>
      <c r="K906" s="124"/>
      <c r="L906" s="156" t="s">
        <v>533</v>
      </c>
      <c r="M906" s="157"/>
      <c r="N906" s="157"/>
      <c r="O906" s="158"/>
      <c r="P906" s="158"/>
      <c r="Q906" s="158"/>
      <c r="R906" s="158"/>
      <c r="S906" s="2587">
        <v>3773755.5441100001</v>
      </c>
      <c r="T906" s="2588"/>
    </row>
    <row r="907" spans="1:22" ht="17.100000000000001" customHeight="1" x14ac:dyDescent="0.3">
      <c r="A907" s="2578" t="s">
        <v>1644</v>
      </c>
      <c r="B907" s="2579"/>
      <c r="C907" s="120" t="s">
        <v>496</v>
      </c>
      <c r="D907" s="120" t="s">
        <v>497</v>
      </c>
      <c r="E907" s="2559">
        <v>5</v>
      </c>
      <c r="F907" s="2560"/>
      <c r="G907" s="2567">
        <v>47000</v>
      </c>
      <c r="H907" s="2568">
        <v>38202.400000000001</v>
      </c>
      <c r="I907" s="2559">
        <v>235000</v>
      </c>
      <c r="J907" s="2560"/>
      <c r="K907" s="124"/>
      <c r="L907" s="159"/>
      <c r="M907" s="45"/>
      <c r="N907" s="45"/>
      <c r="O907" s="26"/>
      <c r="P907" s="26"/>
      <c r="Q907" s="26"/>
      <c r="R907" s="26"/>
      <c r="S907" s="26"/>
      <c r="T907" s="150"/>
    </row>
    <row r="908" spans="1:22" ht="17.100000000000001" customHeight="1" thickBot="1" x14ac:dyDescent="0.35">
      <c r="A908" s="2578" t="s">
        <v>1645</v>
      </c>
      <c r="B908" s="2579"/>
      <c r="C908" s="120" t="s">
        <v>496</v>
      </c>
      <c r="D908" s="120" t="s">
        <v>497</v>
      </c>
      <c r="E908" s="2576">
        <v>20</v>
      </c>
      <c r="F908" s="2577"/>
      <c r="G908" s="2567">
        <v>47000</v>
      </c>
      <c r="H908" s="2568">
        <v>38202.400000000001</v>
      </c>
      <c r="I908" s="2559">
        <v>940000</v>
      </c>
      <c r="J908" s="2560"/>
      <c r="K908" s="124"/>
      <c r="L908" s="160" t="s">
        <v>583</v>
      </c>
      <c r="M908" s="161"/>
      <c r="N908" s="161"/>
      <c r="O908" s="161"/>
      <c r="P908" s="161"/>
      <c r="Q908" s="161"/>
      <c r="R908" s="161"/>
      <c r="S908" s="2580">
        <v>26430670.985210001</v>
      </c>
      <c r="T908" s="2581"/>
      <c r="V908" s="2084">
        <f>S908</f>
        <v>26430670.985210001</v>
      </c>
    </row>
    <row r="909" spans="1:22" ht="17.100000000000001" customHeight="1" thickBot="1" x14ac:dyDescent="0.35">
      <c r="A909" s="2585" t="s">
        <v>1646</v>
      </c>
      <c r="B909" s="2586"/>
      <c r="C909" s="120" t="s">
        <v>496</v>
      </c>
      <c r="D909" s="120" t="s">
        <v>497</v>
      </c>
      <c r="E909" s="2559">
        <v>10</v>
      </c>
      <c r="F909" s="2560"/>
      <c r="G909" s="2567">
        <v>47000</v>
      </c>
      <c r="H909" s="2568">
        <v>38202.400000000001</v>
      </c>
      <c r="I909" s="2559">
        <v>470000</v>
      </c>
      <c r="J909" s="2560"/>
      <c r="K909" s="124"/>
      <c r="L909" s="45"/>
      <c r="M909" s="45"/>
      <c r="N909" s="45"/>
      <c r="O909" s="45"/>
      <c r="P909" s="45"/>
      <c r="Q909" s="45"/>
      <c r="R909" s="45"/>
      <c r="S909" s="45"/>
      <c r="T909" s="45"/>
    </row>
    <row r="910" spans="1:22" ht="17.100000000000001" customHeight="1" x14ac:dyDescent="0.3">
      <c r="A910" s="133" t="s">
        <v>538</v>
      </c>
      <c r="B910" s="136"/>
      <c r="C910" s="120" t="s">
        <v>496</v>
      </c>
      <c r="D910" s="120" t="s">
        <v>497</v>
      </c>
      <c r="E910" s="2559">
        <v>8</v>
      </c>
      <c r="F910" s="2560"/>
      <c r="G910" s="2567">
        <v>47000</v>
      </c>
      <c r="H910" s="2568">
        <v>38202.400000000001</v>
      </c>
      <c r="I910" s="2559">
        <v>376000</v>
      </c>
      <c r="J910" s="2560"/>
      <c r="K910" s="124"/>
      <c r="L910" s="45"/>
      <c r="M910" s="2582" t="s">
        <v>539</v>
      </c>
      <c r="N910" s="2583"/>
      <c r="O910" s="2583"/>
      <c r="P910" s="2583"/>
      <c r="Q910" s="2584"/>
      <c r="R910" s="45"/>
      <c r="S910" s="45"/>
      <c r="T910" s="45"/>
    </row>
    <row r="911" spans="1:22" ht="17.100000000000001" customHeight="1" x14ac:dyDescent="0.3">
      <c r="A911" s="133" t="s">
        <v>540</v>
      </c>
      <c r="B911" s="136"/>
      <c r="C911" s="140"/>
      <c r="D911" s="140"/>
      <c r="E911" s="2559"/>
      <c r="F911" s="2560"/>
      <c r="G911" s="2559"/>
      <c r="H911" s="2560"/>
      <c r="I911" s="2559">
        <v>0</v>
      </c>
      <c r="J911" s="2560"/>
      <c r="K911" s="124"/>
      <c r="L911" s="45"/>
      <c r="M911" s="101" t="s">
        <v>541</v>
      </c>
      <c r="N911" s="102"/>
      <c r="O911" s="102"/>
      <c r="P911" s="102"/>
      <c r="Q911" s="103">
        <v>20.793875147232036</v>
      </c>
      <c r="R911" s="45"/>
      <c r="S911" s="45"/>
      <c r="T911" s="45"/>
    </row>
    <row r="912" spans="1:22" ht="17.100000000000001" customHeight="1" x14ac:dyDescent="0.3">
      <c r="A912" s="133" t="s">
        <v>543</v>
      </c>
      <c r="B912" s="136"/>
      <c r="C912" s="140"/>
      <c r="D912" s="140"/>
      <c r="E912" s="2559"/>
      <c r="F912" s="2560"/>
      <c r="G912" s="2559"/>
      <c r="H912" s="2560"/>
      <c r="I912" s="2559">
        <v>0</v>
      </c>
      <c r="J912" s="2560"/>
      <c r="K912" s="124"/>
      <c r="L912" s="45"/>
      <c r="M912" s="104" t="s">
        <v>544</v>
      </c>
      <c r="N912" s="102"/>
      <c r="O912" s="102"/>
      <c r="P912" s="105"/>
      <c r="Q912" s="106">
        <v>26430670.985210001</v>
      </c>
      <c r="R912" s="45"/>
      <c r="S912" s="45"/>
      <c r="T912" s="45"/>
    </row>
    <row r="913" spans="1:20" ht="17.100000000000001" customHeight="1" x14ac:dyDescent="0.35">
      <c r="A913" s="135" t="s">
        <v>545</v>
      </c>
      <c r="B913" s="136"/>
      <c r="C913" s="140"/>
      <c r="D913" s="140"/>
      <c r="E913" s="2559"/>
      <c r="F913" s="2560"/>
      <c r="G913" s="2559"/>
      <c r="H913" s="2560"/>
      <c r="I913" s="2565">
        <v>2453000</v>
      </c>
      <c r="J913" s="2566"/>
      <c r="K913" s="121"/>
      <c r="L913" s="45"/>
      <c r="M913" s="101" t="s">
        <v>546</v>
      </c>
      <c r="N913" s="102"/>
      <c r="O913" s="102"/>
      <c r="P913" s="102"/>
      <c r="Q913" s="106">
        <v>2531500</v>
      </c>
      <c r="R913" s="47"/>
      <c r="S913" s="45"/>
      <c r="T913" s="45"/>
    </row>
    <row r="914" spans="1:20" ht="17.100000000000001" customHeight="1" x14ac:dyDescent="0.3">
      <c r="A914" s="133" t="s">
        <v>547</v>
      </c>
      <c r="B914" s="136"/>
      <c r="C914" s="120" t="s">
        <v>496</v>
      </c>
      <c r="D914" s="120" t="s">
        <v>497</v>
      </c>
      <c r="E914" s="2559">
        <v>40</v>
      </c>
      <c r="F914" s="2560"/>
      <c r="G914" s="2567">
        <v>47000</v>
      </c>
      <c r="H914" s="2568">
        <v>38202.400000000001</v>
      </c>
      <c r="I914" s="2559">
        <v>1880000</v>
      </c>
      <c r="J914" s="2560"/>
      <c r="K914" s="124"/>
      <c r="L914" s="45"/>
      <c r="M914" s="101" t="s">
        <v>758</v>
      </c>
      <c r="N914" s="102"/>
      <c r="O914" s="102"/>
      <c r="P914" s="102"/>
      <c r="Q914" s="106">
        <v>52639694.935217902</v>
      </c>
      <c r="R914" s="44"/>
      <c r="S914" s="45"/>
      <c r="T914" s="45"/>
    </row>
    <row r="915" spans="1:20" ht="17.100000000000001" customHeight="1" thickBot="1" x14ac:dyDescent="0.35">
      <c r="A915" s="133" t="s">
        <v>1647</v>
      </c>
      <c r="B915" s="136"/>
      <c r="C915" s="120" t="s">
        <v>496</v>
      </c>
      <c r="D915" s="120" t="s">
        <v>497</v>
      </c>
      <c r="E915" s="2559">
        <v>9</v>
      </c>
      <c r="F915" s="2560"/>
      <c r="G915" s="2567">
        <v>47000</v>
      </c>
      <c r="H915" s="2568">
        <v>38202.400000000001</v>
      </c>
      <c r="I915" s="2559">
        <v>423000</v>
      </c>
      <c r="J915" s="2560"/>
      <c r="K915" s="124"/>
      <c r="L915" s="45"/>
      <c r="M915" s="108" t="s">
        <v>549</v>
      </c>
      <c r="N915" s="109"/>
      <c r="O915" s="109"/>
      <c r="P915" s="109"/>
      <c r="Q915" s="110">
        <v>26209023.950007901</v>
      </c>
      <c r="R915" s="45"/>
      <c r="S915" s="45"/>
      <c r="T915" s="45"/>
    </row>
    <row r="916" spans="1:20" ht="17.100000000000001" customHeight="1" thickBot="1" x14ac:dyDescent="0.35">
      <c r="A916" s="133" t="s">
        <v>831</v>
      </c>
      <c r="B916" s="136"/>
      <c r="C916" s="140"/>
      <c r="D916" s="120"/>
      <c r="E916" s="2559"/>
      <c r="F916" s="2560"/>
      <c r="G916" s="2569"/>
      <c r="H916" s="2570"/>
      <c r="I916" s="2559">
        <v>0</v>
      </c>
      <c r="J916" s="2560"/>
      <c r="K916" s="124"/>
      <c r="L916" s="45"/>
      <c r="M916" s="1048" t="s">
        <v>759</v>
      </c>
      <c r="N916" s="1049"/>
      <c r="O916" s="1049"/>
      <c r="P916" s="1049"/>
      <c r="Q916" s="1050">
        <v>99.161402162941187</v>
      </c>
      <c r="R916" s="45"/>
      <c r="S916" s="45"/>
      <c r="T916" s="45"/>
    </row>
    <row r="917" spans="1:20" ht="17.100000000000001" customHeight="1" x14ac:dyDescent="0.3">
      <c r="A917" s="133" t="s">
        <v>557</v>
      </c>
      <c r="B917" s="136"/>
      <c r="C917" s="140"/>
      <c r="D917" s="140" t="s">
        <v>794</v>
      </c>
      <c r="E917" s="2571"/>
      <c r="F917" s="2572"/>
      <c r="G917" s="2559"/>
      <c r="H917" s="2560"/>
      <c r="I917" s="2559">
        <v>150000</v>
      </c>
      <c r="J917" s="2560"/>
      <c r="K917" s="124"/>
      <c r="L917" s="7" t="s">
        <v>1528</v>
      </c>
      <c r="M917" s="8"/>
      <c r="N917" s="8"/>
      <c r="O917" s="8"/>
      <c r="P917" s="4"/>
      <c r="Q917" s="5"/>
      <c r="R917" s="1979"/>
      <c r="S917" s="44"/>
      <c r="T917" s="45"/>
    </row>
    <row r="918" spans="1:20" ht="17.100000000000001" customHeight="1" x14ac:dyDescent="0.3">
      <c r="A918" s="133"/>
      <c r="B918" s="136"/>
      <c r="C918" s="140"/>
      <c r="D918" s="140"/>
      <c r="E918" s="2559"/>
      <c r="F918" s="2560"/>
      <c r="G918" s="2559"/>
      <c r="H918" s="2560"/>
      <c r="I918" s="2559"/>
      <c r="J918" s="2560"/>
      <c r="K918" s="124"/>
      <c r="L918" s="597" t="s">
        <v>1583</v>
      </c>
      <c r="M918" s="45"/>
      <c r="N918" s="45"/>
      <c r="O918" s="45"/>
      <c r="P918" s="45"/>
      <c r="Q918" s="45"/>
      <c r="R918" s="45"/>
      <c r="S918" s="45"/>
      <c r="T918" s="45"/>
    </row>
    <row r="919" spans="1:20" ht="17.100000000000001" customHeight="1" thickBot="1" x14ac:dyDescent="0.25">
      <c r="A919" s="162" t="s">
        <v>558</v>
      </c>
      <c r="B919" s="163"/>
      <c r="C919" s="164"/>
      <c r="D919" s="165"/>
      <c r="E919" s="2561">
        <v>110.5</v>
      </c>
      <c r="F919" s="2562"/>
      <c r="G919" s="2563"/>
      <c r="H919" s="2564"/>
      <c r="I919" s="2561">
        <v>9120532.0075000003</v>
      </c>
      <c r="J919" s="2562"/>
      <c r="K919" s="26"/>
      <c r="L919" s="45"/>
      <c r="M919" s="45"/>
      <c r="N919" s="45"/>
      <c r="O919" s="45"/>
      <c r="P919" s="45"/>
      <c r="Q919" s="45"/>
      <c r="R919" s="44"/>
      <c r="S919" s="45"/>
      <c r="T919" s="45"/>
    </row>
  </sheetData>
  <sheetProtection insertHyperlinks="0"/>
  <mergeCells count="4230">
    <mergeCell ref="S43:T43"/>
    <mergeCell ref="S44:T44"/>
    <mergeCell ref="S45:T45"/>
    <mergeCell ref="S46:T46"/>
    <mergeCell ref="Q748:R748"/>
    <mergeCell ref="O741:P741"/>
    <mergeCell ref="Q741:R741"/>
    <mergeCell ref="S741:T741"/>
    <mergeCell ref="S315:T315"/>
    <mergeCell ref="S740:T740"/>
    <mergeCell ref="S643:T643"/>
    <mergeCell ref="G746:H746"/>
    <mergeCell ref="G747:H747"/>
    <mergeCell ref="G748:H748"/>
    <mergeCell ref="S47:T47"/>
    <mergeCell ref="S48:T48"/>
    <mergeCell ref="S50:T50"/>
    <mergeCell ref="I747:J747"/>
    <mergeCell ref="S747:T747"/>
    <mergeCell ref="O745:P745"/>
    <mergeCell ref="S748:T748"/>
    <mergeCell ref="S739:T739"/>
    <mergeCell ref="O740:P740"/>
    <mergeCell ref="Q740:R740"/>
    <mergeCell ref="I706:J706"/>
    <mergeCell ref="I705:J705"/>
    <mergeCell ref="O705:P705"/>
    <mergeCell ref="Q705:R705"/>
    <mergeCell ref="S703:T703"/>
    <mergeCell ref="Q704:R704"/>
    <mergeCell ref="S704:T704"/>
    <mergeCell ref="I694:J694"/>
    <mergeCell ref="E840:F840"/>
    <mergeCell ref="G840:H840"/>
    <mergeCell ref="I840:J840"/>
    <mergeCell ref="E841:F841"/>
    <mergeCell ref="G841:H841"/>
    <mergeCell ref="I841:J841"/>
    <mergeCell ref="G830:H830"/>
    <mergeCell ref="E830:F830"/>
    <mergeCell ref="I830:J830"/>
    <mergeCell ref="U104:V104"/>
    <mergeCell ref="E853:F853"/>
    <mergeCell ref="G853:H853"/>
    <mergeCell ref="I853:J853"/>
    <mergeCell ref="E852:F852"/>
    <mergeCell ref="G852:H852"/>
    <mergeCell ref="I852:J852"/>
    <mergeCell ref="E855:F855"/>
    <mergeCell ref="G855:H855"/>
    <mergeCell ref="I855:J855"/>
    <mergeCell ref="E854:F854"/>
    <mergeCell ref="G854:H854"/>
    <mergeCell ref="I854:J854"/>
    <mergeCell ref="E845:F845"/>
    <mergeCell ref="G845:H845"/>
    <mergeCell ref="I845:J845"/>
    <mergeCell ref="E847:F847"/>
    <mergeCell ref="G847:H847"/>
    <mergeCell ref="I847:J847"/>
    <mergeCell ref="E846:F846"/>
    <mergeCell ref="G846:H846"/>
    <mergeCell ref="I846:J846"/>
    <mergeCell ref="E849:F849"/>
    <mergeCell ref="G849:H849"/>
    <mergeCell ref="I849:J849"/>
    <mergeCell ref="E848:F848"/>
    <mergeCell ref="G848:H848"/>
    <mergeCell ref="I848:J848"/>
    <mergeCell ref="E851:F851"/>
    <mergeCell ref="G851:H851"/>
    <mergeCell ref="I851:J851"/>
    <mergeCell ref="E850:F850"/>
    <mergeCell ref="G850:H850"/>
    <mergeCell ref="I850:J850"/>
    <mergeCell ref="A844:B844"/>
    <mergeCell ref="E844:F844"/>
    <mergeCell ref="G844:H844"/>
    <mergeCell ref="I842:J842"/>
    <mergeCell ref="A843:B843"/>
    <mergeCell ref="E843:F843"/>
    <mergeCell ref="G843:H843"/>
    <mergeCell ref="I843:J843"/>
    <mergeCell ref="A842:B842"/>
    <mergeCell ref="E842:F842"/>
    <mergeCell ref="I844:J844"/>
    <mergeCell ref="G842:H842"/>
    <mergeCell ref="I836:J836"/>
    <mergeCell ref="I835:J835"/>
    <mergeCell ref="O835:P835"/>
    <mergeCell ref="A837:B837"/>
    <mergeCell ref="E837:F837"/>
    <mergeCell ref="G837:H837"/>
    <mergeCell ref="E836:F836"/>
    <mergeCell ref="G836:H836"/>
    <mergeCell ref="A835:B835"/>
    <mergeCell ref="E835:F835"/>
    <mergeCell ref="E839:F839"/>
    <mergeCell ref="G839:H839"/>
    <mergeCell ref="I839:J839"/>
    <mergeCell ref="I837:J837"/>
    <mergeCell ref="E838:F838"/>
    <mergeCell ref="G838:H838"/>
    <mergeCell ref="I838:J838"/>
    <mergeCell ref="O832:P832"/>
    <mergeCell ref="A831:B831"/>
    <mergeCell ref="E831:F831"/>
    <mergeCell ref="G831:H831"/>
    <mergeCell ref="I831:J831"/>
    <mergeCell ref="E832:F832"/>
    <mergeCell ref="G832:H832"/>
    <mergeCell ref="I832:J832"/>
    <mergeCell ref="I833:J833"/>
    <mergeCell ref="S835:T835"/>
    <mergeCell ref="Q835:R835"/>
    <mergeCell ref="S833:T833"/>
    <mergeCell ref="G835:H835"/>
    <mergeCell ref="Q834:R834"/>
    <mergeCell ref="S834:T834"/>
    <mergeCell ref="Q833:R833"/>
    <mergeCell ref="S830:T830"/>
    <mergeCell ref="O831:P831"/>
    <mergeCell ref="Q831:R831"/>
    <mergeCell ref="S831:T831"/>
    <mergeCell ref="Q832:R832"/>
    <mergeCell ref="S832:T832"/>
    <mergeCell ref="O830:P830"/>
    <mergeCell ref="Q830:R830"/>
    <mergeCell ref="E833:F833"/>
    <mergeCell ref="G833:H833"/>
    <mergeCell ref="E834:F834"/>
    <mergeCell ref="G834:H834"/>
    <mergeCell ref="I834:J834"/>
    <mergeCell ref="O834:P834"/>
    <mergeCell ref="O833:P833"/>
    <mergeCell ref="O827:P827"/>
    <mergeCell ref="Q827:R827"/>
    <mergeCell ref="S827:T827"/>
    <mergeCell ref="I827:J827"/>
    <mergeCell ref="A827:B827"/>
    <mergeCell ref="E827:F827"/>
    <mergeCell ref="G827:H827"/>
    <mergeCell ref="A828:B828"/>
    <mergeCell ref="E828:F828"/>
    <mergeCell ref="G828:H828"/>
    <mergeCell ref="S828:T828"/>
    <mergeCell ref="Q829:R829"/>
    <mergeCell ref="S829:T829"/>
    <mergeCell ref="O829:P829"/>
    <mergeCell ref="A829:B829"/>
    <mergeCell ref="E829:F829"/>
    <mergeCell ref="G829:H829"/>
    <mergeCell ref="I828:J828"/>
    <mergeCell ref="O828:P828"/>
    <mergeCell ref="Q828:R828"/>
    <mergeCell ref="I829:J829"/>
    <mergeCell ref="E823:F823"/>
    <mergeCell ref="G823:H823"/>
    <mergeCell ref="I823:J823"/>
    <mergeCell ref="O821:P821"/>
    <mergeCell ref="I821:J821"/>
    <mergeCell ref="A824:B824"/>
    <mergeCell ref="E824:F824"/>
    <mergeCell ref="G824:H824"/>
    <mergeCell ref="I824:J824"/>
    <mergeCell ref="S825:T825"/>
    <mergeCell ref="O823:P823"/>
    <mergeCell ref="Q823:R823"/>
    <mergeCell ref="S823:T823"/>
    <mergeCell ref="O824:P824"/>
    <mergeCell ref="Q824:R824"/>
    <mergeCell ref="A826:B826"/>
    <mergeCell ref="E826:F826"/>
    <mergeCell ref="G826:H826"/>
    <mergeCell ref="S824:T824"/>
    <mergeCell ref="A825:B825"/>
    <mergeCell ref="E825:F825"/>
    <mergeCell ref="G825:H825"/>
    <mergeCell ref="I825:J825"/>
    <mergeCell ref="O825:P825"/>
    <mergeCell ref="Q825:R825"/>
    <mergeCell ref="I826:J826"/>
    <mergeCell ref="O826:P826"/>
    <mergeCell ref="Q826:R826"/>
    <mergeCell ref="S826:T826"/>
    <mergeCell ref="E820:F820"/>
    <mergeCell ref="G820:H820"/>
    <mergeCell ref="I820:J820"/>
    <mergeCell ref="O820:P820"/>
    <mergeCell ref="Q820:R820"/>
    <mergeCell ref="S820:T820"/>
    <mergeCell ref="E819:F819"/>
    <mergeCell ref="G819:H819"/>
    <mergeCell ref="I819:J819"/>
    <mergeCell ref="Q821:R821"/>
    <mergeCell ref="S821:T821"/>
    <mergeCell ref="E822:F822"/>
    <mergeCell ref="G822:H822"/>
    <mergeCell ref="I822:J822"/>
    <mergeCell ref="O822:P822"/>
    <mergeCell ref="Q822:R822"/>
    <mergeCell ref="S822:T822"/>
    <mergeCell ref="E821:F821"/>
    <mergeCell ref="G821:H821"/>
    <mergeCell ref="E815:F815"/>
    <mergeCell ref="G815:H815"/>
    <mergeCell ref="I815:J815"/>
    <mergeCell ref="O816:P816"/>
    <mergeCell ref="Q816:R816"/>
    <mergeCell ref="Q815:R815"/>
    <mergeCell ref="S816:T816"/>
    <mergeCell ref="S815:T815"/>
    <mergeCell ref="O815:P815"/>
    <mergeCell ref="E816:F816"/>
    <mergeCell ref="G816:H816"/>
    <mergeCell ref="I816:J816"/>
    <mergeCell ref="A817:B817"/>
    <mergeCell ref="E817:F817"/>
    <mergeCell ref="G817:H817"/>
    <mergeCell ref="I817:J817"/>
    <mergeCell ref="O819:P819"/>
    <mergeCell ref="Q819:R819"/>
    <mergeCell ref="O817:P817"/>
    <mergeCell ref="Q817:R817"/>
    <mergeCell ref="S817:T817"/>
    <mergeCell ref="E818:F818"/>
    <mergeCell ref="G818:H818"/>
    <mergeCell ref="I818:J818"/>
    <mergeCell ref="O818:P818"/>
    <mergeCell ref="Q818:R818"/>
    <mergeCell ref="S818:T818"/>
    <mergeCell ref="S819:T819"/>
    <mergeCell ref="G812:H812"/>
    <mergeCell ref="I812:J812"/>
    <mergeCell ref="O810:P810"/>
    <mergeCell ref="Q810:R810"/>
    <mergeCell ref="O812:P812"/>
    <mergeCell ref="Q812:R812"/>
    <mergeCell ref="S812:T812"/>
    <mergeCell ref="E812:F812"/>
    <mergeCell ref="S814:T814"/>
    <mergeCell ref="E813:F813"/>
    <mergeCell ref="G813:H813"/>
    <mergeCell ref="I813:J813"/>
    <mergeCell ref="O813:P813"/>
    <mergeCell ref="O814:P814"/>
    <mergeCell ref="Q814:R814"/>
    <mergeCell ref="Q813:R813"/>
    <mergeCell ref="S813:T813"/>
    <mergeCell ref="E814:F814"/>
    <mergeCell ref="G814:H814"/>
    <mergeCell ref="I814:J814"/>
    <mergeCell ref="A809:B809"/>
    <mergeCell ref="E809:F809"/>
    <mergeCell ref="G809:H809"/>
    <mergeCell ref="I809:J809"/>
    <mergeCell ref="O809:P809"/>
    <mergeCell ref="Q809:R809"/>
    <mergeCell ref="S809:T809"/>
    <mergeCell ref="S810:T810"/>
    <mergeCell ref="E811:F811"/>
    <mergeCell ref="G811:H811"/>
    <mergeCell ref="I811:J811"/>
    <mergeCell ref="O811:P811"/>
    <mergeCell ref="Q811:R811"/>
    <mergeCell ref="S811:T811"/>
    <mergeCell ref="E810:F810"/>
    <mergeCell ref="G810:H810"/>
    <mergeCell ref="I810:J810"/>
    <mergeCell ref="O806:P806"/>
    <mergeCell ref="Q806:R806"/>
    <mergeCell ref="S806:T806"/>
    <mergeCell ref="I806:J806"/>
    <mergeCell ref="A806:B806"/>
    <mergeCell ref="E806:F806"/>
    <mergeCell ref="G806:H806"/>
    <mergeCell ref="A807:B807"/>
    <mergeCell ref="E807:F807"/>
    <mergeCell ref="G807:H807"/>
    <mergeCell ref="I807:J807"/>
    <mergeCell ref="O807:P807"/>
    <mergeCell ref="Q807:R807"/>
    <mergeCell ref="S807:T807"/>
    <mergeCell ref="O808:P808"/>
    <mergeCell ref="Q808:R808"/>
    <mergeCell ref="S808:T808"/>
    <mergeCell ref="I808:J808"/>
    <mergeCell ref="A808:B808"/>
    <mergeCell ref="E808:F808"/>
    <mergeCell ref="G808:H808"/>
    <mergeCell ref="S804:T804"/>
    <mergeCell ref="I802:J802"/>
    <mergeCell ref="N802:N803"/>
    <mergeCell ref="O802:P803"/>
    <mergeCell ref="Q802:R803"/>
    <mergeCell ref="G800:H800"/>
    <mergeCell ref="A805:B805"/>
    <mergeCell ref="E805:F805"/>
    <mergeCell ref="G805:H805"/>
    <mergeCell ref="S802:T803"/>
    <mergeCell ref="I803:J803"/>
    <mergeCell ref="E804:F804"/>
    <mergeCell ref="G804:H804"/>
    <mergeCell ref="I804:J804"/>
    <mergeCell ref="O804:P804"/>
    <mergeCell ref="Q804:R804"/>
    <mergeCell ref="I805:J805"/>
    <mergeCell ref="O805:P805"/>
    <mergeCell ref="Q805:R805"/>
    <mergeCell ref="S805:T805"/>
    <mergeCell ref="E788:F788"/>
    <mergeCell ref="G788:H788"/>
    <mergeCell ref="I788:J788"/>
    <mergeCell ref="I786:J786"/>
    <mergeCell ref="E787:F787"/>
    <mergeCell ref="G787:H787"/>
    <mergeCell ref="I787:J787"/>
    <mergeCell ref="S800:T800"/>
    <mergeCell ref="E789:F789"/>
    <mergeCell ref="G789:H789"/>
    <mergeCell ref="I789:J789"/>
    <mergeCell ref="S801:T801"/>
    <mergeCell ref="A793:T793"/>
    <mergeCell ref="A794:T794"/>
    <mergeCell ref="A797:T797"/>
    <mergeCell ref="A800:B803"/>
    <mergeCell ref="C800:F801"/>
    <mergeCell ref="I800:J800"/>
    <mergeCell ref="L800:L803"/>
    <mergeCell ref="M800:P801"/>
    <mergeCell ref="D802:D803"/>
    <mergeCell ref="E802:F803"/>
    <mergeCell ref="G802:H803"/>
    <mergeCell ref="Q800:R800"/>
    <mergeCell ref="G801:H801"/>
    <mergeCell ref="I801:J801"/>
    <mergeCell ref="Q801:R801"/>
    <mergeCell ref="A783:B783"/>
    <mergeCell ref="E783:F783"/>
    <mergeCell ref="G783:H783"/>
    <mergeCell ref="I783:J783"/>
    <mergeCell ref="A782:B782"/>
    <mergeCell ref="E782:F782"/>
    <mergeCell ref="G782:H782"/>
    <mergeCell ref="I782:J782"/>
    <mergeCell ref="A786:B786"/>
    <mergeCell ref="E786:F786"/>
    <mergeCell ref="G786:H786"/>
    <mergeCell ref="I784:J784"/>
    <mergeCell ref="E785:F785"/>
    <mergeCell ref="G785:H785"/>
    <mergeCell ref="I785:J785"/>
    <mergeCell ref="A784:B784"/>
    <mergeCell ref="E784:F784"/>
    <mergeCell ref="G784:H784"/>
    <mergeCell ref="A779:B779"/>
    <mergeCell ref="E779:F779"/>
    <mergeCell ref="G779:H779"/>
    <mergeCell ref="I779:J779"/>
    <mergeCell ref="A778:B778"/>
    <mergeCell ref="E778:F778"/>
    <mergeCell ref="G778:H778"/>
    <mergeCell ref="I780:J780"/>
    <mergeCell ref="S780:T780"/>
    <mergeCell ref="A781:B781"/>
    <mergeCell ref="E781:F781"/>
    <mergeCell ref="G781:H781"/>
    <mergeCell ref="I781:J781"/>
    <mergeCell ref="A780:B780"/>
    <mergeCell ref="E780:F780"/>
    <mergeCell ref="G780:H780"/>
    <mergeCell ref="M782:Q782"/>
    <mergeCell ref="S775:T775"/>
    <mergeCell ref="A775:B775"/>
    <mergeCell ref="E775:F775"/>
    <mergeCell ref="G775:H775"/>
    <mergeCell ref="I775:J775"/>
    <mergeCell ref="S776:T776"/>
    <mergeCell ref="A777:B777"/>
    <mergeCell ref="E777:F777"/>
    <mergeCell ref="G777:H777"/>
    <mergeCell ref="I777:J777"/>
    <mergeCell ref="A776:B776"/>
    <mergeCell ref="E776:F776"/>
    <mergeCell ref="G776:H776"/>
    <mergeCell ref="I776:J776"/>
    <mergeCell ref="S777:T777"/>
    <mergeCell ref="I778:J778"/>
    <mergeCell ref="S778:T778"/>
    <mergeCell ref="A770:B770"/>
    <mergeCell ref="E770:F770"/>
    <mergeCell ref="G770:H770"/>
    <mergeCell ref="I770:J770"/>
    <mergeCell ref="O770:P770"/>
    <mergeCell ref="Q770:R770"/>
    <mergeCell ref="S770:T770"/>
    <mergeCell ref="A769:B769"/>
    <mergeCell ref="E769:F769"/>
    <mergeCell ref="I771:J771"/>
    <mergeCell ref="I772:J772"/>
    <mergeCell ref="S772:T772"/>
    <mergeCell ref="I773:J773"/>
    <mergeCell ref="L772:M772"/>
    <mergeCell ref="S773:T773"/>
    <mergeCell ref="I774:J774"/>
    <mergeCell ref="S774:T774"/>
    <mergeCell ref="Q768:R768"/>
    <mergeCell ref="S768:T768"/>
    <mergeCell ref="A767:B767"/>
    <mergeCell ref="E767:F767"/>
    <mergeCell ref="G767:H767"/>
    <mergeCell ref="I767:J767"/>
    <mergeCell ref="G769:H769"/>
    <mergeCell ref="I769:J769"/>
    <mergeCell ref="O769:P769"/>
    <mergeCell ref="Q769:R769"/>
    <mergeCell ref="S767:T767"/>
    <mergeCell ref="A768:B768"/>
    <mergeCell ref="E768:F768"/>
    <mergeCell ref="G768:H768"/>
    <mergeCell ref="I768:J768"/>
    <mergeCell ref="O768:P768"/>
    <mergeCell ref="S769:T769"/>
    <mergeCell ref="A765:B765"/>
    <mergeCell ref="E765:F765"/>
    <mergeCell ref="G765:H765"/>
    <mergeCell ref="I765:J765"/>
    <mergeCell ref="S763:T763"/>
    <mergeCell ref="A764:B764"/>
    <mergeCell ref="E764:F764"/>
    <mergeCell ref="G764:H764"/>
    <mergeCell ref="I764:J764"/>
    <mergeCell ref="O764:P764"/>
    <mergeCell ref="O765:P765"/>
    <mergeCell ref="Q765:R765"/>
    <mergeCell ref="O766:P766"/>
    <mergeCell ref="Q766:R766"/>
    <mergeCell ref="S765:T765"/>
    <mergeCell ref="A766:B766"/>
    <mergeCell ref="E766:F766"/>
    <mergeCell ref="G766:H766"/>
    <mergeCell ref="I766:J766"/>
    <mergeCell ref="S766:T766"/>
    <mergeCell ref="G761:H761"/>
    <mergeCell ref="I761:J761"/>
    <mergeCell ref="O761:P761"/>
    <mergeCell ref="Q761:R761"/>
    <mergeCell ref="O760:P760"/>
    <mergeCell ref="Q760:R760"/>
    <mergeCell ref="S761:T761"/>
    <mergeCell ref="A762:B762"/>
    <mergeCell ref="E762:F762"/>
    <mergeCell ref="G762:H762"/>
    <mergeCell ref="I762:J762"/>
    <mergeCell ref="O762:P762"/>
    <mergeCell ref="Q762:R762"/>
    <mergeCell ref="S762:T762"/>
    <mergeCell ref="A761:B761"/>
    <mergeCell ref="E761:F761"/>
    <mergeCell ref="Q764:R764"/>
    <mergeCell ref="S764:T764"/>
    <mergeCell ref="A763:B763"/>
    <mergeCell ref="E763:F763"/>
    <mergeCell ref="G763:H763"/>
    <mergeCell ref="I763:J763"/>
    <mergeCell ref="O763:P763"/>
    <mergeCell ref="Q763:R763"/>
    <mergeCell ref="A757:B757"/>
    <mergeCell ref="I757:J757"/>
    <mergeCell ref="O757:P757"/>
    <mergeCell ref="Q757:R757"/>
    <mergeCell ref="A756:B756"/>
    <mergeCell ref="E756:F756"/>
    <mergeCell ref="G756:H756"/>
    <mergeCell ref="S757:T757"/>
    <mergeCell ref="I758:J758"/>
    <mergeCell ref="O758:P758"/>
    <mergeCell ref="Q758:R758"/>
    <mergeCell ref="S758:T758"/>
    <mergeCell ref="S759:T759"/>
    <mergeCell ref="S760:T760"/>
    <mergeCell ref="A759:B759"/>
    <mergeCell ref="I759:J759"/>
    <mergeCell ref="A760:B760"/>
    <mergeCell ref="E760:F760"/>
    <mergeCell ref="G760:H760"/>
    <mergeCell ref="I760:J760"/>
    <mergeCell ref="O759:P759"/>
    <mergeCell ref="Q759:R759"/>
    <mergeCell ref="S753:T753"/>
    <mergeCell ref="A752:B752"/>
    <mergeCell ref="E752:F752"/>
    <mergeCell ref="G752:H752"/>
    <mergeCell ref="I752:J752"/>
    <mergeCell ref="A753:B753"/>
    <mergeCell ref="O751:P751"/>
    <mergeCell ref="I753:J753"/>
    <mergeCell ref="O753:P753"/>
    <mergeCell ref="Q753:R753"/>
    <mergeCell ref="O752:P752"/>
    <mergeCell ref="E754:F754"/>
    <mergeCell ref="G754:H754"/>
    <mergeCell ref="I754:J754"/>
    <mergeCell ref="O754:P754"/>
    <mergeCell ref="Q752:R752"/>
    <mergeCell ref="I756:J756"/>
    <mergeCell ref="Q754:R754"/>
    <mergeCell ref="S754:T754"/>
    <mergeCell ref="A755:B755"/>
    <mergeCell ref="E755:F755"/>
    <mergeCell ref="G755:H755"/>
    <mergeCell ref="I755:J755"/>
    <mergeCell ref="O755:P755"/>
    <mergeCell ref="Q755:R755"/>
    <mergeCell ref="S755:T755"/>
    <mergeCell ref="O756:P756"/>
    <mergeCell ref="Q756:R756"/>
    <mergeCell ref="S756:T756"/>
    <mergeCell ref="A750:B750"/>
    <mergeCell ref="E750:F750"/>
    <mergeCell ref="G750:H750"/>
    <mergeCell ref="I750:J750"/>
    <mergeCell ref="S750:T750"/>
    <mergeCell ref="E745:F745"/>
    <mergeCell ref="I745:J745"/>
    <mergeCell ref="Q745:R745"/>
    <mergeCell ref="S745:T745"/>
    <mergeCell ref="A751:B751"/>
    <mergeCell ref="E751:F751"/>
    <mergeCell ref="G751:H751"/>
    <mergeCell ref="I751:J751"/>
    <mergeCell ref="Q751:R751"/>
    <mergeCell ref="O750:P750"/>
    <mergeCell ref="Q750:R750"/>
    <mergeCell ref="S752:T752"/>
    <mergeCell ref="S751:T751"/>
    <mergeCell ref="G745:H745"/>
    <mergeCell ref="A747:B747"/>
    <mergeCell ref="E747:F747"/>
    <mergeCell ref="A748:B748"/>
    <mergeCell ref="E748:F748"/>
    <mergeCell ref="I748:J748"/>
    <mergeCell ref="A746:B746"/>
    <mergeCell ref="E746:F746"/>
    <mergeCell ref="I746:J746"/>
    <mergeCell ref="A745:B745"/>
    <mergeCell ref="S749:T749"/>
    <mergeCell ref="O746:P746"/>
    <mergeCell ref="Q746:R746"/>
    <mergeCell ref="S746:T746"/>
    <mergeCell ref="O749:P749"/>
    <mergeCell ref="Q749:R749"/>
    <mergeCell ref="O747:P747"/>
    <mergeCell ref="Q747:R747"/>
    <mergeCell ref="A749:B749"/>
    <mergeCell ref="I749:J749"/>
    <mergeCell ref="I743:J743"/>
    <mergeCell ref="I744:J744"/>
    <mergeCell ref="O744:P744"/>
    <mergeCell ref="Q742:R742"/>
    <mergeCell ref="A743:B743"/>
    <mergeCell ref="E743:F743"/>
    <mergeCell ref="G743:H743"/>
    <mergeCell ref="A742:B742"/>
    <mergeCell ref="S742:T742"/>
    <mergeCell ref="O743:P743"/>
    <mergeCell ref="Q743:R743"/>
    <mergeCell ref="S743:T743"/>
    <mergeCell ref="I742:J742"/>
    <mergeCell ref="O742:P742"/>
    <mergeCell ref="O748:P748"/>
    <mergeCell ref="A744:B744"/>
    <mergeCell ref="E744:F744"/>
    <mergeCell ref="G744:H744"/>
    <mergeCell ref="A739:B739"/>
    <mergeCell ref="E739:F739"/>
    <mergeCell ref="G739:H739"/>
    <mergeCell ref="I739:J739"/>
    <mergeCell ref="O739:P739"/>
    <mergeCell ref="Q739:R739"/>
    <mergeCell ref="A740:B740"/>
    <mergeCell ref="E740:F740"/>
    <mergeCell ref="S744:T744"/>
    <mergeCell ref="I738:J738"/>
    <mergeCell ref="G740:H740"/>
    <mergeCell ref="I740:J740"/>
    <mergeCell ref="G741:H741"/>
    <mergeCell ref="I741:J741"/>
    <mergeCell ref="E737:F738"/>
    <mergeCell ref="G737:H738"/>
    <mergeCell ref="Q744:R744"/>
    <mergeCell ref="I737:J737"/>
    <mergeCell ref="N737:N738"/>
    <mergeCell ref="A741:B741"/>
    <mergeCell ref="E741:F741"/>
    <mergeCell ref="E742:F742"/>
    <mergeCell ref="G742:H742"/>
    <mergeCell ref="E722:F722"/>
    <mergeCell ref="G722:H722"/>
    <mergeCell ref="I722:J722"/>
    <mergeCell ref="E725:F725"/>
    <mergeCell ref="G725:H725"/>
    <mergeCell ref="I725:J725"/>
    <mergeCell ref="E724:F724"/>
    <mergeCell ref="G724:H724"/>
    <mergeCell ref="I724:J724"/>
    <mergeCell ref="A727:T727"/>
    <mergeCell ref="A728:T728"/>
    <mergeCell ref="A732:T732"/>
    <mergeCell ref="A735:B738"/>
    <mergeCell ref="C735:F736"/>
    <mergeCell ref="G735:H735"/>
    <mergeCell ref="I735:J735"/>
    <mergeCell ref="L735:L738"/>
    <mergeCell ref="M735:P736"/>
    <mergeCell ref="Q735:R735"/>
    <mergeCell ref="S735:T735"/>
    <mergeCell ref="G736:H736"/>
    <mergeCell ref="I736:J736"/>
    <mergeCell ref="Q736:R736"/>
    <mergeCell ref="S736:T736"/>
    <mergeCell ref="O737:P738"/>
    <mergeCell ref="Q737:R738"/>
    <mergeCell ref="S737:T738"/>
    <mergeCell ref="D737:D738"/>
    <mergeCell ref="A714:B714"/>
    <mergeCell ref="E714:F714"/>
    <mergeCell ref="G714:H714"/>
    <mergeCell ref="I712:J712"/>
    <mergeCell ref="A713:B713"/>
    <mergeCell ref="E713:F713"/>
    <mergeCell ref="G713:H713"/>
    <mergeCell ref="I713:J713"/>
    <mergeCell ref="A712:B712"/>
    <mergeCell ref="E712:F712"/>
    <mergeCell ref="E717:F717"/>
    <mergeCell ref="G717:H717"/>
    <mergeCell ref="I717:J717"/>
    <mergeCell ref="E716:F716"/>
    <mergeCell ref="G716:H716"/>
    <mergeCell ref="I716:J716"/>
    <mergeCell ref="E719:F719"/>
    <mergeCell ref="G719:H719"/>
    <mergeCell ref="I719:J719"/>
    <mergeCell ref="E718:F718"/>
    <mergeCell ref="G718:H718"/>
    <mergeCell ref="I718:J718"/>
    <mergeCell ref="A707:B707"/>
    <mergeCell ref="E707:F707"/>
    <mergeCell ref="G707:H707"/>
    <mergeCell ref="E706:F706"/>
    <mergeCell ref="G706:H706"/>
    <mergeCell ref="E709:F709"/>
    <mergeCell ref="G709:H709"/>
    <mergeCell ref="I709:J709"/>
    <mergeCell ref="I707:J707"/>
    <mergeCell ref="E708:F708"/>
    <mergeCell ref="G708:H708"/>
    <mergeCell ref="I708:J708"/>
    <mergeCell ref="E710:F710"/>
    <mergeCell ref="G710:H710"/>
    <mergeCell ref="I710:J710"/>
    <mergeCell ref="Q702:R702"/>
    <mergeCell ref="S702:T702"/>
    <mergeCell ref="E702:F702"/>
    <mergeCell ref="G702:H702"/>
    <mergeCell ref="I702:J702"/>
    <mergeCell ref="O702:P702"/>
    <mergeCell ref="I703:J703"/>
    <mergeCell ref="E704:F704"/>
    <mergeCell ref="G704:H704"/>
    <mergeCell ref="I704:J704"/>
    <mergeCell ref="O704:P704"/>
    <mergeCell ref="O703:P703"/>
    <mergeCell ref="S705:T705"/>
    <mergeCell ref="A705:B705"/>
    <mergeCell ref="E705:F705"/>
    <mergeCell ref="G705:H705"/>
    <mergeCell ref="Q703:R703"/>
    <mergeCell ref="E703:F703"/>
    <mergeCell ref="G703:H703"/>
    <mergeCell ref="O700:P700"/>
    <mergeCell ref="S698:T698"/>
    <mergeCell ref="Q699:R699"/>
    <mergeCell ref="S699:T699"/>
    <mergeCell ref="O698:P698"/>
    <mergeCell ref="Q698:R698"/>
    <mergeCell ref="Q700:R700"/>
    <mergeCell ref="S700:T700"/>
    <mergeCell ref="E700:F700"/>
    <mergeCell ref="G700:H700"/>
    <mergeCell ref="I700:J700"/>
    <mergeCell ref="I699:J699"/>
    <mergeCell ref="A701:B701"/>
    <mergeCell ref="E701:F701"/>
    <mergeCell ref="G701:H701"/>
    <mergeCell ref="I701:J701"/>
    <mergeCell ref="A699:B699"/>
    <mergeCell ref="E699:F699"/>
    <mergeCell ref="O701:P701"/>
    <mergeCell ref="Q701:R701"/>
    <mergeCell ref="S701:T701"/>
    <mergeCell ref="A696:B696"/>
    <mergeCell ref="E696:F696"/>
    <mergeCell ref="G696:H696"/>
    <mergeCell ref="I696:J696"/>
    <mergeCell ref="O696:P696"/>
    <mergeCell ref="Q696:R696"/>
    <mergeCell ref="G698:H698"/>
    <mergeCell ref="S696:T696"/>
    <mergeCell ref="O697:P697"/>
    <mergeCell ref="Q697:R697"/>
    <mergeCell ref="S697:T697"/>
    <mergeCell ref="G699:H699"/>
    <mergeCell ref="I697:J697"/>
    <mergeCell ref="I698:J698"/>
    <mergeCell ref="A697:B697"/>
    <mergeCell ref="E697:F697"/>
    <mergeCell ref="G697:H697"/>
    <mergeCell ref="A698:B698"/>
    <mergeCell ref="E698:F698"/>
    <mergeCell ref="O699:P699"/>
    <mergeCell ref="O694:P694"/>
    <mergeCell ref="Q692:R692"/>
    <mergeCell ref="Q694:R694"/>
    <mergeCell ref="S694:T694"/>
    <mergeCell ref="S692:T692"/>
    <mergeCell ref="I690:J690"/>
    <mergeCell ref="O695:P695"/>
    <mergeCell ref="Q695:R695"/>
    <mergeCell ref="S695:T695"/>
    <mergeCell ref="A695:B695"/>
    <mergeCell ref="E695:F695"/>
    <mergeCell ref="G695:H695"/>
    <mergeCell ref="I695:J695"/>
    <mergeCell ref="A694:B694"/>
    <mergeCell ref="E694:F694"/>
    <mergeCell ref="G694:H694"/>
    <mergeCell ref="G690:H690"/>
    <mergeCell ref="Q690:R690"/>
    <mergeCell ref="E690:F690"/>
    <mergeCell ref="S690:T690"/>
    <mergeCell ref="E691:F691"/>
    <mergeCell ref="G691:H691"/>
    <mergeCell ref="I691:J691"/>
    <mergeCell ref="O691:P691"/>
    <mergeCell ref="Q691:R691"/>
    <mergeCell ref="S691:T691"/>
    <mergeCell ref="E693:F693"/>
    <mergeCell ref="G693:H693"/>
    <mergeCell ref="I693:J693"/>
    <mergeCell ref="O693:P693"/>
    <mergeCell ref="Q693:R693"/>
    <mergeCell ref="G692:H692"/>
    <mergeCell ref="O692:P692"/>
    <mergeCell ref="I692:J692"/>
    <mergeCell ref="S693:T693"/>
    <mergeCell ref="O690:P690"/>
    <mergeCell ref="E692:F692"/>
    <mergeCell ref="S686:T686"/>
    <mergeCell ref="A687:B687"/>
    <mergeCell ref="E687:F687"/>
    <mergeCell ref="G687:H687"/>
    <mergeCell ref="I687:J687"/>
    <mergeCell ref="O687:P687"/>
    <mergeCell ref="Q687:R687"/>
    <mergeCell ref="Q686:R686"/>
    <mergeCell ref="E686:F686"/>
    <mergeCell ref="G686:H686"/>
    <mergeCell ref="S687:T687"/>
    <mergeCell ref="A689:B689"/>
    <mergeCell ref="E689:F689"/>
    <mergeCell ref="G689:H689"/>
    <mergeCell ref="S689:T689"/>
    <mergeCell ref="I689:J689"/>
    <mergeCell ref="O689:P689"/>
    <mergeCell ref="S688:T688"/>
    <mergeCell ref="Q689:R689"/>
    <mergeCell ref="O686:P686"/>
    <mergeCell ref="I686:J686"/>
    <mergeCell ref="E688:F688"/>
    <mergeCell ref="G688:H688"/>
    <mergeCell ref="I688:J688"/>
    <mergeCell ref="O688:P688"/>
    <mergeCell ref="Q688:R688"/>
    <mergeCell ref="G684:H684"/>
    <mergeCell ref="I684:J684"/>
    <mergeCell ref="E685:F685"/>
    <mergeCell ref="Q680:R680"/>
    <mergeCell ref="O682:P682"/>
    <mergeCell ref="Q682:R682"/>
    <mergeCell ref="Q684:R684"/>
    <mergeCell ref="G685:H685"/>
    <mergeCell ref="Q685:R685"/>
    <mergeCell ref="S684:T684"/>
    <mergeCell ref="E683:F683"/>
    <mergeCell ref="G683:H683"/>
    <mergeCell ref="I683:J683"/>
    <mergeCell ref="O683:P683"/>
    <mergeCell ref="S685:T685"/>
    <mergeCell ref="I685:J685"/>
    <mergeCell ref="O685:P685"/>
    <mergeCell ref="O684:P684"/>
    <mergeCell ref="E684:F684"/>
    <mergeCell ref="A679:B679"/>
    <mergeCell ref="E679:F679"/>
    <mergeCell ref="G679:H679"/>
    <mergeCell ref="I679:J679"/>
    <mergeCell ref="O679:P679"/>
    <mergeCell ref="Q679:R679"/>
    <mergeCell ref="S679:T679"/>
    <mergeCell ref="S680:T680"/>
    <mergeCell ref="E681:F681"/>
    <mergeCell ref="G681:H681"/>
    <mergeCell ref="I681:J681"/>
    <mergeCell ref="O681:P681"/>
    <mergeCell ref="Q681:R681"/>
    <mergeCell ref="S682:T682"/>
    <mergeCell ref="Q683:R683"/>
    <mergeCell ref="S683:T683"/>
    <mergeCell ref="E680:F680"/>
    <mergeCell ref="G680:H680"/>
    <mergeCell ref="I680:J680"/>
    <mergeCell ref="G682:H682"/>
    <mergeCell ref="I682:J682"/>
    <mergeCell ref="O680:P680"/>
    <mergeCell ref="E682:F682"/>
    <mergeCell ref="O676:P676"/>
    <mergeCell ref="Q676:R676"/>
    <mergeCell ref="S676:T676"/>
    <mergeCell ref="I676:J676"/>
    <mergeCell ref="A676:B676"/>
    <mergeCell ref="E676:F676"/>
    <mergeCell ref="G676:H676"/>
    <mergeCell ref="A677:B677"/>
    <mergeCell ref="E677:F677"/>
    <mergeCell ref="G677:H677"/>
    <mergeCell ref="I677:J677"/>
    <mergeCell ref="O677:P677"/>
    <mergeCell ref="Q677:R677"/>
    <mergeCell ref="S677:T677"/>
    <mergeCell ref="O678:P678"/>
    <mergeCell ref="Q678:R678"/>
    <mergeCell ref="S678:T678"/>
    <mergeCell ref="I678:J678"/>
    <mergeCell ref="A678:B678"/>
    <mergeCell ref="E678:F678"/>
    <mergeCell ref="G678:H678"/>
    <mergeCell ref="Q670:R670"/>
    <mergeCell ref="G671:H671"/>
    <mergeCell ref="I671:J671"/>
    <mergeCell ref="Q671:R671"/>
    <mergeCell ref="A663:T663"/>
    <mergeCell ref="A664:T664"/>
    <mergeCell ref="A667:T667"/>
    <mergeCell ref="S674:T674"/>
    <mergeCell ref="I672:J672"/>
    <mergeCell ref="N672:N673"/>
    <mergeCell ref="O672:P673"/>
    <mergeCell ref="Q672:R673"/>
    <mergeCell ref="I670:J670"/>
    <mergeCell ref="S671:T671"/>
    <mergeCell ref="A675:B675"/>
    <mergeCell ref="E675:F675"/>
    <mergeCell ref="G675:H675"/>
    <mergeCell ref="S672:T673"/>
    <mergeCell ref="I673:J673"/>
    <mergeCell ref="E674:F674"/>
    <mergeCell ref="G674:H674"/>
    <mergeCell ref="I674:J674"/>
    <mergeCell ref="O674:P674"/>
    <mergeCell ref="Q674:R674"/>
    <mergeCell ref="I675:J675"/>
    <mergeCell ref="O675:P675"/>
    <mergeCell ref="Q675:R675"/>
    <mergeCell ref="S675:T675"/>
    <mergeCell ref="E657:F657"/>
    <mergeCell ref="G657:H657"/>
    <mergeCell ref="I657:J657"/>
    <mergeCell ref="E656:F656"/>
    <mergeCell ref="G656:H656"/>
    <mergeCell ref="I656:J656"/>
    <mergeCell ref="E659:F659"/>
    <mergeCell ref="G659:H659"/>
    <mergeCell ref="I659:J659"/>
    <mergeCell ref="E658:F658"/>
    <mergeCell ref="G658:H658"/>
    <mergeCell ref="I658:J658"/>
    <mergeCell ref="A670:B673"/>
    <mergeCell ref="C670:F671"/>
    <mergeCell ref="G670:H670"/>
    <mergeCell ref="L670:L673"/>
    <mergeCell ref="M670:P671"/>
    <mergeCell ref="D672:D673"/>
    <mergeCell ref="E672:F673"/>
    <mergeCell ref="G672:H673"/>
    <mergeCell ref="E660:F660"/>
    <mergeCell ref="G660:H660"/>
    <mergeCell ref="I660:J660"/>
    <mergeCell ref="E651:F651"/>
    <mergeCell ref="G651:H651"/>
    <mergeCell ref="I651:J651"/>
    <mergeCell ref="I649:J649"/>
    <mergeCell ref="E650:F650"/>
    <mergeCell ref="G650:H650"/>
    <mergeCell ref="I650:J650"/>
    <mergeCell ref="E653:F653"/>
    <mergeCell ref="G653:H653"/>
    <mergeCell ref="I653:J653"/>
    <mergeCell ref="E652:F652"/>
    <mergeCell ref="G652:H652"/>
    <mergeCell ref="I652:J652"/>
    <mergeCell ref="E655:F655"/>
    <mergeCell ref="G655:H655"/>
    <mergeCell ref="I655:J655"/>
    <mergeCell ref="E654:F654"/>
    <mergeCell ref="G654:H654"/>
    <mergeCell ref="I654:J654"/>
    <mergeCell ref="G647:H647"/>
    <mergeCell ref="E645:F645"/>
    <mergeCell ref="G645:H645"/>
    <mergeCell ref="I645:J645"/>
    <mergeCell ref="E646:F646"/>
    <mergeCell ref="G646:H646"/>
    <mergeCell ref="I646:J646"/>
    <mergeCell ref="A649:B649"/>
    <mergeCell ref="E649:F649"/>
    <mergeCell ref="G649:H649"/>
    <mergeCell ref="I647:J647"/>
    <mergeCell ref="A648:B648"/>
    <mergeCell ref="E648:F648"/>
    <mergeCell ref="G648:H648"/>
    <mergeCell ref="I648:J648"/>
    <mergeCell ref="A647:B647"/>
    <mergeCell ref="E647:F647"/>
    <mergeCell ref="I639:J639"/>
    <mergeCell ref="O639:P639"/>
    <mergeCell ref="O638:P638"/>
    <mergeCell ref="I641:J641"/>
    <mergeCell ref="I640:J640"/>
    <mergeCell ref="O640:P640"/>
    <mergeCell ref="A642:B642"/>
    <mergeCell ref="E642:F642"/>
    <mergeCell ref="G642:H642"/>
    <mergeCell ref="E641:F641"/>
    <mergeCell ref="G641:H641"/>
    <mergeCell ref="A640:B640"/>
    <mergeCell ref="E640:F640"/>
    <mergeCell ref="E644:F644"/>
    <mergeCell ref="G644:H644"/>
    <mergeCell ref="I644:J644"/>
    <mergeCell ref="I642:J642"/>
    <mergeCell ref="E643:F643"/>
    <mergeCell ref="G643:H643"/>
    <mergeCell ref="I643:J643"/>
    <mergeCell ref="G635:H635"/>
    <mergeCell ref="E635:F635"/>
    <mergeCell ref="I635:J635"/>
    <mergeCell ref="I634:J634"/>
    <mergeCell ref="O637:P637"/>
    <mergeCell ref="A636:B636"/>
    <mergeCell ref="E636:F636"/>
    <mergeCell ref="G636:H636"/>
    <mergeCell ref="I636:J636"/>
    <mergeCell ref="E637:F637"/>
    <mergeCell ref="G637:H637"/>
    <mergeCell ref="I637:J637"/>
    <mergeCell ref="I638:J638"/>
    <mergeCell ref="S640:T640"/>
    <mergeCell ref="Q640:R640"/>
    <mergeCell ref="S638:T638"/>
    <mergeCell ref="G640:H640"/>
    <mergeCell ref="Q639:R639"/>
    <mergeCell ref="S639:T639"/>
    <mergeCell ref="Q638:R638"/>
    <mergeCell ref="S635:T635"/>
    <mergeCell ref="O636:P636"/>
    <mergeCell ref="Q636:R636"/>
    <mergeCell ref="S636:T636"/>
    <mergeCell ref="Q637:R637"/>
    <mergeCell ref="S637:T637"/>
    <mergeCell ref="O635:P635"/>
    <mergeCell ref="Q635:R635"/>
    <mergeCell ref="E638:F638"/>
    <mergeCell ref="G638:H638"/>
    <mergeCell ref="E639:F639"/>
    <mergeCell ref="G639:H639"/>
    <mergeCell ref="O632:P632"/>
    <mergeCell ref="Q632:R632"/>
    <mergeCell ref="S632:T632"/>
    <mergeCell ref="I632:J632"/>
    <mergeCell ref="A632:B632"/>
    <mergeCell ref="E632:F632"/>
    <mergeCell ref="G632:H632"/>
    <mergeCell ref="A633:B633"/>
    <mergeCell ref="E633:F633"/>
    <mergeCell ref="G633:H633"/>
    <mergeCell ref="S633:T633"/>
    <mergeCell ref="Q634:R634"/>
    <mergeCell ref="S634:T634"/>
    <mergeCell ref="O634:P634"/>
    <mergeCell ref="A634:B634"/>
    <mergeCell ref="E634:F634"/>
    <mergeCell ref="G634:H634"/>
    <mergeCell ref="I633:J633"/>
    <mergeCell ref="O633:P633"/>
    <mergeCell ref="Q633:R633"/>
    <mergeCell ref="A629:B629"/>
    <mergeCell ref="E629:F629"/>
    <mergeCell ref="G629:H629"/>
    <mergeCell ref="I629:J629"/>
    <mergeCell ref="G626:H626"/>
    <mergeCell ref="E628:F628"/>
    <mergeCell ref="G628:H628"/>
    <mergeCell ref="I628:J628"/>
    <mergeCell ref="S630:T630"/>
    <mergeCell ref="O628:P628"/>
    <mergeCell ref="Q628:R628"/>
    <mergeCell ref="S628:T628"/>
    <mergeCell ref="O629:P629"/>
    <mergeCell ref="Q629:R629"/>
    <mergeCell ref="A631:B631"/>
    <mergeCell ref="E631:F631"/>
    <mergeCell ref="G631:H631"/>
    <mergeCell ref="S629:T629"/>
    <mergeCell ref="A630:B630"/>
    <mergeCell ref="E630:F630"/>
    <mergeCell ref="G630:H630"/>
    <mergeCell ref="I630:J630"/>
    <mergeCell ref="O630:P630"/>
    <mergeCell ref="Q630:R630"/>
    <mergeCell ref="I631:J631"/>
    <mergeCell ref="O631:P631"/>
    <mergeCell ref="Q631:R631"/>
    <mergeCell ref="S631:T631"/>
    <mergeCell ref="E625:F625"/>
    <mergeCell ref="G625:H625"/>
    <mergeCell ref="I625:J625"/>
    <mergeCell ref="O625:P625"/>
    <mergeCell ref="Q625:R625"/>
    <mergeCell ref="S625:T625"/>
    <mergeCell ref="E624:F624"/>
    <mergeCell ref="G624:H624"/>
    <mergeCell ref="Q626:R626"/>
    <mergeCell ref="S626:T626"/>
    <mergeCell ref="E627:F627"/>
    <mergeCell ref="G627:H627"/>
    <mergeCell ref="I627:J627"/>
    <mergeCell ref="O627:P627"/>
    <mergeCell ref="Q627:R627"/>
    <mergeCell ref="S627:T627"/>
    <mergeCell ref="E626:F626"/>
    <mergeCell ref="O626:P626"/>
    <mergeCell ref="I626:J626"/>
    <mergeCell ref="E620:F620"/>
    <mergeCell ref="G620:H620"/>
    <mergeCell ref="I620:J620"/>
    <mergeCell ref="O621:P621"/>
    <mergeCell ref="Q621:R621"/>
    <mergeCell ref="Q620:R620"/>
    <mergeCell ref="S621:T621"/>
    <mergeCell ref="S620:T620"/>
    <mergeCell ref="O620:P620"/>
    <mergeCell ref="E621:F621"/>
    <mergeCell ref="G621:H621"/>
    <mergeCell ref="I621:J621"/>
    <mergeCell ref="A622:B622"/>
    <mergeCell ref="E622:F622"/>
    <mergeCell ref="G622:H622"/>
    <mergeCell ref="I622:J622"/>
    <mergeCell ref="O624:P624"/>
    <mergeCell ref="Q624:R624"/>
    <mergeCell ref="O622:P622"/>
    <mergeCell ref="Q622:R622"/>
    <mergeCell ref="Q623:R623"/>
    <mergeCell ref="E623:F623"/>
    <mergeCell ref="G623:H623"/>
    <mergeCell ref="I623:J623"/>
    <mergeCell ref="O623:P623"/>
    <mergeCell ref="I624:J624"/>
    <mergeCell ref="S623:T623"/>
    <mergeCell ref="S624:T624"/>
    <mergeCell ref="G617:H617"/>
    <mergeCell ref="I617:J617"/>
    <mergeCell ref="O615:P615"/>
    <mergeCell ref="Q615:R615"/>
    <mergeCell ref="O617:P617"/>
    <mergeCell ref="Q617:R617"/>
    <mergeCell ref="Q616:R616"/>
    <mergeCell ref="E617:F617"/>
    <mergeCell ref="S619:T619"/>
    <mergeCell ref="E618:F618"/>
    <mergeCell ref="G618:H618"/>
    <mergeCell ref="I618:J618"/>
    <mergeCell ref="O618:P618"/>
    <mergeCell ref="O619:P619"/>
    <mergeCell ref="Q619:R619"/>
    <mergeCell ref="Q618:R618"/>
    <mergeCell ref="S618:T618"/>
    <mergeCell ref="E619:F619"/>
    <mergeCell ref="G619:H619"/>
    <mergeCell ref="I619:J619"/>
    <mergeCell ref="O613:P613"/>
    <mergeCell ref="Q613:R613"/>
    <mergeCell ref="S613:T613"/>
    <mergeCell ref="A613:B613"/>
    <mergeCell ref="E613:F613"/>
    <mergeCell ref="G613:H613"/>
    <mergeCell ref="I613:J613"/>
    <mergeCell ref="A612:B612"/>
    <mergeCell ref="E612:F612"/>
    <mergeCell ref="G612:H612"/>
    <mergeCell ref="A614:B614"/>
    <mergeCell ref="E614:F614"/>
    <mergeCell ref="G614:H614"/>
    <mergeCell ref="I614:J614"/>
    <mergeCell ref="O614:P614"/>
    <mergeCell ref="Q614:R614"/>
    <mergeCell ref="S616:T616"/>
    <mergeCell ref="E615:F615"/>
    <mergeCell ref="G615:H615"/>
    <mergeCell ref="I615:J615"/>
    <mergeCell ref="E616:F616"/>
    <mergeCell ref="G616:H616"/>
    <mergeCell ref="I616:J616"/>
    <mergeCell ref="O616:P616"/>
    <mergeCell ref="A610:B610"/>
    <mergeCell ref="E610:F610"/>
    <mergeCell ref="G610:H610"/>
    <mergeCell ref="I610:J610"/>
    <mergeCell ref="O610:P610"/>
    <mergeCell ref="A611:B611"/>
    <mergeCell ref="E611:F611"/>
    <mergeCell ref="G611:H611"/>
    <mergeCell ref="S607:T608"/>
    <mergeCell ref="I608:J608"/>
    <mergeCell ref="E609:F609"/>
    <mergeCell ref="G609:H609"/>
    <mergeCell ref="I609:J609"/>
    <mergeCell ref="O609:P609"/>
    <mergeCell ref="Q609:R609"/>
    <mergeCell ref="I611:J611"/>
    <mergeCell ref="I612:J612"/>
    <mergeCell ref="O612:P612"/>
    <mergeCell ref="Q610:R610"/>
    <mergeCell ref="S610:T610"/>
    <mergeCell ref="O611:P611"/>
    <mergeCell ref="Q611:R611"/>
    <mergeCell ref="S611:T611"/>
    <mergeCell ref="Q612:R612"/>
    <mergeCell ref="S612:T612"/>
    <mergeCell ref="E593:F593"/>
    <mergeCell ref="G593:H593"/>
    <mergeCell ref="I593:J593"/>
    <mergeCell ref="E592:F592"/>
    <mergeCell ref="G592:H592"/>
    <mergeCell ref="I592:J592"/>
    <mergeCell ref="E595:F595"/>
    <mergeCell ref="G595:H595"/>
    <mergeCell ref="I595:J595"/>
    <mergeCell ref="E594:F594"/>
    <mergeCell ref="G594:H594"/>
    <mergeCell ref="I594:J594"/>
    <mergeCell ref="M605:P606"/>
    <mergeCell ref="S605:T605"/>
    <mergeCell ref="Q607:R608"/>
    <mergeCell ref="D607:D608"/>
    <mergeCell ref="E607:F608"/>
    <mergeCell ref="G607:H608"/>
    <mergeCell ref="Q605:R605"/>
    <mergeCell ref="G606:H606"/>
    <mergeCell ref="I606:J606"/>
    <mergeCell ref="Q606:R606"/>
    <mergeCell ref="I607:J607"/>
    <mergeCell ref="N607:N608"/>
    <mergeCell ref="O607:P608"/>
    <mergeCell ref="E585:F585"/>
    <mergeCell ref="G585:H585"/>
    <mergeCell ref="I585:J585"/>
    <mergeCell ref="E587:F587"/>
    <mergeCell ref="G587:H587"/>
    <mergeCell ref="I587:J587"/>
    <mergeCell ref="E586:F586"/>
    <mergeCell ref="G586:H586"/>
    <mergeCell ref="I586:J586"/>
    <mergeCell ref="E589:F589"/>
    <mergeCell ref="G589:H589"/>
    <mergeCell ref="I589:J589"/>
    <mergeCell ref="E588:F588"/>
    <mergeCell ref="G588:H588"/>
    <mergeCell ref="I588:J588"/>
    <mergeCell ref="E591:F591"/>
    <mergeCell ref="G591:H591"/>
    <mergeCell ref="I591:J591"/>
    <mergeCell ref="E590:F590"/>
    <mergeCell ref="G590:H590"/>
    <mergeCell ref="I590:J590"/>
    <mergeCell ref="G582:H582"/>
    <mergeCell ref="E580:F580"/>
    <mergeCell ref="G580:H580"/>
    <mergeCell ref="I580:J580"/>
    <mergeCell ref="E581:F581"/>
    <mergeCell ref="G581:H581"/>
    <mergeCell ref="I581:J581"/>
    <mergeCell ref="A584:B584"/>
    <mergeCell ref="E584:F584"/>
    <mergeCell ref="G584:H584"/>
    <mergeCell ref="I582:J582"/>
    <mergeCell ref="A583:B583"/>
    <mergeCell ref="E583:F583"/>
    <mergeCell ref="G583:H583"/>
    <mergeCell ref="I583:J583"/>
    <mergeCell ref="A582:B582"/>
    <mergeCell ref="E582:F582"/>
    <mergeCell ref="I584:J584"/>
    <mergeCell ref="I574:J574"/>
    <mergeCell ref="O574:P574"/>
    <mergeCell ref="O573:P573"/>
    <mergeCell ref="I576:J576"/>
    <mergeCell ref="I575:J575"/>
    <mergeCell ref="O575:P575"/>
    <mergeCell ref="A577:B577"/>
    <mergeCell ref="E577:F577"/>
    <mergeCell ref="G577:H577"/>
    <mergeCell ref="E576:F576"/>
    <mergeCell ref="G576:H576"/>
    <mergeCell ref="A575:B575"/>
    <mergeCell ref="E575:F575"/>
    <mergeCell ref="E579:F579"/>
    <mergeCell ref="G579:H579"/>
    <mergeCell ref="I579:J579"/>
    <mergeCell ref="I577:J577"/>
    <mergeCell ref="E578:F578"/>
    <mergeCell ref="G578:H578"/>
    <mergeCell ref="I578:J578"/>
    <mergeCell ref="G570:H570"/>
    <mergeCell ref="E570:F570"/>
    <mergeCell ref="I570:J570"/>
    <mergeCell ref="I569:J569"/>
    <mergeCell ref="O572:P572"/>
    <mergeCell ref="A571:B571"/>
    <mergeCell ref="E571:F571"/>
    <mergeCell ref="G571:H571"/>
    <mergeCell ref="I571:J571"/>
    <mergeCell ref="E572:F572"/>
    <mergeCell ref="G572:H572"/>
    <mergeCell ref="I572:J572"/>
    <mergeCell ref="I573:J573"/>
    <mergeCell ref="S575:T575"/>
    <mergeCell ref="Q575:R575"/>
    <mergeCell ref="S573:T573"/>
    <mergeCell ref="G575:H575"/>
    <mergeCell ref="Q574:R574"/>
    <mergeCell ref="S574:T574"/>
    <mergeCell ref="Q573:R573"/>
    <mergeCell ref="S570:T570"/>
    <mergeCell ref="O571:P571"/>
    <mergeCell ref="Q571:R571"/>
    <mergeCell ref="S571:T571"/>
    <mergeCell ref="Q572:R572"/>
    <mergeCell ref="S572:T572"/>
    <mergeCell ref="O570:P570"/>
    <mergeCell ref="Q570:R570"/>
    <mergeCell ref="E573:F573"/>
    <mergeCell ref="G573:H573"/>
    <mergeCell ref="E574:F574"/>
    <mergeCell ref="G574:H574"/>
    <mergeCell ref="O567:P567"/>
    <mergeCell ref="Q567:R567"/>
    <mergeCell ref="S567:T567"/>
    <mergeCell ref="I567:J567"/>
    <mergeCell ref="A567:B567"/>
    <mergeCell ref="E567:F567"/>
    <mergeCell ref="G567:H567"/>
    <mergeCell ref="A568:B568"/>
    <mergeCell ref="E568:F568"/>
    <mergeCell ref="G568:H568"/>
    <mergeCell ref="S568:T568"/>
    <mergeCell ref="Q569:R569"/>
    <mergeCell ref="S569:T569"/>
    <mergeCell ref="O569:P569"/>
    <mergeCell ref="A569:B569"/>
    <mergeCell ref="E569:F569"/>
    <mergeCell ref="G569:H569"/>
    <mergeCell ref="I568:J568"/>
    <mergeCell ref="O568:P568"/>
    <mergeCell ref="Q568:R568"/>
    <mergeCell ref="E563:F563"/>
    <mergeCell ref="G563:H563"/>
    <mergeCell ref="I563:J563"/>
    <mergeCell ref="O561:P561"/>
    <mergeCell ref="I561:J561"/>
    <mergeCell ref="A564:B564"/>
    <mergeCell ref="E564:F564"/>
    <mergeCell ref="G564:H564"/>
    <mergeCell ref="I564:J564"/>
    <mergeCell ref="S565:T565"/>
    <mergeCell ref="O563:P563"/>
    <mergeCell ref="Q563:R563"/>
    <mergeCell ref="S563:T563"/>
    <mergeCell ref="O564:P564"/>
    <mergeCell ref="Q564:R564"/>
    <mergeCell ref="A566:B566"/>
    <mergeCell ref="E566:F566"/>
    <mergeCell ref="G566:H566"/>
    <mergeCell ref="S564:T564"/>
    <mergeCell ref="A565:B565"/>
    <mergeCell ref="E565:F565"/>
    <mergeCell ref="G565:H565"/>
    <mergeCell ref="I565:J565"/>
    <mergeCell ref="O565:P565"/>
    <mergeCell ref="Q565:R565"/>
    <mergeCell ref="I566:J566"/>
    <mergeCell ref="O566:P566"/>
    <mergeCell ref="Q566:R566"/>
    <mergeCell ref="S566:T566"/>
    <mergeCell ref="E560:F560"/>
    <mergeCell ref="G560:H560"/>
    <mergeCell ref="I560:J560"/>
    <mergeCell ref="O560:P560"/>
    <mergeCell ref="Q560:R560"/>
    <mergeCell ref="S560:T560"/>
    <mergeCell ref="E559:F559"/>
    <mergeCell ref="G559:H559"/>
    <mergeCell ref="I559:J559"/>
    <mergeCell ref="Q561:R561"/>
    <mergeCell ref="S561:T561"/>
    <mergeCell ref="E562:F562"/>
    <mergeCell ref="G562:H562"/>
    <mergeCell ref="I562:J562"/>
    <mergeCell ref="O562:P562"/>
    <mergeCell ref="Q562:R562"/>
    <mergeCell ref="S562:T562"/>
    <mergeCell ref="E561:F561"/>
    <mergeCell ref="G561:H561"/>
    <mergeCell ref="E555:F555"/>
    <mergeCell ref="G555:H555"/>
    <mergeCell ref="I555:J555"/>
    <mergeCell ref="O556:P556"/>
    <mergeCell ref="Q556:R556"/>
    <mergeCell ref="Q555:R555"/>
    <mergeCell ref="S556:T556"/>
    <mergeCell ref="S555:T555"/>
    <mergeCell ref="O555:P555"/>
    <mergeCell ref="E556:F556"/>
    <mergeCell ref="G556:H556"/>
    <mergeCell ref="I556:J556"/>
    <mergeCell ref="A557:B557"/>
    <mergeCell ref="E557:F557"/>
    <mergeCell ref="G557:H557"/>
    <mergeCell ref="I557:J557"/>
    <mergeCell ref="O559:P559"/>
    <mergeCell ref="Q559:R559"/>
    <mergeCell ref="O557:P557"/>
    <mergeCell ref="Q557:R557"/>
    <mergeCell ref="S557:T557"/>
    <mergeCell ref="E558:F558"/>
    <mergeCell ref="G558:H558"/>
    <mergeCell ref="I558:J558"/>
    <mergeCell ref="O558:P558"/>
    <mergeCell ref="Q558:R558"/>
    <mergeCell ref="S558:T558"/>
    <mergeCell ref="S559:T559"/>
    <mergeCell ref="E550:F550"/>
    <mergeCell ref="G550:H550"/>
    <mergeCell ref="I550:J550"/>
    <mergeCell ref="E551:F551"/>
    <mergeCell ref="G551:H551"/>
    <mergeCell ref="I551:J551"/>
    <mergeCell ref="O551:P551"/>
    <mergeCell ref="G552:H552"/>
    <mergeCell ref="I552:J552"/>
    <mergeCell ref="O550:P550"/>
    <mergeCell ref="Q550:R550"/>
    <mergeCell ref="O552:P552"/>
    <mergeCell ref="Q552:R552"/>
    <mergeCell ref="Q551:R551"/>
    <mergeCell ref="E552:F552"/>
    <mergeCell ref="S554:T554"/>
    <mergeCell ref="E553:F553"/>
    <mergeCell ref="G553:H553"/>
    <mergeCell ref="I553:J553"/>
    <mergeCell ref="O553:P553"/>
    <mergeCell ref="O554:P554"/>
    <mergeCell ref="Q554:R554"/>
    <mergeCell ref="Q553:R553"/>
    <mergeCell ref="S553:T553"/>
    <mergeCell ref="E554:F554"/>
    <mergeCell ref="G554:H554"/>
    <mergeCell ref="I554:J554"/>
    <mergeCell ref="I547:J547"/>
    <mergeCell ref="O547:P547"/>
    <mergeCell ref="S545:T545"/>
    <mergeCell ref="O546:P546"/>
    <mergeCell ref="Q546:R546"/>
    <mergeCell ref="S546:T546"/>
    <mergeCell ref="Q547:R547"/>
    <mergeCell ref="S547:T547"/>
    <mergeCell ref="O548:P548"/>
    <mergeCell ref="Q548:R548"/>
    <mergeCell ref="S548:T548"/>
    <mergeCell ref="A548:B548"/>
    <mergeCell ref="E548:F548"/>
    <mergeCell ref="G548:H548"/>
    <mergeCell ref="A547:B547"/>
    <mergeCell ref="E547:F547"/>
    <mergeCell ref="A549:B549"/>
    <mergeCell ref="E549:F549"/>
    <mergeCell ref="G549:H549"/>
    <mergeCell ref="I548:J548"/>
    <mergeCell ref="I549:J549"/>
    <mergeCell ref="G547:H547"/>
    <mergeCell ref="O549:P549"/>
    <mergeCell ref="Q549:R549"/>
    <mergeCell ref="A545:B545"/>
    <mergeCell ref="E545:F545"/>
    <mergeCell ref="G545:H545"/>
    <mergeCell ref="I543:J543"/>
    <mergeCell ref="E544:F544"/>
    <mergeCell ref="G544:H544"/>
    <mergeCell ref="I544:J544"/>
    <mergeCell ref="D542:D543"/>
    <mergeCell ref="E542:F543"/>
    <mergeCell ref="A546:B546"/>
    <mergeCell ref="E546:F546"/>
    <mergeCell ref="G546:H546"/>
    <mergeCell ref="G542:H543"/>
    <mergeCell ref="O544:P544"/>
    <mergeCell ref="Q544:R544"/>
    <mergeCell ref="I545:J545"/>
    <mergeCell ref="O545:P545"/>
    <mergeCell ref="Q545:R545"/>
    <mergeCell ref="Q542:R543"/>
    <mergeCell ref="I546:J546"/>
    <mergeCell ref="E527:F527"/>
    <mergeCell ref="G527:H527"/>
    <mergeCell ref="I527:J527"/>
    <mergeCell ref="E526:F526"/>
    <mergeCell ref="G526:H526"/>
    <mergeCell ref="I526:J526"/>
    <mergeCell ref="E529:F529"/>
    <mergeCell ref="G529:H529"/>
    <mergeCell ref="I529:J529"/>
    <mergeCell ref="E528:F528"/>
    <mergeCell ref="G528:H528"/>
    <mergeCell ref="I528:J528"/>
    <mergeCell ref="S541:T541"/>
    <mergeCell ref="A533:T533"/>
    <mergeCell ref="A534:T534"/>
    <mergeCell ref="A537:T537"/>
    <mergeCell ref="A540:B543"/>
    <mergeCell ref="C540:F541"/>
    <mergeCell ref="G540:H540"/>
    <mergeCell ref="I542:J542"/>
    <mergeCell ref="G541:H541"/>
    <mergeCell ref="I541:J541"/>
    <mergeCell ref="E530:F530"/>
    <mergeCell ref="G530:H530"/>
    <mergeCell ref="I530:J530"/>
    <mergeCell ref="Q540:R540"/>
    <mergeCell ref="Q541:R541"/>
    <mergeCell ref="I540:J540"/>
    <mergeCell ref="L540:L543"/>
    <mergeCell ref="M540:P541"/>
    <mergeCell ref="N542:N543"/>
    <mergeCell ref="O542:P543"/>
    <mergeCell ref="E521:F521"/>
    <mergeCell ref="G521:H521"/>
    <mergeCell ref="I521:J521"/>
    <mergeCell ref="I519:J519"/>
    <mergeCell ref="E520:F520"/>
    <mergeCell ref="G520:H520"/>
    <mergeCell ref="I520:J520"/>
    <mergeCell ref="E523:F523"/>
    <mergeCell ref="G523:H523"/>
    <mergeCell ref="I523:J523"/>
    <mergeCell ref="E522:F522"/>
    <mergeCell ref="G522:H522"/>
    <mergeCell ref="I522:J522"/>
    <mergeCell ref="E525:F525"/>
    <mergeCell ref="G525:H525"/>
    <mergeCell ref="I525:J525"/>
    <mergeCell ref="E524:F524"/>
    <mergeCell ref="G524:H524"/>
    <mergeCell ref="I524:J524"/>
    <mergeCell ref="E514:F514"/>
    <mergeCell ref="G514:H514"/>
    <mergeCell ref="I514:J514"/>
    <mergeCell ref="I512:J512"/>
    <mergeCell ref="E513:F513"/>
    <mergeCell ref="G513:H513"/>
    <mergeCell ref="I513:J513"/>
    <mergeCell ref="G517:H517"/>
    <mergeCell ref="E515:F515"/>
    <mergeCell ref="G515:H515"/>
    <mergeCell ref="I515:J515"/>
    <mergeCell ref="E516:F516"/>
    <mergeCell ref="G516:H516"/>
    <mergeCell ref="I516:J516"/>
    <mergeCell ref="A519:B519"/>
    <mergeCell ref="E519:F519"/>
    <mergeCell ref="G519:H519"/>
    <mergeCell ref="I517:J517"/>
    <mergeCell ref="A518:B518"/>
    <mergeCell ref="E518:F518"/>
    <mergeCell ref="G518:H518"/>
    <mergeCell ref="I518:J518"/>
    <mergeCell ref="A517:B517"/>
    <mergeCell ref="E517:F517"/>
    <mergeCell ref="S510:T510"/>
    <mergeCell ref="A510:B510"/>
    <mergeCell ref="E510:F510"/>
    <mergeCell ref="G510:H510"/>
    <mergeCell ref="Q508:R508"/>
    <mergeCell ref="S508:T508"/>
    <mergeCell ref="Q509:R509"/>
    <mergeCell ref="S509:T509"/>
    <mergeCell ref="E508:F508"/>
    <mergeCell ref="G508:H508"/>
    <mergeCell ref="I511:J511"/>
    <mergeCell ref="I510:J510"/>
    <mergeCell ref="O510:P510"/>
    <mergeCell ref="Q510:R510"/>
    <mergeCell ref="A512:B512"/>
    <mergeCell ref="E512:F512"/>
    <mergeCell ref="G512:H512"/>
    <mergeCell ref="E511:F511"/>
    <mergeCell ref="G511:H511"/>
    <mergeCell ref="A506:B506"/>
    <mergeCell ref="E506:F506"/>
    <mergeCell ref="G506:H506"/>
    <mergeCell ref="I506:J506"/>
    <mergeCell ref="A504:B504"/>
    <mergeCell ref="E504:F504"/>
    <mergeCell ref="O506:P506"/>
    <mergeCell ref="Q506:R506"/>
    <mergeCell ref="S506:T506"/>
    <mergeCell ref="Q507:R507"/>
    <mergeCell ref="S507:T507"/>
    <mergeCell ref="E507:F507"/>
    <mergeCell ref="G507:H507"/>
    <mergeCell ref="I507:J507"/>
    <mergeCell ref="O507:P507"/>
    <mergeCell ref="I508:J508"/>
    <mergeCell ref="E509:F509"/>
    <mergeCell ref="G509:H509"/>
    <mergeCell ref="I509:J509"/>
    <mergeCell ref="O509:P509"/>
    <mergeCell ref="O508:P508"/>
    <mergeCell ref="G503:H503"/>
    <mergeCell ref="S501:T501"/>
    <mergeCell ref="O502:P502"/>
    <mergeCell ref="Q502:R502"/>
    <mergeCell ref="S502:T502"/>
    <mergeCell ref="G504:H504"/>
    <mergeCell ref="I502:J502"/>
    <mergeCell ref="I503:J503"/>
    <mergeCell ref="A502:B502"/>
    <mergeCell ref="E502:F502"/>
    <mergeCell ref="G502:H502"/>
    <mergeCell ref="A503:B503"/>
    <mergeCell ref="E503:F503"/>
    <mergeCell ref="O504:P504"/>
    <mergeCell ref="O505:P505"/>
    <mergeCell ref="S503:T503"/>
    <mergeCell ref="Q504:R504"/>
    <mergeCell ref="S504:T504"/>
    <mergeCell ref="O503:P503"/>
    <mergeCell ref="Q503:R503"/>
    <mergeCell ref="Q505:R505"/>
    <mergeCell ref="S505:T505"/>
    <mergeCell ref="E505:F505"/>
    <mergeCell ref="G505:H505"/>
    <mergeCell ref="I505:J505"/>
    <mergeCell ref="I504:J504"/>
    <mergeCell ref="I499:J499"/>
    <mergeCell ref="O499:P499"/>
    <mergeCell ref="Q497:R497"/>
    <mergeCell ref="Q499:R499"/>
    <mergeCell ref="S499:T499"/>
    <mergeCell ref="S497:T497"/>
    <mergeCell ref="O500:P500"/>
    <mergeCell ref="Q500:R500"/>
    <mergeCell ref="S500:T500"/>
    <mergeCell ref="A500:B500"/>
    <mergeCell ref="E500:F500"/>
    <mergeCell ref="G500:H500"/>
    <mergeCell ref="I500:J500"/>
    <mergeCell ref="A499:B499"/>
    <mergeCell ref="E499:F499"/>
    <mergeCell ref="G499:H499"/>
    <mergeCell ref="A501:B501"/>
    <mergeCell ref="E501:F501"/>
    <mergeCell ref="G501:H501"/>
    <mergeCell ref="I501:J501"/>
    <mergeCell ref="O501:P501"/>
    <mergeCell ref="Q501:R501"/>
    <mergeCell ref="E497:F497"/>
    <mergeCell ref="G497:H497"/>
    <mergeCell ref="O497:P497"/>
    <mergeCell ref="E496:F496"/>
    <mergeCell ref="G496:H496"/>
    <mergeCell ref="I496:J496"/>
    <mergeCell ref="O496:P496"/>
    <mergeCell ref="Q496:R496"/>
    <mergeCell ref="S496:T496"/>
    <mergeCell ref="E498:F498"/>
    <mergeCell ref="G498:H498"/>
    <mergeCell ref="I498:J498"/>
    <mergeCell ref="O498:P498"/>
    <mergeCell ref="Q498:R498"/>
    <mergeCell ref="S498:T498"/>
    <mergeCell ref="I497:J497"/>
    <mergeCell ref="A492:B492"/>
    <mergeCell ref="E492:F492"/>
    <mergeCell ref="G492:H492"/>
    <mergeCell ref="I492:J492"/>
    <mergeCell ref="O492:P492"/>
    <mergeCell ref="Q492:R492"/>
    <mergeCell ref="A494:B494"/>
    <mergeCell ref="E494:F494"/>
    <mergeCell ref="G494:H494"/>
    <mergeCell ref="G495:H495"/>
    <mergeCell ref="Q495:R495"/>
    <mergeCell ref="E493:F493"/>
    <mergeCell ref="G493:H493"/>
    <mergeCell ref="I493:J493"/>
    <mergeCell ref="O493:P493"/>
    <mergeCell ref="Q493:R493"/>
    <mergeCell ref="E495:F495"/>
    <mergeCell ref="I495:J495"/>
    <mergeCell ref="Q494:R494"/>
    <mergeCell ref="S494:T494"/>
    <mergeCell ref="I494:J494"/>
    <mergeCell ref="O494:P494"/>
    <mergeCell ref="O495:P495"/>
    <mergeCell ref="S495:T495"/>
    <mergeCell ref="S490:T490"/>
    <mergeCell ref="E489:F489"/>
    <mergeCell ref="G489:H489"/>
    <mergeCell ref="I489:J489"/>
    <mergeCell ref="E490:F490"/>
    <mergeCell ref="G490:H490"/>
    <mergeCell ref="I490:J490"/>
    <mergeCell ref="O490:P490"/>
    <mergeCell ref="S489:T489"/>
    <mergeCell ref="G491:H491"/>
    <mergeCell ref="I491:J491"/>
    <mergeCell ref="O489:P489"/>
    <mergeCell ref="Q489:R489"/>
    <mergeCell ref="O491:P491"/>
    <mergeCell ref="Q491:R491"/>
    <mergeCell ref="Q490:R490"/>
    <mergeCell ref="S493:T493"/>
    <mergeCell ref="S491:T491"/>
    <mergeCell ref="E491:F491"/>
    <mergeCell ref="S492:T492"/>
    <mergeCell ref="O485:P485"/>
    <mergeCell ref="Q485:R485"/>
    <mergeCell ref="I483:J483"/>
    <mergeCell ref="I484:J484"/>
    <mergeCell ref="O484:P484"/>
    <mergeCell ref="Q484:R484"/>
    <mergeCell ref="E485:F485"/>
    <mergeCell ref="G485:H485"/>
    <mergeCell ref="I485:J485"/>
    <mergeCell ref="E486:F486"/>
    <mergeCell ref="G486:H486"/>
    <mergeCell ref="I486:J486"/>
    <mergeCell ref="Q488:R488"/>
    <mergeCell ref="G488:H488"/>
    <mergeCell ref="I488:J488"/>
    <mergeCell ref="O488:P488"/>
    <mergeCell ref="S486:T486"/>
    <mergeCell ref="S488:T488"/>
    <mergeCell ref="E487:F487"/>
    <mergeCell ref="G487:H487"/>
    <mergeCell ref="I487:J487"/>
    <mergeCell ref="O487:P487"/>
    <mergeCell ref="Q487:R487"/>
    <mergeCell ref="O486:P486"/>
    <mergeCell ref="Q486:R486"/>
    <mergeCell ref="E488:F488"/>
    <mergeCell ref="I482:J482"/>
    <mergeCell ref="O482:P482"/>
    <mergeCell ref="O481:P481"/>
    <mergeCell ref="Q481:R481"/>
    <mergeCell ref="Q482:R482"/>
    <mergeCell ref="S482:T482"/>
    <mergeCell ref="O483:P483"/>
    <mergeCell ref="Q483:R483"/>
    <mergeCell ref="S483:T483"/>
    <mergeCell ref="A483:B483"/>
    <mergeCell ref="E483:F483"/>
    <mergeCell ref="G483:H483"/>
    <mergeCell ref="A482:B482"/>
    <mergeCell ref="E482:F482"/>
    <mergeCell ref="G482:H482"/>
    <mergeCell ref="A484:B484"/>
    <mergeCell ref="E484:F484"/>
    <mergeCell ref="G484:H484"/>
    <mergeCell ref="A480:B480"/>
    <mergeCell ref="E480:F480"/>
    <mergeCell ref="G480:H480"/>
    <mergeCell ref="I478:J478"/>
    <mergeCell ref="E479:F479"/>
    <mergeCell ref="G479:H479"/>
    <mergeCell ref="I479:J479"/>
    <mergeCell ref="D477:D478"/>
    <mergeCell ref="E477:F478"/>
    <mergeCell ref="G477:H478"/>
    <mergeCell ref="S481:T481"/>
    <mergeCell ref="A481:B481"/>
    <mergeCell ref="E481:F481"/>
    <mergeCell ref="G481:H481"/>
    <mergeCell ref="O479:P479"/>
    <mergeCell ref="Q479:R479"/>
    <mergeCell ref="I480:J480"/>
    <mergeCell ref="O480:P480"/>
    <mergeCell ref="Q480:R480"/>
    <mergeCell ref="S480:T480"/>
    <mergeCell ref="I481:J481"/>
    <mergeCell ref="E462:F462"/>
    <mergeCell ref="G462:H462"/>
    <mergeCell ref="I462:J462"/>
    <mergeCell ref="E461:F461"/>
    <mergeCell ref="G461:H461"/>
    <mergeCell ref="I461:J461"/>
    <mergeCell ref="E464:F464"/>
    <mergeCell ref="G464:H464"/>
    <mergeCell ref="I464:J464"/>
    <mergeCell ref="E463:F463"/>
    <mergeCell ref="G463:H463"/>
    <mergeCell ref="I463:J463"/>
    <mergeCell ref="A469:T469"/>
    <mergeCell ref="A472:T472"/>
    <mergeCell ref="A475:B478"/>
    <mergeCell ref="C475:F476"/>
    <mergeCell ref="G475:H475"/>
    <mergeCell ref="I477:J477"/>
    <mergeCell ref="G476:H476"/>
    <mergeCell ref="I476:J476"/>
    <mergeCell ref="Q477:R478"/>
    <mergeCell ref="S477:T478"/>
    <mergeCell ref="E465:F465"/>
    <mergeCell ref="G465:H465"/>
    <mergeCell ref="I465:J465"/>
    <mergeCell ref="Q475:R475"/>
    <mergeCell ref="Q476:R476"/>
    <mergeCell ref="I475:J475"/>
    <mergeCell ref="L475:L478"/>
    <mergeCell ref="M475:P476"/>
    <mergeCell ref="N477:N478"/>
    <mergeCell ref="O477:P478"/>
    <mergeCell ref="I453:J453"/>
    <mergeCell ref="A452:B452"/>
    <mergeCell ref="E452:F452"/>
    <mergeCell ref="E456:F456"/>
    <mergeCell ref="G456:H456"/>
    <mergeCell ref="I456:J456"/>
    <mergeCell ref="I454:J454"/>
    <mergeCell ref="E455:F455"/>
    <mergeCell ref="G455:H455"/>
    <mergeCell ref="I455:J455"/>
    <mergeCell ref="E458:F458"/>
    <mergeCell ref="G458:H458"/>
    <mergeCell ref="I458:J458"/>
    <mergeCell ref="E457:F457"/>
    <mergeCell ref="G457:H457"/>
    <mergeCell ref="I457:J457"/>
    <mergeCell ref="E460:F460"/>
    <mergeCell ref="G460:H460"/>
    <mergeCell ref="I460:J460"/>
    <mergeCell ref="E459:F459"/>
    <mergeCell ref="G459:H459"/>
    <mergeCell ref="I459:J459"/>
    <mergeCell ref="I444:J444"/>
    <mergeCell ref="O444:P444"/>
    <mergeCell ref="O443:P443"/>
    <mergeCell ref="I446:J446"/>
    <mergeCell ref="I445:J445"/>
    <mergeCell ref="O445:P445"/>
    <mergeCell ref="A447:B447"/>
    <mergeCell ref="E447:F447"/>
    <mergeCell ref="G447:H447"/>
    <mergeCell ref="E446:F446"/>
    <mergeCell ref="G446:H446"/>
    <mergeCell ref="A445:B445"/>
    <mergeCell ref="E445:F445"/>
    <mergeCell ref="G449:H449"/>
    <mergeCell ref="I449:J449"/>
    <mergeCell ref="I447:J447"/>
    <mergeCell ref="E448:F448"/>
    <mergeCell ref="G448:H448"/>
    <mergeCell ref="I448:J448"/>
    <mergeCell ref="G440:H440"/>
    <mergeCell ref="E440:F440"/>
    <mergeCell ref="I440:J440"/>
    <mergeCell ref="I439:J439"/>
    <mergeCell ref="O442:P442"/>
    <mergeCell ref="A441:B441"/>
    <mergeCell ref="E441:F441"/>
    <mergeCell ref="G441:H441"/>
    <mergeCell ref="I441:J441"/>
    <mergeCell ref="E442:F442"/>
    <mergeCell ref="G442:H442"/>
    <mergeCell ref="I442:J442"/>
    <mergeCell ref="I443:J443"/>
    <mergeCell ref="S445:T445"/>
    <mergeCell ref="Q445:R445"/>
    <mergeCell ref="S443:T443"/>
    <mergeCell ref="G445:H445"/>
    <mergeCell ref="Q444:R444"/>
    <mergeCell ref="S444:T444"/>
    <mergeCell ref="Q443:R443"/>
    <mergeCell ref="S440:T440"/>
    <mergeCell ref="O441:P441"/>
    <mergeCell ref="Q441:R441"/>
    <mergeCell ref="S441:T441"/>
    <mergeCell ref="Q442:R442"/>
    <mergeCell ref="S442:T442"/>
    <mergeCell ref="O440:P440"/>
    <mergeCell ref="Q440:R440"/>
    <mergeCell ref="E443:F443"/>
    <mergeCell ref="G443:H443"/>
    <mergeCell ref="E444:F444"/>
    <mergeCell ref="G444:H444"/>
    <mergeCell ref="O437:P437"/>
    <mergeCell ref="Q437:R437"/>
    <mergeCell ref="S437:T437"/>
    <mergeCell ref="I437:J437"/>
    <mergeCell ref="A437:B437"/>
    <mergeCell ref="E437:F437"/>
    <mergeCell ref="G437:H437"/>
    <mergeCell ref="A438:B438"/>
    <mergeCell ref="E438:F438"/>
    <mergeCell ref="G438:H438"/>
    <mergeCell ref="S438:T438"/>
    <mergeCell ref="Q439:R439"/>
    <mergeCell ref="S439:T439"/>
    <mergeCell ref="O439:P439"/>
    <mergeCell ref="A439:B439"/>
    <mergeCell ref="E439:F439"/>
    <mergeCell ref="G439:H439"/>
    <mergeCell ref="I438:J438"/>
    <mergeCell ref="O438:P438"/>
    <mergeCell ref="Q438:R438"/>
    <mergeCell ref="E433:F433"/>
    <mergeCell ref="G433:H433"/>
    <mergeCell ref="I433:J433"/>
    <mergeCell ref="O431:P431"/>
    <mergeCell ref="I431:J431"/>
    <mergeCell ref="A434:B434"/>
    <mergeCell ref="E434:F434"/>
    <mergeCell ref="G434:H434"/>
    <mergeCell ref="I434:J434"/>
    <mergeCell ref="S435:T435"/>
    <mergeCell ref="O433:P433"/>
    <mergeCell ref="Q433:R433"/>
    <mergeCell ref="S433:T433"/>
    <mergeCell ref="O434:P434"/>
    <mergeCell ref="Q434:R434"/>
    <mergeCell ref="A436:B436"/>
    <mergeCell ref="E436:F436"/>
    <mergeCell ref="G436:H436"/>
    <mergeCell ref="S434:T434"/>
    <mergeCell ref="A435:B435"/>
    <mergeCell ref="E435:F435"/>
    <mergeCell ref="G435:H435"/>
    <mergeCell ref="I435:J435"/>
    <mergeCell ref="O435:P435"/>
    <mergeCell ref="Q435:R435"/>
    <mergeCell ref="I436:J436"/>
    <mergeCell ref="O436:P436"/>
    <mergeCell ref="Q436:R436"/>
    <mergeCell ref="S436:T436"/>
    <mergeCell ref="E430:F430"/>
    <mergeCell ref="G430:H430"/>
    <mergeCell ref="I430:J430"/>
    <mergeCell ref="O430:P430"/>
    <mergeCell ref="Q430:R430"/>
    <mergeCell ref="S430:T430"/>
    <mergeCell ref="E429:F429"/>
    <mergeCell ref="G429:H429"/>
    <mergeCell ref="I429:J429"/>
    <mergeCell ref="Q431:R431"/>
    <mergeCell ref="S431:T431"/>
    <mergeCell ref="E432:F432"/>
    <mergeCell ref="G432:H432"/>
    <mergeCell ref="I432:J432"/>
    <mergeCell ref="O432:P432"/>
    <mergeCell ref="Q432:R432"/>
    <mergeCell ref="S432:T432"/>
    <mergeCell ref="E431:F431"/>
    <mergeCell ref="G431:H431"/>
    <mergeCell ref="E425:F425"/>
    <mergeCell ref="G425:H425"/>
    <mergeCell ref="I425:J425"/>
    <mergeCell ref="O426:P426"/>
    <mergeCell ref="Q426:R426"/>
    <mergeCell ref="Q425:R425"/>
    <mergeCell ref="S426:T426"/>
    <mergeCell ref="S425:T425"/>
    <mergeCell ref="O425:P425"/>
    <mergeCell ref="E426:F426"/>
    <mergeCell ref="G426:H426"/>
    <mergeCell ref="I426:J426"/>
    <mergeCell ref="A427:B427"/>
    <mergeCell ref="E427:F427"/>
    <mergeCell ref="G427:H427"/>
    <mergeCell ref="I427:J427"/>
    <mergeCell ref="O429:P429"/>
    <mergeCell ref="Q429:R429"/>
    <mergeCell ref="O427:P427"/>
    <mergeCell ref="Q427:R427"/>
    <mergeCell ref="S427:T427"/>
    <mergeCell ref="E428:F428"/>
    <mergeCell ref="G428:H428"/>
    <mergeCell ref="I428:J428"/>
    <mergeCell ref="O428:P428"/>
    <mergeCell ref="Q428:R428"/>
    <mergeCell ref="S428:T428"/>
    <mergeCell ref="S429:T429"/>
    <mergeCell ref="G422:H422"/>
    <mergeCell ref="I422:J422"/>
    <mergeCell ref="O420:P420"/>
    <mergeCell ref="Q420:R420"/>
    <mergeCell ref="O422:P422"/>
    <mergeCell ref="Q422:R422"/>
    <mergeCell ref="S422:T422"/>
    <mergeCell ref="E422:F422"/>
    <mergeCell ref="S424:T424"/>
    <mergeCell ref="E423:F423"/>
    <mergeCell ref="G423:H423"/>
    <mergeCell ref="I423:J423"/>
    <mergeCell ref="O423:P423"/>
    <mergeCell ref="O424:P424"/>
    <mergeCell ref="Q424:R424"/>
    <mergeCell ref="Q423:R423"/>
    <mergeCell ref="S423:T423"/>
    <mergeCell ref="E424:F424"/>
    <mergeCell ref="G424:H424"/>
    <mergeCell ref="I424:J424"/>
    <mergeCell ref="A419:B419"/>
    <mergeCell ref="E419:F419"/>
    <mergeCell ref="G419:H419"/>
    <mergeCell ref="I419:J419"/>
    <mergeCell ref="O419:P419"/>
    <mergeCell ref="Q419:R419"/>
    <mergeCell ref="S419:T419"/>
    <mergeCell ref="S420:T420"/>
    <mergeCell ref="E421:F421"/>
    <mergeCell ref="G421:H421"/>
    <mergeCell ref="I421:J421"/>
    <mergeCell ref="O421:P421"/>
    <mergeCell ref="Q421:R421"/>
    <mergeCell ref="S421:T421"/>
    <mergeCell ref="E420:F420"/>
    <mergeCell ref="G420:H420"/>
    <mergeCell ref="I420:J420"/>
    <mergeCell ref="O416:P416"/>
    <mergeCell ref="Q416:R416"/>
    <mergeCell ref="S416:T416"/>
    <mergeCell ref="I416:J416"/>
    <mergeCell ref="A416:B416"/>
    <mergeCell ref="E416:F416"/>
    <mergeCell ref="G416:H416"/>
    <mergeCell ref="A417:B417"/>
    <mergeCell ref="E417:F417"/>
    <mergeCell ref="G417:H417"/>
    <mergeCell ref="I417:J417"/>
    <mergeCell ref="O417:P417"/>
    <mergeCell ref="Q417:R417"/>
    <mergeCell ref="S417:T417"/>
    <mergeCell ref="O418:P418"/>
    <mergeCell ref="Q418:R418"/>
    <mergeCell ref="S418:T418"/>
    <mergeCell ref="I418:J418"/>
    <mergeCell ref="A418:B418"/>
    <mergeCell ref="E418:F418"/>
    <mergeCell ref="G418:H418"/>
    <mergeCell ref="S414:T414"/>
    <mergeCell ref="I412:J412"/>
    <mergeCell ref="N412:N413"/>
    <mergeCell ref="O412:P413"/>
    <mergeCell ref="Q412:R413"/>
    <mergeCell ref="G410:H410"/>
    <mergeCell ref="A415:B415"/>
    <mergeCell ref="E415:F415"/>
    <mergeCell ref="G415:H415"/>
    <mergeCell ref="S412:T413"/>
    <mergeCell ref="I413:J413"/>
    <mergeCell ref="E414:F414"/>
    <mergeCell ref="G414:H414"/>
    <mergeCell ref="I414:J414"/>
    <mergeCell ref="O414:P414"/>
    <mergeCell ref="Q414:R414"/>
    <mergeCell ref="I415:J415"/>
    <mergeCell ref="O415:P415"/>
    <mergeCell ref="Q415:R415"/>
    <mergeCell ref="S415:T415"/>
    <mergeCell ref="E395:F395"/>
    <mergeCell ref="G395:H395"/>
    <mergeCell ref="I395:J395"/>
    <mergeCell ref="E394:F394"/>
    <mergeCell ref="G394:H394"/>
    <mergeCell ref="I394:J394"/>
    <mergeCell ref="E397:F397"/>
    <mergeCell ref="G397:H397"/>
    <mergeCell ref="I397:J397"/>
    <mergeCell ref="E396:F396"/>
    <mergeCell ref="G396:H396"/>
    <mergeCell ref="I396:J396"/>
    <mergeCell ref="S410:T410"/>
    <mergeCell ref="E398:F398"/>
    <mergeCell ref="G398:H398"/>
    <mergeCell ref="I398:J398"/>
    <mergeCell ref="S411:T411"/>
    <mergeCell ref="A401:T401"/>
    <mergeCell ref="A402:T402"/>
    <mergeCell ref="A407:T407"/>
    <mergeCell ref="A410:B413"/>
    <mergeCell ref="C410:F411"/>
    <mergeCell ref="I410:J410"/>
    <mergeCell ref="L410:L413"/>
    <mergeCell ref="M410:P411"/>
    <mergeCell ref="D412:D413"/>
    <mergeCell ref="E412:F413"/>
    <mergeCell ref="G412:H413"/>
    <mergeCell ref="Q410:R410"/>
    <mergeCell ref="G411:H411"/>
    <mergeCell ref="I411:J411"/>
    <mergeCell ref="Q411:R411"/>
    <mergeCell ref="E389:F389"/>
    <mergeCell ref="G389:H389"/>
    <mergeCell ref="I389:J389"/>
    <mergeCell ref="I387:J387"/>
    <mergeCell ref="E388:F388"/>
    <mergeCell ref="G388:H388"/>
    <mergeCell ref="I388:J388"/>
    <mergeCell ref="E391:F391"/>
    <mergeCell ref="G391:H391"/>
    <mergeCell ref="I391:J391"/>
    <mergeCell ref="E390:F390"/>
    <mergeCell ref="G390:H390"/>
    <mergeCell ref="I390:J390"/>
    <mergeCell ref="E393:F393"/>
    <mergeCell ref="G393:H393"/>
    <mergeCell ref="I393:J393"/>
    <mergeCell ref="E392:F392"/>
    <mergeCell ref="G392:H392"/>
    <mergeCell ref="I392:J392"/>
    <mergeCell ref="G385:H385"/>
    <mergeCell ref="E383:F383"/>
    <mergeCell ref="G383:H383"/>
    <mergeCell ref="I383:J383"/>
    <mergeCell ref="E384:F384"/>
    <mergeCell ref="G384:H384"/>
    <mergeCell ref="I384:J384"/>
    <mergeCell ref="A387:B387"/>
    <mergeCell ref="E387:F387"/>
    <mergeCell ref="G387:H387"/>
    <mergeCell ref="I385:J385"/>
    <mergeCell ref="A386:B386"/>
    <mergeCell ref="E386:F386"/>
    <mergeCell ref="G386:H386"/>
    <mergeCell ref="I386:J386"/>
    <mergeCell ref="A385:B385"/>
    <mergeCell ref="E385:F385"/>
    <mergeCell ref="I377:J377"/>
    <mergeCell ref="O377:P377"/>
    <mergeCell ref="O376:P376"/>
    <mergeCell ref="I379:J379"/>
    <mergeCell ref="I378:J378"/>
    <mergeCell ref="O378:P378"/>
    <mergeCell ref="A380:B380"/>
    <mergeCell ref="E380:F380"/>
    <mergeCell ref="G380:H380"/>
    <mergeCell ref="E379:F379"/>
    <mergeCell ref="G379:H379"/>
    <mergeCell ref="A378:B378"/>
    <mergeCell ref="E378:F378"/>
    <mergeCell ref="E382:F382"/>
    <mergeCell ref="G382:H382"/>
    <mergeCell ref="I382:J382"/>
    <mergeCell ref="I380:J380"/>
    <mergeCell ref="E381:F381"/>
    <mergeCell ref="G381:H381"/>
    <mergeCell ref="I381:J381"/>
    <mergeCell ref="G373:H373"/>
    <mergeCell ref="E373:F373"/>
    <mergeCell ref="I373:J373"/>
    <mergeCell ref="I372:J372"/>
    <mergeCell ref="O375:P375"/>
    <mergeCell ref="A374:B374"/>
    <mergeCell ref="E374:F374"/>
    <mergeCell ref="G374:H374"/>
    <mergeCell ref="I374:J374"/>
    <mergeCell ref="E375:F375"/>
    <mergeCell ref="G375:H375"/>
    <mergeCell ref="I375:J375"/>
    <mergeCell ref="I376:J376"/>
    <mergeCell ref="S378:T378"/>
    <mergeCell ref="Q378:R378"/>
    <mergeCell ref="S376:T376"/>
    <mergeCell ref="G378:H378"/>
    <mergeCell ref="Q377:R377"/>
    <mergeCell ref="S377:T377"/>
    <mergeCell ref="Q376:R376"/>
    <mergeCell ref="S373:T373"/>
    <mergeCell ref="O374:P374"/>
    <mergeCell ref="Q374:R374"/>
    <mergeCell ref="S374:T374"/>
    <mergeCell ref="Q375:R375"/>
    <mergeCell ref="S375:T375"/>
    <mergeCell ref="O373:P373"/>
    <mergeCell ref="Q373:R373"/>
    <mergeCell ref="E376:F376"/>
    <mergeCell ref="G376:H376"/>
    <mergeCell ref="E377:F377"/>
    <mergeCell ref="G377:H377"/>
    <mergeCell ref="O370:P370"/>
    <mergeCell ref="Q370:R370"/>
    <mergeCell ref="S370:T370"/>
    <mergeCell ref="I370:J370"/>
    <mergeCell ref="A370:B370"/>
    <mergeCell ref="E370:F370"/>
    <mergeCell ref="G370:H370"/>
    <mergeCell ref="A371:B371"/>
    <mergeCell ref="E371:F371"/>
    <mergeCell ref="G371:H371"/>
    <mergeCell ref="S371:T371"/>
    <mergeCell ref="Q372:R372"/>
    <mergeCell ref="S372:T372"/>
    <mergeCell ref="O372:P372"/>
    <mergeCell ref="A372:B372"/>
    <mergeCell ref="E372:F372"/>
    <mergeCell ref="G372:H372"/>
    <mergeCell ref="I371:J371"/>
    <mergeCell ref="O371:P371"/>
    <mergeCell ref="Q371:R371"/>
    <mergeCell ref="A367:B367"/>
    <mergeCell ref="E367:F367"/>
    <mergeCell ref="G367:H367"/>
    <mergeCell ref="I367:J367"/>
    <mergeCell ref="G364:H364"/>
    <mergeCell ref="E366:F366"/>
    <mergeCell ref="G366:H366"/>
    <mergeCell ref="I366:J366"/>
    <mergeCell ref="S368:T368"/>
    <mergeCell ref="O366:P366"/>
    <mergeCell ref="Q366:R366"/>
    <mergeCell ref="S366:T366"/>
    <mergeCell ref="O367:P367"/>
    <mergeCell ref="Q367:R367"/>
    <mergeCell ref="A369:B369"/>
    <mergeCell ref="E369:F369"/>
    <mergeCell ref="G369:H369"/>
    <mergeCell ref="S367:T367"/>
    <mergeCell ref="A368:B368"/>
    <mergeCell ref="E368:F368"/>
    <mergeCell ref="G368:H368"/>
    <mergeCell ref="I368:J368"/>
    <mergeCell ref="O368:P368"/>
    <mergeCell ref="Q368:R368"/>
    <mergeCell ref="I369:J369"/>
    <mergeCell ref="O369:P369"/>
    <mergeCell ref="Q369:R369"/>
    <mergeCell ref="S369:T369"/>
    <mergeCell ref="E363:F363"/>
    <mergeCell ref="G363:H363"/>
    <mergeCell ref="I363:J363"/>
    <mergeCell ref="O363:P363"/>
    <mergeCell ref="Q363:R363"/>
    <mergeCell ref="S363:T363"/>
    <mergeCell ref="E362:F362"/>
    <mergeCell ref="G362:H362"/>
    <mergeCell ref="Q364:R364"/>
    <mergeCell ref="S364:T364"/>
    <mergeCell ref="E365:F365"/>
    <mergeCell ref="G365:H365"/>
    <mergeCell ref="I365:J365"/>
    <mergeCell ref="O365:P365"/>
    <mergeCell ref="Q365:R365"/>
    <mergeCell ref="S365:T365"/>
    <mergeCell ref="E364:F364"/>
    <mergeCell ref="O364:P364"/>
    <mergeCell ref="I364:J364"/>
    <mergeCell ref="E358:F358"/>
    <mergeCell ref="G358:H358"/>
    <mergeCell ref="I358:J358"/>
    <mergeCell ref="O359:P359"/>
    <mergeCell ref="Q359:R359"/>
    <mergeCell ref="Q358:R358"/>
    <mergeCell ref="S359:T359"/>
    <mergeCell ref="S358:T358"/>
    <mergeCell ref="O358:P358"/>
    <mergeCell ref="E359:F359"/>
    <mergeCell ref="G359:H359"/>
    <mergeCell ref="I359:J359"/>
    <mergeCell ref="A360:B360"/>
    <mergeCell ref="E360:F360"/>
    <mergeCell ref="G360:H360"/>
    <mergeCell ref="I360:J360"/>
    <mergeCell ref="O362:P362"/>
    <mergeCell ref="Q362:R362"/>
    <mergeCell ref="O360:P360"/>
    <mergeCell ref="Q360:R360"/>
    <mergeCell ref="Q361:R361"/>
    <mergeCell ref="E361:F361"/>
    <mergeCell ref="G361:H361"/>
    <mergeCell ref="I361:J361"/>
    <mergeCell ref="O361:P361"/>
    <mergeCell ref="I362:J362"/>
    <mergeCell ref="S361:T361"/>
    <mergeCell ref="S362:T362"/>
    <mergeCell ref="E353:F353"/>
    <mergeCell ref="G353:H353"/>
    <mergeCell ref="I353:J353"/>
    <mergeCell ref="E354:F354"/>
    <mergeCell ref="G354:H354"/>
    <mergeCell ref="I354:J354"/>
    <mergeCell ref="O354:P354"/>
    <mergeCell ref="G355:H355"/>
    <mergeCell ref="I355:J355"/>
    <mergeCell ref="O353:P353"/>
    <mergeCell ref="Q353:R353"/>
    <mergeCell ref="O355:P355"/>
    <mergeCell ref="Q355:R355"/>
    <mergeCell ref="Q354:R354"/>
    <mergeCell ref="E355:F355"/>
    <mergeCell ref="S357:T357"/>
    <mergeCell ref="E356:F356"/>
    <mergeCell ref="G356:H356"/>
    <mergeCell ref="I356:J356"/>
    <mergeCell ref="O356:P356"/>
    <mergeCell ref="O357:P357"/>
    <mergeCell ref="Q357:R357"/>
    <mergeCell ref="Q356:R356"/>
    <mergeCell ref="S356:T356"/>
    <mergeCell ref="E357:F357"/>
    <mergeCell ref="G357:H357"/>
    <mergeCell ref="I357:J357"/>
    <mergeCell ref="A350:B350"/>
    <mergeCell ref="E350:F350"/>
    <mergeCell ref="G350:H350"/>
    <mergeCell ref="I350:J350"/>
    <mergeCell ref="O350:P350"/>
    <mergeCell ref="Q350:R350"/>
    <mergeCell ref="S350:T350"/>
    <mergeCell ref="O351:P351"/>
    <mergeCell ref="Q351:R351"/>
    <mergeCell ref="S351:T351"/>
    <mergeCell ref="I351:J351"/>
    <mergeCell ref="A351:B351"/>
    <mergeCell ref="E351:F351"/>
    <mergeCell ref="G351:H351"/>
    <mergeCell ref="A352:B352"/>
    <mergeCell ref="E352:F352"/>
    <mergeCell ref="G352:H352"/>
    <mergeCell ref="I352:J352"/>
    <mergeCell ref="O352:P352"/>
    <mergeCell ref="Q352:R352"/>
    <mergeCell ref="A348:B348"/>
    <mergeCell ref="E348:F348"/>
    <mergeCell ref="G348:H348"/>
    <mergeCell ref="S345:T346"/>
    <mergeCell ref="I346:J346"/>
    <mergeCell ref="E347:F347"/>
    <mergeCell ref="G347:H347"/>
    <mergeCell ref="I347:J347"/>
    <mergeCell ref="O347:P347"/>
    <mergeCell ref="Q347:R347"/>
    <mergeCell ref="I348:J348"/>
    <mergeCell ref="O348:P348"/>
    <mergeCell ref="Q348:R348"/>
    <mergeCell ref="S348:T348"/>
    <mergeCell ref="O349:P349"/>
    <mergeCell ref="Q349:R349"/>
    <mergeCell ref="S349:T349"/>
    <mergeCell ref="I349:J349"/>
    <mergeCell ref="A349:B349"/>
    <mergeCell ref="E349:F349"/>
    <mergeCell ref="G349:H349"/>
    <mergeCell ref="E329:F329"/>
    <mergeCell ref="G329:H329"/>
    <mergeCell ref="I329:J329"/>
    <mergeCell ref="E328:F328"/>
    <mergeCell ref="G328:H328"/>
    <mergeCell ref="I328:J328"/>
    <mergeCell ref="E331:F331"/>
    <mergeCell ref="G331:H331"/>
    <mergeCell ref="I331:J331"/>
    <mergeCell ref="E330:F330"/>
    <mergeCell ref="G330:H330"/>
    <mergeCell ref="I330:J330"/>
    <mergeCell ref="Q345:R346"/>
    <mergeCell ref="D345:D346"/>
    <mergeCell ref="E345:F346"/>
    <mergeCell ref="G345:H346"/>
    <mergeCell ref="Q343:R343"/>
    <mergeCell ref="G344:H344"/>
    <mergeCell ref="I344:J344"/>
    <mergeCell ref="Q344:R344"/>
    <mergeCell ref="I345:J345"/>
    <mergeCell ref="N345:N346"/>
    <mergeCell ref="O345:P346"/>
    <mergeCell ref="E321:F321"/>
    <mergeCell ref="G321:H321"/>
    <mergeCell ref="I321:J321"/>
    <mergeCell ref="E323:F323"/>
    <mergeCell ref="G323:H323"/>
    <mergeCell ref="I323:J323"/>
    <mergeCell ref="E322:F322"/>
    <mergeCell ref="G322:H322"/>
    <mergeCell ref="I322:J322"/>
    <mergeCell ref="E325:F325"/>
    <mergeCell ref="G325:H325"/>
    <mergeCell ref="I325:J325"/>
    <mergeCell ref="E324:F324"/>
    <mergeCell ref="G324:H324"/>
    <mergeCell ref="I324:J324"/>
    <mergeCell ref="E327:F327"/>
    <mergeCell ref="G327:H327"/>
    <mergeCell ref="I327:J327"/>
    <mergeCell ref="E326:F326"/>
    <mergeCell ref="G326:H326"/>
    <mergeCell ref="I326:J326"/>
    <mergeCell ref="G318:H318"/>
    <mergeCell ref="E316:F316"/>
    <mergeCell ref="G316:H316"/>
    <mergeCell ref="I316:J316"/>
    <mergeCell ref="E317:F317"/>
    <mergeCell ref="G317:H317"/>
    <mergeCell ref="I317:J317"/>
    <mergeCell ref="A320:B320"/>
    <mergeCell ref="E320:F320"/>
    <mergeCell ref="G320:H320"/>
    <mergeCell ref="I318:J318"/>
    <mergeCell ref="A319:B319"/>
    <mergeCell ref="E319:F319"/>
    <mergeCell ref="G319:H319"/>
    <mergeCell ref="I319:J319"/>
    <mergeCell ref="A318:B318"/>
    <mergeCell ref="E318:F318"/>
    <mergeCell ref="I320:J320"/>
    <mergeCell ref="I310:J310"/>
    <mergeCell ref="O310:P310"/>
    <mergeCell ref="O309:P309"/>
    <mergeCell ref="I312:J312"/>
    <mergeCell ref="I311:J311"/>
    <mergeCell ref="O311:P311"/>
    <mergeCell ref="A313:B313"/>
    <mergeCell ref="E313:F313"/>
    <mergeCell ref="G313:H313"/>
    <mergeCell ref="E312:F312"/>
    <mergeCell ref="G312:H312"/>
    <mergeCell ref="A311:B311"/>
    <mergeCell ref="E311:F311"/>
    <mergeCell ref="E315:F315"/>
    <mergeCell ref="G315:H315"/>
    <mergeCell ref="I315:J315"/>
    <mergeCell ref="I313:J313"/>
    <mergeCell ref="E314:F314"/>
    <mergeCell ref="G314:H314"/>
    <mergeCell ref="I314:J314"/>
    <mergeCell ref="G306:H306"/>
    <mergeCell ref="E306:F306"/>
    <mergeCell ref="I306:J306"/>
    <mergeCell ref="I305:J305"/>
    <mergeCell ref="O308:P308"/>
    <mergeCell ref="A307:B307"/>
    <mergeCell ref="E307:F307"/>
    <mergeCell ref="G307:H307"/>
    <mergeCell ref="I307:J307"/>
    <mergeCell ref="E308:F308"/>
    <mergeCell ref="G308:H308"/>
    <mergeCell ref="I308:J308"/>
    <mergeCell ref="I309:J309"/>
    <mergeCell ref="S311:T311"/>
    <mergeCell ref="Q311:R311"/>
    <mergeCell ref="S309:T309"/>
    <mergeCell ref="G311:H311"/>
    <mergeCell ref="Q310:R310"/>
    <mergeCell ref="S310:T310"/>
    <mergeCell ref="Q309:R309"/>
    <mergeCell ref="S306:T306"/>
    <mergeCell ref="O307:P307"/>
    <mergeCell ref="Q307:R307"/>
    <mergeCell ref="S307:T307"/>
    <mergeCell ref="Q308:R308"/>
    <mergeCell ref="S308:T308"/>
    <mergeCell ref="O306:P306"/>
    <mergeCell ref="Q306:R306"/>
    <mergeCell ref="E309:F309"/>
    <mergeCell ref="G309:H309"/>
    <mergeCell ref="E310:F310"/>
    <mergeCell ref="G310:H310"/>
    <mergeCell ref="O303:P303"/>
    <mergeCell ref="Q303:R303"/>
    <mergeCell ref="S303:T303"/>
    <mergeCell ref="I303:J303"/>
    <mergeCell ref="A303:B303"/>
    <mergeCell ref="E303:F303"/>
    <mergeCell ref="G303:H303"/>
    <mergeCell ref="A304:B304"/>
    <mergeCell ref="E304:F304"/>
    <mergeCell ref="G304:H304"/>
    <mergeCell ref="S304:T304"/>
    <mergeCell ref="Q305:R305"/>
    <mergeCell ref="S305:T305"/>
    <mergeCell ref="O305:P305"/>
    <mergeCell ref="A305:B305"/>
    <mergeCell ref="E305:F305"/>
    <mergeCell ref="G305:H305"/>
    <mergeCell ref="I304:J304"/>
    <mergeCell ref="O304:P304"/>
    <mergeCell ref="Q304:R304"/>
    <mergeCell ref="E299:F299"/>
    <mergeCell ref="G299:H299"/>
    <mergeCell ref="I299:J299"/>
    <mergeCell ref="O297:P297"/>
    <mergeCell ref="I297:J297"/>
    <mergeCell ref="A300:B300"/>
    <mergeCell ref="E300:F300"/>
    <mergeCell ref="G300:H300"/>
    <mergeCell ref="I300:J300"/>
    <mergeCell ref="S301:T301"/>
    <mergeCell ref="O299:P299"/>
    <mergeCell ref="Q299:R299"/>
    <mergeCell ref="S299:T299"/>
    <mergeCell ref="O300:P300"/>
    <mergeCell ref="Q300:R300"/>
    <mergeCell ref="A302:B302"/>
    <mergeCell ref="E302:F302"/>
    <mergeCell ref="G302:H302"/>
    <mergeCell ref="S300:T300"/>
    <mergeCell ref="A301:B301"/>
    <mergeCell ref="E301:F301"/>
    <mergeCell ref="G301:H301"/>
    <mergeCell ref="I301:J301"/>
    <mergeCell ref="O301:P301"/>
    <mergeCell ref="Q301:R301"/>
    <mergeCell ref="I302:J302"/>
    <mergeCell ref="O302:P302"/>
    <mergeCell ref="Q302:R302"/>
    <mergeCell ref="S302:T302"/>
    <mergeCell ref="E296:F296"/>
    <mergeCell ref="G296:H296"/>
    <mergeCell ref="I296:J296"/>
    <mergeCell ref="O296:P296"/>
    <mergeCell ref="Q296:R296"/>
    <mergeCell ref="S296:T296"/>
    <mergeCell ref="E295:F295"/>
    <mergeCell ref="G295:H295"/>
    <mergeCell ref="I295:J295"/>
    <mergeCell ref="Q297:R297"/>
    <mergeCell ref="S297:T297"/>
    <mergeCell ref="E298:F298"/>
    <mergeCell ref="G298:H298"/>
    <mergeCell ref="I298:J298"/>
    <mergeCell ref="O298:P298"/>
    <mergeCell ref="Q298:R298"/>
    <mergeCell ref="S298:T298"/>
    <mergeCell ref="E297:F297"/>
    <mergeCell ref="G297:H297"/>
    <mergeCell ref="E291:F291"/>
    <mergeCell ref="G291:H291"/>
    <mergeCell ref="I291:J291"/>
    <mergeCell ref="O292:P292"/>
    <mergeCell ref="Q292:R292"/>
    <mergeCell ref="Q291:R291"/>
    <mergeCell ref="S292:T292"/>
    <mergeCell ref="S291:T291"/>
    <mergeCell ref="O291:P291"/>
    <mergeCell ref="E292:F292"/>
    <mergeCell ref="G292:H292"/>
    <mergeCell ref="I292:J292"/>
    <mergeCell ref="A293:B293"/>
    <mergeCell ref="E293:F293"/>
    <mergeCell ref="G293:H293"/>
    <mergeCell ref="I293:J293"/>
    <mergeCell ref="O295:P295"/>
    <mergeCell ref="Q295:R295"/>
    <mergeCell ref="O293:P293"/>
    <mergeCell ref="Q293:R293"/>
    <mergeCell ref="S293:T293"/>
    <mergeCell ref="E294:F294"/>
    <mergeCell ref="G294:H294"/>
    <mergeCell ref="I294:J294"/>
    <mergeCell ref="O294:P294"/>
    <mergeCell ref="Q294:R294"/>
    <mergeCell ref="S294:T294"/>
    <mergeCell ref="S295:T295"/>
    <mergeCell ref="E286:F286"/>
    <mergeCell ref="G286:H286"/>
    <mergeCell ref="I286:J286"/>
    <mergeCell ref="E287:F287"/>
    <mergeCell ref="G287:H287"/>
    <mergeCell ref="I287:J287"/>
    <mergeCell ref="O287:P287"/>
    <mergeCell ref="G288:H288"/>
    <mergeCell ref="I288:J288"/>
    <mergeCell ref="O286:P286"/>
    <mergeCell ref="Q286:R286"/>
    <mergeCell ref="O288:P288"/>
    <mergeCell ref="Q288:R288"/>
    <mergeCell ref="Q287:R287"/>
    <mergeCell ref="E288:F288"/>
    <mergeCell ref="S290:T290"/>
    <mergeCell ref="E289:F289"/>
    <mergeCell ref="G289:H289"/>
    <mergeCell ref="I289:J289"/>
    <mergeCell ref="O289:P289"/>
    <mergeCell ref="O290:P290"/>
    <mergeCell ref="Q290:R290"/>
    <mergeCell ref="Q289:R289"/>
    <mergeCell ref="S289:T289"/>
    <mergeCell ref="E290:F290"/>
    <mergeCell ref="G290:H290"/>
    <mergeCell ref="I290:J290"/>
    <mergeCell ref="I283:J283"/>
    <mergeCell ref="O283:P283"/>
    <mergeCell ref="S281:T281"/>
    <mergeCell ref="O282:P282"/>
    <mergeCell ref="Q282:R282"/>
    <mergeCell ref="S282:T282"/>
    <mergeCell ref="Q283:R283"/>
    <mergeCell ref="S283:T283"/>
    <mergeCell ref="O284:P284"/>
    <mergeCell ref="Q284:R284"/>
    <mergeCell ref="S284:T284"/>
    <mergeCell ref="A284:B284"/>
    <mergeCell ref="E284:F284"/>
    <mergeCell ref="G284:H284"/>
    <mergeCell ref="A283:B283"/>
    <mergeCell ref="E283:F283"/>
    <mergeCell ref="A285:B285"/>
    <mergeCell ref="E285:F285"/>
    <mergeCell ref="G285:H285"/>
    <mergeCell ref="I284:J284"/>
    <mergeCell ref="I285:J285"/>
    <mergeCell ref="G283:H283"/>
    <mergeCell ref="O285:P285"/>
    <mergeCell ref="Q285:R285"/>
    <mergeCell ref="A281:B281"/>
    <mergeCell ref="E281:F281"/>
    <mergeCell ref="G281:H281"/>
    <mergeCell ref="I279:J279"/>
    <mergeCell ref="E280:F280"/>
    <mergeCell ref="G280:H280"/>
    <mergeCell ref="I280:J280"/>
    <mergeCell ref="D278:D279"/>
    <mergeCell ref="E278:F279"/>
    <mergeCell ref="A282:B282"/>
    <mergeCell ref="E282:F282"/>
    <mergeCell ref="G282:H282"/>
    <mergeCell ref="G278:H279"/>
    <mergeCell ref="O280:P280"/>
    <mergeCell ref="Q280:R280"/>
    <mergeCell ref="I281:J281"/>
    <mergeCell ref="O281:P281"/>
    <mergeCell ref="Q281:R281"/>
    <mergeCell ref="Q278:R279"/>
    <mergeCell ref="I282:J282"/>
    <mergeCell ref="E263:F263"/>
    <mergeCell ref="G263:H263"/>
    <mergeCell ref="I263:J263"/>
    <mergeCell ref="E262:F262"/>
    <mergeCell ref="G262:H262"/>
    <mergeCell ref="I262:J262"/>
    <mergeCell ref="E265:F265"/>
    <mergeCell ref="G265:H265"/>
    <mergeCell ref="I265:J265"/>
    <mergeCell ref="E264:F264"/>
    <mergeCell ref="G264:H264"/>
    <mergeCell ref="I264:J264"/>
    <mergeCell ref="S277:T277"/>
    <mergeCell ref="A269:T269"/>
    <mergeCell ref="A270:T270"/>
    <mergeCell ref="A273:T273"/>
    <mergeCell ref="A276:B279"/>
    <mergeCell ref="C276:F277"/>
    <mergeCell ref="G276:H276"/>
    <mergeCell ref="I278:J278"/>
    <mergeCell ref="G277:H277"/>
    <mergeCell ref="I277:J277"/>
    <mergeCell ref="E266:F266"/>
    <mergeCell ref="G266:H266"/>
    <mergeCell ref="I266:J266"/>
    <mergeCell ref="Q276:R276"/>
    <mergeCell ref="Q277:R277"/>
    <mergeCell ref="I276:J276"/>
    <mergeCell ref="L276:L279"/>
    <mergeCell ref="M276:P277"/>
    <mergeCell ref="N278:N279"/>
    <mergeCell ref="O278:P279"/>
    <mergeCell ref="E255:F255"/>
    <mergeCell ref="G255:H255"/>
    <mergeCell ref="I255:J255"/>
    <mergeCell ref="E257:F257"/>
    <mergeCell ref="G257:H257"/>
    <mergeCell ref="I257:J257"/>
    <mergeCell ref="E256:F256"/>
    <mergeCell ref="G256:H256"/>
    <mergeCell ref="I256:J256"/>
    <mergeCell ref="E259:F259"/>
    <mergeCell ref="G259:H259"/>
    <mergeCell ref="I259:J259"/>
    <mergeCell ref="E258:F258"/>
    <mergeCell ref="G258:H258"/>
    <mergeCell ref="I258:J258"/>
    <mergeCell ref="E261:F261"/>
    <mergeCell ref="G261:H261"/>
    <mergeCell ref="I261:J261"/>
    <mergeCell ref="E260:F260"/>
    <mergeCell ref="G260:H260"/>
    <mergeCell ref="I260:J260"/>
    <mergeCell ref="E250:F250"/>
    <mergeCell ref="G250:H250"/>
    <mergeCell ref="I250:J250"/>
    <mergeCell ref="E251:F251"/>
    <mergeCell ref="G251:H251"/>
    <mergeCell ref="I251:J251"/>
    <mergeCell ref="A253:B253"/>
    <mergeCell ref="E253:F253"/>
    <mergeCell ref="G253:H253"/>
    <mergeCell ref="E252:F252"/>
    <mergeCell ref="G252:H252"/>
    <mergeCell ref="I253:J253"/>
    <mergeCell ref="I252:J252"/>
    <mergeCell ref="A254:B254"/>
    <mergeCell ref="E254:F254"/>
    <mergeCell ref="G254:H254"/>
    <mergeCell ref="I254:J254"/>
    <mergeCell ref="I244:J244"/>
    <mergeCell ref="O244:P244"/>
    <mergeCell ref="O243:P243"/>
    <mergeCell ref="I246:J246"/>
    <mergeCell ref="I245:J245"/>
    <mergeCell ref="O245:P245"/>
    <mergeCell ref="A247:B247"/>
    <mergeCell ref="E247:F247"/>
    <mergeCell ref="G247:H247"/>
    <mergeCell ref="E246:F246"/>
    <mergeCell ref="G246:H246"/>
    <mergeCell ref="A245:B245"/>
    <mergeCell ref="E245:F245"/>
    <mergeCell ref="E249:F249"/>
    <mergeCell ref="G249:H249"/>
    <mergeCell ref="I249:J249"/>
    <mergeCell ref="I247:J247"/>
    <mergeCell ref="E248:F248"/>
    <mergeCell ref="G248:H248"/>
    <mergeCell ref="I248:J248"/>
    <mergeCell ref="G240:H240"/>
    <mergeCell ref="E240:F240"/>
    <mergeCell ref="I240:J240"/>
    <mergeCell ref="I239:J239"/>
    <mergeCell ref="O242:P242"/>
    <mergeCell ref="A241:B241"/>
    <mergeCell ref="E241:F241"/>
    <mergeCell ref="G241:H241"/>
    <mergeCell ref="I241:J241"/>
    <mergeCell ref="E242:F242"/>
    <mergeCell ref="G242:H242"/>
    <mergeCell ref="I242:J242"/>
    <mergeCell ref="I243:J243"/>
    <mergeCell ref="S245:T245"/>
    <mergeCell ref="Q245:R245"/>
    <mergeCell ref="S243:T243"/>
    <mergeCell ref="G245:H245"/>
    <mergeCell ref="Q244:R244"/>
    <mergeCell ref="S244:T244"/>
    <mergeCell ref="Q243:R243"/>
    <mergeCell ref="S240:T240"/>
    <mergeCell ref="O241:P241"/>
    <mergeCell ref="Q241:R241"/>
    <mergeCell ref="S241:T241"/>
    <mergeCell ref="Q242:R242"/>
    <mergeCell ref="S242:T242"/>
    <mergeCell ref="O240:P240"/>
    <mergeCell ref="Q240:R240"/>
    <mergeCell ref="E243:F243"/>
    <mergeCell ref="G243:H243"/>
    <mergeCell ref="E244:F244"/>
    <mergeCell ref="G244:H244"/>
    <mergeCell ref="O237:P237"/>
    <mergeCell ref="Q237:R237"/>
    <mergeCell ref="S237:T237"/>
    <mergeCell ref="I237:J237"/>
    <mergeCell ref="A237:B237"/>
    <mergeCell ref="E237:F237"/>
    <mergeCell ref="G237:H237"/>
    <mergeCell ref="A238:B238"/>
    <mergeCell ref="E238:F238"/>
    <mergeCell ref="G238:H238"/>
    <mergeCell ref="S238:T238"/>
    <mergeCell ref="Q239:R239"/>
    <mergeCell ref="S239:T239"/>
    <mergeCell ref="O239:P239"/>
    <mergeCell ref="A239:B239"/>
    <mergeCell ref="E239:F239"/>
    <mergeCell ref="G239:H239"/>
    <mergeCell ref="I238:J238"/>
    <mergeCell ref="O238:P238"/>
    <mergeCell ref="Q238:R238"/>
    <mergeCell ref="S235:T235"/>
    <mergeCell ref="O233:P233"/>
    <mergeCell ref="Q233:R233"/>
    <mergeCell ref="S233:T233"/>
    <mergeCell ref="O234:P234"/>
    <mergeCell ref="Q234:R234"/>
    <mergeCell ref="A236:B236"/>
    <mergeCell ref="E236:F236"/>
    <mergeCell ref="G236:H236"/>
    <mergeCell ref="S234:T234"/>
    <mergeCell ref="A235:B235"/>
    <mergeCell ref="E235:F235"/>
    <mergeCell ref="G235:H235"/>
    <mergeCell ref="I235:J235"/>
    <mergeCell ref="O235:P235"/>
    <mergeCell ref="Q235:R235"/>
    <mergeCell ref="I236:J236"/>
    <mergeCell ref="O236:P236"/>
    <mergeCell ref="Q236:R236"/>
    <mergeCell ref="S236:T236"/>
    <mergeCell ref="Q231:R231"/>
    <mergeCell ref="S231:T231"/>
    <mergeCell ref="E232:F232"/>
    <mergeCell ref="G232:H232"/>
    <mergeCell ref="I232:J232"/>
    <mergeCell ref="O232:P232"/>
    <mergeCell ref="Q232:R232"/>
    <mergeCell ref="S232:T232"/>
    <mergeCell ref="E231:F231"/>
    <mergeCell ref="G231:H231"/>
    <mergeCell ref="E233:F233"/>
    <mergeCell ref="G233:H233"/>
    <mergeCell ref="I233:J233"/>
    <mergeCell ref="O231:P231"/>
    <mergeCell ref="I231:J231"/>
    <mergeCell ref="A234:B234"/>
    <mergeCell ref="E234:F234"/>
    <mergeCell ref="G234:H234"/>
    <mergeCell ref="I234:J234"/>
    <mergeCell ref="A227:B227"/>
    <mergeCell ref="E227:F227"/>
    <mergeCell ref="G227:H227"/>
    <mergeCell ref="I227:J227"/>
    <mergeCell ref="O229:P229"/>
    <mergeCell ref="Q229:R229"/>
    <mergeCell ref="O227:P227"/>
    <mergeCell ref="Q227:R227"/>
    <mergeCell ref="S227:T227"/>
    <mergeCell ref="E228:F228"/>
    <mergeCell ref="G228:H228"/>
    <mergeCell ref="I228:J228"/>
    <mergeCell ref="O228:P228"/>
    <mergeCell ref="Q228:R228"/>
    <mergeCell ref="S228:T228"/>
    <mergeCell ref="S229:T229"/>
    <mergeCell ref="E230:F230"/>
    <mergeCell ref="G230:H230"/>
    <mergeCell ref="I230:J230"/>
    <mergeCell ref="O230:P230"/>
    <mergeCell ref="Q230:R230"/>
    <mergeCell ref="S230:T230"/>
    <mergeCell ref="E229:F229"/>
    <mergeCell ref="G229:H229"/>
    <mergeCell ref="I229:J229"/>
    <mergeCell ref="S224:T224"/>
    <mergeCell ref="E223:F223"/>
    <mergeCell ref="G223:H223"/>
    <mergeCell ref="I223:J223"/>
    <mergeCell ref="O223:P223"/>
    <mergeCell ref="O224:P224"/>
    <mergeCell ref="Q224:R224"/>
    <mergeCell ref="Q223:R223"/>
    <mergeCell ref="S223:T223"/>
    <mergeCell ref="E224:F224"/>
    <mergeCell ref="G224:H224"/>
    <mergeCell ref="I224:J224"/>
    <mergeCell ref="E225:F225"/>
    <mergeCell ref="G225:H225"/>
    <mergeCell ref="I225:J225"/>
    <mergeCell ref="O226:P226"/>
    <mergeCell ref="Q226:R226"/>
    <mergeCell ref="Q225:R225"/>
    <mergeCell ref="S226:T226"/>
    <mergeCell ref="S225:T225"/>
    <mergeCell ref="O225:P225"/>
    <mergeCell ref="E226:F226"/>
    <mergeCell ref="G226:H226"/>
    <mergeCell ref="I226:J226"/>
    <mergeCell ref="S221:T221"/>
    <mergeCell ref="E220:F220"/>
    <mergeCell ref="G220:H220"/>
    <mergeCell ref="I220:J220"/>
    <mergeCell ref="E221:F221"/>
    <mergeCell ref="G221:H221"/>
    <mergeCell ref="I221:J221"/>
    <mergeCell ref="O221:P221"/>
    <mergeCell ref="S219:T219"/>
    <mergeCell ref="G222:H222"/>
    <mergeCell ref="I222:J222"/>
    <mergeCell ref="O220:P220"/>
    <mergeCell ref="Q220:R220"/>
    <mergeCell ref="O222:P222"/>
    <mergeCell ref="Q222:R222"/>
    <mergeCell ref="Q221:R221"/>
    <mergeCell ref="E222:F222"/>
    <mergeCell ref="I217:J217"/>
    <mergeCell ref="O217:P217"/>
    <mergeCell ref="O216:P216"/>
    <mergeCell ref="Q216:R216"/>
    <mergeCell ref="Q217:R217"/>
    <mergeCell ref="S217:T217"/>
    <mergeCell ref="O218:P218"/>
    <mergeCell ref="Q218:R218"/>
    <mergeCell ref="S218:T218"/>
    <mergeCell ref="A218:B218"/>
    <mergeCell ref="E218:F218"/>
    <mergeCell ref="G218:H218"/>
    <mergeCell ref="A217:B217"/>
    <mergeCell ref="E217:F217"/>
    <mergeCell ref="G217:H217"/>
    <mergeCell ref="A219:B219"/>
    <mergeCell ref="E219:F219"/>
    <mergeCell ref="G219:H219"/>
    <mergeCell ref="I218:J218"/>
    <mergeCell ref="I219:J219"/>
    <mergeCell ref="O219:P219"/>
    <mergeCell ref="Q219:R219"/>
    <mergeCell ref="A215:B215"/>
    <mergeCell ref="E215:F215"/>
    <mergeCell ref="G215:H215"/>
    <mergeCell ref="I213:J213"/>
    <mergeCell ref="E214:F214"/>
    <mergeCell ref="G214:H214"/>
    <mergeCell ref="I214:J214"/>
    <mergeCell ref="D212:D213"/>
    <mergeCell ref="E212:F213"/>
    <mergeCell ref="G212:H213"/>
    <mergeCell ref="S216:T216"/>
    <mergeCell ref="A216:B216"/>
    <mergeCell ref="E216:F216"/>
    <mergeCell ref="G216:H216"/>
    <mergeCell ref="O214:P214"/>
    <mergeCell ref="Q214:R214"/>
    <mergeCell ref="I215:J215"/>
    <mergeCell ref="O215:P215"/>
    <mergeCell ref="Q215:R215"/>
    <mergeCell ref="S215:T215"/>
    <mergeCell ref="I216:J216"/>
    <mergeCell ref="E195:F195"/>
    <mergeCell ref="G195:H195"/>
    <mergeCell ref="I195:J195"/>
    <mergeCell ref="E194:F194"/>
    <mergeCell ref="G194:H194"/>
    <mergeCell ref="I194:J194"/>
    <mergeCell ref="E197:F197"/>
    <mergeCell ref="G197:H197"/>
    <mergeCell ref="I197:J197"/>
    <mergeCell ref="E196:F196"/>
    <mergeCell ref="G196:H196"/>
    <mergeCell ref="I196:J196"/>
    <mergeCell ref="A202:T202"/>
    <mergeCell ref="A207:T207"/>
    <mergeCell ref="A210:B213"/>
    <mergeCell ref="C210:F211"/>
    <mergeCell ref="G210:H210"/>
    <mergeCell ref="I212:J212"/>
    <mergeCell ref="G211:H211"/>
    <mergeCell ref="I211:J211"/>
    <mergeCell ref="Q212:R213"/>
    <mergeCell ref="S212:T213"/>
    <mergeCell ref="E198:F198"/>
    <mergeCell ref="G198:H198"/>
    <mergeCell ref="I198:J198"/>
    <mergeCell ref="Q210:R210"/>
    <mergeCell ref="Q211:R211"/>
    <mergeCell ref="I210:J210"/>
    <mergeCell ref="L210:L213"/>
    <mergeCell ref="M210:P211"/>
    <mergeCell ref="N212:N213"/>
    <mergeCell ref="O212:P213"/>
    <mergeCell ref="E189:F189"/>
    <mergeCell ref="G189:H189"/>
    <mergeCell ref="I189:J189"/>
    <mergeCell ref="E188:F188"/>
    <mergeCell ref="G188:H188"/>
    <mergeCell ref="I188:J188"/>
    <mergeCell ref="E190:F190"/>
    <mergeCell ref="G190:H190"/>
    <mergeCell ref="I190:J190"/>
    <mergeCell ref="E191:F191"/>
    <mergeCell ref="G191:H191"/>
    <mergeCell ref="I191:J191"/>
    <mergeCell ref="E193:F193"/>
    <mergeCell ref="G193:H193"/>
    <mergeCell ref="I193:J193"/>
    <mergeCell ref="E192:F192"/>
    <mergeCell ref="G192:H192"/>
    <mergeCell ref="I192:J192"/>
    <mergeCell ref="E185:F185"/>
    <mergeCell ref="G185:H185"/>
    <mergeCell ref="I185:J185"/>
    <mergeCell ref="E183:F183"/>
    <mergeCell ref="G183:H183"/>
    <mergeCell ref="I183:J183"/>
    <mergeCell ref="E184:F184"/>
    <mergeCell ref="G184:H184"/>
    <mergeCell ref="I184:J184"/>
    <mergeCell ref="I186:J186"/>
    <mergeCell ref="A187:B187"/>
    <mergeCell ref="E187:F187"/>
    <mergeCell ref="G187:H187"/>
    <mergeCell ref="I187:J187"/>
    <mergeCell ref="A186:B186"/>
    <mergeCell ref="E186:F186"/>
    <mergeCell ref="G186:H186"/>
    <mergeCell ref="I177:J177"/>
    <mergeCell ref="O177:P177"/>
    <mergeCell ref="O176:P176"/>
    <mergeCell ref="I179:J179"/>
    <mergeCell ref="I178:J178"/>
    <mergeCell ref="O178:P178"/>
    <mergeCell ref="A180:B180"/>
    <mergeCell ref="E180:F180"/>
    <mergeCell ref="G180:H180"/>
    <mergeCell ref="E179:F179"/>
    <mergeCell ref="G179:H179"/>
    <mergeCell ref="A178:B178"/>
    <mergeCell ref="E178:F178"/>
    <mergeCell ref="G182:H182"/>
    <mergeCell ref="I182:J182"/>
    <mergeCell ref="I180:J180"/>
    <mergeCell ref="E181:F181"/>
    <mergeCell ref="G181:H181"/>
    <mergeCell ref="I181:J181"/>
    <mergeCell ref="G173:H173"/>
    <mergeCell ref="E173:F173"/>
    <mergeCell ref="I173:J173"/>
    <mergeCell ref="I172:J172"/>
    <mergeCell ref="O175:P175"/>
    <mergeCell ref="A174:B174"/>
    <mergeCell ref="E174:F174"/>
    <mergeCell ref="G174:H174"/>
    <mergeCell ref="I174:J174"/>
    <mergeCell ref="E175:F175"/>
    <mergeCell ref="G175:H175"/>
    <mergeCell ref="I175:J175"/>
    <mergeCell ref="I176:J176"/>
    <mergeCell ref="S178:T178"/>
    <mergeCell ref="Q178:R178"/>
    <mergeCell ref="S176:T176"/>
    <mergeCell ref="G178:H178"/>
    <mergeCell ref="Q177:R177"/>
    <mergeCell ref="S177:T177"/>
    <mergeCell ref="Q176:R176"/>
    <mergeCell ref="S173:T173"/>
    <mergeCell ref="O174:P174"/>
    <mergeCell ref="Q174:R174"/>
    <mergeCell ref="S174:T174"/>
    <mergeCell ref="Q175:R175"/>
    <mergeCell ref="S175:T175"/>
    <mergeCell ref="O173:P173"/>
    <mergeCell ref="Q173:R173"/>
    <mergeCell ref="E176:F176"/>
    <mergeCell ref="G176:H176"/>
    <mergeCell ref="E177:F177"/>
    <mergeCell ref="G177:H177"/>
    <mergeCell ref="O170:P170"/>
    <mergeCell ref="Q170:R170"/>
    <mergeCell ref="S170:T170"/>
    <mergeCell ref="I170:J170"/>
    <mergeCell ref="A170:B170"/>
    <mergeCell ref="E170:F170"/>
    <mergeCell ref="G170:H170"/>
    <mergeCell ref="A171:B171"/>
    <mergeCell ref="E171:F171"/>
    <mergeCell ref="G171:H171"/>
    <mergeCell ref="S171:T171"/>
    <mergeCell ref="Q172:R172"/>
    <mergeCell ref="S172:T172"/>
    <mergeCell ref="O172:P172"/>
    <mergeCell ref="A172:B172"/>
    <mergeCell ref="E172:F172"/>
    <mergeCell ref="G172:H172"/>
    <mergeCell ref="I171:J171"/>
    <mergeCell ref="O171:P171"/>
    <mergeCell ref="Q171:R171"/>
    <mergeCell ref="E166:F166"/>
    <mergeCell ref="G166:H166"/>
    <mergeCell ref="I166:J166"/>
    <mergeCell ref="O164:P164"/>
    <mergeCell ref="I164:J164"/>
    <mergeCell ref="A167:B167"/>
    <mergeCell ref="E167:F167"/>
    <mergeCell ref="G167:H167"/>
    <mergeCell ref="I167:J167"/>
    <mergeCell ref="S168:T168"/>
    <mergeCell ref="O166:P166"/>
    <mergeCell ref="Q166:R166"/>
    <mergeCell ref="S166:T166"/>
    <mergeCell ref="O167:P167"/>
    <mergeCell ref="Q167:R167"/>
    <mergeCell ref="A169:B169"/>
    <mergeCell ref="E169:F169"/>
    <mergeCell ref="G169:H169"/>
    <mergeCell ref="S167:T167"/>
    <mergeCell ref="A168:B168"/>
    <mergeCell ref="E168:F168"/>
    <mergeCell ref="G168:H168"/>
    <mergeCell ref="I168:J168"/>
    <mergeCell ref="O168:P168"/>
    <mergeCell ref="Q168:R168"/>
    <mergeCell ref="I169:J169"/>
    <mergeCell ref="O169:P169"/>
    <mergeCell ref="Q169:R169"/>
    <mergeCell ref="S169:T169"/>
    <mergeCell ref="E163:F163"/>
    <mergeCell ref="G163:H163"/>
    <mergeCell ref="I163:J163"/>
    <mergeCell ref="O163:P163"/>
    <mergeCell ref="Q163:R163"/>
    <mergeCell ref="S163:T163"/>
    <mergeCell ref="E162:F162"/>
    <mergeCell ref="G162:H162"/>
    <mergeCell ref="I162:J162"/>
    <mergeCell ref="Q164:R164"/>
    <mergeCell ref="S164:T164"/>
    <mergeCell ref="E165:F165"/>
    <mergeCell ref="G165:H165"/>
    <mergeCell ref="I165:J165"/>
    <mergeCell ref="O165:P165"/>
    <mergeCell ref="Q165:R165"/>
    <mergeCell ref="S165:T165"/>
    <mergeCell ref="E164:F164"/>
    <mergeCell ref="G164:H164"/>
    <mergeCell ref="E158:F158"/>
    <mergeCell ref="G158:H158"/>
    <mergeCell ref="I158:J158"/>
    <mergeCell ref="O159:P159"/>
    <mergeCell ref="Q159:R159"/>
    <mergeCell ref="Q158:R158"/>
    <mergeCell ref="S159:T159"/>
    <mergeCell ref="S158:T158"/>
    <mergeCell ref="O158:P158"/>
    <mergeCell ref="E159:F159"/>
    <mergeCell ref="G159:H159"/>
    <mergeCell ref="I159:J159"/>
    <mergeCell ref="A160:B160"/>
    <mergeCell ref="E160:F160"/>
    <mergeCell ref="G160:H160"/>
    <mergeCell ref="I160:J160"/>
    <mergeCell ref="O162:P162"/>
    <mergeCell ref="Q162:R162"/>
    <mergeCell ref="O160:P160"/>
    <mergeCell ref="Q160:R160"/>
    <mergeCell ref="S160:T160"/>
    <mergeCell ref="E161:F161"/>
    <mergeCell ref="G161:H161"/>
    <mergeCell ref="I161:J161"/>
    <mergeCell ref="O161:P161"/>
    <mergeCell ref="Q161:R161"/>
    <mergeCell ref="S161:T161"/>
    <mergeCell ref="S162:T162"/>
    <mergeCell ref="S154:T154"/>
    <mergeCell ref="E153:F153"/>
    <mergeCell ref="G153:H153"/>
    <mergeCell ref="I153:J153"/>
    <mergeCell ref="E154:F154"/>
    <mergeCell ref="G154:H154"/>
    <mergeCell ref="I154:J154"/>
    <mergeCell ref="O154:P154"/>
    <mergeCell ref="G155:H155"/>
    <mergeCell ref="I155:J155"/>
    <mergeCell ref="O153:P153"/>
    <mergeCell ref="Q153:R153"/>
    <mergeCell ref="O155:P155"/>
    <mergeCell ref="Q155:R155"/>
    <mergeCell ref="Q154:R154"/>
    <mergeCell ref="E155:F155"/>
    <mergeCell ref="S157:T157"/>
    <mergeCell ref="E156:F156"/>
    <mergeCell ref="G156:H156"/>
    <mergeCell ref="I156:J156"/>
    <mergeCell ref="O156:P156"/>
    <mergeCell ref="O157:P157"/>
    <mergeCell ref="Q157:R157"/>
    <mergeCell ref="Q156:R156"/>
    <mergeCell ref="S156:T156"/>
    <mergeCell ref="E157:F157"/>
    <mergeCell ref="G157:H157"/>
    <mergeCell ref="I157:J157"/>
    <mergeCell ref="S148:T148"/>
    <mergeCell ref="O149:P149"/>
    <mergeCell ref="Q149:R149"/>
    <mergeCell ref="S149:T149"/>
    <mergeCell ref="Q150:R150"/>
    <mergeCell ref="S150:T150"/>
    <mergeCell ref="O151:P151"/>
    <mergeCell ref="Q151:R151"/>
    <mergeCell ref="S151:T151"/>
    <mergeCell ref="A151:B151"/>
    <mergeCell ref="E151:F151"/>
    <mergeCell ref="G151:H151"/>
    <mergeCell ref="A150:B150"/>
    <mergeCell ref="E150:F150"/>
    <mergeCell ref="A152:B152"/>
    <mergeCell ref="E152:F152"/>
    <mergeCell ref="G152:H152"/>
    <mergeCell ref="I151:J151"/>
    <mergeCell ref="I152:J152"/>
    <mergeCell ref="G150:H150"/>
    <mergeCell ref="O152:P152"/>
    <mergeCell ref="Q152:R152"/>
    <mergeCell ref="A148:B148"/>
    <mergeCell ref="E148:F148"/>
    <mergeCell ref="G148:H148"/>
    <mergeCell ref="E147:F147"/>
    <mergeCell ref="G147:H147"/>
    <mergeCell ref="I147:J147"/>
    <mergeCell ref="D145:D146"/>
    <mergeCell ref="E145:F146"/>
    <mergeCell ref="A149:B149"/>
    <mergeCell ref="E149:F149"/>
    <mergeCell ref="G149:H149"/>
    <mergeCell ref="G145:H146"/>
    <mergeCell ref="O147:P147"/>
    <mergeCell ref="Q147:R147"/>
    <mergeCell ref="I148:J148"/>
    <mergeCell ref="O148:P148"/>
    <mergeCell ref="Q148:R148"/>
    <mergeCell ref="Q145:R146"/>
    <mergeCell ref="I149:J149"/>
    <mergeCell ref="I150:J150"/>
    <mergeCell ref="O150:P150"/>
    <mergeCell ref="E129:F129"/>
    <mergeCell ref="G129:H129"/>
    <mergeCell ref="I129:J129"/>
    <mergeCell ref="E128:F128"/>
    <mergeCell ref="G128:H128"/>
    <mergeCell ref="I128:J128"/>
    <mergeCell ref="S144:T144"/>
    <mergeCell ref="A133:T133"/>
    <mergeCell ref="A134:T134"/>
    <mergeCell ref="A140:T140"/>
    <mergeCell ref="A143:B146"/>
    <mergeCell ref="C143:F144"/>
    <mergeCell ref="G143:H143"/>
    <mergeCell ref="I145:J145"/>
    <mergeCell ref="G144:H144"/>
    <mergeCell ref="I144:J144"/>
    <mergeCell ref="E130:F130"/>
    <mergeCell ref="G130:H130"/>
    <mergeCell ref="I130:J130"/>
    <mergeCell ref="Q143:R143"/>
    <mergeCell ref="Q144:R144"/>
    <mergeCell ref="I143:J143"/>
    <mergeCell ref="L143:L146"/>
    <mergeCell ref="M143:P144"/>
    <mergeCell ref="N145:N146"/>
    <mergeCell ref="O145:P146"/>
    <mergeCell ref="I146:J146"/>
    <mergeCell ref="E123:F123"/>
    <mergeCell ref="G123:H123"/>
    <mergeCell ref="I123:J123"/>
    <mergeCell ref="E122:F122"/>
    <mergeCell ref="G122:H122"/>
    <mergeCell ref="I122:J122"/>
    <mergeCell ref="E125:F125"/>
    <mergeCell ref="G125:H125"/>
    <mergeCell ref="I125:J125"/>
    <mergeCell ref="E124:F124"/>
    <mergeCell ref="G124:H124"/>
    <mergeCell ref="I124:J124"/>
    <mergeCell ref="E127:F127"/>
    <mergeCell ref="G127:H127"/>
    <mergeCell ref="I127:J127"/>
    <mergeCell ref="E126:F126"/>
    <mergeCell ref="G126:H126"/>
    <mergeCell ref="I126:J126"/>
    <mergeCell ref="G114:H114"/>
    <mergeCell ref="I114:J114"/>
    <mergeCell ref="E115:F115"/>
    <mergeCell ref="G115:H115"/>
    <mergeCell ref="I115:J115"/>
    <mergeCell ref="A117:B117"/>
    <mergeCell ref="E117:F117"/>
    <mergeCell ref="G117:H117"/>
    <mergeCell ref="E116:F116"/>
    <mergeCell ref="G116:H116"/>
    <mergeCell ref="I117:J117"/>
    <mergeCell ref="I116:J116"/>
    <mergeCell ref="A118:B118"/>
    <mergeCell ref="E118:F118"/>
    <mergeCell ref="G118:H118"/>
    <mergeCell ref="I118:J118"/>
    <mergeCell ref="E119:F119"/>
    <mergeCell ref="G119:H119"/>
    <mergeCell ref="I119:J119"/>
    <mergeCell ref="I108:J108"/>
    <mergeCell ref="O108:P108"/>
    <mergeCell ref="O107:P107"/>
    <mergeCell ref="I110:J110"/>
    <mergeCell ref="I109:J109"/>
    <mergeCell ref="O109:P109"/>
    <mergeCell ref="A111:B111"/>
    <mergeCell ref="E111:F111"/>
    <mergeCell ref="G111:H111"/>
    <mergeCell ref="E110:F110"/>
    <mergeCell ref="G110:H110"/>
    <mergeCell ref="A109:B109"/>
    <mergeCell ref="E109:F109"/>
    <mergeCell ref="E113:F113"/>
    <mergeCell ref="G113:H113"/>
    <mergeCell ref="I113:J113"/>
    <mergeCell ref="I111:J111"/>
    <mergeCell ref="E112:F112"/>
    <mergeCell ref="G112:H112"/>
    <mergeCell ref="I112:J112"/>
    <mergeCell ref="G104:H104"/>
    <mergeCell ref="E104:F104"/>
    <mergeCell ref="I104:J104"/>
    <mergeCell ref="I103:J103"/>
    <mergeCell ref="O106:P106"/>
    <mergeCell ref="A105:B105"/>
    <mergeCell ref="E105:F105"/>
    <mergeCell ref="G105:H105"/>
    <mergeCell ref="I105:J105"/>
    <mergeCell ref="E106:F106"/>
    <mergeCell ref="G106:H106"/>
    <mergeCell ref="I106:J106"/>
    <mergeCell ref="I107:J107"/>
    <mergeCell ref="S109:T109"/>
    <mergeCell ref="Q109:R109"/>
    <mergeCell ref="S107:T107"/>
    <mergeCell ref="G109:H109"/>
    <mergeCell ref="Q108:R108"/>
    <mergeCell ref="S108:T108"/>
    <mergeCell ref="Q107:R107"/>
    <mergeCell ref="S104:T104"/>
    <mergeCell ref="O105:P105"/>
    <mergeCell ref="Q105:R105"/>
    <mergeCell ref="S105:T105"/>
    <mergeCell ref="Q106:R106"/>
    <mergeCell ref="S106:T106"/>
    <mergeCell ref="O104:P104"/>
    <mergeCell ref="Q104:R104"/>
    <mergeCell ref="E107:F107"/>
    <mergeCell ref="G107:H107"/>
    <mergeCell ref="E108:F108"/>
    <mergeCell ref="G108:H108"/>
    <mergeCell ref="O101:P101"/>
    <mergeCell ref="Q101:R101"/>
    <mergeCell ref="S101:T101"/>
    <mergeCell ref="I101:J101"/>
    <mergeCell ref="A101:B101"/>
    <mergeCell ref="E101:F101"/>
    <mergeCell ref="G101:H101"/>
    <mergeCell ref="A102:B102"/>
    <mergeCell ref="E102:F102"/>
    <mergeCell ref="G102:H102"/>
    <mergeCell ref="S102:T102"/>
    <mergeCell ref="Q103:R103"/>
    <mergeCell ref="S103:T103"/>
    <mergeCell ref="O103:P103"/>
    <mergeCell ref="A103:B103"/>
    <mergeCell ref="E103:F103"/>
    <mergeCell ref="G103:H103"/>
    <mergeCell ref="I102:J102"/>
    <mergeCell ref="O102:P102"/>
    <mergeCell ref="Q102:R102"/>
    <mergeCell ref="E97:F97"/>
    <mergeCell ref="G97:H97"/>
    <mergeCell ref="I97:J97"/>
    <mergeCell ref="O95:P95"/>
    <mergeCell ref="I95:J95"/>
    <mergeCell ref="A98:B98"/>
    <mergeCell ref="E98:F98"/>
    <mergeCell ref="G98:H98"/>
    <mergeCell ref="I98:J98"/>
    <mergeCell ref="S99:T99"/>
    <mergeCell ref="O97:P97"/>
    <mergeCell ref="Q97:R97"/>
    <mergeCell ref="S97:T97"/>
    <mergeCell ref="O98:P98"/>
    <mergeCell ref="Q98:R98"/>
    <mergeCell ref="A100:B100"/>
    <mergeCell ref="E100:F100"/>
    <mergeCell ref="G100:H100"/>
    <mergeCell ref="S98:T98"/>
    <mergeCell ref="A99:B99"/>
    <mergeCell ref="E99:F99"/>
    <mergeCell ref="G99:H99"/>
    <mergeCell ref="I99:J99"/>
    <mergeCell ref="O99:P99"/>
    <mergeCell ref="Q99:R99"/>
    <mergeCell ref="I100:J100"/>
    <mergeCell ref="O100:P100"/>
    <mergeCell ref="Q100:R100"/>
    <mergeCell ref="S100:T100"/>
    <mergeCell ref="E94:F94"/>
    <mergeCell ref="G94:H94"/>
    <mergeCell ref="I94:J94"/>
    <mergeCell ref="O94:P94"/>
    <mergeCell ref="Q94:R94"/>
    <mergeCell ref="S94:T94"/>
    <mergeCell ref="E93:F93"/>
    <mergeCell ref="G93:H93"/>
    <mergeCell ref="I93:J93"/>
    <mergeCell ref="Q95:R95"/>
    <mergeCell ref="S95:T95"/>
    <mergeCell ref="E96:F96"/>
    <mergeCell ref="G96:H96"/>
    <mergeCell ref="I96:J96"/>
    <mergeCell ref="O96:P96"/>
    <mergeCell ref="Q96:R96"/>
    <mergeCell ref="S96:T96"/>
    <mergeCell ref="E95:F95"/>
    <mergeCell ref="G95:H95"/>
    <mergeCell ref="E89:F89"/>
    <mergeCell ref="G89:H89"/>
    <mergeCell ref="I89:J89"/>
    <mergeCell ref="O90:P90"/>
    <mergeCell ref="Q90:R90"/>
    <mergeCell ref="Q89:R89"/>
    <mergeCell ref="S90:T90"/>
    <mergeCell ref="S89:T89"/>
    <mergeCell ref="O89:P89"/>
    <mergeCell ref="E90:F90"/>
    <mergeCell ref="G90:H90"/>
    <mergeCell ref="I90:J90"/>
    <mergeCell ref="A91:B91"/>
    <mergeCell ref="E91:F91"/>
    <mergeCell ref="G91:H91"/>
    <mergeCell ref="I91:J91"/>
    <mergeCell ref="O93:P93"/>
    <mergeCell ref="Q93:R93"/>
    <mergeCell ref="O91:P91"/>
    <mergeCell ref="Q91:R91"/>
    <mergeCell ref="S91:T91"/>
    <mergeCell ref="E92:F92"/>
    <mergeCell ref="G92:H92"/>
    <mergeCell ref="I92:J92"/>
    <mergeCell ref="O92:P92"/>
    <mergeCell ref="Q92:R92"/>
    <mergeCell ref="S92:T92"/>
    <mergeCell ref="S93:T93"/>
    <mergeCell ref="G86:H86"/>
    <mergeCell ref="I86:J86"/>
    <mergeCell ref="O84:P84"/>
    <mergeCell ref="Q84:R84"/>
    <mergeCell ref="O86:P86"/>
    <mergeCell ref="Q86:R86"/>
    <mergeCell ref="S86:T86"/>
    <mergeCell ref="E86:F86"/>
    <mergeCell ref="S88:T88"/>
    <mergeCell ref="E87:F87"/>
    <mergeCell ref="G87:H87"/>
    <mergeCell ref="I87:J87"/>
    <mergeCell ref="O87:P87"/>
    <mergeCell ref="O88:P88"/>
    <mergeCell ref="Q88:R88"/>
    <mergeCell ref="Q87:R87"/>
    <mergeCell ref="S87:T87"/>
    <mergeCell ref="E88:F88"/>
    <mergeCell ref="G88:H88"/>
    <mergeCell ref="I88:J88"/>
    <mergeCell ref="A83:B83"/>
    <mergeCell ref="E83:F83"/>
    <mergeCell ref="G83:H83"/>
    <mergeCell ref="I83:J83"/>
    <mergeCell ref="O83:P83"/>
    <mergeCell ref="Q83:R83"/>
    <mergeCell ref="S83:T83"/>
    <mergeCell ref="S84:T84"/>
    <mergeCell ref="E85:F85"/>
    <mergeCell ref="G85:H85"/>
    <mergeCell ref="I85:J85"/>
    <mergeCell ref="O85:P85"/>
    <mergeCell ref="Q85:R85"/>
    <mergeCell ref="S85:T85"/>
    <mergeCell ref="E84:F84"/>
    <mergeCell ref="G84:H84"/>
    <mergeCell ref="I84:J84"/>
    <mergeCell ref="O80:P80"/>
    <mergeCell ref="Q80:R80"/>
    <mergeCell ref="S80:T80"/>
    <mergeCell ref="I80:J80"/>
    <mergeCell ref="A80:B80"/>
    <mergeCell ref="E80:F80"/>
    <mergeCell ref="G80:H80"/>
    <mergeCell ref="A81:B81"/>
    <mergeCell ref="E81:F81"/>
    <mergeCell ref="G81:H81"/>
    <mergeCell ref="I81:J81"/>
    <mergeCell ref="O81:P81"/>
    <mergeCell ref="Q81:R81"/>
    <mergeCell ref="S81:T81"/>
    <mergeCell ref="O82:P82"/>
    <mergeCell ref="Q82:R82"/>
    <mergeCell ref="S82:T82"/>
    <mergeCell ref="I82:J82"/>
    <mergeCell ref="A82:B82"/>
    <mergeCell ref="E82:F82"/>
    <mergeCell ref="G82:H82"/>
    <mergeCell ref="S78:T78"/>
    <mergeCell ref="I76:J76"/>
    <mergeCell ref="N76:N77"/>
    <mergeCell ref="O76:P77"/>
    <mergeCell ref="Q76:R77"/>
    <mergeCell ref="L74:L77"/>
    <mergeCell ref="M74:P75"/>
    <mergeCell ref="S74:T74"/>
    <mergeCell ref="A79:B79"/>
    <mergeCell ref="E79:F79"/>
    <mergeCell ref="G79:H79"/>
    <mergeCell ref="S76:T77"/>
    <mergeCell ref="I77:J77"/>
    <mergeCell ref="E78:F78"/>
    <mergeCell ref="G78:H78"/>
    <mergeCell ref="I78:J78"/>
    <mergeCell ref="O78:P78"/>
    <mergeCell ref="Q78:R78"/>
    <mergeCell ref="I79:J79"/>
    <mergeCell ref="O79:P79"/>
    <mergeCell ref="Q79:R79"/>
    <mergeCell ref="S79:T79"/>
    <mergeCell ref="E60:F60"/>
    <mergeCell ref="G60:H60"/>
    <mergeCell ref="I60:J60"/>
    <mergeCell ref="E59:F59"/>
    <mergeCell ref="G59:H59"/>
    <mergeCell ref="I59:J59"/>
    <mergeCell ref="E62:F62"/>
    <mergeCell ref="G62:H62"/>
    <mergeCell ref="I62:J62"/>
    <mergeCell ref="E61:F61"/>
    <mergeCell ref="G61:H61"/>
    <mergeCell ref="I61:J61"/>
    <mergeCell ref="E76:F77"/>
    <mergeCell ref="G76:H77"/>
    <mergeCell ref="Q74:R74"/>
    <mergeCell ref="G75:H75"/>
    <mergeCell ref="I75:J75"/>
    <mergeCell ref="Q75:R75"/>
    <mergeCell ref="A65:T65"/>
    <mergeCell ref="A66:T66"/>
    <mergeCell ref="A71:T71"/>
    <mergeCell ref="A74:B77"/>
    <mergeCell ref="C74:F75"/>
    <mergeCell ref="G74:H74"/>
    <mergeCell ref="S75:T75"/>
    <mergeCell ref="I74:J74"/>
    <mergeCell ref="D76:D77"/>
    <mergeCell ref="E54:F54"/>
    <mergeCell ref="G54:H54"/>
    <mergeCell ref="I54:J54"/>
    <mergeCell ref="E53:F53"/>
    <mergeCell ref="G53:H53"/>
    <mergeCell ref="I53:J53"/>
    <mergeCell ref="E56:F56"/>
    <mergeCell ref="G56:H56"/>
    <mergeCell ref="I56:J56"/>
    <mergeCell ref="E55:F55"/>
    <mergeCell ref="G55:H55"/>
    <mergeCell ref="I55:J55"/>
    <mergeCell ref="E58:F58"/>
    <mergeCell ref="G58:H58"/>
    <mergeCell ref="I58:J58"/>
    <mergeCell ref="E57:F57"/>
    <mergeCell ref="G57:H57"/>
    <mergeCell ref="I57:J57"/>
    <mergeCell ref="E48:F48"/>
    <mergeCell ref="G48:H48"/>
    <mergeCell ref="I48:J48"/>
    <mergeCell ref="E47:F47"/>
    <mergeCell ref="G47:H47"/>
    <mergeCell ref="I47:J47"/>
    <mergeCell ref="I49:J49"/>
    <mergeCell ref="A50:B50"/>
    <mergeCell ref="E50:F50"/>
    <mergeCell ref="G50:H50"/>
    <mergeCell ref="I50:J50"/>
    <mergeCell ref="A49:B49"/>
    <mergeCell ref="E49:F49"/>
    <mergeCell ref="G49:H49"/>
    <mergeCell ref="E52:F52"/>
    <mergeCell ref="G52:H52"/>
    <mergeCell ref="I52:J52"/>
    <mergeCell ref="E51:F51"/>
    <mergeCell ref="G51:H51"/>
    <mergeCell ref="I51:J51"/>
    <mergeCell ref="I42:J42"/>
    <mergeCell ref="I41:J41"/>
    <mergeCell ref="O41:P41"/>
    <mergeCell ref="E43:F43"/>
    <mergeCell ref="G43:H43"/>
    <mergeCell ref="E42:F42"/>
    <mergeCell ref="G42:H42"/>
    <mergeCell ref="E45:F45"/>
    <mergeCell ref="G45:H45"/>
    <mergeCell ref="I45:J45"/>
    <mergeCell ref="I43:J43"/>
    <mergeCell ref="E44:F44"/>
    <mergeCell ref="G44:H44"/>
    <mergeCell ref="I44:J44"/>
    <mergeCell ref="A46:B46"/>
    <mergeCell ref="E46:F46"/>
    <mergeCell ref="G46:H46"/>
    <mergeCell ref="I46:J46"/>
    <mergeCell ref="A43:B43"/>
    <mergeCell ref="O40:P40"/>
    <mergeCell ref="O39:P39"/>
    <mergeCell ref="S41:T41"/>
    <mergeCell ref="Q41:R41"/>
    <mergeCell ref="S39:T39"/>
    <mergeCell ref="S36:T36"/>
    <mergeCell ref="O37:P37"/>
    <mergeCell ref="Q37:R37"/>
    <mergeCell ref="S37:T37"/>
    <mergeCell ref="Q38:R38"/>
    <mergeCell ref="A41:B41"/>
    <mergeCell ref="E41:F41"/>
    <mergeCell ref="G41:H41"/>
    <mergeCell ref="Q40:R40"/>
    <mergeCell ref="S40:T40"/>
    <mergeCell ref="E39:F39"/>
    <mergeCell ref="G39:H39"/>
    <mergeCell ref="E40:F40"/>
    <mergeCell ref="G40:H40"/>
    <mergeCell ref="I40:J40"/>
    <mergeCell ref="G36:H36"/>
    <mergeCell ref="E36:F36"/>
    <mergeCell ref="I36:J36"/>
    <mergeCell ref="Q39:R39"/>
    <mergeCell ref="Q36:R36"/>
    <mergeCell ref="E38:F38"/>
    <mergeCell ref="G38:H38"/>
    <mergeCell ref="I38:J38"/>
    <mergeCell ref="I39:J39"/>
    <mergeCell ref="S38:T38"/>
    <mergeCell ref="O36:P36"/>
    <mergeCell ref="O38:P38"/>
    <mergeCell ref="A37:B37"/>
    <mergeCell ref="E37:F37"/>
    <mergeCell ref="G37:H37"/>
    <mergeCell ref="I37:J37"/>
    <mergeCell ref="O33:P33"/>
    <mergeCell ref="Q33:R33"/>
    <mergeCell ref="S33:T33"/>
    <mergeCell ref="I33:J33"/>
    <mergeCell ref="A33:B33"/>
    <mergeCell ref="E33:F33"/>
    <mergeCell ref="G33:H33"/>
    <mergeCell ref="A34:B34"/>
    <mergeCell ref="E34:F34"/>
    <mergeCell ref="G34:H34"/>
    <mergeCell ref="I34:J34"/>
    <mergeCell ref="O34:P34"/>
    <mergeCell ref="Q34:R34"/>
    <mergeCell ref="S34:T34"/>
    <mergeCell ref="Q35:R35"/>
    <mergeCell ref="S35:T35"/>
    <mergeCell ref="O35:P35"/>
    <mergeCell ref="A35:B35"/>
    <mergeCell ref="E35:F35"/>
    <mergeCell ref="G35:H35"/>
    <mergeCell ref="I35:J35"/>
    <mergeCell ref="S31:T31"/>
    <mergeCell ref="O29:P29"/>
    <mergeCell ref="Q29:R29"/>
    <mergeCell ref="S29:T29"/>
    <mergeCell ref="O30:P30"/>
    <mergeCell ref="Q30:R30"/>
    <mergeCell ref="A32:B32"/>
    <mergeCell ref="E32:F32"/>
    <mergeCell ref="G32:H32"/>
    <mergeCell ref="S30:T30"/>
    <mergeCell ref="A31:B31"/>
    <mergeCell ref="E31:F31"/>
    <mergeCell ref="G31:H31"/>
    <mergeCell ref="I31:J31"/>
    <mergeCell ref="O31:P31"/>
    <mergeCell ref="Q31:R31"/>
    <mergeCell ref="I32:J32"/>
    <mergeCell ref="O32:P32"/>
    <mergeCell ref="Q32:R32"/>
    <mergeCell ref="S32:T32"/>
    <mergeCell ref="Q27:R27"/>
    <mergeCell ref="S27:T27"/>
    <mergeCell ref="E28:F28"/>
    <mergeCell ref="G28:H28"/>
    <mergeCell ref="I28:J28"/>
    <mergeCell ref="O28:P28"/>
    <mergeCell ref="Q28:R28"/>
    <mergeCell ref="S28:T28"/>
    <mergeCell ref="E27:F27"/>
    <mergeCell ref="G27:H27"/>
    <mergeCell ref="E29:F29"/>
    <mergeCell ref="G29:H29"/>
    <mergeCell ref="I29:J29"/>
    <mergeCell ref="O27:P27"/>
    <mergeCell ref="I27:J27"/>
    <mergeCell ref="A30:B30"/>
    <mergeCell ref="E30:F30"/>
    <mergeCell ref="G30:H30"/>
    <mergeCell ref="I30:J30"/>
    <mergeCell ref="O25:P25"/>
    <mergeCell ref="Q25:R25"/>
    <mergeCell ref="O23:P23"/>
    <mergeCell ref="Q23:R23"/>
    <mergeCell ref="S23:T23"/>
    <mergeCell ref="E24:F24"/>
    <mergeCell ref="G24:H24"/>
    <mergeCell ref="I24:J24"/>
    <mergeCell ref="O24:P24"/>
    <mergeCell ref="Q24:R24"/>
    <mergeCell ref="S24:T24"/>
    <mergeCell ref="S25:T25"/>
    <mergeCell ref="E26:F26"/>
    <mergeCell ref="G26:H26"/>
    <mergeCell ref="I26:J26"/>
    <mergeCell ref="O26:P26"/>
    <mergeCell ref="Q26:R26"/>
    <mergeCell ref="S26:T26"/>
    <mergeCell ref="E25:F25"/>
    <mergeCell ref="G25:H25"/>
    <mergeCell ref="I25:J25"/>
    <mergeCell ref="Q22:R22"/>
    <mergeCell ref="Q21:R21"/>
    <mergeCell ref="O20:P20"/>
    <mergeCell ref="Q20:R20"/>
    <mergeCell ref="Q19:R19"/>
    <mergeCell ref="S19:T19"/>
    <mergeCell ref="S22:T22"/>
    <mergeCell ref="S21:T21"/>
    <mergeCell ref="O21:P21"/>
    <mergeCell ref="O22:P22"/>
    <mergeCell ref="E22:F22"/>
    <mergeCell ref="G22:H22"/>
    <mergeCell ref="I22:J22"/>
    <mergeCell ref="E21:F21"/>
    <mergeCell ref="G21:H21"/>
    <mergeCell ref="I21:J21"/>
    <mergeCell ref="A23:B23"/>
    <mergeCell ref="E23:F23"/>
    <mergeCell ref="G23:H23"/>
    <mergeCell ref="I23:J23"/>
    <mergeCell ref="S18:T18"/>
    <mergeCell ref="E18:F18"/>
    <mergeCell ref="S20:T20"/>
    <mergeCell ref="E19:F19"/>
    <mergeCell ref="G19:H19"/>
    <mergeCell ref="I19:J19"/>
    <mergeCell ref="O19:P19"/>
    <mergeCell ref="G18:H18"/>
    <mergeCell ref="I18:J18"/>
    <mergeCell ref="E20:F20"/>
    <mergeCell ref="G20:H20"/>
    <mergeCell ref="I20:J20"/>
    <mergeCell ref="Q16:R16"/>
    <mergeCell ref="O18:P18"/>
    <mergeCell ref="Q18:R18"/>
    <mergeCell ref="E16:F16"/>
    <mergeCell ref="G16:H16"/>
    <mergeCell ref="I16:J16"/>
    <mergeCell ref="O16:P16"/>
    <mergeCell ref="O14:P14"/>
    <mergeCell ref="Q14:R14"/>
    <mergeCell ref="S14:T14"/>
    <mergeCell ref="A14:B14"/>
    <mergeCell ref="E14:F14"/>
    <mergeCell ref="G14:H14"/>
    <mergeCell ref="A15:B15"/>
    <mergeCell ref="E15:F15"/>
    <mergeCell ref="G15:H15"/>
    <mergeCell ref="I14:J14"/>
    <mergeCell ref="I15:J15"/>
    <mergeCell ref="O15:P15"/>
    <mergeCell ref="Q15:R15"/>
    <mergeCell ref="S15:T15"/>
    <mergeCell ref="S16:T16"/>
    <mergeCell ref="E17:F17"/>
    <mergeCell ref="G17:H17"/>
    <mergeCell ref="I17:J17"/>
    <mergeCell ref="O17:P17"/>
    <mergeCell ref="Q17:R17"/>
    <mergeCell ref="S17:T17"/>
    <mergeCell ref="A2:T2"/>
    <mergeCell ref="A6:B9"/>
    <mergeCell ref="C6:F7"/>
    <mergeCell ref="G6:H6"/>
    <mergeCell ref="I6:J6"/>
    <mergeCell ref="L6:L9"/>
    <mergeCell ref="M6:P7"/>
    <mergeCell ref="Q6:R6"/>
    <mergeCell ref="S10:T10"/>
    <mergeCell ref="I8:J8"/>
    <mergeCell ref="N8:N9"/>
    <mergeCell ref="O8:P9"/>
    <mergeCell ref="Q8:R9"/>
    <mergeCell ref="Q7:R7"/>
    <mergeCell ref="S7:T7"/>
    <mergeCell ref="S6:T6"/>
    <mergeCell ref="S8:T9"/>
    <mergeCell ref="I9:J9"/>
    <mergeCell ref="E10:F10"/>
    <mergeCell ref="G10:H10"/>
    <mergeCell ref="I10:J10"/>
    <mergeCell ref="O10:P10"/>
    <mergeCell ref="Q10:R10"/>
    <mergeCell ref="G7:H7"/>
    <mergeCell ref="I7:J7"/>
    <mergeCell ref="M52:Q52"/>
    <mergeCell ref="M121:Q121"/>
    <mergeCell ref="I11:J11"/>
    <mergeCell ref="O11:P11"/>
    <mergeCell ref="Q11:R11"/>
    <mergeCell ref="I12:J12"/>
    <mergeCell ref="I13:J13"/>
    <mergeCell ref="O13:P13"/>
    <mergeCell ref="D8:D9"/>
    <mergeCell ref="E8:F9"/>
    <mergeCell ref="G8:H9"/>
    <mergeCell ref="S11:T11"/>
    <mergeCell ref="O12:P12"/>
    <mergeCell ref="Q12:R12"/>
    <mergeCell ref="S12:T12"/>
    <mergeCell ref="A12:B12"/>
    <mergeCell ref="E12:F12"/>
    <mergeCell ref="G12:H12"/>
    <mergeCell ref="A11:B11"/>
    <mergeCell ref="E11:F11"/>
    <mergeCell ref="G11:H11"/>
    <mergeCell ref="S111:T111"/>
    <mergeCell ref="S112:T112"/>
    <mergeCell ref="S113:T113"/>
    <mergeCell ref="S114:T114"/>
    <mergeCell ref="G120:H120"/>
    <mergeCell ref="I120:J120"/>
    <mergeCell ref="A13:B13"/>
    <mergeCell ref="E13:F13"/>
    <mergeCell ref="G13:H13"/>
    <mergeCell ref="Q13:R13"/>
    <mergeCell ref="S13:T13"/>
    <mergeCell ref="M586:Q586"/>
    <mergeCell ref="M651:Q651"/>
    <mergeCell ref="M322:Q322"/>
    <mergeCell ref="M389:Q389"/>
    <mergeCell ref="M456:Q456"/>
    <mergeCell ref="M521:Q521"/>
    <mergeCell ref="M716:Q716"/>
    <mergeCell ref="M846:Q846"/>
    <mergeCell ref="A598:T598"/>
    <mergeCell ref="A599:T599"/>
    <mergeCell ref="A602:T602"/>
    <mergeCell ref="A605:B608"/>
    <mergeCell ref="C605:F606"/>
    <mergeCell ref="G605:H605"/>
    <mergeCell ref="I605:J605"/>
    <mergeCell ref="L605:L608"/>
    <mergeCell ref="A334:T334"/>
    <mergeCell ref="A338:T338"/>
    <mergeCell ref="A340:T340"/>
    <mergeCell ref="A343:B346"/>
    <mergeCell ref="C343:F344"/>
    <mergeCell ref="G343:H343"/>
    <mergeCell ref="I343:J343"/>
    <mergeCell ref="L343:L346"/>
    <mergeCell ref="M343:P344"/>
    <mergeCell ref="S343:T343"/>
    <mergeCell ref="S383:T383"/>
    <mergeCell ref="S384:T384"/>
    <mergeCell ref="S385:T385"/>
    <mergeCell ref="S387:T387"/>
    <mergeCell ref="S513:T513"/>
    <mergeCell ref="S514:T514"/>
    <mergeCell ref="M256:Q256"/>
    <mergeCell ref="E114:F114"/>
    <mergeCell ref="S187:T187"/>
    <mergeCell ref="S247:T247"/>
    <mergeCell ref="S249:T249"/>
    <mergeCell ref="S250:T250"/>
    <mergeCell ref="S210:T210"/>
    <mergeCell ref="S214:T214"/>
    <mergeCell ref="S220:T220"/>
    <mergeCell ref="S222:T222"/>
    <mergeCell ref="S182:T182"/>
    <mergeCell ref="S183:T183"/>
    <mergeCell ref="S184:T184"/>
    <mergeCell ref="S185:T185"/>
    <mergeCell ref="S211:T211"/>
    <mergeCell ref="A201:T201"/>
    <mergeCell ref="M189:Q189"/>
    <mergeCell ref="E182:F182"/>
    <mergeCell ref="S115:T115"/>
    <mergeCell ref="S117:T117"/>
    <mergeCell ref="S119:T119"/>
    <mergeCell ref="S180:T180"/>
    <mergeCell ref="S143:T143"/>
    <mergeCell ref="S147:T147"/>
    <mergeCell ref="S145:T146"/>
    <mergeCell ref="S152:T152"/>
    <mergeCell ref="S153:T153"/>
    <mergeCell ref="S155:T155"/>
    <mergeCell ref="E121:F121"/>
    <mergeCell ref="G121:H121"/>
    <mergeCell ref="I121:J121"/>
    <mergeCell ref="E120:F120"/>
    <mergeCell ref="S317:T317"/>
    <mergeCell ref="S318:T318"/>
    <mergeCell ref="S320:T320"/>
    <mergeCell ref="S382:T382"/>
    <mergeCell ref="S344:T344"/>
    <mergeCell ref="S347:T347"/>
    <mergeCell ref="S352:T352"/>
    <mergeCell ref="S353:T353"/>
    <mergeCell ref="S355:T355"/>
    <mergeCell ref="S360:T360"/>
    <mergeCell ref="S251:T251"/>
    <mergeCell ref="S252:T252"/>
    <mergeCell ref="S254:T254"/>
    <mergeCell ref="S313:T313"/>
    <mergeCell ref="S276:T276"/>
    <mergeCell ref="S280:T280"/>
    <mergeCell ref="S278:T279"/>
    <mergeCell ref="S285:T285"/>
    <mergeCell ref="S286:T286"/>
    <mergeCell ref="S288:T288"/>
    <mergeCell ref="S287:T287"/>
    <mergeCell ref="S354:T354"/>
    <mergeCell ref="S515:T515"/>
    <mergeCell ref="S516:T516"/>
    <mergeCell ref="S451:T451"/>
    <mergeCell ref="S452:T452"/>
    <mergeCell ref="S454:T454"/>
    <mergeCell ref="S512:T512"/>
    <mergeCell ref="S475:T475"/>
    <mergeCell ref="S479:T479"/>
    <mergeCell ref="S484:T484"/>
    <mergeCell ref="S485:T485"/>
    <mergeCell ref="S487:T487"/>
    <mergeCell ref="S447:T447"/>
    <mergeCell ref="S448:T448"/>
    <mergeCell ref="S449:T449"/>
    <mergeCell ref="S450:T450"/>
    <mergeCell ref="S476:T476"/>
    <mergeCell ref="A468:T468"/>
    <mergeCell ref="E449:F449"/>
    <mergeCell ref="G452:H452"/>
    <mergeCell ref="E450:F450"/>
    <mergeCell ref="G450:H450"/>
    <mergeCell ref="I450:J450"/>
    <mergeCell ref="E451:F451"/>
    <mergeCell ref="G451:H451"/>
    <mergeCell ref="I451:J451"/>
    <mergeCell ref="A454:B454"/>
    <mergeCell ref="E454:F454"/>
    <mergeCell ref="G454:H454"/>
    <mergeCell ref="I452:J452"/>
    <mergeCell ref="A453:B453"/>
    <mergeCell ref="E453:F453"/>
    <mergeCell ref="G453:H453"/>
    <mergeCell ref="S645:T645"/>
    <mergeCell ref="S646:T646"/>
    <mergeCell ref="S647:T647"/>
    <mergeCell ref="S649:T649"/>
    <mergeCell ref="S670:T670"/>
    <mergeCell ref="S681:T681"/>
    <mergeCell ref="S582:T582"/>
    <mergeCell ref="S584:T584"/>
    <mergeCell ref="S642:T642"/>
    <mergeCell ref="S644:T644"/>
    <mergeCell ref="S606:T606"/>
    <mergeCell ref="S609:T609"/>
    <mergeCell ref="S614:T614"/>
    <mergeCell ref="S615:T615"/>
    <mergeCell ref="S617:T617"/>
    <mergeCell ref="S622:T622"/>
    <mergeCell ref="S517:T517"/>
    <mergeCell ref="S519:T519"/>
    <mergeCell ref="S579:T579"/>
    <mergeCell ref="S580:T580"/>
    <mergeCell ref="S540:T540"/>
    <mergeCell ref="S544:T544"/>
    <mergeCell ref="S542:T543"/>
    <mergeCell ref="S549:T549"/>
    <mergeCell ref="S550:T550"/>
    <mergeCell ref="S552:T552"/>
    <mergeCell ref="S551:T551"/>
    <mergeCell ref="S842:T842"/>
    <mergeCell ref="S844:T844"/>
    <mergeCell ref="S837:T837"/>
    <mergeCell ref="S838:T838"/>
    <mergeCell ref="S839:T839"/>
    <mergeCell ref="S840:T840"/>
    <mergeCell ref="S711:T711"/>
    <mergeCell ref="S712:T712"/>
    <mergeCell ref="S714:T714"/>
    <mergeCell ref="E749:F749"/>
    <mergeCell ref="G749:H749"/>
    <mergeCell ref="G712:H712"/>
    <mergeCell ref="I714:J714"/>
    <mergeCell ref="E715:F715"/>
    <mergeCell ref="G715:H715"/>
    <mergeCell ref="I715:J715"/>
    <mergeCell ref="S707:T707"/>
    <mergeCell ref="S708:T708"/>
    <mergeCell ref="S709:T709"/>
    <mergeCell ref="S710:T710"/>
    <mergeCell ref="E711:F711"/>
    <mergeCell ref="G711:H711"/>
    <mergeCell ref="I711:J711"/>
    <mergeCell ref="E721:F721"/>
    <mergeCell ref="G721:H721"/>
    <mergeCell ref="I721:J721"/>
    <mergeCell ref="E720:F720"/>
    <mergeCell ref="G720:H720"/>
    <mergeCell ref="I720:J720"/>
    <mergeCell ref="E723:F723"/>
    <mergeCell ref="G723:H723"/>
    <mergeCell ref="I723:J723"/>
    <mergeCell ref="A861:T861"/>
    <mergeCell ref="A864:B867"/>
    <mergeCell ref="C864:F865"/>
    <mergeCell ref="G864:H864"/>
    <mergeCell ref="I864:J864"/>
    <mergeCell ref="L864:L867"/>
    <mergeCell ref="M864:P865"/>
    <mergeCell ref="Q864:R864"/>
    <mergeCell ref="S864:T864"/>
    <mergeCell ref="G865:H865"/>
    <mergeCell ref="I865:J865"/>
    <mergeCell ref="Q865:R865"/>
    <mergeCell ref="S865:T865"/>
    <mergeCell ref="D866:D867"/>
    <mergeCell ref="E866:F867"/>
    <mergeCell ref="G866:H867"/>
    <mergeCell ref="I866:J866"/>
    <mergeCell ref="N866:N867"/>
    <mergeCell ref="O866:P867"/>
    <mergeCell ref="Q866:R867"/>
    <mergeCell ref="S866:T867"/>
    <mergeCell ref="I867:J867"/>
    <mergeCell ref="E868:F868"/>
    <mergeCell ref="G868:H868"/>
    <mergeCell ref="I868:J868"/>
    <mergeCell ref="O868:P868"/>
    <mergeCell ref="Q868:R868"/>
    <mergeCell ref="S868:T868"/>
    <mergeCell ref="A869:B869"/>
    <mergeCell ref="E869:F869"/>
    <mergeCell ref="G869:H869"/>
    <mergeCell ref="I869:J869"/>
    <mergeCell ref="O869:P869"/>
    <mergeCell ref="Q869:R869"/>
    <mergeCell ref="S869:T869"/>
    <mergeCell ref="E870:F870"/>
    <mergeCell ref="G870:H870"/>
    <mergeCell ref="I870:J870"/>
    <mergeCell ref="O870:P870"/>
    <mergeCell ref="Q870:R870"/>
    <mergeCell ref="S870:T870"/>
    <mergeCell ref="A870:B871"/>
    <mergeCell ref="E871:F871"/>
    <mergeCell ref="G871:H871"/>
    <mergeCell ref="I871:J871"/>
    <mergeCell ref="O871:P871"/>
    <mergeCell ref="Q871:R871"/>
    <mergeCell ref="S871:T871"/>
    <mergeCell ref="A872:B872"/>
    <mergeCell ref="E872:F872"/>
    <mergeCell ref="G872:H872"/>
    <mergeCell ref="I872:J872"/>
    <mergeCell ref="O872:P872"/>
    <mergeCell ref="Q872:R872"/>
    <mergeCell ref="S872:T872"/>
    <mergeCell ref="A873:B873"/>
    <mergeCell ref="E873:F873"/>
    <mergeCell ref="G873:H873"/>
    <mergeCell ref="I873:J873"/>
    <mergeCell ref="O873:P873"/>
    <mergeCell ref="Q873:R873"/>
    <mergeCell ref="S873:T873"/>
    <mergeCell ref="E874:F874"/>
    <mergeCell ref="G874:H874"/>
    <mergeCell ref="I874:J874"/>
    <mergeCell ref="O874:P874"/>
    <mergeCell ref="Q874:R874"/>
    <mergeCell ref="S874:T874"/>
    <mergeCell ref="E875:F875"/>
    <mergeCell ref="G875:H875"/>
    <mergeCell ref="I875:J875"/>
    <mergeCell ref="O875:P875"/>
    <mergeCell ref="Q875:R875"/>
    <mergeCell ref="S875:T875"/>
    <mergeCell ref="E876:F876"/>
    <mergeCell ref="G876:H876"/>
    <mergeCell ref="I876:J876"/>
    <mergeCell ref="O876:P876"/>
    <mergeCell ref="Q876:R876"/>
    <mergeCell ref="S876:T876"/>
    <mergeCell ref="E877:F877"/>
    <mergeCell ref="G877:H877"/>
    <mergeCell ref="I877:J877"/>
    <mergeCell ref="O877:P877"/>
    <mergeCell ref="Q877:R877"/>
    <mergeCell ref="S877:T877"/>
    <mergeCell ref="E878:F878"/>
    <mergeCell ref="G878:H878"/>
    <mergeCell ref="I878:J878"/>
    <mergeCell ref="O878:P878"/>
    <mergeCell ref="Q878:R878"/>
    <mergeCell ref="S878:T878"/>
    <mergeCell ref="E879:F879"/>
    <mergeCell ref="G879:H879"/>
    <mergeCell ref="I879:J879"/>
    <mergeCell ref="O879:P879"/>
    <mergeCell ref="Q879:R879"/>
    <mergeCell ref="S879:T879"/>
    <mergeCell ref="E880:F880"/>
    <mergeCell ref="G880:H880"/>
    <mergeCell ref="I880:J880"/>
    <mergeCell ref="O880:P880"/>
    <mergeCell ref="Q880:R880"/>
    <mergeCell ref="S880:T880"/>
    <mergeCell ref="A881:B881"/>
    <mergeCell ref="E881:F881"/>
    <mergeCell ref="G881:H881"/>
    <mergeCell ref="I881:J881"/>
    <mergeCell ref="O881:P881"/>
    <mergeCell ref="Q881:R881"/>
    <mergeCell ref="S881:T881"/>
    <mergeCell ref="E882:F882"/>
    <mergeCell ref="G882:H882"/>
    <mergeCell ref="I882:J882"/>
    <mergeCell ref="O882:P882"/>
    <mergeCell ref="Q882:R882"/>
    <mergeCell ref="S882:T882"/>
    <mergeCell ref="E883:F883"/>
    <mergeCell ref="G883:H883"/>
    <mergeCell ref="I883:J883"/>
    <mergeCell ref="O883:P883"/>
    <mergeCell ref="Q883:R883"/>
    <mergeCell ref="S883:T883"/>
    <mergeCell ref="E884:F884"/>
    <mergeCell ref="G884:H884"/>
    <mergeCell ref="I884:J884"/>
    <mergeCell ref="O884:P884"/>
    <mergeCell ref="Q884:R884"/>
    <mergeCell ref="S884:T884"/>
    <mergeCell ref="E885:F885"/>
    <mergeCell ref="G885:H885"/>
    <mergeCell ref="I885:J885"/>
    <mergeCell ref="O885:P885"/>
    <mergeCell ref="Q885:R885"/>
    <mergeCell ref="S885:T885"/>
    <mergeCell ref="E886:F886"/>
    <mergeCell ref="G886:H886"/>
    <mergeCell ref="I886:J886"/>
    <mergeCell ref="O886:P886"/>
    <mergeCell ref="Q886:R886"/>
    <mergeCell ref="S886:T886"/>
    <mergeCell ref="E887:F887"/>
    <mergeCell ref="G887:H887"/>
    <mergeCell ref="I887:J887"/>
    <mergeCell ref="O887:P887"/>
    <mergeCell ref="Q887:R887"/>
    <mergeCell ref="S887:T887"/>
    <mergeCell ref="A888:B888"/>
    <mergeCell ref="E888:F888"/>
    <mergeCell ref="G888:H888"/>
    <mergeCell ref="I888:J888"/>
    <mergeCell ref="O888:P888"/>
    <mergeCell ref="Q888:R888"/>
    <mergeCell ref="S888:T888"/>
    <mergeCell ref="A889:B889"/>
    <mergeCell ref="E889:F889"/>
    <mergeCell ref="G889:H889"/>
    <mergeCell ref="I889:J889"/>
    <mergeCell ref="O889:P889"/>
    <mergeCell ref="Q889:R889"/>
    <mergeCell ref="S889:T889"/>
    <mergeCell ref="A890:B890"/>
    <mergeCell ref="E890:F890"/>
    <mergeCell ref="G890:H890"/>
    <mergeCell ref="I890:J890"/>
    <mergeCell ref="O890:P890"/>
    <mergeCell ref="Q890:R890"/>
    <mergeCell ref="S890:T890"/>
    <mergeCell ref="A891:B891"/>
    <mergeCell ref="E891:F891"/>
    <mergeCell ref="G891:H891"/>
    <mergeCell ref="I891:J891"/>
    <mergeCell ref="O891:P891"/>
    <mergeCell ref="Q891:R891"/>
    <mergeCell ref="S891:T891"/>
    <mergeCell ref="A892:B892"/>
    <mergeCell ref="E892:F892"/>
    <mergeCell ref="G892:H892"/>
    <mergeCell ref="I892:J892"/>
    <mergeCell ref="O892:P892"/>
    <mergeCell ref="Q892:R892"/>
    <mergeCell ref="S892:T892"/>
    <mergeCell ref="A893:B893"/>
    <mergeCell ref="E893:F893"/>
    <mergeCell ref="G893:H893"/>
    <mergeCell ref="I893:J893"/>
    <mergeCell ref="O893:P893"/>
    <mergeCell ref="Q893:R893"/>
    <mergeCell ref="S893:T893"/>
    <mergeCell ref="E894:F894"/>
    <mergeCell ref="G894:H894"/>
    <mergeCell ref="I894:J894"/>
    <mergeCell ref="O894:P894"/>
    <mergeCell ref="Q894:R894"/>
    <mergeCell ref="S894:T894"/>
    <mergeCell ref="A895:B895"/>
    <mergeCell ref="E895:F895"/>
    <mergeCell ref="G895:H895"/>
    <mergeCell ref="I895:J895"/>
    <mergeCell ref="O895:P895"/>
    <mergeCell ref="Q895:R895"/>
    <mergeCell ref="S895:T895"/>
    <mergeCell ref="E896:F896"/>
    <mergeCell ref="G896:H896"/>
    <mergeCell ref="I896:J896"/>
    <mergeCell ref="O896:P896"/>
    <mergeCell ref="Q896:R896"/>
    <mergeCell ref="S896:T896"/>
    <mergeCell ref="E897:F897"/>
    <mergeCell ref="G897:H897"/>
    <mergeCell ref="I897:J897"/>
    <mergeCell ref="O897:P897"/>
    <mergeCell ref="Q897:R897"/>
    <mergeCell ref="S897:T897"/>
    <mergeCell ref="E898:F898"/>
    <mergeCell ref="G898:H898"/>
    <mergeCell ref="I898:J898"/>
    <mergeCell ref="O898:P898"/>
    <mergeCell ref="Q898:R898"/>
    <mergeCell ref="S898:T898"/>
    <mergeCell ref="I904:J904"/>
    <mergeCell ref="S904:T904"/>
    <mergeCell ref="E905:F905"/>
    <mergeCell ref="G905:H905"/>
    <mergeCell ref="I905:J905"/>
    <mergeCell ref="A906:B906"/>
    <mergeCell ref="E906:F906"/>
    <mergeCell ref="G906:H906"/>
    <mergeCell ref="I906:J906"/>
    <mergeCell ref="S906:T906"/>
    <mergeCell ref="A904:B904"/>
    <mergeCell ref="A905:B905"/>
    <mergeCell ref="A899:B899"/>
    <mergeCell ref="E899:F899"/>
    <mergeCell ref="G899:H899"/>
    <mergeCell ref="I899:J899"/>
    <mergeCell ref="O899:P899"/>
    <mergeCell ref="Q899:R899"/>
    <mergeCell ref="S899:T899"/>
    <mergeCell ref="E900:F900"/>
    <mergeCell ref="G900:H900"/>
    <mergeCell ref="I900:J900"/>
    <mergeCell ref="A901:B901"/>
    <mergeCell ref="E901:F901"/>
    <mergeCell ref="G901:H901"/>
    <mergeCell ref="I901:J901"/>
    <mergeCell ref="S901:T901"/>
    <mergeCell ref="E902:F902"/>
    <mergeCell ref="G902:H902"/>
    <mergeCell ref="I902:J902"/>
    <mergeCell ref="S902:T902"/>
    <mergeCell ref="A907:B907"/>
    <mergeCell ref="E907:F907"/>
    <mergeCell ref="G907:H907"/>
    <mergeCell ref="I907:J907"/>
    <mergeCell ref="A908:B908"/>
    <mergeCell ref="E908:F908"/>
    <mergeCell ref="G908:H908"/>
    <mergeCell ref="I908:J908"/>
    <mergeCell ref="S908:T908"/>
    <mergeCell ref="E909:F909"/>
    <mergeCell ref="G909:H909"/>
    <mergeCell ref="I909:J909"/>
    <mergeCell ref="E910:F910"/>
    <mergeCell ref="G910:H910"/>
    <mergeCell ref="I910:J910"/>
    <mergeCell ref="M910:Q910"/>
    <mergeCell ref="E911:F911"/>
    <mergeCell ref="G911:H911"/>
    <mergeCell ref="I911:J911"/>
    <mergeCell ref="A909:B909"/>
    <mergeCell ref="S841:T841"/>
    <mergeCell ref="S905:T905"/>
    <mergeCell ref="E918:F918"/>
    <mergeCell ref="G918:H918"/>
    <mergeCell ref="I918:J918"/>
    <mergeCell ref="E919:F919"/>
    <mergeCell ref="G919:H919"/>
    <mergeCell ref="I919:J919"/>
    <mergeCell ref="E912:F912"/>
    <mergeCell ref="G912:H912"/>
    <mergeCell ref="I912:J912"/>
    <mergeCell ref="E913:F913"/>
    <mergeCell ref="G913:H913"/>
    <mergeCell ref="I913:J913"/>
    <mergeCell ref="E914:F914"/>
    <mergeCell ref="G914:H914"/>
    <mergeCell ref="I914:J914"/>
    <mergeCell ref="E915:F915"/>
    <mergeCell ref="G915:H915"/>
    <mergeCell ref="I915:J915"/>
    <mergeCell ref="E916:F916"/>
    <mergeCell ref="G916:H916"/>
    <mergeCell ref="I916:J916"/>
    <mergeCell ref="E917:F917"/>
    <mergeCell ref="G917:H917"/>
    <mergeCell ref="I917:J917"/>
    <mergeCell ref="E903:F903"/>
    <mergeCell ref="G903:H903"/>
    <mergeCell ref="I903:J903"/>
    <mergeCell ref="S903:T903"/>
    <mergeCell ref="E904:F904"/>
    <mergeCell ref="G904:H904"/>
  </mergeCells>
  <phoneticPr fontId="13" type="noConversion"/>
  <pageMargins left="0.39370078740157483" right="0.39370078740157483" top="0.78740157480314965" bottom="0.39370078740157483" header="0.59055118110236227" footer="0"/>
  <pageSetup scale="5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12"/>
  <sheetViews>
    <sheetView workbookViewId="0">
      <selection sqref="A1:J1"/>
    </sheetView>
  </sheetViews>
  <sheetFormatPr baseColWidth="10" defaultColWidth="11.5703125" defaultRowHeight="12.75" x14ac:dyDescent="0.2"/>
  <cols>
    <col min="1" max="1" width="28.7109375" style="2384" customWidth="1"/>
    <col min="2" max="2" width="11.7109375" style="2384" bestFit="1" customWidth="1"/>
    <col min="3" max="3" width="11.5703125" style="2384"/>
    <col min="4" max="4" width="16.7109375" style="2384" customWidth="1"/>
    <col min="5" max="7" width="12.28515625" style="2384" customWidth="1"/>
    <col min="8" max="10" width="12.85546875" style="2384" customWidth="1"/>
    <col min="11" max="16384" width="11.5703125" style="2384"/>
  </cols>
  <sheetData>
    <row r="1" spans="1:10" ht="13.5" thickBot="1" x14ac:dyDescent="0.25">
      <c r="A1" s="3321" t="s">
        <v>2021</v>
      </c>
      <c r="B1" s="3321"/>
      <c r="C1" s="3321"/>
      <c r="D1" s="3321"/>
      <c r="E1" s="3321"/>
      <c r="F1" s="3321"/>
      <c r="G1" s="3321"/>
      <c r="H1" s="3321"/>
      <c r="I1" s="3321"/>
      <c r="J1" s="3321"/>
    </row>
    <row r="2" spans="1:10" ht="13.5" customHeight="1" thickBot="1" x14ac:dyDescent="0.25">
      <c r="A2" s="3322" t="s">
        <v>353</v>
      </c>
      <c r="B2" s="3324" t="s">
        <v>1272</v>
      </c>
      <c r="C2" s="3324" t="s">
        <v>1832</v>
      </c>
      <c r="D2" s="3326" t="s">
        <v>1844</v>
      </c>
      <c r="E2" s="3328" t="s">
        <v>1849</v>
      </c>
      <c r="F2" s="3329"/>
      <c r="G2" s="3330"/>
      <c r="H2" s="3328" t="s">
        <v>1850</v>
      </c>
      <c r="I2" s="3329"/>
      <c r="J2" s="3331"/>
    </row>
    <row r="3" spans="1:10" ht="13.5" customHeight="1" thickBot="1" x14ac:dyDescent="0.25">
      <c r="A3" s="3323"/>
      <c r="B3" s="3325"/>
      <c r="C3" s="3325"/>
      <c r="D3" s="3327"/>
      <c r="E3" s="2415" t="s">
        <v>1848</v>
      </c>
      <c r="F3" s="2416" t="s">
        <v>1231</v>
      </c>
      <c r="G3" s="2417" t="s">
        <v>1833</v>
      </c>
      <c r="H3" s="2415" t="s">
        <v>1848</v>
      </c>
      <c r="I3" s="2416" t="s">
        <v>1231</v>
      </c>
      <c r="J3" s="2418" t="s">
        <v>1833</v>
      </c>
    </row>
    <row r="4" spans="1:10" x14ac:dyDescent="0.2">
      <c r="A4" s="2419" t="s">
        <v>1851</v>
      </c>
      <c r="B4" s="2420"/>
      <c r="C4" s="2420"/>
      <c r="D4" s="2421"/>
      <c r="E4" s="2422"/>
      <c r="F4" s="2423"/>
      <c r="G4" s="2424"/>
      <c r="H4" s="2422"/>
      <c r="I4" s="2423"/>
      <c r="J4" s="2425"/>
    </row>
    <row r="5" spans="1:10" x14ac:dyDescent="0.2">
      <c r="A5" s="2426" t="s">
        <v>410</v>
      </c>
      <c r="B5" s="2427">
        <v>0</v>
      </c>
      <c r="C5" s="2428">
        <v>5667200.0000000009</v>
      </c>
      <c r="D5" s="2429">
        <v>0</v>
      </c>
      <c r="E5" s="2430">
        <v>0</v>
      </c>
      <c r="F5" s="2427">
        <v>0</v>
      </c>
      <c r="G5" s="2429">
        <v>0</v>
      </c>
      <c r="H5" s="2430">
        <v>0</v>
      </c>
      <c r="I5" s="2427">
        <v>0</v>
      </c>
      <c r="J5" s="2431">
        <v>0</v>
      </c>
    </row>
    <row r="6" spans="1:10" x14ac:dyDescent="0.2">
      <c r="A6" s="2426" t="s">
        <v>411</v>
      </c>
      <c r="B6" s="2427">
        <v>245</v>
      </c>
      <c r="C6" s="2428">
        <v>1753716.5000000002</v>
      </c>
      <c r="D6" s="2429">
        <v>429.66054250000008</v>
      </c>
      <c r="E6" s="2430">
        <v>0.58848632981084625</v>
      </c>
      <c r="F6" s="2427">
        <v>0.37361364746911141</v>
      </c>
      <c r="G6" s="2429">
        <v>1.7596969830739436E-2</v>
      </c>
      <c r="H6" s="2430">
        <v>0.27232757217332487</v>
      </c>
      <c r="I6" s="2427">
        <v>0.13190366606436871</v>
      </c>
      <c r="J6" s="2431">
        <v>6.6484583066806838E-3</v>
      </c>
    </row>
    <row r="7" spans="1:10" x14ac:dyDescent="0.2">
      <c r="A7" s="2426" t="s">
        <v>278</v>
      </c>
      <c r="B7" s="2427">
        <v>6578.3</v>
      </c>
      <c r="C7" s="2428">
        <v>1637875</v>
      </c>
      <c r="D7" s="2429">
        <v>10774.433112500001</v>
      </c>
      <c r="E7" s="2430">
        <v>15.800978054672207</v>
      </c>
      <c r="F7" s="2427">
        <v>10.031602682228797</v>
      </c>
      <c r="G7" s="2429">
        <v>0.47248223117368665</v>
      </c>
      <c r="H7" s="2430">
        <v>6.8290543832542046</v>
      </c>
      <c r="I7" s="2427">
        <v>3.3076977909929361</v>
      </c>
      <c r="J7" s="2431">
        <v>0.16672084643792029</v>
      </c>
    </row>
    <row r="8" spans="1:10" x14ac:dyDescent="0.2">
      <c r="A8" s="2426" t="s">
        <v>200</v>
      </c>
      <c r="B8" s="2427">
        <v>1212</v>
      </c>
      <c r="C8" s="2428">
        <v>7709114.5</v>
      </c>
      <c r="D8" s="2429">
        <v>9343.446774</v>
      </c>
      <c r="E8" s="2430">
        <v>2.9112058437989625</v>
      </c>
      <c r="F8" s="2427">
        <v>1.8482438397247467</v>
      </c>
      <c r="G8" s="2429">
        <v>8.7051132387168148E-2</v>
      </c>
      <c r="H8" s="2430">
        <v>5.9220661987925123</v>
      </c>
      <c r="I8" s="2427">
        <v>2.8683920473518905</v>
      </c>
      <c r="J8" s="2431">
        <v>0.14457812662103858</v>
      </c>
    </row>
    <row r="9" spans="1:10" x14ac:dyDescent="0.2">
      <c r="A9" s="2426" t="s">
        <v>429</v>
      </c>
      <c r="B9" s="2427">
        <v>0</v>
      </c>
      <c r="C9" s="2428">
        <v>1255000</v>
      </c>
      <c r="D9" s="2429">
        <v>0</v>
      </c>
      <c r="E9" s="2430">
        <v>0</v>
      </c>
      <c r="F9" s="2427">
        <v>0</v>
      </c>
      <c r="G9" s="2429">
        <v>0</v>
      </c>
      <c r="H9" s="2430">
        <v>0</v>
      </c>
      <c r="I9" s="2427">
        <v>0</v>
      </c>
      <c r="J9" s="2431">
        <v>0</v>
      </c>
    </row>
    <row r="10" spans="1:10" x14ac:dyDescent="0.2">
      <c r="A10" s="2432" t="s">
        <v>431</v>
      </c>
      <c r="B10" s="2427">
        <v>0</v>
      </c>
      <c r="C10" s="2428">
        <v>0</v>
      </c>
      <c r="D10" s="2429">
        <v>0</v>
      </c>
      <c r="E10" s="2430">
        <v>0</v>
      </c>
      <c r="F10" s="2427">
        <v>0</v>
      </c>
      <c r="G10" s="2429">
        <v>0</v>
      </c>
      <c r="H10" s="2430">
        <v>0</v>
      </c>
      <c r="I10" s="2427">
        <v>0</v>
      </c>
      <c r="J10" s="2431">
        <v>0</v>
      </c>
    </row>
    <row r="11" spans="1:10" x14ac:dyDescent="0.2">
      <c r="A11" s="2432" t="s">
        <v>430</v>
      </c>
      <c r="B11" s="2427">
        <v>0</v>
      </c>
      <c r="C11" s="2428">
        <v>0</v>
      </c>
      <c r="D11" s="2429">
        <v>0</v>
      </c>
      <c r="E11" s="2430">
        <v>0</v>
      </c>
      <c r="F11" s="2427">
        <v>0</v>
      </c>
      <c r="G11" s="2429">
        <v>0</v>
      </c>
      <c r="H11" s="2430">
        <v>0</v>
      </c>
      <c r="I11" s="2427">
        <v>0</v>
      </c>
      <c r="J11" s="2431">
        <v>0</v>
      </c>
    </row>
    <row r="12" spans="1:10" x14ac:dyDescent="0.2">
      <c r="A12" s="2433" t="s">
        <v>279</v>
      </c>
      <c r="B12" s="2434">
        <v>8035.3</v>
      </c>
      <c r="C12" s="2433"/>
      <c r="D12" s="2435">
        <v>20547.540429000001</v>
      </c>
      <c r="E12" s="2436">
        <v>19.300670228282012</v>
      </c>
      <c r="F12" s="2434">
        <v>12.253460169422656</v>
      </c>
      <c r="G12" s="2435">
        <v>0.57713033339159425</v>
      </c>
      <c r="H12" s="2436">
        <v>13.023448154220041</v>
      </c>
      <c r="I12" s="2434">
        <v>6.3079935044091959</v>
      </c>
      <c r="J12" s="2437">
        <v>0.31794743136563952</v>
      </c>
    </row>
    <row r="13" spans="1:10" x14ac:dyDescent="0.2">
      <c r="A13" s="2438" t="s">
        <v>412</v>
      </c>
      <c r="B13" s="2427">
        <v>484</v>
      </c>
      <c r="C13" s="2428">
        <v>4129499.9999999995</v>
      </c>
      <c r="D13" s="2429">
        <v>1998.6779999999997</v>
      </c>
      <c r="E13" s="2430">
        <v>1.1625607495038759</v>
      </c>
      <c r="F13" s="2427">
        <v>0.73807757295938736</v>
      </c>
      <c r="G13" s="2429">
        <v>3.4762993461542394E-2</v>
      </c>
      <c r="H13" s="2430">
        <v>1.2668026813196056</v>
      </c>
      <c r="I13" s="2427">
        <v>0.61358428202003268</v>
      </c>
      <c r="J13" s="2431">
        <v>3.0927036665183025E-2</v>
      </c>
    </row>
    <row r="14" spans="1:10" x14ac:dyDescent="0.2">
      <c r="A14" s="2438" t="s">
        <v>413</v>
      </c>
      <c r="B14" s="2427">
        <v>192</v>
      </c>
      <c r="C14" s="2428">
        <v>1200000</v>
      </c>
      <c r="D14" s="2429">
        <v>230.4</v>
      </c>
      <c r="E14" s="2430">
        <v>0.46118112377013259</v>
      </c>
      <c r="F14" s="2427">
        <v>0.29279110332273217</v>
      </c>
      <c r="G14" s="2429">
        <v>1.3790278397967233E-2</v>
      </c>
      <c r="H14" s="2430">
        <v>0.14603219616968677</v>
      </c>
      <c r="I14" s="2427">
        <v>7.073166291789651E-2</v>
      </c>
      <c r="J14" s="2431">
        <v>3.5651511887648591E-3</v>
      </c>
    </row>
    <row r="15" spans="1:10" x14ac:dyDescent="0.2">
      <c r="A15" s="2426" t="s">
        <v>90</v>
      </c>
      <c r="B15" s="2427">
        <v>147</v>
      </c>
      <c r="C15" s="2428">
        <v>1743000</v>
      </c>
      <c r="D15" s="2429">
        <v>256.221</v>
      </c>
      <c r="E15" s="2430">
        <v>0.3530917978865078</v>
      </c>
      <c r="F15" s="2427">
        <v>0.22416818848146683</v>
      </c>
      <c r="G15" s="2429">
        <v>1.0558181898443661E-2</v>
      </c>
      <c r="H15" s="2430">
        <v>0.16239807002948484</v>
      </c>
      <c r="I15" s="2427">
        <v>7.8658582484749828E-2</v>
      </c>
      <c r="J15" s="2431">
        <v>3.9646987965994834E-3</v>
      </c>
    </row>
    <row r="16" spans="1:10" x14ac:dyDescent="0.2">
      <c r="A16" s="2426" t="s">
        <v>417</v>
      </c>
      <c r="B16" s="2427">
        <v>216</v>
      </c>
      <c r="C16" s="2428">
        <v>2563999.9999999995</v>
      </c>
      <c r="D16" s="2429">
        <v>553.82399999999984</v>
      </c>
      <c r="E16" s="2430">
        <v>0.51882876424139923</v>
      </c>
      <c r="F16" s="2427">
        <v>0.32938999123807372</v>
      </c>
      <c r="G16" s="2429">
        <v>1.5514063197713136E-2</v>
      </c>
      <c r="H16" s="2430">
        <v>0.35102489154288441</v>
      </c>
      <c r="I16" s="2427">
        <v>0.17002123473889369</v>
      </c>
      <c r="J16" s="2431">
        <v>8.569732169993528E-3</v>
      </c>
    </row>
    <row r="17" spans="1:10" x14ac:dyDescent="0.2">
      <c r="A17" s="2426" t="s">
        <v>418</v>
      </c>
      <c r="B17" s="2427">
        <v>300</v>
      </c>
      <c r="C17" s="2428">
        <v>2222500</v>
      </c>
      <c r="D17" s="2429">
        <v>666.75</v>
      </c>
      <c r="E17" s="2430">
        <v>0.72059550589083221</v>
      </c>
      <c r="F17" s="2427">
        <v>0.457486098941769</v>
      </c>
      <c r="G17" s="2429">
        <v>2.1547309996823798E-2</v>
      </c>
      <c r="H17" s="2430">
        <v>0.4225996822749073</v>
      </c>
      <c r="I17" s="2427">
        <v>0.20468895942060547</v>
      </c>
      <c r="J17" s="2431">
        <v>1.031712046488268E-2</v>
      </c>
    </row>
    <row r="18" spans="1:10" x14ac:dyDescent="0.2">
      <c r="A18" s="2426" t="s">
        <v>423</v>
      </c>
      <c r="B18" s="2427">
        <v>1200</v>
      </c>
      <c r="C18" s="2428">
        <v>2531500</v>
      </c>
      <c r="D18" s="2429">
        <v>3037.8</v>
      </c>
      <c r="E18" s="2430">
        <v>2.8823820235633288</v>
      </c>
      <c r="F18" s="2427">
        <v>1.829944395767076</v>
      </c>
      <c r="G18" s="2429">
        <v>8.6189239987295191E-2</v>
      </c>
      <c r="H18" s="2430">
        <v>1.9254192948102191</v>
      </c>
      <c r="I18" s="2427">
        <v>0.93258960769091148</v>
      </c>
      <c r="J18" s="2431">
        <v>4.700614705394917E-2</v>
      </c>
    </row>
    <row r="19" spans="1:10" x14ac:dyDescent="0.2">
      <c r="A19" s="2426" t="s">
        <v>424</v>
      </c>
      <c r="B19" s="2427">
        <v>35</v>
      </c>
      <c r="C19" s="2428">
        <v>1369000</v>
      </c>
      <c r="D19" s="2429">
        <v>47.914999999999999</v>
      </c>
      <c r="E19" s="2430">
        <v>8.4069475687263764E-2</v>
      </c>
      <c r="F19" s="2427">
        <v>5.3373378209873049E-2</v>
      </c>
      <c r="G19" s="2429">
        <v>2.5138528329627769E-3</v>
      </c>
      <c r="H19" s="2430">
        <v>3.0369499476868667E-2</v>
      </c>
      <c r="I19" s="2427">
        <v>1.4709668527391541E-2</v>
      </c>
      <c r="J19" s="2431">
        <v>7.4142456254196274E-4</v>
      </c>
    </row>
    <row r="20" spans="1:10" x14ac:dyDescent="0.2">
      <c r="A20" s="2426" t="s">
        <v>280</v>
      </c>
      <c r="B20" s="2427">
        <v>0</v>
      </c>
      <c r="C20" s="2428">
        <v>1574500</v>
      </c>
      <c r="D20" s="2429">
        <v>0</v>
      </c>
      <c r="E20" s="2430">
        <v>0</v>
      </c>
      <c r="F20" s="2427">
        <v>0</v>
      </c>
      <c r="G20" s="2429">
        <v>0</v>
      </c>
      <c r="H20" s="2430">
        <v>0</v>
      </c>
      <c r="I20" s="2427">
        <v>0</v>
      </c>
      <c r="J20" s="2431">
        <v>0</v>
      </c>
    </row>
    <row r="21" spans="1:10" x14ac:dyDescent="0.2">
      <c r="A21" s="2426" t="s">
        <v>427</v>
      </c>
      <c r="B21" s="2427">
        <v>54</v>
      </c>
      <c r="C21" s="2428">
        <v>2072000</v>
      </c>
      <c r="D21" s="2429">
        <v>111.88800000000001</v>
      </c>
      <c r="E21" s="2430">
        <v>0.12970719106034981</v>
      </c>
      <c r="F21" s="2427">
        <v>8.234749780951843E-2</v>
      </c>
      <c r="G21" s="2429">
        <v>3.8785157994282839E-3</v>
      </c>
      <c r="H21" s="2430">
        <v>7.0916885264904139E-2</v>
      </c>
      <c r="I21" s="2427">
        <v>3.4349063804503498E-2</v>
      </c>
      <c r="J21" s="2431">
        <v>1.7313265460439347E-3</v>
      </c>
    </row>
    <row r="22" spans="1:10" x14ac:dyDescent="0.2">
      <c r="A22" s="2426" t="s">
        <v>428</v>
      </c>
      <c r="B22" s="2427">
        <v>324</v>
      </c>
      <c r="C22" s="2428">
        <v>1326280</v>
      </c>
      <c r="D22" s="2429">
        <v>429.71472</v>
      </c>
      <c r="E22" s="2430">
        <v>0.77824314636209879</v>
      </c>
      <c r="F22" s="2427">
        <v>0.49408498685711055</v>
      </c>
      <c r="G22" s="2429">
        <v>2.3271094796569702E-2</v>
      </c>
      <c r="H22" s="2430">
        <v>0.27236191097240459</v>
      </c>
      <c r="I22" s="2427">
        <v>0.13192029828948906</v>
      </c>
      <c r="J22" s="2431">
        <v>6.649296635580549E-3</v>
      </c>
    </row>
    <row r="23" spans="1:10" x14ac:dyDescent="0.2">
      <c r="A23" s="2439" t="s">
        <v>92</v>
      </c>
      <c r="B23" s="2427">
        <v>440</v>
      </c>
      <c r="C23" s="2428">
        <v>2215500</v>
      </c>
      <c r="D23" s="2429">
        <v>974.82</v>
      </c>
      <c r="E23" s="2430">
        <v>1.0568734086398872</v>
      </c>
      <c r="F23" s="2427">
        <v>0.67097961178126131</v>
      </c>
      <c r="G23" s="2429">
        <v>3.1602721328674907E-2</v>
      </c>
      <c r="H23" s="2430">
        <v>0.61786070082523459</v>
      </c>
      <c r="I23" s="2427">
        <v>0.29926492901746471</v>
      </c>
      <c r="J23" s="2431">
        <v>1.5084117542672569E-2</v>
      </c>
    </row>
    <row r="24" spans="1:10" x14ac:dyDescent="0.2">
      <c r="A24" s="2433" t="s">
        <v>281</v>
      </c>
      <c r="B24" s="2434">
        <v>3392</v>
      </c>
      <c r="C24" s="2433"/>
      <c r="D24" s="2435">
        <v>8308.0107200000002</v>
      </c>
      <c r="E24" s="2436">
        <v>8.1475331866056759</v>
      </c>
      <c r="F24" s="2434">
        <v>5.1726428253682686</v>
      </c>
      <c r="G24" s="2435">
        <v>0.24362825169742108</v>
      </c>
      <c r="H24" s="2436">
        <v>5.2657858126862003</v>
      </c>
      <c r="I24" s="2434">
        <v>2.5505182889119387</v>
      </c>
      <c r="J24" s="2437">
        <v>0.12855605162621178</v>
      </c>
    </row>
    <row r="25" spans="1:10" x14ac:dyDescent="0.2">
      <c r="A25" s="2440" t="s">
        <v>106</v>
      </c>
      <c r="B25" s="2441">
        <v>11427.3</v>
      </c>
      <c r="C25" s="2440"/>
      <c r="D25" s="2442">
        <v>28855.551148999999</v>
      </c>
      <c r="E25" s="2443">
        <v>27.44820341488769</v>
      </c>
      <c r="F25" s="2441">
        <v>17.426102994790924</v>
      </c>
      <c r="G25" s="2442">
        <v>0.82075858508901534</v>
      </c>
      <c r="H25" s="2443">
        <v>18.289233966906242</v>
      </c>
      <c r="I25" s="2441">
        <v>8.8585117933211333</v>
      </c>
      <c r="J25" s="2444">
        <v>0.44650348299185127</v>
      </c>
    </row>
    <row r="26" spans="1:10" x14ac:dyDescent="0.2">
      <c r="A26" s="2426" t="s">
        <v>905</v>
      </c>
      <c r="B26" s="2427">
        <v>0</v>
      </c>
      <c r="C26" s="2428">
        <v>6100000</v>
      </c>
      <c r="D26" s="2429">
        <v>0</v>
      </c>
      <c r="E26" s="2430">
        <v>0</v>
      </c>
      <c r="F26" s="2427">
        <v>0</v>
      </c>
      <c r="G26" s="2429">
        <v>0</v>
      </c>
      <c r="H26" s="2430">
        <v>0</v>
      </c>
      <c r="I26" s="2427">
        <v>0</v>
      </c>
      <c r="J26" s="2431">
        <v>0</v>
      </c>
    </row>
    <row r="27" spans="1:10" x14ac:dyDescent="0.2">
      <c r="A27" s="2426" t="s">
        <v>906</v>
      </c>
      <c r="B27" s="2427">
        <v>64</v>
      </c>
      <c r="C27" s="2428">
        <v>3022000.0000000005</v>
      </c>
      <c r="D27" s="2429">
        <v>193.40800000000004</v>
      </c>
      <c r="E27" s="2430">
        <v>0.15372704125671088</v>
      </c>
      <c r="F27" s="2427">
        <v>9.7597034440910724E-2</v>
      </c>
      <c r="G27" s="2429">
        <v>4.5967594659890769E-3</v>
      </c>
      <c r="H27" s="2430">
        <v>0.12258591578466486</v>
      </c>
      <c r="I27" s="2427">
        <v>5.9375301482745356E-2</v>
      </c>
      <c r="J27" s="2431">
        <v>2.9927463590131683E-3</v>
      </c>
    </row>
    <row r="28" spans="1:10" x14ac:dyDescent="0.2">
      <c r="A28" s="2426" t="s">
        <v>907</v>
      </c>
      <c r="B28" s="2427">
        <v>70</v>
      </c>
      <c r="C28" s="2428">
        <v>2324000</v>
      </c>
      <c r="D28" s="2429">
        <v>162.68</v>
      </c>
      <c r="E28" s="2430">
        <v>0.16813895137452753</v>
      </c>
      <c r="F28" s="2427">
        <v>0.1067467564197461</v>
      </c>
      <c r="G28" s="2429">
        <v>5.0277056659255538E-3</v>
      </c>
      <c r="H28" s="2430">
        <v>0.10310988573300627</v>
      </c>
      <c r="I28" s="2427">
        <v>4.9941957133174501E-2</v>
      </c>
      <c r="J28" s="2431">
        <v>2.517269077206021E-3</v>
      </c>
    </row>
    <row r="29" spans="1:10" x14ac:dyDescent="0.2">
      <c r="A29" s="2439" t="s">
        <v>908</v>
      </c>
      <c r="B29" s="2427">
        <v>960</v>
      </c>
      <c r="C29" s="2428">
        <v>2403999.9999999995</v>
      </c>
      <c r="D29" s="2429">
        <v>2307.8399999999997</v>
      </c>
      <c r="E29" s="2430">
        <v>2.3059056188506633</v>
      </c>
      <c r="F29" s="2427">
        <v>1.4639555166136611</v>
      </c>
      <c r="G29" s="2429">
        <v>6.8951391989836158E-2</v>
      </c>
      <c r="H29" s="2430">
        <v>1.4627558316330289</v>
      </c>
      <c r="I29" s="2427">
        <v>0.70849549022759661</v>
      </c>
      <c r="J29" s="2431">
        <v>3.5710931074127997E-2</v>
      </c>
    </row>
    <row r="30" spans="1:10" x14ac:dyDescent="0.2">
      <c r="A30" s="2440" t="s">
        <v>282</v>
      </c>
      <c r="B30" s="2441">
        <v>1094</v>
      </c>
      <c r="C30" s="2440"/>
      <c r="D30" s="2442">
        <v>2663.9279999999999</v>
      </c>
      <c r="E30" s="2443">
        <v>2.6277716114819016</v>
      </c>
      <c r="F30" s="2441">
        <v>1.6682993074743178</v>
      </c>
      <c r="G30" s="2442">
        <v>7.8575857121750789E-2</v>
      </c>
      <c r="H30" s="2443">
        <v>1.6884516331507</v>
      </c>
      <c r="I30" s="2441">
        <v>0.8178127488435164</v>
      </c>
      <c r="J30" s="2444">
        <v>4.1220946510347189E-2</v>
      </c>
    </row>
    <row r="31" spans="1:10" x14ac:dyDescent="0.2">
      <c r="A31" s="2426" t="s">
        <v>955</v>
      </c>
      <c r="B31" s="2427">
        <v>382.92500000000001</v>
      </c>
      <c r="C31" s="2428">
        <v>12137000</v>
      </c>
      <c r="D31" s="2429">
        <v>4647.5607250000003</v>
      </c>
      <c r="E31" s="2430">
        <v>0.91978011364415646</v>
      </c>
      <c r="F31" s="2427">
        <v>0.58394288145758966</v>
      </c>
      <c r="G31" s="2429">
        <v>2.7503345601779177E-2</v>
      </c>
      <c r="H31" s="2430">
        <v>2.9457183138182796</v>
      </c>
      <c r="I31" s="2427">
        <v>1.4267782056907758</v>
      </c>
      <c r="J31" s="2431">
        <v>7.1915176404473174E-2</v>
      </c>
    </row>
    <row r="32" spans="1:10" x14ac:dyDescent="0.2">
      <c r="A32" s="2426" t="s">
        <v>283</v>
      </c>
      <c r="B32" s="2427">
        <v>3156.6723931129172</v>
      </c>
      <c r="C32" s="2428">
        <v>13024549.999999996</v>
      </c>
      <c r="D32" s="2429">
        <v>41114.237417718832</v>
      </c>
      <c r="E32" s="2430">
        <v>7.5822798001560887</v>
      </c>
      <c r="F32" s="2427">
        <v>4.8137791292080223</v>
      </c>
      <c r="G32" s="2429">
        <v>0.22672599537606558</v>
      </c>
      <c r="H32" s="2430">
        <v>26.05903812478903</v>
      </c>
      <c r="I32" s="2427">
        <v>12.621867978109618</v>
      </c>
      <c r="J32" s="2431">
        <v>0.63619128647977841</v>
      </c>
    </row>
    <row r="33" spans="1:10" x14ac:dyDescent="0.2">
      <c r="A33" s="2426" t="s">
        <v>69</v>
      </c>
      <c r="B33" s="2427">
        <v>2493.3356068870826</v>
      </c>
      <c r="C33" s="2428">
        <v>14978232.499999994</v>
      </c>
      <c r="D33" s="2429">
        <v>37345.760420483304</v>
      </c>
      <c r="E33" s="2430">
        <v>5.9889547766680744</v>
      </c>
      <c r="F33" s="2427">
        <v>3.8022212671579321</v>
      </c>
      <c r="G33" s="2429">
        <v>0.17908225082571588</v>
      </c>
      <c r="H33" s="2430">
        <v>23.670500919401654</v>
      </c>
      <c r="I33" s="2427">
        <v>11.464964138342646</v>
      </c>
      <c r="J33" s="2431">
        <v>0.57787882881255936</v>
      </c>
    </row>
    <row r="34" spans="1:10" x14ac:dyDescent="0.2">
      <c r="A34" s="2426" t="s">
        <v>199</v>
      </c>
      <c r="B34" s="2427">
        <v>1684</v>
      </c>
      <c r="C34" s="2428">
        <v>3000000</v>
      </c>
      <c r="D34" s="2429">
        <v>5052</v>
      </c>
      <c r="E34" s="2430">
        <v>4.0449427730672047</v>
      </c>
      <c r="F34" s="2427">
        <v>2.5680219687264634</v>
      </c>
      <c r="G34" s="2429">
        <v>0.1209522334488376</v>
      </c>
      <c r="H34" s="2430">
        <v>3.2020601347624025</v>
      </c>
      <c r="I34" s="2427">
        <v>1.5509390671059597</v>
      </c>
      <c r="J34" s="2431">
        <v>7.8173367211979455E-2</v>
      </c>
    </row>
    <row r="35" spans="1:10" x14ac:dyDescent="0.2">
      <c r="A35" s="2426" t="s">
        <v>86</v>
      </c>
      <c r="B35" s="2427">
        <v>4210</v>
      </c>
      <c r="C35" s="2428">
        <v>170000</v>
      </c>
      <c r="D35" s="2429">
        <v>715.7</v>
      </c>
      <c r="E35" s="2430">
        <v>10.112356932668012</v>
      </c>
      <c r="F35" s="2427">
        <v>6.420054921816158</v>
      </c>
      <c r="G35" s="2429">
        <v>0.30238058362209397</v>
      </c>
      <c r="H35" s="2430">
        <v>0.45362518575800703</v>
      </c>
      <c r="I35" s="2427">
        <v>0.21971636784001097</v>
      </c>
      <c r="J35" s="2431">
        <v>1.1074560355030424E-2</v>
      </c>
    </row>
    <row r="36" spans="1:10" x14ac:dyDescent="0.2">
      <c r="A36" s="2439" t="s">
        <v>213</v>
      </c>
      <c r="B36" s="2427">
        <v>6900</v>
      </c>
      <c r="C36" s="2428">
        <v>1850000.0000000005</v>
      </c>
      <c r="D36" s="2429">
        <v>12765.000000000004</v>
      </c>
      <c r="E36" s="2430">
        <v>16.573696635489142</v>
      </c>
      <c r="F36" s="2427">
        <v>10.522180275660688</v>
      </c>
      <c r="G36" s="2429">
        <v>0.49558812992694734</v>
      </c>
      <c r="H36" s="2430">
        <v>8.0907160768491853</v>
      </c>
      <c r="I36" s="2427">
        <v>3.9187920015058562</v>
      </c>
      <c r="J36" s="2431">
        <v>0.19752237380461563</v>
      </c>
    </row>
    <row r="37" spans="1:10" x14ac:dyDescent="0.2">
      <c r="A37" s="2433" t="s">
        <v>1834</v>
      </c>
      <c r="B37" s="2434">
        <v>18826.933000000001</v>
      </c>
      <c r="C37" s="2433"/>
      <c r="D37" s="2435">
        <v>101640.25856320214</v>
      </c>
      <c r="E37" s="2436">
        <v>45.222011031692681</v>
      </c>
      <c r="F37" s="2434">
        <v>28.710200444026857</v>
      </c>
      <c r="G37" s="2435">
        <v>1.3522325388014396</v>
      </c>
      <c r="H37" s="2436">
        <v>64.421658755378559</v>
      </c>
      <c r="I37" s="2434">
        <v>31.203057758594866</v>
      </c>
      <c r="J37" s="2437">
        <v>1.5727555930684363</v>
      </c>
    </row>
    <row r="38" spans="1:10" x14ac:dyDescent="0.2">
      <c r="A38" s="2426" t="s">
        <v>961</v>
      </c>
      <c r="B38" s="2427">
        <v>1240</v>
      </c>
      <c r="C38" s="2428">
        <v>3668000</v>
      </c>
      <c r="D38" s="2429">
        <v>4548.32</v>
      </c>
      <c r="E38" s="2430">
        <v>2.9784614243487733</v>
      </c>
      <c r="F38" s="2427">
        <v>1.8909425422926456</v>
      </c>
      <c r="G38" s="2429">
        <v>8.9062214653538377E-2</v>
      </c>
      <c r="H38" s="2430">
        <v>2.8828175281358925</v>
      </c>
      <c r="I38" s="2427">
        <v>1.3963117928937805</v>
      </c>
      <c r="J38" s="2431">
        <v>7.0379550585429607E-2</v>
      </c>
    </row>
    <row r="39" spans="1:10" x14ac:dyDescent="0.2">
      <c r="A39" s="2426" t="s">
        <v>962</v>
      </c>
      <c r="B39" s="2427">
        <v>250</v>
      </c>
      <c r="C39" s="2428">
        <v>1999999.9999999998</v>
      </c>
      <c r="D39" s="2429">
        <v>499.99999999999994</v>
      </c>
      <c r="E39" s="2430">
        <v>0.60049625490902692</v>
      </c>
      <c r="F39" s="2427">
        <v>0.38123841578480749</v>
      </c>
      <c r="G39" s="2429">
        <v>1.7956091664019833E-2</v>
      </c>
      <c r="H39" s="2430">
        <v>0.31691014793768824</v>
      </c>
      <c r="I39" s="2427">
        <v>0.15349753237390734</v>
      </c>
      <c r="J39" s="2431">
        <v>7.7368732395070722E-3</v>
      </c>
    </row>
    <row r="40" spans="1:10" x14ac:dyDescent="0.2">
      <c r="A40" s="2426" t="s">
        <v>963</v>
      </c>
      <c r="B40" s="2427">
        <v>2216</v>
      </c>
      <c r="C40" s="2428">
        <v>1347999.9999999998</v>
      </c>
      <c r="D40" s="2429">
        <v>2987.1679999999997</v>
      </c>
      <c r="E40" s="2430">
        <v>5.3227988035136145</v>
      </c>
      <c r="F40" s="2427">
        <v>3.3792973175165337</v>
      </c>
      <c r="G40" s="2429">
        <v>0.15916279650987181</v>
      </c>
      <c r="H40" s="2430">
        <v>1.8933277055894564</v>
      </c>
      <c r="I40" s="2427">
        <v>0.91704583357260006</v>
      </c>
      <c r="J40" s="2431">
        <v>4.6222680322223722E-2</v>
      </c>
    </row>
    <row r="41" spans="1:10" x14ac:dyDescent="0.2">
      <c r="A41" s="2426" t="s">
        <v>965</v>
      </c>
      <c r="B41" s="2427">
        <v>1136</v>
      </c>
      <c r="C41" s="2428">
        <v>1599999.9999999995</v>
      </c>
      <c r="D41" s="2429">
        <v>1817.5999999999995</v>
      </c>
      <c r="E41" s="2430">
        <v>2.728654982306618</v>
      </c>
      <c r="F41" s="2427">
        <v>1.7323473613261655</v>
      </c>
      <c r="G41" s="2429">
        <v>8.1592480521306132E-2</v>
      </c>
      <c r="H41" s="2430">
        <v>1.152031769783084</v>
      </c>
      <c r="I41" s="2427">
        <v>0.55799422968562784</v>
      </c>
      <c r="J41" s="2431">
        <v>2.8125081600256101E-2</v>
      </c>
    </row>
    <row r="42" spans="1:10" x14ac:dyDescent="0.2">
      <c r="A42" s="2426" t="s">
        <v>966</v>
      </c>
      <c r="B42" s="2427">
        <v>135</v>
      </c>
      <c r="C42" s="2428">
        <v>2244000</v>
      </c>
      <c r="D42" s="2429">
        <v>302.94</v>
      </c>
      <c r="E42" s="2430">
        <v>0.32426797765087451</v>
      </c>
      <c r="F42" s="2427">
        <v>0.20586874452379605</v>
      </c>
      <c r="G42" s="2429">
        <v>9.6962894985707093E-3</v>
      </c>
      <c r="H42" s="2430">
        <v>0.19200952043248656</v>
      </c>
      <c r="I42" s="2427">
        <v>9.3001084914702978E-2</v>
      </c>
      <c r="J42" s="2431">
        <v>4.6876167583525452E-3</v>
      </c>
    </row>
    <row r="43" spans="1:10" x14ac:dyDescent="0.2">
      <c r="A43" s="2426" t="s">
        <v>1499</v>
      </c>
      <c r="B43" s="2427">
        <v>0</v>
      </c>
      <c r="C43" s="2428">
        <v>4849999.9999999991</v>
      </c>
      <c r="D43" s="2429">
        <v>0</v>
      </c>
      <c r="E43" s="2430">
        <v>0</v>
      </c>
      <c r="F43" s="2427">
        <v>0</v>
      </c>
      <c r="G43" s="2429">
        <v>0</v>
      </c>
      <c r="H43" s="2430">
        <v>0</v>
      </c>
      <c r="I43" s="2427">
        <v>0</v>
      </c>
      <c r="J43" s="2431">
        <v>0</v>
      </c>
    </row>
    <row r="44" spans="1:10" x14ac:dyDescent="0.2">
      <c r="A44" s="2426" t="s">
        <v>1575</v>
      </c>
      <c r="B44" s="2427">
        <v>68</v>
      </c>
      <c r="C44" s="2428">
        <v>2250000.0000000005</v>
      </c>
      <c r="D44" s="2429">
        <v>153.00000000000003</v>
      </c>
      <c r="E44" s="2430">
        <v>0.16333498133525531</v>
      </c>
      <c r="F44" s="2427">
        <v>0.10369684909346764</v>
      </c>
      <c r="G44" s="2429">
        <v>4.8840569326133948E-3</v>
      </c>
      <c r="H44" s="2430">
        <v>9.6974505268932629E-2</v>
      </c>
      <c r="I44" s="2427">
        <v>4.6970244906415659E-2</v>
      </c>
      <c r="J44" s="2431">
        <v>2.3674832112891646E-3</v>
      </c>
    </row>
    <row r="45" spans="1:10" x14ac:dyDescent="0.2">
      <c r="A45" s="2426" t="s">
        <v>964</v>
      </c>
      <c r="B45" s="2427">
        <v>133</v>
      </c>
      <c r="C45" s="2428">
        <v>1556000</v>
      </c>
      <c r="D45" s="2429">
        <v>206.94800000000001</v>
      </c>
      <c r="E45" s="2430">
        <v>0.31946400761160226</v>
      </c>
      <c r="F45" s="2427">
        <v>0.20281883719751762</v>
      </c>
      <c r="G45" s="2429">
        <v>9.5526407652585504E-3</v>
      </c>
      <c r="H45" s="2430">
        <v>0.13116784259081743</v>
      </c>
      <c r="I45" s="2427">
        <v>6.3532014659430758E-2</v>
      </c>
      <c r="J45" s="2431">
        <v>3.2022608863390193E-3</v>
      </c>
    </row>
    <row r="46" spans="1:10" x14ac:dyDescent="0.2">
      <c r="A46" s="2426" t="s">
        <v>969</v>
      </c>
      <c r="B46" s="2427">
        <v>370.5</v>
      </c>
      <c r="C46" s="2428">
        <v>4800000</v>
      </c>
      <c r="D46" s="2429">
        <v>1778.4</v>
      </c>
      <c r="E46" s="2430">
        <v>0.88993544977517769</v>
      </c>
      <c r="F46" s="2427">
        <v>0.56499533219308473</v>
      </c>
      <c r="G46" s="2429">
        <v>2.6610927846077392E-2</v>
      </c>
      <c r="H46" s="2430">
        <v>1.1271860141847696</v>
      </c>
      <c r="I46" s="2427">
        <v>0.54596002314751368</v>
      </c>
      <c r="J46" s="2431">
        <v>2.7518510738278757E-2</v>
      </c>
    </row>
    <row r="47" spans="1:10" x14ac:dyDescent="0.2">
      <c r="A47" s="2426" t="s">
        <v>968</v>
      </c>
      <c r="B47" s="2427">
        <v>534</v>
      </c>
      <c r="C47" s="2428">
        <v>3050000.0000000009</v>
      </c>
      <c r="D47" s="2429">
        <v>1628.7000000000005</v>
      </c>
      <c r="E47" s="2430">
        <v>1.2826600004856814</v>
      </c>
      <c r="F47" s="2427">
        <v>0.81432525611634887</v>
      </c>
      <c r="G47" s="2429">
        <v>3.8354211794346366E-2</v>
      </c>
      <c r="H47" s="2430">
        <v>1.032303115892226</v>
      </c>
      <c r="I47" s="2427">
        <v>0.50000286195476595</v>
      </c>
      <c r="J47" s="2431">
        <v>2.5202090890370343E-2</v>
      </c>
    </row>
    <row r="48" spans="1:10" x14ac:dyDescent="0.2">
      <c r="A48" s="2426" t="s">
        <v>1013</v>
      </c>
      <c r="B48" s="2427">
        <v>0</v>
      </c>
      <c r="C48" s="2428">
        <v>1799999.9999999998</v>
      </c>
      <c r="D48" s="2429">
        <v>0</v>
      </c>
      <c r="E48" s="2430">
        <v>0</v>
      </c>
      <c r="F48" s="2427">
        <v>0</v>
      </c>
      <c r="G48" s="2429">
        <v>0</v>
      </c>
      <c r="H48" s="2430">
        <v>0</v>
      </c>
      <c r="I48" s="2427">
        <v>0</v>
      </c>
      <c r="J48" s="2431">
        <v>0</v>
      </c>
    </row>
    <row r="49" spans="1:10" x14ac:dyDescent="0.2">
      <c r="A49" s="2426" t="s">
        <v>1014</v>
      </c>
      <c r="B49" s="2427">
        <v>0</v>
      </c>
      <c r="C49" s="2428">
        <v>2195000.0000000005</v>
      </c>
      <c r="D49" s="2429">
        <v>0</v>
      </c>
      <c r="E49" s="2430">
        <v>0</v>
      </c>
      <c r="F49" s="2427">
        <v>0</v>
      </c>
      <c r="G49" s="2429">
        <v>0</v>
      </c>
      <c r="H49" s="2430">
        <v>0</v>
      </c>
      <c r="I49" s="2427">
        <v>0</v>
      </c>
      <c r="J49" s="2431">
        <v>0</v>
      </c>
    </row>
    <row r="50" spans="1:10" x14ac:dyDescent="0.2">
      <c r="A50" s="2426" t="s">
        <v>970</v>
      </c>
      <c r="B50" s="2427">
        <v>324</v>
      </c>
      <c r="C50" s="2428">
        <v>3100000.0000000005</v>
      </c>
      <c r="D50" s="2429">
        <v>1004.4000000000001</v>
      </c>
      <c r="E50" s="2430">
        <v>0.77824314636209879</v>
      </c>
      <c r="F50" s="2427">
        <v>0.49408498685711055</v>
      </c>
      <c r="G50" s="2429">
        <v>2.3271094796569702E-2</v>
      </c>
      <c r="H50" s="2430">
        <v>0.63660910517722824</v>
      </c>
      <c r="I50" s="2427">
        <v>0.30834584303270512</v>
      </c>
      <c r="J50" s="2431">
        <v>1.5541830963521809E-2</v>
      </c>
    </row>
    <row r="51" spans="1:10" x14ac:dyDescent="0.2">
      <c r="A51" s="2426" t="s">
        <v>971</v>
      </c>
      <c r="B51" s="2427">
        <v>330</v>
      </c>
      <c r="C51" s="2428">
        <v>3010000</v>
      </c>
      <c r="D51" s="2429">
        <v>993.3</v>
      </c>
      <c r="E51" s="2430">
        <v>0.79265505647991541</v>
      </c>
      <c r="F51" s="2427">
        <v>0.5032347088359459</v>
      </c>
      <c r="G51" s="2429">
        <v>2.370204099650618E-2</v>
      </c>
      <c r="H51" s="2430">
        <v>0.62957369989301148</v>
      </c>
      <c r="I51" s="2427">
        <v>0.30493819781400433</v>
      </c>
      <c r="J51" s="2431">
        <v>1.537007237760475E-2</v>
      </c>
    </row>
    <row r="52" spans="1:10" x14ac:dyDescent="0.2">
      <c r="A52" s="2426" t="s">
        <v>972</v>
      </c>
      <c r="B52" s="2427">
        <v>768</v>
      </c>
      <c r="C52" s="2428">
        <v>2744000.0000000005</v>
      </c>
      <c r="D52" s="2429">
        <v>2107.3920000000003</v>
      </c>
      <c r="E52" s="2430">
        <v>1.8447244950805304</v>
      </c>
      <c r="F52" s="2427">
        <v>1.1711644132909287</v>
      </c>
      <c r="G52" s="2429">
        <v>5.5161113591868934E-2</v>
      </c>
      <c r="H52" s="2430">
        <v>1.3357078209654019</v>
      </c>
      <c r="I52" s="2427">
        <v>0.64695894348902683</v>
      </c>
      <c r="J52" s="2431">
        <v>3.2609249539902581E-2</v>
      </c>
    </row>
    <row r="53" spans="1:10" x14ac:dyDescent="0.2">
      <c r="A53" s="2426" t="s">
        <v>973</v>
      </c>
      <c r="B53" s="2427">
        <v>265.5</v>
      </c>
      <c r="C53" s="2428">
        <v>2549999.9999999991</v>
      </c>
      <c r="D53" s="2429">
        <v>677.02499999999975</v>
      </c>
      <c r="E53" s="2430">
        <v>0.63772702271338655</v>
      </c>
      <c r="F53" s="2427">
        <v>0.40487519756346563</v>
      </c>
      <c r="G53" s="2429">
        <v>1.9069369347189061E-2</v>
      </c>
      <c r="H53" s="2430">
        <v>0.42911218581502664</v>
      </c>
      <c r="I53" s="2427">
        <v>0.20784333371088917</v>
      </c>
      <c r="J53" s="2431">
        <v>1.0476113209954547E-2</v>
      </c>
    </row>
    <row r="54" spans="1:10" x14ac:dyDescent="0.2">
      <c r="A54" s="2426" t="s">
        <v>974</v>
      </c>
      <c r="B54" s="2427">
        <v>364</v>
      </c>
      <c r="C54" s="2428">
        <v>1583999.9999999995</v>
      </c>
      <c r="D54" s="2429">
        <v>576.57599999999991</v>
      </c>
      <c r="E54" s="2430">
        <v>0.87432254714754298</v>
      </c>
      <c r="F54" s="2427">
        <v>0.55508313338267978</v>
      </c>
      <c r="G54" s="2429">
        <v>2.6144069462812877E-2</v>
      </c>
      <c r="H54" s="2430">
        <v>0.36544557091464103</v>
      </c>
      <c r="I54" s="2427">
        <v>0.177005986452036</v>
      </c>
      <c r="J54" s="2431">
        <v>8.9217908498840579E-3</v>
      </c>
    </row>
    <row r="55" spans="1:10" x14ac:dyDescent="0.2">
      <c r="A55" s="2426" t="s">
        <v>975</v>
      </c>
      <c r="B55" s="2427">
        <v>1630</v>
      </c>
      <c r="C55" s="2428">
        <v>2532000.0000000009</v>
      </c>
      <c r="D55" s="2429">
        <v>4127.1600000000017</v>
      </c>
      <c r="E55" s="2430">
        <v>3.9152355820068547</v>
      </c>
      <c r="F55" s="2427">
        <v>2.4856744709169454</v>
      </c>
      <c r="G55" s="2429">
        <v>0.1170737176494093</v>
      </c>
      <c r="H55" s="2430">
        <v>2.6158777723250202</v>
      </c>
      <c r="I55" s="2427">
        <v>1.2670177514245915</v>
      </c>
      <c r="J55" s="2431">
        <v>6.3862627518328052E-2</v>
      </c>
    </row>
    <row r="56" spans="1:10" x14ac:dyDescent="0.2">
      <c r="A56" s="2426" t="s">
        <v>976</v>
      </c>
      <c r="B56" s="2427">
        <v>0</v>
      </c>
      <c r="C56" s="2428">
        <v>7394999.9999999991</v>
      </c>
      <c r="D56" s="2429">
        <v>0</v>
      </c>
      <c r="E56" s="2430">
        <v>0</v>
      </c>
      <c r="F56" s="2427">
        <v>0</v>
      </c>
      <c r="G56" s="2429">
        <v>0</v>
      </c>
      <c r="H56" s="2430">
        <v>0</v>
      </c>
      <c r="I56" s="2427">
        <v>0</v>
      </c>
      <c r="J56" s="2431">
        <v>0</v>
      </c>
    </row>
    <row r="57" spans="1:10" x14ac:dyDescent="0.2">
      <c r="A57" s="2426" t="s">
        <v>286</v>
      </c>
      <c r="B57" s="2427">
        <v>408</v>
      </c>
      <c r="C57" s="2428">
        <v>2445000.0000000005</v>
      </c>
      <c r="D57" s="2429">
        <v>997.56000000000029</v>
      </c>
      <c r="E57" s="2430">
        <v>0.98000988801153177</v>
      </c>
      <c r="F57" s="2427">
        <v>0.62218109456080595</v>
      </c>
      <c r="G57" s="2429">
        <v>2.9304341595680367E-2</v>
      </c>
      <c r="H57" s="2430">
        <v>0.63227377435344079</v>
      </c>
      <c r="I57" s="2427">
        <v>0.30624599678983011</v>
      </c>
      <c r="J57" s="2431">
        <v>1.5435990537605354E-2</v>
      </c>
    </row>
    <row r="58" spans="1:10" x14ac:dyDescent="0.2">
      <c r="A58" s="2439" t="s">
        <v>978</v>
      </c>
      <c r="B58" s="2427">
        <v>112</v>
      </c>
      <c r="C58" s="2428">
        <v>1850000.0000000002</v>
      </c>
      <c r="D58" s="2429">
        <v>207.20000000000002</v>
      </c>
      <c r="E58" s="2430">
        <v>0.26902232219924405</v>
      </c>
      <c r="F58" s="2427">
        <v>0.17079481027159377</v>
      </c>
      <c r="G58" s="2429">
        <v>8.0443290654808857E-3</v>
      </c>
      <c r="H58" s="2430">
        <v>0.13132756530537804</v>
      </c>
      <c r="I58" s="2427">
        <v>6.3609377415747209E-2</v>
      </c>
      <c r="J58" s="2431">
        <v>3.2061602704517313E-3</v>
      </c>
    </row>
    <row r="59" spans="1:10" x14ac:dyDescent="0.2">
      <c r="A59" s="2426" t="s">
        <v>1163</v>
      </c>
      <c r="B59" s="2427">
        <v>0</v>
      </c>
      <c r="C59" s="2428">
        <v>0</v>
      </c>
      <c r="D59" s="2429">
        <v>0</v>
      </c>
      <c r="E59" s="2430">
        <v>0</v>
      </c>
      <c r="F59" s="2427">
        <v>0</v>
      </c>
      <c r="G59" s="2429">
        <v>0</v>
      </c>
      <c r="H59" s="2430">
        <v>0</v>
      </c>
      <c r="I59" s="2427">
        <v>0</v>
      </c>
      <c r="J59" s="2431">
        <v>0</v>
      </c>
    </row>
    <row r="60" spans="1:10" x14ac:dyDescent="0.2">
      <c r="A60" s="2433" t="s">
        <v>287</v>
      </c>
      <c r="B60" s="2434">
        <v>10284</v>
      </c>
      <c r="C60" s="2433"/>
      <c r="D60" s="2435">
        <v>24613.689000000006</v>
      </c>
      <c r="E60" s="2436">
        <v>24.702013941937729</v>
      </c>
      <c r="F60" s="2434">
        <v>15.682623471723842</v>
      </c>
      <c r="G60" s="2435">
        <v>0.73864178669111979</v>
      </c>
      <c r="H60" s="2436">
        <v>15.600655644564505</v>
      </c>
      <c r="I60" s="2434">
        <v>7.556281048237576</v>
      </c>
      <c r="J60" s="2437">
        <v>0.38086598349929923</v>
      </c>
    </row>
    <row r="61" spans="1:10" x14ac:dyDescent="0.2">
      <c r="A61" s="2440" t="s">
        <v>1835</v>
      </c>
      <c r="B61" s="2441">
        <v>29110.933000000001</v>
      </c>
      <c r="C61" s="2440"/>
      <c r="D61" s="2442">
        <v>126253.94756320215</v>
      </c>
      <c r="E61" s="2443">
        <v>69.924024973630409</v>
      </c>
      <c r="F61" s="2441">
        <v>44.392823915750704</v>
      </c>
      <c r="G61" s="2442">
        <v>2.0908743254925595</v>
      </c>
      <c r="H61" s="2443">
        <v>80.022314399943056</v>
      </c>
      <c r="I61" s="2441">
        <v>38.759338806832446</v>
      </c>
      <c r="J61" s="2444">
        <v>1.9536215765677358</v>
      </c>
    </row>
    <row r="62" spans="1:10" x14ac:dyDescent="0.2">
      <c r="A62" s="2445" t="s">
        <v>194</v>
      </c>
      <c r="B62" s="2446">
        <v>41632.233</v>
      </c>
      <c r="C62" s="2447"/>
      <c r="D62" s="2448">
        <v>157773.42671220214</v>
      </c>
      <c r="E62" s="2449">
        <v>100</v>
      </c>
      <c r="F62" s="2446">
        <v>63.487226218015934</v>
      </c>
      <c r="G62" s="2448">
        <v>2.9902087677033258</v>
      </c>
      <c r="H62" s="2449">
        <v>100</v>
      </c>
      <c r="I62" s="2446">
        <v>48.435663348997096</v>
      </c>
      <c r="J62" s="2450">
        <v>2.4413460060699341</v>
      </c>
    </row>
    <row r="63" spans="1:10" x14ac:dyDescent="0.2">
      <c r="A63" s="2451" t="s">
        <v>1852</v>
      </c>
      <c r="B63" s="2427"/>
      <c r="C63" s="2452"/>
      <c r="D63" s="2429"/>
      <c r="E63" s="2430"/>
      <c r="F63" s="2427"/>
      <c r="G63" s="2429"/>
      <c r="H63" s="2430"/>
      <c r="I63" s="2427">
        <v>0</v>
      </c>
      <c r="J63" s="2431">
        <v>0</v>
      </c>
    </row>
    <row r="64" spans="1:10" x14ac:dyDescent="0.2">
      <c r="A64" s="2453" t="s">
        <v>1836</v>
      </c>
      <c r="B64" s="2427">
        <v>0</v>
      </c>
      <c r="C64" s="2428">
        <v>8033612.4975057133</v>
      </c>
      <c r="D64" s="2429">
        <v>0</v>
      </c>
      <c r="E64" s="2430">
        <v>0</v>
      </c>
      <c r="F64" s="2427">
        <v>0</v>
      </c>
      <c r="G64" s="2429">
        <v>0</v>
      </c>
      <c r="H64" s="2430">
        <v>0</v>
      </c>
      <c r="I64" s="2427">
        <v>0</v>
      </c>
      <c r="J64" s="2431">
        <v>0</v>
      </c>
    </row>
    <row r="65" spans="1:10" x14ac:dyDescent="0.2">
      <c r="A65" s="2453" t="s">
        <v>1837</v>
      </c>
      <c r="B65" s="2427">
        <v>8997.98</v>
      </c>
      <c r="C65" s="2428">
        <v>2214764.1578067578</v>
      </c>
      <c r="D65" s="2429">
        <v>19928.403596662047</v>
      </c>
      <c r="E65" s="2430">
        <v>49.855055440185993</v>
      </c>
      <c r="F65" s="2427">
        <v>13.72150256185353</v>
      </c>
      <c r="G65" s="2429">
        <v>0.64627421468406865</v>
      </c>
      <c r="H65" s="2430">
        <v>22.162208178122583</v>
      </c>
      <c r="I65" s="2427">
        <v>6.1179215524778483</v>
      </c>
      <c r="J65" s="2431">
        <v>0.30836706498622213</v>
      </c>
    </row>
    <row r="66" spans="1:10" x14ac:dyDescent="0.2">
      <c r="A66" s="2454" t="s">
        <v>309</v>
      </c>
      <c r="B66" s="2434">
        <v>8997.98</v>
      </c>
      <c r="C66" s="2433"/>
      <c r="D66" s="2435">
        <v>19928.403596662047</v>
      </c>
      <c r="E66" s="2436">
        <v>49.855055440185993</v>
      </c>
      <c r="F66" s="2434">
        <v>13.72150256185353</v>
      </c>
      <c r="G66" s="2435">
        <v>0.64627421468406865</v>
      </c>
      <c r="H66" s="2436">
        <v>22.162208178122583</v>
      </c>
      <c r="I66" s="2434">
        <v>6.1179215524778483</v>
      </c>
      <c r="J66" s="2437">
        <v>0.30836706498622213</v>
      </c>
    </row>
    <row r="67" spans="1:10" x14ac:dyDescent="0.2">
      <c r="A67" s="2453" t="s">
        <v>1838</v>
      </c>
      <c r="B67" s="2427">
        <v>0</v>
      </c>
      <c r="C67" s="2428">
        <v>10407427.50198495</v>
      </c>
      <c r="D67" s="2429">
        <v>0</v>
      </c>
      <c r="E67" s="2430">
        <v>0</v>
      </c>
      <c r="F67" s="2427">
        <v>0</v>
      </c>
      <c r="G67" s="2429">
        <v>0</v>
      </c>
      <c r="H67" s="2430">
        <v>0</v>
      </c>
      <c r="I67" s="2427">
        <v>0</v>
      </c>
      <c r="J67" s="2431">
        <v>0</v>
      </c>
    </row>
    <row r="68" spans="1:10" x14ac:dyDescent="0.2">
      <c r="A68" s="2454" t="s">
        <v>315</v>
      </c>
      <c r="B68" s="2434">
        <v>0</v>
      </c>
      <c r="C68" s="2455"/>
      <c r="D68" s="2435">
        <v>0</v>
      </c>
      <c r="E68" s="2436">
        <v>0</v>
      </c>
      <c r="F68" s="2434">
        <v>0</v>
      </c>
      <c r="G68" s="2435">
        <v>0</v>
      </c>
      <c r="H68" s="2436">
        <v>0</v>
      </c>
      <c r="I68" s="2434">
        <v>0</v>
      </c>
      <c r="J68" s="2437">
        <v>0</v>
      </c>
    </row>
    <row r="69" spans="1:10" x14ac:dyDescent="0.2">
      <c r="A69" s="2453" t="s">
        <v>1541</v>
      </c>
      <c r="B69" s="2427">
        <v>1782</v>
      </c>
      <c r="C69" s="2428">
        <v>10553660</v>
      </c>
      <c r="D69" s="2429">
        <v>18806.62212</v>
      </c>
      <c r="E69" s="2430">
        <v>9.8735170332020559</v>
      </c>
      <c r="F69" s="2427">
        <v>2.7174674277141082</v>
      </c>
      <c r="G69" s="2429">
        <v>0.12799102138113336</v>
      </c>
      <c r="H69" s="2430">
        <v>20.914684537026201</v>
      </c>
      <c r="I69" s="2427">
        <v>5.7735401754170841</v>
      </c>
      <c r="J69" s="2431">
        <v>0.29100890281149955</v>
      </c>
    </row>
    <row r="70" spans="1:10" x14ac:dyDescent="0.2">
      <c r="A70" s="2453" t="s">
        <v>206</v>
      </c>
      <c r="B70" s="2427">
        <v>7250</v>
      </c>
      <c r="C70" s="2428">
        <v>6960000</v>
      </c>
      <c r="D70" s="2429">
        <v>50460</v>
      </c>
      <c r="E70" s="2430">
        <v>40.17003282307234</v>
      </c>
      <c r="F70" s="2427">
        <v>11.055914057759418</v>
      </c>
      <c r="G70" s="2429">
        <v>0.52072665825657516</v>
      </c>
      <c r="H70" s="2430">
        <v>56.116136912009274</v>
      </c>
      <c r="I70" s="2427">
        <v>15.49097096717473</v>
      </c>
      <c r="J70" s="2431">
        <v>0.78080524733105372</v>
      </c>
    </row>
    <row r="71" spans="1:10" x14ac:dyDescent="0.2">
      <c r="A71" s="2454" t="s">
        <v>310</v>
      </c>
      <c r="B71" s="2434">
        <v>9032</v>
      </c>
      <c r="C71" s="2455"/>
      <c r="D71" s="2435">
        <v>69266.62212</v>
      </c>
      <c r="E71" s="2436">
        <v>50.043549856274396</v>
      </c>
      <c r="F71" s="2434">
        <v>13.773381485473527</v>
      </c>
      <c r="G71" s="2435">
        <v>0.64871767963770843</v>
      </c>
      <c r="H71" s="2436">
        <v>77.030821449035486</v>
      </c>
      <c r="I71" s="2434">
        <v>21.264511142591815</v>
      </c>
      <c r="J71" s="2437">
        <v>1.0718141501425533</v>
      </c>
    </row>
    <row r="72" spans="1:10" x14ac:dyDescent="0.2">
      <c r="A72" s="2453" t="s">
        <v>1839</v>
      </c>
      <c r="B72" s="2427">
        <v>18.3</v>
      </c>
      <c r="C72" s="2428">
        <v>39652080.629353955</v>
      </c>
      <c r="D72" s="2429">
        <v>725.63307551717742</v>
      </c>
      <c r="E72" s="2430">
        <v>0.10139470353961709</v>
      </c>
      <c r="F72" s="2427">
        <v>2.7906652035447913E-2</v>
      </c>
      <c r="G72" s="2429">
        <v>1.3143859098062518E-3</v>
      </c>
      <c r="H72" s="2430">
        <v>0.80697037284194006</v>
      </c>
      <c r="I72" s="2427">
        <v>0.22276577300155176</v>
      </c>
      <c r="J72" s="2431">
        <v>1.122826224734013E-2</v>
      </c>
    </row>
    <row r="73" spans="1:10" x14ac:dyDescent="0.2">
      <c r="A73" s="2454" t="s">
        <v>311</v>
      </c>
      <c r="B73" s="2434">
        <v>18.3</v>
      </c>
      <c r="C73" s="2433"/>
      <c r="D73" s="2435">
        <v>725.63307551717742</v>
      </c>
      <c r="E73" s="2436">
        <v>0.10139470353961709</v>
      </c>
      <c r="F73" s="2434">
        <v>2.7906652035447913E-2</v>
      </c>
      <c r="G73" s="2435">
        <v>1.3143859098062518E-3</v>
      </c>
      <c r="H73" s="2436">
        <v>0.80697037284194006</v>
      </c>
      <c r="I73" s="2434">
        <v>0.22276577300155176</v>
      </c>
      <c r="J73" s="2437">
        <v>1.122826224734013E-2</v>
      </c>
    </row>
    <row r="74" spans="1:10" x14ac:dyDescent="0.2">
      <c r="A74" s="2456" t="s">
        <v>129</v>
      </c>
      <c r="B74" s="2441">
        <v>18048.28</v>
      </c>
      <c r="C74" s="2440"/>
      <c r="D74" s="2442">
        <v>89920.658792179223</v>
      </c>
      <c r="E74" s="2443">
        <v>100</v>
      </c>
      <c r="F74" s="2441">
        <v>27.522790699362503</v>
      </c>
      <c r="G74" s="2442">
        <v>1.2963062802315835</v>
      </c>
      <c r="H74" s="2443">
        <v>100.00000000000001</v>
      </c>
      <c r="I74" s="2441">
        <v>27.605198468071212</v>
      </c>
      <c r="J74" s="2444">
        <v>1.3914094773761156</v>
      </c>
    </row>
    <row r="75" spans="1:10" x14ac:dyDescent="0.2">
      <c r="A75" s="2451" t="s">
        <v>1853</v>
      </c>
      <c r="B75" s="2427"/>
      <c r="C75" s="2452"/>
      <c r="D75" s="2429"/>
      <c r="E75" s="2430"/>
      <c r="F75" s="2427"/>
      <c r="G75" s="2429"/>
      <c r="H75" s="2430"/>
      <c r="I75" s="2427">
        <v>0</v>
      </c>
      <c r="J75" s="2431">
        <v>0</v>
      </c>
    </row>
    <row r="76" spans="1:10" x14ac:dyDescent="0.2">
      <c r="A76" s="2426" t="s">
        <v>1543</v>
      </c>
      <c r="B76" s="2427">
        <v>5820</v>
      </c>
      <c r="C76" s="2428">
        <v>13200000</v>
      </c>
      <c r="D76" s="2429">
        <v>76824</v>
      </c>
      <c r="E76" s="2430">
        <v>98.72354861965141</v>
      </c>
      <c r="F76" s="2427">
        <v>8.8752303194703188</v>
      </c>
      <c r="G76" s="2429">
        <v>0.41801781393838167</v>
      </c>
      <c r="H76" s="2430">
        <v>98.436716187845192</v>
      </c>
      <c r="I76" s="2427">
        <v>23.584588854186116</v>
      </c>
      <c r="J76" s="2431">
        <v>1.1887550995037826</v>
      </c>
    </row>
    <row r="77" spans="1:10" x14ac:dyDescent="0.2">
      <c r="A77" s="2426" t="s">
        <v>208</v>
      </c>
      <c r="B77" s="2427">
        <v>6</v>
      </c>
      <c r="C77" s="2428">
        <v>10000000</v>
      </c>
      <c r="D77" s="2429">
        <v>60</v>
      </c>
      <c r="E77" s="2430">
        <v>0.10177685424706331</v>
      </c>
      <c r="F77" s="2427">
        <v>9.1497219788353804E-3</v>
      </c>
      <c r="G77" s="2429">
        <v>4.3094619993647604E-4</v>
      </c>
      <c r="H77" s="2430">
        <v>7.6879659628120267E-2</v>
      </c>
      <c r="I77" s="2427">
        <v>1.8419703884868882E-2</v>
      </c>
      <c r="J77" s="2431">
        <v>9.2842478874084874E-4</v>
      </c>
    </row>
    <row r="78" spans="1:10" x14ac:dyDescent="0.2">
      <c r="A78" s="2426" t="s">
        <v>209</v>
      </c>
      <c r="B78" s="2427">
        <v>4</v>
      </c>
      <c r="C78" s="2428">
        <v>10000000</v>
      </c>
      <c r="D78" s="2429">
        <v>40</v>
      </c>
      <c r="E78" s="2430">
        <v>6.7851236164708867E-2</v>
      </c>
      <c r="F78" s="2427">
        <v>6.0998146525569202E-3</v>
      </c>
      <c r="G78" s="2429">
        <v>2.8729746662431731E-4</v>
      </c>
      <c r="H78" s="2430">
        <v>5.1253106418746849E-2</v>
      </c>
      <c r="I78" s="2427">
        <v>1.2279802589912589E-2</v>
      </c>
      <c r="J78" s="2431">
        <v>6.1894985916056576E-4</v>
      </c>
    </row>
    <row r="79" spans="1:10" x14ac:dyDescent="0.2">
      <c r="A79" s="2426" t="s">
        <v>210</v>
      </c>
      <c r="B79" s="2427">
        <v>45</v>
      </c>
      <c r="C79" s="2428">
        <v>18500000</v>
      </c>
      <c r="D79" s="2429">
        <v>832.5</v>
      </c>
      <c r="E79" s="2430">
        <v>0.76332640685297481</v>
      </c>
      <c r="F79" s="2427">
        <v>6.8622914841265356E-2</v>
      </c>
      <c r="G79" s="2429">
        <v>3.2320964995235699E-3</v>
      </c>
      <c r="H79" s="2430">
        <v>1.0667052773401688</v>
      </c>
      <c r="I79" s="2427">
        <v>0.25557339140255569</v>
      </c>
      <c r="J79" s="2431">
        <v>1.2881893943779275E-2</v>
      </c>
    </row>
    <row r="80" spans="1:10" x14ac:dyDescent="0.2">
      <c r="A80" s="2426" t="s">
        <v>1545</v>
      </c>
      <c r="B80" s="2427">
        <v>20.25</v>
      </c>
      <c r="C80" s="2428">
        <v>14200000</v>
      </c>
      <c r="D80" s="2429">
        <v>287.55</v>
      </c>
      <c r="E80" s="2430">
        <v>0.34349688308383869</v>
      </c>
      <c r="F80" s="2427">
        <v>3.088031167856941E-2</v>
      </c>
      <c r="G80" s="2429">
        <v>1.4544434247856064E-3</v>
      </c>
      <c r="H80" s="2430">
        <v>0.36844576876776641</v>
      </c>
      <c r="I80" s="2427">
        <v>8.8276430868234113E-2</v>
      </c>
      <c r="J80" s="2431">
        <v>4.4494758000405178E-3</v>
      </c>
    </row>
    <row r="81" spans="1:10" x14ac:dyDescent="0.2">
      <c r="A81" s="2426" t="s">
        <v>1546</v>
      </c>
      <c r="B81" s="2427">
        <v>0</v>
      </c>
      <c r="C81" s="2428">
        <v>10000000</v>
      </c>
      <c r="D81" s="2429">
        <v>0</v>
      </c>
      <c r="E81" s="2430">
        <v>0</v>
      </c>
      <c r="F81" s="2427">
        <v>0</v>
      </c>
      <c r="G81" s="2429">
        <v>0</v>
      </c>
      <c r="H81" s="2430">
        <v>0</v>
      </c>
      <c r="I81" s="2427">
        <v>0</v>
      </c>
      <c r="J81" s="2431">
        <v>0</v>
      </c>
    </row>
    <row r="82" spans="1:10" x14ac:dyDescent="0.2">
      <c r="A82" s="2456" t="s">
        <v>121</v>
      </c>
      <c r="B82" s="2441">
        <v>5895.25</v>
      </c>
      <c r="C82" s="2440"/>
      <c r="D82" s="2442">
        <v>78044.05</v>
      </c>
      <c r="E82" s="2443">
        <v>100</v>
      </c>
      <c r="F82" s="2441">
        <v>8.9899830826215457</v>
      </c>
      <c r="G82" s="2442">
        <v>0.42342259752925171</v>
      </c>
      <c r="H82" s="2443">
        <v>99.999999999999986</v>
      </c>
      <c r="I82" s="2441">
        <v>23.959138182931689</v>
      </c>
      <c r="J82" s="2444">
        <v>1.2076338438955039</v>
      </c>
    </row>
    <row r="83" spans="1:10" ht="14.25" thickBot="1" x14ac:dyDescent="0.25">
      <c r="A83" s="2457" t="s">
        <v>1840</v>
      </c>
      <c r="B83" s="2446">
        <v>65575.763000000006</v>
      </c>
      <c r="C83" s="2458"/>
      <c r="D83" s="2448">
        <v>325738.13550438138</v>
      </c>
      <c r="E83" s="2459"/>
      <c r="F83" s="2460">
        <v>99.999999999999986</v>
      </c>
      <c r="G83" s="2461">
        <v>4.7099376454641604</v>
      </c>
      <c r="H83" s="2462"/>
      <c r="I83" s="2460">
        <v>100</v>
      </c>
      <c r="J83" s="2463">
        <v>5.0403893273415541</v>
      </c>
    </row>
    <row r="84" spans="1:10" ht="15" thickBot="1" x14ac:dyDescent="0.25">
      <c r="A84" s="2464" t="s">
        <v>1841</v>
      </c>
      <c r="B84" s="2465">
        <v>1392285.1624830281</v>
      </c>
      <c r="C84" s="2466"/>
      <c r="D84" s="2467">
        <v>6462559.0276810033</v>
      </c>
      <c r="E84" s="2468"/>
      <c r="F84" s="2469"/>
      <c r="G84" s="2469"/>
      <c r="H84" s="2469"/>
      <c r="I84" s="2469"/>
      <c r="J84" s="2469"/>
    </row>
    <row r="85" spans="1:10" ht="16.5" thickBot="1" x14ac:dyDescent="0.3">
      <c r="A85" s="2470" t="s">
        <v>1842</v>
      </c>
      <c r="B85" s="2471">
        <v>4.7099376454641613</v>
      </c>
      <c r="C85" s="2472"/>
      <c r="D85" s="2473">
        <v>5.0403893273415541</v>
      </c>
      <c r="E85" s="2468"/>
      <c r="F85" s="2469"/>
      <c r="G85" s="2469"/>
      <c r="H85" s="2469"/>
      <c r="I85" s="2469"/>
      <c r="J85" s="2469"/>
    </row>
    <row r="86" spans="1:10" x14ac:dyDescent="0.2">
      <c r="A86" s="2474" t="s">
        <v>2023</v>
      </c>
      <c r="B86" s="2474"/>
      <c r="C86" s="2474"/>
      <c r="D86" s="2475"/>
      <c r="E86" s="2474"/>
      <c r="F86" s="2474"/>
      <c r="H86" s="2474"/>
      <c r="I86" s="2474"/>
      <c r="J86" s="2474"/>
    </row>
    <row r="87" spans="1:10" x14ac:dyDescent="0.2">
      <c r="A87" s="2474" t="s">
        <v>1843</v>
      </c>
      <c r="B87" s="2474"/>
      <c r="C87" s="2474"/>
      <c r="D87" s="2474"/>
      <c r="E87" s="2474"/>
      <c r="F87" s="2474"/>
      <c r="G87" s="2474"/>
      <c r="H87" s="2474"/>
      <c r="I87" s="2474"/>
      <c r="J87" s="2474"/>
    </row>
    <row r="88" spans="1:10" x14ac:dyDescent="0.2">
      <c r="A88" s="2474" t="s">
        <v>2024</v>
      </c>
      <c r="B88" s="2474"/>
      <c r="C88" s="2474"/>
      <c r="D88" s="2474"/>
      <c r="E88" s="2474"/>
      <c r="F88" s="2474"/>
      <c r="G88" s="2474"/>
      <c r="H88" s="2474"/>
      <c r="I88" s="2474"/>
      <c r="J88" s="2474"/>
    </row>
    <row r="92" spans="1:10" ht="13.5" thickBot="1" x14ac:dyDescent="0.25">
      <c r="A92" s="3321" t="s">
        <v>2021</v>
      </c>
      <c r="B92" s="3321"/>
      <c r="C92" s="3321"/>
      <c r="D92" s="3321"/>
      <c r="E92" s="3321"/>
      <c r="F92" s="3321"/>
      <c r="G92" s="3321"/>
      <c r="H92" s="3321"/>
      <c r="I92" s="3321"/>
      <c r="J92" s="3321"/>
    </row>
    <row r="93" spans="1:10" ht="13.5" customHeight="1" thickBot="1" x14ac:dyDescent="0.25">
      <c r="A93" s="3322" t="s">
        <v>354</v>
      </c>
      <c r="B93" s="3324" t="s">
        <v>1272</v>
      </c>
      <c r="C93" s="3324" t="s">
        <v>1832</v>
      </c>
      <c r="D93" s="3326" t="s">
        <v>1844</v>
      </c>
      <c r="E93" s="3328" t="s">
        <v>1849</v>
      </c>
      <c r="F93" s="3329"/>
      <c r="G93" s="3330"/>
      <c r="H93" s="3328" t="s">
        <v>1850</v>
      </c>
      <c r="I93" s="3329"/>
      <c r="J93" s="3331"/>
    </row>
    <row r="94" spans="1:10" ht="13.5" customHeight="1" thickBot="1" x14ac:dyDescent="0.25">
      <c r="A94" s="3323"/>
      <c r="B94" s="3325"/>
      <c r="C94" s="3325"/>
      <c r="D94" s="3327"/>
      <c r="E94" s="2415" t="s">
        <v>1848</v>
      </c>
      <c r="F94" s="2416" t="s">
        <v>1231</v>
      </c>
      <c r="G94" s="2417" t="s">
        <v>1833</v>
      </c>
      <c r="H94" s="2415" t="s">
        <v>1848</v>
      </c>
      <c r="I94" s="2416" t="s">
        <v>1231</v>
      </c>
      <c r="J94" s="2418" t="s">
        <v>1833</v>
      </c>
    </row>
    <row r="95" spans="1:10" x14ac:dyDescent="0.2">
      <c r="A95" s="2419" t="s">
        <v>1851</v>
      </c>
      <c r="B95" s="2420"/>
      <c r="C95" s="2420"/>
      <c r="D95" s="2421"/>
      <c r="E95" s="2422"/>
      <c r="F95" s="2423"/>
      <c r="G95" s="2424"/>
      <c r="H95" s="2422"/>
      <c r="I95" s="2423"/>
      <c r="J95" s="2425"/>
    </row>
    <row r="96" spans="1:10" x14ac:dyDescent="0.2">
      <c r="A96" s="2426" t="s">
        <v>410</v>
      </c>
      <c r="B96" s="2427">
        <v>90</v>
      </c>
      <c r="C96" s="2428">
        <v>5667200.0000000009</v>
      </c>
      <c r="D96" s="2429">
        <v>510.04800000000006</v>
      </c>
      <c r="E96" s="2430">
        <v>0.29908608435013739</v>
      </c>
      <c r="F96" s="2427">
        <v>0.18915471627740008</v>
      </c>
      <c r="G96" s="2429">
        <v>6.4641929990471398E-3</v>
      </c>
      <c r="H96" s="2430">
        <v>0.67486111126497006</v>
      </c>
      <c r="I96" s="2427">
        <v>0.23595097658686451</v>
      </c>
      <c r="J96" s="2431">
        <v>7.8923534441282077E-3</v>
      </c>
    </row>
    <row r="97" spans="1:10" x14ac:dyDescent="0.2">
      <c r="A97" s="2426" t="s">
        <v>411</v>
      </c>
      <c r="B97" s="2427">
        <v>14875</v>
      </c>
      <c r="C97" s="2428">
        <v>1753716.5000000002</v>
      </c>
      <c r="D97" s="2429">
        <v>26086.532937500004</v>
      </c>
      <c r="E97" s="2430">
        <v>49.432283385647715</v>
      </c>
      <c r="F97" s="2427">
        <v>31.263071162514738</v>
      </c>
      <c r="G97" s="2429">
        <v>1.06838745400918</v>
      </c>
      <c r="H97" s="2430">
        <v>34.515940866842918</v>
      </c>
      <c r="I97" s="2427">
        <v>12.06777190062216</v>
      </c>
      <c r="J97" s="2431">
        <v>0.40365639719132718</v>
      </c>
    </row>
    <row r="98" spans="1:10" x14ac:dyDescent="0.2">
      <c r="A98" s="2426" t="s">
        <v>278</v>
      </c>
      <c r="B98" s="2427">
        <v>2216.0699999999997</v>
      </c>
      <c r="C98" s="2428">
        <v>1637875</v>
      </c>
      <c r="D98" s="2429">
        <v>3629.6456512499994</v>
      </c>
      <c r="E98" s="2430">
        <v>7.364396654953433</v>
      </c>
      <c r="F98" s="2427">
        <v>4.6575565788984221</v>
      </c>
      <c r="G98" s="2429">
        <v>0.15916782421553768</v>
      </c>
      <c r="H98" s="2430">
        <v>4.8025023089996237</v>
      </c>
      <c r="I98" s="2427">
        <v>1.6790938030865781</v>
      </c>
      <c r="J98" s="2431">
        <v>5.6164216616098675E-2</v>
      </c>
    </row>
    <row r="99" spans="1:10" x14ac:dyDescent="0.2">
      <c r="A99" s="2426" t="s">
        <v>200</v>
      </c>
      <c r="B99" s="2427">
        <v>145.4</v>
      </c>
      <c r="C99" s="2428">
        <v>7709114.5</v>
      </c>
      <c r="D99" s="2429">
        <v>1120.9052483</v>
      </c>
      <c r="E99" s="2430">
        <v>0.48319018516122203</v>
      </c>
      <c r="F99" s="2427">
        <v>0.30558995274148859</v>
      </c>
      <c r="G99" s="2429">
        <v>1.0443262911793936E-2</v>
      </c>
      <c r="H99" s="2430">
        <v>1.4831062203762688</v>
      </c>
      <c r="I99" s="2427">
        <v>0.51853685927153292</v>
      </c>
      <c r="J99" s="2431">
        <v>1.73446036391906E-2</v>
      </c>
    </row>
    <row r="100" spans="1:10" x14ac:dyDescent="0.2">
      <c r="A100" s="2426" t="s">
        <v>429</v>
      </c>
      <c r="B100" s="2427">
        <v>0</v>
      </c>
      <c r="C100" s="2428">
        <v>1255000</v>
      </c>
      <c r="D100" s="2429">
        <v>0</v>
      </c>
      <c r="E100" s="2430">
        <v>0</v>
      </c>
      <c r="F100" s="2427">
        <v>0</v>
      </c>
      <c r="G100" s="2429">
        <v>0</v>
      </c>
      <c r="H100" s="2430">
        <v>0</v>
      </c>
      <c r="I100" s="2427">
        <v>0</v>
      </c>
      <c r="J100" s="2431">
        <v>0</v>
      </c>
    </row>
    <row r="101" spans="1:10" x14ac:dyDescent="0.2">
      <c r="A101" s="2432" t="s">
        <v>431</v>
      </c>
      <c r="B101" s="2427">
        <v>0</v>
      </c>
      <c r="C101" s="2428">
        <v>0</v>
      </c>
      <c r="D101" s="2429">
        <v>0</v>
      </c>
      <c r="E101" s="2430">
        <v>0</v>
      </c>
      <c r="F101" s="2427">
        <v>0</v>
      </c>
      <c r="G101" s="2429">
        <v>0</v>
      </c>
      <c r="H101" s="2430">
        <v>0</v>
      </c>
      <c r="I101" s="2427">
        <v>0</v>
      </c>
      <c r="J101" s="2431">
        <v>0</v>
      </c>
    </row>
    <row r="102" spans="1:10" x14ac:dyDescent="0.2">
      <c r="A102" s="2432" t="s">
        <v>430</v>
      </c>
      <c r="B102" s="2427">
        <v>0</v>
      </c>
      <c r="C102" s="2428">
        <v>0</v>
      </c>
      <c r="D102" s="2429">
        <v>0</v>
      </c>
      <c r="E102" s="2430">
        <v>0</v>
      </c>
      <c r="F102" s="2427">
        <v>0</v>
      </c>
      <c r="G102" s="2429">
        <v>0</v>
      </c>
      <c r="H102" s="2430">
        <v>0</v>
      </c>
      <c r="I102" s="2427">
        <v>0</v>
      </c>
      <c r="J102" s="2431">
        <v>0</v>
      </c>
    </row>
    <row r="103" spans="1:10" x14ac:dyDescent="0.2">
      <c r="A103" s="2433" t="s">
        <v>279</v>
      </c>
      <c r="B103" s="2434">
        <v>17326.47</v>
      </c>
      <c r="C103" s="2433"/>
      <c r="D103" s="2435">
        <v>31347.131837050005</v>
      </c>
      <c r="E103" s="2476">
        <v>57.578956310112503</v>
      </c>
      <c r="F103" s="2477">
        <v>36.415372410432049</v>
      </c>
      <c r="G103" s="2435">
        <v>1.244462734135559</v>
      </c>
      <c r="H103" s="2476">
        <v>41.476410507483777</v>
      </c>
      <c r="I103" s="2477">
        <v>14.501353539567138</v>
      </c>
      <c r="J103" s="2437">
        <v>0.48505757089074469</v>
      </c>
    </row>
    <row r="104" spans="1:10" x14ac:dyDescent="0.2">
      <c r="A104" s="2438" t="s">
        <v>412</v>
      </c>
      <c r="B104" s="2427">
        <v>24</v>
      </c>
      <c r="C104" s="2428">
        <v>4129499.9999999995</v>
      </c>
      <c r="D104" s="2429">
        <v>99.10799999999999</v>
      </c>
      <c r="E104" s="2430">
        <v>7.9756289160036631E-2</v>
      </c>
      <c r="F104" s="2427">
        <v>5.0441257673973353E-2</v>
      </c>
      <c r="G104" s="2429">
        <v>1.7237847997459042E-3</v>
      </c>
      <c r="H104" s="2430">
        <v>0.13113302084362383</v>
      </c>
      <c r="I104" s="2427">
        <v>4.5847899389020168E-2</v>
      </c>
      <c r="J104" s="2431">
        <v>1.5335720660421338E-3</v>
      </c>
    </row>
    <row r="105" spans="1:10" x14ac:dyDescent="0.2">
      <c r="A105" s="2438" t="s">
        <v>413</v>
      </c>
      <c r="B105" s="2427">
        <v>0</v>
      </c>
      <c r="C105" s="2428">
        <v>1200000</v>
      </c>
      <c r="D105" s="2429">
        <v>0</v>
      </c>
      <c r="E105" s="2430">
        <v>0</v>
      </c>
      <c r="F105" s="2427">
        <v>0</v>
      </c>
      <c r="G105" s="2429">
        <v>0</v>
      </c>
      <c r="H105" s="2430">
        <v>0</v>
      </c>
      <c r="I105" s="2427">
        <v>0</v>
      </c>
      <c r="J105" s="2431">
        <v>0</v>
      </c>
    </row>
    <row r="106" spans="1:10" x14ac:dyDescent="0.2">
      <c r="A106" s="2426" t="s">
        <v>90</v>
      </c>
      <c r="B106" s="2427">
        <v>0</v>
      </c>
      <c r="C106" s="2428">
        <v>1743000</v>
      </c>
      <c r="D106" s="2429">
        <v>0</v>
      </c>
      <c r="E106" s="2430">
        <v>0</v>
      </c>
      <c r="F106" s="2427">
        <v>0</v>
      </c>
      <c r="G106" s="2429">
        <v>0</v>
      </c>
      <c r="H106" s="2430">
        <v>0</v>
      </c>
      <c r="I106" s="2427">
        <v>0</v>
      </c>
      <c r="J106" s="2431">
        <v>0</v>
      </c>
    </row>
    <row r="107" spans="1:10" x14ac:dyDescent="0.2">
      <c r="A107" s="2426" t="s">
        <v>417</v>
      </c>
      <c r="B107" s="2427">
        <v>0</v>
      </c>
      <c r="C107" s="2428">
        <v>2563999.9999999995</v>
      </c>
      <c r="D107" s="2429">
        <v>0</v>
      </c>
      <c r="E107" s="2430">
        <v>0</v>
      </c>
      <c r="F107" s="2427">
        <v>0</v>
      </c>
      <c r="G107" s="2429">
        <v>0</v>
      </c>
      <c r="H107" s="2430">
        <v>0</v>
      </c>
      <c r="I107" s="2427">
        <v>0</v>
      </c>
      <c r="J107" s="2431">
        <v>0</v>
      </c>
    </row>
    <row r="108" spans="1:10" x14ac:dyDescent="0.2">
      <c r="A108" s="2426" t="s">
        <v>418</v>
      </c>
      <c r="B108" s="2427">
        <v>86.22</v>
      </c>
      <c r="C108" s="2428">
        <v>2222500</v>
      </c>
      <c r="D108" s="2429">
        <v>191.62395000000001</v>
      </c>
      <c r="E108" s="2430">
        <v>0.2865244688074316</v>
      </c>
      <c r="F108" s="2427">
        <v>0.18121021819374927</v>
      </c>
      <c r="G108" s="2429">
        <v>6.1926968930871599E-3</v>
      </c>
      <c r="H108" s="2430">
        <v>0.25354388575581721</v>
      </c>
      <c r="I108" s="2427">
        <v>8.8646280624436302E-2</v>
      </c>
      <c r="J108" s="2431">
        <v>2.9651404216072827E-3</v>
      </c>
    </row>
    <row r="109" spans="1:10" x14ac:dyDescent="0.2">
      <c r="A109" s="2426" t="s">
        <v>423</v>
      </c>
      <c r="B109" s="2427">
        <v>3146</v>
      </c>
      <c r="C109" s="2428">
        <v>2531500</v>
      </c>
      <c r="D109" s="2429">
        <v>7964.0990000000002</v>
      </c>
      <c r="E109" s="2430">
        <v>10.454720237394802</v>
      </c>
      <c r="F109" s="2427">
        <v>6.6120081934300075</v>
      </c>
      <c r="G109" s="2429">
        <v>0.22595945750002561</v>
      </c>
      <c r="H109" s="2430">
        <v>10.537558624608344</v>
      </c>
      <c r="I109" s="2427">
        <v>3.6842354772187536</v>
      </c>
      <c r="J109" s="2431">
        <v>0.12323444885977007</v>
      </c>
    </row>
    <row r="110" spans="1:10" x14ac:dyDescent="0.2">
      <c r="A110" s="2426" t="s">
        <v>424</v>
      </c>
      <c r="B110" s="2427">
        <v>0</v>
      </c>
      <c r="C110" s="2428">
        <v>1369000</v>
      </c>
      <c r="D110" s="2429">
        <v>0</v>
      </c>
      <c r="E110" s="2430">
        <v>0</v>
      </c>
      <c r="F110" s="2427">
        <v>0</v>
      </c>
      <c r="G110" s="2429">
        <v>0</v>
      </c>
      <c r="H110" s="2430">
        <v>0</v>
      </c>
      <c r="I110" s="2427">
        <v>0</v>
      </c>
      <c r="J110" s="2431">
        <v>0</v>
      </c>
    </row>
    <row r="111" spans="1:10" x14ac:dyDescent="0.2">
      <c r="A111" s="2426" t="s">
        <v>280</v>
      </c>
      <c r="B111" s="2427">
        <v>0</v>
      </c>
      <c r="C111" s="2428">
        <v>1574500</v>
      </c>
      <c r="D111" s="2429">
        <v>0</v>
      </c>
      <c r="E111" s="2430">
        <v>0</v>
      </c>
      <c r="F111" s="2427">
        <v>0</v>
      </c>
      <c r="G111" s="2429">
        <v>0</v>
      </c>
      <c r="H111" s="2430">
        <v>0</v>
      </c>
      <c r="I111" s="2427">
        <v>0</v>
      </c>
      <c r="J111" s="2431">
        <v>0</v>
      </c>
    </row>
    <row r="112" spans="1:10" x14ac:dyDescent="0.2">
      <c r="A112" s="2426" t="s">
        <v>427</v>
      </c>
      <c r="B112" s="2427">
        <v>0</v>
      </c>
      <c r="C112" s="2428">
        <v>2072000</v>
      </c>
      <c r="D112" s="2429">
        <v>0</v>
      </c>
      <c r="E112" s="2430">
        <v>0</v>
      </c>
      <c r="F112" s="2427">
        <v>0</v>
      </c>
      <c r="G112" s="2429">
        <v>0</v>
      </c>
      <c r="H112" s="2430">
        <v>0</v>
      </c>
      <c r="I112" s="2427">
        <v>0</v>
      </c>
      <c r="J112" s="2431">
        <v>0</v>
      </c>
    </row>
    <row r="113" spans="1:10" x14ac:dyDescent="0.2">
      <c r="A113" s="2426" t="s">
        <v>428</v>
      </c>
      <c r="B113" s="2427">
        <v>510</v>
      </c>
      <c r="C113" s="2428">
        <v>1326280</v>
      </c>
      <c r="D113" s="2429">
        <v>676.40279999999996</v>
      </c>
      <c r="E113" s="2430">
        <v>1.6948211446507786</v>
      </c>
      <c r="F113" s="2427">
        <v>1.0718767255719339</v>
      </c>
      <c r="G113" s="2429">
        <v>3.6630426994600458E-2</v>
      </c>
      <c r="H113" s="2430">
        <v>0.89497056212501025</v>
      </c>
      <c r="I113" s="2427">
        <v>0.31290761109952309</v>
      </c>
      <c r="J113" s="2431">
        <v>1.0466485444895307E-2</v>
      </c>
    </row>
    <row r="114" spans="1:10" x14ac:dyDescent="0.2">
      <c r="A114" s="2439" t="s">
        <v>92</v>
      </c>
      <c r="B114" s="2427">
        <v>220</v>
      </c>
      <c r="C114" s="2428">
        <v>2215500</v>
      </c>
      <c r="D114" s="2429">
        <v>487.41</v>
      </c>
      <c r="E114" s="2430">
        <v>0.73109931730033595</v>
      </c>
      <c r="F114" s="2427">
        <v>0.46237819534475577</v>
      </c>
      <c r="G114" s="2429">
        <v>1.5801360664337454E-2</v>
      </c>
      <c r="H114" s="2430">
        <v>0.64490803658020235</v>
      </c>
      <c r="I114" s="2427">
        <v>0.22547851476371561</v>
      </c>
      <c r="J114" s="2431">
        <v>7.5420587713362847E-3</v>
      </c>
    </row>
    <row r="115" spans="1:10" x14ac:dyDescent="0.2">
      <c r="A115" s="2433" t="s">
        <v>281</v>
      </c>
      <c r="B115" s="2434">
        <v>3986.22</v>
      </c>
      <c r="C115" s="2433"/>
      <c r="D115" s="2435">
        <v>9418.6437499999993</v>
      </c>
      <c r="E115" s="2436">
        <v>13.246921457313384</v>
      </c>
      <c r="F115" s="2434">
        <v>8.3779145902144201</v>
      </c>
      <c r="G115" s="2435">
        <v>0.28630772685179656</v>
      </c>
      <c r="H115" s="2436">
        <v>12.462114129912996</v>
      </c>
      <c r="I115" s="2434">
        <v>4.3571157830954474</v>
      </c>
      <c r="J115" s="2437">
        <v>0.14574170556365107</v>
      </c>
    </row>
    <row r="116" spans="1:10" x14ac:dyDescent="0.2">
      <c r="A116" s="2440" t="s">
        <v>106</v>
      </c>
      <c r="B116" s="2441">
        <v>21312.690000000002</v>
      </c>
      <c r="C116" s="2440"/>
      <c r="D116" s="2442">
        <v>40765.775587050004</v>
      </c>
      <c r="E116" s="2443">
        <v>70.825877767425894</v>
      </c>
      <c r="F116" s="2441">
        <v>44.793287000646473</v>
      </c>
      <c r="G116" s="2442">
        <v>1.5307704609873556</v>
      </c>
      <c r="H116" s="2443">
        <v>53.938524637396782</v>
      </c>
      <c r="I116" s="2441">
        <v>18.858469322662586</v>
      </c>
      <c r="J116" s="2444">
        <v>0.63079927645439582</v>
      </c>
    </row>
    <row r="117" spans="1:10" x14ac:dyDescent="0.2">
      <c r="A117" s="2426" t="s">
        <v>905</v>
      </c>
      <c r="B117" s="2427">
        <v>50</v>
      </c>
      <c r="C117" s="2428">
        <v>6100000</v>
      </c>
      <c r="D117" s="2429">
        <v>305</v>
      </c>
      <c r="E117" s="2430">
        <v>0.16615893575007634</v>
      </c>
      <c r="F117" s="2427">
        <v>0.1050859534874445</v>
      </c>
      <c r="G117" s="2429">
        <v>3.5912183328039664E-3</v>
      </c>
      <c r="H117" s="2430">
        <v>0.40355542799072996</v>
      </c>
      <c r="I117" s="2427">
        <v>0.14109465748124425</v>
      </c>
      <c r="J117" s="2431">
        <v>4.7194926760993142E-3</v>
      </c>
    </row>
    <row r="118" spans="1:10" x14ac:dyDescent="0.2">
      <c r="A118" s="2426" t="s">
        <v>906</v>
      </c>
      <c r="B118" s="2427">
        <v>24</v>
      </c>
      <c r="C118" s="2428">
        <v>3022000.0000000005</v>
      </c>
      <c r="D118" s="2429">
        <v>72.52800000000002</v>
      </c>
      <c r="E118" s="2430">
        <v>7.9756289160036631E-2</v>
      </c>
      <c r="F118" s="2427">
        <v>5.0441257673973353E-2</v>
      </c>
      <c r="G118" s="2429">
        <v>1.7237847997459042E-3</v>
      </c>
      <c r="H118" s="2430">
        <v>9.5964157643644826E-2</v>
      </c>
      <c r="I118" s="2427">
        <v>3.3551846943605523E-2</v>
      </c>
      <c r="J118" s="2431">
        <v>1.1222798846299382E-3</v>
      </c>
    </row>
    <row r="119" spans="1:10" x14ac:dyDescent="0.2">
      <c r="A119" s="2426" t="s">
        <v>907</v>
      </c>
      <c r="B119" s="2427">
        <v>72</v>
      </c>
      <c r="C119" s="2428">
        <v>2324000</v>
      </c>
      <c r="D119" s="2429">
        <v>167.328</v>
      </c>
      <c r="E119" s="2430">
        <v>0.23926886748010992</v>
      </c>
      <c r="F119" s="2427">
        <v>0.15132377302192007</v>
      </c>
      <c r="G119" s="2429">
        <v>5.1713543992377119E-3</v>
      </c>
      <c r="H119" s="2430">
        <v>0.2213971234584684</v>
      </c>
      <c r="I119" s="2427">
        <v>7.7406842121382421E-2</v>
      </c>
      <c r="J119" s="2431">
        <v>2.5891910508404792E-3</v>
      </c>
    </row>
    <row r="120" spans="1:10" x14ac:dyDescent="0.2">
      <c r="A120" s="2439" t="s">
        <v>908</v>
      </c>
      <c r="B120" s="2427">
        <v>900</v>
      </c>
      <c r="C120" s="2428">
        <v>2403999.9999999995</v>
      </c>
      <c r="D120" s="2429">
        <v>2163.5999999999995</v>
      </c>
      <c r="E120" s="2430">
        <v>2.9908608435013742</v>
      </c>
      <c r="F120" s="2427">
        <v>1.8915471627740008</v>
      </c>
      <c r="G120" s="2429">
        <v>6.46419299904714E-2</v>
      </c>
      <c r="H120" s="2430">
        <v>2.8627295868876823</v>
      </c>
      <c r="I120" s="2427">
        <v>1.0008931177915408</v>
      </c>
      <c r="J120" s="2431">
        <v>3.3478997881994994E-2</v>
      </c>
    </row>
    <row r="121" spans="1:10" x14ac:dyDescent="0.2">
      <c r="A121" s="2440" t="s">
        <v>282</v>
      </c>
      <c r="B121" s="2441">
        <v>1046</v>
      </c>
      <c r="C121" s="2440"/>
      <c r="D121" s="2442">
        <v>2708.4559999999992</v>
      </c>
      <c r="E121" s="2443">
        <v>3.476044935891597</v>
      </c>
      <c r="F121" s="2441">
        <v>2.1983981469573388</v>
      </c>
      <c r="G121" s="2442">
        <v>7.5128287522258988E-2</v>
      </c>
      <c r="H121" s="2443">
        <v>3.5836462959805258</v>
      </c>
      <c r="I121" s="2441">
        <v>1.2529464643377728</v>
      </c>
      <c r="J121" s="2444">
        <v>4.1909961493564726E-2</v>
      </c>
    </row>
    <row r="122" spans="1:10" x14ac:dyDescent="0.2">
      <c r="A122" s="2426" t="s">
        <v>955</v>
      </c>
      <c r="B122" s="2427">
        <v>35.25</v>
      </c>
      <c r="C122" s="2428">
        <v>12137000</v>
      </c>
      <c r="D122" s="2429">
        <v>427.82925</v>
      </c>
      <c r="E122" s="2430">
        <v>0.11714204970380382</v>
      </c>
      <c r="F122" s="2427">
        <v>7.4085597208648366E-2</v>
      </c>
      <c r="G122" s="2429">
        <v>2.5318089246267965E-3</v>
      </c>
      <c r="H122" s="2430">
        <v>0.56607480685476397</v>
      </c>
      <c r="I122" s="2427">
        <v>0.19791613603018887</v>
      </c>
      <c r="J122" s="2431">
        <v>6.6201213508067626E-3</v>
      </c>
    </row>
    <row r="123" spans="1:10" x14ac:dyDescent="0.2">
      <c r="A123" s="2426" t="s">
        <v>283</v>
      </c>
      <c r="B123" s="2427">
        <v>753.23869707019219</v>
      </c>
      <c r="C123" s="2428">
        <v>13024549.999999996</v>
      </c>
      <c r="D123" s="2429">
        <v>9810.5950719255688</v>
      </c>
      <c r="E123" s="2430">
        <v>2.5031468054191452</v>
      </c>
      <c r="F123" s="2427">
        <v>1.5830961337052301</v>
      </c>
      <c r="G123" s="2429">
        <v>5.4100892357916958E-2</v>
      </c>
      <c r="H123" s="2430">
        <v>12.980717682277604</v>
      </c>
      <c r="I123" s="2427">
        <v>4.5384345946246585</v>
      </c>
      <c r="J123" s="2431">
        <v>0.15180666095124179</v>
      </c>
    </row>
    <row r="124" spans="1:10" x14ac:dyDescent="0.2">
      <c r="A124" s="2426" t="s">
        <v>69</v>
      </c>
      <c r="B124" s="2427">
        <v>594.9546326023077</v>
      </c>
      <c r="C124" s="2428">
        <v>14978232.499999994</v>
      </c>
      <c r="D124" s="2429">
        <v>8911.3688140694412</v>
      </c>
      <c r="E124" s="2430">
        <v>1.9771405714555423</v>
      </c>
      <c r="F124" s="2427">
        <v>1.2504274969757148</v>
      </c>
      <c r="G124" s="2429">
        <v>4.2732239675761119E-2</v>
      </c>
      <c r="H124" s="2430">
        <v>11.790922149983729</v>
      </c>
      <c r="I124" s="2427">
        <v>4.122447641016949</v>
      </c>
      <c r="J124" s="2431">
        <v>0.13789226180990347</v>
      </c>
    </row>
    <row r="125" spans="1:10" x14ac:dyDescent="0.2">
      <c r="A125" s="2426" t="s">
        <v>199</v>
      </c>
      <c r="B125" s="2427">
        <v>504.88749999999993</v>
      </c>
      <c r="C125" s="2428">
        <v>3000000</v>
      </c>
      <c r="D125" s="2429">
        <v>1514.6624999999997</v>
      </c>
      <c r="E125" s="2430">
        <v>1.6778313934703331</v>
      </c>
      <c r="F125" s="2427">
        <v>1.0611316868278424</v>
      </c>
      <c r="G125" s="2429">
        <v>3.6263224920071245E-2</v>
      </c>
      <c r="H125" s="2430">
        <v>2.0040992572098655</v>
      </c>
      <c r="I125" s="2427">
        <v>0.70069110372847565</v>
      </c>
      <c r="J125" s="2431">
        <v>2.3437503526269755E-2</v>
      </c>
    </row>
    <row r="126" spans="1:10" x14ac:dyDescent="0.2">
      <c r="A126" s="2426" t="s">
        <v>86</v>
      </c>
      <c r="B126" s="2427">
        <v>597.5</v>
      </c>
      <c r="C126" s="2428">
        <v>170000</v>
      </c>
      <c r="D126" s="2429">
        <v>101.575</v>
      </c>
      <c r="E126" s="2430">
        <v>1.9855992822134121</v>
      </c>
      <c r="F126" s="2427">
        <v>1.2557771441749617</v>
      </c>
      <c r="G126" s="2429">
        <v>4.2915059077007406E-2</v>
      </c>
      <c r="H126" s="2430">
        <v>0.13439718884642099</v>
      </c>
      <c r="I126" s="2427">
        <v>4.6989146995597982E-2</v>
      </c>
      <c r="J126" s="2431">
        <v>1.5717457986058618E-3</v>
      </c>
    </row>
    <row r="127" spans="1:10" x14ac:dyDescent="0.2">
      <c r="A127" s="2439" t="s">
        <v>213</v>
      </c>
      <c r="B127" s="2427">
        <v>2451.75</v>
      </c>
      <c r="C127" s="2428">
        <v>1850000.0000000005</v>
      </c>
      <c r="D127" s="2429">
        <v>4535.7375000000011</v>
      </c>
      <c r="E127" s="2430">
        <v>8.147603414504994</v>
      </c>
      <c r="F127" s="2427">
        <v>5.1528897292568407</v>
      </c>
      <c r="G127" s="2429">
        <v>0.1760953909490425</v>
      </c>
      <c r="H127" s="2430">
        <v>6.0013819280855873</v>
      </c>
      <c r="I127" s="2427">
        <v>2.0982568163519186</v>
      </c>
      <c r="J127" s="2431">
        <v>7.0184852170357442E-2</v>
      </c>
    </row>
    <row r="128" spans="1:10" x14ac:dyDescent="0.2">
      <c r="A128" s="2440" t="s">
        <v>1834</v>
      </c>
      <c r="B128" s="2441">
        <v>4937.5808296724999</v>
      </c>
      <c r="C128" s="2440"/>
      <c r="D128" s="2442">
        <v>25301.768135995007</v>
      </c>
      <c r="E128" s="2443">
        <v>16.408463516767231</v>
      </c>
      <c r="F128" s="2441">
        <v>10.377407788149238</v>
      </c>
      <c r="G128" s="2442">
        <v>0.35463861590442602</v>
      </c>
      <c r="H128" s="2443">
        <v>33.477593013257966</v>
      </c>
      <c r="I128" s="2441">
        <v>11.704735438747788</v>
      </c>
      <c r="J128" s="2444">
        <v>0.39151314560718503</v>
      </c>
    </row>
    <row r="129" spans="1:10" x14ac:dyDescent="0.2">
      <c r="A129" s="2426" t="s">
        <v>961</v>
      </c>
      <c r="B129" s="2427">
        <v>132</v>
      </c>
      <c r="C129" s="2428">
        <v>3668000</v>
      </c>
      <c r="D129" s="2429">
        <v>484.17599999999999</v>
      </c>
      <c r="E129" s="2430">
        <v>0.43865959038020153</v>
      </c>
      <c r="F129" s="2427">
        <v>0.27742691720685347</v>
      </c>
      <c r="G129" s="2429">
        <v>9.4808163986024718E-3</v>
      </c>
      <c r="H129" s="2430">
        <v>0.64062902591094972</v>
      </c>
      <c r="I129" s="2427">
        <v>0.22398244878898002</v>
      </c>
      <c r="J129" s="2431">
        <v>7.4920166752231523E-3</v>
      </c>
    </row>
    <row r="130" spans="1:10" x14ac:dyDescent="0.2">
      <c r="A130" s="2426" t="s">
        <v>962</v>
      </c>
      <c r="B130" s="2427">
        <v>0</v>
      </c>
      <c r="C130" s="2428">
        <v>1999999.9999999998</v>
      </c>
      <c r="D130" s="2429">
        <v>0</v>
      </c>
      <c r="E130" s="2430">
        <v>0</v>
      </c>
      <c r="F130" s="2427">
        <v>0</v>
      </c>
      <c r="G130" s="2429">
        <v>0</v>
      </c>
      <c r="H130" s="2430">
        <v>0</v>
      </c>
      <c r="I130" s="2427">
        <v>0</v>
      </c>
      <c r="J130" s="2431">
        <v>0</v>
      </c>
    </row>
    <row r="131" spans="1:10" x14ac:dyDescent="0.2">
      <c r="A131" s="2426" t="s">
        <v>963</v>
      </c>
      <c r="B131" s="2427">
        <v>27.5</v>
      </c>
      <c r="C131" s="2428">
        <v>1347999.9999999998</v>
      </c>
      <c r="D131" s="2429">
        <v>37.069999999999993</v>
      </c>
      <c r="E131" s="2430">
        <v>9.1387414662541994E-2</v>
      </c>
      <c r="F131" s="2427">
        <v>5.7797274418094471E-2</v>
      </c>
      <c r="G131" s="2429">
        <v>1.9751700830421817E-3</v>
      </c>
      <c r="H131" s="2430">
        <v>4.9048523657758546E-2</v>
      </c>
      <c r="I131" s="2427">
        <v>1.7148783451900733E-2</v>
      </c>
      <c r="J131" s="2431">
        <v>5.736117819770542E-4</v>
      </c>
    </row>
    <row r="132" spans="1:10" x14ac:dyDescent="0.2">
      <c r="A132" s="2426" t="s">
        <v>965</v>
      </c>
      <c r="B132" s="2427">
        <v>1215</v>
      </c>
      <c r="C132" s="2428">
        <v>1599999.9999999995</v>
      </c>
      <c r="D132" s="2429">
        <v>1943.9999999999995</v>
      </c>
      <c r="E132" s="2430">
        <v>4.037662138726855</v>
      </c>
      <c r="F132" s="2427">
        <v>2.5535886697449013</v>
      </c>
      <c r="G132" s="2429">
        <v>8.7266605487136384E-2</v>
      </c>
      <c r="H132" s="2430">
        <v>2.5721696787343573</v>
      </c>
      <c r="I132" s="2427">
        <v>0.89930496440504493</v>
      </c>
      <c r="J132" s="2431">
        <v>3.0080963155203491E-2</v>
      </c>
    </row>
    <row r="133" spans="1:10" x14ac:dyDescent="0.2">
      <c r="A133" s="2426" t="s">
        <v>966</v>
      </c>
      <c r="B133" s="2427">
        <v>0</v>
      </c>
      <c r="C133" s="2428">
        <v>2244000</v>
      </c>
      <c r="D133" s="2429">
        <v>0</v>
      </c>
      <c r="E133" s="2430">
        <v>0</v>
      </c>
      <c r="F133" s="2427">
        <v>0</v>
      </c>
      <c r="G133" s="2429">
        <v>0</v>
      </c>
      <c r="H133" s="2430">
        <v>0</v>
      </c>
      <c r="I133" s="2427">
        <v>0</v>
      </c>
      <c r="J133" s="2431">
        <v>0</v>
      </c>
    </row>
    <row r="134" spans="1:10" x14ac:dyDescent="0.2">
      <c r="A134" s="2426" t="s">
        <v>1499</v>
      </c>
      <c r="B134" s="2427">
        <v>0</v>
      </c>
      <c r="C134" s="2428">
        <v>4849999.9999999991</v>
      </c>
      <c r="D134" s="2429">
        <v>0</v>
      </c>
      <c r="E134" s="2430">
        <v>0</v>
      </c>
      <c r="F134" s="2427">
        <v>0</v>
      </c>
      <c r="G134" s="2429">
        <v>0</v>
      </c>
      <c r="H134" s="2430">
        <v>0</v>
      </c>
      <c r="I134" s="2427">
        <v>0</v>
      </c>
      <c r="J134" s="2431">
        <v>0</v>
      </c>
    </row>
    <row r="135" spans="1:10" x14ac:dyDescent="0.2">
      <c r="A135" s="2426" t="s">
        <v>1575</v>
      </c>
      <c r="B135" s="2427">
        <v>0</v>
      </c>
      <c r="C135" s="2428">
        <v>2250000.0000000005</v>
      </c>
      <c r="D135" s="2429">
        <v>0</v>
      </c>
      <c r="E135" s="2430">
        <v>0</v>
      </c>
      <c r="F135" s="2427">
        <v>0</v>
      </c>
      <c r="G135" s="2429">
        <v>0</v>
      </c>
      <c r="H135" s="2430">
        <v>0</v>
      </c>
      <c r="I135" s="2427">
        <v>0</v>
      </c>
      <c r="J135" s="2431">
        <v>0</v>
      </c>
    </row>
    <row r="136" spans="1:10" x14ac:dyDescent="0.2">
      <c r="A136" s="2426" t="s">
        <v>964</v>
      </c>
      <c r="B136" s="2427">
        <v>0</v>
      </c>
      <c r="C136" s="2428">
        <v>1556000</v>
      </c>
      <c r="D136" s="2429">
        <v>0</v>
      </c>
      <c r="E136" s="2430">
        <v>0</v>
      </c>
      <c r="F136" s="2427">
        <v>0</v>
      </c>
      <c r="G136" s="2429">
        <v>0</v>
      </c>
      <c r="H136" s="2430">
        <v>0</v>
      </c>
      <c r="I136" s="2427">
        <v>0</v>
      </c>
      <c r="J136" s="2431">
        <v>0</v>
      </c>
    </row>
    <row r="137" spans="1:10" x14ac:dyDescent="0.2">
      <c r="A137" s="2426" t="s">
        <v>969</v>
      </c>
      <c r="B137" s="2427">
        <v>238</v>
      </c>
      <c r="C137" s="2428">
        <v>4800000</v>
      </c>
      <c r="D137" s="2429">
        <v>1142.4000000000001</v>
      </c>
      <c r="E137" s="2430">
        <v>0.79091653417036334</v>
      </c>
      <c r="F137" s="2427">
        <v>0.50020913860023575</v>
      </c>
      <c r="G137" s="2429">
        <v>1.7094199264146882E-2</v>
      </c>
      <c r="H137" s="2430">
        <v>1.5115466260216721</v>
      </c>
      <c r="I137" s="2427">
        <v>0.52848044821827356</v>
      </c>
      <c r="J137" s="2431">
        <v>1.7677207977625758E-2</v>
      </c>
    </row>
    <row r="138" spans="1:10" x14ac:dyDescent="0.2">
      <c r="A138" s="2426" t="s">
        <v>968</v>
      </c>
      <c r="B138" s="2427">
        <v>55</v>
      </c>
      <c r="C138" s="2428">
        <v>3050000.0000000009</v>
      </c>
      <c r="D138" s="2429">
        <v>167.75000000000006</v>
      </c>
      <c r="E138" s="2430">
        <v>0.18277482932508399</v>
      </c>
      <c r="F138" s="2427">
        <v>0.11559454883618894</v>
      </c>
      <c r="G138" s="2429">
        <v>3.9503401660843634E-3</v>
      </c>
      <c r="H138" s="2430">
        <v>0.22195548539490156</v>
      </c>
      <c r="I138" s="2427">
        <v>7.7602061614684359E-2</v>
      </c>
      <c r="J138" s="2431">
        <v>2.5957209718546234E-3</v>
      </c>
    </row>
    <row r="139" spans="1:10" x14ac:dyDescent="0.2">
      <c r="A139" s="2426" t="s">
        <v>1013</v>
      </c>
      <c r="B139" s="2427">
        <v>0</v>
      </c>
      <c r="C139" s="2428">
        <v>1799999.9999999998</v>
      </c>
      <c r="D139" s="2429">
        <v>0</v>
      </c>
      <c r="E139" s="2430">
        <v>0</v>
      </c>
      <c r="F139" s="2427">
        <v>0</v>
      </c>
      <c r="G139" s="2429">
        <v>0</v>
      </c>
      <c r="H139" s="2430">
        <v>0</v>
      </c>
      <c r="I139" s="2427">
        <v>0</v>
      </c>
      <c r="J139" s="2431">
        <v>0</v>
      </c>
    </row>
    <row r="140" spans="1:10" x14ac:dyDescent="0.2">
      <c r="A140" s="2426" t="s">
        <v>1014</v>
      </c>
      <c r="B140" s="2427">
        <v>15</v>
      </c>
      <c r="C140" s="2428">
        <v>2195000.0000000005</v>
      </c>
      <c r="D140" s="2429">
        <v>32.925000000000004</v>
      </c>
      <c r="E140" s="2430">
        <v>4.9847680725022901E-2</v>
      </c>
      <c r="F140" s="2427">
        <v>3.1525786046233351E-2</v>
      </c>
      <c r="G140" s="2429">
        <v>1.07736549984119E-3</v>
      </c>
      <c r="H140" s="2430">
        <v>4.3564139234737002E-2</v>
      </c>
      <c r="I140" s="2427">
        <v>1.5231283926458908E-2</v>
      </c>
      <c r="J140" s="2431">
        <v>5.0947310282154087E-4</v>
      </c>
    </row>
    <row r="141" spans="1:10" x14ac:dyDescent="0.2">
      <c r="A141" s="2426" t="s">
        <v>970</v>
      </c>
      <c r="B141" s="2427">
        <v>91</v>
      </c>
      <c r="C141" s="2428">
        <v>3100000.0000000005</v>
      </c>
      <c r="D141" s="2429">
        <v>282.10000000000008</v>
      </c>
      <c r="E141" s="2430">
        <v>0.30240926306513893</v>
      </c>
      <c r="F141" s="2427">
        <v>0.19125643534714898</v>
      </c>
      <c r="G141" s="2429">
        <v>6.5360173657032193E-3</v>
      </c>
      <c r="H141" s="2430">
        <v>0.37325569257765556</v>
      </c>
      <c r="I141" s="2427">
        <v>0.13050099303429183</v>
      </c>
      <c r="J141" s="2431">
        <v>4.3651438817298915E-3</v>
      </c>
    </row>
    <row r="142" spans="1:10" x14ac:dyDescent="0.2">
      <c r="A142" s="2426" t="s">
        <v>971</v>
      </c>
      <c r="B142" s="2427">
        <v>404.40000000000003</v>
      </c>
      <c r="C142" s="2428">
        <v>3010000</v>
      </c>
      <c r="D142" s="2429">
        <v>1217.2439999999999</v>
      </c>
      <c r="E142" s="2430">
        <v>1.3438934723466176</v>
      </c>
      <c r="F142" s="2427">
        <v>0.84993519180645116</v>
      </c>
      <c r="G142" s="2429">
        <v>2.9045773875718488E-2</v>
      </c>
      <c r="H142" s="2430">
        <v>1.6105751586529444</v>
      </c>
      <c r="I142" s="2427">
        <v>0.5631036893478677</v>
      </c>
      <c r="J142" s="2431">
        <v>1.8835325059101092E-2</v>
      </c>
    </row>
    <row r="143" spans="1:10" x14ac:dyDescent="0.2">
      <c r="A143" s="2426" t="s">
        <v>972</v>
      </c>
      <c r="B143" s="2427">
        <v>77</v>
      </c>
      <c r="C143" s="2428">
        <v>2744000.0000000005</v>
      </c>
      <c r="D143" s="2429">
        <v>211.28800000000004</v>
      </c>
      <c r="E143" s="2430">
        <v>0.25588476105511754</v>
      </c>
      <c r="F143" s="2427">
        <v>0.16183236837066453</v>
      </c>
      <c r="G143" s="2429">
        <v>5.5304762325181084E-3</v>
      </c>
      <c r="H143" s="2430">
        <v>0.27956203039116512</v>
      </c>
      <c r="I143" s="2427">
        <v>9.7742977016056193E-2</v>
      </c>
      <c r="J143" s="2431">
        <v>3.2694169460579414E-3</v>
      </c>
    </row>
    <row r="144" spans="1:10" x14ac:dyDescent="0.2">
      <c r="A144" s="2426" t="s">
        <v>973</v>
      </c>
      <c r="B144" s="2427">
        <v>0</v>
      </c>
      <c r="C144" s="2428">
        <v>2549999.9999999991</v>
      </c>
      <c r="D144" s="2429">
        <v>0</v>
      </c>
      <c r="E144" s="2430">
        <v>0</v>
      </c>
      <c r="F144" s="2427">
        <v>0</v>
      </c>
      <c r="G144" s="2429">
        <v>0</v>
      </c>
      <c r="H144" s="2430">
        <v>0</v>
      </c>
      <c r="I144" s="2427">
        <v>0</v>
      </c>
      <c r="J144" s="2431">
        <v>0</v>
      </c>
    </row>
    <row r="145" spans="1:10" x14ac:dyDescent="0.2">
      <c r="A145" s="2426" t="s">
        <v>974</v>
      </c>
      <c r="B145" s="2427">
        <v>320</v>
      </c>
      <c r="C145" s="2428">
        <v>1583999.9999999995</v>
      </c>
      <c r="D145" s="2429">
        <v>506.87999999999988</v>
      </c>
      <c r="E145" s="2430">
        <v>1.0634171888004886</v>
      </c>
      <c r="F145" s="2427">
        <v>0.67255010231964474</v>
      </c>
      <c r="G145" s="2429">
        <v>2.2983797329945384E-2</v>
      </c>
      <c r="H145" s="2430">
        <v>0.67066942734406942</v>
      </c>
      <c r="I145" s="2427">
        <v>0.23448544257079693</v>
      </c>
      <c r="J145" s="2431">
        <v>7.8433326152826874E-3</v>
      </c>
    </row>
    <row r="146" spans="1:10" x14ac:dyDescent="0.2">
      <c r="A146" s="2426" t="s">
        <v>975</v>
      </c>
      <c r="B146" s="2427">
        <v>150</v>
      </c>
      <c r="C146" s="2428">
        <v>2532000.0000000009</v>
      </c>
      <c r="D146" s="2429">
        <v>379.80000000000013</v>
      </c>
      <c r="E146" s="2430">
        <v>0.49847680725022903</v>
      </c>
      <c r="F146" s="2427">
        <v>0.31525786046233351</v>
      </c>
      <c r="G146" s="2429">
        <v>1.0773654998411899E-2</v>
      </c>
      <c r="H146" s="2430">
        <v>0.50252574278976814</v>
      </c>
      <c r="I146" s="2427">
        <v>0.17569754397172649</v>
      </c>
      <c r="J146" s="2431">
        <v>5.8769289127295742E-3</v>
      </c>
    </row>
    <row r="147" spans="1:10" x14ac:dyDescent="0.2">
      <c r="A147" s="2426" t="s">
        <v>976</v>
      </c>
      <c r="B147" s="2427">
        <v>48</v>
      </c>
      <c r="C147" s="2428">
        <v>7394999.9999999991</v>
      </c>
      <c r="D147" s="2429">
        <v>354.95999999999992</v>
      </c>
      <c r="E147" s="2430">
        <v>0.15951257832007326</v>
      </c>
      <c r="F147" s="2427">
        <v>0.10088251534794671</v>
      </c>
      <c r="G147" s="2429">
        <v>3.4475695994918083E-3</v>
      </c>
      <c r="H147" s="2430">
        <v>0.46965913022816225</v>
      </c>
      <c r="I147" s="2427">
        <v>0.16420642498210639</v>
      </c>
      <c r="J147" s="2431">
        <v>5.4925610501908593E-3</v>
      </c>
    </row>
    <row r="148" spans="1:10" x14ac:dyDescent="0.2">
      <c r="A148" s="2426" t="s">
        <v>286</v>
      </c>
      <c r="B148" s="2427">
        <v>0</v>
      </c>
      <c r="C148" s="2428">
        <v>2445000.0000000005</v>
      </c>
      <c r="D148" s="2429">
        <v>0</v>
      </c>
      <c r="E148" s="2430">
        <v>0</v>
      </c>
      <c r="F148" s="2427">
        <v>0</v>
      </c>
      <c r="G148" s="2429">
        <v>0</v>
      </c>
      <c r="H148" s="2430">
        <v>0</v>
      </c>
      <c r="I148" s="2427">
        <v>0</v>
      </c>
      <c r="J148" s="2431">
        <v>0</v>
      </c>
    </row>
    <row r="149" spans="1:10" x14ac:dyDescent="0.2">
      <c r="A149" s="2439" t="s">
        <v>978</v>
      </c>
      <c r="B149" s="2427">
        <v>22.5</v>
      </c>
      <c r="C149" s="2428">
        <v>1850000.0000000002</v>
      </c>
      <c r="D149" s="2429">
        <v>41.625000000000007</v>
      </c>
      <c r="E149" s="2430">
        <v>7.4771521087534348E-2</v>
      </c>
      <c r="F149" s="2427">
        <v>4.7288679069350019E-2</v>
      </c>
      <c r="G149" s="2429">
        <v>1.616048249761785E-3</v>
      </c>
      <c r="H149" s="2430">
        <v>5.5075392426603739E-2</v>
      </c>
      <c r="I149" s="2427">
        <v>1.9255951205432106E-2</v>
      </c>
      <c r="J149" s="2431">
        <v>6.440946971889639E-4</v>
      </c>
    </row>
    <row r="150" spans="1:10" x14ac:dyDescent="0.2">
      <c r="A150" s="2426" t="s">
        <v>1163</v>
      </c>
      <c r="B150" s="2427">
        <v>0</v>
      </c>
      <c r="C150" s="2428">
        <v>0</v>
      </c>
      <c r="D150" s="2429">
        <v>0</v>
      </c>
      <c r="E150" s="2430">
        <v>0</v>
      </c>
      <c r="F150" s="2427">
        <v>0</v>
      </c>
      <c r="G150" s="2429">
        <v>0</v>
      </c>
      <c r="H150" s="2430">
        <v>0</v>
      </c>
      <c r="I150" s="2427">
        <v>0</v>
      </c>
      <c r="J150" s="2431">
        <v>0</v>
      </c>
    </row>
    <row r="151" spans="1:10" x14ac:dyDescent="0.2">
      <c r="A151" s="2433" t="s">
        <v>287</v>
      </c>
      <c r="B151" s="2434">
        <v>2795.4</v>
      </c>
      <c r="C151" s="2433"/>
      <c r="D151" s="2435">
        <v>6802.2180000000008</v>
      </c>
      <c r="E151" s="2436">
        <v>9.2896137799152676</v>
      </c>
      <c r="F151" s="2434">
        <v>5.8751454875760469</v>
      </c>
      <c r="G151" s="2435">
        <v>0.20077783455040416</v>
      </c>
      <c r="H151" s="2436">
        <v>9.0002360533647465</v>
      </c>
      <c r="I151" s="2434">
        <v>3.1467430125336202</v>
      </c>
      <c r="J151" s="2437">
        <v>0.10525579682698666</v>
      </c>
    </row>
    <row r="152" spans="1:10" x14ac:dyDescent="0.2">
      <c r="A152" s="2440" t="s">
        <v>1835</v>
      </c>
      <c r="B152" s="2441">
        <v>7732.9808296725005</v>
      </c>
      <c r="C152" s="2440"/>
      <c r="D152" s="2442">
        <v>32103.986135995008</v>
      </c>
      <c r="E152" s="2443">
        <v>25.698077296682499</v>
      </c>
      <c r="F152" s="2441">
        <v>16.252553275725287</v>
      </c>
      <c r="G152" s="2442">
        <v>0.55541645045483024</v>
      </c>
      <c r="H152" s="2443">
        <v>42.477829066622711</v>
      </c>
      <c r="I152" s="2441">
        <v>14.851478451281409</v>
      </c>
      <c r="J152" s="2444">
        <v>0.49676894243417169</v>
      </c>
    </row>
    <row r="153" spans="1:10" x14ac:dyDescent="0.2">
      <c r="A153" s="2445" t="s">
        <v>194</v>
      </c>
      <c r="B153" s="2446">
        <v>30091.670829672505</v>
      </c>
      <c r="C153" s="2447"/>
      <c r="D153" s="2448">
        <v>75578.217723045003</v>
      </c>
      <c r="E153" s="2449">
        <v>99.999999999999986</v>
      </c>
      <c r="F153" s="2446">
        <v>63.244238423329101</v>
      </c>
      <c r="G153" s="2448">
        <v>2.161315198964445</v>
      </c>
      <c r="H153" s="2449">
        <v>100.00000000000003</v>
      </c>
      <c r="I153" s="2446">
        <v>34.962894238281763</v>
      </c>
      <c r="J153" s="2450">
        <v>1.1694781803821319</v>
      </c>
    </row>
    <row r="154" spans="1:10" x14ac:dyDescent="0.2">
      <c r="A154" s="2451" t="s">
        <v>1852</v>
      </c>
      <c r="B154" s="2427"/>
      <c r="C154" s="2452"/>
      <c r="D154" s="2429"/>
      <c r="E154" s="2430"/>
      <c r="F154" s="2427">
        <v>0</v>
      </c>
      <c r="G154" s="2429"/>
      <c r="H154" s="2430"/>
      <c r="I154" s="2427">
        <v>0</v>
      </c>
      <c r="J154" s="2431">
        <v>0</v>
      </c>
    </row>
    <row r="155" spans="1:10" x14ac:dyDescent="0.2">
      <c r="A155" s="2453" t="s">
        <v>1836</v>
      </c>
      <c r="B155" s="2427">
        <v>0</v>
      </c>
      <c r="C155" s="2428">
        <v>8033612.4975057133</v>
      </c>
      <c r="D155" s="2429">
        <v>0</v>
      </c>
      <c r="E155" s="2430">
        <v>0</v>
      </c>
      <c r="F155" s="2427">
        <v>0</v>
      </c>
      <c r="G155" s="2429">
        <v>0</v>
      </c>
      <c r="H155" s="2430">
        <v>0</v>
      </c>
      <c r="I155" s="2427">
        <v>0</v>
      </c>
      <c r="J155" s="2431">
        <v>0</v>
      </c>
    </row>
    <row r="156" spans="1:10" x14ac:dyDescent="0.2">
      <c r="A156" s="2453" t="s">
        <v>1837</v>
      </c>
      <c r="B156" s="2427">
        <v>7951.89</v>
      </c>
      <c r="C156" s="2428">
        <v>2214764.1578067578</v>
      </c>
      <c r="D156" s="2429">
        <v>17611.560958821981</v>
      </c>
      <c r="E156" s="2430">
        <v>94.906832891186525</v>
      </c>
      <c r="F156" s="2427">
        <v>16.712638853545499</v>
      </c>
      <c r="G156" s="2429">
        <v>0.57113946296881068</v>
      </c>
      <c r="H156" s="2430">
        <v>79.733580194845274</v>
      </c>
      <c r="I156" s="2427">
        <v>8.1472038071968544</v>
      </c>
      <c r="J156" s="2431">
        <v>0.27251682937651461</v>
      </c>
    </row>
    <row r="157" spans="1:10" x14ac:dyDescent="0.2">
      <c r="A157" s="2454" t="s">
        <v>309</v>
      </c>
      <c r="B157" s="2434">
        <v>7951.89</v>
      </c>
      <c r="C157" s="2433"/>
      <c r="D157" s="2435">
        <v>17611.560958821981</v>
      </c>
      <c r="E157" s="2436">
        <v>94.906832891186525</v>
      </c>
      <c r="F157" s="2434">
        <v>16.712638853545499</v>
      </c>
      <c r="G157" s="2435">
        <v>0.57113946296881068</v>
      </c>
      <c r="H157" s="2436">
        <v>79.733580194845274</v>
      </c>
      <c r="I157" s="2434">
        <v>8.1472038071968544</v>
      </c>
      <c r="J157" s="2437">
        <v>0.27251682937651461</v>
      </c>
    </row>
    <row r="158" spans="1:10" x14ac:dyDescent="0.2">
      <c r="A158" s="2453" t="s">
        <v>1838</v>
      </c>
      <c r="B158" s="2427">
        <v>0</v>
      </c>
      <c r="C158" s="2428">
        <v>10407427.50198495</v>
      </c>
      <c r="D158" s="2429">
        <v>0</v>
      </c>
      <c r="E158" s="2430">
        <v>0</v>
      </c>
      <c r="F158" s="2427">
        <v>0</v>
      </c>
      <c r="G158" s="2429">
        <v>0</v>
      </c>
      <c r="H158" s="2430">
        <v>0</v>
      </c>
      <c r="I158" s="2427">
        <v>0</v>
      </c>
      <c r="J158" s="2431">
        <v>0</v>
      </c>
    </row>
    <row r="159" spans="1:10" x14ac:dyDescent="0.2">
      <c r="A159" s="2454" t="s">
        <v>315</v>
      </c>
      <c r="B159" s="2434">
        <v>0</v>
      </c>
      <c r="C159" s="2455"/>
      <c r="D159" s="2435">
        <v>0</v>
      </c>
      <c r="E159" s="2436">
        <v>0</v>
      </c>
      <c r="F159" s="2434">
        <v>0</v>
      </c>
      <c r="G159" s="2435">
        <v>0</v>
      </c>
      <c r="H159" s="2436">
        <v>0</v>
      </c>
      <c r="I159" s="2434">
        <v>0</v>
      </c>
      <c r="J159" s="2437">
        <v>0</v>
      </c>
    </row>
    <row r="160" spans="1:10" x14ac:dyDescent="0.2">
      <c r="A160" s="2453" t="s">
        <v>1541</v>
      </c>
      <c r="B160" s="2427">
        <v>356.4</v>
      </c>
      <c r="C160" s="2428">
        <v>10553660</v>
      </c>
      <c r="D160" s="2429">
        <v>3761.3244239999995</v>
      </c>
      <c r="E160" s="2430">
        <v>4.2536799732414403</v>
      </c>
      <c r="F160" s="2427">
        <v>0.74905267645850426</v>
      </c>
      <c r="G160" s="2429">
        <v>2.5598204276226673E-2</v>
      </c>
      <c r="H160" s="2430">
        <v>17.02880643578651</v>
      </c>
      <c r="I160" s="2427">
        <v>1.7400091189512072</v>
      </c>
      <c r="J160" s="2431">
        <v>5.8201780562299896E-2</v>
      </c>
    </row>
    <row r="161" spans="1:10" x14ac:dyDescent="0.2">
      <c r="A161" s="2453" t="s">
        <v>206</v>
      </c>
      <c r="B161" s="2427">
        <v>63.4375</v>
      </c>
      <c r="C161" s="2428">
        <v>6960000</v>
      </c>
      <c r="D161" s="2429">
        <v>441.52499999999998</v>
      </c>
      <c r="E161" s="2430">
        <v>0.75713474551768767</v>
      </c>
      <c r="F161" s="2427">
        <v>0.1333278034871952</v>
      </c>
      <c r="G161" s="2429">
        <v>4.5563582597450327E-3</v>
      </c>
      <c r="H161" s="2430">
        <v>1.9989351925045855</v>
      </c>
      <c r="I161" s="2427">
        <v>0.2042518644078897</v>
      </c>
      <c r="J161" s="2431">
        <v>6.8320459141467194E-3</v>
      </c>
    </row>
    <row r="162" spans="1:10" x14ac:dyDescent="0.2">
      <c r="A162" s="2454" t="s">
        <v>310</v>
      </c>
      <c r="B162" s="2434">
        <v>419.83749999999998</v>
      </c>
      <c r="C162" s="2455"/>
      <c r="D162" s="2435">
        <v>4202.8494239999991</v>
      </c>
      <c r="E162" s="2436">
        <v>5.0108147187591285</v>
      </c>
      <c r="F162" s="2434">
        <v>0.88238047994569946</v>
      </c>
      <c r="G162" s="2435">
        <v>3.0154562535971704E-2</v>
      </c>
      <c r="H162" s="2436">
        <v>19.027741628291093</v>
      </c>
      <c r="I162" s="2434">
        <v>1.9442609833590967</v>
      </c>
      <c r="J162" s="2437">
        <v>6.5033826476446607E-2</v>
      </c>
    </row>
    <row r="163" spans="1:10" x14ac:dyDescent="0.2">
      <c r="A163" s="2453" t="s">
        <v>1839</v>
      </c>
      <c r="B163" s="2427">
        <v>6.9</v>
      </c>
      <c r="C163" s="2428">
        <v>39652080.629353955</v>
      </c>
      <c r="D163" s="2429">
        <v>273.59935634254231</v>
      </c>
      <c r="E163" s="2430">
        <v>8.2352390054337657E-2</v>
      </c>
      <c r="F163" s="2427">
        <v>1.4501861581267341E-2</v>
      </c>
      <c r="G163" s="2429">
        <v>4.955881299269475E-4</v>
      </c>
      <c r="H163" s="2430">
        <v>1.2386781768636215</v>
      </c>
      <c r="I163" s="2427">
        <v>0.12656854908275375</v>
      </c>
      <c r="J163" s="2431">
        <v>4.2336070768659506E-3</v>
      </c>
    </row>
    <row r="164" spans="1:10" x14ac:dyDescent="0.2">
      <c r="A164" s="2454" t="s">
        <v>311</v>
      </c>
      <c r="B164" s="2434">
        <v>6.9</v>
      </c>
      <c r="C164" s="2433"/>
      <c r="D164" s="2435">
        <v>273.59935634254231</v>
      </c>
      <c r="E164" s="2436">
        <v>8.2352390054337657E-2</v>
      </c>
      <c r="F164" s="2434">
        <v>1.4501861581267341E-2</v>
      </c>
      <c r="G164" s="2435">
        <v>4.955881299269475E-4</v>
      </c>
      <c r="H164" s="2436">
        <v>1.2386781768636215</v>
      </c>
      <c r="I164" s="2434">
        <v>0.12656854908275375</v>
      </c>
      <c r="J164" s="2437">
        <v>4.2336070768659506E-3</v>
      </c>
    </row>
    <row r="165" spans="1:10" x14ac:dyDescent="0.2">
      <c r="A165" s="2445" t="s">
        <v>129</v>
      </c>
      <c r="B165" s="2446">
        <v>8378.6275000000005</v>
      </c>
      <c r="C165" s="2447"/>
      <c r="D165" s="2448">
        <v>22088.009739164525</v>
      </c>
      <c r="E165" s="2449">
        <v>99.999999999999986</v>
      </c>
      <c r="F165" s="2446">
        <v>17.609521195072467</v>
      </c>
      <c r="G165" s="2448">
        <v>0.60178961363470929</v>
      </c>
      <c r="H165" s="2449">
        <v>99.999999999999986</v>
      </c>
      <c r="I165" s="2446">
        <v>10.218033339638707</v>
      </c>
      <c r="J165" s="2450">
        <v>0.34178426292982717</v>
      </c>
    </row>
    <row r="166" spans="1:10" x14ac:dyDescent="0.2">
      <c r="A166" s="2451" t="s">
        <v>1853</v>
      </c>
      <c r="B166" s="2427"/>
      <c r="C166" s="2452"/>
      <c r="D166" s="2429"/>
      <c r="E166" s="2430"/>
      <c r="F166" s="2427">
        <v>0</v>
      </c>
      <c r="G166" s="2429"/>
      <c r="H166" s="2430"/>
      <c r="I166" s="2427">
        <v>0</v>
      </c>
      <c r="J166" s="2431">
        <v>0</v>
      </c>
    </row>
    <row r="167" spans="1:10" x14ac:dyDescent="0.2">
      <c r="A167" s="2426" t="s">
        <v>1543</v>
      </c>
      <c r="B167" s="2427">
        <v>8560</v>
      </c>
      <c r="C167" s="2428">
        <v>13200000</v>
      </c>
      <c r="D167" s="2429">
        <v>112992</v>
      </c>
      <c r="E167" s="2430">
        <v>93.964741267645834</v>
      </c>
      <c r="F167" s="2427">
        <v>17.990715237050498</v>
      </c>
      <c r="G167" s="2429">
        <v>0.614816578576039</v>
      </c>
      <c r="H167" s="2430">
        <v>95.351327430865169</v>
      </c>
      <c r="I167" s="2427">
        <v>52.270713239740161</v>
      </c>
      <c r="J167" s="2431">
        <v>1.7484095621567664</v>
      </c>
    </row>
    <row r="168" spans="1:10" x14ac:dyDescent="0.2">
      <c r="A168" s="2426" t="s">
        <v>208</v>
      </c>
      <c r="B168" s="2427">
        <v>540</v>
      </c>
      <c r="C168" s="2428">
        <v>10000000</v>
      </c>
      <c r="D168" s="2429">
        <v>5400</v>
      </c>
      <c r="E168" s="2430">
        <v>5.9276822762299943</v>
      </c>
      <c r="F168" s="2427">
        <v>1.1349282976644006</v>
      </c>
      <c r="G168" s="2429">
        <v>3.8785157994282837E-2</v>
      </c>
      <c r="H168" s="2430">
        <v>4.5569347221632679</v>
      </c>
      <c r="I168" s="2427">
        <v>2.4980693455695704</v>
      </c>
      <c r="J168" s="2431">
        <v>8.3558230986676391E-2</v>
      </c>
    </row>
    <row r="169" spans="1:10" x14ac:dyDescent="0.2">
      <c r="A169" s="2426" t="s">
        <v>209</v>
      </c>
      <c r="B169" s="2427">
        <v>1.75</v>
      </c>
      <c r="C169" s="2428">
        <v>10000000</v>
      </c>
      <c r="D169" s="2429">
        <v>17.5</v>
      </c>
      <c r="E169" s="2430">
        <v>1.9210081450745351E-2</v>
      </c>
      <c r="F169" s="2427">
        <v>3.6780083720605572E-3</v>
      </c>
      <c r="G169" s="2429">
        <v>1.2569264164813884E-4</v>
      </c>
      <c r="H169" s="2430">
        <v>1.4767844007010589E-2</v>
      </c>
      <c r="I169" s="2427">
        <v>8.0955951013828662E-3</v>
      </c>
      <c r="J169" s="2431">
        <v>2.7079056338274755E-4</v>
      </c>
    </row>
    <row r="170" spans="1:10" x14ac:dyDescent="0.2">
      <c r="A170" s="2426" t="s">
        <v>210</v>
      </c>
      <c r="B170" s="2427">
        <v>0</v>
      </c>
      <c r="C170" s="2428">
        <v>18500000</v>
      </c>
      <c r="D170" s="2429">
        <v>0</v>
      </c>
      <c r="E170" s="2430">
        <v>0</v>
      </c>
      <c r="F170" s="2427">
        <v>0</v>
      </c>
      <c r="G170" s="2429">
        <v>0</v>
      </c>
      <c r="H170" s="2430">
        <v>0</v>
      </c>
      <c r="I170" s="2427">
        <v>0</v>
      </c>
      <c r="J170" s="2431">
        <v>0</v>
      </c>
    </row>
    <row r="171" spans="1:10" x14ac:dyDescent="0.2">
      <c r="A171" s="2426" t="s">
        <v>1545</v>
      </c>
      <c r="B171" s="2427">
        <v>2.5499999999999998</v>
      </c>
      <c r="C171" s="2428">
        <v>14200000</v>
      </c>
      <c r="D171" s="2429">
        <v>36.21</v>
      </c>
      <c r="E171" s="2430">
        <v>2.7991832971086081E-2</v>
      </c>
      <c r="F171" s="2427">
        <v>5.3593836278596685E-3</v>
      </c>
      <c r="G171" s="2429">
        <v>1.8315213497300227E-4</v>
      </c>
      <c r="H171" s="2430">
        <v>3.0556778942505913E-2</v>
      </c>
      <c r="I171" s="2427">
        <v>1.6750942778347062E-2</v>
      </c>
      <c r="J171" s="2431">
        <v>5.6030436000510219E-4</v>
      </c>
    </row>
    <row r="172" spans="1:10" x14ac:dyDescent="0.2">
      <c r="A172" s="2426" t="s">
        <v>1546</v>
      </c>
      <c r="B172" s="2427">
        <v>5.5</v>
      </c>
      <c r="C172" s="2428">
        <v>10000000</v>
      </c>
      <c r="D172" s="2429">
        <v>55</v>
      </c>
      <c r="E172" s="2430">
        <v>6.0374541702342535E-2</v>
      </c>
      <c r="F172" s="2427">
        <v>1.1559454883618894E-2</v>
      </c>
      <c r="G172" s="2429">
        <v>3.9503401660843631E-4</v>
      </c>
      <c r="H172" s="2430">
        <v>4.6413224022033288E-2</v>
      </c>
      <c r="I172" s="2427">
        <v>2.5443298890060438E-2</v>
      </c>
      <c r="J172" s="2431">
        <v>8.5105605634577808E-4</v>
      </c>
    </row>
    <row r="173" spans="1:10" x14ac:dyDescent="0.2">
      <c r="A173" s="2445" t="s">
        <v>121</v>
      </c>
      <c r="B173" s="2446">
        <v>9109.7999999999993</v>
      </c>
      <c r="C173" s="2447"/>
      <c r="D173" s="2448">
        <v>118500.71</v>
      </c>
      <c r="E173" s="2449">
        <v>100</v>
      </c>
      <c r="F173" s="2446">
        <v>19.146240381598435</v>
      </c>
      <c r="G173" s="2448">
        <v>0.65430561536355147</v>
      </c>
      <c r="H173" s="2449">
        <v>99.999999999999986</v>
      </c>
      <c r="I173" s="2446">
        <v>54.819072422079529</v>
      </c>
      <c r="J173" s="2450">
        <v>1.8336499441231762</v>
      </c>
    </row>
    <row r="174" spans="1:10" ht="14.25" thickBot="1" x14ac:dyDescent="0.25">
      <c r="A174" s="2457" t="s">
        <v>1840</v>
      </c>
      <c r="B174" s="2446">
        <v>47580.098329672503</v>
      </c>
      <c r="C174" s="2458"/>
      <c r="D174" s="2448">
        <v>216166.93746220955</v>
      </c>
      <c r="E174" s="2459"/>
      <c r="F174" s="2460">
        <v>100</v>
      </c>
      <c r="G174" s="2461">
        <v>3.417410427962706</v>
      </c>
      <c r="H174" s="2462"/>
      <c r="I174" s="2460">
        <v>100</v>
      </c>
      <c r="J174" s="2463">
        <v>3.3449123874351354</v>
      </c>
    </row>
    <row r="175" spans="1:10" ht="15" thickBot="1" x14ac:dyDescent="0.25">
      <c r="A175" s="2464" t="s">
        <v>1841</v>
      </c>
      <c r="B175" s="2465">
        <v>1392285.1624830281</v>
      </c>
      <c r="C175" s="2466"/>
      <c r="D175" s="2467">
        <v>6462559.0276810033</v>
      </c>
      <c r="E175" s="2468"/>
      <c r="F175" s="2469"/>
      <c r="G175" s="2469"/>
      <c r="H175" s="2469"/>
      <c r="I175" s="2469"/>
      <c r="J175" s="2469"/>
    </row>
    <row r="176" spans="1:10" ht="16.5" thickBot="1" x14ac:dyDescent="0.3">
      <c r="A176" s="2470" t="s">
        <v>1842</v>
      </c>
      <c r="B176" s="2471">
        <v>3.4174104279627056</v>
      </c>
      <c r="C176" s="2472"/>
      <c r="D176" s="2473">
        <v>3.3449123874351359</v>
      </c>
      <c r="E176" s="2468"/>
      <c r="F176" s="2469"/>
      <c r="G176" s="2469"/>
      <c r="H176" s="2469"/>
      <c r="I176" s="2469"/>
      <c r="J176" s="2469"/>
    </row>
    <row r="177" spans="1:10" x14ac:dyDescent="0.2">
      <c r="A177" s="2474" t="s">
        <v>2023</v>
      </c>
      <c r="B177" s="2474"/>
      <c r="C177" s="2474"/>
      <c r="D177" s="2475"/>
      <c r="E177" s="2474"/>
      <c r="F177" s="2474"/>
      <c r="H177" s="2474"/>
      <c r="I177" s="2474"/>
      <c r="J177" s="2474"/>
    </row>
    <row r="178" spans="1:10" x14ac:dyDescent="0.2">
      <c r="A178" s="2474" t="s">
        <v>1843</v>
      </c>
      <c r="B178" s="2474"/>
      <c r="C178" s="2474"/>
      <c r="D178" s="2474"/>
      <c r="E178" s="2474"/>
      <c r="F178" s="2474"/>
      <c r="G178" s="2474"/>
      <c r="H178" s="2474"/>
      <c r="I178" s="2474"/>
      <c r="J178" s="2474"/>
    </row>
    <row r="179" spans="1:10" x14ac:dyDescent="0.2">
      <c r="A179" s="2474" t="s">
        <v>2024</v>
      </c>
      <c r="B179" s="2474"/>
      <c r="C179" s="2474"/>
      <c r="D179" s="2474"/>
      <c r="E179" s="2474"/>
      <c r="F179" s="2474"/>
      <c r="G179" s="2474"/>
      <c r="H179" s="2474"/>
      <c r="I179" s="2474"/>
      <c r="J179" s="2474"/>
    </row>
    <row r="183" spans="1:10" ht="13.5" thickBot="1" x14ac:dyDescent="0.25">
      <c r="A183" s="3321" t="s">
        <v>2021</v>
      </c>
      <c r="B183" s="3321"/>
      <c r="C183" s="3321"/>
      <c r="D183" s="3321"/>
      <c r="E183" s="3321"/>
      <c r="F183" s="3321"/>
      <c r="G183" s="3321"/>
      <c r="H183" s="3321"/>
      <c r="I183" s="3321"/>
      <c r="J183" s="3321"/>
    </row>
    <row r="184" spans="1:10" ht="13.5" customHeight="1" thickBot="1" x14ac:dyDescent="0.25">
      <c r="A184" s="3322" t="s">
        <v>355</v>
      </c>
      <c r="B184" s="3324" t="s">
        <v>1272</v>
      </c>
      <c r="C184" s="3324" t="s">
        <v>1832</v>
      </c>
      <c r="D184" s="3326" t="s">
        <v>1844</v>
      </c>
      <c r="E184" s="3328" t="s">
        <v>1849</v>
      </c>
      <c r="F184" s="3329"/>
      <c r="G184" s="3330"/>
      <c r="H184" s="3328" t="s">
        <v>1850</v>
      </c>
      <c r="I184" s="3329"/>
      <c r="J184" s="3331"/>
    </row>
    <row r="185" spans="1:10" ht="13.5" customHeight="1" thickBot="1" x14ac:dyDescent="0.25">
      <c r="A185" s="3323"/>
      <c r="B185" s="3325"/>
      <c r="C185" s="3325"/>
      <c r="D185" s="3327"/>
      <c r="E185" s="2415" t="s">
        <v>1848</v>
      </c>
      <c r="F185" s="2416" t="s">
        <v>1231</v>
      </c>
      <c r="G185" s="2417" t="s">
        <v>1833</v>
      </c>
      <c r="H185" s="2415" t="s">
        <v>1848</v>
      </c>
      <c r="I185" s="2416" t="s">
        <v>1231</v>
      </c>
      <c r="J185" s="2418" t="s">
        <v>1833</v>
      </c>
    </row>
    <row r="186" spans="1:10" x14ac:dyDescent="0.2">
      <c r="A186" s="2419" t="s">
        <v>1851</v>
      </c>
      <c r="B186" s="2420"/>
      <c r="C186" s="2420"/>
      <c r="D186" s="2421"/>
      <c r="E186" s="2422"/>
      <c r="F186" s="2423"/>
      <c r="G186" s="2424"/>
      <c r="H186" s="2422"/>
      <c r="I186" s="2423"/>
      <c r="J186" s="2425"/>
    </row>
    <row r="187" spans="1:10" x14ac:dyDescent="0.2">
      <c r="A187" s="2426" t="s">
        <v>410</v>
      </c>
      <c r="B187" s="2427">
        <v>0</v>
      </c>
      <c r="C187" s="2428">
        <v>5667200.0000000009</v>
      </c>
      <c r="D187" s="2429">
        <v>0</v>
      </c>
      <c r="E187" s="2430">
        <v>0</v>
      </c>
      <c r="F187" s="2427">
        <v>0</v>
      </c>
      <c r="G187" s="2429">
        <v>0</v>
      </c>
      <c r="H187" s="2430">
        <v>0</v>
      </c>
      <c r="I187" s="2427">
        <v>0</v>
      </c>
      <c r="J187" s="2431">
        <v>0</v>
      </c>
    </row>
    <row r="188" spans="1:10" x14ac:dyDescent="0.2">
      <c r="A188" s="2426" t="s">
        <v>411</v>
      </c>
      <c r="B188" s="2427">
        <v>0</v>
      </c>
      <c r="C188" s="2428">
        <v>1753716.5000000002</v>
      </c>
      <c r="D188" s="2429">
        <v>0</v>
      </c>
      <c r="E188" s="2430">
        <v>0</v>
      </c>
      <c r="F188" s="2427">
        <v>0</v>
      </c>
      <c r="G188" s="2429">
        <v>0</v>
      </c>
      <c r="H188" s="2430">
        <v>0</v>
      </c>
      <c r="I188" s="2427">
        <v>0</v>
      </c>
      <c r="J188" s="2431">
        <v>0</v>
      </c>
    </row>
    <row r="189" spans="1:10" x14ac:dyDescent="0.2">
      <c r="A189" s="2426" t="s">
        <v>278</v>
      </c>
      <c r="B189" s="2427">
        <v>2735.6</v>
      </c>
      <c r="C189" s="2428">
        <v>1637875</v>
      </c>
      <c r="D189" s="2429">
        <v>4480.5708500000001</v>
      </c>
      <c r="E189" s="2430">
        <v>10.744421147060041</v>
      </c>
      <c r="F189" s="2427">
        <v>8.5070669669370638</v>
      </c>
      <c r="G189" s="2429">
        <v>0.19648273742437061</v>
      </c>
      <c r="H189" s="2430">
        <v>2.9692758897746594</v>
      </c>
      <c r="I189" s="2427">
        <v>2.4344244563055408</v>
      </c>
      <c r="J189" s="2431">
        <v>6.9331217414160914E-2</v>
      </c>
    </row>
    <row r="190" spans="1:10" x14ac:dyDescent="0.2">
      <c r="A190" s="2426" t="s">
        <v>200</v>
      </c>
      <c r="B190" s="2427">
        <v>63.4</v>
      </c>
      <c r="C190" s="2428">
        <v>7709114.5</v>
      </c>
      <c r="D190" s="2429">
        <v>488.75785930000001</v>
      </c>
      <c r="E190" s="2430">
        <v>0.24901166132607352</v>
      </c>
      <c r="F190" s="2427">
        <v>0.19715895807274819</v>
      </c>
      <c r="G190" s="2429">
        <v>4.5536648459954298E-3</v>
      </c>
      <c r="H190" s="2430">
        <v>0.32390000652648204</v>
      </c>
      <c r="I190" s="2427">
        <v>0.26555636005431377</v>
      </c>
      <c r="J190" s="2431">
        <v>7.5629152044338656E-3</v>
      </c>
    </row>
    <row r="191" spans="1:10" x14ac:dyDescent="0.2">
      <c r="A191" s="2426" t="s">
        <v>429</v>
      </c>
      <c r="B191" s="2427">
        <v>0</v>
      </c>
      <c r="C191" s="2428">
        <v>1255000</v>
      </c>
      <c r="D191" s="2429">
        <v>0</v>
      </c>
      <c r="E191" s="2430">
        <v>0</v>
      </c>
      <c r="F191" s="2427">
        <v>0</v>
      </c>
      <c r="G191" s="2429">
        <v>0</v>
      </c>
      <c r="H191" s="2430">
        <v>0</v>
      </c>
      <c r="I191" s="2427">
        <v>0</v>
      </c>
      <c r="J191" s="2431">
        <v>0</v>
      </c>
    </row>
    <row r="192" spans="1:10" x14ac:dyDescent="0.2">
      <c r="A192" s="2432" t="s">
        <v>431</v>
      </c>
      <c r="B192" s="2427">
        <v>0</v>
      </c>
      <c r="C192" s="2428">
        <v>0</v>
      </c>
      <c r="D192" s="2429">
        <v>0</v>
      </c>
      <c r="E192" s="2430">
        <v>0</v>
      </c>
      <c r="F192" s="2427">
        <v>0</v>
      </c>
      <c r="G192" s="2429">
        <v>0</v>
      </c>
      <c r="H192" s="2430">
        <v>0</v>
      </c>
      <c r="I192" s="2427">
        <v>0</v>
      </c>
      <c r="J192" s="2431">
        <v>0</v>
      </c>
    </row>
    <row r="193" spans="1:10" x14ac:dyDescent="0.2">
      <c r="A193" s="2432" t="s">
        <v>430</v>
      </c>
      <c r="B193" s="2427">
        <v>0</v>
      </c>
      <c r="C193" s="2428">
        <v>0</v>
      </c>
      <c r="D193" s="2429">
        <v>0</v>
      </c>
      <c r="E193" s="2430">
        <v>0</v>
      </c>
      <c r="F193" s="2427">
        <v>0</v>
      </c>
      <c r="G193" s="2429">
        <v>0</v>
      </c>
      <c r="H193" s="2430">
        <v>0</v>
      </c>
      <c r="I193" s="2427">
        <v>0</v>
      </c>
      <c r="J193" s="2431">
        <v>0</v>
      </c>
    </row>
    <row r="194" spans="1:10" x14ac:dyDescent="0.2">
      <c r="A194" s="2433" t="s">
        <v>279</v>
      </c>
      <c r="B194" s="2434">
        <v>2799</v>
      </c>
      <c r="C194" s="2433"/>
      <c r="D194" s="2435">
        <v>4969.3287092999999</v>
      </c>
      <c r="E194" s="2436">
        <v>10.993432808386117</v>
      </c>
      <c r="F194" s="2434">
        <v>8.7042259250098137</v>
      </c>
      <c r="G194" s="2435">
        <v>0.20103640227036604</v>
      </c>
      <c r="H194" s="2436">
        <v>3.293175896301141</v>
      </c>
      <c r="I194" s="2434">
        <v>2.6999808163598544</v>
      </c>
      <c r="J194" s="2437">
        <v>7.6894132618594777E-2</v>
      </c>
    </row>
    <row r="195" spans="1:10" x14ac:dyDescent="0.2">
      <c r="A195" s="2438" t="s">
        <v>412</v>
      </c>
      <c r="B195" s="2427">
        <v>90</v>
      </c>
      <c r="C195" s="2428">
        <v>4129499.9999999995</v>
      </c>
      <c r="D195" s="2429">
        <v>371.65499999999992</v>
      </c>
      <c r="E195" s="2430">
        <v>0.35348658547865325</v>
      </c>
      <c r="F195" s="2427">
        <v>0.27987864710642485</v>
      </c>
      <c r="G195" s="2429">
        <v>6.4641929990471398E-3</v>
      </c>
      <c r="H195" s="2430">
        <v>0.24629590017847858</v>
      </c>
      <c r="I195" s="2427">
        <v>0.20193097076195896</v>
      </c>
      <c r="J195" s="2431">
        <v>5.7508952476580007E-3</v>
      </c>
    </row>
    <row r="196" spans="1:10" x14ac:dyDescent="0.2">
      <c r="A196" s="2438" t="s">
        <v>413</v>
      </c>
      <c r="B196" s="2427">
        <v>67</v>
      </c>
      <c r="C196" s="2428">
        <v>1200000</v>
      </c>
      <c r="D196" s="2429">
        <v>80.400000000000006</v>
      </c>
      <c r="E196" s="2430">
        <v>0.26315112474521962</v>
      </c>
      <c r="F196" s="2427">
        <v>0.20835410395700515</v>
      </c>
      <c r="G196" s="2429">
        <v>4.8122325659573154E-3</v>
      </c>
      <c r="H196" s="2430">
        <v>5.3281108485960592E-2</v>
      </c>
      <c r="I196" s="2427">
        <v>4.3683658363970632E-2</v>
      </c>
      <c r="J196" s="2431">
        <v>1.2440892169127372E-3</v>
      </c>
    </row>
    <row r="197" spans="1:10" x14ac:dyDescent="0.2">
      <c r="A197" s="2426" t="s">
        <v>90</v>
      </c>
      <c r="B197" s="2427">
        <v>53</v>
      </c>
      <c r="C197" s="2428">
        <v>1743000</v>
      </c>
      <c r="D197" s="2429">
        <v>92.379000000000005</v>
      </c>
      <c r="E197" s="2430">
        <v>0.20816432255965134</v>
      </c>
      <c r="F197" s="2427">
        <v>0.16481742551822798</v>
      </c>
      <c r="G197" s="2429">
        <v>3.8066914327722044E-3</v>
      </c>
      <c r="H197" s="2430">
        <v>6.1219596030156129E-2</v>
      </c>
      <c r="I197" s="2427">
        <v>5.0192197462751782E-2</v>
      </c>
      <c r="J197" s="2431">
        <v>1.4294492259848478E-3</v>
      </c>
    </row>
    <row r="198" spans="1:10" x14ac:dyDescent="0.2">
      <c r="A198" s="2426" t="s">
        <v>417</v>
      </c>
      <c r="B198" s="2427">
        <v>300</v>
      </c>
      <c r="C198" s="2428">
        <v>2563999.9999999995</v>
      </c>
      <c r="D198" s="2429">
        <v>769.19999999999993</v>
      </c>
      <c r="E198" s="2430">
        <v>1.1782886182621775</v>
      </c>
      <c r="F198" s="2427">
        <v>0.93292882368808294</v>
      </c>
      <c r="G198" s="2429">
        <v>2.1547309996823798E-2</v>
      </c>
      <c r="H198" s="2430">
        <v>0.50974911252986166</v>
      </c>
      <c r="I198" s="2427">
        <v>0.41792873151201748</v>
      </c>
      <c r="J198" s="2431">
        <v>1.1902405791657678E-2</v>
      </c>
    </row>
    <row r="199" spans="1:10" x14ac:dyDescent="0.2">
      <c r="A199" s="2426" t="s">
        <v>418</v>
      </c>
      <c r="B199" s="2427">
        <v>189</v>
      </c>
      <c r="C199" s="2428">
        <v>2222500</v>
      </c>
      <c r="D199" s="2429">
        <v>420.05250000000001</v>
      </c>
      <c r="E199" s="2430">
        <v>0.74232182950517178</v>
      </c>
      <c r="F199" s="2427">
        <v>0.58774515892349222</v>
      </c>
      <c r="G199" s="2429">
        <v>1.3574805297998992E-2</v>
      </c>
      <c r="H199" s="2430">
        <v>0.27836894057585765</v>
      </c>
      <c r="I199" s="2427">
        <v>0.22822674011109173</v>
      </c>
      <c r="J199" s="2431">
        <v>6.4997858928760891E-3</v>
      </c>
    </row>
    <row r="200" spans="1:10" x14ac:dyDescent="0.2">
      <c r="A200" s="2426" t="s">
        <v>423</v>
      </c>
      <c r="B200" s="2427">
        <v>0</v>
      </c>
      <c r="C200" s="2428">
        <v>2531500</v>
      </c>
      <c r="D200" s="2429">
        <v>0</v>
      </c>
      <c r="E200" s="2430">
        <v>0</v>
      </c>
      <c r="F200" s="2427">
        <v>0</v>
      </c>
      <c r="G200" s="2429">
        <v>0</v>
      </c>
      <c r="H200" s="2430">
        <v>0</v>
      </c>
      <c r="I200" s="2427">
        <v>0</v>
      </c>
      <c r="J200" s="2431">
        <v>0</v>
      </c>
    </row>
    <row r="201" spans="1:10" x14ac:dyDescent="0.2">
      <c r="A201" s="2426" t="s">
        <v>424</v>
      </c>
      <c r="B201" s="2427">
        <v>0</v>
      </c>
      <c r="C201" s="2428">
        <v>1369000</v>
      </c>
      <c r="D201" s="2429">
        <v>0</v>
      </c>
      <c r="E201" s="2430">
        <v>0</v>
      </c>
      <c r="F201" s="2427">
        <v>0</v>
      </c>
      <c r="G201" s="2429">
        <v>0</v>
      </c>
      <c r="H201" s="2430">
        <v>0</v>
      </c>
      <c r="I201" s="2427">
        <v>0</v>
      </c>
      <c r="J201" s="2431">
        <v>0</v>
      </c>
    </row>
    <row r="202" spans="1:10" x14ac:dyDescent="0.2">
      <c r="A202" s="2426" t="s">
        <v>280</v>
      </c>
      <c r="B202" s="2427">
        <v>90</v>
      </c>
      <c r="C202" s="2428">
        <v>1574500</v>
      </c>
      <c r="D202" s="2429">
        <v>141.70500000000001</v>
      </c>
      <c r="E202" s="2430">
        <v>0.35348658547865325</v>
      </c>
      <c r="F202" s="2427">
        <v>0.27987864710642485</v>
      </c>
      <c r="G202" s="2429">
        <v>6.4641929990471398E-3</v>
      </c>
      <c r="H202" s="2430">
        <v>9.3907953706505523E-2</v>
      </c>
      <c r="I202" s="2427">
        <v>7.699244786649824E-2</v>
      </c>
      <c r="J202" s="2431">
        <v>2.1927072448086993E-3</v>
      </c>
    </row>
    <row r="203" spans="1:10" x14ac:dyDescent="0.2">
      <c r="A203" s="2426" t="s">
        <v>427</v>
      </c>
      <c r="B203" s="2427">
        <v>232</v>
      </c>
      <c r="C203" s="2428">
        <v>2072000</v>
      </c>
      <c r="D203" s="2429">
        <v>480.70400000000001</v>
      </c>
      <c r="E203" s="2430">
        <v>0.91120986478941735</v>
      </c>
      <c r="F203" s="2427">
        <v>0.72146495698545077</v>
      </c>
      <c r="G203" s="2429">
        <v>1.6663253064210404E-2</v>
      </c>
      <c r="H203" s="2430">
        <v>0.31856271111486562</v>
      </c>
      <c r="I203" s="2427">
        <v>0.26118046405714102</v>
      </c>
      <c r="J203" s="2431">
        <v>7.438291827448016E-3</v>
      </c>
    </row>
    <row r="204" spans="1:10" x14ac:dyDescent="0.2">
      <c r="A204" s="2426" t="s">
        <v>428</v>
      </c>
      <c r="B204" s="2427">
        <v>0</v>
      </c>
      <c r="C204" s="2428">
        <v>1326280</v>
      </c>
      <c r="D204" s="2429">
        <v>0</v>
      </c>
      <c r="E204" s="2430">
        <v>0</v>
      </c>
      <c r="F204" s="2427">
        <v>0</v>
      </c>
      <c r="G204" s="2429">
        <v>0</v>
      </c>
      <c r="H204" s="2430">
        <v>0</v>
      </c>
      <c r="I204" s="2427">
        <v>0</v>
      </c>
      <c r="J204" s="2431">
        <v>0</v>
      </c>
    </row>
    <row r="205" spans="1:10" x14ac:dyDescent="0.2">
      <c r="A205" s="2439" t="s">
        <v>92</v>
      </c>
      <c r="B205" s="2427">
        <v>768</v>
      </c>
      <c r="C205" s="2428">
        <v>2215500</v>
      </c>
      <c r="D205" s="2429">
        <v>1701.5039999999999</v>
      </c>
      <c r="E205" s="2430">
        <v>3.0164188627511743</v>
      </c>
      <c r="F205" s="2427">
        <v>2.3882977886414922</v>
      </c>
      <c r="G205" s="2429">
        <v>5.5161113591868934E-2</v>
      </c>
      <c r="H205" s="2430">
        <v>1.1275873036479584</v>
      </c>
      <c r="I205" s="2427">
        <v>0.92447660996180947</v>
      </c>
      <c r="J205" s="2431">
        <v>2.6328641529028481E-2</v>
      </c>
    </row>
    <row r="206" spans="1:10" x14ac:dyDescent="0.2">
      <c r="A206" s="2433" t="s">
        <v>281</v>
      </c>
      <c r="B206" s="2434">
        <v>1789</v>
      </c>
      <c r="C206" s="2433"/>
      <c r="D206" s="2435">
        <v>4057.5994999999998</v>
      </c>
      <c r="E206" s="2436">
        <v>7.0265277935701187</v>
      </c>
      <c r="F206" s="2434">
        <v>5.5633655519266005</v>
      </c>
      <c r="G206" s="2435">
        <v>0.12849379194772592</v>
      </c>
      <c r="H206" s="2436">
        <v>2.6889726262696443</v>
      </c>
      <c r="I206" s="2434">
        <v>2.2046118200972393</v>
      </c>
      <c r="J206" s="2437">
        <v>6.2786265976374558E-2</v>
      </c>
    </row>
    <row r="207" spans="1:10" x14ac:dyDescent="0.2">
      <c r="A207" s="2440" t="s">
        <v>106</v>
      </c>
      <c r="B207" s="2441">
        <v>4588</v>
      </c>
      <c r="C207" s="2440"/>
      <c r="D207" s="2442">
        <v>9026.9282093000002</v>
      </c>
      <c r="E207" s="2443">
        <v>18.019960601956235</v>
      </c>
      <c r="F207" s="2441">
        <v>14.267591476936413</v>
      </c>
      <c r="G207" s="2442">
        <v>0.32953019421809199</v>
      </c>
      <c r="H207" s="2443">
        <v>5.9821485225707862</v>
      </c>
      <c r="I207" s="2441">
        <v>4.9045926364570942</v>
      </c>
      <c r="J207" s="2444">
        <v>0.13968039859496933</v>
      </c>
    </row>
    <row r="208" spans="1:10" x14ac:dyDescent="0.2">
      <c r="A208" s="2426" t="s">
        <v>905</v>
      </c>
      <c r="B208" s="2427">
        <v>2</v>
      </c>
      <c r="C208" s="2428">
        <v>6100000</v>
      </c>
      <c r="D208" s="2429">
        <v>12.2</v>
      </c>
      <c r="E208" s="2430">
        <v>7.8552574550811837E-3</v>
      </c>
      <c r="F208" s="2427">
        <v>6.2195254912538857E-3</v>
      </c>
      <c r="G208" s="2429">
        <v>1.4364873331215865E-4</v>
      </c>
      <c r="H208" s="2430">
        <v>8.0849443224965054E-3</v>
      </c>
      <c r="I208" s="2427">
        <v>6.6286148263736515E-3</v>
      </c>
      <c r="J208" s="2431">
        <v>1.8877970704397255E-4</v>
      </c>
    </row>
    <row r="209" spans="1:10" x14ac:dyDescent="0.2">
      <c r="A209" s="2426" t="s">
        <v>906</v>
      </c>
      <c r="B209" s="2427">
        <v>128</v>
      </c>
      <c r="C209" s="2428">
        <v>3022000.0000000005</v>
      </c>
      <c r="D209" s="2429">
        <v>386.81600000000009</v>
      </c>
      <c r="E209" s="2430">
        <v>0.50273647712519576</v>
      </c>
      <c r="F209" s="2427">
        <v>0.39804963144024869</v>
      </c>
      <c r="G209" s="2429">
        <v>9.1935189319781539E-3</v>
      </c>
      <c r="H209" s="2430">
        <v>0.25634310025006635</v>
      </c>
      <c r="I209" s="2427">
        <v>0.21016838300643861</v>
      </c>
      <c r="J209" s="2431">
        <v>5.9854927180263365E-3</v>
      </c>
    </row>
    <row r="210" spans="1:10" x14ac:dyDescent="0.2">
      <c r="A210" s="2426" t="s">
        <v>907</v>
      </c>
      <c r="B210" s="2427">
        <v>60</v>
      </c>
      <c r="C210" s="2428">
        <v>2324000</v>
      </c>
      <c r="D210" s="2429">
        <v>139.44</v>
      </c>
      <c r="E210" s="2430">
        <v>0.23565772365243551</v>
      </c>
      <c r="F210" s="2427">
        <v>0.18658576473761657</v>
      </c>
      <c r="G210" s="2429">
        <v>4.3094619993647599E-3</v>
      </c>
      <c r="H210" s="2430">
        <v>9.2406937404009237E-2</v>
      </c>
      <c r="I210" s="2427">
        <v>7.5761807490946076E-2</v>
      </c>
      <c r="J210" s="2431">
        <v>2.1576592090337323E-3</v>
      </c>
    </row>
    <row r="211" spans="1:10" x14ac:dyDescent="0.2">
      <c r="A211" s="2439" t="s">
        <v>908</v>
      </c>
      <c r="B211" s="2427">
        <v>140</v>
      </c>
      <c r="C211" s="2428">
        <v>2403999.9999999995</v>
      </c>
      <c r="D211" s="2429">
        <v>336.55999999999995</v>
      </c>
      <c r="E211" s="2430">
        <v>0.54986802185568284</v>
      </c>
      <c r="F211" s="2427">
        <v>0.43536678438777199</v>
      </c>
      <c r="G211" s="2429">
        <v>1.0055411331851108E-2</v>
      </c>
      <c r="H211" s="2430">
        <v>0.22303843124421505</v>
      </c>
      <c r="I211" s="2427">
        <v>0.18286283655445215</v>
      </c>
      <c r="J211" s="2431">
        <v>5.2078441149769998E-3</v>
      </c>
    </row>
    <row r="212" spans="1:10" x14ac:dyDescent="0.2">
      <c r="A212" s="2440" t="s">
        <v>282</v>
      </c>
      <c r="B212" s="2441">
        <v>330</v>
      </c>
      <c r="C212" s="2440"/>
      <c r="D212" s="2442">
        <v>875.01600000000008</v>
      </c>
      <c r="E212" s="2443">
        <v>1.2961174800883954</v>
      </c>
      <c r="F212" s="2441">
        <v>1.0262217060568912</v>
      </c>
      <c r="G212" s="2442">
        <v>2.370204099650618E-2</v>
      </c>
      <c r="H212" s="2443">
        <v>0.57987341322078712</v>
      </c>
      <c r="I212" s="2441">
        <v>0.47542164187821057</v>
      </c>
      <c r="J212" s="2444">
        <v>1.3539775749081041E-2</v>
      </c>
    </row>
    <row r="213" spans="1:10" x14ac:dyDescent="0.2">
      <c r="A213" s="2426" t="s">
        <v>955</v>
      </c>
      <c r="B213" s="2427">
        <v>148.85</v>
      </c>
      <c r="C213" s="2428">
        <v>12137000</v>
      </c>
      <c r="D213" s="2429">
        <v>1806.5924500000001</v>
      </c>
      <c r="E213" s="2430">
        <v>0.58462753609441709</v>
      </c>
      <c r="F213" s="2427">
        <v>0.4628881846865705</v>
      </c>
      <c r="G213" s="2429">
        <v>1.0691056976757408E-2</v>
      </c>
      <c r="H213" s="2430">
        <v>1.197229456696111</v>
      </c>
      <c r="I213" s="2427">
        <v>0.98157422125284455</v>
      </c>
      <c r="J213" s="2431">
        <v>2.7954753562201038E-2</v>
      </c>
    </row>
    <row r="214" spans="1:10" x14ac:dyDescent="0.2">
      <c r="A214" s="2426" t="s">
        <v>283</v>
      </c>
      <c r="B214" s="2427">
        <v>4277.8688802254828</v>
      </c>
      <c r="C214" s="2428">
        <v>13024549.999999996</v>
      </c>
      <c r="D214" s="2429">
        <v>55717.317123940797</v>
      </c>
      <c r="E214" s="2430">
        <v>16.801880706625511</v>
      </c>
      <c r="F214" s="2427">
        <v>13.303157274402052</v>
      </c>
      <c r="G214" s="2429">
        <v>0.30725522295994656</v>
      </c>
      <c r="H214" s="2430">
        <v>36.923885798847742</v>
      </c>
      <c r="I214" s="2427">
        <v>30.272838883075124</v>
      </c>
      <c r="J214" s="2431">
        <v>0.8621556396666934</v>
      </c>
    </row>
    <row r="215" spans="1:10" x14ac:dyDescent="0.2">
      <c r="A215" s="2426" t="s">
        <v>69</v>
      </c>
      <c r="B215" s="2427">
        <v>3378.9261197745172</v>
      </c>
      <c r="C215" s="2428">
        <v>14978232.499999994</v>
      </c>
      <c r="D215" s="2429">
        <v>50610.341022305547</v>
      </c>
      <c r="E215" s="2430">
        <v>13.271167296263656</v>
      </c>
      <c r="F215" s="2427">
        <v>10.507658567500595</v>
      </c>
      <c r="G215" s="2429">
        <v>0.24268922853048833</v>
      </c>
      <c r="H215" s="2430">
        <v>33.53949092687715</v>
      </c>
      <c r="I215" s="2427">
        <v>27.498070235105022</v>
      </c>
      <c r="J215" s="2431">
        <v>0.78313158619560552</v>
      </c>
    </row>
    <row r="216" spans="1:10" x14ac:dyDescent="0.2">
      <c r="A216" s="2426" t="s">
        <v>199</v>
      </c>
      <c r="B216" s="2427">
        <v>126</v>
      </c>
      <c r="C216" s="2428">
        <v>3000000</v>
      </c>
      <c r="D216" s="2429">
        <v>378</v>
      </c>
      <c r="E216" s="2430">
        <v>0.49488121967011456</v>
      </c>
      <c r="F216" s="2427">
        <v>0.39183010594899487</v>
      </c>
      <c r="G216" s="2429">
        <v>9.0498701986659966E-3</v>
      </c>
      <c r="H216" s="2430">
        <v>0.25050073392653111</v>
      </c>
      <c r="I216" s="2427">
        <v>0.20537839380075745</v>
      </c>
      <c r="J216" s="2431">
        <v>5.8490761690673469E-3</v>
      </c>
    </row>
    <row r="217" spans="1:10" x14ac:dyDescent="0.2">
      <c r="A217" s="2426" t="s">
        <v>86</v>
      </c>
      <c r="B217" s="2427">
        <v>280</v>
      </c>
      <c r="C217" s="2428">
        <v>170000</v>
      </c>
      <c r="D217" s="2429">
        <v>47.6</v>
      </c>
      <c r="E217" s="2430">
        <v>1.0997360437113657</v>
      </c>
      <c r="F217" s="2427">
        <v>0.87073356877554398</v>
      </c>
      <c r="G217" s="2429">
        <v>2.0110822663702215E-2</v>
      </c>
      <c r="H217" s="2430">
        <v>3.1544536864822434E-2</v>
      </c>
      <c r="I217" s="2427">
        <v>2.5862464404539827E-2</v>
      </c>
      <c r="J217" s="2431">
        <v>7.3655033240107334E-4</v>
      </c>
    </row>
    <row r="218" spans="1:10" x14ac:dyDescent="0.2">
      <c r="A218" s="2439" t="s">
        <v>213</v>
      </c>
      <c r="B218" s="2427">
        <v>4708.5</v>
      </c>
      <c r="C218" s="2428">
        <v>1850000.0000000005</v>
      </c>
      <c r="D218" s="2429">
        <v>8710.7250000000022</v>
      </c>
      <c r="E218" s="2430">
        <v>18.493239863624879</v>
      </c>
      <c r="F218" s="2427">
        <v>14.642317887784461</v>
      </c>
      <c r="G218" s="2429">
        <v>0.33818503040014952</v>
      </c>
      <c r="H218" s="2430">
        <v>5.7726005437359342</v>
      </c>
      <c r="I218" s="2427">
        <v>4.7327902363494792</v>
      </c>
      <c r="J218" s="2431">
        <v>0.13478755029841052</v>
      </c>
    </row>
    <row r="219" spans="1:10" x14ac:dyDescent="0.2">
      <c r="A219" s="2433" t="s">
        <v>1834</v>
      </c>
      <c r="B219" s="2434">
        <v>12920.145</v>
      </c>
      <c r="C219" s="2433"/>
      <c r="D219" s="2435">
        <v>117270.57559624634</v>
      </c>
      <c r="E219" s="2436">
        <v>50.745532665989948</v>
      </c>
      <c r="F219" s="2434">
        <v>40.178585589098219</v>
      </c>
      <c r="G219" s="2435">
        <v>0.92798123172971014</v>
      </c>
      <c r="H219" s="2436">
        <v>77.715251996948297</v>
      </c>
      <c r="I219" s="2434">
        <v>63.716514433987768</v>
      </c>
      <c r="J219" s="2437">
        <v>1.8146151562243789</v>
      </c>
    </row>
    <row r="220" spans="1:10" x14ac:dyDescent="0.2">
      <c r="A220" s="2426" t="s">
        <v>961</v>
      </c>
      <c r="B220" s="2427">
        <v>586.0100000000001</v>
      </c>
      <c r="C220" s="2428">
        <v>3668000</v>
      </c>
      <c r="D220" s="2429">
        <v>2149.4846800000005</v>
      </c>
      <c r="E220" s="2430">
        <v>2.3016297106260626</v>
      </c>
      <c r="F220" s="2427">
        <v>1.8223520665648454</v>
      </c>
      <c r="G220" s="2429">
        <v>4.2089797104129058E-2</v>
      </c>
      <c r="H220" s="2430">
        <v>1.4244642590048544</v>
      </c>
      <c r="I220" s="2427">
        <v>1.1678775425336909</v>
      </c>
      <c r="J220" s="2431">
        <v>3.3260580998844852E-2</v>
      </c>
    </row>
    <row r="221" spans="1:10" x14ac:dyDescent="0.2">
      <c r="A221" s="2426" t="s">
        <v>962</v>
      </c>
      <c r="B221" s="2427">
        <v>0</v>
      </c>
      <c r="C221" s="2428">
        <v>1999999.9999999998</v>
      </c>
      <c r="D221" s="2429">
        <v>0</v>
      </c>
      <c r="E221" s="2430">
        <v>0</v>
      </c>
      <c r="F221" s="2427">
        <v>0</v>
      </c>
      <c r="G221" s="2429">
        <v>0</v>
      </c>
      <c r="H221" s="2430">
        <v>0</v>
      </c>
      <c r="I221" s="2427">
        <v>0</v>
      </c>
      <c r="J221" s="2431">
        <v>0</v>
      </c>
    </row>
    <row r="222" spans="1:10" x14ac:dyDescent="0.2">
      <c r="A222" s="2426" t="s">
        <v>963</v>
      </c>
      <c r="B222" s="2427">
        <v>707</v>
      </c>
      <c r="C222" s="2428">
        <v>1347999.9999999998</v>
      </c>
      <c r="D222" s="2429">
        <v>953.03599999999983</v>
      </c>
      <c r="E222" s="2430">
        <v>2.7768335103711985</v>
      </c>
      <c r="F222" s="2427">
        <v>2.1986022611582485</v>
      </c>
      <c r="G222" s="2429">
        <v>5.077982722584809E-2</v>
      </c>
      <c r="H222" s="2430">
        <v>0.63157729486350644</v>
      </c>
      <c r="I222" s="2427">
        <v>0.51781217702195403</v>
      </c>
      <c r="J222" s="2431">
        <v>1.4747037449373723E-2</v>
      </c>
    </row>
    <row r="223" spans="1:10" x14ac:dyDescent="0.2">
      <c r="A223" s="2426" t="s">
        <v>965</v>
      </c>
      <c r="B223" s="2427">
        <v>280</v>
      </c>
      <c r="C223" s="2428">
        <v>1599999.9999999995</v>
      </c>
      <c r="D223" s="2429">
        <v>447.99999999999989</v>
      </c>
      <c r="E223" s="2430">
        <v>1.0997360437113657</v>
      </c>
      <c r="F223" s="2427">
        <v>0.87073356877554398</v>
      </c>
      <c r="G223" s="2429">
        <v>2.0110822663702215E-2</v>
      </c>
      <c r="H223" s="2430">
        <v>0.29688975872774048</v>
      </c>
      <c r="I223" s="2427">
        <v>0.24341142968978652</v>
      </c>
      <c r="J223" s="2431">
        <v>6.932238422598336E-3</v>
      </c>
    </row>
    <row r="224" spans="1:10" x14ac:dyDescent="0.2">
      <c r="A224" s="2426" t="s">
        <v>966</v>
      </c>
      <c r="B224" s="2427">
        <v>180</v>
      </c>
      <c r="C224" s="2428">
        <v>2244000</v>
      </c>
      <c r="D224" s="2429">
        <v>403.92</v>
      </c>
      <c r="E224" s="2430">
        <v>0.7069731709573065</v>
      </c>
      <c r="F224" s="2427">
        <v>0.5597572942128497</v>
      </c>
      <c r="G224" s="2429">
        <v>1.292838599809428E-2</v>
      </c>
      <c r="H224" s="2430">
        <v>0.26767792711006466</v>
      </c>
      <c r="I224" s="2427">
        <v>0.21946148366138082</v>
      </c>
      <c r="J224" s="2431">
        <v>6.2501556778033936E-3</v>
      </c>
    </row>
    <row r="225" spans="1:10" x14ac:dyDescent="0.2">
      <c r="A225" s="2426" t="s">
        <v>1499</v>
      </c>
      <c r="B225" s="2427">
        <v>75</v>
      </c>
      <c r="C225" s="2428">
        <v>4849999.9999999991</v>
      </c>
      <c r="D225" s="2429">
        <v>363.74999999999994</v>
      </c>
      <c r="E225" s="2430">
        <v>0.29457215456554436</v>
      </c>
      <c r="F225" s="2427">
        <v>0.23323220592202074</v>
      </c>
      <c r="G225" s="2429">
        <v>5.3868274992059494E-3</v>
      </c>
      <c r="H225" s="2430">
        <v>0.24105725387771343</v>
      </c>
      <c r="I225" s="2427">
        <v>0.19763595435191933</v>
      </c>
      <c r="J225" s="2431">
        <v>5.6285752817413943E-3</v>
      </c>
    </row>
    <row r="226" spans="1:10" x14ac:dyDescent="0.2">
      <c r="A226" s="2426" t="s">
        <v>1575</v>
      </c>
      <c r="B226" s="2427">
        <v>210</v>
      </c>
      <c r="C226" s="2428">
        <v>2250000.0000000005</v>
      </c>
      <c r="D226" s="2429">
        <v>472.50000000000011</v>
      </c>
      <c r="E226" s="2430">
        <v>0.82480203278352437</v>
      </c>
      <c r="F226" s="2427">
        <v>0.65305017658165809</v>
      </c>
      <c r="G226" s="2429">
        <v>1.508311699777666E-2</v>
      </c>
      <c r="H226" s="2430">
        <v>0.31312591740816392</v>
      </c>
      <c r="I226" s="2427">
        <v>0.25672299225094686</v>
      </c>
      <c r="J226" s="2431">
        <v>7.3113452113341857E-3</v>
      </c>
    </row>
    <row r="227" spans="1:10" x14ac:dyDescent="0.2">
      <c r="A227" s="2426" t="s">
        <v>964</v>
      </c>
      <c r="B227" s="2427">
        <v>95</v>
      </c>
      <c r="C227" s="2428">
        <v>1556000</v>
      </c>
      <c r="D227" s="2429">
        <v>147.82</v>
      </c>
      <c r="E227" s="2430">
        <v>0.37312472911635619</v>
      </c>
      <c r="F227" s="2427">
        <v>0.29542746083455962</v>
      </c>
      <c r="G227" s="2429">
        <v>6.8233148323275372E-3</v>
      </c>
      <c r="H227" s="2430">
        <v>9.7960366373068319E-2</v>
      </c>
      <c r="I227" s="2427">
        <v>8.0314905215946988E-2</v>
      </c>
      <c r="J227" s="2431">
        <v>2.2873292045278706E-3</v>
      </c>
    </row>
    <row r="228" spans="1:10" x14ac:dyDescent="0.2">
      <c r="A228" s="2426" t="s">
        <v>969</v>
      </c>
      <c r="B228" s="2427">
        <v>1720</v>
      </c>
      <c r="C228" s="2428">
        <v>4800000</v>
      </c>
      <c r="D228" s="2429">
        <v>8256</v>
      </c>
      <c r="E228" s="2430">
        <v>6.7555214113698181</v>
      </c>
      <c r="F228" s="2427">
        <v>5.348791922478342</v>
      </c>
      <c r="G228" s="2429">
        <v>0.12353791064845644</v>
      </c>
      <c r="H228" s="2430">
        <v>5.4712541251255047</v>
      </c>
      <c r="I228" s="2427">
        <v>4.4857249185689243</v>
      </c>
      <c r="J228" s="2431">
        <v>0.12775125093074077</v>
      </c>
    </row>
    <row r="229" spans="1:10" x14ac:dyDescent="0.2">
      <c r="A229" s="2426" t="s">
        <v>968</v>
      </c>
      <c r="B229" s="2427">
        <v>84</v>
      </c>
      <c r="C229" s="2428">
        <v>3050000.0000000009</v>
      </c>
      <c r="D229" s="2429">
        <v>256.2000000000001</v>
      </c>
      <c r="E229" s="2430">
        <v>0.32992081311340971</v>
      </c>
      <c r="F229" s="2427">
        <v>0.26122007063266323</v>
      </c>
      <c r="G229" s="2429">
        <v>6.0332467991106638E-3</v>
      </c>
      <c r="H229" s="2430">
        <v>0.1697838307724267</v>
      </c>
      <c r="I229" s="2427">
        <v>0.13920091135384674</v>
      </c>
      <c r="J229" s="2431">
        <v>3.9643738479234253E-3</v>
      </c>
    </row>
    <row r="230" spans="1:10" x14ac:dyDescent="0.2">
      <c r="A230" s="2426" t="s">
        <v>1013</v>
      </c>
      <c r="B230" s="2427">
        <v>0</v>
      </c>
      <c r="C230" s="2428">
        <v>1799999.9999999998</v>
      </c>
      <c r="D230" s="2429">
        <v>0</v>
      </c>
      <c r="E230" s="2430">
        <v>0</v>
      </c>
      <c r="F230" s="2427">
        <v>0</v>
      </c>
      <c r="G230" s="2429">
        <v>0</v>
      </c>
      <c r="H230" s="2430">
        <v>0</v>
      </c>
      <c r="I230" s="2427">
        <v>0</v>
      </c>
      <c r="J230" s="2431">
        <v>0</v>
      </c>
    </row>
    <row r="231" spans="1:10" x14ac:dyDescent="0.2">
      <c r="A231" s="2426" t="s">
        <v>1014</v>
      </c>
      <c r="B231" s="2427">
        <v>54</v>
      </c>
      <c r="C231" s="2428">
        <v>2195000.0000000005</v>
      </c>
      <c r="D231" s="2429">
        <v>118.53000000000003</v>
      </c>
      <c r="E231" s="2430">
        <v>0.21209195128719197</v>
      </c>
      <c r="F231" s="2427">
        <v>0.16792718826385492</v>
      </c>
      <c r="G231" s="2429">
        <v>3.8785157994282839E-3</v>
      </c>
      <c r="H231" s="2430">
        <v>7.8549872995533704E-2</v>
      </c>
      <c r="I231" s="2427">
        <v>6.4400796341808952E-2</v>
      </c>
      <c r="J231" s="2431">
        <v>1.834103170157547E-3</v>
      </c>
    </row>
    <row r="232" spans="1:10" x14ac:dyDescent="0.2">
      <c r="A232" s="2426" t="s">
        <v>970</v>
      </c>
      <c r="B232" s="2427">
        <v>632.5</v>
      </c>
      <c r="C232" s="2428">
        <v>3100000.0000000005</v>
      </c>
      <c r="D232" s="2429">
        <v>1960.7500000000002</v>
      </c>
      <c r="E232" s="2430">
        <v>2.4842251701694242</v>
      </c>
      <c r="F232" s="2427">
        <v>1.9669249366090416</v>
      </c>
      <c r="G232" s="2429">
        <v>4.5428911909970178E-2</v>
      </c>
      <c r="H232" s="2430">
        <v>1.2993897196995925</v>
      </c>
      <c r="I232" s="2427">
        <v>1.0653325017059132</v>
      </c>
      <c r="J232" s="2431">
        <v>3.0340148408726987E-2</v>
      </c>
    </row>
    <row r="233" spans="1:10" x14ac:dyDescent="0.2">
      <c r="A233" s="2426" t="s">
        <v>971</v>
      </c>
      <c r="B233" s="2427">
        <v>85</v>
      </c>
      <c r="C233" s="2428">
        <v>3010000</v>
      </c>
      <c r="D233" s="2429">
        <v>255.85</v>
      </c>
      <c r="E233" s="2430">
        <v>0.33384844184095031</v>
      </c>
      <c r="F233" s="2427">
        <v>0.26432983337829014</v>
      </c>
      <c r="G233" s="2429">
        <v>6.1050711657667425E-3</v>
      </c>
      <c r="H233" s="2430">
        <v>0.16955188564842058</v>
      </c>
      <c r="I233" s="2427">
        <v>0.13901074617440157</v>
      </c>
      <c r="J233" s="2431">
        <v>3.958958036655769E-3</v>
      </c>
    </row>
    <row r="234" spans="1:10" x14ac:dyDescent="0.2">
      <c r="A234" s="2426" t="s">
        <v>972</v>
      </c>
      <c r="B234" s="2427">
        <v>1518</v>
      </c>
      <c r="C234" s="2428">
        <v>2744000.0000000005</v>
      </c>
      <c r="D234" s="2429">
        <v>4165.3920000000007</v>
      </c>
      <c r="E234" s="2430">
        <v>5.9621404084066176</v>
      </c>
      <c r="F234" s="2427">
        <v>4.7206198478616992</v>
      </c>
      <c r="G234" s="2429">
        <v>0.10902938858392842</v>
      </c>
      <c r="H234" s="2430">
        <v>2.7604067542108504</v>
      </c>
      <c r="I234" s="2427">
        <v>2.2631786203982136</v>
      </c>
      <c r="J234" s="2431">
        <v>6.4454219793713699E-2</v>
      </c>
    </row>
    <row r="235" spans="1:10" x14ac:dyDescent="0.2">
      <c r="A235" s="2426" t="s">
        <v>973</v>
      </c>
      <c r="B235" s="2427">
        <v>753</v>
      </c>
      <c r="C235" s="2428">
        <v>2549999.9999999991</v>
      </c>
      <c r="D235" s="2429">
        <v>1920.1499999999992</v>
      </c>
      <c r="E235" s="2430">
        <v>2.9575044318380659</v>
      </c>
      <c r="F235" s="2427">
        <v>2.3416513474570877</v>
      </c>
      <c r="G235" s="2429">
        <v>5.4083748092027741E-2</v>
      </c>
      <c r="H235" s="2430">
        <v>1.2724840853148902</v>
      </c>
      <c r="I235" s="2427">
        <v>1.0432733408902757</v>
      </c>
      <c r="J235" s="2431">
        <v>2.9711914301678997E-2</v>
      </c>
    </row>
    <row r="236" spans="1:10" x14ac:dyDescent="0.2">
      <c r="A236" s="2426" t="s">
        <v>974</v>
      </c>
      <c r="B236" s="2427">
        <v>40</v>
      </c>
      <c r="C236" s="2428">
        <v>1583999.9999999995</v>
      </c>
      <c r="D236" s="2429">
        <v>63.359999999999985</v>
      </c>
      <c r="E236" s="2430">
        <v>0.15710514910162368</v>
      </c>
      <c r="F236" s="2427">
        <v>0.12439050982507771</v>
      </c>
      <c r="G236" s="2429">
        <v>2.872974666243173E-3</v>
      </c>
      <c r="H236" s="2430">
        <v>4.1988694448637585E-2</v>
      </c>
      <c r="I236" s="2427">
        <v>3.4425330770412668E-2</v>
      </c>
      <c r="J236" s="2431">
        <v>9.8041657691033592E-4</v>
      </c>
    </row>
    <row r="237" spans="1:10" x14ac:dyDescent="0.2">
      <c r="A237" s="2426" t="s">
        <v>975</v>
      </c>
      <c r="B237" s="2427">
        <v>182</v>
      </c>
      <c r="C237" s="2428">
        <v>2532000.0000000009</v>
      </c>
      <c r="D237" s="2429">
        <v>460.82400000000018</v>
      </c>
      <c r="E237" s="2430">
        <v>0.7148284284123877</v>
      </c>
      <c r="F237" s="2427">
        <v>0.56597681970410363</v>
      </c>
      <c r="G237" s="2429">
        <v>1.3072034731406439E-2</v>
      </c>
      <c r="H237" s="2430">
        <v>0.30538822807132227</v>
      </c>
      <c r="I237" s="2427">
        <v>0.25037908186465679</v>
      </c>
      <c r="J237" s="2431">
        <v>7.1306737474452174E-3</v>
      </c>
    </row>
    <row r="238" spans="1:10" x14ac:dyDescent="0.2">
      <c r="A238" s="2426" t="s">
        <v>976</v>
      </c>
      <c r="B238" s="2427">
        <v>65</v>
      </c>
      <c r="C238" s="2428">
        <v>7394999.9999999991</v>
      </c>
      <c r="D238" s="2429">
        <v>480.67499999999995</v>
      </c>
      <c r="E238" s="2430">
        <v>0.25529586729013842</v>
      </c>
      <c r="F238" s="2427">
        <v>0.20213457846575128</v>
      </c>
      <c r="G238" s="2429">
        <v>4.6685838326451564E-3</v>
      </c>
      <c r="H238" s="2430">
        <v>0.31854349280459077</v>
      </c>
      <c r="I238" s="2427">
        <v>0.26116470751370124</v>
      </c>
      <c r="J238" s="2431">
        <v>7.4378430888001239E-3</v>
      </c>
    </row>
    <row r="239" spans="1:10" x14ac:dyDescent="0.2">
      <c r="A239" s="2426" t="s">
        <v>286</v>
      </c>
      <c r="B239" s="2427">
        <v>320</v>
      </c>
      <c r="C239" s="2428">
        <v>2445000.0000000005</v>
      </c>
      <c r="D239" s="2429">
        <v>782.40000000000009</v>
      </c>
      <c r="E239" s="2430">
        <v>1.2568411928129894</v>
      </c>
      <c r="F239" s="2427">
        <v>0.99512407860062169</v>
      </c>
      <c r="G239" s="2429">
        <v>2.2983797329945384E-2</v>
      </c>
      <c r="H239" s="2430">
        <v>0.51849675720666122</v>
      </c>
      <c r="I239" s="2427">
        <v>0.42510067542252022</v>
      </c>
      <c r="J239" s="2431">
        <v>1.2106659245180668E-2</v>
      </c>
    </row>
    <row r="240" spans="1:10" x14ac:dyDescent="0.2">
      <c r="A240" s="2439" t="s">
        <v>978</v>
      </c>
      <c r="B240" s="2427">
        <v>36</v>
      </c>
      <c r="C240" s="2428">
        <v>1850000.0000000002</v>
      </c>
      <c r="D240" s="2429">
        <v>66.600000000000009</v>
      </c>
      <c r="E240" s="2430">
        <v>0.14139463419146131</v>
      </c>
      <c r="F240" s="2427">
        <v>0.11195145884256995</v>
      </c>
      <c r="G240" s="2429">
        <v>2.5856771996188559E-3</v>
      </c>
      <c r="H240" s="2430">
        <v>4.4135843596579294E-2</v>
      </c>
      <c r="I240" s="2427">
        <v>3.61857170029906E-2</v>
      </c>
      <c r="J240" s="2431">
        <v>1.0305515155023422E-3</v>
      </c>
    </row>
    <row r="241" spans="1:10" x14ac:dyDescent="0.2">
      <c r="A241" s="2426" t="s">
        <v>1163</v>
      </c>
      <c r="B241" s="2427">
        <v>0</v>
      </c>
      <c r="C241" s="2428">
        <v>0</v>
      </c>
      <c r="D241" s="2429">
        <v>0</v>
      </c>
      <c r="E241" s="2430">
        <v>0</v>
      </c>
      <c r="F241" s="2427">
        <v>0</v>
      </c>
      <c r="G241" s="2429">
        <v>0</v>
      </c>
      <c r="H241" s="2430">
        <v>0</v>
      </c>
      <c r="I241" s="2427">
        <v>0</v>
      </c>
      <c r="J241" s="2431">
        <v>0</v>
      </c>
    </row>
    <row r="242" spans="1:10" x14ac:dyDescent="0.2">
      <c r="A242" s="2433" t="s">
        <v>287</v>
      </c>
      <c r="B242" s="2434">
        <v>7622.51</v>
      </c>
      <c r="C242" s="2433"/>
      <c r="D242" s="2435">
        <v>23725.241679999999</v>
      </c>
      <c r="E242" s="2436">
        <v>29.938389251965436</v>
      </c>
      <c r="F242" s="2434">
        <v>23.704197626168831</v>
      </c>
      <c r="G242" s="2435">
        <v>0.54748195307963132</v>
      </c>
      <c r="H242" s="2436">
        <v>15.722726067260121</v>
      </c>
      <c r="I242" s="2434">
        <v>12.890613832733292</v>
      </c>
      <c r="J242" s="2437">
        <v>0.36711837490965959</v>
      </c>
    </row>
    <row r="243" spans="1:10" x14ac:dyDescent="0.2">
      <c r="A243" s="2440" t="s">
        <v>1835</v>
      </c>
      <c r="B243" s="2441">
        <v>20542.654999999999</v>
      </c>
      <c r="C243" s="2440"/>
      <c r="D243" s="2442">
        <v>140995.81727624635</v>
      </c>
      <c r="E243" s="2443">
        <v>80.683921917955374</v>
      </c>
      <c r="F243" s="2441">
        <v>63.882783215267047</v>
      </c>
      <c r="G243" s="2442">
        <v>1.4754631848093411</v>
      </c>
      <c r="H243" s="2443">
        <v>93.437978064208409</v>
      </c>
      <c r="I243" s="2441">
        <v>76.607128266721062</v>
      </c>
      <c r="J243" s="2444">
        <v>2.1817335311340389</v>
      </c>
    </row>
    <row r="244" spans="1:10" x14ac:dyDescent="0.2">
      <c r="A244" s="2445" t="s">
        <v>194</v>
      </c>
      <c r="B244" s="2446">
        <v>25460.654999999999</v>
      </c>
      <c r="C244" s="2447"/>
      <c r="D244" s="2448">
        <v>150897.76148554636</v>
      </c>
      <c r="E244" s="2449">
        <v>100</v>
      </c>
      <c r="F244" s="2446">
        <v>79.176596398260344</v>
      </c>
      <c r="G244" s="2448">
        <v>1.8286954200239396</v>
      </c>
      <c r="H244" s="2449">
        <v>99.999999999999986</v>
      </c>
      <c r="I244" s="2446">
        <v>81.987142545056372</v>
      </c>
      <c r="J244" s="2450">
        <v>2.3349537054780893</v>
      </c>
    </row>
    <row r="245" spans="1:10" x14ac:dyDescent="0.2">
      <c r="A245" s="2451" t="s">
        <v>1852</v>
      </c>
      <c r="B245" s="2427"/>
      <c r="C245" s="2452"/>
      <c r="D245" s="2429"/>
      <c r="E245" s="2430"/>
      <c r="F245" s="2427">
        <v>0</v>
      </c>
      <c r="G245" s="2429"/>
      <c r="H245" s="2430"/>
      <c r="I245" s="2427">
        <v>0</v>
      </c>
      <c r="J245" s="2431">
        <v>0</v>
      </c>
    </row>
    <row r="246" spans="1:10" x14ac:dyDescent="0.2">
      <c r="A246" s="2453" t="s">
        <v>1836</v>
      </c>
      <c r="B246" s="2427">
        <v>963.62</v>
      </c>
      <c r="C246" s="2428">
        <v>8033612.4975057133</v>
      </c>
      <c r="D246" s="2429">
        <v>7741.3496748464559</v>
      </c>
      <c r="E246" s="2430">
        <v>17.518646808976353</v>
      </c>
      <c r="F246" s="2427">
        <v>2.9966295769410349</v>
      </c>
      <c r="G246" s="2429">
        <v>6.9211396197131167E-2</v>
      </c>
      <c r="H246" s="2430">
        <v>40.199751761149408</v>
      </c>
      <c r="I246" s="2427">
        <v>4.2061004287565629</v>
      </c>
      <c r="J246" s="2431">
        <v>0.11978768227397264</v>
      </c>
    </row>
    <row r="247" spans="1:10" x14ac:dyDescent="0.2">
      <c r="A247" s="2453" t="s">
        <v>1837</v>
      </c>
      <c r="B247" s="2427">
        <v>4416.5</v>
      </c>
      <c r="C247" s="2428">
        <v>2214764.1578067578</v>
      </c>
      <c r="D247" s="2429">
        <v>9781.505902953546</v>
      </c>
      <c r="E247" s="2430">
        <v>80.29213137112562</v>
      </c>
      <c r="F247" s="2427">
        <v>13.734267166061393</v>
      </c>
      <c r="G247" s="2429">
        <v>0.31721231533657435</v>
      </c>
      <c r="H247" s="2430">
        <v>50.793999194558957</v>
      </c>
      <c r="I247" s="2427">
        <v>5.3145766436540391</v>
      </c>
      <c r="J247" s="2431">
        <v>0.15135654252528349</v>
      </c>
    </row>
    <row r="248" spans="1:10" x14ac:dyDescent="0.2">
      <c r="A248" s="2454" t="s">
        <v>309</v>
      </c>
      <c r="B248" s="2434">
        <v>5380.12</v>
      </c>
      <c r="C248" s="2433"/>
      <c r="D248" s="2435">
        <v>17522.855577800001</v>
      </c>
      <c r="E248" s="2436">
        <v>97.810778180101977</v>
      </c>
      <c r="F248" s="2434">
        <v>16.730896743002425</v>
      </c>
      <c r="G248" s="2435">
        <v>0.38642371153370553</v>
      </c>
      <c r="H248" s="2436">
        <v>90.993750955708364</v>
      </c>
      <c r="I248" s="2434">
        <v>9.5206770724106029</v>
      </c>
      <c r="J248" s="2437">
        <v>0.27114422479925615</v>
      </c>
    </row>
    <row r="249" spans="1:10" x14ac:dyDescent="0.2">
      <c r="A249" s="2453" t="s">
        <v>1838</v>
      </c>
      <c r="B249" s="2427">
        <v>31.1</v>
      </c>
      <c r="C249" s="2428">
        <v>10407427.50198495</v>
      </c>
      <c r="D249" s="2429">
        <v>323.67099531173199</v>
      </c>
      <c r="E249" s="2430">
        <v>0.56539913633918415</v>
      </c>
      <c r="F249" s="2427">
        <v>9.6713621388997931E-2</v>
      </c>
      <c r="G249" s="2429">
        <v>2.2337378030040673E-3</v>
      </c>
      <c r="H249" s="2430">
        <v>1.6807784443704066</v>
      </c>
      <c r="I249" s="2427">
        <v>0.17585986544184129</v>
      </c>
      <c r="J249" s="2431">
        <v>5.008402924063916E-3</v>
      </c>
    </row>
    <row r="250" spans="1:10" x14ac:dyDescent="0.2">
      <c r="A250" s="2454" t="s">
        <v>315</v>
      </c>
      <c r="B250" s="2434">
        <v>31.1</v>
      </c>
      <c r="C250" s="2455"/>
      <c r="D250" s="2435">
        <v>323.67099531173199</v>
      </c>
      <c r="E250" s="2436">
        <v>0.56539913633918415</v>
      </c>
      <c r="F250" s="2434">
        <v>9.6713621388997931E-2</v>
      </c>
      <c r="G250" s="2435">
        <v>2.2337378030040673E-3</v>
      </c>
      <c r="H250" s="2436">
        <v>1.6807784443704066</v>
      </c>
      <c r="I250" s="2434">
        <v>0.17585986544184129</v>
      </c>
      <c r="J250" s="2437">
        <v>5.008402924063916E-3</v>
      </c>
    </row>
    <row r="251" spans="1:10" x14ac:dyDescent="0.2">
      <c r="A251" s="2453" t="s">
        <v>1541</v>
      </c>
      <c r="B251" s="2427">
        <v>12.144</v>
      </c>
      <c r="C251" s="2428">
        <v>10553660</v>
      </c>
      <c r="D251" s="2429">
        <v>128.16364704</v>
      </c>
      <c r="E251" s="2430">
        <v>0.22077836372035539</v>
      </c>
      <c r="F251" s="2427">
        <v>3.7764958782893591E-2</v>
      </c>
      <c r="G251" s="2429">
        <v>8.7223510867142739E-4</v>
      </c>
      <c r="H251" s="2430">
        <v>0.66553598690318305</v>
      </c>
      <c r="I251" s="2427">
        <v>6.9635036964874081E-2</v>
      </c>
      <c r="J251" s="2431">
        <v>1.9831717821228115E-3</v>
      </c>
    </row>
    <row r="252" spans="1:10" x14ac:dyDescent="0.2">
      <c r="A252" s="2453" t="s">
        <v>206</v>
      </c>
      <c r="B252" s="2427">
        <v>54.375</v>
      </c>
      <c r="C252" s="2428">
        <v>6960000</v>
      </c>
      <c r="D252" s="2429">
        <v>378.45</v>
      </c>
      <c r="E252" s="2430">
        <v>0.98853948676666037</v>
      </c>
      <c r="F252" s="2427">
        <v>0.16909334929346503</v>
      </c>
      <c r="G252" s="2429">
        <v>3.9054499369243138E-3</v>
      </c>
      <c r="H252" s="2430">
        <v>1.9652381939856947</v>
      </c>
      <c r="I252" s="2427">
        <v>0.20562289188861549</v>
      </c>
      <c r="J252" s="2431">
        <v>5.8560393549829028E-3</v>
      </c>
    </row>
    <row r="253" spans="1:10" x14ac:dyDescent="0.2">
      <c r="A253" s="2454" t="s">
        <v>310</v>
      </c>
      <c r="B253" s="2434">
        <v>66.519000000000005</v>
      </c>
      <c r="C253" s="2455"/>
      <c r="D253" s="2435">
        <v>506.61364703999999</v>
      </c>
      <c r="E253" s="2436">
        <v>1.2093178504870159</v>
      </c>
      <c r="F253" s="2434">
        <v>0.20685830807635866</v>
      </c>
      <c r="G253" s="2435">
        <v>4.777685045595741E-3</v>
      </c>
      <c r="H253" s="2436">
        <v>2.6307741808888778</v>
      </c>
      <c r="I253" s="2434">
        <v>0.27525792885348954</v>
      </c>
      <c r="J253" s="2437">
        <v>7.8392111371057144E-3</v>
      </c>
    </row>
    <row r="254" spans="1:10" x14ac:dyDescent="0.2">
      <c r="A254" s="2453" t="s">
        <v>1839</v>
      </c>
      <c r="B254" s="2427">
        <v>22.8</v>
      </c>
      <c r="C254" s="2428">
        <v>39652080.629353955</v>
      </c>
      <c r="D254" s="2429">
        <v>904.06743834927022</v>
      </c>
      <c r="E254" s="2430">
        <v>0.41450483307181346</v>
      </c>
      <c r="F254" s="2427">
        <v>7.0902590600294302E-2</v>
      </c>
      <c r="G254" s="2429">
        <v>1.6375955597586088E-3</v>
      </c>
      <c r="H254" s="2430">
        <v>4.6946964190323506</v>
      </c>
      <c r="I254" s="2427">
        <v>0.49120613326914919</v>
      </c>
      <c r="J254" s="2431">
        <v>1.3989310340948358E-2</v>
      </c>
    </row>
    <row r="255" spans="1:10" x14ac:dyDescent="0.2">
      <c r="A255" s="2454" t="s">
        <v>311</v>
      </c>
      <c r="B255" s="2434">
        <v>22.8</v>
      </c>
      <c r="C255" s="2433"/>
      <c r="D255" s="2435">
        <v>904.06743834927022</v>
      </c>
      <c r="E255" s="2436">
        <v>0.41450483307181346</v>
      </c>
      <c r="F255" s="2434">
        <v>7.0902590600294302E-2</v>
      </c>
      <c r="G255" s="2435">
        <v>1.6375955597586088E-3</v>
      </c>
      <c r="H255" s="2436">
        <v>4.6946964190323506</v>
      </c>
      <c r="I255" s="2434">
        <v>0.49120613326914919</v>
      </c>
      <c r="J255" s="2437">
        <v>1.3989310340948358E-2</v>
      </c>
    </row>
    <row r="256" spans="1:10" x14ac:dyDescent="0.2">
      <c r="A256" s="2445" t="s">
        <v>129</v>
      </c>
      <c r="B256" s="2446">
        <v>5500.5390000000007</v>
      </c>
      <c r="C256" s="2447"/>
      <c r="D256" s="2448">
        <v>19257.207658501004</v>
      </c>
      <c r="E256" s="2449">
        <v>99.999999999999986</v>
      </c>
      <c r="F256" s="2446">
        <v>17.105371263068079</v>
      </c>
      <c r="G256" s="2448">
        <v>0.39507272994206394</v>
      </c>
      <c r="H256" s="2449">
        <v>100</v>
      </c>
      <c r="I256" s="2446">
        <v>10.463000999975081</v>
      </c>
      <c r="J256" s="2450">
        <v>0.29798114920137408</v>
      </c>
    </row>
    <row r="257" spans="1:10" x14ac:dyDescent="0.2">
      <c r="A257" s="2451" t="s">
        <v>1853</v>
      </c>
      <c r="B257" s="2427"/>
      <c r="C257" s="2452"/>
      <c r="D257" s="2429"/>
      <c r="E257" s="2430"/>
      <c r="F257" s="2427">
        <v>0</v>
      </c>
      <c r="G257" s="2429"/>
      <c r="H257" s="2430"/>
      <c r="I257" s="2427">
        <v>0</v>
      </c>
      <c r="J257" s="2431">
        <v>0</v>
      </c>
    </row>
    <row r="258" spans="1:10" x14ac:dyDescent="0.2">
      <c r="A258" s="2426" t="s">
        <v>1543</v>
      </c>
      <c r="B258" s="2427">
        <v>400</v>
      </c>
      <c r="C258" s="2428">
        <v>13200000</v>
      </c>
      <c r="D258" s="2429">
        <v>5280</v>
      </c>
      <c r="E258" s="2430">
        <v>33.456005352960858</v>
      </c>
      <c r="F258" s="2427">
        <v>1.2439050982507771</v>
      </c>
      <c r="G258" s="2429">
        <v>2.8729746662431731E-2</v>
      </c>
      <c r="H258" s="2430">
        <v>37.997776266502584</v>
      </c>
      <c r="I258" s="2427">
        <v>2.8687775642010562</v>
      </c>
      <c r="J258" s="2431">
        <v>8.1701381409194682E-2</v>
      </c>
    </row>
    <row r="259" spans="1:10" x14ac:dyDescent="0.2">
      <c r="A259" s="2426" t="s">
        <v>208</v>
      </c>
      <c r="B259" s="2427">
        <v>712</v>
      </c>
      <c r="C259" s="2428">
        <v>10000000</v>
      </c>
      <c r="D259" s="2429">
        <v>7120</v>
      </c>
      <c r="E259" s="2430">
        <v>59.551689528270323</v>
      </c>
      <c r="F259" s="2427">
        <v>2.2141510748863835</v>
      </c>
      <c r="G259" s="2429">
        <v>5.1138949059128483E-2</v>
      </c>
      <c r="H259" s="2430">
        <v>51.239425571495914</v>
      </c>
      <c r="I259" s="2427">
        <v>3.8685030789983941</v>
      </c>
      <c r="J259" s="2431">
        <v>0.11017307493058071</v>
      </c>
    </row>
    <row r="260" spans="1:10" x14ac:dyDescent="0.2">
      <c r="A260" s="2426" t="s">
        <v>209</v>
      </c>
      <c r="B260" s="2427">
        <v>0</v>
      </c>
      <c r="C260" s="2428">
        <v>10000000</v>
      </c>
      <c r="D260" s="2429">
        <v>0</v>
      </c>
      <c r="E260" s="2430">
        <v>0</v>
      </c>
      <c r="F260" s="2427">
        <v>0</v>
      </c>
      <c r="G260" s="2429">
        <v>0</v>
      </c>
      <c r="H260" s="2430">
        <v>0</v>
      </c>
      <c r="I260" s="2427">
        <v>0</v>
      </c>
      <c r="J260" s="2431">
        <v>0</v>
      </c>
    </row>
    <row r="261" spans="1:10" x14ac:dyDescent="0.2">
      <c r="A261" s="2426" t="s">
        <v>210</v>
      </c>
      <c r="B261" s="2427">
        <v>75</v>
      </c>
      <c r="C261" s="2428">
        <v>18500000</v>
      </c>
      <c r="D261" s="2429">
        <v>1387.5</v>
      </c>
      <c r="E261" s="2430">
        <v>6.2730010036801609</v>
      </c>
      <c r="F261" s="2427">
        <v>0.23323220592202074</v>
      </c>
      <c r="G261" s="2429">
        <v>5.3868274992059494E-3</v>
      </c>
      <c r="H261" s="2430">
        <v>9.9852110927599131</v>
      </c>
      <c r="I261" s="2427">
        <v>0.7538691042289708</v>
      </c>
      <c r="J261" s="2431">
        <v>2.1469823239632126E-2</v>
      </c>
    </row>
    <row r="262" spans="1:10" x14ac:dyDescent="0.2">
      <c r="A262" s="2426" t="s">
        <v>1545</v>
      </c>
      <c r="B262" s="2427">
        <v>5.25</v>
      </c>
      <c r="C262" s="2428">
        <v>14200000</v>
      </c>
      <c r="D262" s="2429">
        <v>74.55</v>
      </c>
      <c r="E262" s="2430">
        <v>0.43911007025761128</v>
      </c>
      <c r="F262" s="2427">
        <v>1.6326254414541452E-2</v>
      </c>
      <c r="G262" s="2429">
        <v>3.7707792494441649E-4</v>
      </c>
      <c r="H262" s="2430">
        <v>0.53650269330828937</v>
      </c>
      <c r="I262" s="2427">
        <v>4.0505183221816045E-2</v>
      </c>
      <c r="J262" s="2431">
        <v>1.1535678000105043E-3</v>
      </c>
    </row>
    <row r="263" spans="1:10" x14ac:dyDescent="0.2">
      <c r="A263" s="2426" t="s">
        <v>1546</v>
      </c>
      <c r="B263" s="2427">
        <v>3.35</v>
      </c>
      <c r="C263" s="2428">
        <v>10000000</v>
      </c>
      <c r="D263" s="2429">
        <v>33.5</v>
      </c>
      <c r="E263" s="2430">
        <v>0.28019404483104721</v>
      </c>
      <c r="F263" s="2427">
        <v>1.0417705197850258E-2</v>
      </c>
      <c r="G263" s="2429">
        <v>2.4061162829786578E-4</v>
      </c>
      <c r="H263" s="2430">
        <v>0.24108437593330242</v>
      </c>
      <c r="I263" s="2427">
        <v>1.8201524318321095E-2</v>
      </c>
      <c r="J263" s="2431">
        <v>5.1837050704697384E-4</v>
      </c>
    </row>
    <row r="264" spans="1:10" x14ac:dyDescent="0.2">
      <c r="A264" s="2445" t="s">
        <v>121</v>
      </c>
      <c r="B264" s="2446">
        <v>1195.5999999999999</v>
      </c>
      <c r="C264" s="2447"/>
      <c r="D264" s="2448">
        <v>13895.55</v>
      </c>
      <c r="E264" s="2449">
        <v>100</v>
      </c>
      <c r="F264" s="2446">
        <v>3.718032338671573</v>
      </c>
      <c r="G264" s="2448">
        <v>8.5873212774008445E-2</v>
      </c>
      <c r="H264" s="2449">
        <v>100</v>
      </c>
      <c r="I264" s="2446">
        <v>7.5498564549685581</v>
      </c>
      <c r="J264" s="2450">
        <v>0.21501621788646499</v>
      </c>
    </row>
    <row r="265" spans="1:10" ht="14.25" thickBot="1" x14ac:dyDescent="0.25">
      <c r="A265" s="2457" t="s">
        <v>1840</v>
      </c>
      <c r="B265" s="2446">
        <v>32156.793999999998</v>
      </c>
      <c r="C265" s="2458"/>
      <c r="D265" s="2448">
        <v>184050.51914404734</v>
      </c>
      <c r="E265" s="2459"/>
      <c r="F265" s="2460">
        <v>100</v>
      </c>
      <c r="G265" s="2461">
        <v>2.3096413627400119</v>
      </c>
      <c r="H265" s="2462"/>
      <c r="I265" s="2460">
        <v>100.00000000000001</v>
      </c>
      <c r="J265" s="2463">
        <v>2.8479510725659285</v>
      </c>
    </row>
    <row r="266" spans="1:10" ht="15" thickBot="1" x14ac:dyDescent="0.25">
      <c r="A266" s="2464" t="s">
        <v>1841</v>
      </c>
      <c r="B266" s="2465">
        <v>1392285.1624830281</v>
      </c>
      <c r="C266" s="2466"/>
      <c r="D266" s="2467">
        <v>6462559.0276810033</v>
      </c>
      <c r="E266" s="2468"/>
      <c r="F266" s="2469"/>
      <c r="G266" s="2469"/>
      <c r="H266" s="2469"/>
      <c r="I266" s="2469"/>
      <c r="J266" s="2469"/>
    </row>
    <row r="267" spans="1:10" ht="16.5" thickBot="1" x14ac:dyDescent="0.3">
      <c r="A267" s="2470" t="s">
        <v>1842</v>
      </c>
      <c r="B267" s="2471">
        <v>2.3096413627400119</v>
      </c>
      <c r="C267" s="2472"/>
      <c r="D267" s="2473">
        <v>2.8479510725659281</v>
      </c>
      <c r="E267" s="2468"/>
      <c r="F267" s="2469"/>
      <c r="G267" s="2469"/>
      <c r="H267" s="2469"/>
      <c r="I267" s="2469"/>
      <c r="J267" s="2469"/>
    </row>
    <row r="268" spans="1:10" x14ac:dyDescent="0.2">
      <c r="A268" s="2474" t="s">
        <v>2023</v>
      </c>
      <c r="B268" s="2474"/>
      <c r="C268" s="2474"/>
      <c r="D268" s="2475"/>
      <c r="E268" s="2474"/>
      <c r="F268" s="2474"/>
      <c r="H268" s="2474"/>
      <c r="I268" s="2474"/>
      <c r="J268" s="2474"/>
    </row>
    <row r="269" spans="1:10" x14ac:dyDescent="0.2">
      <c r="A269" s="2474" t="s">
        <v>1843</v>
      </c>
      <c r="B269" s="2474"/>
      <c r="C269" s="2474"/>
      <c r="D269" s="2474"/>
      <c r="E269" s="2474"/>
      <c r="F269" s="2474"/>
      <c r="G269" s="2474"/>
      <c r="H269" s="2474"/>
      <c r="I269" s="2474"/>
      <c r="J269" s="2474"/>
    </row>
    <row r="270" spans="1:10" x14ac:dyDescent="0.2">
      <c r="A270" s="2474" t="s">
        <v>2024</v>
      </c>
      <c r="B270" s="2474"/>
      <c r="C270" s="2474"/>
      <c r="D270" s="2474"/>
      <c r="E270" s="2474"/>
      <c r="F270" s="2474"/>
      <c r="G270" s="2474"/>
      <c r="H270" s="2474"/>
      <c r="I270" s="2474"/>
      <c r="J270" s="2474"/>
    </row>
    <row r="274" spans="1:10" ht="13.5" thickBot="1" x14ac:dyDescent="0.25">
      <c r="A274" s="3321" t="s">
        <v>2021</v>
      </c>
      <c r="B274" s="3321"/>
      <c r="C274" s="3321"/>
      <c r="D274" s="3321"/>
      <c r="E274" s="3321"/>
      <c r="F274" s="3321"/>
      <c r="G274" s="3321"/>
      <c r="H274" s="3321"/>
      <c r="I274" s="3321"/>
      <c r="J274" s="3321"/>
    </row>
    <row r="275" spans="1:10" ht="13.5" customHeight="1" thickBot="1" x14ac:dyDescent="0.25">
      <c r="A275" s="3322" t="s">
        <v>356</v>
      </c>
      <c r="B275" s="3324" t="s">
        <v>1272</v>
      </c>
      <c r="C275" s="3324" t="s">
        <v>1832</v>
      </c>
      <c r="D275" s="3326" t="s">
        <v>1844</v>
      </c>
      <c r="E275" s="3328" t="s">
        <v>1849</v>
      </c>
      <c r="F275" s="3329"/>
      <c r="G275" s="3330"/>
      <c r="H275" s="3328" t="s">
        <v>1850</v>
      </c>
      <c r="I275" s="3329"/>
      <c r="J275" s="3331"/>
    </row>
    <row r="276" spans="1:10" ht="13.5" customHeight="1" thickBot="1" x14ac:dyDescent="0.25">
      <c r="A276" s="3323"/>
      <c r="B276" s="3325"/>
      <c r="C276" s="3325"/>
      <c r="D276" s="3327"/>
      <c r="E276" s="2415" t="s">
        <v>1848</v>
      </c>
      <c r="F276" s="2416" t="s">
        <v>1231</v>
      </c>
      <c r="G276" s="2417" t="s">
        <v>1833</v>
      </c>
      <c r="H276" s="2415" t="s">
        <v>1848</v>
      </c>
      <c r="I276" s="2416" t="s">
        <v>1231</v>
      </c>
      <c r="J276" s="2418" t="s">
        <v>1833</v>
      </c>
    </row>
    <row r="277" spans="1:10" x14ac:dyDescent="0.2">
      <c r="A277" s="2419" t="s">
        <v>1851</v>
      </c>
      <c r="B277" s="2420"/>
      <c r="C277" s="2420"/>
      <c r="D277" s="2421"/>
      <c r="E277" s="2422"/>
      <c r="F277" s="2423"/>
      <c r="G277" s="2424"/>
      <c r="H277" s="2422"/>
      <c r="I277" s="2423"/>
      <c r="J277" s="2425"/>
    </row>
    <row r="278" spans="1:10" x14ac:dyDescent="0.2">
      <c r="A278" s="2426" t="s">
        <v>410</v>
      </c>
      <c r="B278" s="2427">
        <v>0</v>
      </c>
      <c r="C278" s="2428">
        <v>5667200.0000000009</v>
      </c>
      <c r="D278" s="2429">
        <v>0</v>
      </c>
      <c r="E278" s="2430">
        <v>0</v>
      </c>
      <c r="F278" s="2427">
        <v>0</v>
      </c>
      <c r="G278" s="2429">
        <v>0</v>
      </c>
      <c r="H278" s="2430">
        <v>0</v>
      </c>
      <c r="I278" s="2427">
        <v>0</v>
      </c>
      <c r="J278" s="2431">
        <v>0</v>
      </c>
    </row>
    <row r="279" spans="1:10" x14ac:dyDescent="0.2">
      <c r="A279" s="2426" t="s">
        <v>411</v>
      </c>
      <c r="B279" s="2427">
        <v>2925</v>
      </c>
      <c r="C279" s="2428">
        <v>1753716.5000000002</v>
      </c>
      <c r="D279" s="2429">
        <v>5129.6207625000006</v>
      </c>
      <c r="E279" s="2430">
        <v>23.88674497980243</v>
      </c>
      <c r="F279" s="2427">
        <v>13.943853227715994</v>
      </c>
      <c r="G279" s="2429">
        <v>0.21008627246903205</v>
      </c>
      <c r="H279" s="2430">
        <v>12.193874430815384</v>
      </c>
      <c r="I279" s="2427">
        <v>6.8919546812695991</v>
      </c>
      <c r="J279" s="2431">
        <v>7.9374451212412239E-2</v>
      </c>
    </row>
    <row r="280" spans="1:10" x14ac:dyDescent="0.2">
      <c r="A280" s="2426" t="s">
        <v>278</v>
      </c>
      <c r="B280" s="2427">
        <v>567.6</v>
      </c>
      <c r="C280" s="2428">
        <v>1637875</v>
      </c>
      <c r="D280" s="2429">
        <v>929.65785000000005</v>
      </c>
      <c r="E280" s="2430">
        <v>4.6352534873626876</v>
      </c>
      <c r="F280" s="2427">
        <v>2.705822595573196</v>
      </c>
      <c r="G280" s="2429">
        <v>4.0767510513990628E-2</v>
      </c>
      <c r="H280" s="2430">
        <v>2.2099355120741837</v>
      </c>
      <c r="I280" s="2427">
        <v>1.2490513564133154</v>
      </c>
      <c r="J280" s="2431">
        <v>1.438528988312536E-2</v>
      </c>
    </row>
    <row r="281" spans="1:10" x14ac:dyDescent="0.2">
      <c r="A281" s="2426" t="s">
        <v>200</v>
      </c>
      <c r="B281" s="2427">
        <v>228</v>
      </c>
      <c r="C281" s="2428">
        <v>7709114.5</v>
      </c>
      <c r="D281" s="2429">
        <v>1757.6781060000001</v>
      </c>
      <c r="E281" s="2430">
        <v>1.8619411471435741</v>
      </c>
      <c r="F281" s="2427">
        <v>1.0869054823655544</v>
      </c>
      <c r="G281" s="2429">
        <v>1.6375955597586086E-2</v>
      </c>
      <c r="H281" s="2430">
        <v>4.1782632882029578</v>
      </c>
      <c r="I281" s="2427">
        <v>2.3615464791022713</v>
      </c>
      <c r="J281" s="2431">
        <v>2.7197865403957751E-2</v>
      </c>
    </row>
    <row r="282" spans="1:10" x14ac:dyDescent="0.2">
      <c r="A282" s="2426" t="s">
        <v>429</v>
      </c>
      <c r="B282" s="2427">
        <v>0</v>
      </c>
      <c r="C282" s="2428">
        <v>1255000</v>
      </c>
      <c r="D282" s="2429">
        <v>0</v>
      </c>
      <c r="E282" s="2430">
        <v>0</v>
      </c>
      <c r="F282" s="2427">
        <v>0</v>
      </c>
      <c r="G282" s="2429">
        <v>0</v>
      </c>
      <c r="H282" s="2430">
        <v>0</v>
      </c>
      <c r="I282" s="2427">
        <v>0</v>
      </c>
      <c r="J282" s="2431">
        <v>0</v>
      </c>
    </row>
    <row r="283" spans="1:10" x14ac:dyDescent="0.2">
      <c r="A283" s="2432" t="s">
        <v>431</v>
      </c>
      <c r="B283" s="2427">
        <v>0</v>
      </c>
      <c r="C283" s="2428">
        <v>0</v>
      </c>
      <c r="D283" s="2429">
        <v>0</v>
      </c>
      <c r="E283" s="2430">
        <v>0</v>
      </c>
      <c r="F283" s="2427">
        <v>0</v>
      </c>
      <c r="G283" s="2429">
        <v>0</v>
      </c>
      <c r="H283" s="2430">
        <v>0</v>
      </c>
      <c r="I283" s="2427">
        <v>0</v>
      </c>
      <c r="J283" s="2431">
        <v>0</v>
      </c>
    </row>
    <row r="284" spans="1:10" x14ac:dyDescent="0.2">
      <c r="A284" s="2432" t="s">
        <v>430</v>
      </c>
      <c r="B284" s="2427">
        <v>0</v>
      </c>
      <c r="C284" s="2428">
        <v>0</v>
      </c>
      <c r="D284" s="2429">
        <v>0</v>
      </c>
      <c r="E284" s="2430">
        <v>0</v>
      </c>
      <c r="F284" s="2427">
        <v>0</v>
      </c>
      <c r="G284" s="2429">
        <v>0</v>
      </c>
      <c r="H284" s="2430">
        <v>0</v>
      </c>
      <c r="I284" s="2427">
        <v>0</v>
      </c>
      <c r="J284" s="2431">
        <v>0</v>
      </c>
    </row>
    <row r="285" spans="1:10" x14ac:dyDescent="0.2">
      <c r="A285" s="2433" t="s">
        <v>279</v>
      </c>
      <c r="B285" s="2434">
        <v>3720.6</v>
      </c>
      <c r="C285" s="2433"/>
      <c r="D285" s="2435">
        <v>7816.9567185000005</v>
      </c>
      <c r="E285" s="2436">
        <v>30.383939614308691</v>
      </c>
      <c r="F285" s="2434">
        <v>17.736581305654745</v>
      </c>
      <c r="G285" s="2435">
        <v>0.26722973858060878</v>
      </c>
      <c r="H285" s="2436">
        <v>18.582073231092526</v>
      </c>
      <c r="I285" s="2434">
        <v>10.502552516785187</v>
      </c>
      <c r="J285" s="2437">
        <v>0.12095760649949534</v>
      </c>
    </row>
    <row r="286" spans="1:10" x14ac:dyDescent="0.2">
      <c r="A286" s="2438" t="s">
        <v>412</v>
      </c>
      <c r="B286" s="2427">
        <v>84</v>
      </c>
      <c r="C286" s="2428">
        <v>4129499.9999999995</v>
      </c>
      <c r="D286" s="2429">
        <v>346.87799999999993</v>
      </c>
      <c r="E286" s="2430">
        <v>0.6859783173686852</v>
      </c>
      <c r="F286" s="2427">
        <v>0.40043886192415157</v>
      </c>
      <c r="G286" s="2429">
        <v>6.0332467991106638E-3</v>
      </c>
      <c r="H286" s="2430">
        <v>0.82458079664176287</v>
      </c>
      <c r="I286" s="2427">
        <v>0.46605150100108111</v>
      </c>
      <c r="J286" s="2431">
        <v>5.3675022311474672E-3</v>
      </c>
    </row>
    <row r="287" spans="1:10" x14ac:dyDescent="0.2">
      <c r="A287" s="2438" t="s">
        <v>413</v>
      </c>
      <c r="B287" s="2427">
        <v>0</v>
      </c>
      <c r="C287" s="2428">
        <v>1200000</v>
      </c>
      <c r="D287" s="2429">
        <v>0</v>
      </c>
      <c r="E287" s="2430">
        <v>0</v>
      </c>
      <c r="F287" s="2427">
        <v>0</v>
      </c>
      <c r="G287" s="2429">
        <v>0</v>
      </c>
      <c r="H287" s="2430">
        <v>0</v>
      </c>
      <c r="I287" s="2427">
        <v>0</v>
      </c>
      <c r="J287" s="2431">
        <v>0</v>
      </c>
    </row>
    <row r="288" spans="1:10" x14ac:dyDescent="0.2">
      <c r="A288" s="2426" t="s">
        <v>90</v>
      </c>
      <c r="B288" s="2427">
        <v>0</v>
      </c>
      <c r="C288" s="2428">
        <v>1743000</v>
      </c>
      <c r="D288" s="2429">
        <v>0</v>
      </c>
      <c r="E288" s="2430">
        <v>0</v>
      </c>
      <c r="F288" s="2427">
        <v>0</v>
      </c>
      <c r="G288" s="2429">
        <v>0</v>
      </c>
      <c r="H288" s="2430">
        <v>0</v>
      </c>
      <c r="I288" s="2427">
        <v>0</v>
      </c>
      <c r="J288" s="2431">
        <v>0</v>
      </c>
    </row>
    <row r="289" spans="1:10" x14ac:dyDescent="0.2">
      <c r="A289" s="2426" t="s">
        <v>417</v>
      </c>
      <c r="B289" s="2427">
        <v>0</v>
      </c>
      <c r="C289" s="2428">
        <v>2563999.9999999995</v>
      </c>
      <c r="D289" s="2429">
        <v>0</v>
      </c>
      <c r="E289" s="2430">
        <v>0</v>
      </c>
      <c r="F289" s="2427">
        <v>0</v>
      </c>
      <c r="G289" s="2429">
        <v>0</v>
      </c>
      <c r="H289" s="2430">
        <v>0</v>
      </c>
      <c r="I289" s="2427">
        <v>0</v>
      </c>
      <c r="J289" s="2431">
        <v>0</v>
      </c>
    </row>
    <row r="290" spans="1:10" x14ac:dyDescent="0.2">
      <c r="A290" s="2426" t="s">
        <v>418</v>
      </c>
      <c r="B290" s="2427">
        <v>202.5</v>
      </c>
      <c r="C290" s="2428">
        <v>2222500</v>
      </c>
      <c r="D290" s="2429">
        <v>450.05624999999998</v>
      </c>
      <c r="E290" s="2430">
        <v>1.6536977293709374</v>
      </c>
      <c r="F290" s="2427">
        <v>0.96534368499572276</v>
      </c>
      <c r="G290" s="2429">
        <v>1.4544434247856064E-2</v>
      </c>
      <c r="H290" s="2430">
        <v>1.0698509019269153</v>
      </c>
      <c r="I290" s="2427">
        <v>0.60467769892416889</v>
      </c>
      <c r="J290" s="2431">
        <v>6.9640563137958094E-3</v>
      </c>
    </row>
    <row r="291" spans="1:10" x14ac:dyDescent="0.2">
      <c r="A291" s="2426" t="s">
        <v>423</v>
      </c>
      <c r="B291" s="2427">
        <v>1496</v>
      </c>
      <c r="C291" s="2428">
        <v>2531500</v>
      </c>
      <c r="D291" s="2429">
        <v>3787.1239999999998</v>
      </c>
      <c r="E291" s="2430">
        <v>12.216947175994679</v>
      </c>
      <c r="F291" s="2427">
        <v>7.1316254456967956</v>
      </c>
      <c r="G291" s="2429">
        <v>0.10744925251749468</v>
      </c>
      <c r="H291" s="2430">
        <v>9.0025591847887156</v>
      </c>
      <c r="I291" s="2427">
        <v>5.0882293621308321</v>
      </c>
      <c r="J291" s="2431">
        <v>5.8600996660589953E-2</v>
      </c>
    </row>
    <row r="292" spans="1:10" x14ac:dyDescent="0.2">
      <c r="A292" s="2426" t="s">
        <v>424</v>
      </c>
      <c r="B292" s="2427">
        <v>0</v>
      </c>
      <c r="C292" s="2428">
        <v>1369000</v>
      </c>
      <c r="D292" s="2429">
        <v>0</v>
      </c>
      <c r="E292" s="2430">
        <v>0</v>
      </c>
      <c r="F292" s="2427">
        <v>0</v>
      </c>
      <c r="G292" s="2429">
        <v>0</v>
      </c>
      <c r="H292" s="2430">
        <v>0</v>
      </c>
      <c r="I292" s="2427">
        <v>0</v>
      </c>
      <c r="J292" s="2431">
        <v>0</v>
      </c>
    </row>
    <row r="293" spans="1:10" x14ac:dyDescent="0.2">
      <c r="A293" s="2426" t="s">
        <v>280</v>
      </c>
      <c r="B293" s="2427">
        <v>0</v>
      </c>
      <c r="C293" s="2428">
        <v>1574500</v>
      </c>
      <c r="D293" s="2429">
        <v>0</v>
      </c>
      <c r="E293" s="2430">
        <v>0</v>
      </c>
      <c r="F293" s="2427">
        <v>0</v>
      </c>
      <c r="G293" s="2429">
        <v>0</v>
      </c>
      <c r="H293" s="2430">
        <v>0</v>
      </c>
      <c r="I293" s="2427">
        <v>0</v>
      </c>
      <c r="J293" s="2431">
        <v>0</v>
      </c>
    </row>
    <row r="294" spans="1:10" x14ac:dyDescent="0.2">
      <c r="A294" s="2426" t="s">
        <v>427</v>
      </c>
      <c r="B294" s="2427">
        <v>0</v>
      </c>
      <c r="C294" s="2428">
        <v>2072000</v>
      </c>
      <c r="D294" s="2429">
        <v>0</v>
      </c>
      <c r="E294" s="2430">
        <v>0</v>
      </c>
      <c r="F294" s="2427">
        <v>0</v>
      </c>
      <c r="G294" s="2429">
        <v>0</v>
      </c>
      <c r="H294" s="2430">
        <v>0</v>
      </c>
      <c r="I294" s="2427">
        <v>0</v>
      </c>
      <c r="J294" s="2431">
        <v>0</v>
      </c>
    </row>
    <row r="295" spans="1:10" x14ac:dyDescent="0.2">
      <c r="A295" s="2426" t="s">
        <v>428</v>
      </c>
      <c r="B295" s="2427">
        <v>208</v>
      </c>
      <c r="C295" s="2428">
        <v>1326280</v>
      </c>
      <c r="D295" s="2429">
        <v>275.86624</v>
      </c>
      <c r="E295" s="2430">
        <v>1.6986129763415063</v>
      </c>
      <c r="F295" s="2427">
        <v>0.99156289619313742</v>
      </c>
      <c r="G295" s="2429">
        <v>1.4939468264464502E-2</v>
      </c>
      <c r="H295" s="2430">
        <v>0.655775240706438</v>
      </c>
      <c r="I295" s="2427">
        <v>0.37064292122165293</v>
      </c>
      <c r="J295" s="2431">
        <v>4.268684259878871E-3</v>
      </c>
    </row>
    <row r="296" spans="1:10" x14ac:dyDescent="0.2">
      <c r="A296" s="2439" t="s">
        <v>92</v>
      </c>
      <c r="B296" s="2427">
        <v>400</v>
      </c>
      <c r="C296" s="2428">
        <v>2215500</v>
      </c>
      <c r="D296" s="2429">
        <v>886.2</v>
      </c>
      <c r="E296" s="2430">
        <v>3.2665634160413579</v>
      </c>
      <c r="F296" s="2427">
        <v>1.9068517234483413</v>
      </c>
      <c r="G296" s="2429">
        <v>2.8729746662431731E-2</v>
      </c>
      <c r="H296" s="2430">
        <v>2.1066297141471368</v>
      </c>
      <c r="I296" s="2427">
        <v>1.1906631155252227</v>
      </c>
      <c r="J296" s="2431">
        <v>1.3712834129702336E-2</v>
      </c>
    </row>
    <row r="297" spans="1:10" x14ac:dyDescent="0.2">
      <c r="A297" s="2433" t="s">
        <v>281</v>
      </c>
      <c r="B297" s="2434">
        <v>2390.5</v>
      </c>
      <c r="C297" s="2433"/>
      <c r="D297" s="2435">
        <v>5746.1244900000002</v>
      </c>
      <c r="E297" s="2436">
        <v>19.521799615117168</v>
      </c>
      <c r="F297" s="2434">
        <v>11.395822612258149</v>
      </c>
      <c r="G297" s="2435">
        <v>0.17169614849135764</v>
      </c>
      <c r="H297" s="2436">
        <v>13.659395838210969</v>
      </c>
      <c r="I297" s="2434">
        <v>7.7202645988029577</v>
      </c>
      <c r="J297" s="2437">
        <v>8.8914073595114454E-2</v>
      </c>
    </row>
    <row r="298" spans="1:10" x14ac:dyDescent="0.2">
      <c r="A298" s="2440" t="s">
        <v>106</v>
      </c>
      <c r="B298" s="2441">
        <v>6111.1</v>
      </c>
      <c r="C298" s="2440"/>
      <c r="D298" s="2442">
        <v>13563.0812085</v>
      </c>
      <c r="E298" s="2443">
        <v>49.905739229425862</v>
      </c>
      <c r="F298" s="2441">
        <v>29.132403917912896</v>
      </c>
      <c r="G298" s="2442">
        <v>0.43892588707196639</v>
      </c>
      <c r="H298" s="2443">
        <v>32.241469069303491</v>
      </c>
      <c r="I298" s="2441">
        <v>18.222817115588143</v>
      </c>
      <c r="J298" s="2444">
        <v>0.20987168009460977</v>
      </c>
    </row>
    <row r="299" spans="1:10" x14ac:dyDescent="0.2">
      <c r="A299" s="2426" t="s">
        <v>905</v>
      </c>
      <c r="B299" s="2427">
        <v>0</v>
      </c>
      <c r="C299" s="2428">
        <v>6100000</v>
      </c>
      <c r="D299" s="2429">
        <v>0</v>
      </c>
      <c r="E299" s="2430">
        <v>0</v>
      </c>
      <c r="F299" s="2427">
        <v>0</v>
      </c>
      <c r="G299" s="2429">
        <v>0</v>
      </c>
      <c r="H299" s="2430">
        <v>0</v>
      </c>
      <c r="I299" s="2427">
        <v>0</v>
      </c>
      <c r="J299" s="2431">
        <v>0</v>
      </c>
    </row>
    <row r="300" spans="1:10" x14ac:dyDescent="0.2">
      <c r="A300" s="2426" t="s">
        <v>906</v>
      </c>
      <c r="B300" s="2427">
        <v>42</v>
      </c>
      <c r="C300" s="2428">
        <v>3022000.0000000005</v>
      </c>
      <c r="D300" s="2429">
        <v>126.92400000000002</v>
      </c>
      <c r="E300" s="2430">
        <v>0.3429891586843426</v>
      </c>
      <c r="F300" s="2427">
        <v>0.20021943096207578</v>
      </c>
      <c r="G300" s="2429">
        <v>3.0166233995553319E-3</v>
      </c>
      <c r="H300" s="2430">
        <v>0.30171729839586009</v>
      </c>
      <c r="I300" s="2427">
        <v>0.17053004431835181</v>
      </c>
      <c r="J300" s="2431">
        <v>1.9639897981023917E-3</v>
      </c>
    </row>
    <row r="301" spans="1:10" x14ac:dyDescent="0.2">
      <c r="A301" s="2426" t="s">
        <v>907</v>
      </c>
      <c r="B301" s="2427">
        <v>24</v>
      </c>
      <c r="C301" s="2428">
        <v>2324000</v>
      </c>
      <c r="D301" s="2429">
        <v>55.776000000000003</v>
      </c>
      <c r="E301" s="2430">
        <v>0.19599380496248148</v>
      </c>
      <c r="F301" s="2427">
        <v>0.11441110340690047</v>
      </c>
      <c r="G301" s="2429">
        <v>1.7237847997459042E-3</v>
      </c>
      <c r="H301" s="2430">
        <v>0.13258787963921317</v>
      </c>
      <c r="I301" s="2427">
        <v>7.4938417887085121E-2</v>
      </c>
      <c r="J301" s="2431">
        <v>8.6306368361349303E-4</v>
      </c>
    </row>
    <row r="302" spans="1:10" x14ac:dyDescent="0.2">
      <c r="A302" s="2439" t="s">
        <v>908</v>
      </c>
      <c r="B302" s="2427">
        <v>168</v>
      </c>
      <c r="C302" s="2428">
        <v>2403999.9999999995</v>
      </c>
      <c r="D302" s="2429">
        <v>403.87199999999996</v>
      </c>
      <c r="E302" s="2430">
        <v>1.3719566347373704</v>
      </c>
      <c r="F302" s="2427">
        <v>0.80087772384830314</v>
      </c>
      <c r="G302" s="2429">
        <v>1.2066493598221328E-2</v>
      </c>
      <c r="H302" s="2430">
        <v>0.96006404413454327</v>
      </c>
      <c r="I302" s="2427">
        <v>0.54262637530286917</v>
      </c>
      <c r="J302" s="2431">
        <v>6.2494129379724005E-3</v>
      </c>
    </row>
    <row r="303" spans="1:10" x14ac:dyDescent="0.2">
      <c r="A303" s="2440" t="s">
        <v>282</v>
      </c>
      <c r="B303" s="2441">
        <v>234</v>
      </c>
      <c r="C303" s="2440"/>
      <c r="D303" s="2442">
        <v>586.572</v>
      </c>
      <c r="E303" s="2443">
        <v>1.9109395983841944</v>
      </c>
      <c r="F303" s="2441">
        <v>1.1155082582172795</v>
      </c>
      <c r="G303" s="2442">
        <v>1.6806901797522564E-2</v>
      </c>
      <c r="H303" s="2443">
        <v>1.3943692221696165</v>
      </c>
      <c r="I303" s="2441">
        <v>0.78809483750830622</v>
      </c>
      <c r="J303" s="2444">
        <v>9.0764664196882859E-3</v>
      </c>
    </row>
    <row r="304" spans="1:10" x14ac:dyDescent="0.2">
      <c r="A304" s="2426" t="s">
        <v>955</v>
      </c>
      <c r="B304" s="2427">
        <v>205.79999999999998</v>
      </c>
      <c r="C304" s="2428">
        <v>12137000</v>
      </c>
      <c r="D304" s="2429">
        <v>2497.7946000000002</v>
      </c>
      <c r="E304" s="2430">
        <v>1.6806468775532786</v>
      </c>
      <c r="F304" s="2427">
        <v>0.98107521171417134</v>
      </c>
      <c r="G304" s="2429">
        <v>1.4781454657821125E-2</v>
      </c>
      <c r="H304" s="2430">
        <v>5.9376306975809774</v>
      </c>
      <c r="I304" s="2427">
        <v>3.3559375991628047</v>
      </c>
      <c r="J304" s="2431">
        <v>3.8650240397050548E-2</v>
      </c>
    </row>
    <row r="305" spans="1:10" x14ac:dyDescent="0.2">
      <c r="A305" s="2426" t="s">
        <v>283</v>
      </c>
      <c r="B305" s="2427">
        <v>543.68157634893203</v>
      </c>
      <c r="C305" s="2428">
        <v>13024549.999999996</v>
      </c>
      <c r="D305" s="2429">
        <v>7081.2078752354801</v>
      </c>
      <c r="E305" s="2430">
        <v>4.4399258681927938</v>
      </c>
      <c r="F305" s="2427">
        <v>2.5918003771701796</v>
      </c>
      <c r="G305" s="2429">
        <v>3.9049584883840881E-2</v>
      </c>
      <c r="H305" s="2430">
        <v>16.83308837962511</v>
      </c>
      <c r="I305" s="2427">
        <v>9.5140295987470314</v>
      </c>
      <c r="J305" s="2431">
        <v>0.10957281542659224</v>
      </c>
    </row>
    <row r="306" spans="1:10" x14ac:dyDescent="0.2">
      <c r="A306" s="2426" t="s">
        <v>69</v>
      </c>
      <c r="B306" s="2427">
        <v>429.43342365106798</v>
      </c>
      <c r="C306" s="2428">
        <v>14978232.499999994</v>
      </c>
      <c r="D306" s="2429">
        <v>6432.1536627166934</v>
      </c>
      <c r="E306" s="2430">
        <v>3.5069287783099208</v>
      </c>
      <c r="F306" s="2427">
        <v>2.0471646599884012</v>
      </c>
      <c r="G306" s="2429">
        <v>3.0843783674689759E-2</v>
      </c>
      <c r="H306" s="2430">
        <v>15.290189609387639</v>
      </c>
      <c r="I306" s="2427">
        <v>8.6419861426170517</v>
      </c>
      <c r="J306" s="2431">
        <v>9.9529515090940365E-2</v>
      </c>
    </row>
    <row r="307" spans="1:10" x14ac:dyDescent="0.2">
      <c r="A307" s="2426" t="s">
        <v>199</v>
      </c>
      <c r="B307" s="2427">
        <v>112.75</v>
      </c>
      <c r="C307" s="2428">
        <v>3000000</v>
      </c>
      <c r="D307" s="2429">
        <v>338.25</v>
      </c>
      <c r="E307" s="2430">
        <v>0.9207625628966577</v>
      </c>
      <c r="F307" s="2427">
        <v>0.53749382954700109</v>
      </c>
      <c r="G307" s="2429">
        <v>8.0981973404729447E-3</v>
      </c>
      <c r="H307" s="2430">
        <v>0.80407075243767656</v>
      </c>
      <c r="I307" s="2427">
        <v>0.45445926295013156</v>
      </c>
      <c r="J307" s="2431">
        <v>5.2339947465265347E-3</v>
      </c>
    </row>
    <row r="308" spans="1:10" x14ac:dyDescent="0.2">
      <c r="A308" s="2426" t="s">
        <v>86</v>
      </c>
      <c r="B308" s="2427">
        <v>250</v>
      </c>
      <c r="C308" s="2428">
        <v>170000</v>
      </c>
      <c r="D308" s="2429">
        <v>42.5</v>
      </c>
      <c r="E308" s="2430">
        <v>2.0416021350258489</v>
      </c>
      <c r="F308" s="2427">
        <v>1.1917823271552133</v>
      </c>
      <c r="G308" s="2429">
        <v>1.7956091664019833E-2</v>
      </c>
      <c r="H308" s="2430">
        <v>0.10102884546519218</v>
      </c>
      <c r="I308" s="2427">
        <v>5.7101311678878316E-2</v>
      </c>
      <c r="J308" s="2431">
        <v>6.5763422535810114E-4</v>
      </c>
    </row>
    <row r="309" spans="1:10" x14ac:dyDescent="0.2">
      <c r="A309" s="2439" t="s">
        <v>213</v>
      </c>
      <c r="B309" s="2427">
        <v>659.12000000000012</v>
      </c>
      <c r="C309" s="2428">
        <v>1850000.0000000005</v>
      </c>
      <c r="D309" s="2429">
        <v>1219.3720000000005</v>
      </c>
      <c r="E309" s="2430">
        <v>5.3826431969529507</v>
      </c>
      <c r="F309" s="2427">
        <v>3.1421102698981769</v>
      </c>
      <c r="G309" s="2429">
        <v>4.7340876550355016E-2</v>
      </c>
      <c r="H309" s="2430">
        <v>2.8986293024137031</v>
      </c>
      <c r="I309" s="2427">
        <v>1.6382997793999352</v>
      </c>
      <c r="J309" s="2431">
        <v>1.8868253191608446E-2</v>
      </c>
    </row>
    <row r="310" spans="1:10" x14ac:dyDescent="0.2">
      <c r="A310" s="2433" t="s">
        <v>1834</v>
      </c>
      <c r="B310" s="2434">
        <v>2200.7849999999999</v>
      </c>
      <c r="C310" s="2433"/>
      <c r="D310" s="2435">
        <v>17611.278137952173</v>
      </c>
      <c r="E310" s="2436">
        <v>17.972509418931448</v>
      </c>
      <c r="F310" s="2434">
        <v>10.491426675473143</v>
      </c>
      <c r="G310" s="2435">
        <v>0.15806998877119954</v>
      </c>
      <c r="H310" s="2436">
        <v>41.864637586910291</v>
      </c>
      <c r="I310" s="2434">
        <v>23.661813694555832</v>
      </c>
      <c r="J310" s="2437">
        <v>0.2725124530780762</v>
      </c>
    </row>
    <row r="311" spans="1:10" x14ac:dyDescent="0.2">
      <c r="A311" s="2426" t="s">
        <v>961</v>
      </c>
      <c r="B311" s="2427">
        <v>63.180000000000007</v>
      </c>
      <c r="C311" s="2428">
        <v>3668000</v>
      </c>
      <c r="D311" s="2429">
        <v>231.74424000000002</v>
      </c>
      <c r="E311" s="2430">
        <v>0.51595369156373261</v>
      </c>
      <c r="F311" s="2427">
        <v>0.30118722971866552</v>
      </c>
      <c r="G311" s="2429">
        <v>4.5378634853310926E-3</v>
      </c>
      <c r="H311" s="2430">
        <v>0.55089065906843315</v>
      </c>
      <c r="I311" s="2427">
        <v>0.31136235477705365</v>
      </c>
      <c r="J311" s="2431">
        <v>3.5859516177318088E-3</v>
      </c>
    </row>
    <row r="312" spans="1:10" x14ac:dyDescent="0.2">
      <c r="A312" s="2426" t="s">
        <v>962</v>
      </c>
      <c r="B312" s="2427">
        <v>42</v>
      </c>
      <c r="C312" s="2428">
        <v>1999999.9999999998</v>
      </c>
      <c r="D312" s="2429">
        <v>83.999999999999986</v>
      </c>
      <c r="E312" s="2430">
        <v>0.3429891586843426</v>
      </c>
      <c r="F312" s="2427">
        <v>0.20021943096207578</v>
      </c>
      <c r="G312" s="2429">
        <v>3.0166233995553319E-3</v>
      </c>
      <c r="H312" s="2430">
        <v>0.19968054162532098</v>
      </c>
      <c r="I312" s="2427">
        <v>0.11285906308295948</v>
      </c>
      <c r="J312" s="2431">
        <v>1.299794704237188E-3</v>
      </c>
    </row>
    <row r="313" spans="1:10" x14ac:dyDescent="0.2">
      <c r="A313" s="2426" t="s">
        <v>963</v>
      </c>
      <c r="B313" s="2427">
        <v>1008</v>
      </c>
      <c r="C313" s="2428">
        <v>1347999.9999999998</v>
      </c>
      <c r="D313" s="2429">
        <v>1358.7839999999997</v>
      </c>
      <c r="E313" s="2430">
        <v>8.2317398084242228</v>
      </c>
      <c r="F313" s="2427">
        <v>4.8052663430898193</v>
      </c>
      <c r="G313" s="2429">
        <v>7.2398961589327973E-2</v>
      </c>
      <c r="H313" s="2430">
        <v>3.2300324413311916</v>
      </c>
      <c r="I313" s="2427">
        <v>1.8256082044299522</v>
      </c>
      <c r="J313" s="2431">
        <v>2.1025479135740748E-2</v>
      </c>
    </row>
    <row r="314" spans="1:10" x14ac:dyDescent="0.2">
      <c r="A314" s="2426" t="s">
        <v>965</v>
      </c>
      <c r="B314" s="2427">
        <v>45.72</v>
      </c>
      <c r="C314" s="2428">
        <v>1599999.9999999995</v>
      </c>
      <c r="D314" s="2429">
        <v>73.151999999999973</v>
      </c>
      <c r="E314" s="2430">
        <v>0.37336819845352726</v>
      </c>
      <c r="F314" s="2427">
        <v>0.21795315199014537</v>
      </c>
      <c r="G314" s="2429">
        <v>3.2838100435159468E-3</v>
      </c>
      <c r="H314" s="2430">
        <v>0.17389322596399376</v>
      </c>
      <c r="I314" s="2427">
        <v>9.8284121221960119E-2</v>
      </c>
      <c r="J314" s="2431">
        <v>1.1319355024328424E-3</v>
      </c>
    </row>
    <row r="315" spans="1:10" x14ac:dyDescent="0.2">
      <c r="A315" s="2426" t="s">
        <v>966</v>
      </c>
      <c r="B315" s="2427">
        <v>80</v>
      </c>
      <c r="C315" s="2428">
        <v>2244000</v>
      </c>
      <c r="D315" s="2429">
        <v>179.52</v>
      </c>
      <c r="E315" s="2430">
        <v>0.65331268320827163</v>
      </c>
      <c r="F315" s="2427">
        <v>0.38137034468966824</v>
      </c>
      <c r="G315" s="2429">
        <v>5.7459493324863459E-3</v>
      </c>
      <c r="H315" s="2430">
        <v>0.42674584324497178</v>
      </c>
      <c r="I315" s="2427">
        <v>0.24119594053158203</v>
      </c>
      <c r="J315" s="2431">
        <v>2.7778469679126195E-3</v>
      </c>
    </row>
    <row r="316" spans="1:10" x14ac:dyDescent="0.2">
      <c r="A316" s="2426" t="s">
        <v>1499</v>
      </c>
      <c r="B316" s="2427">
        <v>3</v>
      </c>
      <c r="C316" s="2428">
        <v>4849999.9999999991</v>
      </c>
      <c r="D316" s="2429">
        <v>14.549999999999997</v>
      </c>
      <c r="E316" s="2430">
        <v>2.4499225620310185E-2</v>
      </c>
      <c r="F316" s="2427">
        <v>1.4301387925862559E-2</v>
      </c>
      <c r="G316" s="2429">
        <v>2.1547309996823802E-4</v>
      </c>
      <c r="H316" s="2430">
        <v>3.4587522388671667E-2</v>
      </c>
      <c r="I316" s="2427">
        <v>1.9548801998298337E-2</v>
      </c>
      <c r="J316" s="2431">
        <v>2.2514301126965578E-4</v>
      </c>
    </row>
    <row r="317" spans="1:10" x14ac:dyDescent="0.2">
      <c r="A317" s="2426" t="s">
        <v>1575</v>
      </c>
      <c r="B317" s="2427">
        <v>0</v>
      </c>
      <c r="C317" s="2428">
        <v>2250000.0000000005</v>
      </c>
      <c r="D317" s="2429">
        <v>0</v>
      </c>
      <c r="E317" s="2430">
        <v>0</v>
      </c>
      <c r="F317" s="2427">
        <v>0</v>
      </c>
      <c r="G317" s="2429">
        <v>0</v>
      </c>
      <c r="H317" s="2430">
        <v>0</v>
      </c>
      <c r="I317" s="2427">
        <v>0</v>
      </c>
      <c r="J317" s="2431">
        <v>0</v>
      </c>
    </row>
    <row r="318" spans="1:10" x14ac:dyDescent="0.2">
      <c r="A318" s="2426" t="s">
        <v>964</v>
      </c>
      <c r="B318" s="2427">
        <v>45.5</v>
      </c>
      <c r="C318" s="2428">
        <v>1556000</v>
      </c>
      <c r="D318" s="2429">
        <v>70.798000000000002</v>
      </c>
      <c r="E318" s="2430">
        <v>0.37157158857470446</v>
      </c>
      <c r="F318" s="2427">
        <v>0.21690438354224881</v>
      </c>
      <c r="G318" s="2429">
        <v>3.2680086828516097E-3</v>
      </c>
      <c r="H318" s="2430">
        <v>0.16829741649987473</v>
      </c>
      <c r="I318" s="2427">
        <v>9.5121380335087699E-2</v>
      </c>
      <c r="J318" s="2431">
        <v>1.0955103032212433E-3</v>
      </c>
    </row>
    <row r="319" spans="1:10" x14ac:dyDescent="0.2">
      <c r="A319" s="2426" t="s">
        <v>969</v>
      </c>
      <c r="B319" s="2427">
        <v>897</v>
      </c>
      <c r="C319" s="2428">
        <v>4800000</v>
      </c>
      <c r="D319" s="2429">
        <v>4305.6000000000004</v>
      </c>
      <c r="E319" s="2430">
        <v>7.3252684604727447</v>
      </c>
      <c r="F319" s="2427">
        <v>4.2761149898329052</v>
      </c>
      <c r="G319" s="2429">
        <v>6.442645689050315E-2</v>
      </c>
      <c r="H319" s="2430">
        <v>10.235054047880739</v>
      </c>
      <c r="I319" s="2427">
        <v>5.784833119166553</v>
      </c>
      <c r="J319" s="2431">
        <v>6.6623762840043316E-2</v>
      </c>
    </row>
    <row r="320" spans="1:10" x14ac:dyDescent="0.2">
      <c r="A320" s="2426" t="s">
        <v>968</v>
      </c>
      <c r="B320" s="2427">
        <v>11</v>
      </c>
      <c r="C320" s="2428">
        <v>3050000.0000000009</v>
      </c>
      <c r="D320" s="2429">
        <v>33.550000000000011</v>
      </c>
      <c r="E320" s="2430">
        <v>8.9830493941137346E-2</v>
      </c>
      <c r="F320" s="2427">
        <v>5.2438422394829376E-2</v>
      </c>
      <c r="G320" s="2429">
        <v>7.9006803321687261E-4</v>
      </c>
      <c r="H320" s="2430">
        <v>7.9753359184875264E-2</v>
      </c>
      <c r="I320" s="2427">
        <v>4.5076447219443955E-2</v>
      </c>
      <c r="J320" s="2431">
        <v>5.1914419437092477E-4</v>
      </c>
    </row>
    <row r="321" spans="1:10" x14ac:dyDescent="0.2">
      <c r="A321" s="2426" t="s">
        <v>1013</v>
      </c>
      <c r="B321" s="2427">
        <v>10</v>
      </c>
      <c r="C321" s="2428">
        <v>1799999.9999999998</v>
      </c>
      <c r="D321" s="2429">
        <v>17.999999999999996</v>
      </c>
      <c r="E321" s="2430">
        <v>8.1664085401033953E-2</v>
      </c>
      <c r="F321" s="2427">
        <v>4.767129308620853E-2</v>
      </c>
      <c r="G321" s="2429">
        <v>7.1824366656079324E-4</v>
      </c>
      <c r="H321" s="2430">
        <v>4.2788687491140204E-2</v>
      </c>
      <c r="I321" s="2427">
        <v>2.4184084946348459E-2</v>
      </c>
      <c r="J321" s="2431">
        <v>2.7852743662225456E-4</v>
      </c>
    </row>
    <row r="322" spans="1:10" x14ac:dyDescent="0.2">
      <c r="A322" s="2426" t="s">
        <v>1014</v>
      </c>
      <c r="B322" s="2427">
        <v>0</v>
      </c>
      <c r="C322" s="2428">
        <v>2195000.0000000005</v>
      </c>
      <c r="D322" s="2429">
        <v>0</v>
      </c>
      <c r="E322" s="2430">
        <v>0</v>
      </c>
      <c r="F322" s="2427">
        <v>0</v>
      </c>
      <c r="G322" s="2429">
        <v>0</v>
      </c>
      <c r="H322" s="2430">
        <v>0</v>
      </c>
      <c r="I322" s="2427">
        <v>0</v>
      </c>
      <c r="J322" s="2431">
        <v>0</v>
      </c>
    </row>
    <row r="323" spans="1:10" x14ac:dyDescent="0.2">
      <c r="A323" s="2426" t="s">
        <v>970</v>
      </c>
      <c r="B323" s="2427">
        <v>602</v>
      </c>
      <c r="C323" s="2428">
        <v>3100000.0000000005</v>
      </c>
      <c r="D323" s="2429">
        <v>1866.2000000000003</v>
      </c>
      <c r="E323" s="2430">
        <v>4.9161779411422444</v>
      </c>
      <c r="F323" s="2427">
        <v>2.8698118437897531</v>
      </c>
      <c r="G323" s="2429">
        <v>4.3238268726959753E-2</v>
      </c>
      <c r="H323" s="2430">
        <v>4.4362360331092159</v>
      </c>
      <c r="I323" s="2427">
        <v>2.5073521848264173</v>
      </c>
      <c r="J323" s="2431">
        <v>2.8877105679136202E-2</v>
      </c>
    </row>
    <row r="324" spans="1:10" x14ac:dyDescent="0.2">
      <c r="A324" s="2426" t="s">
        <v>971</v>
      </c>
      <c r="B324" s="2427">
        <v>10</v>
      </c>
      <c r="C324" s="2428">
        <v>3010000</v>
      </c>
      <c r="D324" s="2429">
        <v>30.1</v>
      </c>
      <c r="E324" s="2430">
        <v>8.1664085401033953E-2</v>
      </c>
      <c r="F324" s="2427">
        <v>4.767129308620853E-2</v>
      </c>
      <c r="G324" s="2429">
        <v>7.1824366656079324E-4</v>
      </c>
      <c r="H324" s="2430">
        <v>7.1552194082406692E-2</v>
      </c>
      <c r="I324" s="2427">
        <v>4.0441164271393819E-2</v>
      </c>
      <c r="J324" s="2431">
        <v>4.657597690183258E-4</v>
      </c>
    </row>
    <row r="325" spans="1:10" x14ac:dyDescent="0.2">
      <c r="A325" s="2426" t="s">
        <v>972</v>
      </c>
      <c r="B325" s="2427">
        <v>306</v>
      </c>
      <c r="C325" s="2428">
        <v>2744000.0000000005</v>
      </c>
      <c r="D325" s="2429">
        <v>839.6640000000001</v>
      </c>
      <c r="E325" s="2430">
        <v>2.4989210132716386</v>
      </c>
      <c r="F325" s="2427">
        <v>1.458741568437981</v>
      </c>
      <c r="G325" s="2429">
        <v>2.1978256196760276E-2</v>
      </c>
      <c r="H325" s="2430">
        <v>1.9960066940867092</v>
      </c>
      <c r="I325" s="2427">
        <v>1.1281391945772632</v>
      </c>
      <c r="J325" s="2431">
        <v>1.2992747863554933E-2</v>
      </c>
    </row>
    <row r="326" spans="1:10" x14ac:dyDescent="0.2">
      <c r="A326" s="2426" t="s">
        <v>973</v>
      </c>
      <c r="B326" s="2427">
        <v>42</v>
      </c>
      <c r="C326" s="2428">
        <v>2549999.9999999991</v>
      </c>
      <c r="D326" s="2429">
        <v>107.09999999999995</v>
      </c>
      <c r="E326" s="2430">
        <v>0.3429891586843426</v>
      </c>
      <c r="F326" s="2427">
        <v>0.20021943096207578</v>
      </c>
      <c r="G326" s="2429">
        <v>3.0166233995553319E-3</v>
      </c>
      <c r="H326" s="2430">
        <v>0.25459269057228417</v>
      </c>
      <c r="I326" s="2427">
        <v>0.14389530543077331</v>
      </c>
      <c r="J326" s="2431">
        <v>1.657238247902414E-3</v>
      </c>
    </row>
    <row r="327" spans="1:10" x14ac:dyDescent="0.2">
      <c r="A327" s="2426" t="s">
        <v>974</v>
      </c>
      <c r="B327" s="2427">
        <v>240</v>
      </c>
      <c r="C327" s="2428">
        <v>1583999.9999999995</v>
      </c>
      <c r="D327" s="2429">
        <v>380.15999999999985</v>
      </c>
      <c r="E327" s="2430">
        <v>1.9599380496248147</v>
      </c>
      <c r="F327" s="2427">
        <v>1.1441110340690046</v>
      </c>
      <c r="G327" s="2429">
        <v>1.723784799745904E-2</v>
      </c>
      <c r="H327" s="2430">
        <v>0.90369707981288094</v>
      </c>
      <c r="I327" s="2427">
        <v>0.5107678740668794</v>
      </c>
      <c r="J327" s="2431">
        <v>5.8824994614620147E-3</v>
      </c>
    </row>
    <row r="328" spans="1:10" x14ac:dyDescent="0.2">
      <c r="A328" s="2426" t="s">
        <v>975</v>
      </c>
      <c r="B328" s="2427">
        <v>60</v>
      </c>
      <c r="C328" s="2428">
        <v>2532000.0000000009</v>
      </c>
      <c r="D328" s="2429">
        <v>151.92000000000007</v>
      </c>
      <c r="E328" s="2430">
        <v>0.48998451240620366</v>
      </c>
      <c r="F328" s="2427">
        <v>0.28602775851725115</v>
      </c>
      <c r="G328" s="2429">
        <v>4.3094619993647599E-3</v>
      </c>
      <c r="H328" s="2430">
        <v>0.36113652242522359</v>
      </c>
      <c r="I328" s="2427">
        <v>0.20411367694718111</v>
      </c>
      <c r="J328" s="2431">
        <v>2.3507715650918299E-3</v>
      </c>
    </row>
    <row r="329" spans="1:10" x14ac:dyDescent="0.2">
      <c r="A329" s="2426" t="s">
        <v>976</v>
      </c>
      <c r="B329" s="2427">
        <v>0</v>
      </c>
      <c r="C329" s="2428">
        <v>7394999.9999999991</v>
      </c>
      <c r="D329" s="2429">
        <v>0</v>
      </c>
      <c r="E329" s="2430">
        <v>0</v>
      </c>
      <c r="F329" s="2427">
        <v>0</v>
      </c>
      <c r="G329" s="2429">
        <v>0</v>
      </c>
      <c r="H329" s="2430">
        <v>0</v>
      </c>
      <c r="I329" s="2427">
        <v>0</v>
      </c>
      <c r="J329" s="2431">
        <v>0</v>
      </c>
    </row>
    <row r="330" spans="1:10" x14ac:dyDescent="0.2">
      <c r="A330" s="2426" t="s">
        <v>286</v>
      </c>
      <c r="B330" s="2427">
        <v>216</v>
      </c>
      <c r="C330" s="2428">
        <v>2445000.0000000005</v>
      </c>
      <c r="D330" s="2429">
        <v>528.12000000000012</v>
      </c>
      <c r="E330" s="2430">
        <v>1.7639442446623335</v>
      </c>
      <c r="F330" s="2427">
        <v>1.0296999306621042</v>
      </c>
      <c r="G330" s="2429">
        <v>1.5514063197713136E-2</v>
      </c>
      <c r="H330" s="2430">
        <v>1.2554200909900541</v>
      </c>
      <c r="I330" s="2427">
        <v>0.70956105232586408</v>
      </c>
      <c r="J330" s="2431">
        <v>8.171994990496952E-3</v>
      </c>
    </row>
    <row r="331" spans="1:10" x14ac:dyDescent="0.2">
      <c r="A331" s="2439" t="s">
        <v>978</v>
      </c>
      <c r="B331" s="2427">
        <v>18</v>
      </c>
      <c r="C331" s="2428">
        <v>1850000.0000000002</v>
      </c>
      <c r="D331" s="2429">
        <v>33.300000000000004</v>
      </c>
      <c r="E331" s="2430">
        <v>0.14699535372186112</v>
      </c>
      <c r="F331" s="2427">
        <v>8.580832755517534E-2</v>
      </c>
      <c r="G331" s="2429">
        <v>1.292838599809428E-3</v>
      </c>
      <c r="H331" s="2430">
        <v>7.9159071858609403E-2</v>
      </c>
      <c r="I331" s="2427">
        <v>4.474055715074466E-2</v>
      </c>
      <c r="J331" s="2431">
        <v>5.152757577511711E-4</v>
      </c>
    </row>
    <row r="332" spans="1:10" x14ac:dyDescent="0.2">
      <c r="A332" s="2426" t="s">
        <v>1163</v>
      </c>
      <c r="B332" s="2427">
        <v>0</v>
      </c>
      <c r="C332" s="2428">
        <v>0</v>
      </c>
      <c r="D332" s="2429">
        <v>0</v>
      </c>
      <c r="E332" s="2430">
        <v>0</v>
      </c>
      <c r="F332" s="2427">
        <v>0</v>
      </c>
      <c r="G332" s="2429">
        <v>0</v>
      </c>
      <c r="H332" s="2430">
        <v>0</v>
      </c>
      <c r="I332" s="2427">
        <v>0</v>
      </c>
      <c r="J332" s="2431">
        <v>0</v>
      </c>
    </row>
    <row r="333" spans="1:10" x14ac:dyDescent="0.2">
      <c r="A333" s="2433" t="s">
        <v>287</v>
      </c>
      <c r="B333" s="2434">
        <v>3699.4</v>
      </c>
      <c r="C333" s="2433"/>
      <c r="D333" s="2435">
        <v>10306.262240000002</v>
      </c>
      <c r="E333" s="2436">
        <v>30.210811753258497</v>
      </c>
      <c r="F333" s="2434">
        <v>17.635518164311982</v>
      </c>
      <c r="G333" s="2435">
        <v>0.26570706200749988</v>
      </c>
      <c r="H333" s="2436">
        <v>24.499524121616602</v>
      </c>
      <c r="I333" s="2434">
        <v>13.847084527305759</v>
      </c>
      <c r="J333" s="2437">
        <v>0.15947648904799647</v>
      </c>
    </row>
    <row r="334" spans="1:10" x14ac:dyDescent="0.2">
      <c r="A334" s="2440" t="s">
        <v>1835</v>
      </c>
      <c r="B334" s="2441">
        <v>5900.1849999999995</v>
      </c>
      <c r="C334" s="2440"/>
      <c r="D334" s="2442">
        <v>27917.540377952173</v>
      </c>
      <c r="E334" s="2443">
        <v>48.183321172189949</v>
      </c>
      <c r="F334" s="2441">
        <v>28.126944839785121</v>
      </c>
      <c r="G334" s="2442">
        <v>0.42377705077869937</v>
      </c>
      <c r="H334" s="2443">
        <v>66.364161708526893</v>
      </c>
      <c r="I334" s="2441">
        <v>37.508898221861585</v>
      </c>
      <c r="J334" s="2444">
        <v>0.43198894212607264</v>
      </c>
    </row>
    <row r="335" spans="1:10" x14ac:dyDescent="0.2">
      <c r="A335" s="2445" t="s">
        <v>194</v>
      </c>
      <c r="B335" s="2446">
        <v>12245.285</v>
      </c>
      <c r="C335" s="2447"/>
      <c r="D335" s="2448">
        <v>42067.193586452173</v>
      </c>
      <c r="E335" s="2449">
        <v>100</v>
      </c>
      <c r="F335" s="2446">
        <v>58.374857015915296</v>
      </c>
      <c r="G335" s="2448">
        <v>0.8795098396481883</v>
      </c>
      <c r="H335" s="2449">
        <v>100</v>
      </c>
      <c r="I335" s="2446">
        <v>56.519810174958039</v>
      </c>
      <c r="J335" s="2450">
        <v>0.6509370886403707</v>
      </c>
    </row>
    <row r="336" spans="1:10" x14ac:dyDescent="0.2">
      <c r="A336" s="2451" t="s">
        <v>1852</v>
      </c>
      <c r="B336" s="2427"/>
      <c r="C336" s="2452"/>
      <c r="D336" s="2429"/>
      <c r="E336" s="2430"/>
      <c r="F336" s="2427">
        <v>0</v>
      </c>
      <c r="G336" s="2429"/>
      <c r="H336" s="2430"/>
      <c r="I336" s="2427">
        <v>0</v>
      </c>
      <c r="J336" s="2431">
        <v>0</v>
      </c>
    </row>
    <row r="337" spans="1:10" x14ac:dyDescent="0.2">
      <c r="A337" s="2453" t="s">
        <v>1836</v>
      </c>
      <c r="B337" s="2427">
        <v>0</v>
      </c>
      <c r="C337" s="2428">
        <v>8033612.4975057133</v>
      </c>
      <c r="D337" s="2429">
        <v>0</v>
      </c>
      <c r="E337" s="2430">
        <v>0</v>
      </c>
      <c r="F337" s="2427">
        <v>0</v>
      </c>
      <c r="G337" s="2429">
        <v>0</v>
      </c>
      <c r="H337" s="2430">
        <v>0</v>
      </c>
      <c r="I337" s="2427">
        <v>0</v>
      </c>
      <c r="J337" s="2431">
        <v>0</v>
      </c>
    </row>
    <row r="338" spans="1:10" x14ac:dyDescent="0.2">
      <c r="A338" s="2453" t="s">
        <v>1837</v>
      </c>
      <c r="B338" s="2427">
        <v>7026.25</v>
      </c>
      <c r="C338" s="2428">
        <v>2214764.1578067578</v>
      </c>
      <c r="D338" s="2429">
        <v>15561.486663789732</v>
      </c>
      <c r="E338" s="2430">
        <v>88.47610185093076</v>
      </c>
      <c r="F338" s="2427">
        <v>33.495042304697265</v>
      </c>
      <c r="G338" s="2429">
        <v>0.50465595621727743</v>
      </c>
      <c r="H338" s="2430">
        <v>70.853128684678452</v>
      </c>
      <c r="I338" s="2427">
        <v>20.907795298253312</v>
      </c>
      <c r="J338" s="2431">
        <v>0.24079449947204193</v>
      </c>
    </row>
    <row r="339" spans="1:10" x14ac:dyDescent="0.2">
      <c r="A339" s="2454" t="s">
        <v>309</v>
      </c>
      <c r="B339" s="2434">
        <v>7026.25</v>
      </c>
      <c r="C339" s="2433"/>
      <c r="D339" s="2435">
        <v>15561.486663789732</v>
      </c>
      <c r="E339" s="2436">
        <v>88.47610185093076</v>
      </c>
      <c r="F339" s="2434">
        <v>33.495042304697265</v>
      </c>
      <c r="G339" s="2435">
        <v>0.50465595621727743</v>
      </c>
      <c r="H339" s="2436">
        <v>70.853128684678452</v>
      </c>
      <c r="I339" s="2434">
        <v>20.907795298253312</v>
      </c>
      <c r="J339" s="2437">
        <v>0.24079449947204193</v>
      </c>
    </row>
    <row r="340" spans="1:10" x14ac:dyDescent="0.2">
      <c r="A340" s="2453" t="s">
        <v>1838</v>
      </c>
      <c r="B340" s="2427">
        <v>0</v>
      </c>
      <c r="C340" s="2428">
        <v>10407427.50198495</v>
      </c>
      <c r="D340" s="2429">
        <v>0</v>
      </c>
      <c r="E340" s="2430">
        <v>0</v>
      </c>
      <c r="F340" s="2427">
        <v>0</v>
      </c>
      <c r="G340" s="2429">
        <v>0</v>
      </c>
      <c r="H340" s="2430">
        <v>0</v>
      </c>
      <c r="I340" s="2427">
        <v>0</v>
      </c>
      <c r="J340" s="2431">
        <v>0</v>
      </c>
    </row>
    <row r="341" spans="1:10" x14ac:dyDescent="0.2">
      <c r="A341" s="2454" t="s">
        <v>315</v>
      </c>
      <c r="B341" s="2434">
        <v>0</v>
      </c>
      <c r="C341" s="2455"/>
      <c r="D341" s="2435">
        <v>0</v>
      </c>
      <c r="E341" s="2436">
        <v>0</v>
      </c>
      <c r="F341" s="2434">
        <v>0</v>
      </c>
      <c r="G341" s="2435">
        <v>0</v>
      </c>
      <c r="H341" s="2436">
        <v>0</v>
      </c>
      <c r="I341" s="2434">
        <v>0</v>
      </c>
      <c r="J341" s="2437">
        <v>0</v>
      </c>
    </row>
    <row r="342" spans="1:10" x14ac:dyDescent="0.2">
      <c r="A342" s="2453" t="s">
        <v>1541</v>
      </c>
      <c r="B342" s="2427">
        <v>8.91</v>
      </c>
      <c r="C342" s="2428">
        <v>10553660</v>
      </c>
      <c r="D342" s="2429">
        <v>94.033110600000015</v>
      </c>
      <c r="E342" s="2430">
        <v>0.1121967005859161</v>
      </c>
      <c r="F342" s="2427">
        <v>4.2475122139811798E-2</v>
      </c>
      <c r="G342" s="2429">
        <v>6.3995510690566682E-4</v>
      </c>
      <c r="H342" s="2430">
        <v>0.42814290368963087</v>
      </c>
      <c r="I342" s="2427">
        <v>0.1263391519177656</v>
      </c>
      <c r="J342" s="2431">
        <v>1.4550445140574979E-3</v>
      </c>
    </row>
    <row r="343" spans="1:10" x14ac:dyDescent="0.2">
      <c r="A343" s="2453" t="s">
        <v>206</v>
      </c>
      <c r="B343" s="2427">
        <v>906.25</v>
      </c>
      <c r="C343" s="2428">
        <v>6960000</v>
      </c>
      <c r="D343" s="2429">
        <v>6307.5</v>
      </c>
      <c r="E343" s="2430">
        <v>11.411701448483329</v>
      </c>
      <c r="F343" s="2427">
        <v>4.3202109359376477</v>
      </c>
      <c r="G343" s="2429">
        <v>6.5090832282071895E-2</v>
      </c>
      <c r="H343" s="2430">
        <v>28.718728411631915</v>
      </c>
      <c r="I343" s="2427">
        <v>8.4745064332829418</v>
      </c>
      <c r="J343" s="2431">
        <v>9.7600655916381715E-2</v>
      </c>
    </row>
    <row r="344" spans="1:10" x14ac:dyDescent="0.2">
      <c r="A344" s="2454" t="s">
        <v>310</v>
      </c>
      <c r="B344" s="2434">
        <v>915.16</v>
      </c>
      <c r="C344" s="2455"/>
      <c r="D344" s="2435">
        <v>6401.5331106000003</v>
      </c>
      <c r="E344" s="2436">
        <v>11.523898149069247</v>
      </c>
      <c r="F344" s="2434">
        <v>4.3626860580774594</v>
      </c>
      <c r="G344" s="2435">
        <v>6.5730787388977557E-2</v>
      </c>
      <c r="H344" s="2436">
        <v>29.146871315321548</v>
      </c>
      <c r="I344" s="2434">
        <v>8.6008455852007071</v>
      </c>
      <c r="J344" s="2437">
        <v>9.9055700430439209E-2</v>
      </c>
    </row>
    <row r="345" spans="1:10" x14ac:dyDescent="0.2">
      <c r="A345" s="2453" t="s">
        <v>1839</v>
      </c>
      <c r="B345" s="2427">
        <v>0</v>
      </c>
      <c r="C345" s="2428">
        <v>39652080.629353955</v>
      </c>
      <c r="D345" s="2429">
        <v>0</v>
      </c>
      <c r="E345" s="2430">
        <v>0</v>
      </c>
      <c r="F345" s="2427">
        <v>0</v>
      </c>
      <c r="G345" s="2429">
        <v>0</v>
      </c>
      <c r="H345" s="2430">
        <v>0</v>
      </c>
      <c r="I345" s="2427">
        <v>0</v>
      </c>
      <c r="J345" s="2431">
        <v>0</v>
      </c>
    </row>
    <row r="346" spans="1:10" x14ac:dyDescent="0.2">
      <c r="A346" s="2454" t="s">
        <v>311</v>
      </c>
      <c r="B346" s="2434">
        <v>0</v>
      </c>
      <c r="C346" s="2433"/>
      <c r="D346" s="2435">
        <v>0</v>
      </c>
      <c r="E346" s="2436">
        <v>0</v>
      </c>
      <c r="F346" s="2434">
        <v>0</v>
      </c>
      <c r="G346" s="2435">
        <v>0</v>
      </c>
      <c r="H346" s="2436">
        <v>0</v>
      </c>
      <c r="I346" s="2434">
        <v>0</v>
      </c>
      <c r="J346" s="2437">
        <v>0</v>
      </c>
    </row>
    <row r="347" spans="1:10" x14ac:dyDescent="0.2">
      <c r="A347" s="2445" t="s">
        <v>129</v>
      </c>
      <c r="B347" s="2446">
        <v>7941.41</v>
      </c>
      <c r="C347" s="2447"/>
      <c r="D347" s="2448">
        <v>21963.019774389733</v>
      </c>
      <c r="E347" s="2449">
        <v>100</v>
      </c>
      <c r="F347" s="2446">
        <v>37.857728362774722</v>
      </c>
      <c r="G347" s="2448">
        <v>0.57038674360625496</v>
      </c>
      <c r="H347" s="2449">
        <v>100</v>
      </c>
      <c r="I347" s="2446">
        <v>29.508640883454024</v>
      </c>
      <c r="J347" s="2450">
        <v>0.33985019990248116</v>
      </c>
    </row>
    <row r="348" spans="1:10" x14ac:dyDescent="0.2">
      <c r="A348" s="2451" t="s">
        <v>1853</v>
      </c>
      <c r="B348" s="2427"/>
      <c r="C348" s="2452"/>
      <c r="D348" s="2429"/>
      <c r="E348" s="2430"/>
      <c r="F348" s="2427">
        <v>0</v>
      </c>
      <c r="G348" s="2429"/>
      <c r="H348" s="2430"/>
      <c r="I348" s="2427">
        <v>0</v>
      </c>
      <c r="J348" s="2431">
        <v>0</v>
      </c>
    </row>
    <row r="349" spans="1:10" x14ac:dyDescent="0.2">
      <c r="A349" s="2426" t="s">
        <v>1543</v>
      </c>
      <c r="B349" s="2427">
        <v>780</v>
      </c>
      <c r="C349" s="2428">
        <v>13200000</v>
      </c>
      <c r="D349" s="2429">
        <v>10296</v>
      </c>
      <c r="E349" s="2430">
        <v>98.697946323501512</v>
      </c>
      <c r="F349" s="2427">
        <v>3.7183608607242653</v>
      </c>
      <c r="G349" s="2429">
        <v>5.6023005991741877E-2</v>
      </c>
      <c r="H349" s="2430">
        <v>99.010472261489198</v>
      </c>
      <c r="I349" s="2427">
        <v>13.833296589311322</v>
      </c>
      <c r="J349" s="2431">
        <v>0.15931769374792965</v>
      </c>
    </row>
    <row r="350" spans="1:10" x14ac:dyDescent="0.2">
      <c r="A350" s="2426" t="s">
        <v>208</v>
      </c>
      <c r="B350" s="2427">
        <v>7.3</v>
      </c>
      <c r="C350" s="2428">
        <v>10000000</v>
      </c>
      <c r="D350" s="2429">
        <v>73</v>
      </c>
      <c r="E350" s="2430">
        <v>0.92371154892507812</v>
      </c>
      <c r="F350" s="2427">
        <v>3.4800043952932222E-2</v>
      </c>
      <c r="G350" s="2429">
        <v>5.2431787658937905E-4</v>
      </c>
      <c r="H350" s="2430">
        <v>0.70199732664031778</v>
      </c>
      <c r="I350" s="2427">
        <v>9.8079900060190989E-2</v>
      </c>
      <c r="J350" s="2431">
        <v>1.1295834929680327E-3</v>
      </c>
    </row>
    <row r="351" spans="1:10" x14ac:dyDescent="0.2">
      <c r="A351" s="2426" t="s">
        <v>209</v>
      </c>
      <c r="B351" s="2427">
        <v>0</v>
      </c>
      <c r="C351" s="2428">
        <v>10000000</v>
      </c>
      <c r="D351" s="2429">
        <v>0</v>
      </c>
      <c r="E351" s="2430">
        <v>0</v>
      </c>
      <c r="F351" s="2427">
        <v>0</v>
      </c>
      <c r="G351" s="2429">
        <v>0</v>
      </c>
      <c r="H351" s="2430">
        <v>0</v>
      </c>
      <c r="I351" s="2427">
        <v>0</v>
      </c>
      <c r="J351" s="2431">
        <v>0</v>
      </c>
    </row>
    <row r="352" spans="1:10" x14ac:dyDescent="0.2">
      <c r="A352" s="2426" t="s">
        <v>210</v>
      </c>
      <c r="B352" s="2427">
        <v>0</v>
      </c>
      <c r="C352" s="2428">
        <v>18500000</v>
      </c>
      <c r="D352" s="2429">
        <v>0</v>
      </c>
      <c r="E352" s="2430">
        <v>0</v>
      </c>
      <c r="F352" s="2427">
        <v>0</v>
      </c>
      <c r="G352" s="2429">
        <v>0</v>
      </c>
      <c r="H352" s="2430">
        <v>0</v>
      </c>
      <c r="I352" s="2427">
        <v>0</v>
      </c>
      <c r="J352" s="2431">
        <v>0</v>
      </c>
    </row>
    <row r="353" spans="1:10" x14ac:dyDescent="0.2">
      <c r="A353" s="2426" t="s">
        <v>1545</v>
      </c>
      <c r="B353" s="2427">
        <v>0</v>
      </c>
      <c r="C353" s="2428">
        <v>14200000</v>
      </c>
      <c r="D353" s="2429">
        <v>0</v>
      </c>
      <c r="E353" s="2430">
        <v>0</v>
      </c>
      <c r="F353" s="2427">
        <v>0</v>
      </c>
      <c r="G353" s="2429">
        <v>0</v>
      </c>
      <c r="H353" s="2430">
        <v>0</v>
      </c>
      <c r="I353" s="2427">
        <v>0</v>
      </c>
      <c r="J353" s="2431">
        <v>0</v>
      </c>
    </row>
    <row r="354" spans="1:10" x14ac:dyDescent="0.2">
      <c r="A354" s="2426" t="s">
        <v>1546</v>
      </c>
      <c r="B354" s="2427">
        <v>2.99</v>
      </c>
      <c r="C354" s="2428">
        <v>10000000</v>
      </c>
      <c r="D354" s="2429">
        <v>29.900000000000002</v>
      </c>
      <c r="E354" s="2430">
        <v>0.37834212757342245</v>
      </c>
      <c r="F354" s="2427">
        <v>1.425371663277635E-2</v>
      </c>
      <c r="G354" s="2429">
        <v>2.1475485630167719E-4</v>
      </c>
      <c r="H354" s="2430">
        <v>0.28753041187048634</v>
      </c>
      <c r="I354" s="2427">
        <v>4.0172452216434396E-2</v>
      </c>
      <c r="J354" s="2431">
        <v>4.6266501972252289E-4</v>
      </c>
    </row>
    <row r="355" spans="1:10" x14ac:dyDescent="0.2">
      <c r="A355" s="2445" t="s">
        <v>121</v>
      </c>
      <c r="B355" s="2446">
        <v>790.29</v>
      </c>
      <c r="C355" s="2447"/>
      <c r="D355" s="2448">
        <v>10398.9</v>
      </c>
      <c r="E355" s="2449">
        <v>100.00000000000001</v>
      </c>
      <c r="F355" s="2446">
        <v>3.7674146213099737</v>
      </c>
      <c r="G355" s="2448">
        <v>5.6762078724632931E-2</v>
      </c>
      <c r="H355" s="2449">
        <v>100.00000000000001</v>
      </c>
      <c r="I355" s="2446">
        <v>13.971548941587947</v>
      </c>
      <c r="J355" s="2450">
        <v>0.16090994226062019</v>
      </c>
    </row>
    <row r="356" spans="1:10" ht="14.25" thickBot="1" x14ac:dyDescent="0.25">
      <c r="A356" s="2457" t="s">
        <v>1840</v>
      </c>
      <c r="B356" s="2446">
        <v>20976.985000000001</v>
      </c>
      <c r="C356" s="2458"/>
      <c r="D356" s="2448">
        <v>74429.113360841904</v>
      </c>
      <c r="E356" s="2459"/>
      <c r="F356" s="2460">
        <v>99.999999999999986</v>
      </c>
      <c r="G356" s="2461">
        <v>1.5066586619790763</v>
      </c>
      <c r="H356" s="2462"/>
      <c r="I356" s="2460">
        <v>100</v>
      </c>
      <c r="J356" s="2463">
        <v>1.1516972308034721</v>
      </c>
    </row>
    <row r="357" spans="1:10" ht="15" thickBot="1" x14ac:dyDescent="0.25">
      <c r="A357" s="2464" t="s">
        <v>1841</v>
      </c>
      <c r="B357" s="2465">
        <v>1392285.1624830281</v>
      </c>
      <c r="C357" s="2466"/>
      <c r="D357" s="2467">
        <v>6462559.0276810033</v>
      </c>
      <c r="E357" s="2468"/>
      <c r="F357" s="2469"/>
      <c r="G357" s="2469"/>
      <c r="H357" s="2469"/>
      <c r="I357" s="2469"/>
      <c r="J357" s="2469"/>
    </row>
    <row r="358" spans="1:10" ht="16.5" thickBot="1" x14ac:dyDescent="0.3">
      <c r="A358" s="2470" t="s">
        <v>1842</v>
      </c>
      <c r="B358" s="2471">
        <v>1.5066586619790763</v>
      </c>
      <c r="C358" s="2472"/>
      <c r="D358" s="2473">
        <v>1.1516972308034721</v>
      </c>
      <c r="E358" s="2468"/>
      <c r="F358" s="2469"/>
      <c r="G358" s="2469"/>
      <c r="H358" s="2469"/>
      <c r="I358" s="2469"/>
      <c r="J358" s="2469"/>
    </row>
    <row r="359" spans="1:10" x14ac:dyDescent="0.2">
      <c r="A359" s="2474" t="s">
        <v>2023</v>
      </c>
      <c r="B359" s="2474"/>
      <c r="C359" s="2474"/>
      <c r="D359" s="2475"/>
      <c r="E359" s="2474"/>
      <c r="F359" s="2474"/>
      <c r="H359" s="2474"/>
      <c r="I359" s="2474"/>
      <c r="J359" s="2474"/>
    </row>
    <row r="360" spans="1:10" x14ac:dyDescent="0.2">
      <c r="A360" s="2474" t="s">
        <v>1843</v>
      </c>
      <c r="B360" s="2474"/>
      <c r="C360" s="2474"/>
      <c r="D360" s="2474"/>
      <c r="E360" s="2474"/>
      <c r="F360" s="2474"/>
      <c r="G360" s="2474"/>
      <c r="H360" s="2474"/>
      <c r="I360" s="2474"/>
      <c r="J360" s="2474"/>
    </row>
    <row r="361" spans="1:10" x14ac:dyDescent="0.2">
      <c r="A361" s="2474" t="s">
        <v>2024</v>
      </c>
      <c r="B361" s="2474"/>
      <c r="C361" s="2474"/>
      <c r="D361" s="2474"/>
      <c r="E361" s="2474"/>
      <c r="F361" s="2474"/>
      <c r="G361" s="2474"/>
      <c r="H361" s="2474"/>
      <c r="I361" s="2474"/>
      <c r="J361" s="2474"/>
    </row>
    <row r="365" spans="1:10" ht="13.5" thickBot="1" x14ac:dyDescent="0.25">
      <c r="A365" s="3321" t="s">
        <v>2021</v>
      </c>
      <c r="B365" s="3321"/>
      <c r="C365" s="3321"/>
      <c r="D365" s="3321"/>
      <c r="E365" s="3321"/>
      <c r="F365" s="3321"/>
      <c r="G365" s="3321"/>
      <c r="H365" s="3321"/>
      <c r="I365" s="3321"/>
      <c r="J365" s="3321"/>
    </row>
    <row r="366" spans="1:10" ht="13.5" customHeight="1" thickBot="1" x14ac:dyDescent="0.25">
      <c r="A366" s="3322" t="s">
        <v>357</v>
      </c>
      <c r="B366" s="3324" t="s">
        <v>1272</v>
      </c>
      <c r="C366" s="3324" t="s">
        <v>1832</v>
      </c>
      <c r="D366" s="3326" t="s">
        <v>1844</v>
      </c>
      <c r="E366" s="3328" t="s">
        <v>1849</v>
      </c>
      <c r="F366" s="3329"/>
      <c r="G366" s="3330"/>
      <c r="H366" s="3328" t="s">
        <v>1850</v>
      </c>
      <c r="I366" s="3329"/>
      <c r="J366" s="3331"/>
    </row>
    <row r="367" spans="1:10" ht="13.5" customHeight="1" thickBot="1" x14ac:dyDescent="0.25">
      <c r="A367" s="3323"/>
      <c r="B367" s="3325"/>
      <c r="C367" s="3325"/>
      <c r="D367" s="3327"/>
      <c r="E367" s="2415" t="s">
        <v>1848</v>
      </c>
      <c r="F367" s="2416" t="s">
        <v>1231</v>
      </c>
      <c r="G367" s="2417" t="s">
        <v>1833</v>
      </c>
      <c r="H367" s="2415" t="s">
        <v>1848</v>
      </c>
      <c r="I367" s="2416" t="s">
        <v>1231</v>
      </c>
      <c r="J367" s="2418" t="s">
        <v>1833</v>
      </c>
    </row>
    <row r="368" spans="1:10" x14ac:dyDescent="0.2">
      <c r="A368" s="2419" t="s">
        <v>1851</v>
      </c>
      <c r="B368" s="2420"/>
      <c r="C368" s="2420"/>
      <c r="D368" s="2421"/>
      <c r="E368" s="2422"/>
      <c r="F368" s="2423"/>
      <c r="G368" s="2424"/>
      <c r="H368" s="2422"/>
      <c r="I368" s="2423"/>
      <c r="J368" s="2425"/>
    </row>
    <row r="369" spans="1:10" x14ac:dyDescent="0.2">
      <c r="A369" s="2426" t="s">
        <v>410</v>
      </c>
      <c r="B369" s="2427">
        <v>250</v>
      </c>
      <c r="C369" s="2428">
        <v>5667200.0000000009</v>
      </c>
      <c r="D369" s="2429">
        <v>1416.8000000000002</v>
      </c>
      <c r="E369" s="2430">
        <v>0.20356212217648748</v>
      </c>
      <c r="F369" s="2427">
        <v>0.17865194381229146</v>
      </c>
      <c r="G369" s="2429">
        <v>1.7956091664019833E-2</v>
      </c>
      <c r="H369" s="2430">
        <v>0.54742852981664059</v>
      </c>
      <c r="I369" s="2427">
        <v>0.31271898681460053</v>
      </c>
      <c r="J369" s="2431">
        <v>2.1923204011467246E-2</v>
      </c>
    </row>
    <row r="370" spans="1:10" x14ac:dyDescent="0.2">
      <c r="A370" s="2426" t="s">
        <v>411</v>
      </c>
      <c r="B370" s="2427">
        <v>92195</v>
      </c>
      <c r="C370" s="2428">
        <v>1753716.5000000002</v>
      </c>
      <c r="D370" s="2429">
        <v>161683.89271750004</v>
      </c>
      <c r="E370" s="2430">
        <v>75.069639416245053</v>
      </c>
      <c r="F370" s="2427">
        <v>65.883263839096855</v>
      </c>
      <c r="G370" s="2429">
        <v>6.6218474838572332</v>
      </c>
      <c r="H370" s="2430">
        <v>62.472032527789722</v>
      </c>
      <c r="I370" s="2427">
        <v>35.687198697668812</v>
      </c>
      <c r="J370" s="2431">
        <v>2.5018555656507169</v>
      </c>
    </row>
    <row r="371" spans="1:10" x14ac:dyDescent="0.2">
      <c r="A371" s="2426" t="s">
        <v>278</v>
      </c>
      <c r="B371" s="2427">
        <v>5576.1</v>
      </c>
      <c r="C371" s="2428">
        <v>1637875</v>
      </c>
      <c r="D371" s="2429">
        <v>9132.9547875000007</v>
      </c>
      <c r="E371" s="2430">
        <v>4.540330997873248</v>
      </c>
      <c r="F371" s="2427">
        <v>3.9847244155668746</v>
      </c>
      <c r="G371" s="2429">
        <v>0.40049985091096402</v>
      </c>
      <c r="H371" s="2430">
        <v>3.5288255309168362</v>
      </c>
      <c r="I371" s="2427">
        <v>2.0158444154224697</v>
      </c>
      <c r="J371" s="2431">
        <v>0.14132102698607352</v>
      </c>
    </row>
    <row r="372" spans="1:10" x14ac:dyDescent="0.2">
      <c r="A372" s="2426" t="s">
        <v>200</v>
      </c>
      <c r="B372" s="2427">
        <v>584.75</v>
      </c>
      <c r="C372" s="2428">
        <v>7709114.5</v>
      </c>
      <c r="D372" s="2429">
        <v>4507.9047038750005</v>
      </c>
      <c r="E372" s="2430">
        <v>0.47613180377080422</v>
      </c>
      <c r="F372" s="2427">
        <v>0.41786689657694981</v>
      </c>
      <c r="G372" s="2429">
        <v>4.1999298402142393E-2</v>
      </c>
      <c r="H372" s="2430">
        <v>1.7417812285402383</v>
      </c>
      <c r="I372" s="2427">
        <v>0.9949939240913056</v>
      </c>
      <c r="J372" s="2431">
        <v>6.9754174539317093E-2</v>
      </c>
    </row>
    <row r="373" spans="1:10" x14ac:dyDescent="0.2">
      <c r="A373" s="2426" t="s">
        <v>429</v>
      </c>
      <c r="B373" s="2427">
        <v>206</v>
      </c>
      <c r="C373" s="2428">
        <v>1255000</v>
      </c>
      <c r="D373" s="2429">
        <v>258.52999999999997</v>
      </c>
      <c r="E373" s="2430">
        <v>0.16773518867342568</v>
      </c>
      <c r="F373" s="2427">
        <v>0.14720920170132817</v>
      </c>
      <c r="G373" s="2429">
        <v>1.4795819531152343E-2</v>
      </c>
      <c r="H373" s="2430">
        <v>9.9891796875703029E-2</v>
      </c>
      <c r="I373" s="2427">
        <v>5.7063269100210805E-2</v>
      </c>
      <c r="J373" s="2431">
        <v>4.0004276772195261E-3</v>
      </c>
    </row>
    <row r="374" spans="1:10" x14ac:dyDescent="0.2">
      <c r="A374" s="2432" t="s">
        <v>431</v>
      </c>
      <c r="B374" s="2427">
        <v>0</v>
      </c>
      <c r="C374" s="2428">
        <v>0</v>
      </c>
      <c r="D374" s="2429">
        <v>0</v>
      </c>
      <c r="E374" s="2430">
        <v>0</v>
      </c>
      <c r="F374" s="2427">
        <v>0</v>
      </c>
      <c r="G374" s="2429">
        <v>0</v>
      </c>
      <c r="H374" s="2430">
        <v>0</v>
      </c>
      <c r="I374" s="2427">
        <v>0</v>
      </c>
      <c r="J374" s="2431">
        <v>0</v>
      </c>
    </row>
    <row r="375" spans="1:10" x14ac:dyDescent="0.2">
      <c r="A375" s="2432" t="s">
        <v>430</v>
      </c>
      <c r="B375" s="2427">
        <v>0</v>
      </c>
      <c r="C375" s="2428">
        <v>0</v>
      </c>
      <c r="D375" s="2429">
        <v>0</v>
      </c>
      <c r="E375" s="2430">
        <v>0</v>
      </c>
      <c r="F375" s="2427">
        <v>0</v>
      </c>
      <c r="G375" s="2429">
        <v>0</v>
      </c>
      <c r="H375" s="2430">
        <v>0</v>
      </c>
      <c r="I375" s="2427">
        <v>0</v>
      </c>
      <c r="J375" s="2431">
        <v>0</v>
      </c>
    </row>
    <row r="376" spans="1:10" x14ac:dyDescent="0.2">
      <c r="A376" s="2433" t="s">
        <v>279</v>
      </c>
      <c r="B376" s="2434">
        <v>98811.85</v>
      </c>
      <c r="C376" s="2433"/>
      <c r="D376" s="2435">
        <v>177000.08220887504</v>
      </c>
      <c r="E376" s="2436">
        <v>80.457399528739032</v>
      </c>
      <c r="F376" s="2434">
        <v>70.611716296754295</v>
      </c>
      <c r="G376" s="2435">
        <v>7.0970985443655126</v>
      </c>
      <c r="H376" s="2436">
        <v>68.389959613939141</v>
      </c>
      <c r="I376" s="2434">
        <v>39.067819293097401</v>
      </c>
      <c r="J376" s="2437">
        <v>2.7388543988647944</v>
      </c>
    </row>
    <row r="377" spans="1:10" x14ac:dyDescent="0.2">
      <c r="A377" s="2438" t="s">
        <v>412</v>
      </c>
      <c r="B377" s="2427">
        <v>68</v>
      </c>
      <c r="C377" s="2428">
        <v>4129499.9999999995</v>
      </c>
      <c r="D377" s="2429">
        <v>280.80599999999993</v>
      </c>
      <c r="E377" s="2430">
        <v>5.5368897232004596E-2</v>
      </c>
      <c r="F377" s="2427">
        <v>4.8593328716943288E-2</v>
      </c>
      <c r="G377" s="2429">
        <v>4.8840569326133948E-3</v>
      </c>
      <c r="H377" s="2430">
        <v>0.10849888180667104</v>
      </c>
      <c r="I377" s="2427">
        <v>6.1980073271781969E-2</v>
      </c>
      <c r="J377" s="2431">
        <v>4.3451208537860454E-3</v>
      </c>
    </row>
    <row r="378" spans="1:10" x14ac:dyDescent="0.2">
      <c r="A378" s="2438" t="s">
        <v>413</v>
      </c>
      <c r="B378" s="2427">
        <v>1985</v>
      </c>
      <c r="C378" s="2428">
        <v>1200000</v>
      </c>
      <c r="D378" s="2429">
        <v>2382</v>
      </c>
      <c r="E378" s="2430">
        <v>1.6162832500813109</v>
      </c>
      <c r="F378" s="2427">
        <v>1.4184964338695945</v>
      </c>
      <c r="G378" s="2429">
        <v>0.14257136781231747</v>
      </c>
      <c r="H378" s="2430">
        <v>0.92036614767309277</v>
      </c>
      <c r="I378" s="2427">
        <v>0.52575990019224894</v>
      </c>
      <c r="J378" s="2431">
        <v>3.6858464113011691E-2</v>
      </c>
    </row>
    <row r="379" spans="1:10" x14ac:dyDescent="0.2">
      <c r="A379" s="2426" t="s">
        <v>90</v>
      </c>
      <c r="B379" s="2427">
        <v>4.5</v>
      </c>
      <c r="C379" s="2428">
        <v>1743000</v>
      </c>
      <c r="D379" s="2429">
        <v>7.8434999999999997</v>
      </c>
      <c r="E379" s="2430">
        <v>3.664118199176775E-3</v>
      </c>
      <c r="F379" s="2427">
        <v>3.215734988621247E-3</v>
      </c>
      <c r="G379" s="2429">
        <v>3.2320964995235699E-4</v>
      </c>
      <c r="H379" s="2430">
        <v>3.0306011248001268E-3</v>
      </c>
      <c r="I379" s="2427">
        <v>1.7312333237438728E-3</v>
      </c>
      <c r="J379" s="2431">
        <v>1.2136833050814744E-4</v>
      </c>
    </row>
    <row r="380" spans="1:10" x14ac:dyDescent="0.2">
      <c r="A380" s="2426" t="s">
        <v>417</v>
      </c>
      <c r="B380" s="2427">
        <v>210</v>
      </c>
      <c r="C380" s="2428">
        <v>2563999.9999999995</v>
      </c>
      <c r="D380" s="2429">
        <v>538.43999999999983</v>
      </c>
      <c r="E380" s="2430">
        <v>0.1709921826282495</v>
      </c>
      <c r="F380" s="2427">
        <v>0.15006763280232482</v>
      </c>
      <c r="G380" s="2429">
        <v>1.508311699777666E-2</v>
      </c>
      <c r="H380" s="2430">
        <v>0.20804447882162044</v>
      </c>
      <c r="I380" s="2427">
        <v>0.11884557542380959</v>
      </c>
      <c r="J380" s="2431">
        <v>8.3316840541603748E-3</v>
      </c>
    </row>
    <row r="381" spans="1:10" x14ac:dyDescent="0.2">
      <c r="A381" s="2426" t="s">
        <v>418</v>
      </c>
      <c r="B381" s="2427">
        <v>250</v>
      </c>
      <c r="C381" s="2428">
        <v>2222500</v>
      </c>
      <c r="D381" s="2429">
        <v>555.625</v>
      </c>
      <c r="E381" s="2430">
        <v>0.20356212217648748</v>
      </c>
      <c r="F381" s="2427">
        <v>0.17865194381229146</v>
      </c>
      <c r="G381" s="2429">
        <v>1.7956091664019833E-2</v>
      </c>
      <c r="H381" s="2430">
        <v>0.21468448396341819</v>
      </c>
      <c r="I381" s="2427">
        <v>0.12263868368779109</v>
      </c>
      <c r="J381" s="2431">
        <v>8.5976003874022339E-3</v>
      </c>
    </row>
    <row r="382" spans="1:10" x14ac:dyDescent="0.2">
      <c r="A382" s="2426" t="s">
        <v>423</v>
      </c>
      <c r="B382" s="2427">
        <v>2035</v>
      </c>
      <c r="C382" s="2428">
        <v>2531500</v>
      </c>
      <c r="D382" s="2429">
        <v>5151.6025</v>
      </c>
      <c r="E382" s="2430">
        <v>1.6569956745166081</v>
      </c>
      <c r="F382" s="2427">
        <v>1.4542268226320527</v>
      </c>
      <c r="G382" s="2429">
        <v>0.14616258614512145</v>
      </c>
      <c r="H382" s="2430">
        <v>1.9904956117834061</v>
      </c>
      <c r="I382" s="2427">
        <v>1.1370722150420405</v>
      </c>
      <c r="J382" s="2431">
        <v>7.9714591045655467E-2</v>
      </c>
    </row>
    <row r="383" spans="1:10" x14ac:dyDescent="0.2">
      <c r="A383" s="2426" t="s">
        <v>424</v>
      </c>
      <c r="B383" s="2427">
        <v>0</v>
      </c>
      <c r="C383" s="2428">
        <v>1369000</v>
      </c>
      <c r="D383" s="2429">
        <v>0</v>
      </c>
      <c r="E383" s="2430">
        <v>0</v>
      </c>
      <c r="F383" s="2427">
        <v>0</v>
      </c>
      <c r="G383" s="2429">
        <v>0</v>
      </c>
      <c r="H383" s="2430">
        <v>0</v>
      </c>
      <c r="I383" s="2427">
        <v>0</v>
      </c>
      <c r="J383" s="2431">
        <v>0</v>
      </c>
    </row>
    <row r="384" spans="1:10" x14ac:dyDescent="0.2">
      <c r="A384" s="2426" t="s">
        <v>280</v>
      </c>
      <c r="B384" s="2427">
        <v>36.799999999999997</v>
      </c>
      <c r="C384" s="2428">
        <v>1574500</v>
      </c>
      <c r="D384" s="2429">
        <v>57.941599999999994</v>
      </c>
      <c r="E384" s="2430">
        <v>2.9964344384378956E-2</v>
      </c>
      <c r="F384" s="2427">
        <v>2.6297566129169305E-2</v>
      </c>
      <c r="G384" s="2429">
        <v>2.6431366929437193E-3</v>
      </c>
      <c r="H384" s="2430">
        <v>2.2387694031072738E-2</v>
      </c>
      <c r="I384" s="2427">
        <v>1.2788988175054247E-2</v>
      </c>
      <c r="J384" s="2431">
        <v>8.9657362898844597E-4</v>
      </c>
    </row>
    <row r="385" spans="1:10" x14ac:dyDescent="0.2">
      <c r="A385" s="2426" t="s">
        <v>427</v>
      </c>
      <c r="B385" s="2427">
        <v>0</v>
      </c>
      <c r="C385" s="2428">
        <v>2072000</v>
      </c>
      <c r="D385" s="2429">
        <v>0</v>
      </c>
      <c r="E385" s="2430">
        <v>0</v>
      </c>
      <c r="F385" s="2427">
        <v>0</v>
      </c>
      <c r="G385" s="2429">
        <v>0</v>
      </c>
      <c r="H385" s="2430">
        <v>0</v>
      </c>
      <c r="I385" s="2427">
        <v>0</v>
      </c>
      <c r="J385" s="2431">
        <v>0</v>
      </c>
    </row>
    <row r="386" spans="1:10" x14ac:dyDescent="0.2">
      <c r="A386" s="2426" t="s">
        <v>428</v>
      </c>
      <c r="B386" s="2427">
        <v>558</v>
      </c>
      <c r="C386" s="2428">
        <v>1326280</v>
      </c>
      <c r="D386" s="2429">
        <v>740.06424000000004</v>
      </c>
      <c r="E386" s="2430">
        <v>0.45435065669792007</v>
      </c>
      <c r="F386" s="2427">
        <v>0.39875113858903455</v>
      </c>
      <c r="G386" s="2429">
        <v>4.0077996594092266E-2</v>
      </c>
      <c r="H386" s="2430">
        <v>0.28594881343384349</v>
      </c>
      <c r="I386" s="2427">
        <v>0.1633484890672765</v>
      </c>
      <c r="J386" s="2431">
        <v>1.1451566427944281E-2</v>
      </c>
    </row>
    <row r="387" spans="1:10" x14ac:dyDescent="0.2">
      <c r="A387" s="2439" t="s">
        <v>92</v>
      </c>
      <c r="B387" s="2427">
        <v>558</v>
      </c>
      <c r="C387" s="2428">
        <v>2215500</v>
      </c>
      <c r="D387" s="2429">
        <v>1236.249</v>
      </c>
      <c r="E387" s="2430">
        <v>0.45435065669792007</v>
      </c>
      <c r="F387" s="2427">
        <v>0.39875113858903455</v>
      </c>
      <c r="G387" s="2429">
        <v>4.0077996594092266E-2</v>
      </c>
      <c r="H387" s="2430">
        <v>0.47766655318837664</v>
      </c>
      <c r="I387" s="2427">
        <v>0.27286740170141377</v>
      </c>
      <c r="J387" s="2431">
        <v>1.9129403610934757E-2</v>
      </c>
    </row>
    <row r="388" spans="1:10" x14ac:dyDescent="0.2">
      <c r="A388" s="2433" t="s">
        <v>281</v>
      </c>
      <c r="B388" s="2434">
        <v>5705.3</v>
      </c>
      <c r="C388" s="2433"/>
      <c r="D388" s="2435">
        <v>10950.571839999999</v>
      </c>
      <c r="E388" s="2436">
        <v>4.6455319026140565</v>
      </c>
      <c r="F388" s="2434">
        <v>4.0770517401290665</v>
      </c>
      <c r="G388" s="2435">
        <v>0.4097795590829294</v>
      </c>
      <c r="H388" s="2436">
        <v>4.2311232658263007</v>
      </c>
      <c r="I388" s="2434">
        <v>2.4170325598851603</v>
      </c>
      <c r="J388" s="2437">
        <v>0.16944637245239141</v>
      </c>
    </row>
    <row r="389" spans="1:10" x14ac:dyDescent="0.2">
      <c r="A389" s="2440" t="s">
        <v>106</v>
      </c>
      <c r="B389" s="2441">
        <v>104517.15000000001</v>
      </c>
      <c r="C389" s="2440"/>
      <c r="D389" s="2442">
        <v>187950.65404887503</v>
      </c>
      <c r="E389" s="2443">
        <v>85.102931431353085</v>
      </c>
      <c r="F389" s="2441">
        <v>74.688768036883374</v>
      </c>
      <c r="G389" s="2442">
        <v>7.5068781034484431</v>
      </c>
      <c r="H389" s="2443">
        <v>72.621082879765424</v>
      </c>
      <c r="I389" s="2441">
        <v>41.484851852982565</v>
      </c>
      <c r="J389" s="2444">
        <v>2.9083007713171858</v>
      </c>
    </row>
    <row r="390" spans="1:10" x14ac:dyDescent="0.2">
      <c r="A390" s="2426" t="s">
        <v>905</v>
      </c>
      <c r="B390" s="2427">
        <v>25</v>
      </c>
      <c r="C390" s="2428">
        <v>6100000</v>
      </c>
      <c r="D390" s="2429">
        <v>152.5</v>
      </c>
      <c r="E390" s="2430">
        <v>2.0356212217648752E-2</v>
      </c>
      <c r="F390" s="2427">
        <v>1.7865194381229146E-2</v>
      </c>
      <c r="G390" s="2429">
        <v>1.7956091664019832E-3</v>
      </c>
      <c r="H390" s="2430">
        <v>5.8923525407282379E-2</v>
      </c>
      <c r="I390" s="2427">
        <v>3.3660111158403852E-2</v>
      </c>
      <c r="J390" s="2431">
        <v>2.3597463380496571E-3</v>
      </c>
    </row>
    <row r="391" spans="1:10" x14ac:dyDescent="0.2">
      <c r="A391" s="2426" t="s">
        <v>906</v>
      </c>
      <c r="B391" s="2427">
        <v>286</v>
      </c>
      <c r="C391" s="2428">
        <v>3022000.0000000005</v>
      </c>
      <c r="D391" s="2429">
        <v>864.29200000000014</v>
      </c>
      <c r="E391" s="2430">
        <v>0.23287506776990169</v>
      </c>
      <c r="F391" s="2427">
        <v>0.20437782372126145</v>
      </c>
      <c r="G391" s="2429">
        <v>2.0541768863638687E-2</v>
      </c>
      <c r="H391" s="2430">
        <v>0.33394840407416992</v>
      </c>
      <c r="I391" s="2427">
        <v>0.19076829372668319</v>
      </c>
      <c r="J391" s="2431">
        <v>1.3373835291840096E-2</v>
      </c>
    </row>
    <row r="392" spans="1:10" x14ac:dyDescent="0.2">
      <c r="A392" s="2426" t="s">
        <v>907</v>
      </c>
      <c r="B392" s="2427">
        <v>99</v>
      </c>
      <c r="C392" s="2428">
        <v>2324000</v>
      </c>
      <c r="D392" s="2429">
        <v>230.07599999999999</v>
      </c>
      <c r="E392" s="2430">
        <v>8.0610600381889039E-2</v>
      </c>
      <c r="F392" s="2427">
        <v>7.0746169749667423E-2</v>
      </c>
      <c r="G392" s="2429">
        <v>7.1106122989518534E-3</v>
      </c>
      <c r="H392" s="2430">
        <v>8.8897632994137055E-2</v>
      </c>
      <c r="I392" s="2427">
        <v>5.0782844163153602E-2</v>
      </c>
      <c r="J392" s="2431">
        <v>3.5601376949056583E-3</v>
      </c>
    </row>
    <row r="393" spans="1:10" x14ac:dyDescent="0.2">
      <c r="A393" s="2439" t="s">
        <v>908</v>
      </c>
      <c r="B393" s="2427">
        <v>1100</v>
      </c>
      <c r="C393" s="2428">
        <v>2403999.9999999995</v>
      </c>
      <c r="D393" s="2429">
        <v>2644.3999999999996</v>
      </c>
      <c r="E393" s="2430">
        <v>0.89567333757654499</v>
      </c>
      <c r="F393" s="2427">
        <v>0.78606855277408261</v>
      </c>
      <c r="G393" s="2429">
        <v>7.9006803321687261E-2</v>
      </c>
      <c r="H393" s="2430">
        <v>1.0217532497509345</v>
      </c>
      <c r="I393" s="2427">
        <v>0.58367736358874178</v>
      </c>
      <c r="J393" s="2431">
        <v>4.0918775189105E-2</v>
      </c>
    </row>
    <row r="394" spans="1:10" x14ac:dyDescent="0.2">
      <c r="A394" s="2440" t="s">
        <v>282</v>
      </c>
      <c r="B394" s="2441">
        <v>1510</v>
      </c>
      <c r="C394" s="2440"/>
      <c r="D394" s="2442">
        <v>3891.268</v>
      </c>
      <c r="E394" s="2430">
        <v>1.2295152179459845</v>
      </c>
      <c r="F394" s="2427">
        <v>1.0790577406262405</v>
      </c>
      <c r="G394" s="2442">
        <v>0.10845479365067978</v>
      </c>
      <c r="H394" s="2430">
        <v>1.5035228122265238</v>
      </c>
      <c r="I394" s="2427">
        <v>0.85888861263698246</v>
      </c>
      <c r="J394" s="2444">
        <v>6.0212494513900414E-2</v>
      </c>
    </row>
    <row r="395" spans="1:10" x14ac:dyDescent="0.2">
      <c r="A395" s="2426" t="s">
        <v>955</v>
      </c>
      <c r="B395" s="2427">
        <v>558.03600000000006</v>
      </c>
      <c r="C395" s="2428">
        <v>12137000</v>
      </c>
      <c r="D395" s="2429">
        <v>6772.8829320000013</v>
      </c>
      <c r="E395" s="2430">
        <v>0.45437996964351357</v>
      </c>
      <c r="F395" s="2427">
        <v>0.39877686446894367</v>
      </c>
      <c r="G395" s="2429">
        <v>4.0080582271291888E-2</v>
      </c>
      <c r="H395" s="2430">
        <v>2.6169320624541066</v>
      </c>
      <c r="I395" s="2427">
        <v>1.4949245400260738</v>
      </c>
      <c r="J395" s="2431">
        <v>0.10480187342181001</v>
      </c>
    </row>
    <row r="396" spans="1:10" x14ac:dyDescent="0.2">
      <c r="A396" s="2426" t="s">
        <v>283</v>
      </c>
      <c r="B396" s="2427">
        <v>1184.7036174126911</v>
      </c>
      <c r="C396" s="2428">
        <v>13024549.999999996</v>
      </c>
      <c r="D396" s="2429">
        <v>15430.23150017246</v>
      </c>
      <c r="E396" s="2430">
        <v>0.9646431300427557</v>
      </c>
      <c r="F396" s="2427">
        <v>0.84659841636892208</v>
      </c>
      <c r="G396" s="2429">
        <v>8.5090586995832648E-2</v>
      </c>
      <c r="H396" s="2430">
        <v>5.9619910678076122</v>
      </c>
      <c r="I396" s="2427">
        <v>3.4057921802997355</v>
      </c>
      <c r="J396" s="2431">
        <v>0.23876349034616676</v>
      </c>
    </row>
    <row r="397" spans="1:10" x14ac:dyDescent="0.2">
      <c r="A397" s="2426" t="s">
        <v>69</v>
      </c>
      <c r="B397" s="2427">
        <v>935.75238258730906</v>
      </c>
      <c r="C397" s="2428">
        <v>14978232.499999994</v>
      </c>
      <c r="D397" s="2429">
        <v>14015.916748821661</v>
      </c>
      <c r="E397" s="2430">
        <v>0.76193496332470834</v>
      </c>
      <c r="F397" s="2427">
        <v>0.66869592830482327</v>
      </c>
      <c r="G397" s="2429">
        <v>6.7209822226250715E-2</v>
      </c>
      <c r="H397" s="2430">
        <v>5.4155227977412972</v>
      </c>
      <c r="I397" s="2427">
        <v>3.0936217426378452</v>
      </c>
      <c r="J397" s="2431">
        <v>0.21687874244223454</v>
      </c>
    </row>
    <row r="398" spans="1:10" x14ac:dyDescent="0.2">
      <c r="A398" s="2426" t="s">
        <v>199</v>
      </c>
      <c r="B398" s="2427">
        <v>696</v>
      </c>
      <c r="C398" s="2428">
        <v>3000000</v>
      </c>
      <c r="D398" s="2429">
        <v>2088</v>
      </c>
      <c r="E398" s="2430">
        <v>0.56671694813934115</v>
      </c>
      <c r="F398" s="2427">
        <v>0.4973670115734195</v>
      </c>
      <c r="G398" s="2429">
        <v>4.9989759192631211E-2</v>
      </c>
      <c r="H398" s="2430">
        <v>0.80676931836331545</v>
      </c>
      <c r="I398" s="2427">
        <v>0.460867620319654</v>
      </c>
      <c r="J398" s="2431">
        <v>3.2309182648181535E-2</v>
      </c>
    </row>
    <row r="399" spans="1:10" x14ac:dyDescent="0.2">
      <c r="A399" s="2426" t="s">
        <v>86</v>
      </c>
      <c r="B399" s="2427">
        <v>1160</v>
      </c>
      <c r="C399" s="2428">
        <v>170000</v>
      </c>
      <c r="D399" s="2429">
        <v>197.2</v>
      </c>
      <c r="E399" s="2430">
        <v>0.94452824689890202</v>
      </c>
      <c r="F399" s="2427">
        <v>0.82894501928903253</v>
      </c>
      <c r="G399" s="2429">
        <v>8.3316265321052019E-2</v>
      </c>
      <c r="H399" s="2430">
        <v>7.6194880067646464E-2</v>
      </c>
      <c r="I399" s="2427">
        <v>4.3526386363522879E-2</v>
      </c>
      <c r="J399" s="2431">
        <v>3.0514228056615893E-3</v>
      </c>
    </row>
    <row r="400" spans="1:10" x14ac:dyDescent="0.2">
      <c r="A400" s="2439" t="s">
        <v>213</v>
      </c>
      <c r="B400" s="2427">
        <v>2942.5</v>
      </c>
      <c r="C400" s="2428">
        <v>1850000.0000000005</v>
      </c>
      <c r="D400" s="2429">
        <v>5443.6250000000009</v>
      </c>
      <c r="E400" s="2430">
        <v>2.395926178017258</v>
      </c>
      <c r="F400" s="2427">
        <v>2.102733378670671</v>
      </c>
      <c r="G400" s="2429">
        <v>0.21134319888551342</v>
      </c>
      <c r="H400" s="2430">
        <v>2.1033283671817551</v>
      </c>
      <c r="I400" s="2427">
        <v>1.2015280170797784</v>
      </c>
      <c r="J400" s="2431">
        <v>8.4233273176823387E-2</v>
      </c>
    </row>
    <row r="401" spans="1:10" x14ac:dyDescent="0.2">
      <c r="A401" s="2433" t="s">
        <v>1834</v>
      </c>
      <c r="B401" s="2434">
        <v>7476.9920000000002</v>
      </c>
      <c r="C401" s="2433"/>
      <c r="D401" s="2435">
        <v>43947.856180994117</v>
      </c>
      <c r="E401" s="2436">
        <v>6.0881294360664784</v>
      </c>
      <c r="F401" s="2434">
        <v>5.3431166186758121</v>
      </c>
      <c r="G401" s="2435">
        <v>0.53703021489257197</v>
      </c>
      <c r="H401" s="2436">
        <v>16.980738493615728</v>
      </c>
      <c r="I401" s="2434">
        <v>9.7002604867266093</v>
      </c>
      <c r="J401" s="2437">
        <v>0.68003798484087774</v>
      </c>
    </row>
    <row r="402" spans="1:10" x14ac:dyDescent="0.2">
      <c r="A402" s="2426" t="s">
        <v>961</v>
      </c>
      <c r="B402" s="2427">
        <v>617.99000000000012</v>
      </c>
      <c r="C402" s="2428">
        <v>3668000</v>
      </c>
      <c r="D402" s="2429">
        <v>2266.7873200000004</v>
      </c>
      <c r="E402" s="2430">
        <v>0.5031974235353901</v>
      </c>
      <c r="F402" s="2427">
        <v>0.44162045902623215</v>
      </c>
      <c r="G402" s="2429">
        <v>4.4386740349790475E-2</v>
      </c>
      <c r="H402" s="2430">
        <v>0.8758498376585282</v>
      </c>
      <c r="I402" s="2427">
        <v>0.50032992238465823</v>
      </c>
      <c r="J402" s="2431">
        <v>3.5075692311523916E-2</v>
      </c>
    </row>
    <row r="403" spans="1:10" x14ac:dyDescent="0.2">
      <c r="A403" s="2426" t="s">
        <v>962</v>
      </c>
      <c r="B403" s="2427">
        <v>71</v>
      </c>
      <c r="C403" s="2428">
        <v>1999999.9999999998</v>
      </c>
      <c r="D403" s="2429">
        <v>141.99999999999997</v>
      </c>
      <c r="E403" s="2430">
        <v>5.7811642698122452E-2</v>
      </c>
      <c r="F403" s="2427">
        <v>5.0737152042690782E-2</v>
      </c>
      <c r="G403" s="2429">
        <v>5.0995300325816333E-3</v>
      </c>
      <c r="H403" s="2430">
        <v>5.4866495789076042E-2</v>
      </c>
      <c r="I403" s="2427">
        <v>3.1342529734382597E-2</v>
      </c>
      <c r="J403" s="2431">
        <v>2.197272000020008E-3</v>
      </c>
    </row>
    <row r="404" spans="1:10" x14ac:dyDescent="0.2">
      <c r="A404" s="2426" t="s">
        <v>963</v>
      </c>
      <c r="B404" s="2427">
        <v>785</v>
      </c>
      <c r="C404" s="2428">
        <v>1347999.9999999998</v>
      </c>
      <c r="D404" s="2429">
        <v>1058.1799999999998</v>
      </c>
      <c r="E404" s="2430">
        <v>0.63918506363417071</v>
      </c>
      <c r="F404" s="2427">
        <v>0.5609671035705952</v>
      </c>
      <c r="G404" s="2429">
        <v>5.638212782502227E-2</v>
      </c>
      <c r="H404" s="2430">
        <v>0.40886358108510201</v>
      </c>
      <c r="I404" s="2427">
        <v>0.2335636486924576</v>
      </c>
      <c r="J404" s="2431">
        <v>1.6374009049163186E-2</v>
      </c>
    </row>
    <row r="405" spans="1:10" x14ac:dyDescent="0.2">
      <c r="A405" s="2426" t="s">
        <v>965</v>
      </c>
      <c r="B405" s="2427">
        <v>707</v>
      </c>
      <c r="C405" s="2428">
        <v>1599999.9999999995</v>
      </c>
      <c r="D405" s="2429">
        <v>1131.1999999999998</v>
      </c>
      <c r="E405" s="2430">
        <v>0.57567368151510667</v>
      </c>
      <c r="F405" s="2427">
        <v>0.50522769710116033</v>
      </c>
      <c r="G405" s="2429">
        <v>5.077982722584809E-2</v>
      </c>
      <c r="H405" s="2430">
        <v>0.43707732420142831</v>
      </c>
      <c r="I405" s="2427">
        <v>0.24968077208122247</v>
      </c>
      <c r="J405" s="2431">
        <v>1.7503902017060799E-2</v>
      </c>
    </row>
    <row r="406" spans="1:10" x14ac:dyDescent="0.2">
      <c r="A406" s="2426" t="s">
        <v>966</v>
      </c>
      <c r="B406" s="2427">
        <v>432</v>
      </c>
      <c r="C406" s="2428">
        <v>2244000</v>
      </c>
      <c r="D406" s="2429">
        <v>969.40800000000002</v>
      </c>
      <c r="E406" s="2430">
        <v>0.3517553471209704</v>
      </c>
      <c r="F406" s="2427">
        <v>0.30871055890763965</v>
      </c>
      <c r="G406" s="2429">
        <v>3.1028126395426271E-2</v>
      </c>
      <c r="H406" s="2430">
        <v>0.37456352077391997</v>
      </c>
      <c r="I406" s="2427">
        <v>0.21396971172358009</v>
      </c>
      <c r="J406" s="2431">
        <v>1.5000373626728144E-2</v>
      </c>
    </row>
    <row r="407" spans="1:10" x14ac:dyDescent="0.2">
      <c r="A407" s="2426" t="s">
        <v>1499</v>
      </c>
      <c r="B407" s="2427">
        <v>0</v>
      </c>
      <c r="C407" s="2428">
        <v>4849999.9999999991</v>
      </c>
      <c r="D407" s="2429">
        <v>0</v>
      </c>
      <c r="E407" s="2430">
        <v>0</v>
      </c>
      <c r="F407" s="2427">
        <v>0</v>
      </c>
      <c r="G407" s="2429">
        <v>0</v>
      </c>
      <c r="H407" s="2430">
        <v>0</v>
      </c>
      <c r="I407" s="2427">
        <v>0</v>
      </c>
      <c r="J407" s="2431">
        <v>0</v>
      </c>
    </row>
    <row r="408" spans="1:10" x14ac:dyDescent="0.2">
      <c r="A408" s="2426" t="s">
        <v>1575</v>
      </c>
      <c r="B408" s="2427">
        <v>110</v>
      </c>
      <c r="C408" s="2428">
        <v>2250000.0000000005</v>
      </c>
      <c r="D408" s="2429">
        <v>247.50000000000006</v>
      </c>
      <c r="E408" s="2430">
        <v>8.9567333757654494E-2</v>
      </c>
      <c r="F408" s="2427">
        <v>7.8606855277408252E-2</v>
      </c>
      <c r="G408" s="2429">
        <v>7.9006803321687268E-3</v>
      </c>
      <c r="H408" s="2430">
        <v>9.5629983857720605E-2</v>
      </c>
      <c r="I408" s="2427">
        <v>5.4628704994786594E-2</v>
      </c>
      <c r="J408" s="2431">
        <v>3.8297522535560018E-3</v>
      </c>
    </row>
    <row r="409" spans="1:10" x14ac:dyDescent="0.2">
      <c r="A409" s="2426" t="s">
        <v>964</v>
      </c>
      <c r="B409" s="2427">
        <v>0</v>
      </c>
      <c r="C409" s="2428">
        <v>1556000</v>
      </c>
      <c r="D409" s="2429">
        <v>0</v>
      </c>
      <c r="E409" s="2430">
        <v>0</v>
      </c>
      <c r="F409" s="2427">
        <v>0</v>
      </c>
      <c r="G409" s="2429">
        <v>0</v>
      </c>
      <c r="H409" s="2430">
        <v>0</v>
      </c>
      <c r="I409" s="2427">
        <v>0</v>
      </c>
      <c r="J409" s="2431">
        <v>0</v>
      </c>
    </row>
    <row r="410" spans="1:10" x14ac:dyDescent="0.2">
      <c r="A410" s="2426" t="s">
        <v>969</v>
      </c>
      <c r="B410" s="2427">
        <v>185</v>
      </c>
      <c r="C410" s="2428">
        <v>4800000</v>
      </c>
      <c r="D410" s="2429">
        <v>888</v>
      </c>
      <c r="E410" s="2430">
        <v>0.15063597041060076</v>
      </c>
      <c r="F410" s="2427">
        <v>0.13220243842109569</v>
      </c>
      <c r="G410" s="2429">
        <v>1.3287507831374676E-2</v>
      </c>
      <c r="H410" s="2430">
        <v>0.34310879056830657</v>
      </c>
      <c r="I410" s="2427">
        <v>0.19600117186008276</v>
      </c>
      <c r="J410" s="2431">
        <v>1.3740686873364561E-2</v>
      </c>
    </row>
    <row r="411" spans="1:10" x14ac:dyDescent="0.2">
      <c r="A411" s="2426" t="s">
        <v>968</v>
      </c>
      <c r="B411" s="2427">
        <v>880</v>
      </c>
      <c r="C411" s="2428">
        <v>3050000.0000000009</v>
      </c>
      <c r="D411" s="2429">
        <v>2684.0000000000009</v>
      </c>
      <c r="E411" s="2430">
        <v>0.71653867006123595</v>
      </c>
      <c r="F411" s="2427">
        <v>0.62885484221926602</v>
      </c>
      <c r="G411" s="2429">
        <v>6.3205442657349814E-2</v>
      </c>
      <c r="H411" s="2430">
        <v>1.0370540471681702</v>
      </c>
      <c r="I411" s="2427">
        <v>0.59241795638790795</v>
      </c>
      <c r="J411" s="2431">
        <v>4.1531535549673974E-2</v>
      </c>
    </row>
    <row r="412" spans="1:10" x14ac:dyDescent="0.2">
      <c r="A412" s="2426" t="s">
        <v>1013</v>
      </c>
      <c r="B412" s="2427">
        <v>0</v>
      </c>
      <c r="C412" s="2428">
        <v>1799999.9999999998</v>
      </c>
      <c r="D412" s="2429">
        <v>0</v>
      </c>
      <c r="E412" s="2430">
        <v>0</v>
      </c>
      <c r="F412" s="2427">
        <v>0</v>
      </c>
      <c r="G412" s="2429">
        <v>0</v>
      </c>
      <c r="H412" s="2430">
        <v>0</v>
      </c>
      <c r="I412" s="2427">
        <v>0</v>
      </c>
      <c r="J412" s="2431">
        <v>0</v>
      </c>
    </row>
    <row r="413" spans="1:10" x14ac:dyDescent="0.2">
      <c r="A413" s="2426" t="s">
        <v>1014</v>
      </c>
      <c r="B413" s="2427">
        <v>72</v>
      </c>
      <c r="C413" s="2428">
        <v>2195000.0000000005</v>
      </c>
      <c r="D413" s="2429">
        <v>158.04000000000002</v>
      </c>
      <c r="E413" s="2430">
        <v>5.8625891186828399E-2</v>
      </c>
      <c r="F413" s="2427">
        <v>5.1451759817939952E-2</v>
      </c>
      <c r="G413" s="2429">
        <v>5.1713543992377119E-3</v>
      </c>
      <c r="H413" s="2430">
        <v>6.1064091510602686E-2</v>
      </c>
      <c r="I413" s="2427">
        <v>3.4882911262125539E-2</v>
      </c>
      <c r="J413" s="2431">
        <v>2.4454708935433959E-3</v>
      </c>
    </row>
    <row r="414" spans="1:10" x14ac:dyDescent="0.2">
      <c r="A414" s="2426" t="s">
        <v>970</v>
      </c>
      <c r="B414" s="2427">
        <v>259</v>
      </c>
      <c r="C414" s="2428">
        <v>3100000.0000000005</v>
      </c>
      <c r="D414" s="2429">
        <v>802.90000000000009</v>
      </c>
      <c r="E414" s="2430">
        <v>0.21089035857484104</v>
      </c>
      <c r="F414" s="2427">
        <v>0.18508341378953397</v>
      </c>
      <c r="G414" s="2429">
        <v>1.8602510963924547E-2</v>
      </c>
      <c r="H414" s="2430">
        <v>0.31022753147217724</v>
      </c>
      <c r="I414" s="2427">
        <v>0.1772177262234915</v>
      </c>
      <c r="J414" s="2431">
        <v>1.2423871048000459E-2</v>
      </c>
    </row>
    <row r="415" spans="1:10" x14ac:dyDescent="0.2">
      <c r="A415" s="2426" t="s">
        <v>971</v>
      </c>
      <c r="B415" s="2427">
        <v>832</v>
      </c>
      <c r="C415" s="2428">
        <v>3010000</v>
      </c>
      <c r="D415" s="2429">
        <v>2504.3200000000002</v>
      </c>
      <c r="E415" s="2430">
        <v>0.67745474260335037</v>
      </c>
      <c r="F415" s="2427">
        <v>0.59455366900730611</v>
      </c>
      <c r="G415" s="2429">
        <v>5.9757873057858006E-2</v>
      </c>
      <c r="H415" s="2430">
        <v>0.96762861080633056</v>
      </c>
      <c r="I415" s="2427">
        <v>0.55275862017189459</v>
      </c>
      <c r="J415" s="2431">
        <v>3.8751212782324705E-2</v>
      </c>
    </row>
    <row r="416" spans="1:10" x14ac:dyDescent="0.2">
      <c r="A416" s="2426" t="s">
        <v>972</v>
      </c>
      <c r="B416" s="2427">
        <v>730</v>
      </c>
      <c r="C416" s="2428">
        <v>2744000.0000000005</v>
      </c>
      <c r="D416" s="2429">
        <v>2003.1200000000003</v>
      </c>
      <c r="E416" s="2430">
        <v>0.59440139675534343</v>
      </c>
      <c r="F416" s="2427">
        <v>0.52166367593189111</v>
      </c>
      <c r="G416" s="2429">
        <v>5.2431787658937919E-2</v>
      </c>
      <c r="H416" s="2430">
        <v>0.77397306369728203</v>
      </c>
      <c r="I416" s="2427">
        <v>0.4421327335319471</v>
      </c>
      <c r="J416" s="2431">
        <v>3.0995771047042819E-2</v>
      </c>
    </row>
    <row r="417" spans="1:10" x14ac:dyDescent="0.2">
      <c r="A417" s="2426" t="s">
        <v>973</v>
      </c>
      <c r="B417" s="2427">
        <v>387</v>
      </c>
      <c r="C417" s="2428">
        <v>2549999.9999999991</v>
      </c>
      <c r="D417" s="2429">
        <v>986.84999999999968</v>
      </c>
      <c r="E417" s="2430">
        <v>0.31511416512920265</v>
      </c>
      <c r="F417" s="2427">
        <v>0.27655320902142722</v>
      </c>
      <c r="G417" s="2429">
        <v>2.7796029895902703E-2</v>
      </c>
      <c r="H417" s="2430">
        <v>0.38130282654542036</v>
      </c>
      <c r="I417" s="2427">
        <v>0.21781954555193986</v>
      </c>
      <c r="J417" s="2431">
        <v>1.5270266712815103E-2</v>
      </c>
    </row>
    <row r="418" spans="1:10" x14ac:dyDescent="0.2">
      <c r="A418" s="2426" t="s">
        <v>974</v>
      </c>
      <c r="B418" s="2427">
        <v>990</v>
      </c>
      <c r="C418" s="2428">
        <v>1583999.9999999995</v>
      </c>
      <c r="D418" s="2429">
        <v>1568.1599999999996</v>
      </c>
      <c r="E418" s="2430">
        <v>0.80610600381889053</v>
      </c>
      <c r="F418" s="2427">
        <v>0.7074616974966742</v>
      </c>
      <c r="G418" s="2429">
        <v>7.1106122989518544E-2</v>
      </c>
      <c r="H418" s="2430">
        <v>0.60591157772251747</v>
      </c>
      <c r="I418" s="2427">
        <v>0.34612747484696765</v>
      </c>
      <c r="J418" s="2431">
        <v>2.4265310278530815E-2</v>
      </c>
    </row>
    <row r="419" spans="1:10" x14ac:dyDescent="0.2">
      <c r="A419" s="2426" t="s">
        <v>975</v>
      </c>
      <c r="B419" s="2427">
        <v>1746</v>
      </c>
      <c r="C419" s="2428">
        <v>2532000.0000000009</v>
      </c>
      <c r="D419" s="2429">
        <v>4420.8720000000021</v>
      </c>
      <c r="E419" s="2430">
        <v>1.4216778612805887</v>
      </c>
      <c r="F419" s="2427">
        <v>1.2477051755850437</v>
      </c>
      <c r="G419" s="2429">
        <v>0.12540534418151453</v>
      </c>
      <c r="H419" s="2430">
        <v>1.7081532040284815</v>
      </c>
      <c r="I419" s="2427">
        <v>0.9757838881119687</v>
      </c>
      <c r="J419" s="2431">
        <v>6.8407452544172243E-2</v>
      </c>
    </row>
    <row r="420" spans="1:10" x14ac:dyDescent="0.2">
      <c r="A420" s="2426" t="s">
        <v>976</v>
      </c>
      <c r="B420" s="2427">
        <v>30</v>
      </c>
      <c r="C420" s="2428">
        <v>7394999.9999999991</v>
      </c>
      <c r="D420" s="2429">
        <v>221.84999999999997</v>
      </c>
      <c r="E420" s="2430">
        <v>2.4427454661178495E-2</v>
      </c>
      <c r="F420" s="2427">
        <v>2.1438233257474976E-2</v>
      </c>
      <c r="G420" s="2429">
        <v>2.1547309996823799E-3</v>
      </c>
      <c r="H420" s="2430">
        <v>8.5719240076102252E-2</v>
      </c>
      <c r="I420" s="2427">
        <v>4.8967184658963242E-2</v>
      </c>
      <c r="J420" s="2431">
        <v>3.4328506563692874E-3</v>
      </c>
    </row>
    <row r="421" spans="1:10" x14ac:dyDescent="0.2">
      <c r="A421" s="2426" t="s">
        <v>286</v>
      </c>
      <c r="B421" s="2427">
        <v>150</v>
      </c>
      <c r="C421" s="2428">
        <v>2445000.0000000005</v>
      </c>
      <c r="D421" s="2429">
        <v>366.75000000000006</v>
      </c>
      <c r="E421" s="2430">
        <v>0.12213727330589251</v>
      </c>
      <c r="F421" s="2427">
        <v>0.10719116628737491</v>
      </c>
      <c r="G421" s="2429">
        <v>1.0773654998411899E-2</v>
      </c>
      <c r="H421" s="2430">
        <v>0.14170624880734961</v>
      </c>
      <c r="I421" s="2427">
        <v>8.0949808310456492E-2</v>
      </c>
      <c r="J421" s="2431">
        <v>5.6749965211784388E-3</v>
      </c>
    </row>
    <row r="422" spans="1:10" x14ac:dyDescent="0.2">
      <c r="A422" s="2439" t="s">
        <v>978</v>
      </c>
      <c r="B422" s="2427">
        <v>324.5</v>
      </c>
      <c r="C422" s="2428">
        <v>1850000.0000000002</v>
      </c>
      <c r="D422" s="2429">
        <v>600.32500000000016</v>
      </c>
      <c r="E422" s="2430">
        <v>0.26422363458508075</v>
      </c>
      <c r="F422" s="2427">
        <v>0.23189022306835433</v>
      </c>
      <c r="G422" s="2429">
        <v>2.3307006979897744E-2</v>
      </c>
      <c r="H422" s="2430">
        <v>0.23195583862378233</v>
      </c>
      <c r="I422" s="2427">
        <v>0.13250495889291014</v>
      </c>
      <c r="J422" s="2431">
        <v>9.2892768550141697E-3</v>
      </c>
    </row>
    <row r="423" spans="1:10" x14ac:dyDescent="0.2">
      <c r="A423" s="2426" t="s">
        <v>1163</v>
      </c>
      <c r="B423" s="2427">
        <v>0</v>
      </c>
      <c r="C423" s="2428">
        <v>0</v>
      </c>
      <c r="D423" s="2429">
        <v>0</v>
      </c>
      <c r="E423" s="2430">
        <v>0</v>
      </c>
      <c r="F423" s="2427">
        <v>0</v>
      </c>
      <c r="G423" s="2429">
        <v>0</v>
      </c>
      <c r="H423" s="2430">
        <v>0</v>
      </c>
      <c r="I423" s="2427">
        <v>0</v>
      </c>
      <c r="J423" s="2431">
        <v>0</v>
      </c>
    </row>
    <row r="424" spans="1:10" x14ac:dyDescent="0.2">
      <c r="A424" s="2433" t="s">
        <v>287</v>
      </c>
      <c r="B424" s="2434">
        <v>9308.49</v>
      </c>
      <c r="C424" s="2433"/>
      <c r="D424" s="2435">
        <v>23020.262320000005</v>
      </c>
      <c r="E424" s="2436">
        <v>7.5794239146344475</v>
      </c>
      <c r="F424" s="2434">
        <v>6.6519193298291093</v>
      </c>
      <c r="G424" s="2435">
        <v>0.66857639877444786</v>
      </c>
      <c r="H424" s="2436">
        <v>8.8946558143922996</v>
      </c>
      <c r="I424" s="2434">
        <v>5.0810792694217435</v>
      </c>
      <c r="J424" s="2437">
        <v>0.35620970302008209</v>
      </c>
    </row>
    <row r="425" spans="1:10" x14ac:dyDescent="0.2">
      <c r="A425" s="2440" t="s">
        <v>1835</v>
      </c>
      <c r="B425" s="2441">
        <v>16785.482</v>
      </c>
      <c r="C425" s="2440"/>
      <c r="D425" s="2442">
        <v>66968.118500994125</v>
      </c>
      <c r="E425" s="2443">
        <v>13.667553350700926</v>
      </c>
      <c r="F425" s="2441">
        <v>11.99503594850492</v>
      </c>
      <c r="G425" s="2442">
        <v>1.2056066136670198</v>
      </c>
      <c r="H425" s="2443">
        <v>25.875394308008033</v>
      </c>
      <c r="I425" s="2441">
        <v>14.781339756148352</v>
      </c>
      <c r="J425" s="2444">
        <v>1.0362476878609599</v>
      </c>
    </row>
    <row r="426" spans="1:10" x14ac:dyDescent="0.2">
      <c r="A426" s="2445" t="s">
        <v>194</v>
      </c>
      <c r="B426" s="2446">
        <v>122812.63200000001</v>
      </c>
      <c r="C426" s="2447"/>
      <c r="D426" s="2448">
        <v>258810.04054986918</v>
      </c>
      <c r="E426" s="2449">
        <v>100</v>
      </c>
      <c r="F426" s="2446">
        <v>87.762861726014535</v>
      </c>
      <c r="G426" s="2448">
        <v>8.8209395107661415</v>
      </c>
      <c r="H426" s="2449">
        <v>99.999999999999972</v>
      </c>
      <c r="I426" s="2446">
        <v>57.125080221767902</v>
      </c>
      <c r="J426" s="2450">
        <v>4.0047609536920463</v>
      </c>
    </row>
    <row r="427" spans="1:10" x14ac:dyDescent="0.2">
      <c r="A427" s="2451" t="s">
        <v>1852</v>
      </c>
      <c r="B427" s="2427"/>
      <c r="C427" s="2452"/>
      <c r="D427" s="2429"/>
      <c r="E427" s="2430"/>
      <c r="F427" s="2427">
        <v>0</v>
      </c>
      <c r="G427" s="2429"/>
      <c r="H427" s="2430"/>
      <c r="I427" s="2427">
        <v>0</v>
      </c>
      <c r="J427" s="2431">
        <v>0</v>
      </c>
    </row>
    <row r="428" spans="1:10" x14ac:dyDescent="0.2">
      <c r="A428" s="2453" t="s">
        <v>1836</v>
      </c>
      <c r="B428" s="2427">
        <v>0</v>
      </c>
      <c r="C428" s="2428">
        <v>8033612.4975057133</v>
      </c>
      <c r="D428" s="2429">
        <v>0</v>
      </c>
      <c r="E428" s="2430">
        <v>0</v>
      </c>
      <c r="F428" s="2427">
        <v>0</v>
      </c>
      <c r="G428" s="2429">
        <v>0</v>
      </c>
      <c r="H428" s="2430">
        <v>0</v>
      </c>
      <c r="I428" s="2427">
        <v>0</v>
      </c>
      <c r="J428" s="2431">
        <v>0</v>
      </c>
    </row>
    <row r="429" spans="1:10" x14ac:dyDescent="0.2">
      <c r="A429" s="2453" t="s">
        <v>1837</v>
      </c>
      <c r="B429" s="2427">
        <v>2609.75</v>
      </c>
      <c r="C429" s="2428">
        <v>2214764.1578067578</v>
      </c>
      <c r="D429" s="2429">
        <v>5779.9807608361862</v>
      </c>
      <c r="E429" s="2430">
        <v>83.279151492427175</v>
      </c>
      <c r="F429" s="2427">
        <v>1.8649476414565109</v>
      </c>
      <c r="G429" s="2429">
        <v>0.18744364088070303</v>
      </c>
      <c r="H429" s="2430">
        <v>59.471808999211405</v>
      </c>
      <c r="I429" s="2427">
        <v>1.2757691469061094</v>
      </c>
      <c r="J429" s="2431">
        <v>8.9437956946758435E-2</v>
      </c>
    </row>
    <row r="430" spans="1:10" x14ac:dyDescent="0.2">
      <c r="A430" s="2454" t="s">
        <v>309</v>
      </c>
      <c r="B430" s="2434">
        <v>2609.75</v>
      </c>
      <c r="C430" s="2433"/>
      <c r="D430" s="2435">
        <v>5779.9807608361862</v>
      </c>
      <c r="E430" s="2436">
        <v>83.279151492427175</v>
      </c>
      <c r="F430" s="2434">
        <v>1.8649476414565109</v>
      </c>
      <c r="G430" s="2435">
        <v>0.18744364088070303</v>
      </c>
      <c r="H430" s="2436">
        <v>59.471808999211405</v>
      </c>
      <c r="I430" s="2434">
        <v>1.2757691469061094</v>
      </c>
      <c r="J430" s="2437">
        <v>8.9437956946758435E-2</v>
      </c>
    </row>
    <row r="431" spans="1:10" x14ac:dyDescent="0.2">
      <c r="A431" s="2453" t="s">
        <v>1838</v>
      </c>
      <c r="B431" s="2427">
        <v>0</v>
      </c>
      <c r="C431" s="2428">
        <v>10407427.50198495</v>
      </c>
      <c r="D431" s="2429">
        <v>0</v>
      </c>
      <c r="E431" s="2430">
        <v>0</v>
      </c>
      <c r="F431" s="2427">
        <v>0</v>
      </c>
      <c r="G431" s="2429">
        <v>0</v>
      </c>
      <c r="H431" s="2430">
        <v>0</v>
      </c>
      <c r="I431" s="2427">
        <v>0</v>
      </c>
      <c r="J431" s="2431">
        <v>0</v>
      </c>
    </row>
    <row r="432" spans="1:10" x14ac:dyDescent="0.2">
      <c r="A432" s="2454" t="s">
        <v>315</v>
      </c>
      <c r="B432" s="2434">
        <v>0</v>
      </c>
      <c r="C432" s="2455"/>
      <c r="D432" s="2435">
        <v>0</v>
      </c>
      <c r="E432" s="2436">
        <v>0</v>
      </c>
      <c r="F432" s="2434">
        <v>0</v>
      </c>
      <c r="G432" s="2435">
        <v>0</v>
      </c>
      <c r="H432" s="2436">
        <v>0</v>
      </c>
      <c r="I432" s="2434">
        <v>0</v>
      </c>
      <c r="J432" s="2437">
        <v>0</v>
      </c>
    </row>
    <row r="433" spans="1:10" x14ac:dyDescent="0.2">
      <c r="A433" s="2453" t="s">
        <v>1541</v>
      </c>
      <c r="B433" s="2427">
        <v>59.4</v>
      </c>
      <c r="C433" s="2428">
        <v>10553660</v>
      </c>
      <c r="D433" s="2429">
        <v>626.88740399999995</v>
      </c>
      <c r="E433" s="2430">
        <v>1.8955001814925467</v>
      </c>
      <c r="F433" s="2427">
        <v>4.2447701849800457E-2</v>
      </c>
      <c r="G433" s="2429">
        <v>4.2663673793711119E-3</v>
      </c>
      <c r="H433" s="2430">
        <v>6.4502166179020106</v>
      </c>
      <c r="I433" s="2427">
        <v>0.13836786690126704</v>
      </c>
      <c r="J433" s="2431">
        <v>9.7002967603833177E-3</v>
      </c>
    </row>
    <row r="434" spans="1:10" x14ac:dyDescent="0.2">
      <c r="A434" s="2453" t="s">
        <v>206</v>
      </c>
      <c r="B434" s="2427">
        <v>462.1875</v>
      </c>
      <c r="C434" s="2428">
        <v>6960000</v>
      </c>
      <c r="D434" s="2429">
        <v>3216.8249999999998</v>
      </c>
      <c r="E434" s="2430">
        <v>14.748762460161387</v>
      </c>
      <c r="F434" s="2427">
        <v>0.33028278112297388</v>
      </c>
      <c r="G434" s="2429">
        <v>3.3196324463856668E-2</v>
      </c>
      <c r="H434" s="2430">
        <v>33.09879563616601</v>
      </c>
      <c r="I434" s="2427">
        <v>0.71002417755496694</v>
      </c>
      <c r="J434" s="2431">
        <v>4.9776334517354678E-2</v>
      </c>
    </row>
    <row r="435" spans="1:10" x14ac:dyDescent="0.2">
      <c r="A435" s="2454" t="s">
        <v>310</v>
      </c>
      <c r="B435" s="2434">
        <v>521.58749999999998</v>
      </c>
      <c r="C435" s="2455"/>
      <c r="D435" s="2435">
        <v>3843.7124039999999</v>
      </c>
      <c r="E435" s="2436">
        <v>16.644262641653935</v>
      </c>
      <c r="F435" s="2434">
        <v>0.37273048297277434</v>
      </c>
      <c r="G435" s="2435">
        <v>3.7462691843227772E-2</v>
      </c>
      <c r="H435" s="2436">
        <v>39.549012254068018</v>
      </c>
      <c r="I435" s="2434">
        <v>0.84839204445623406</v>
      </c>
      <c r="J435" s="2437">
        <v>5.9476631277737987E-2</v>
      </c>
    </row>
    <row r="436" spans="1:10" x14ac:dyDescent="0.2">
      <c r="A436" s="2453" t="s">
        <v>1839</v>
      </c>
      <c r="B436" s="2427">
        <v>2.4</v>
      </c>
      <c r="C436" s="2428">
        <v>39652080.629353955</v>
      </c>
      <c r="D436" s="2429">
        <v>95.164993510449477</v>
      </c>
      <c r="E436" s="2430">
        <v>7.6585865918890772E-2</v>
      </c>
      <c r="F436" s="2427">
        <v>1.7150586605979982E-3</v>
      </c>
      <c r="G436" s="2429">
        <v>1.723784799745904E-4</v>
      </c>
      <c r="H436" s="2430">
        <v>0.97917874672058047</v>
      </c>
      <c r="I436" s="2427">
        <v>2.1005011540659084E-2</v>
      </c>
      <c r="J436" s="2431">
        <v>1.4725589832577215E-3</v>
      </c>
    </row>
    <row r="437" spans="1:10" x14ac:dyDescent="0.2">
      <c r="A437" s="2454" t="s">
        <v>311</v>
      </c>
      <c r="B437" s="2434">
        <v>2.4</v>
      </c>
      <c r="C437" s="2433"/>
      <c r="D437" s="2435">
        <v>95.164993510449477</v>
      </c>
      <c r="E437" s="2436">
        <v>7.6585865918890772E-2</v>
      </c>
      <c r="F437" s="2434">
        <v>1.7150586605979982E-3</v>
      </c>
      <c r="G437" s="2435">
        <v>1.723784799745904E-4</v>
      </c>
      <c r="H437" s="2436">
        <v>0.97917874672058047</v>
      </c>
      <c r="I437" s="2434">
        <v>2.1005011540659084E-2</v>
      </c>
      <c r="J437" s="2437">
        <v>1.4725589832577215E-3</v>
      </c>
    </row>
    <row r="438" spans="1:10" x14ac:dyDescent="0.2">
      <c r="A438" s="2456" t="s">
        <v>129</v>
      </c>
      <c r="B438" s="2441">
        <v>3133.7375000000002</v>
      </c>
      <c r="C438" s="2440"/>
      <c r="D438" s="2442">
        <v>9718.8581583466348</v>
      </c>
      <c r="E438" s="2443">
        <v>100</v>
      </c>
      <c r="F438" s="2441">
        <v>2.239393183089883</v>
      </c>
      <c r="G438" s="2442">
        <v>0.22507871120390541</v>
      </c>
      <c r="H438" s="2443">
        <v>100</v>
      </c>
      <c r="I438" s="2441">
        <v>2.1451662029030025</v>
      </c>
      <c r="J438" s="2444">
        <v>0.15038714720775412</v>
      </c>
    </row>
    <row r="439" spans="1:10" x14ac:dyDescent="0.2">
      <c r="A439" s="2451" t="s">
        <v>1853</v>
      </c>
      <c r="B439" s="2427"/>
      <c r="C439" s="2452"/>
      <c r="D439" s="2429"/>
      <c r="E439" s="2430"/>
      <c r="F439" s="2427">
        <v>0</v>
      </c>
      <c r="G439" s="2429"/>
      <c r="H439" s="2430"/>
      <c r="I439" s="2427">
        <v>0</v>
      </c>
      <c r="J439" s="2431">
        <v>0</v>
      </c>
    </row>
    <row r="440" spans="1:10" x14ac:dyDescent="0.2">
      <c r="A440" s="2426" t="s">
        <v>1543</v>
      </c>
      <c r="B440" s="2427">
        <v>13939</v>
      </c>
      <c r="C440" s="2428">
        <v>13200000</v>
      </c>
      <c r="D440" s="2429">
        <v>183994.8</v>
      </c>
      <c r="E440" s="2430">
        <v>99.631643822055409</v>
      </c>
      <c r="F440" s="2427">
        <v>9.9609177791981232</v>
      </c>
      <c r="G440" s="2429">
        <v>1.0011598468190896</v>
      </c>
      <c r="H440" s="2430">
        <v>99.710172811988215</v>
      </c>
      <c r="I440" s="2427">
        <v>40.611707675857609</v>
      </c>
      <c r="J440" s="2431">
        <v>2.8470888886569115</v>
      </c>
    </row>
    <row r="441" spans="1:10" x14ac:dyDescent="0.2">
      <c r="A441" s="2426" t="s">
        <v>208</v>
      </c>
      <c r="B441" s="2427">
        <v>43.2</v>
      </c>
      <c r="C441" s="2428">
        <v>10000000</v>
      </c>
      <c r="D441" s="2429">
        <v>432</v>
      </c>
      <c r="E441" s="2430">
        <v>0.30878018603291435</v>
      </c>
      <c r="F441" s="2427">
        <v>3.0871055890763971E-2</v>
      </c>
      <c r="G441" s="2429">
        <v>3.1028126395426271E-3</v>
      </c>
      <c r="H441" s="2430">
        <v>0.23410876098008698</v>
      </c>
      <c r="I441" s="2427">
        <v>9.5351921445445659E-2</v>
      </c>
      <c r="J441" s="2431">
        <v>6.6846584789341098E-3</v>
      </c>
    </row>
    <row r="442" spans="1:10" x14ac:dyDescent="0.2">
      <c r="A442" s="2426" t="s">
        <v>209</v>
      </c>
      <c r="B442" s="2427">
        <v>3.1</v>
      </c>
      <c r="C442" s="2428">
        <v>10000000</v>
      </c>
      <c r="D442" s="2429">
        <v>31</v>
      </c>
      <c r="E442" s="2430">
        <v>2.2157837423658205E-2</v>
      </c>
      <c r="F442" s="2427">
        <v>2.2152841032724141E-3</v>
      </c>
      <c r="G442" s="2429">
        <v>2.2265553663384591E-4</v>
      </c>
      <c r="H442" s="2430">
        <v>1.6799471274034021E-2</v>
      </c>
      <c r="I442" s="2427">
        <v>6.8423832518722588E-3</v>
      </c>
      <c r="J442" s="2431">
        <v>4.7968614084943845E-4</v>
      </c>
    </row>
    <row r="443" spans="1:10" x14ac:dyDescent="0.2">
      <c r="A443" s="2426" t="s">
        <v>210</v>
      </c>
      <c r="B443" s="2427">
        <v>0</v>
      </c>
      <c r="C443" s="2428">
        <v>18500000</v>
      </c>
      <c r="D443" s="2429">
        <v>0</v>
      </c>
      <c r="E443" s="2430">
        <v>0</v>
      </c>
      <c r="F443" s="2427">
        <v>0</v>
      </c>
      <c r="G443" s="2429">
        <v>0</v>
      </c>
      <c r="H443" s="2430">
        <v>0</v>
      </c>
      <c r="I443" s="2427">
        <v>0</v>
      </c>
      <c r="J443" s="2431">
        <v>0</v>
      </c>
    </row>
    <row r="444" spans="1:10" x14ac:dyDescent="0.2">
      <c r="A444" s="2426" t="s">
        <v>1545</v>
      </c>
      <c r="B444" s="2427">
        <v>4.6349999999999998</v>
      </c>
      <c r="C444" s="2428">
        <v>14200000</v>
      </c>
      <c r="D444" s="2429">
        <v>65.816999999999993</v>
      </c>
      <c r="E444" s="2430">
        <v>3.3129540793114767E-2</v>
      </c>
      <c r="F444" s="2427">
        <v>3.3122070382798838E-3</v>
      </c>
      <c r="G444" s="2429">
        <v>3.3290593945092768E-4</v>
      </c>
      <c r="H444" s="2430">
        <v>3.5667445188487003E-2</v>
      </c>
      <c r="I444" s="2427">
        <v>1.4527262531886334E-2</v>
      </c>
      <c r="J444" s="2431">
        <v>1.0184355720092738E-3</v>
      </c>
    </row>
    <row r="445" spans="1:10" x14ac:dyDescent="0.2">
      <c r="A445" s="2426" t="s">
        <v>1546</v>
      </c>
      <c r="B445" s="2427">
        <v>0.6</v>
      </c>
      <c r="C445" s="2428">
        <v>10000000</v>
      </c>
      <c r="D445" s="2429">
        <v>6</v>
      </c>
      <c r="E445" s="2430">
        <v>4.2886136949015887E-3</v>
      </c>
      <c r="F445" s="2427">
        <v>4.2876466514949954E-4</v>
      </c>
      <c r="G445" s="2429">
        <v>4.3094619993647599E-5</v>
      </c>
      <c r="H445" s="2430">
        <v>3.2515105691678751E-3</v>
      </c>
      <c r="I445" s="2427">
        <v>1.3243322422978564E-3</v>
      </c>
      <c r="J445" s="2431">
        <v>9.2842478874084866E-5</v>
      </c>
    </row>
    <row r="446" spans="1:10" x14ac:dyDescent="0.2">
      <c r="A446" s="2456" t="s">
        <v>121</v>
      </c>
      <c r="B446" s="2441">
        <v>13990.535000000002</v>
      </c>
      <c r="C446" s="2440"/>
      <c r="D446" s="2442">
        <v>184529.617</v>
      </c>
      <c r="E446" s="2443">
        <v>100</v>
      </c>
      <c r="F446" s="2441">
        <v>9.9977450908955898</v>
      </c>
      <c r="G446" s="2442">
        <v>1.004861315554711</v>
      </c>
      <c r="H446" s="2443">
        <v>100</v>
      </c>
      <c r="I446" s="2441">
        <v>40.729753575329106</v>
      </c>
      <c r="J446" s="2444">
        <v>2.8553645113275787</v>
      </c>
    </row>
    <row r="447" spans="1:10" ht="14.25" thickBot="1" x14ac:dyDescent="0.25">
      <c r="A447" s="2457" t="s">
        <v>1840</v>
      </c>
      <c r="B447" s="2446">
        <v>139936.9045</v>
      </c>
      <c r="C447" s="2458"/>
      <c r="D447" s="2448">
        <v>453058.51570821577</v>
      </c>
      <c r="E447" s="2459"/>
      <c r="F447" s="2460">
        <v>100.00000000000001</v>
      </c>
      <c r="G447" s="2461">
        <v>10.050879537524757</v>
      </c>
      <c r="H447" s="2462"/>
      <c r="I447" s="2460">
        <v>100</v>
      </c>
      <c r="J447" s="2463">
        <v>7.0105126122273784</v>
      </c>
    </row>
    <row r="448" spans="1:10" ht="15" thickBot="1" x14ac:dyDescent="0.25">
      <c r="A448" s="2464" t="s">
        <v>1841</v>
      </c>
      <c r="B448" s="2465">
        <v>1392285.1624830281</v>
      </c>
      <c r="C448" s="2466"/>
      <c r="D448" s="2467">
        <v>6462559.0276810033</v>
      </c>
      <c r="E448" s="2468"/>
      <c r="F448" s="2469"/>
      <c r="G448" s="2469"/>
      <c r="H448" s="2469"/>
      <c r="I448" s="2469"/>
      <c r="J448" s="2469"/>
    </row>
    <row r="449" spans="1:10" ht="16.5" thickBot="1" x14ac:dyDescent="0.3">
      <c r="A449" s="2470" t="s">
        <v>1842</v>
      </c>
      <c r="B449" s="2471">
        <v>10.050879537524757</v>
      </c>
      <c r="C449" s="2472"/>
      <c r="D449" s="2473">
        <v>7.0105126122273775</v>
      </c>
      <c r="E449" s="2468"/>
      <c r="F449" s="2469"/>
      <c r="G449" s="2469"/>
      <c r="H449" s="2469"/>
      <c r="I449" s="2469"/>
      <c r="J449" s="2469"/>
    </row>
    <row r="450" spans="1:10" x14ac:dyDescent="0.2">
      <c r="A450" s="2474" t="s">
        <v>2023</v>
      </c>
      <c r="B450" s="2474"/>
      <c r="C450" s="2474"/>
      <c r="D450" s="2475"/>
      <c r="E450" s="2474"/>
      <c r="F450" s="2474"/>
      <c r="H450" s="2474"/>
      <c r="I450" s="2474"/>
      <c r="J450" s="2474"/>
    </row>
    <row r="451" spans="1:10" x14ac:dyDescent="0.2">
      <c r="A451" s="2474" t="s">
        <v>1843</v>
      </c>
      <c r="B451" s="2474"/>
      <c r="C451" s="2474"/>
      <c r="D451" s="2474"/>
      <c r="E451" s="2474"/>
      <c r="F451" s="2474"/>
      <c r="G451" s="2474"/>
      <c r="H451" s="2474"/>
      <c r="I451" s="2474"/>
      <c r="J451" s="2474"/>
    </row>
    <row r="452" spans="1:10" x14ac:dyDescent="0.2">
      <c r="A452" s="2474" t="s">
        <v>2024</v>
      </c>
      <c r="B452" s="2474"/>
      <c r="C452" s="2474"/>
      <c r="D452" s="2474"/>
      <c r="E452" s="2474"/>
      <c r="F452" s="2474"/>
      <c r="G452" s="2474"/>
      <c r="H452" s="2474"/>
      <c r="I452" s="2474"/>
      <c r="J452" s="2474"/>
    </row>
    <row r="456" spans="1:10" ht="13.5" thickBot="1" x14ac:dyDescent="0.25">
      <c r="A456" s="3321" t="s">
        <v>2021</v>
      </c>
      <c r="B456" s="3321"/>
      <c r="C456" s="3321"/>
      <c r="D456" s="3321"/>
      <c r="E456" s="3321"/>
      <c r="F456" s="3321"/>
      <c r="G456" s="3321"/>
      <c r="H456" s="3321"/>
      <c r="I456" s="3321"/>
      <c r="J456" s="3321"/>
    </row>
    <row r="457" spans="1:10" ht="13.5" customHeight="1" thickBot="1" x14ac:dyDescent="0.25">
      <c r="A457" s="3322" t="s">
        <v>358</v>
      </c>
      <c r="B457" s="3324" t="s">
        <v>1272</v>
      </c>
      <c r="C457" s="3324" t="s">
        <v>1832</v>
      </c>
      <c r="D457" s="3326" t="s">
        <v>1844</v>
      </c>
      <c r="E457" s="3328" t="s">
        <v>1849</v>
      </c>
      <c r="F457" s="3329"/>
      <c r="G457" s="3330"/>
      <c r="H457" s="3328" t="s">
        <v>1850</v>
      </c>
      <c r="I457" s="3329"/>
      <c r="J457" s="3331"/>
    </row>
    <row r="458" spans="1:10" ht="13.5" customHeight="1" thickBot="1" x14ac:dyDescent="0.25">
      <c r="A458" s="3323"/>
      <c r="B458" s="3325"/>
      <c r="C458" s="3325"/>
      <c r="D458" s="3327"/>
      <c r="E458" s="2415" t="s">
        <v>1848</v>
      </c>
      <c r="F458" s="2416" t="s">
        <v>1231</v>
      </c>
      <c r="G458" s="2417" t="s">
        <v>1833</v>
      </c>
      <c r="H458" s="2415" t="s">
        <v>1848</v>
      </c>
      <c r="I458" s="2416" t="s">
        <v>1231</v>
      </c>
      <c r="J458" s="2418" t="s">
        <v>1833</v>
      </c>
    </row>
    <row r="459" spans="1:10" x14ac:dyDescent="0.2">
      <c r="A459" s="2419" t="s">
        <v>1851</v>
      </c>
      <c r="B459" s="2420"/>
      <c r="C459" s="2420"/>
      <c r="D459" s="2421"/>
      <c r="E459" s="2422"/>
      <c r="F459" s="2423"/>
      <c r="G459" s="2424"/>
      <c r="H459" s="2422"/>
      <c r="I459" s="2423"/>
      <c r="J459" s="2425"/>
    </row>
    <row r="460" spans="1:10" x14ac:dyDescent="0.2">
      <c r="A460" s="2426" t="s">
        <v>410</v>
      </c>
      <c r="B460" s="2427">
        <v>0</v>
      </c>
      <c r="C460" s="2428">
        <v>5667200.0000000009</v>
      </c>
      <c r="D460" s="2429">
        <v>0</v>
      </c>
      <c r="E460" s="2430">
        <v>0</v>
      </c>
      <c r="F460" s="2427">
        <v>0</v>
      </c>
      <c r="G460" s="2429">
        <v>0</v>
      </c>
      <c r="H460" s="2430">
        <v>0</v>
      </c>
      <c r="I460" s="2427">
        <v>0</v>
      </c>
      <c r="J460" s="2431">
        <v>0</v>
      </c>
    </row>
    <row r="461" spans="1:10" x14ac:dyDescent="0.2">
      <c r="A461" s="2426" t="s">
        <v>411</v>
      </c>
      <c r="B461" s="2427">
        <v>0</v>
      </c>
      <c r="C461" s="2428">
        <v>1753716.5000000002</v>
      </c>
      <c r="D461" s="2429">
        <v>0</v>
      </c>
      <c r="E461" s="2430">
        <v>0</v>
      </c>
      <c r="F461" s="2427">
        <v>0</v>
      </c>
      <c r="G461" s="2429">
        <v>0</v>
      </c>
      <c r="H461" s="2430">
        <v>0</v>
      </c>
      <c r="I461" s="2427">
        <v>0</v>
      </c>
      <c r="J461" s="2431">
        <v>0</v>
      </c>
    </row>
    <row r="462" spans="1:10" x14ac:dyDescent="0.2">
      <c r="A462" s="2426" t="s">
        <v>278</v>
      </c>
      <c r="B462" s="2427">
        <v>1702.2</v>
      </c>
      <c r="C462" s="2428">
        <v>1637875</v>
      </c>
      <c r="D462" s="2429">
        <v>2787.9908249999999</v>
      </c>
      <c r="E462" s="2430">
        <v>7.6818440324816271</v>
      </c>
      <c r="F462" s="2427">
        <v>6.2208143507192215</v>
      </c>
      <c r="G462" s="2429">
        <v>0.12225943692197824</v>
      </c>
      <c r="H462" s="2430">
        <v>3.0683874290610111</v>
      </c>
      <c r="I462" s="2427">
        <v>2.6492602698655219</v>
      </c>
      <c r="J462" s="2431">
        <v>4.3140663211867492E-2</v>
      </c>
    </row>
    <row r="463" spans="1:10" x14ac:dyDescent="0.2">
      <c r="A463" s="2426" t="s">
        <v>200</v>
      </c>
      <c r="B463" s="2427">
        <v>2640</v>
      </c>
      <c r="C463" s="2428">
        <v>7709114.5</v>
      </c>
      <c r="D463" s="2429">
        <v>20352.062279999998</v>
      </c>
      <c r="E463" s="2430">
        <v>11.914033747944714</v>
      </c>
      <c r="F463" s="2427">
        <v>9.6480730148623817</v>
      </c>
      <c r="G463" s="2429">
        <v>0.18961632797204944</v>
      </c>
      <c r="H463" s="2430">
        <v>22.398930260259657</v>
      </c>
      <c r="I463" s="2427">
        <v>19.339342699677896</v>
      </c>
      <c r="J463" s="2431">
        <v>0.31492265204582659</v>
      </c>
    </row>
    <row r="464" spans="1:10" x14ac:dyDescent="0.2">
      <c r="A464" s="2426" t="s">
        <v>429</v>
      </c>
      <c r="B464" s="2427">
        <v>0</v>
      </c>
      <c r="C464" s="2428">
        <v>1255000</v>
      </c>
      <c r="D464" s="2429">
        <v>0</v>
      </c>
      <c r="E464" s="2430">
        <v>0</v>
      </c>
      <c r="F464" s="2427">
        <v>0</v>
      </c>
      <c r="G464" s="2429">
        <v>0</v>
      </c>
      <c r="H464" s="2430">
        <v>0</v>
      </c>
      <c r="I464" s="2427">
        <v>0</v>
      </c>
      <c r="J464" s="2431">
        <v>0</v>
      </c>
    </row>
    <row r="465" spans="1:10" x14ac:dyDescent="0.2">
      <c r="A465" s="2432" t="s">
        <v>431</v>
      </c>
      <c r="B465" s="2427">
        <v>0</v>
      </c>
      <c r="C465" s="2428">
        <v>0</v>
      </c>
      <c r="D465" s="2429">
        <v>0</v>
      </c>
      <c r="E465" s="2430">
        <v>0</v>
      </c>
      <c r="F465" s="2427">
        <v>0</v>
      </c>
      <c r="G465" s="2429">
        <v>0</v>
      </c>
      <c r="H465" s="2430">
        <v>0</v>
      </c>
      <c r="I465" s="2427">
        <v>0</v>
      </c>
      <c r="J465" s="2431">
        <v>0</v>
      </c>
    </row>
    <row r="466" spans="1:10" x14ac:dyDescent="0.2">
      <c r="A466" s="2432" t="s">
        <v>430</v>
      </c>
      <c r="B466" s="2427">
        <v>0</v>
      </c>
      <c r="C466" s="2428">
        <v>0</v>
      </c>
      <c r="D466" s="2429">
        <v>0</v>
      </c>
      <c r="E466" s="2430">
        <v>0</v>
      </c>
      <c r="F466" s="2427">
        <v>0</v>
      </c>
      <c r="G466" s="2429">
        <v>0</v>
      </c>
      <c r="H466" s="2430">
        <v>0</v>
      </c>
      <c r="I466" s="2427">
        <v>0</v>
      </c>
      <c r="J466" s="2431">
        <v>0</v>
      </c>
    </row>
    <row r="467" spans="1:10" x14ac:dyDescent="0.2">
      <c r="A467" s="2433" t="s">
        <v>279</v>
      </c>
      <c r="B467" s="2434">
        <v>4342.2</v>
      </c>
      <c r="C467" s="2433"/>
      <c r="D467" s="2435">
        <v>23140.053104999999</v>
      </c>
      <c r="E467" s="2436">
        <v>19.595877780426342</v>
      </c>
      <c r="F467" s="2434">
        <v>15.868887365581601</v>
      </c>
      <c r="G467" s="2435">
        <v>0.31187576489402768</v>
      </c>
      <c r="H467" s="2436">
        <v>25.467317689320666</v>
      </c>
      <c r="I467" s="2434">
        <v>21.988602969543422</v>
      </c>
      <c r="J467" s="2437">
        <v>0.35806331525769408</v>
      </c>
    </row>
    <row r="468" spans="1:10" x14ac:dyDescent="0.2">
      <c r="A468" s="2438" t="s">
        <v>412</v>
      </c>
      <c r="B468" s="2427">
        <v>364.5</v>
      </c>
      <c r="C468" s="2428">
        <v>4129499.9999999995</v>
      </c>
      <c r="D468" s="2429">
        <v>1505.2027499999997</v>
      </c>
      <c r="E468" s="2430">
        <v>1.644948977699185</v>
      </c>
      <c r="F468" s="2427">
        <v>1.3320918992111126</v>
      </c>
      <c r="G468" s="2429">
        <v>2.6179981646140917E-2</v>
      </c>
      <c r="H468" s="2430">
        <v>1.6565855076973088</v>
      </c>
      <c r="I468" s="2427">
        <v>1.4303037900662121</v>
      </c>
      <c r="J468" s="2431">
        <v>2.3291125753014903E-2</v>
      </c>
    </row>
    <row r="469" spans="1:10" x14ac:dyDescent="0.2">
      <c r="A469" s="2438" t="s">
        <v>413</v>
      </c>
      <c r="B469" s="2427">
        <v>96</v>
      </c>
      <c r="C469" s="2428">
        <v>1200000</v>
      </c>
      <c r="D469" s="2429">
        <v>115.2</v>
      </c>
      <c r="E469" s="2430">
        <v>0.43323759083435326</v>
      </c>
      <c r="F469" s="2427">
        <v>0.35083901872226836</v>
      </c>
      <c r="G469" s="2429">
        <v>6.8951391989836167E-3</v>
      </c>
      <c r="H469" s="2430">
        <v>0.12678600971645182</v>
      </c>
      <c r="I469" s="2427">
        <v>0.10946764255886966</v>
      </c>
      <c r="J469" s="2431">
        <v>1.7825755943824296E-3</v>
      </c>
    </row>
    <row r="470" spans="1:10" x14ac:dyDescent="0.2">
      <c r="A470" s="2426" t="s">
        <v>90</v>
      </c>
      <c r="B470" s="2427">
        <v>32</v>
      </c>
      <c r="C470" s="2428">
        <v>1743000</v>
      </c>
      <c r="D470" s="2429">
        <v>55.776000000000003</v>
      </c>
      <c r="E470" s="2430">
        <v>0.14441253027811776</v>
      </c>
      <c r="F470" s="2427">
        <v>0.11694633957408947</v>
      </c>
      <c r="G470" s="2429">
        <v>2.2983797329945385E-3</v>
      </c>
      <c r="H470" s="2430">
        <v>6.1385559704382094E-2</v>
      </c>
      <c r="I470" s="2427">
        <v>5.3000583605586064E-2</v>
      </c>
      <c r="J470" s="2431">
        <v>8.6306368361349303E-4</v>
      </c>
    </row>
    <row r="471" spans="1:10" x14ac:dyDescent="0.2">
      <c r="A471" s="2426" t="s">
        <v>417</v>
      </c>
      <c r="B471" s="2427">
        <v>122</v>
      </c>
      <c r="C471" s="2428">
        <v>2563999.9999999995</v>
      </c>
      <c r="D471" s="2429">
        <v>312.80799999999994</v>
      </c>
      <c r="E471" s="2430">
        <v>0.55057277168532393</v>
      </c>
      <c r="F471" s="2427">
        <v>0.44585791962621607</v>
      </c>
      <c r="G471" s="2429">
        <v>8.7625727320416787E-3</v>
      </c>
      <c r="H471" s="2430">
        <v>0.34426803930020705</v>
      </c>
      <c r="I471" s="2427">
        <v>0.29724265914544185</v>
      </c>
      <c r="J471" s="2431">
        <v>4.8403116886074557E-3</v>
      </c>
    </row>
    <row r="472" spans="1:10" x14ac:dyDescent="0.2">
      <c r="A472" s="2426" t="s">
        <v>418</v>
      </c>
      <c r="B472" s="2427">
        <v>313</v>
      </c>
      <c r="C472" s="2428">
        <v>2222500</v>
      </c>
      <c r="D472" s="2429">
        <v>695.64250000000004</v>
      </c>
      <c r="E472" s="2430">
        <v>1.4125350617828392</v>
      </c>
      <c r="F472" s="2427">
        <v>1.1438813839590625</v>
      </c>
      <c r="G472" s="2429">
        <v>2.248102676335283E-2</v>
      </c>
      <c r="H472" s="2430">
        <v>0.76560535385570172</v>
      </c>
      <c r="I472" s="2427">
        <v>0.66102729634338975</v>
      </c>
      <c r="J472" s="2431">
        <v>1.0764195685027598E-2</v>
      </c>
    </row>
    <row r="473" spans="1:10" x14ac:dyDescent="0.2">
      <c r="A473" s="2426" t="s">
        <v>423</v>
      </c>
      <c r="B473" s="2427">
        <v>0</v>
      </c>
      <c r="C473" s="2428">
        <v>2531500</v>
      </c>
      <c r="D473" s="2429">
        <v>0</v>
      </c>
      <c r="E473" s="2430">
        <v>0</v>
      </c>
      <c r="F473" s="2427">
        <v>0</v>
      </c>
      <c r="G473" s="2429">
        <v>0</v>
      </c>
      <c r="H473" s="2430">
        <v>0</v>
      </c>
      <c r="I473" s="2427">
        <v>0</v>
      </c>
      <c r="J473" s="2431">
        <v>0</v>
      </c>
    </row>
    <row r="474" spans="1:10" x14ac:dyDescent="0.2">
      <c r="A474" s="2426" t="s">
        <v>424</v>
      </c>
      <c r="B474" s="2427">
        <v>100</v>
      </c>
      <c r="C474" s="2428">
        <v>1369000</v>
      </c>
      <c r="D474" s="2429">
        <v>136.9</v>
      </c>
      <c r="E474" s="2430">
        <v>0.45128915711911799</v>
      </c>
      <c r="F474" s="2427">
        <v>0.36545731116902958</v>
      </c>
      <c r="G474" s="2429">
        <v>7.1824366656079329E-3</v>
      </c>
      <c r="H474" s="2430">
        <v>0.15066844383838765</v>
      </c>
      <c r="I474" s="2427">
        <v>0.13008784953393454</v>
      </c>
      <c r="J474" s="2431">
        <v>2.1183558929770367E-3</v>
      </c>
    </row>
    <row r="475" spans="1:10" x14ac:dyDescent="0.2">
      <c r="A475" s="2426" t="s">
        <v>280</v>
      </c>
      <c r="B475" s="2427">
        <v>33</v>
      </c>
      <c r="C475" s="2428">
        <v>1574500</v>
      </c>
      <c r="D475" s="2429">
        <v>51.958500000000001</v>
      </c>
      <c r="E475" s="2430">
        <v>0.14892542184930896</v>
      </c>
      <c r="F475" s="2427">
        <v>0.12060091268577976</v>
      </c>
      <c r="G475" s="2429">
        <v>2.3702040996506179E-3</v>
      </c>
      <c r="H475" s="2430">
        <v>5.7184122273023108E-2</v>
      </c>
      <c r="I475" s="2427">
        <v>4.9373042585894353E-2</v>
      </c>
      <c r="J475" s="2431">
        <v>8.0399265642985644E-4</v>
      </c>
    </row>
    <row r="476" spans="1:10" x14ac:dyDescent="0.2">
      <c r="A476" s="2426" t="s">
        <v>427</v>
      </c>
      <c r="B476" s="2427">
        <v>136</v>
      </c>
      <c r="C476" s="2428">
        <v>2072000</v>
      </c>
      <c r="D476" s="2429">
        <v>281.79199999999997</v>
      </c>
      <c r="E476" s="2430">
        <v>0.6137532536820004</v>
      </c>
      <c r="F476" s="2427">
        <v>0.49702194318988019</v>
      </c>
      <c r="G476" s="2429">
        <v>9.7681138652267897E-3</v>
      </c>
      <c r="H476" s="2430">
        <v>0.31013266710085408</v>
      </c>
      <c r="I476" s="2427">
        <v>0.26777001677039064</v>
      </c>
      <c r="J476" s="2431">
        <v>4.3603779678143533E-3</v>
      </c>
    </row>
    <row r="477" spans="1:10" x14ac:dyDescent="0.2">
      <c r="A477" s="2426" t="s">
        <v>428</v>
      </c>
      <c r="B477" s="2427">
        <v>64</v>
      </c>
      <c r="C477" s="2428">
        <v>1326280</v>
      </c>
      <c r="D477" s="2429">
        <v>84.881919999999994</v>
      </c>
      <c r="E477" s="2430">
        <v>0.28882506055623552</v>
      </c>
      <c r="F477" s="2427">
        <v>0.23389267914817893</v>
      </c>
      <c r="G477" s="2429">
        <v>4.5967594659890769E-3</v>
      </c>
      <c r="H477" s="2430">
        <v>9.3418749425964287E-2</v>
      </c>
      <c r="I477" s="2427">
        <v>8.0658191651654249E-2</v>
      </c>
      <c r="J477" s="2431">
        <v>1.3134413107319602E-3</v>
      </c>
    </row>
    <row r="478" spans="1:10" x14ac:dyDescent="0.2">
      <c r="A478" s="2439" t="s">
        <v>92</v>
      </c>
      <c r="B478" s="2427">
        <v>1010</v>
      </c>
      <c r="C478" s="2428">
        <v>2215500</v>
      </c>
      <c r="D478" s="2429">
        <v>2237.6550000000002</v>
      </c>
      <c r="E478" s="2430">
        <v>4.5580204869030911</v>
      </c>
      <c r="F478" s="2427">
        <v>3.6911188428071986</v>
      </c>
      <c r="G478" s="2429">
        <v>7.2542610322640116E-2</v>
      </c>
      <c r="H478" s="2430">
        <v>2.4627026785769708</v>
      </c>
      <c r="I478" s="2427">
        <v>2.1263091815110031</v>
      </c>
      <c r="J478" s="2431">
        <v>3.4624906177498395E-2</v>
      </c>
    </row>
    <row r="479" spans="1:10" x14ac:dyDescent="0.2">
      <c r="A479" s="2433" t="s">
        <v>281</v>
      </c>
      <c r="B479" s="2434">
        <v>2270.5</v>
      </c>
      <c r="C479" s="2433"/>
      <c r="D479" s="2435">
        <v>5477.8166700000002</v>
      </c>
      <c r="E479" s="2436">
        <v>10.246520312389574</v>
      </c>
      <c r="F479" s="2434">
        <v>8.2977082500928177</v>
      </c>
      <c r="G479" s="2435">
        <v>0.16307722449262813</v>
      </c>
      <c r="H479" s="2436">
        <v>6.0287371314892511</v>
      </c>
      <c r="I479" s="2434">
        <v>5.2052402537723763</v>
      </c>
      <c r="J479" s="2437">
        <v>8.4762346410097486E-2</v>
      </c>
    </row>
    <row r="480" spans="1:10" x14ac:dyDescent="0.2">
      <c r="A480" s="2440" t="s">
        <v>106</v>
      </c>
      <c r="B480" s="2441">
        <v>6612.7</v>
      </c>
      <c r="C480" s="2440"/>
      <c r="D480" s="2442">
        <v>28617.869774999999</v>
      </c>
      <c r="E480" s="2443">
        <v>29.842398092815912</v>
      </c>
      <c r="F480" s="2441">
        <v>24.166595615674417</v>
      </c>
      <c r="G480" s="2442">
        <v>0.47495298938665576</v>
      </c>
      <c r="H480" s="2443">
        <v>31.49605482080992</v>
      </c>
      <c r="I480" s="2441">
        <v>27.193843223315799</v>
      </c>
      <c r="J480" s="2444">
        <v>0.44282566166779158</v>
      </c>
    </row>
    <row r="481" spans="1:10" x14ac:dyDescent="0.2">
      <c r="A481" s="2426" t="s">
        <v>905</v>
      </c>
      <c r="B481" s="2427">
        <v>2</v>
      </c>
      <c r="C481" s="2428">
        <v>6100000</v>
      </c>
      <c r="D481" s="2429">
        <v>12.2</v>
      </c>
      <c r="E481" s="2430">
        <v>9.0257831423823601E-3</v>
      </c>
      <c r="F481" s="2427">
        <v>7.3091462233805917E-3</v>
      </c>
      <c r="G481" s="2429">
        <v>1.4364873331215865E-4</v>
      </c>
      <c r="H481" s="2430">
        <v>1.3426990612332572E-2</v>
      </c>
      <c r="I481" s="2427">
        <v>1.1592927423769184E-2</v>
      </c>
      <c r="J481" s="2431">
        <v>1.8877970704397255E-4</v>
      </c>
    </row>
    <row r="482" spans="1:10" x14ac:dyDescent="0.2">
      <c r="A482" s="2426" t="s">
        <v>906</v>
      </c>
      <c r="B482" s="2427">
        <v>192</v>
      </c>
      <c r="C482" s="2428">
        <v>3022000.0000000005</v>
      </c>
      <c r="D482" s="2429">
        <v>580.22400000000016</v>
      </c>
      <c r="E482" s="2430">
        <v>0.86647518166870652</v>
      </c>
      <c r="F482" s="2427">
        <v>0.70167803744453672</v>
      </c>
      <c r="G482" s="2429">
        <v>1.3790278397967233E-2</v>
      </c>
      <c r="H482" s="2430">
        <v>0.63857886893852922</v>
      </c>
      <c r="I482" s="2427">
        <v>0.55135202635484037</v>
      </c>
      <c r="J482" s="2431">
        <v>8.9782390770395057E-3</v>
      </c>
    </row>
    <row r="483" spans="1:10" x14ac:dyDescent="0.2">
      <c r="A483" s="2426" t="s">
        <v>907</v>
      </c>
      <c r="B483" s="2427">
        <v>100</v>
      </c>
      <c r="C483" s="2428">
        <v>2324000</v>
      </c>
      <c r="D483" s="2429">
        <v>232.4</v>
      </c>
      <c r="E483" s="2430">
        <v>0.45128915711911799</v>
      </c>
      <c r="F483" s="2427">
        <v>0.36545731116902958</v>
      </c>
      <c r="G483" s="2429">
        <v>7.1824366656079329E-3</v>
      </c>
      <c r="H483" s="2430">
        <v>0.2557731654349254</v>
      </c>
      <c r="I483" s="2427">
        <v>0.22083576502327529</v>
      </c>
      <c r="J483" s="2431">
        <v>3.5960986817228872E-3</v>
      </c>
    </row>
    <row r="484" spans="1:10" x14ac:dyDescent="0.2">
      <c r="A484" s="2439" t="s">
        <v>908</v>
      </c>
      <c r="B484" s="2427">
        <v>910</v>
      </c>
      <c r="C484" s="2428">
        <v>2403999.9999999995</v>
      </c>
      <c r="D484" s="2429">
        <v>2187.6399999999994</v>
      </c>
      <c r="E484" s="2430">
        <v>4.1067313297839743</v>
      </c>
      <c r="F484" s="2427">
        <v>3.3256615316381688</v>
      </c>
      <c r="G484" s="2429">
        <v>6.53601736570322E-2</v>
      </c>
      <c r="H484" s="2430">
        <v>2.4076575199314112</v>
      </c>
      <c r="I484" s="2427">
        <v>2.0787829302733125</v>
      </c>
      <c r="J484" s="2431">
        <v>3.3850986747350494E-2</v>
      </c>
    </row>
    <row r="485" spans="1:10" x14ac:dyDescent="0.2">
      <c r="A485" s="2440" t="s">
        <v>282</v>
      </c>
      <c r="B485" s="2441">
        <v>1204</v>
      </c>
      <c r="C485" s="2440"/>
      <c r="D485" s="2442">
        <v>3012.4639999999995</v>
      </c>
      <c r="E485" s="2443">
        <v>5.4335214517141806</v>
      </c>
      <c r="F485" s="2441">
        <v>4.4001060264751164</v>
      </c>
      <c r="G485" s="2442">
        <v>8.6476537453919505E-2</v>
      </c>
      <c r="H485" s="2443">
        <v>3.3154365449171981</v>
      </c>
      <c r="I485" s="2441">
        <v>2.8625636490751969</v>
      </c>
      <c r="J485" s="2444">
        <v>4.6614104213156857E-2</v>
      </c>
    </row>
    <row r="486" spans="1:10" x14ac:dyDescent="0.2">
      <c r="A486" s="2426" t="s">
        <v>955</v>
      </c>
      <c r="B486" s="2427">
        <v>201.95</v>
      </c>
      <c r="C486" s="2428">
        <v>12137000</v>
      </c>
      <c r="D486" s="2429">
        <v>2451.0671499999999</v>
      </c>
      <c r="E486" s="2430">
        <v>0.91137845280205876</v>
      </c>
      <c r="F486" s="2427">
        <v>0.73804103990585512</v>
      </c>
      <c r="G486" s="2429">
        <v>1.4504930846195221E-2</v>
      </c>
      <c r="H486" s="2430">
        <v>2.6975783289546515</v>
      </c>
      <c r="I486" s="2427">
        <v>2.3291019328471125</v>
      </c>
      <c r="J486" s="2431">
        <v>3.7927191682139733E-2</v>
      </c>
    </row>
    <row r="487" spans="1:10" x14ac:dyDescent="0.2">
      <c r="A487" s="2426" t="s">
        <v>283</v>
      </c>
      <c r="B487" s="2427">
        <v>1031.918655106402</v>
      </c>
      <c r="C487" s="2428">
        <v>13024549.999999996</v>
      </c>
      <c r="D487" s="2429">
        <v>13440.276119366083</v>
      </c>
      <c r="E487" s="2430">
        <v>4.6569370007846196</v>
      </c>
      <c r="F487" s="2427">
        <v>3.7712221704034681</v>
      </c>
      <c r="G487" s="2429">
        <v>7.4116903843610485E-2</v>
      </c>
      <c r="H487" s="2430">
        <v>14.792005023105412</v>
      </c>
      <c r="I487" s="2427">
        <v>12.771487344854846</v>
      </c>
      <c r="J487" s="2431">
        <v>0.2079714252790188</v>
      </c>
    </row>
    <row r="488" spans="1:10" x14ac:dyDescent="0.2">
      <c r="A488" s="2426" t="s">
        <v>69</v>
      </c>
      <c r="B488" s="2427">
        <v>815.07334489359778</v>
      </c>
      <c r="C488" s="2428">
        <v>14978232.499999994</v>
      </c>
      <c r="D488" s="2429">
        <v>12208.358064368989</v>
      </c>
      <c r="E488" s="2430">
        <v>3.678337628072919</v>
      </c>
      <c r="F488" s="2427">
        <v>2.9787451303036132</v>
      </c>
      <c r="G488" s="2429">
        <v>5.8542126775234779E-2</v>
      </c>
      <c r="H488" s="2430">
        <v>13.436189272317792</v>
      </c>
      <c r="I488" s="2427">
        <v>11.600869590460404</v>
      </c>
      <c r="J488" s="2431">
        <v>0.18890903761307359</v>
      </c>
    </row>
    <row r="489" spans="1:10" x14ac:dyDescent="0.2">
      <c r="A489" s="2426" t="s">
        <v>199</v>
      </c>
      <c r="B489" s="2427">
        <v>1290</v>
      </c>
      <c r="C489" s="2428">
        <v>3000000</v>
      </c>
      <c r="D489" s="2429">
        <v>3870</v>
      </c>
      <c r="E489" s="2430">
        <v>5.821630126836622</v>
      </c>
      <c r="F489" s="2427">
        <v>4.7143993140804819</v>
      </c>
      <c r="G489" s="2429">
        <v>9.2653432986342335E-2</v>
      </c>
      <c r="H489" s="2430">
        <v>4.2592175139120529</v>
      </c>
      <c r="I489" s="2427">
        <v>3.6774286172120281</v>
      </c>
      <c r="J489" s="2431">
        <v>5.9883398873784736E-2</v>
      </c>
    </row>
    <row r="490" spans="1:10" x14ac:dyDescent="0.2">
      <c r="A490" s="2426" t="s">
        <v>86</v>
      </c>
      <c r="B490" s="2427">
        <v>2150</v>
      </c>
      <c r="C490" s="2428">
        <v>170000</v>
      </c>
      <c r="D490" s="2429">
        <v>365.5</v>
      </c>
      <c r="E490" s="2430">
        <v>9.702716878061036</v>
      </c>
      <c r="F490" s="2427">
        <v>7.8573321901341346</v>
      </c>
      <c r="G490" s="2429">
        <v>0.15442238831057056</v>
      </c>
      <c r="H490" s="2430">
        <v>0.40225943186947172</v>
      </c>
      <c r="I490" s="2427">
        <v>0.34731270273669151</v>
      </c>
      <c r="J490" s="2431">
        <v>5.6556543380796697E-3</v>
      </c>
    </row>
    <row r="491" spans="1:10" x14ac:dyDescent="0.2">
      <c r="A491" s="2439" t="s">
        <v>213</v>
      </c>
      <c r="B491" s="2427">
        <v>1417.5</v>
      </c>
      <c r="C491" s="2428">
        <v>1850000.0000000005</v>
      </c>
      <c r="D491" s="2429">
        <v>2622.3750000000005</v>
      </c>
      <c r="E491" s="2430">
        <v>6.3970238021634973</v>
      </c>
      <c r="F491" s="2427">
        <v>5.1803573858209937</v>
      </c>
      <c r="G491" s="2429">
        <v>0.10181103973499245</v>
      </c>
      <c r="H491" s="2430">
        <v>2.8861151235258715</v>
      </c>
      <c r="I491" s="2427">
        <v>2.4918854961398953</v>
      </c>
      <c r="J491" s="2431">
        <v>4.0577965922904725E-2</v>
      </c>
    </row>
    <row r="492" spans="1:10" x14ac:dyDescent="0.2">
      <c r="A492" s="2433" t="s">
        <v>1834</v>
      </c>
      <c r="B492" s="2434">
        <v>6906.442</v>
      </c>
      <c r="C492" s="2433"/>
      <c r="D492" s="2435">
        <v>34957.576333735073</v>
      </c>
      <c r="E492" s="2436">
        <v>31.168023888720757</v>
      </c>
      <c r="F492" s="2434">
        <v>25.240097230648551</v>
      </c>
      <c r="G492" s="2435">
        <v>0.49605082249694588</v>
      </c>
      <c r="H492" s="2436">
        <v>38.473364693685255</v>
      </c>
      <c r="I492" s="2434">
        <v>33.218085684250973</v>
      </c>
      <c r="J492" s="2437">
        <v>0.54092467370900121</v>
      </c>
    </row>
    <row r="493" spans="1:10" x14ac:dyDescent="0.2">
      <c r="A493" s="2426" t="s">
        <v>961</v>
      </c>
      <c r="B493" s="2427">
        <v>376</v>
      </c>
      <c r="C493" s="2428">
        <v>3668000</v>
      </c>
      <c r="D493" s="2429">
        <v>1379.1679999999999</v>
      </c>
      <c r="E493" s="2430">
        <v>1.6968472307678835</v>
      </c>
      <c r="F493" s="2427">
        <v>1.3741194899955511</v>
      </c>
      <c r="G493" s="2429">
        <v>2.7005961862685831E-2</v>
      </c>
      <c r="H493" s="2430">
        <v>1.5178750646581547</v>
      </c>
      <c r="I493" s="2427">
        <v>1.31054053517909</v>
      </c>
      <c r="J493" s="2431">
        <v>2.1340895983968978E-2</v>
      </c>
    </row>
    <row r="494" spans="1:10" x14ac:dyDescent="0.2">
      <c r="A494" s="2426" t="s">
        <v>962</v>
      </c>
      <c r="B494" s="2427">
        <v>0</v>
      </c>
      <c r="C494" s="2428">
        <v>1999999.9999999998</v>
      </c>
      <c r="D494" s="2429">
        <v>0</v>
      </c>
      <c r="E494" s="2430">
        <v>0</v>
      </c>
      <c r="F494" s="2427">
        <v>0</v>
      </c>
      <c r="G494" s="2429">
        <v>0</v>
      </c>
      <c r="H494" s="2430">
        <v>0</v>
      </c>
      <c r="I494" s="2427">
        <v>0</v>
      </c>
      <c r="J494" s="2431">
        <v>0</v>
      </c>
    </row>
    <row r="495" spans="1:10" x14ac:dyDescent="0.2">
      <c r="A495" s="2426" t="s">
        <v>963</v>
      </c>
      <c r="B495" s="2427">
        <v>144</v>
      </c>
      <c r="C495" s="2428">
        <v>1347999.9999999998</v>
      </c>
      <c r="D495" s="2429">
        <v>194.11199999999997</v>
      </c>
      <c r="E495" s="2430">
        <v>0.64985638625152997</v>
      </c>
      <c r="F495" s="2427">
        <v>0.52625852808340257</v>
      </c>
      <c r="G495" s="2429">
        <v>1.0342708798475424E-2</v>
      </c>
      <c r="H495" s="2430">
        <v>0.2136344263722213</v>
      </c>
      <c r="I495" s="2427">
        <v>0.18445297771169536</v>
      </c>
      <c r="J495" s="2431">
        <v>3.003639876534393E-3</v>
      </c>
    </row>
    <row r="496" spans="1:10" x14ac:dyDescent="0.2">
      <c r="A496" s="2426" t="s">
        <v>965</v>
      </c>
      <c r="B496" s="2427">
        <v>426</v>
      </c>
      <c r="C496" s="2428">
        <v>1599999.9999999995</v>
      </c>
      <c r="D496" s="2429">
        <v>681.5999999999998</v>
      </c>
      <c r="E496" s="2430">
        <v>1.9224918093274428</v>
      </c>
      <c r="F496" s="2427">
        <v>1.556848145580066</v>
      </c>
      <c r="G496" s="2429">
        <v>3.0597180195489793E-2</v>
      </c>
      <c r="H496" s="2430">
        <v>0.75015055748900639</v>
      </c>
      <c r="I496" s="2427">
        <v>0.64768355180664539</v>
      </c>
      <c r="J496" s="2431">
        <v>1.0546905600096038E-2</v>
      </c>
    </row>
    <row r="497" spans="1:10" x14ac:dyDescent="0.2">
      <c r="A497" s="2426" t="s">
        <v>966</v>
      </c>
      <c r="B497" s="2427">
        <v>64</v>
      </c>
      <c r="C497" s="2428">
        <v>2244000</v>
      </c>
      <c r="D497" s="2429">
        <v>143.61600000000001</v>
      </c>
      <c r="E497" s="2430">
        <v>0.28882506055623552</v>
      </c>
      <c r="F497" s="2427">
        <v>0.23389267914817893</v>
      </c>
      <c r="G497" s="2429">
        <v>4.5967594659890769E-3</v>
      </c>
      <c r="H497" s="2430">
        <v>0.15805989211317661</v>
      </c>
      <c r="I497" s="2427">
        <v>0.1364696610567242</v>
      </c>
      <c r="J497" s="2431">
        <v>2.2222775743300956E-3</v>
      </c>
    </row>
    <row r="498" spans="1:10" x14ac:dyDescent="0.2">
      <c r="A498" s="2426" t="s">
        <v>1499</v>
      </c>
      <c r="B498" s="2427">
        <v>0</v>
      </c>
      <c r="C498" s="2428">
        <v>4849999.9999999991</v>
      </c>
      <c r="D498" s="2429">
        <v>0</v>
      </c>
      <c r="E498" s="2430">
        <v>0</v>
      </c>
      <c r="F498" s="2427">
        <v>0</v>
      </c>
      <c r="G498" s="2429">
        <v>0</v>
      </c>
      <c r="H498" s="2430">
        <v>0</v>
      </c>
      <c r="I498" s="2427">
        <v>0</v>
      </c>
      <c r="J498" s="2431">
        <v>0</v>
      </c>
    </row>
    <row r="499" spans="1:10" x14ac:dyDescent="0.2">
      <c r="A499" s="2426" t="s">
        <v>1575</v>
      </c>
      <c r="B499" s="2427">
        <v>48</v>
      </c>
      <c r="C499" s="2428">
        <v>2250000.0000000005</v>
      </c>
      <c r="D499" s="2429">
        <v>108.00000000000003</v>
      </c>
      <c r="E499" s="2430">
        <v>0.21661879541717663</v>
      </c>
      <c r="F499" s="2427">
        <v>0.17541950936113418</v>
      </c>
      <c r="G499" s="2429">
        <v>3.4475695994918083E-3</v>
      </c>
      <c r="H499" s="2430">
        <v>0.11886188410917362</v>
      </c>
      <c r="I499" s="2427">
        <v>0.10262591489894034</v>
      </c>
      <c r="J499" s="2431">
        <v>1.6711646197335281E-3</v>
      </c>
    </row>
    <row r="500" spans="1:10" x14ac:dyDescent="0.2">
      <c r="A500" s="2426" t="s">
        <v>964</v>
      </c>
      <c r="B500" s="2427">
        <v>35</v>
      </c>
      <c r="C500" s="2428">
        <v>1556000</v>
      </c>
      <c r="D500" s="2429">
        <v>54.46</v>
      </c>
      <c r="E500" s="2430">
        <v>0.1579512049916913</v>
      </c>
      <c r="F500" s="2427">
        <v>0.12791005890916035</v>
      </c>
      <c r="G500" s="2429">
        <v>2.5138528329627769E-3</v>
      </c>
      <c r="H500" s="2430">
        <v>5.9937205635051796E-2</v>
      </c>
      <c r="I500" s="2427">
        <v>5.1750067827743426E-2</v>
      </c>
      <c r="J500" s="2431">
        <v>8.4270023324711037E-4</v>
      </c>
    </row>
    <row r="501" spans="1:10" x14ac:dyDescent="0.2">
      <c r="A501" s="2426" t="s">
        <v>969</v>
      </c>
      <c r="B501" s="2427">
        <v>1631</v>
      </c>
      <c r="C501" s="2428">
        <v>4800000</v>
      </c>
      <c r="D501" s="2429">
        <v>7828.8</v>
      </c>
      <c r="E501" s="2430">
        <v>7.360526152612815</v>
      </c>
      <c r="F501" s="2427">
        <v>5.9606087451668719</v>
      </c>
      <c r="G501" s="2429">
        <v>0.11714554201606539</v>
      </c>
      <c r="H501" s="2430">
        <v>8.6161659103138728</v>
      </c>
      <c r="I501" s="2427">
        <v>7.4392385422298508</v>
      </c>
      <c r="J501" s="2431">
        <v>0.12114086643490594</v>
      </c>
    </row>
    <row r="502" spans="1:10" x14ac:dyDescent="0.2">
      <c r="A502" s="2426" t="s">
        <v>968</v>
      </c>
      <c r="B502" s="2427">
        <v>60</v>
      </c>
      <c r="C502" s="2428">
        <v>3050000.0000000009</v>
      </c>
      <c r="D502" s="2429">
        <v>183.00000000000006</v>
      </c>
      <c r="E502" s="2430">
        <v>0.27077349427147079</v>
      </c>
      <c r="F502" s="2427">
        <v>0.21927438670141775</v>
      </c>
      <c r="G502" s="2429">
        <v>4.3094619993647599E-3</v>
      </c>
      <c r="H502" s="2430">
        <v>0.20140485918498865</v>
      </c>
      <c r="I502" s="2427">
        <v>0.17389391135653781</v>
      </c>
      <c r="J502" s="2431">
        <v>2.8316956056595897E-3</v>
      </c>
    </row>
    <row r="503" spans="1:10" x14ac:dyDescent="0.2">
      <c r="A503" s="2426" t="s">
        <v>1013</v>
      </c>
      <c r="B503" s="2427">
        <v>0</v>
      </c>
      <c r="C503" s="2428">
        <v>1799999.9999999998</v>
      </c>
      <c r="D503" s="2429">
        <v>0</v>
      </c>
      <c r="E503" s="2430">
        <v>0</v>
      </c>
      <c r="F503" s="2427">
        <v>0</v>
      </c>
      <c r="G503" s="2429">
        <v>0</v>
      </c>
      <c r="H503" s="2430">
        <v>0</v>
      </c>
      <c r="I503" s="2427">
        <v>0</v>
      </c>
      <c r="J503" s="2431">
        <v>0</v>
      </c>
    </row>
    <row r="504" spans="1:10" x14ac:dyDescent="0.2">
      <c r="A504" s="2426" t="s">
        <v>1014</v>
      </c>
      <c r="B504" s="2427">
        <v>0</v>
      </c>
      <c r="C504" s="2428">
        <v>2195000.0000000005</v>
      </c>
      <c r="D504" s="2429">
        <v>0</v>
      </c>
      <c r="E504" s="2430">
        <v>0</v>
      </c>
      <c r="F504" s="2427">
        <v>0</v>
      </c>
      <c r="G504" s="2429">
        <v>0</v>
      </c>
      <c r="H504" s="2430">
        <v>0</v>
      </c>
      <c r="I504" s="2427">
        <v>0</v>
      </c>
      <c r="J504" s="2431">
        <v>0</v>
      </c>
    </row>
    <row r="505" spans="1:10" x14ac:dyDescent="0.2">
      <c r="A505" s="2426" t="s">
        <v>970</v>
      </c>
      <c r="B505" s="2427">
        <v>2097.6000000000004</v>
      </c>
      <c r="C505" s="2428">
        <v>3100000.0000000005</v>
      </c>
      <c r="D505" s="2429">
        <v>6502.5600000000022</v>
      </c>
      <c r="E505" s="2430">
        <v>9.4662413597306205</v>
      </c>
      <c r="F505" s="2427">
        <v>7.6658325590815659</v>
      </c>
      <c r="G505" s="2429">
        <v>0.15065879149779202</v>
      </c>
      <c r="H505" s="2430">
        <v>7.1565419734532227</v>
      </c>
      <c r="I505" s="2427">
        <v>6.1789923072708666</v>
      </c>
      <c r="J505" s="2431">
        <v>0.10061896490457826</v>
      </c>
    </row>
    <row r="506" spans="1:10" x14ac:dyDescent="0.2">
      <c r="A506" s="2426" t="s">
        <v>971</v>
      </c>
      <c r="B506" s="2427">
        <v>50</v>
      </c>
      <c r="C506" s="2428">
        <v>3010000</v>
      </c>
      <c r="D506" s="2429">
        <v>150.5</v>
      </c>
      <c r="E506" s="2430">
        <v>0.22564457855955899</v>
      </c>
      <c r="F506" s="2427">
        <v>0.18272865558451479</v>
      </c>
      <c r="G506" s="2429">
        <v>3.5912183328039664E-3</v>
      </c>
      <c r="H506" s="2430">
        <v>0.16563623665213539</v>
      </c>
      <c r="I506" s="2427">
        <v>0.14301111289157886</v>
      </c>
      <c r="J506" s="2431">
        <v>2.3287988450916286E-3</v>
      </c>
    </row>
    <row r="507" spans="1:10" x14ac:dyDescent="0.2">
      <c r="A507" s="2426" t="s">
        <v>972</v>
      </c>
      <c r="B507" s="2427">
        <v>1104</v>
      </c>
      <c r="C507" s="2428">
        <v>2744000.0000000005</v>
      </c>
      <c r="D507" s="2429">
        <v>3029.3760000000007</v>
      </c>
      <c r="E507" s="2430">
        <v>4.9822322945950628</v>
      </c>
      <c r="F507" s="2427">
        <v>4.0346487153060862</v>
      </c>
      <c r="G507" s="2429">
        <v>7.9294100788311589E-2</v>
      </c>
      <c r="H507" s="2430">
        <v>3.3340494355102952</v>
      </c>
      <c r="I507" s="2427">
        <v>2.8786341071564099</v>
      </c>
      <c r="J507" s="2431">
        <v>4.687579621360996E-2</v>
      </c>
    </row>
    <row r="508" spans="1:10" x14ac:dyDescent="0.2">
      <c r="A508" s="2426" t="s">
        <v>973</v>
      </c>
      <c r="B508" s="2427">
        <v>42</v>
      </c>
      <c r="C508" s="2428">
        <v>2549999.9999999991</v>
      </c>
      <c r="D508" s="2429">
        <v>107.09999999999995</v>
      </c>
      <c r="E508" s="2430">
        <v>0.18954144599002956</v>
      </c>
      <c r="F508" s="2427">
        <v>0.15349207069099241</v>
      </c>
      <c r="G508" s="2429">
        <v>3.0166233995553319E-3</v>
      </c>
      <c r="H508" s="2430">
        <v>0.11787136840826373</v>
      </c>
      <c r="I508" s="2427">
        <v>0.10177069894144911</v>
      </c>
      <c r="J508" s="2431">
        <v>1.657238247902414E-3</v>
      </c>
    </row>
    <row r="509" spans="1:10" x14ac:dyDescent="0.2">
      <c r="A509" s="2426" t="s">
        <v>974</v>
      </c>
      <c r="B509" s="2427">
        <v>700</v>
      </c>
      <c r="C509" s="2428">
        <v>1583999.9999999995</v>
      </c>
      <c r="D509" s="2429">
        <v>1108.7999999999997</v>
      </c>
      <c r="E509" s="2430">
        <v>3.1590240998338257</v>
      </c>
      <c r="F509" s="2427">
        <v>2.5582011781832068</v>
      </c>
      <c r="G509" s="2429">
        <v>5.0277056659255533E-2</v>
      </c>
      <c r="H509" s="2430">
        <v>1.2203153435208485</v>
      </c>
      <c r="I509" s="2427">
        <v>1.0536260596291203</v>
      </c>
      <c r="J509" s="2431">
        <v>1.715729009593088E-2</v>
      </c>
    </row>
    <row r="510" spans="1:10" x14ac:dyDescent="0.2">
      <c r="A510" s="2426" t="s">
        <v>975</v>
      </c>
      <c r="B510" s="2427">
        <v>119</v>
      </c>
      <c r="C510" s="2428">
        <v>2532000.0000000009</v>
      </c>
      <c r="D510" s="2429">
        <v>301.30800000000011</v>
      </c>
      <c r="E510" s="2430">
        <v>0.53703409697175042</v>
      </c>
      <c r="F510" s="2427">
        <v>0.43489420029114523</v>
      </c>
      <c r="G510" s="2429">
        <v>8.5470996320734412E-3</v>
      </c>
      <c r="H510" s="2430">
        <v>0.33161144978858226</v>
      </c>
      <c r="I510" s="2427">
        <v>0.28631489968861035</v>
      </c>
      <c r="J510" s="2431">
        <v>4.6623636040987954E-3</v>
      </c>
    </row>
    <row r="511" spans="1:10" x14ac:dyDescent="0.2">
      <c r="A511" s="2426" t="s">
        <v>976</v>
      </c>
      <c r="B511" s="2427">
        <v>245</v>
      </c>
      <c r="C511" s="2428">
        <v>7394999.9999999991</v>
      </c>
      <c r="D511" s="2429">
        <v>1811.7749999999999</v>
      </c>
      <c r="E511" s="2430">
        <v>1.105658434941839</v>
      </c>
      <c r="F511" s="2427">
        <v>0.8953704123641224</v>
      </c>
      <c r="G511" s="2429">
        <v>1.7596969830739436E-2</v>
      </c>
      <c r="H511" s="2430">
        <v>1.9939906489064625</v>
      </c>
      <c r="I511" s="2427">
        <v>1.721620990426181</v>
      </c>
      <c r="J511" s="2431">
        <v>2.8034947027015849E-2</v>
      </c>
    </row>
    <row r="512" spans="1:10" x14ac:dyDescent="0.2">
      <c r="A512" s="2426" t="s">
        <v>286</v>
      </c>
      <c r="B512" s="2427">
        <v>245</v>
      </c>
      <c r="C512" s="2428">
        <v>2445000.0000000005</v>
      </c>
      <c r="D512" s="2429">
        <v>599.02500000000009</v>
      </c>
      <c r="E512" s="2430">
        <v>1.105658434941839</v>
      </c>
      <c r="F512" s="2427">
        <v>0.8953704123641224</v>
      </c>
      <c r="G512" s="2429">
        <v>1.7596969830739436E-2</v>
      </c>
      <c r="H512" s="2430">
        <v>0.65927074193053437</v>
      </c>
      <c r="I512" s="2427">
        <v>0.56921748770683078</v>
      </c>
      <c r="J512" s="2431">
        <v>9.2691609845914503E-3</v>
      </c>
    </row>
    <row r="513" spans="1:10" x14ac:dyDescent="0.2">
      <c r="A513" s="2439" t="s">
        <v>978</v>
      </c>
      <c r="B513" s="2427">
        <v>49</v>
      </c>
      <c r="C513" s="2428">
        <v>1850000.0000000002</v>
      </c>
      <c r="D513" s="2429">
        <v>90.65000000000002</v>
      </c>
      <c r="E513" s="2430">
        <v>0.22113168698836783</v>
      </c>
      <c r="F513" s="2427">
        <v>0.17907408247282447</v>
      </c>
      <c r="G513" s="2429">
        <v>3.519393966147887E-3</v>
      </c>
      <c r="H513" s="2430">
        <v>9.9766942541635067E-2</v>
      </c>
      <c r="I513" s="2427">
        <v>8.6139251718416132E-2</v>
      </c>
      <c r="J513" s="2431">
        <v>1.4026951183226325E-3</v>
      </c>
    </row>
    <row r="514" spans="1:10" x14ac:dyDescent="0.2">
      <c r="A514" s="2426" t="s">
        <v>1163</v>
      </c>
      <c r="B514" s="2427">
        <v>0</v>
      </c>
      <c r="C514" s="2428">
        <v>0</v>
      </c>
      <c r="D514" s="2429">
        <v>0</v>
      </c>
      <c r="E514" s="2430">
        <v>0</v>
      </c>
      <c r="F514" s="2427">
        <v>0</v>
      </c>
      <c r="G514" s="2429">
        <v>0</v>
      </c>
      <c r="H514" s="2430">
        <v>0</v>
      </c>
      <c r="I514" s="2427">
        <v>0</v>
      </c>
      <c r="J514" s="2431">
        <v>0</v>
      </c>
    </row>
    <row r="515" spans="1:10" x14ac:dyDescent="0.2">
      <c r="A515" s="2433" t="s">
        <v>287</v>
      </c>
      <c r="B515" s="2434">
        <v>7435.6</v>
      </c>
      <c r="C515" s="2433"/>
      <c r="D515" s="2435">
        <v>24273.850000000006</v>
      </c>
      <c r="E515" s="2436">
        <v>33.556056566749135</v>
      </c>
      <c r="F515" s="2434">
        <v>27.173943829284365</v>
      </c>
      <c r="G515" s="2435">
        <v>0.53405726070794357</v>
      </c>
      <c r="H515" s="2436">
        <v>26.715143940587627</v>
      </c>
      <c r="I515" s="2434">
        <v>23.065982077496695</v>
      </c>
      <c r="J515" s="2437">
        <v>0.37560740096961759</v>
      </c>
    </row>
    <row r="516" spans="1:10" x14ac:dyDescent="0.2">
      <c r="A516" s="2440" t="s">
        <v>1835</v>
      </c>
      <c r="B516" s="2441">
        <v>14342.042000000001</v>
      </c>
      <c r="C516" s="2440"/>
      <c r="D516" s="2442">
        <v>59231.426333735079</v>
      </c>
      <c r="E516" s="2443">
        <v>64.724080455469903</v>
      </c>
      <c r="F516" s="2441">
        <v>52.414041059932913</v>
      </c>
      <c r="G516" s="2442">
        <v>1.0301080832048894</v>
      </c>
      <c r="H516" s="2443">
        <v>65.188508634272878</v>
      </c>
      <c r="I516" s="2441">
        <v>56.284067761747671</v>
      </c>
      <c r="J516" s="2444">
        <v>0.91653207467861875</v>
      </c>
    </row>
    <row r="517" spans="1:10" x14ac:dyDescent="0.2">
      <c r="A517" s="2445" t="s">
        <v>194</v>
      </c>
      <c r="B517" s="2446">
        <v>22158.742000000002</v>
      </c>
      <c r="C517" s="2447"/>
      <c r="D517" s="2448">
        <v>90861.760108735078</v>
      </c>
      <c r="E517" s="2449">
        <v>100</v>
      </c>
      <c r="F517" s="2446">
        <v>80.980742702082452</v>
      </c>
      <c r="G517" s="2448">
        <v>1.5915376100454646</v>
      </c>
      <c r="H517" s="2449">
        <v>100</v>
      </c>
      <c r="I517" s="2446">
        <v>86.340474634138658</v>
      </c>
      <c r="J517" s="2450">
        <v>1.4059718405595671</v>
      </c>
    </row>
    <row r="518" spans="1:10" x14ac:dyDescent="0.2">
      <c r="A518" s="2451" t="s">
        <v>1852</v>
      </c>
      <c r="B518" s="2427"/>
      <c r="C518" s="2452"/>
      <c r="D518" s="2429"/>
      <c r="E518" s="2430"/>
      <c r="F518" s="2427">
        <v>0</v>
      </c>
      <c r="G518" s="2429"/>
      <c r="H518" s="2430"/>
      <c r="I518" s="2427">
        <v>0</v>
      </c>
      <c r="J518" s="2431">
        <v>0</v>
      </c>
    </row>
    <row r="519" spans="1:10" x14ac:dyDescent="0.2">
      <c r="A519" s="2453" t="s">
        <v>1836</v>
      </c>
      <c r="B519" s="2427">
        <v>0</v>
      </c>
      <c r="C519" s="2428">
        <v>8033612.4975057133</v>
      </c>
      <c r="D519" s="2429">
        <v>0</v>
      </c>
      <c r="E519" s="2430">
        <v>0</v>
      </c>
      <c r="F519" s="2427">
        <v>0</v>
      </c>
      <c r="G519" s="2429">
        <v>0</v>
      </c>
      <c r="H519" s="2430">
        <v>0</v>
      </c>
      <c r="I519" s="2427">
        <v>0</v>
      </c>
      <c r="J519" s="2431">
        <v>0</v>
      </c>
    </row>
    <row r="520" spans="1:10" x14ac:dyDescent="0.2">
      <c r="A520" s="2453" t="s">
        <v>1837</v>
      </c>
      <c r="B520" s="2427">
        <v>4927.5</v>
      </c>
      <c r="C520" s="2428">
        <v>2214764.1578067578</v>
      </c>
      <c r="D520" s="2429">
        <v>10913.2503875928</v>
      </c>
      <c r="E520" s="2430">
        <v>99.732124876157087</v>
      </c>
      <c r="F520" s="2427">
        <v>18.007909007853932</v>
      </c>
      <c r="G520" s="2429">
        <v>0.35391456669783089</v>
      </c>
      <c r="H520" s="2430">
        <v>97.808114711459126</v>
      </c>
      <c r="I520" s="2427">
        <v>10.370206532851167</v>
      </c>
      <c r="J520" s="2431">
        <v>0.16886886975961382</v>
      </c>
    </row>
    <row r="521" spans="1:10" x14ac:dyDescent="0.2">
      <c r="A521" s="2454" t="s">
        <v>309</v>
      </c>
      <c r="B521" s="2434">
        <v>4927.5</v>
      </c>
      <c r="C521" s="2433"/>
      <c r="D521" s="2435">
        <v>10913.2503875928</v>
      </c>
      <c r="E521" s="2436">
        <v>99.732124876157087</v>
      </c>
      <c r="F521" s="2434">
        <v>18.007909007853932</v>
      </c>
      <c r="G521" s="2435">
        <v>0.35391456669783089</v>
      </c>
      <c r="H521" s="2436">
        <v>97.808114711459126</v>
      </c>
      <c r="I521" s="2434">
        <v>10.370206532851167</v>
      </c>
      <c r="J521" s="2437">
        <v>0.16886886975961382</v>
      </c>
    </row>
    <row r="522" spans="1:10" x14ac:dyDescent="0.2">
      <c r="A522" s="2453" t="s">
        <v>1838</v>
      </c>
      <c r="B522" s="2427">
        <v>0</v>
      </c>
      <c r="C522" s="2428">
        <v>10407427.50198495</v>
      </c>
      <c r="D522" s="2429">
        <v>0</v>
      </c>
      <c r="E522" s="2430">
        <v>0</v>
      </c>
      <c r="F522" s="2427">
        <v>0</v>
      </c>
      <c r="G522" s="2429">
        <v>0</v>
      </c>
      <c r="H522" s="2430">
        <v>0</v>
      </c>
      <c r="I522" s="2427">
        <v>0</v>
      </c>
      <c r="J522" s="2431">
        <v>0</v>
      </c>
    </row>
    <row r="523" spans="1:10" x14ac:dyDescent="0.2">
      <c r="A523" s="2454" t="s">
        <v>315</v>
      </c>
      <c r="B523" s="2434">
        <v>0</v>
      </c>
      <c r="C523" s="2455"/>
      <c r="D523" s="2435">
        <v>0</v>
      </c>
      <c r="E523" s="2436">
        <v>0</v>
      </c>
      <c r="F523" s="2434">
        <v>0</v>
      </c>
      <c r="G523" s="2435">
        <v>0</v>
      </c>
      <c r="H523" s="2436">
        <v>0</v>
      </c>
      <c r="I523" s="2434">
        <v>0</v>
      </c>
      <c r="J523" s="2437">
        <v>0</v>
      </c>
    </row>
    <row r="524" spans="1:10" x14ac:dyDescent="0.2">
      <c r="A524" s="2453" t="s">
        <v>1541</v>
      </c>
      <c r="B524" s="2427">
        <v>1.4850000000000001</v>
      </c>
      <c r="C524" s="2428">
        <v>10553660</v>
      </c>
      <c r="D524" s="2429">
        <v>15.672185100000002</v>
      </c>
      <c r="E524" s="2430">
        <v>3.005625681199255E-2</v>
      </c>
      <c r="F524" s="2427">
        <v>5.4270410708600891E-3</v>
      </c>
      <c r="G524" s="2429">
        <v>1.0665918448427783E-4</v>
      </c>
      <c r="H524" s="2430">
        <v>0.14045924207720248</v>
      </c>
      <c r="I524" s="2427">
        <v>1.4892336429194819E-2</v>
      </c>
      <c r="J524" s="2431">
        <v>2.4250741900958296E-4</v>
      </c>
    </row>
    <row r="525" spans="1:10" x14ac:dyDescent="0.2">
      <c r="A525" s="2453" t="s">
        <v>206</v>
      </c>
      <c r="B525" s="2427">
        <v>7.25</v>
      </c>
      <c r="C525" s="2428">
        <v>6960000</v>
      </c>
      <c r="D525" s="2429">
        <v>50.46</v>
      </c>
      <c r="E525" s="2430">
        <v>0.14673930093397036</v>
      </c>
      <c r="F525" s="2427">
        <v>2.6495655059754646E-2</v>
      </c>
      <c r="G525" s="2429">
        <v>5.2072665825657512E-4</v>
      </c>
      <c r="H525" s="2430">
        <v>0.45223900241043197</v>
      </c>
      <c r="I525" s="2427">
        <v>4.7949108016671557E-2</v>
      </c>
      <c r="J525" s="2431">
        <v>7.8080524733105383E-4</v>
      </c>
    </row>
    <row r="526" spans="1:10" x14ac:dyDescent="0.2">
      <c r="A526" s="2454" t="s">
        <v>310</v>
      </c>
      <c r="B526" s="2434">
        <v>8.7349999999999994</v>
      </c>
      <c r="C526" s="2455"/>
      <c r="D526" s="2435">
        <v>66.132185100000001</v>
      </c>
      <c r="E526" s="2436">
        <v>0.17679555774596289</v>
      </c>
      <c r="F526" s="2434">
        <v>3.1922696130614728E-2</v>
      </c>
      <c r="G526" s="2435">
        <v>6.2738584274085296E-4</v>
      </c>
      <c r="H526" s="2436">
        <v>0.59269824448763442</v>
      </c>
      <c r="I526" s="2434">
        <v>6.2841444445866382E-2</v>
      </c>
      <c r="J526" s="2437">
        <v>1.0233126663406367E-3</v>
      </c>
    </row>
    <row r="527" spans="1:10" x14ac:dyDescent="0.2">
      <c r="A527" s="2453" t="s">
        <v>1839</v>
      </c>
      <c r="B527" s="2427">
        <v>4.5</v>
      </c>
      <c r="C527" s="2428">
        <v>39652080.629353955</v>
      </c>
      <c r="D527" s="2429">
        <v>178.4343628320928</v>
      </c>
      <c r="E527" s="2430">
        <v>9.1079566096947118E-2</v>
      </c>
      <c r="F527" s="2427">
        <v>1.644557900260633E-2</v>
      </c>
      <c r="G527" s="2429">
        <v>3.2320964995235699E-4</v>
      </c>
      <c r="H527" s="2430">
        <v>1.5991870440532443</v>
      </c>
      <c r="I527" s="2427">
        <v>0.16955546050974993</v>
      </c>
      <c r="J527" s="2431">
        <v>2.7610480936082283E-3</v>
      </c>
    </row>
    <row r="528" spans="1:10" x14ac:dyDescent="0.2">
      <c r="A528" s="2454" t="s">
        <v>311</v>
      </c>
      <c r="B528" s="2434">
        <v>4.5</v>
      </c>
      <c r="C528" s="2433"/>
      <c r="D528" s="2435">
        <v>178.4343628320928</v>
      </c>
      <c r="E528" s="2436">
        <v>9.1079566096947118E-2</v>
      </c>
      <c r="F528" s="2434">
        <v>1.644557900260633E-2</v>
      </c>
      <c r="G528" s="2435">
        <v>3.2320964995235699E-4</v>
      </c>
      <c r="H528" s="2436">
        <v>1.5991870440532443</v>
      </c>
      <c r="I528" s="2434">
        <v>0.16955546050974993</v>
      </c>
      <c r="J528" s="2437">
        <v>2.7610480936082283E-3</v>
      </c>
    </row>
    <row r="529" spans="1:10" x14ac:dyDescent="0.2">
      <c r="A529" s="2456" t="s">
        <v>129</v>
      </c>
      <c r="B529" s="2441">
        <v>4940.7349999999997</v>
      </c>
      <c r="C529" s="2440"/>
      <c r="D529" s="2442">
        <v>11157.816935524892</v>
      </c>
      <c r="E529" s="2443">
        <v>100</v>
      </c>
      <c r="F529" s="2441">
        <v>18.05627728298715</v>
      </c>
      <c r="G529" s="2442">
        <v>0.35486516219052405</v>
      </c>
      <c r="H529" s="2443">
        <v>100</v>
      </c>
      <c r="I529" s="2441">
        <v>10.602603437806783</v>
      </c>
      <c r="J529" s="2444">
        <v>0.17265323051956269</v>
      </c>
    </row>
    <row r="530" spans="1:10" x14ac:dyDescent="0.2">
      <c r="A530" s="2451" t="s">
        <v>1853</v>
      </c>
      <c r="B530" s="2427"/>
      <c r="C530" s="2452"/>
      <c r="D530" s="2429"/>
      <c r="E530" s="2430"/>
      <c r="F530" s="2427">
        <v>0</v>
      </c>
      <c r="G530" s="2429"/>
      <c r="H530" s="2430"/>
      <c r="I530" s="2427">
        <v>0</v>
      </c>
      <c r="J530" s="2431">
        <v>0</v>
      </c>
    </row>
    <row r="531" spans="1:10" x14ac:dyDescent="0.2">
      <c r="A531" s="2426" t="s">
        <v>1543</v>
      </c>
      <c r="B531" s="2427">
        <v>150</v>
      </c>
      <c r="C531" s="2428">
        <v>13200000</v>
      </c>
      <c r="D531" s="2429">
        <v>1980</v>
      </c>
      <c r="E531" s="2430">
        <v>56.925996204933583</v>
      </c>
      <c r="F531" s="2427">
        <v>0.54818596675354436</v>
      </c>
      <c r="G531" s="2429">
        <v>1.0773654998411899E-2</v>
      </c>
      <c r="H531" s="2430">
        <v>61.548026111283804</v>
      </c>
      <c r="I531" s="2427">
        <v>1.8814751064805724</v>
      </c>
      <c r="J531" s="2431">
        <v>3.0638018028448007E-2</v>
      </c>
    </row>
    <row r="532" spans="1:10" x14ac:dyDescent="0.2">
      <c r="A532" s="2426" t="s">
        <v>208</v>
      </c>
      <c r="B532" s="2427">
        <v>101.5</v>
      </c>
      <c r="C532" s="2428">
        <v>10000000</v>
      </c>
      <c r="D532" s="2429">
        <v>1015</v>
      </c>
      <c r="E532" s="2430">
        <v>38.519924098671723</v>
      </c>
      <c r="F532" s="2427">
        <v>0.37093917083656502</v>
      </c>
      <c r="G532" s="2429">
        <v>7.2901732155920525E-3</v>
      </c>
      <c r="H532" s="2430">
        <v>31.551134597451043</v>
      </c>
      <c r="I532" s="2427">
        <v>0.96449355205948539</v>
      </c>
      <c r="J532" s="2431">
        <v>1.5705852676199356E-2</v>
      </c>
    </row>
    <row r="533" spans="1:10" x14ac:dyDescent="0.2">
      <c r="A533" s="2426" t="s">
        <v>209</v>
      </c>
      <c r="B533" s="2427">
        <v>0</v>
      </c>
      <c r="C533" s="2428">
        <v>10000000</v>
      </c>
      <c r="D533" s="2429">
        <v>0</v>
      </c>
      <c r="E533" s="2430">
        <v>0</v>
      </c>
      <c r="F533" s="2427">
        <v>0</v>
      </c>
      <c r="G533" s="2429">
        <v>0</v>
      </c>
      <c r="H533" s="2430">
        <v>0</v>
      </c>
      <c r="I533" s="2427">
        <v>0</v>
      </c>
      <c r="J533" s="2431">
        <v>0</v>
      </c>
    </row>
    <row r="534" spans="1:10" x14ac:dyDescent="0.2">
      <c r="A534" s="2426" t="s">
        <v>210</v>
      </c>
      <c r="B534" s="2427">
        <v>12</v>
      </c>
      <c r="C534" s="2428">
        <v>18500000</v>
      </c>
      <c r="D534" s="2429">
        <v>222</v>
      </c>
      <c r="E534" s="2430">
        <v>4.5540796963946866</v>
      </c>
      <c r="F534" s="2427">
        <v>4.3854877340283545E-2</v>
      </c>
      <c r="G534" s="2429">
        <v>8.6189239987295209E-4</v>
      </c>
      <c r="H534" s="2430">
        <v>6.9008392912651537</v>
      </c>
      <c r="I534" s="2427">
        <v>0.21095326951448842</v>
      </c>
      <c r="J534" s="2431">
        <v>3.4351717183411404E-3</v>
      </c>
    </row>
    <row r="535" spans="1:10" x14ac:dyDescent="0.2">
      <c r="A535" s="2426" t="s">
        <v>1545</v>
      </c>
      <c r="B535" s="2427">
        <v>0</v>
      </c>
      <c r="C535" s="2428">
        <v>14200000</v>
      </c>
      <c r="D535" s="2429">
        <v>0</v>
      </c>
      <c r="E535" s="2430">
        <v>0</v>
      </c>
      <c r="F535" s="2427">
        <v>0</v>
      </c>
      <c r="G535" s="2429">
        <v>0</v>
      </c>
      <c r="H535" s="2430">
        <v>0</v>
      </c>
      <c r="I535" s="2427">
        <v>0</v>
      </c>
      <c r="J535" s="2431">
        <v>0</v>
      </c>
    </row>
    <row r="536" spans="1:10" x14ac:dyDescent="0.2">
      <c r="A536" s="2426" t="s">
        <v>1546</v>
      </c>
      <c r="B536" s="2427">
        <v>0</v>
      </c>
      <c r="C536" s="2428">
        <v>10000000</v>
      </c>
      <c r="D536" s="2429">
        <v>0</v>
      </c>
      <c r="E536" s="2430">
        <v>0</v>
      </c>
      <c r="F536" s="2427">
        <v>0</v>
      </c>
      <c r="G536" s="2429">
        <v>0</v>
      </c>
      <c r="H536" s="2430">
        <v>0</v>
      </c>
      <c r="I536" s="2427">
        <v>0</v>
      </c>
      <c r="J536" s="2431">
        <v>0</v>
      </c>
    </row>
    <row r="537" spans="1:10" x14ac:dyDescent="0.2">
      <c r="A537" s="2456" t="s">
        <v>121</v>
      </c>
      <c r="B537" s="2441">
        <v>263.5</v>
      </c>
      <c r="C537" s="2440"/>
      <c r="D537" s="2442">
        <v>3217</v>
      </c>
      <c r="E537" s="2443">
        <v>99.999999999999986</v>
      </c>
      <c r="F537" s="2441">
        <v>0.96298001493039298</v>
      </c>
      <c r="G537" s="2442">
        <v>1.8925720613876904E-2</v>
      </c>
      <c r="H537" s="2443">
        <v>100</v>
      </c>
      <c r="I537" s="2441">
        <v>3.0569219280545465</v>
      </c>
      <c r="J537" s="2444">
        <v>4.9779042422988508E-2</v>
      </c>
    </row>
    <row r="538" spans="1:10" ht="14.25" thickBot="1" x14ac:dyDescent="0.25">
      <c r="A538" s="2457" t="s">
        <v>1840</v>
      </c>
      <c r="B538" s="2446">
        <v>27362.977000000003</v>
      </c>
      <c r="C538" s="2458"/>
      <c r="D538" s="2448">
        <v>105236.57704425998</v>
      </c>
      <c r="E538" s="2459"/>
      <c r="F538" s="2460">
        <v>100</v>
      </c>
      <c r="G538" s="2461">
        <v>1.9653284928498655</v>
      </c>
      <c r="H538" s="2462"/>
      <c r="I538" s="2460">
        <v>99.999999999999986</v>
      </c>
      <c r="J538" s="2463">
        <v>1.6284041135021183</v>
      </c>
    </row>
    <row r="539" spans="1:10" ht="15" thickBot="1" x14ac:dyDescent="0.25">
      <c r="A539" s="2464" t="s">
        <v>1841</v>
      </c>
      <c r="B539" s="2465">
        <v>1392285.1624830281</v>
      </c>
      <c r="C539" s="2466"/>
      <c r="D539" s="2467">
        <v>6462559.0276810033</v>
      </c>
      <c r="E539" s="2468"/>
      <c r="F539" s="2469"/>
      <c r="G539" s="2469"/>
      <c r="H539" s="2469"/>
      <c r="I539" s="2469"/>
      <c r="J539" s="2469"/>
    </row>
    <row r="540" spans="1:10" ht="16.5" thickBot="1" x14ac:dyDescent="0.3">
      <c r="A540" s="2470" t="s">
        <v>1842</v>
      </c>
      <c r="B540" s="2471">
        <v>1.965328492849866</v>
      </c>
      <c r="C540" s="2472"/>
      <c r="D540" s="2473">
        <v>1.6284041135021183</v>
      </c>
      <c r="E540" s="2468"/>
      <c r="F540" s="2469"/>
      <c r="G540" s="2469"/>
      <c r="H540" s="2469"/>
      <c r="I540" s="2469"/>
      <c r="J540" s="2469"/>
    </row>
    <row r="541" spans="1:10" x14ac:dyDescent="0.2">
      <c r="A541" s="2474" t="s">
        <v>2023</v>
      </c>
      <c r="B541" s="2474"/>
      <c r="C541" s="2474"/>
      <c r="D541" s="2475"/>
      <c r="E541" s="2474"/>
      <c r="F541" s="2474"/>
      <c r="H541" s="2474"/>
      <c r="I541" s="2474"/>
      <c r="J541" s="2474"/>
    </row>
    <row r="542" spans="1:10" x14ac:dyDescent="0.2">
      <c r="A542" s="2474" t="s">
        <v>1843</v>
      </c>
      <c r="B542" s="2474"/>
      <c r="C542" s="2474"/>
      <c r="D542" s="2474"/>
      <c r="E542" s="2474"/>
      <c r="F542" s="2474"/>
      <c r="G542" s="2474"/>
      <c r="H542" s="2474"/>
      <c r="I542" s="2474"/>
      <c r="J542" s="2474"/>
    </row>
    <row r="543" spans="1:10" x14ac:dyDescent="0.2">
      <c r="A543" s="2474" t="s">
        <v>2024</v>
      </c>
      <c r="B543" s="2474"/>
      <c r="C543" s="2474"/>
      <c r="D543" s="2474"/>
      <c r="E543" s="2474"/>
      <c r="F543" s="2474"/>
      <c r="G543" s="2474"/>
      <c r="H543" s="2474"/>
      <c r="I543" s="2474"/>
      <c r="J543" s="2474"/>
    </row>
    <row r="547" spans="1:10" ht="13.5" thickBot="1" x14ac:dyDescent="0.25">
      <c r="A547" s="3321" t="s">
        <v>2021</v>
      </c>
      <c r="B547" s="3321"/>
      <c r="C547" s="3321"/>
      <c r="D547" s="3321"/>
      <c r="E547" s="3321"/>
      <c r="F547" s="3321"/>
      <c r="G547" s="3321"/>
      <c r="H547" s="3321"/>
      <c r="I547" s="3321"/>
      <c r="J547" s="3321"/>
    </row>
    <row r="548" spans="1:10" ht="13.5" customHeight="1" thickBot="1" x14ac:dyDescent="0.25">
      <c r="A548" s="3322" t="s">
        <v>359</v>
      </c>
      <c r="B548" s="3324" t="s">
        <v>1272</v>
      </c>
      <c r="C548" s="3324" t="s">
        <v>1832</v>
      </c>
      <c r="D548" s="3326" t="s">
        <v>1844</v>
      </c>
      <c r="E548" s="3328" t="s">
        <v>1849</v>
      </c>
      <c r="F548" s="3329"/>
      <c r="G548" s="3330"/>
      <c r="H548" s="3328" t="s">
        <v>1850</v>
      </c>
      <c r="I548" s="3329"/>
      <c r="J548" s="3331"/>
    </row>
    <row r="549" spans="1:10" ht="13.5" customHeight="1" thickBot="1" x14ac:dyDescent="0.25">
      <c r="A549" s="3323"/>
      <c r="B549" s="3325"/>
      <c r="C549" s="3325"/>
      <c r="D549" s="3327"/>
      <c r="E549" s="2415" t="s">
        <v>1848</v>
      </c>
      <c r="F549" s="2416" t="s">
        <v>1231</v>
      </c>
      <c r="G549" s="2417" t="s">
        <v>1833</v>
      </c>
      <c r="H549" s="2415" t="s">
        <v>1848</v>
      </c>
      <c r="I549" s="2416" t="s">
        <v>1231</v>
      </c>
      <c r="J549" s="2418" t="s">
        <v>1833</v>
      </c>
    </row>
    <row r="550" spans="1:10" x14ac:dyDescent="0.2">
      <c r="A550" s="2419" t="s">
        <v>1851</v>
      </c>
      <c r="B550" s="2420"/>
      <c r="C550" s="2420"/>
      <c r="D550" s="2421"/>
      <c r="E550" s="2422"/>
      <c r="F550" s="2423"/>
      <c r="G550" s="2424"/>
      <c r="H550" s="2422"/>
      <c r="I550" s="2423"/>
      <c r="J550" s="2425"/>
    </row>
    <row r="551" spans="1:10" x14ac:dyDescent="0.2">
      <c r="A551" s="2426" t="s">
        <v>410</v>
      </c>
      <c r="B551" s="2427">
        <v>0</v>
      </c>
      <c r="C551" s="2428">
        <v>5667200.0000000009</v>
      </c>
      <c r="D551" s="2429">
        <v>0</v>
      </c>
      <c r="E551" s="2430">
        <v>0</v>
      </c>
      <c r="F551" s="2427">
        <v>0</v>
      </c>
      <c r="G551" s="2429">
        <v>0</v>
      </c>
      <c r="H551" s="2430">
        <v>0</v>
      </c>
      <c r="I551" s="2427">
        <v>0</v>
      </c>
      <c r="J551" s="2431">
        <v>0</v>
      </c>
    </row>
    <row r="552" spans="1:10" x14ac:dyDescent="0.2">
      <c r="A552" s="2426" t="s">
        <v>411</v>
      </c>
      <c r="B552" s="2427">
        <v>1575</v>
      </c>
      <c r="C552" s="2428">
        <v>1753716.5000000002</v>
      </c>
      <c r="D552" s="2429">
        <v>2762.1034875000005</v>
      </c>
      <c r="E552" s="2430">
        <v>17.893213303007649</v>
      </c>
      <c r="F552" s="2427">
        <v>10.171699909019795</v>
      </c>
      <c r="G552" s="2429">
        <v>0.11312337748332493</v>
      </c>
      <c r="H552" s="2430">
        <v>8.6111844321337703</v>
      </c>
      <c r="I552" s="2427">
        <v>2.7253029372611448</v>
      </c>
      <c r="J552" s="2431">
        <v>4.2740089114375823E-2</v>
      </c>
    </row>
    <row r="553" spans="1:10" x14ac:dyDescent="0.2">
      <c r="A553" s="2426" t="s">
        <v>278</v>
      </c>
      <c r="B553" s="2427">
        <v>402.2</v>
      </c>
      <c r="C553" s="2428">
        <v>1637875</v>
      </c>
      <c r="D553" s="2429">
        <v>658.75332500000002</v>
      </c>
      <c r="E553" s="2430">
        <v>4.5693018352188419</v>
      </c>
      <c r="F553" s="2427">
        <v>2.5974969545446105</v>
      </c>
      <c r="G553" s="2429">
        <v>2.8887760269075108E-2</v>
      </c>
      <c r="H553" s="2430">
        <v>2.0537414338485593</v>
      </c>
      <c r="I553" s="2427">
        <v>0.64997650510842608</v>
      </c>
      <c r="J553" s="2431">
        <v>1.0193381943257611E-2</v>
      </c>
    </row>
    <row r="554" spans="1:10" x14ac:dyDescent="0.2">
      <c r="A554" s="2426" t="s">
        <v>200</v>
      </c>
      <c r="B554" s="2427">
        <v>58.899999999999991</v>
      </c>
      <c r="C554" s="2428">
        <v>7709114.5</v>
      </c>
      <c r="D554" s="2429">
        <v>454.06684404999993</v>
      </c>
      <c r="E554" s="2430">
        <v>0.66914937368073035</v>
      </c>
      <c r="F554" s="2427">
        <v>0.38038928548651796</v>
      </c>
      <c r="G554" s="2429">
        <v>4.2304551960430717E-3</v>
      </c>
      <c r="H554" s="2430">
        <v>1.4156071111479203</v>
      </c>
      <c r="I554" s="2427">
        <v>0.44801713961934336</v>
      </c>
      <c r="J554" s="2431">
        <v>7.0261152293557508E-3</v>
      </c>
    </row>
    <row r="555" spans="1:10" x14ac:dyDescent="0.2">
      <c r="A555" s="2426" t="s">
        <v>429</v>
      </c>
      <c r="B555" s="2427">
        <v>46</v>
      </c>
      <c r="C555" s="2428">
        <v>1255000</v>
      </c>
      <c r="D555" s="2429">
        <v>57.73</v>
      </c>
      <c r="E555" s="2430">
        <v>0.52259543615133452</v>
      </c>
      <c r="F555" s="2427">
        <v>0.29707821956502262</v>
      </c>
      <c r="G555" s="2429">
        <v>3.3039208661796494E-3</v>
      </c>
      <c r="H555" s="2430">
        <v>0.17998010556694699</v>
      </c>
      <c r="I555" s="2427">
        <v>5.6960841358803666E-2</v>
      </c>
      <c r="J555" s="2431">
        <v>8.9329938423348657E-4</v>
      </c>
    </row>
    <row r="556" spans="1:10" x14ac:dyDescent="0.2">
      <c r="A556" s="2432" t="s">
        <v>431</v>
      </c>
      <c r="B556" s="2427">
        <v>0</v>
      </c>
      <c r="C556" s="2428">
        <v>0</v>
      </c>
      <c r="D556" s="2429">
        <v>0</v>
      </c>
      <c r="E556" s="2430">
        <v>0</v>
      </c>
      <c r="F556" s="2427">
        <v>0</v>
      </c>
      <c r="G556" s="2429">
        <v>0</v>
      </c>
      <c r="H556" s="2430">
        <v>0</v>
      </c>
      <c r="I556" s="2427">
        <v>0</v>
      </c>
      <c r="J556" s="2431">
        <v>0</v>
      </c>
    </row>
    <row r="557" spans="1:10" x14ac:dyDescent="0.2">
      <c r="A557" s="2432" t="s">
        <v>430</v>
      </c>
      <c r="B557" s="2427">
        <v>0</v>
      </c>
      <c r="C557" s="2428">
        <v>0</v>
      </c>
      <c r="D557" s="2429">
        <v>0</v>
      </c>
      <c r="E557" s="2430">
        <v>0</v>
      </c>
      <c r="F557" s="2427">
        <v>0</v>
      </c>
      <c r="G557" s="2429">
        <v>0</v>
      </c>
      <c r="H557" s="2430">
        <v>0</v>
      </c>
      <c r="I557" s="2427">
        <v>0</v>
      </c>
      <c r="J557" s="2431">
        <v>0</v>
      </c>
    </row>
    <row r="558" spans="1:10" x14ac:dyDescent="0.2">
      <c r="A558" s="2433" t="s">
        <v>279</v>
      </c>
      <c r="B558" s="2434">
        <v>2082.1000000000004</v>
      </c>
      <c r="C558" s="2433"/>
      <c r="D558" s="2435">
        <v>3932.6536565500005</v>
      </c>
      <c r="E558" s="2436">
        <v>23.654259948058559</v>
      </c>
      <c r="F558" s="2434">
        <v>13.446664368615949</v>
      </c>
      <c r="G558" s="2435">
        <v>0.1495455138146228</v>
      </c>
      <c r="H558" s="2436">
        <v>12.260513082697196</v>
      </c>
      <c r="I558" s="2434">
        <v>3.8802574233477181</v>
      </c>
      <c r="J558" s="2437">
        <v>6.0852885671222677E-2</v>
      </c>
    </row>
    <row r="559" spans="1:10" x14ac:dyDescent="0.2">
      <c r="A559" s="2438" t="s">
        <v>412</v>
      </c>
      <c r="B559" s="2427">
        <v>0</v>
      </c>
      <c r="C559" s="2428">
        <v>4129499.9999999995</v>
      </c>
      <c r="D559" s="2429">
        <v>0</v>
      </c>
      <c r="E559" s="2430">
        <v>0</v>
      </c>
      <c r="F559" s="2427">
        <v>0</v>
      </c>
      <c r="G559" s="2429">
        <v>0</v>
      </c>
      <c r="H559" s="2430">
        <v>0</v>
      </c>
      <c r="I559" s="2427">
        <v>0</v>
      </c>
      <c r="J559" s="2431">
        <v>0</v>
      </c>
    </row>
    <row r="560" spans="1:10" x14ac:dyDescent="0.2">
      <c r="A560" s="2438" t="s">
        <v>413</v>
      </c>
      <c r="B560" s="2427">
        <v>28.5</v>
      </c>
      <c r="C560" s="2428">
        <v>1200000</v>
      </c>
      <c r="D560" s="2429">
        <v>34.200000000000003</v>
      </c>
      <c r="E560" s="2430">
        <v>0.32378195500680507</v>
      </c>
      <c r="F560" s="2427">
        <v>0.18405933168702485</v>
      </c>
      <c r="G560" s="2429">
        <v>2.0469944496982607E-3</v>
      </c>
      <c r="H560" s="2430">
        <v>0.10662254651636216</v>
      </c>
      <c r="I560" s="2427">
        <v>3.3744340455068175E-2</v>
      </c>
      <c r="J560" s="2431">
        <v>5.2920212958228381E-4</v>
      </c>
    </row>
    <row r="561" spans="1:10" x14ac:dyDescent="0.2">
      <c r="A561" s="2426" t="s">
        <v>90</v>
      </c>
      <c r="B561" s="2427">
        <v>0</v>
      </c>
      <c r="C561" s="2428">
        <v>1743000</v>
      </c>
      <c r="D561" s="2429">
        <v>0</v>
      </c>
      <c r="E561" s="2430">
        <v>0</v>
      </c>
      <c r="F561" s="2427">
        <v>0</v>
      </c>
      <c r="G561" s="2429">
        <v>0</v>
      </c>
      <c r="H561" s="2430">
        <v>0</v>
      </c>
      <c r="I561" s="2427">
        <v>0</v>
      </c>
      <c r="J561" s="2431">
        <v>0</v>
      </c>
    </row>
    <row r="562" spans="1:10" x14ac:dyDescent="0.2">
      <c r="A562" s="2426" t="s">
        <v>417</v>
      </c>
      <c r="B562" s="2427">
        <v>0</v>
      </c>
      <c r="C562" s="2428">
        <v>2563999.9999999995</v>
      </c>
      <c r="D562" s="2429">
        <v>0</v>
      </c>
      <c r="E562" s="2430">
        <v>0</v>
      </c>
      <c r="F562" s="2427">
        <v>0</v>
      </c>
      <c r="G562" s="2429">
        <v>0</v>
      </c>
      <c r="H562" s="2430">
        <v>0</v>
      </c>
      <c r="I562" s="2427">
        <v>0</v>
      </c>
      <c r="J562" s="2431">
        <v>0</v>
      </c>
    </row>
    <row r="563" spans="1:10" x14ac:dyDescent="0.2">
      <c r="A563" s="2426" t="s">
        <v>418</v>
      </c>
      <c r="B563" s="2427">
        <v>151</v>
      </c>
      <c r="C563" s="2428">
        <v>2222500</v>
      </c>
      <c r="D563" s="2429">
        <v>335.59750000000003</v>
      </c>
      <c r="E563" s="2430">
        <v>1.7154763230185111</v>
      </c>
      <c r="F563" s="2427">
        <v>0.97519154683300879</v>
      </c>
      <c r="G563" s="2429">
        <v>1.0845479365067979E-2</v>
      </c>
      <c r="H563" s="2430">
        <v>1.0462649138749955</v>
      </c>
      <c r="I563" s="2427">
        <v>0.33112620748157134</v>
      </c>
      <c r="J563" s="2431">
        <v>5.19295063399095E-3</v>
      </c>
    </row>
    <row r="564" spans="1:10" x14ac:dyDescent="0.2">
      <c r="A564" s="2426" t="s">
        <v>423</v>
      </c>
      <c r="B564" s="2427">
        <v>1950</v>
      </c>
      <c r="C564" s="2428">
        <v>2531500</v>
      </c>
      <c r="D564" s="2429">
        <v>4936.4250000000002</v>
      </c>
      <c r="E564" s="2430">
        <v>22.153502184676135</v>
      </c>
      <c r="F564" s="2427">
        <v>12.593533220691175</v>
      </c>
      <c r="G564" s="2429">
        <v>0.1400575149793547</v>
      </c>
      <c r="H564" s="2430">
        <v>15.389889011316757</v>
      </c>
      <c r="I564" s="2427">
        <v>4.8706551412546757</v>
      </c>
      <c r="J564" s="2431">
        <v>7.6384988962667405E-2</v>
      </c>
    </row>
    <row r="565" spans="1:10" x14ac:dyDescent="0.2">
      <c r="A565" s="2426" t="s">
        <v>424</v>
      </c>
      <c r="B565" s="2427">
        <v>0</v>
      </c>
      <c r="C565" s="2428">
        <v>1369000</v>
      </c>
      <c r="D565" s="2429">
        <v>0</v>
      </c>
      <c r="E565" s="2430">
        <v>0</v>
      </c>
      <c r="F565" s="2427">
        <v>0</v>
      </c>
      <c r="G565" s="2429">
        <v>0</v>
      </c>
      <c r="H565" s="2430">
        <v>0</v>
      </c>
      <c r="I565" s="2427">
        <v>0</v>
      </c>
      <c r="J565" s="2431">
        <v>0</v>
      </c>
    </row>
    <row r="566" spans="1:10" x14ac:dyDescent="0.2">
      <c r="A566" s="2426" t="s">
        <v>280</v>
      </c>
      <c r="B566" s="2427">
        <v>0</v>
      </c>
      <c r="C566" s="2428">
        <v>1574500</v>
      </c>
      <c r="D566" s="2429">
        <v>0</v>
      </c>
      <c r="E566" s="2430">
        <v>0</v>
      </c>
      <c r="F566" s="2427">
        <v>0</v>
      </c>
      <c r="G566" s="2429">
        <v>0</v>
      </c>
      <c r="H566" s="2430">
        <v>0</v>
      </c>
      <c r="I566" s="2427">
        <v>0</v>
      </c>
      <c r="J566" s="2431">
        <v>0</v>
      </c>
    </row>
    <row r="567" spans="1:10" x14ac:dyDescent="0.2">
      <c r="A567" s="2426" t="s">
        <v>427</v>
      </c>
      <c r="B567" s="2427">
        <v>8.5</v>
      </c>
      <c r="C567" s="2428">
        <v>2072000</v>
      </c>
      <c r="D567" s="2429">
        <v>17.611999999999998</v>
      </c>
      <c r="E567" s="2430">
        <v>9.6566547984485718E-2</v>
      </c>
      <c r="F567" s="2427">
        <v>5.4894888397884603E-2</v>
      </c>
      <c r="G567" s="2429">
        <v>6.1050711657667435E-4</v>
      </c>
      <c r="H567" s="2430">
        <v>5.4907493837607312E-2</v>
      </c>
      <c r="I567" s="2427">
        <v>1.7377348657738614E-2</v>
      </c>
      <c r="J567" s="2431">
        <v>2.7252362298839708E-4</v>
      </c>
    </row>
    <row r="568" spans="1:10" x14ac:dyDescent="0.2">
      <c r="A568" s="2426" t="s">
        <v>428</v>
      </c>
      <c r="B568" s="2427">
        <v>123</v>
      </c>
      <c r="C568" s="2428">
        <v>1326280</v>
      </c>
      <c r="D568" s="2429">
        <v>163.13244</v>
      </c>
      <c r="E568" s="2430">
        <v>1.397374753187264</v>
      </c>
      <c r="F568" s="2427">
        <v>0.79436132622821254</v>
      </c>
      <c r="G568" s="2429">
        <v>8.8343970986977573E-3</v>
      </c>
      <c r="H568" s="2430">
        <v>0.50858468339846952</v>
      </c>
      <c r="I568" s="2427">
        <v>0.16095896475514565</v>
      </c>
      <c r="J568" s="2431">
        <v>2.5242700190629863E-3</v>
      </c>
    </row>
    <row r="569" spans="1:10" x14ac:dyDescent="0.2">
      <c r="A569" s="2439" t="s">
        <v>92</v>
      </c>
      <c r="B569" s="2427">
        <v>144</v>
      </c>
      <c r="C569" s="2428">
        <v>2215500</v>
      </c>
      <c r="D569" s="2429">
        <v>319.03199999999998</v>
      </c>
      <c r="E569" s="2430">
        <v>1.6359509305606992</v>
      </c>
      <c r="F569" s="2427">
        <v>0.92998399168180979</v>
      </c>
      <c r="G569" s="2429">
        <v>1.0342708798475424E-2</v>
      </c>
      <c r="H569" s="2430">
        <v>0.9946200076084224</v>
      </c>
      <c r="I569" s="2427">
        <v>0.31478141590822539</v>
      </c>
      <c r="J569" s="2431">
        <v>4.9366202866928405E-3</v>
      </c>
    </row>
    <row r="570" spans="1:10" x14ac:dyDescent="0.2">
      <c r="A570" s="2433" t="s">
        <v>281</v>
      </c>
      <c r="B570" s="2434">
        <v>2405</v>
      </c>
      <c r="C570" s="2433"/>
      <c r="D570" s="2435">
        <v>5805.9989400000004</v>
      </c>
      <c r="E570" s="2436">
        <v>27.322652694433902</v>
      </c>
      <c r="F570" s="2434">
        <v>15.532024305519116</v>
      </c>
      <c r="G570" s="2435">
        <v>0.17273760180787079</v>
      </c>
      <c r="H570" s="2436">
        <v>18.100888656552613</v>
      </c>
      <c r="I570" s="2434">
        <v>5.7286434185124246</v>
      </c>
      <c r="J570" s="2437">
        <v>8.9840555654984861E-2</v>
      </c>
    </row>
    <row r="571" spans="1:10" x14ac:dyDescent="0.2">
      <c r="A571" s="2440" t="s">
        <v>106</v>
      </c>
      <c r="B571" s="2441">
        <v>4487.1000000000004</v>
      </c>
      <c r="C571" s="2440"/>
      <c r="D571" s="2442">
        <v>9738.6525965500005</v>
      </c>
      <c r="E571" s="2443">
        <v>50.976912642492458</v>
      </c>
      <c r="F571" s="2441">
        <v>28.978688674135061</v>
      </c>
      <c r="G571" s="2442">
        <v>0.32228311562249362</v>
      </c>
      <c r="H571" s="2443">
        <v>30.361401739249811</v>
      </c>
      <c r="I571" s="2441">
        <v>9.6089008418601427</v>
      </c>
      <c r="J571" s="2444">
        <v>0.15069344132620754</v>
      </c>
    </row>
    <row r="572" spans="1:10" x14ac:dyDescent="0.2">
      <c r="A572" s="2426" t="s">
        <v>905</v>
      </c>
      <c r="B572" s="2427">
        <v>9</v>
      </c>
      <c r="C572" s="2428">
        <v>6100000</v>
      </c>
      <c r="D572" s="2429">
        <v>54.9</v>
      </c>
      <c r="E572" s="2430">
        <v>0.1022469331600437</v>
      </c>
      <c r="F572" s="2427">
        <v>5.8123999480113112E-2</v>
      </c>
      <c r="G572" s="2429">
        <v>6.4641929990471398E-4</v>
      </c>
      <c r="H572" s="2430">
        <v>0.17115724572363397</v>
      </c>
      <c r="I572" s="2427">
        <v>5.416854651997785E-2</v>
      </c>
      <c r="J572" s="2431">
        <v>8.4950868169787655E-4</v>
      </c>
    </row>
    <row r="573" spans="1:10" x14ac:dyDescent="0.2">
      <c r="A573" s="2426" t="s">
        <v>906</v>
      </c>
      <c r="B573" s="2427">
        <v>48</v>
      </c>
      <c r="C573" s="2428">
        <v>3022000.0000000005</v>
      </c>
      <c r="D573" s="2429">
        <v>145.05600000000004</v>
      </c>
      <c r="E573" s="2430">
        <v>0.54531697685356639</v>
      </c>
      <c r="F573" s="2427">
        <v>0.3099946638939366</v>
      </c>
      <c r="G573" s="2429">
        <v>3.4475695994918083E-3</v>
      </c>
      <c r="H573" s="2430">
        <v>0.45222924290869687</v>
      </c>
      <c r="I573" s="2427">
        <v>0.14312336400732076</v>
      </c>
      <c r="J573" s="2431">
        <v>2.2445597692598764E-3</v>
      </c>
    </row>
    <row r="574" spans="1:10" x14ac:dyDescent="0.2">
      <c r="A574" s="2426" t="s">
        <v>907</v>
      </c>
      <c r="B574" s="2427">
        <v>30</v>
      </c>
      <c r="C574" s="2428">
        <v>2324000</v>
      </c>
      <c r="D574" s="2429">
        <v>69.72</v>
      </c>
      <c r="E574" s="2430">
        <v>0.34082311053347902</v>
      </c>
      <c r="F574" s="2427">
        <v>0.19374666493371037</v>
      </c>
      <c r="G574" s="2429">
        <v>2.1547309996823799E-3</v>
      </c>
      <c r="H574" s="2430">
        <v>0.21736034921405759</v>
      </c>
      <c r="I574" s="2427">
        <v>6.8791094050507387E-2</v>
      </c>
      <c r="J574" s="2431">
        <v>1.0788296045168662E-3</v>
      </c>
    </row>
    <row r="575" spans="1:10" x14ac:dyDescent="0.2">
      <c r="A575" s="2439" t="s">
        <v>908</v>
      </c>
      <c r="B575" s="2427">
        <v>960</v>
      </c>
      <c r="C575" s="2428">
        <v>2403999.9999999995</v>
      </c>
      <c r="D575" s="2429">
        <v>2307.8399999999997</v>
      </c>
      <c r="E575" s="2430">
        <v>10.906339537071329</v>
      </c>
      <c r="F575" s="2427">
        <v>6.1998932778787319</v>
      </c>
      <c r="G575" s="2429">
        <v>6.8951391989836158E-2</v>
      </c>
      <c r="H575" s="2430">
        <v>7.1949642617637766</v>
      </c>
      <c r="I575" s="2427">
        <v>2.2770917741469159</v>
      </c>
      <c r="J575" s="2431">
        <v>3.5710931074127997E-2</v>
      </c>
    </row>
    <row r="576" spans="1:10" x14ac:dyDescent="0.2">
      <c r="A576" s="2440" t="s">
        <v>282</v>
      </c>
      <c r="B576" s="2441">
        <v>1047</v>
      </c>
      <c r="C576" s="2440"/>
      <c r="D576" s="2442">
        <v>2577.5159999999996</v>
      </c>
      <c r="E576" s="2443">
        <v>11.894726557618418</v>
      </c>
      <c r="F576" s="2441">
        <v>6.7617586061864925</v>
      </c>
      <c r="G576" s="2442">
        <v>7.5200111888915053E-2</v>
      </c>
      <c r="H576" s="2443">
        <v>8.0357110996101646</v>
      </c>
      <c r="I576" s="2441">
        <v>2.5431747787247216</v>
      </c>
      <c r="J576" s="2444">
        <v>3.9883829129602616E-2</v>
      </c>
    </row>
    <row r="577" spans="1:10" x14ac:dyDescent="0.2">
      <c r="A577" s="2426" t="s">
        <v>955</v>
      </c>
      <c r="B577" s="2427">
        <v>73.835999999999984</v>
      </c>
      <c r="C577" s="2428">
        <v>12137000</v>
      </c>
      <c r="D577" s="2429">
        <v>896.14753199999973</v>
      </c>
      <c r="E577" s="2430">
        <v>0.83883383964499847</v>
      </c>
      <c r="F577" s="2427">
        <v>0.47684929173484786</v>
      </c>
      <c r="G577" s="2429">
        <v>5.3032239364182721E-3</v>
      </c>
      <c r="H577" s="2430">
        <v>2.7938459624617868</v>
      </c>
      <c r="I577" s="2427">
        <v>0.88420781923324832</v>
      </c>
      <c r="J577" s="2431">
        <v>1.3866759717962212E-2</v>
      </c>
    </row>
    <row r="578" spans="1:10" x14ac:dyDescent="0.2">
      <c r="A578" s="2426" t="s">
        <v>283</v>
      </c>
      <c r="B578" s="2427">
        <v>556.17918781453386</v>
      </c>
      <c r="C578" s="2428">
        <v>13024549.999999996</v>
      </c>
      <c r="D578" s="2429">
        <v>7243.9836406497852</v>
      </c>
      <c r="E578" s="2430">
        <v>6.3186240268311158</v>
      </c>
      <c r="F578" s="2427">
        <v>3.5919287581535224</v>
      </c>
      <c r="G578" s="2429">
        <v>3.9947217912071488E-2</v>
      </c>
      <c r="H578" s="2430">
        <v>22.583976102016027</v>
      </c>
      <c r="I578" s="2427">
        <v>7.147469304708495</v>
      </c>
      <c r="J578" s="2431">
        <v>0.11209156635354069</v>
      </c>
    </row>
    <row r="579" spans="1:10" x14ac:dyDescent="0.2">
      <c r="A579" s="2426" t="s">
        <v>69</v>
      </c>
      <c r="B579" s="2427">
        <v>439.30481218546595</v>
      </c>
      <c r="C579" s="2428">
        <v>14978232.499999994</v>
      </c>
      <c r="D579" s="2429">
        <v>6580.00961528274</v>
      </c>
      <c r="E579" s="2430">
        <v>4.99084108537921</v>
      </c>
      <c r="F579" s="2427">
        <v>2.8371280750088013</v>
      </c>
      <c r="G579" s="2429">
        <v>3.1552789904188971E-2</v>
      </c>
      <c r="H579" s="2430">
        <v>20.513958517064157</v>
      </c>
      <c r="I579" s="2427">
        <v>6.4923416566000851</v>
      </c>
      <c r="J579" s="2431">
        <v>0.10181740061636052</v>
      </c>
    </row>
    <row r="580" spans="1:10" x14ac:dyDescent="0.2">
      <c r="A580" s="2426" t="s">
        <v>199</v>
      </c>
      <c r="B580" s="2427">
        <v>78</v>
      </c>
      <c r="C580" s="2428">
        <v>3000000</v>
      </c>
      <c r="D580" s="2429">
        <v>234</v>
      </c>
      <c r="E580" s="2430">
        <v>0.88614008738704531</v>
      </c>
      <c r="F580" s="2427">
        <v>0.50374132882764699</v>
      </c>
      <c r="G580" s="2429">
        <v>5.6023005991741879E-3</v>
      </c>
      <c r="H580" s="2430">
        <v>0.72952268669089892</v>
      </c>
      <c r="I580" s="2427">
        <v>0.23088232942941378</v>
      </c>
      <c r="J580" s="2431">
        <v>3.6208566760893095E-3</v>
      </c>
    </row>
    <row r="581" spans="1:10" x14ac:dyDescent="0.2">
      <c r="A581" s="2426" t="s">
        <v>86</v>
      </c>
      <c r="B581" s="2427">
        <v>120</v>
      </c>
      <c r="C581" s="2428">
        <v>170000</v>
      </c>
      <c r="D581" s="2429">
        <v>20.399999999999999</v>
      </c>
      <c r="E581" s="2430">
        <v>1.3632924421339161</v>
      </c>
      <c r="F581" s="2427">
        <v>0.77498665973484149</v>
      </c>
      <c r="G581" s="2429">
        <v>8.6189239987295198E-3</v>
      </c>
      <c r="H581" s="2430">
        <v>6.3599413711514258E-2</v>
      </c>
      <c r="I581" s="2427">
        <v>2.0128203078461714E-2</v>
      </c>
      <c r="J581" s="2431">
        <v>3.1566442817188852E-4</v>
      </c>
    </row>
    <row r="582" spans="1:10" x14ac:dyDescent="0.2">
      <c r="A582" s="2439" t="s">
        <v>213</v>
      </c>
      <c r="B582" s="2427">
        <v>382.8</v>
      </c>
      <c r="C582" s="2428">
        <v>1850000.0000000005</v>
      </c>
      <c r="D582" s="2429">
        <v>708.18000000000029</v>
      </c>
      <c r="E582" s="2430">
        <v>4.3489028904071922</v>
      </c>
      <c r="F582" s="2427">
        <v>2.4722074445541442</v>
      </c>
      <c r="G582" s="2429">
        <v>2.7494367555947169E-2</v>
      </c>
      <c r="H582" s="2430">
        <v>2.2078349412853036</v>
      </c>
      <c r="I582" s="2427">
        <v>0.69874464980906981</v>
      </c>
      <c r="J582" s="2431">
        <v>1.0958197781508241E-2</v>
      </c>
    </row>
    <row r="583" spans="1:10" x14ac:dyDescent="0.2">
      <c r="A583" s="2433" t="s">
        <v>1834</v>
      </c>
      <c r="B583" s="2434">
        <v>1650.1199999999997</v>
      </c>
      <c r="C583" s="2433"/>
      <c r="D583" s="2435">
        <v>15682.720787932525</v>
      </c>
      <c r="E583" s="2436">
        <v>18.746634371783475</v>
      </c>
      <c r="F583" s="2434">
        <v>10.656841558013804</v>
      </c>
      <c r="G583" s="2435">
        <v>0.1185188239065296</v>
      </c>
      <c r="H583" s="2436">
        <v>48.892737623229685</v>
      </c>
      <c r="I583" s="2434">
        <v>15.473773962858775</v>
      </c>
      <c r="J583" s="2437">
        <v>0.24267044557363285</v>
      </c>
    </row>
    <row r="584" spans="1:10" x14ac:dyDescent="0.2">
      <c r="A584" s="2426" t="s">
        <v>961</v>
      </c>
      <c r="B584" s="2427">
        <v>105</v>
      </c>
      <c r="C584" s="2428">
        <v>3668000</v>
      </c>
      <c r="D584" s="2429">
        <v>385.14</v>
      </c>
      <c r="E584" s="2430">
        <v>1.1928808868671765</v>
      </c>
      <c r="F584" s="2427">
        <v>0.67811332726798634</v>
      </c>
      <c r="G584" s="2429">
        <v>7.5415584988883302E-3</v>
      </c>
      <c r="H584" s="2430">
        <v>1.2007195194535589</v>
      </c>
      <c r="I584" s="2427">
        <v>0.38000863400189927</v>
      </c>
      <c r="J584" s="2431">
        <v>5.9595587189275072E-3</v>
      </c>
    </row>
    <row r="585" spans="1:10" x14ac:dyDescent="0.2">
      <c r="A585" s="2426" t="s">
        <v>962</v>
      </c>
      <c r="B585" s="2427">
        <v>0</v>
      </c>
      <c r="C585" s="2428">
        <v>1999999.9999999998</v>
      </c>
      <c r="D585" s="2429">
        <v>0</v>
      </c>
      <c r="E585" s="2430">
        <v>0</v>
      </c>
      <c r="F585" s="2427">
        <v>0</v>
      </c>
      <c r="G585" s="2429">
        <v>0</v>
      </c>
      <c r="H585" s="2430">
        <v>0</v>
      </c>
      <c r="I585" s="2427">
        <v>0</v>
      </c>
      <c r="J585" s="2431">
        <v>0</v>
      </c>
    </row>
    <row r="586" spans="1:10" x14ac:dyDescent="0.2">
      <c r="A586" s="2426" t="s">
        <v>963</v>
      </c>
      <c r="B586" s="2427">
        <v>231</v>
      </c>
      <c r="C586" s="2428">
        <v>1347999.9999999998</v>
      </c>
      <c r="D586" s="2429">
        <v>311.38799999999992</v>
      </c>
      <c r="E586" s="2430">
        <v>2.6243379511077882</v>
      </c>
      <c r="F586" s="2427">
        <v>1.4918493199895699</v>
      </c>
      <c r="G586" s="2429">
        <v>1.6591428697554325E-2</v>
      </c>
      <c r="H586" s="2430">
        <v>0.9707889331765196</v>
      </c>
      <c r="I586" s="2427">
        <v>0.30723925981353112</v>
      </c>
      <c r="J586" s="2431">
        <v>4.8183389686072553E-3</v>
      </c>
    </row>
    <row r="587" spans="1:10" x14ac:dyDescent="0.2">
      <c r="A587" s="2426" t="s">
        <v>965</v>
      </c>
      <c r="B587" s="2427">
        <v>124</v>
      </c>
      <c r="C587" s="2428">
        <v>1599999.9999999995</v>
      </c>
      <c r="D587" s="2429">
        <v>198.39999999999995</v>
      </c>
      <c r="E587" s="2430">
        <v>1.4087355235383798</v>
      </c>
      <c r="F587" s="2427">
        <v>0.80081954839266944</v>
      </c>
      <c r="G587" s="2429">
        <v>8.9062214653538377E-3</v>
      </c>
      <c r="H587" s="2430">
        <v>0.61853547452766799</v>
      </c>
      <c r="I587" s="2427">
        <v>0.19575664170425505</v>
      </c>
      <c r="J587" s="2431">
        <v>3.0699913014364056E-3</v>
      </c>
    </row>
    <row r="588" spans="1:10" x14ac:dyDescent="0.2">
      <c r="A588" s="2426" t="s">
        <v>966</v>
      </c>
      <c r="B588" s="2427">
        <v>0</v>
      </c>
      <c r="C588" s="2428">
        <v>2244000</v>
      </c>
      <c r="D588" s="2429">
        <v>0</v>
      </c>
      <c r="E588" s="2430">
        <v>0</v>
      </c>
      <c r="F588" s="2427">
        <v>0</v>
      </c>
      <c r="G588" s="2429">
        <v>0</v>
      </c>
      <c r="H588" s="2430">
        <v>0</v>
      </c>
      <c r="I588" s="2427">
        <v>0</v>
      </c>
      <c r="J588" s="2431">
        <v>0</v>
      </c>
    </row>
    <row r="589" spans="1:10" x14ac:dyDescent="0.2">
      <c r="A589" s="2426" t="s">
        <v>1499</v>
      </c>
      <c r="B589" s="2427">
        <v>0</v>
      </c>
      <c r="C589" s="2428">
        <v>4849999.9999999991</v>
      </c>
      <c r="D589" s="2429">
        <v>0</v>
      </c>
      <c r="E589" s="2430">
        <v>0</v>
      </c>
      <c r="F589" s="2427">
        <v>0</v>
      </c>
      <c r="G589" s="2429">
        <v>0</v>
      </c>
      <c r="H589" s="2430">
        <v>0</v>
      </c>
      <c r="I589" s="2427">
        <v>0</v>
      </c>
      <c r="J589" s="2431">
        <v>0</v>
      </c>
    </row>
    <row r="590" spans="1:10" x14ac:dyDescent="0.2">
      <c r="A590" s="2426" t="s">
        <v>1575</v>
      </c>
      <c r="B590" s="2427">
        <v>2</v>
      </c>
      <c r="C590" s="2428">
        <v>2250000.0000000005</v>
      </c>
      <c r="D590" s="2429">
        <v>4.5000000000000009</v>
      </c>
      <c r="E590" s="2430">
        <v>2.2721540702231934E-2</v>
      </c>
      <c r="F590" s="2427">
        <v>1.2916444328914025E-2</v>
      </c>
      <c r="G590" s="2429">
        <v>1.4364873331215865E-4</v>
      </c>
      <c r="H590" s="2430">
        <v>1.4029282436363444E-2</v>
      </c>
      <c r="I590" s="2427">
        <v>4.4400447967194974E-3</v>
      </c>
      <c r="J590" s="2431">
        <v>6.9631859155563667E-5</v>
      </c>
    </row>
    <row r="591" spans="1:10" x14ac:dyDescent="0.2">
      <c r="A591" s="2426" t="s">
        <v>964</v>
      </c>
      <c r="B591" s="2427">
        <v>0</v>
      </c>
      <c r="C591" s="2428">
        <v>1556000</v>
      </c>
      <c r="D591" s="2429">
        <v>0</v>
      </c>
      <c r="E591" s="2430">
        <v>0</v>
      </c>
      <c r="F591" s="2427">
        <v>0</v>
      </c>
      <c r="G591" s="2429">
        <v>0</v>
      </c>
      <c r="H591" s="2430">
        <v>0</v>
      </c>
      <c r="I591" s="2427">
        <v>0</v>
      </c>
      <c r="J591" s="2431">
        <v>0</v>
      </c>
    </row>
    <row r="592" spans="1:10" x14ac:dyDescent="0.2">
      <c r="A592" s="2426" t="s">
        <v>969</v>
      </c>
      <c r="B592" s="2427">
        <v>98</v>
      </c>
      <c r="C592" s="2428">
        <v>4800000</v>
      </c>
      <c r="D592" s="2429">
        <v>470.4</v>
      </c>
      <c r="E592" s="2430">
        <v>1.1133554944093647</v>
      </c>
      <c r="F592" s="2427">
        <v>0.63290577211678722</v>
      </c>
      <c r="G592" s="2429">
        <v>7.0387879322957739E-3</v>
      </c>
      <c r="H592" s="2430">
        <v>1.4665276573478583</v>
      </c>
      <c r="I592" s="2427">
        <v>0.46413268275041131</v>
      </c>
      <c r="J592" s="2431">
        <v>7.2788503437282541E-3</v>
      </c>
    </row>
    <row r="593" spans="1:10" x14ac:dyDescent="0.2">
      <c r="A593" s="2426" t="s">
        <v>968</v>
      </c>
      <c r="B593" s="2427">
        <v>0</v>
      </c>
      <c r="C593" s="2428">
        <v>3050000.0000000009</v>
      </c>
      <c r="D593" s="2429">
        <v>0</v>
      </c>
      <c r="E593" s="2430">
        <v>0</v>
      </c>
      <c r="F593" s="2427">
        <v>0</v>
      </c>
      <c r="G593" s="2429">
        <v>0</v>
      </c>
      <c r="H593" s="2430">
        <v>0</v>
      </c>
      <c r="I593" s="2427">
        <v>0</v>
      </c>
      <c r="J593" s="2431">
        <v>0</v>
      </c>
    </row>
    <row r="594" spans="1:10" x14ac:dyDescent="0.2">
      <c r="A594" s="2426" t="s">
        <v>1013</v>
      </c>
      <c r="B594" s="2427">
        <v>0</v>
      </c>
      <c r="C594" s="2428">
        <v>1799999.9999999998</v>
      </c>
      <c r="D594" s="2429">
        <v>0</v>
      </c>
      <c r="E594" s="2430">
        <v>0</v>
      </c>
      <c r="F594" s="2427">
        <v>0</v>
      </c>
      <c r="G594" s="2429">
        <v>0</v>
      </c>
      <c r="H594" s="2430">
        <v>0</v>
      </c>
      <c r="I594" s="2427">
        <v>0</v>
      </c>
      <c r="J594" s="2431">
        <v>0</v>
      </c>
    </row>
    <row r="595" spans="1:10" x14ac:dyDescent="0.2">
      <c r="A595" s="2426" t="s">
        <v>1014</v>
      </c>
      <c r="B595" s="2427">
        <v>9</v>
      </c>
      <c r="C595" s="2428">
        <v>2195000.0000000005</v>
      </c>
      <c r="D595" s="2429">
        <v>19.755000000000003</v>
      </c>
      <c r="E595" s="2430">
        <v>0.1022469331600437</v>
      </c>
      <c r="F595" s="2427">
        <v>5.8123999480113112E-2</v>
      </c>
      <c r="G595" s="2429">
        <v>6.4641929990471398E-4</v>
      </c>
      <c r="H595" s="2430">
        <v>6.158854989563551E-2</v>
      </c>
      <c r="I595" s="2427">
        <v>1.9491796657598592E-2</v>
      </c>
      <c r="J595" s="2431">
        <v>3.0568386169292449E-4</v>
      </c>
    </row>
    <row r="596" spans="1:10" x14ac:dyDescent="0.2">
      <c r="A596" s="2426" t="s">
        <v>970</v>
      </c>
      <c r="B596" s="2427">
        <v>0</v>
      </c>
      <c r="C596" s="2428">
        <v>3100000.0000000005</v>
      </c>
      <c r="D596" s="2429">
        <v>0</v>
      </c>
      <c r="E596" s="2430">
        <v>0</v>
      </c>
      <c r="F596" s="2427">
        <v>0</v>
      </c>
      <c r="G596" s="2429">
        <v>0</v>
      </c>
      <c r="H596" s="2430">
        <v>0</v>
      </c>
      <c r="I596" s="2427">
        <v>0</v>
      </c>
      <c r="J596" s="2431">
        <v>0</v>
      </c>
    </row>
    <row r="597" spans="1:10" x14ac:dyDescent="0.2">
      <c r="A597" s="2426" t="s">
        <v>971</v>
      </c>
      <c r="B597" s="2427">
        <v>72</v>
      </c>
      <c r="C597" s="2428">
        <v>3010000</v>
      </c>
      <c r="D597" s="2429">
        <v>216.72</v>
      </c>
      <c r="E597" s="2430">
        <v>0.81797546528034959</v>
      </c>
      <c r="F597" s="2427">
        <v>0.46499199584090489</v>
      </c>
      <c r="G597" s="2429">
        <v>5.1713543992377119E-3</v>
      </c>
      <c r="H597" s="2430">
        <v>0.67565024213526326</v>
      </c>
      <c r="I597" s="2427">
        <v>0.21383255741001095</v>
      </c>
      <c r="J597" s="2431">
        <v>3.3534703369319453E-3</v>
      </c>
    </row>
    <row r="598" spans="1:10" x14ac:dyDescent="0.2">
      <c r="A598" s="2426" t="s">
        <v>972</v>
      </c>
      <c r="B598" s="2427">
        <v>0</v>
      </c>
      <c r="C598" s="2428">
        <v>2744000.0000000005</v>
      </c>
      <c r="D598" s="2429">
        <v>0</v>
      </c>
      <c r="E598" s="2430">
        <v>0</v>
      </c>
      <c r="F598" s="2427">
        <v>0</v>
      </c>
      <c r="G598" s="2429">
        <v>0</v>
      </c>
      <c r="H598" s="2430">
        <v>0</v>
      </c>
      <c r="I598" s="2427">
        <v>0</v>
      </c>
      <c r="J598" s="2431">
        <v>0</v>
      </c>
    </row>
    <row r="599" spans="1:10" x14ac:dyDescent="0.2">
      <c r="A599" s="2426" t="s">
        <v>973</v>
      </c>
      <c r="B599" s="2427">
        <v>316</v>
      </c>
      <c r="C599" s="2428">
        <v>2549999.9999999991</v>
      </c>
      <c r="D599" s="2429">
        <v>805.79999999999973</v>
      </c>
      <c r="E599" s="2430">
        <v>3.5900034309526458</v>
      </c>
      <c r="F599" s="2427">
        <v>2.040798203968416</v>
      </c>
      <c r="G599" s="2429">
        <v>2.2696499863321066E-2</v>
      </c>
      <c r="H599" s="2430">
        <v>2.5121768416048127</v>
      </c>
      <c r="I599" s="2427">
        <v>0.7950640215992375</v>
      </c>
      <c r="J599" s="2431">
        <v>1.2468744912789593E-2</v>
      </c>
    </row>
    <row r="600" spans="1:10" x14ac:dyDescent="0.2">
      <c r="A600" s="2426" t="s">
        <v>974</v>
      </c>
      <c r="B600" s="2427">
        <v>0</v>
      </c>
      <c r="C600" s="2428">
        <v>1583999.9999999995</v>
      </c>
      <c r="D600" s="2429">
        <v>0</v>
      </c>
      <c r="E600" s="2430">
        <v>0</v>
      </c>
      <c r="F600" s="2427">
        <v>0</v>
      </c>
      <c r="G600" s="2429">
        <v>0</v>
      </c>
      <c r="H600" s="2430">
        <v>0</v>
      </c>
      <c r="I600" s="2427">
        <v>0</v>
      </c>
      <c r="J600" s="2431">
        <v>0</v>
      </c>
    </row>
    <row r="601" spans="1:10" x14ac:dyDescent="0.2">
      <c r="A601" s="2426" t="s">
        <v>975</v>
      </c>
      <c r="B601" s="2427">
        <v>600</v>
      </c>
      <c r="C601" s="2428">
        <v>2532000.0000000009</v>
      </c>
      <c r="D601" s="2429">
        <v>1519.2000000000005</v>
      </c>
      <c r="E601" s="2430">
        <v>6.81646221066958</v>
      </c>
      <c r="F601" s="2427">
        <v>3.8749332986742075</v>
      </c>
      <c r="G601" s="2429">
        <v>4.3094619993647595E-2</v>
      </c>
      <c r="H601" s="2430">
        <v>4.7362857505162985</v>
      </c>
      <c r="I601" s="2427">
        <v>1.4989591233725024</v>
      </c>
      <c r="J601" s="2431">
        <v>2.3507715650918297E-2</v>
      </c>
    </row>
    <row r="602" spans="1:10" x14ac:dyDescent="0.2">
      <c r="A602" s="2426" t="s">
        <v>976</v>
      </c>
      <c r="B602" s="2427">
        <v>0</v>
      </c>
      <c r="C602" s="2428">
        <v>7394999.9999999991</v>
      </c>
      <c r="D602" s="2429">
        <v>0</v>
      </c>
      <c r="E602" s="2430">
        <v>0</v>
      </c>
      <c r="F602" s="2427">
        <v>0</v>
      </c>
      <c r="G602" s="2429">
        <v>0</v>
      </c>
      <c r="H602" s="2430">
        <v>0</v>
      </c>
      <c r="I602" s="2427">
        <v>0</v>
      </c>
      <c r="J602" s="2431">
        <v>0</v>
      </c>
    </row>
    <row r="603" spans="1:10" x14ac:dyDescent="0.2">
      <c r="A603" s="2426" t="s">
        <v>286</v>
      </c>
      <c r="B603" s="2427">
        <v>55</v>
      </c>
      <c r="C603" s="2428">
        <v>2445000.0000000005</v>
      </c>
      <c r="D603" s="2429">
        <v>134.47500000000002</v>
      </c>
      <c r="E603" s="2430">
        <v>0.62484236931137815</v>
      </c>
      <c r="F603" s="2427">
        <v>0.35520221904513571</v>
      </c>
      <c r="G603" s="2429">
        <v>3.9503401660843634E-3</v>
      </c>
      <c r="H603" s="2430">
        <v>0.41924172347332755</v>
      </c>
      <c r="I603" s="2427">
        <v>0.13268333867530097</v>
      </c>
      <c r="J603" s="2431">
        <v>2.0808320577654273E-3</v>
      </c>
    </row>
    <row r="604" spans="1:10" x14ac:dyDescent="0.2">
      <c r="A604" s="2439" t="s">
        <v>978</v>
      </c>
      <c r="B604" s="2427">
        <v>6</v>
      </c>
      <c r="C604" s="2428">
        <v>1850000.0000000002</v>
      </c>
      <c r="D604" s="2429">
        <v>11.100000000000001</v>
      </c>
      <c r="E604" s="2430">
        <v>6.8164622106695799E-2</v>
      </c>
      <c r="F604" s="2427">
        <v>3.8749332986742074E-2</v>
      </c>
      <c r="G604" s="2429">
        <v>4.3094619993647604E-4</v>
      </c>
      <c r="H604" s="2430">
        <v>3.4605563343029826E-2</v>
      </c>
      <c r="I604" s="2427">
        <v>1.0952110498574759E-2</v>
      </c>
      <c r="J604" s="2431">
        <v>1.7175858591705702E-4</v>
      </c>
    </row>
    <row r="605" spans="1:10" x14ac:dyDescent="0.2">
      <c r="A605" s="2426" t="s">
        <v>1163</v>
      </c>
      <c r="B605" s="2427">
        <v>0</v>
      </c>
      <c r="C605" s="2428">
        <v>0</v>
      </c>
      <c r="D605" s="2429">
        <v>0</v>
      </c>
      <c r="E605" s="2430">
        <v>0</v>
      </c>
      <c r="F605" s="2427">
        <v>0</v>
      </c>
      <c r="G605" s="2429">
        <v>0</v>
      </c>
      <c r="H605" s="2430">
        <v>0</v>
      </c>
      <c r="I605" s="2427">
        <v>0</v>
      </c>
      <c r="J605" s="2431">
        <v>0</v>
      </c>
    </row>
    <row r="606" spans="1:10" x14ac:dyDescent="0.2">
      <c r="A606" s="2433" t="s">
        <v>287</v>
      </c>
      <c r="B606" s="2434">
        <v>1618</v>
      </c>
      <c r="C606" s="2433"/>
      <c r="D606" s="2435">
        <v>4076.8780000000006</v>
      </c>
      <c r="E606" s="2436">
        <v>18.381726428105637</v>
      </c>
      <c r="F606" s="2434">
        <v>10.449403462091446</v>
      </c>
      <c r="G606" s="2435">
        <v>0.11621182524953635</v>
      </c>
      <c r="H606" s="2436">
        <v>12.710149537910336</v>
      </c>
      <c r="I606" s="2434">
        <v>4.0225602112800418</v>
      </c>
      <c r="J606" s="2437">
        <v>6.3084576597870229E-2</v>
      </c>
    </row>
    <row r="607" spans="1:10" x14ac:dyDescent="0.2">
      <c r="A607" s="2440" t="s">
        <v>1835</v>
      </c>
      <c r="B607" s="2441">
        <v>3268.12</v>
      </c>
      <c r="C607" s="2440"/>
      <c r="D607" s="2442">
        <v>19759.598787932526</v>
      </c>
      <c r="E607" s="2443">
        <v>37.128360799889116</v>
      </c>
      <c r="F607" s="2441">
        <v>21.106245020105252</v>
      </c>
      <c r="G607" s="2442">
        <v>0.23473064915606598</v>
      </c>
      <c r="H607" s="2443">
        <v>61.602887161140032</v>
      </c>
      <c r="I607" s="2441">
        <v>19.496334174138816</v>
      </c>
      <c r="J607" s="2444">
        <v>0.30575502217150308</v>
      </c>
    </row>
    <row r="608" spans="1:10" x14ac:dyDescent="0.2">
      <c r="A608" s="2445" t="s">
        <v>194</v>
      </c>
      <c r="B608" s="2446">
        <v>8802.2200000000012</v>
      </c>
      <c r="C608" s="2447"/>
      <c r="D608" s="2448">
        <v>32075.767384482526</v>
      </c>
      <c r="E608" s="2449">
        <v>100</v>
      </c>
      <c r="F608" s="2446">
        <v>56.846692300426817</v>
      </c>
      <c r="G608" s="2448">
        <v>0.63221387666747464</v>
      </c>
      <c r="H608" s="2449">
        <v>100</v>
      </c>
      <c r="I608" s="2446">
        <v>31.64840979472368</v>
      </c>
      <c r="J608" s="2450">
        <v>0.49633229262731321</v>
      </c>
    </row>
    <row r="609" spans="1:10" x14ac:dyDescent="0.2">
      <c r="A609" s="2451" t="s">
        <v>1852</v>
      </c>
      <c r="B609" s="2427"/>
      <c r="C609" s="2452"/>
      <c r="D609" s="2429"/>
      <c r="E609" s="2430"/>
      <c r="F609" s="2427">
        <v>0</v>
      </c>
      <c r="G609" s="2429"/>
      <c r="H609" s="2430"/>
      <c r="I609" s="2427">
        <v>0</v>
      </c>
      <c r="J609" s="2431">
        <v>0</v>
      </c>
    </row>
    <row r="610" spans="1:10" x14ac:dyDescent="0.2">
      <c r="A610" s="2453" t="s">
        <v>1836</v>
      </c>
      <c r="B610" s="2427">
        <v>0</v>
      </c>
      <c r="C610" s="2428">
        <v>8033612.4975057133</v>
      </c>
      <c r="D610" s="2429">
        <v>0</v>
      </c>
      <c r="E610" s="2430">
        <v>0</v>
      </c>
      <c r="F610" s="2427">
        <v>0</v>
      </c>
      <c r="G610" s="2429">
        <v>0</v>
      </c>
      <c r="H610" s="2430">
        <v>0</v>
      </c>
      <c r="I610" s="2427">
        <v>0</v>
      </c>
      <c r="J610" s="2431">
        <v>0</v>
      </c>
    </row>
    <row r="611" spans="1:10" x14ac:dyDescent="0.2">
      <c r="A611" s="2453" t="s">
        <v>1837</v>
      </c>
      <c r="B611" s="2427">
        <v>1664.4</v>
      </c>
      <c r="C611" s="2428">
        <v>2214764.1578067578</v>
      </c>
      <c r="D611" s="2429">
        <v>3686.2534642535684</v>
      </c>
      <c r="E611" s="2430">
        <v>94.001104134574518</v>
      </c>
      <c r="F611" s="2427">
        <v>10.749064970522253</v>
      </c>
      <c r="G611" s="2429">
        <v>0.11954447586237844</v>
      </c>
      <c r="H611" s="2430">
        <v>82.253775611215289</v>
      </c>
      <c r="I611" s="2427">
        <v>3.6371401140773938</v>
      </c>
      <c r="J611" s="2431">
        <v>5.7040151563247349E-2</v>
      </c>
    </row>
    <row r="612" spans="1:10" x14ac:dyDescent="0.2">
      <c r="A612" s="2454" t="s">
        <v>309</v>
      </c>
      <c r="B612" s="2434">
        <v>1664.4</v>
      </c>
      <c r="C612" s="2433"/>
      <c r="D612" s="2435">
        <v>3686.2534642535684</v>
      </c>
      <c r="E612" s="2436">
        <v>94.001104134574518</v>
      </c>
      <c r="F612" s="2434">
        <v>10.749064970522253</v>
      </c>
      <c r="G612" s="2435">
        <v>0.11954447586237844</v>
      </c>
      <c r="H612" s="2436">
        <v>82.253775611215289</v>
      </c>
      <c r="I612" s="2434">
        <v>3.6371401140773938</v>
      </c>
      <c r="J612" s="2437">
        <v>5.7040151563247349E-2</v>
      </c>
    </row>
    <row r="613" spans="1:10" x14ac:dyDescent="0.2">
      <c r="A613" s="2453" t="s">
        <v>1838</v>
      </c>
      <c r="B613" s="2427">
        <v>0</v>
      </c>
      <c r="C613" s="2428">
        <v>10407427.50198495</v>
      </c>
      <c r="D613" s="2429">
        <v>0</v>
      </c>
      <c r="E613" s="2430">
        <v>0</v>
      </c>
      <c r="F613" s="2427">
        <v>0</v>
      </c>
      <c r="G613" s="2429">
        <v>0</v>
      </c>
      <c r="H613" s="2430">
        <v>0</v>
      </c>
      <c r="I613" s="2427">
        <v>0</v>
      </c>
      <c r="J613" s="2431">
        <v>0</v>
      </c>
    </row>
    <row r="614" spans="1:10" x14ac:dyDescent="0.2">
      <c r="A614" s="2454" t="s">
        <v>315</v>
      </c>
      <c r="B614" s="2434">
        <v>0</v>
      </c>
      <c r="C614" s="2455"/>
      <c r="D614" s="2435">
        <v>0</v>
      </c>
      <c r="E614" s="2436">
        <v>0</v>
      </c>
      <c r="F614" s="2434">
        <v>0</v>
      </c>
      <c r="G614" s="2435">
        <v>0</v>
      </c>
      <c r="H614" s="2436">
        <v>0</v>
      </c>
      <c r="I614" s="2434">
        <v>0</v>
      </c>
      <c r="J614" s="2437">
        <v>0</v>
      </c>
    </row>
    <row r="615" spans="1:10" x14ac:dyDescent="0.2">
      <c r="A615" s="2453" t="s">
        <v>1541</v>
      </c>
      <c r="B615" s="2427">
        <v>15.592499999999999</v>
      </c>
      <c r="C615" s="2428">
        <v>10553660</v>
      </c>
      <c r="D615" s="2429">
        <v>164.55794354999998</v>
      </c>
      <c r="E615" s="2430">
        <v>0.88062497970340847</v>
      </c>
      <c r="F615" s="2427">
        <v>0.10069982909929596</v>
      </c>
      <c r="G615" s="2429">
        <v>1.1199214370849169E-3</v>
      </c>
      <c r="H615" s="2430">
        <v>3.6718886248766252</v>
      </c>
      <c r="I615" s="2427">
        <v>0.16236547578178623</v>
      </c>
      <c r="J615" s="2431">
        <v>2.5463278996006207E-3</v>
      </c>
    </row>
    <row r="616" spans="1:10" x14ac:dyDescent="0.2">
      <c r="A616" s="2453" t="s">
        <v>206</v>
      </c>
      <c r="B616" s="2427">
        <v>90.625</v>
      </c>
      <c r="C616" s="2428">
        <v>6960000</v>
      </c>
      <c r="D616" s="2429">
        <v>630.75</v>
      </c>
      <c r="E616" s="2430">
        <v>5.1182708857220716</v>
      </c>
      <c r="F616" s="2427">
        <v>0.58527638365391677</v>
      </c>
      <c r="G616" s="2429">
        <v>6.509083228207189E-3</v>
      </c>
      <c r="H616" s="2430">
        <v>14.074335763908078</v>
      </c>
      <c r="I616" s="2427">
        <v>0.62234627900684936</v>
      </c>
      <c r="J616" s="2431">
        <v>9.7600655916381708E-3</v>
      </c>
    </row>
    <row r="617" spans="1:10" x14ac:dyDescent="0.2">
      <c r="A617" s="2454" t="s">
        <v>310</v>
      </c>
      <c r="B617" s="2434">
        <v>106.2175</v>
      </c>
      <c r="C617" s="2455"/>
      <c r="D617" s="2435">
        <v>795.30794355</v>
      </c>
      <c r="E617" s="2436">
        <v>5.9988958654254798</v>
      </c>
      <c r="F617" s="2434">
        <v>0.68597621275321274</v>
      </c>
      <c r="G617" s="2435">
        <v>7.6290046652921061E-3</v>
      </c>
      <c r="H617" s="2436">
        <v>17.746224388784704</v>
      </c>
      <c r="I617" s="2434">
        <v>0.78471175478863564</v>
      </c>
      <c r="J617" s="2437">
        <v>1.2306393491238793E-2</v>
      </c>
    </row>
    <row r="618" spans="1:10" x14ac:dyDescent="0.2">
      <c r="A618" s="2453" t="s">
        <v>1839</v>
      </c>
      <c r="B618" s="2427">
        <v>0</v>
      </c>
      <c r="C618" s="2428">
        <v>39652080.629353955</v>
      </c>
      <c r="D618" s="2429">
        <v>0</v>
      </c>
      <c r="E618" s="2430">
        <v>0</v>
      </c>
      <c r="F618" s="2427">
        <v>0</v>
      </c>
      <c r="G618" s="2429">
        <v>0</v>
      </c>
      <c r="H618" s="2430">
        <v>0</v>
      </c>
      <c r="I618" s="2427">
        <v>0</v>
      </c>
      <c r="J618" s="2431">
        <v>0</v>
      </c>
    </row>
    <row r="619" spans="1:10" x14ac:dyDescent="0.2">
      <c r="A619" s="2454" t="s">
        <v>311</v>
      </c>
      <c r="B619" s="2434">
        <v>0</v>
      </c>
      <c r="C619" s="2433"/>
      <c r="D619" s="2435">
        <v>0</v>
      </c>
      <c r="E619" s="2436">
        <v>0</v>
      </c>
      <c r="F619" s="2434">
        <v>0</v>
      </c>
      <c r="G619" s="2435">
        <v>0</v>
      </c>
      <c r="H619" s="2436">
        <v>0</v>
      </c>
      <c r="I619" s="2434">
        <v>0</v>
      </c>
      <c r="J619" s="2437">
        <v>0</v>
      </c>
    </row>
    <row r="620" spans="1:10" x14ac:dyDescent="0.2">
      <c r="A620" s="2456" t="s">
        <v>129</v>
      </c>
      <c r="B620" s="2441">
        <v>1770.6175000000001</v>
      </c>
      <c r="C620" s="2440"/>
      <c r="D620" s="2442">
        <v>4481.5614078035687</v>
      </c>
      <c r="E620" s="2443">
        <v>100</v>
      </c>
      <c r="F620" s="2441">
        <v>11.435041183275464</v>
      </c>
      <c r="G620" s="2442">
        <v>0.12717348052767055</v>
      </c>
      <c r="H620" s="2443">
        <v>100</v>
      </c>
      <c r="I620" s="2441">
        <v>4.42185186886603</v>
      </c>
      <c r="J620" s="2444">
        <v>6.9346545054486147E-2</v>
      </c>
    </row>
    <row r="621" spans="1:10" x14ac:dyDescent="0.2">
      <c r="A621" s="2451" t="s">
        <v>1853</v>
      </c>
      <c r="B621" s="2427"/>
      <c r="C621" s="2452"/>
      <c r="D621" s="2429"/>
      <c r="E621" s="2430"/>
      <c r="F621" s="2427">
        <v>0</v>
      </c>
      <c r="G621" s="2429"/>
      <c r="H621" s="2430"/>
      <c r="I621" s="2427">
        <v>0</v>
      </c>
      <c r="J621" s="2431">
        <v>0</v>
      </c>
    </row>
    <row r="622" spans="1:10" x14ac:dyDescent="0.2">
      <c r="A622" s="2426" t="s">
        <v>1543</v>
      </c>
      <c r="B622" s="2427">
        <v>4900</v>
      </c>
      <c r="C622" s="2428">
        <v>13200000</v>
      </c>
      <c r="D622" s="2429">
        <v>64680</v>
      </c>
      <c r="E622" s="2430">
        <v>99.769918351556612</v>
      </c>
      <c r="F622" s="2427">
        <v>31.645288605839362</v>
      </c>
      <c r="G622" s="2429">
        <v>0.35193939661478874</v>
      </c>
      <c r="H622" s="2430">
        <v>99.82559844427638</v>
      </c>
      <c r="I622" s="2427">
        <v>63.818243878181555</v>
      </c>
      <c r="J622" s="2431">
        <v>1.0008419222626348</v>
      </c>
    </row>
    <row r="623" spans="1:10" x14ac:dyDescent="0.2">
      <c r="A623" s="2426" t="s">
        <v>208</v>
      </c>
      <c r="B623" s="2427">
        <v>11.3</v>
      </c>
      <c r="C623" s="2428">
        <v>10000000</v>
      </c>
      <c r="D623" s="2429">
        <v>113</v>
      </c>
      <c r="E623" s="2430">
        <v>0.23008164844338566</v>
      </c>
      <c r="F623" s="2427">
        <v>7.2977910458364242E-2</v>
      </c>
      <c r="G623" s="2429">
        <v>8.1161534321369652E-4</v>
      </c>
      <c r="H623" s="2430">
        <v>0.17440155572361213</v>
      </c>
      <c r="I623" s="2427">
        <v>0.11149445822873402</v>
      </c>
      <c r="J623" s="2431">
        <v>1.7485333521285984E-3</v>
      </c>
    </row>
    <row r="624" spans="1:10" x14ac:dyDescent="0.2">
      <c r="A624" s="2426" t="s">
        <v>209</v>
      </c>
      <c r="B624" s="2427">
        <v>0</v>
      </c>
      <c r="C624" s="2428">
        <v>10000000</v>
      </c>
      <c r="D624" s="2429">
        <v>0</v>
      </c>
      <c r="E624" s="2430">
        <v>0</v>
      </c>
      <c r="F624" s="2427">
        <v>0</v>
      </c>
      <c r="G624" s="2429">
        <v>0</v>
      </c>
      <c r="H624" s="2430">
        <v>0</v>
      </c>
      <c r="I624" s="2427">
        <v>0</v>
      </c>
      <c r="J624" s="2431">
        <v>0</v>
      </c>
    </row>
    <row r="625" spans="1:10" x14ac:dyDescent="0.2">
      <c r="A625" s="2426" t="s">
        <v>210</v>
      </c>
      <c r="B625" s="2427">
        <v>0</v>
      </c>
      <c r="C625" s="2428">
        <v>18500000</v>
      </c>
      <c r="D625" s="2429">
        <v>0</v>
      </c>
      <c r="E625" s="2430">
        <v>0</v>
      </c>
      <c r="F625" s="2427">
        <v>0</v>
      </c>
      <c r="G625" s="2429">
        <v>0</v>
      </c>
      <c r="H625" s="2430">
        <v>0</v>
      </c>
      <c r="I625" s="2427">
        <v>0</v>
      </c>
      <c r="J625" s="2431">
        <v>0</v>
      </c>
    </row>
    <row r="626" spans="1:10" x14ac:dyDescent="0.2">
      <c r="A626" s="2426" t="s">
        <v>1545</v>
      </c>
      <c r="B626" s="2427">
        <v>0</v>
      </c>
      <c r="C626" s="2428">
        <v>14200000</v>
      </c>
      <c r="D626" s="2429">
        <v>0</v>
      </c>
      <c r="E626" s="2430">
        <v>0</v>
      </c>
      <c r="F626" s="2427">
        <v>0</v>
      </c>
      <c r="G626" s="2429">
        <v>0</v>
      </c>
      <c r="H626" s="2430">
        <v>0</v>
      </c>
      <c r="I626" s="2427">
        <v>0</v>
      </c>
      <c r="J626" s="2431">
        <v>0</v>
      </c>
    </row>
    <row r="627" spans="1:10" x14ac:dyDescent="0.2">
      <c r="A627" s="2426" t="s">
        <v>1546</v>
      </c>
      <c r="B627" s="2427">
        <v>0</v>
      </c>
      <c r="C627" s="2428">
        <v>10000000</v>
      </c>
      <c r="D627" s="2429">
        <v>0</v>
      </c>
      <c r="E627" s="2430">
        <v>0</v>
      </c>
      <c r="F627" s="2427">
        <v>0</v>
      </c>
      <c r="G627" s="2429">
        <v>0</v>
      </c>
      <c r="H627" s="2430">
        <v>0</v>
      </c>
      <c r="I627" s="2427">
        <v>0</v>
      </c>
      <c r="J627" s="2431">
        <v>0</v>
      </c>
    </row>
    <row r="628" spans="1:10" x14ac:dyDescent="0.2">
      <c r="A628" s="2456" t="s">
        <v>121</v>
      </c>
      <c r="B628" s="2441">
        <v>4911.3</v>
      </c>
      <c r="C628" s="2440"/>
      <c r="D628" s="2442">
        <v>64793</v>
      </c>
      <c r="E628" s="2443">
        <v>100</v>
      </c>
      <c r="F628" s="2441">
        <v>31.718266516297728</v>
      </c>
      <c r="G628" s="2442">
        <v>0.35275101195800246</v>
      </c>
      <c r="H628" s="2443">
        <v>99.999999999999986</v>
      </c>
      <c r="I628" s="2441">
        <v>63.929738336410288</v>
      </c>
      <c r="J628" s="2444">
        <v>1.0025904556147636</v>
      </c>
    </row>
    <row r="629" spans="1:10" ht="14.25" thickBot="1" x14ac:dyDescent="0.25">
      <c r="A629" s="2457" t="s">
        <v>1840</v>
      </c>
      <c r="B629" s="2446">
        <v>15484.137500000001</v>
      </c>
      <c r="C629" s="2458"/>
      <c r="D629" s="2448">
        <v>101350.32879228609</v>
      </c>
      <c r="E629" s="2459"/>
      <c r="F629" s="2460">
        <v>100.00000000000001</v>
      </c>
      <c r="G629" s="2461">
        <v>1.1121383691531477</v>
      </c>
      <c r="H629" s="2462"/>
      <c r="I629" s="2460">
        <v>100</v>
      </c>
      <c r="J629" s="2463">
        <v>1.5682692932965629</v>
      </c>
    </row>
    <row r="630" spans="1:10" ht="15" thickBot="1" x14ac:dyDescent="0.25">
      <c r="A630" s="2464" t="s">
        <v>1841</v>
      </c>
      <c r="B630" s="2465">
        <v>1392285.1624830281</v>
      </c>
      <c r="C630" s="2466"/>
      <c r="D630" s="2467">
        <v>6462559.0276810033</v>
      </c>
      <c r="E630" s="2468"/>
      <c r="F630" s="2469"/>
      <c r="G630" s="2469"/>
      <c r="H630" s="2469"/>
      <c r="I630" s="2469"/>
      <c r="J630" s="2469"/>
    </row>
    <row r="631" spans="1:10" ht="16.5" thickBot="1" x14ac:dyDescent="0.3">
      <c r="A631" s="2470" t="s">
        <v>1842</v>
      </c>
      <c r="B631" s="2471">
        <v>1.1121383691531477</v>
      </c>
      <c r="C631" s="2472"/>
      <c r="D631" s="2473">
        <v>1.5682692932965627</v>
      </c>
      <c r="E631" s="2468"/>
      <c r="F631" s="2469"/>
      <c r="G631" s="2469"/>
      <c r="H631" s="2469"/>
      <c r="I631" s="2469"/>
      <c r="J631" s="2469"/>
    </row>
    <row r="632" spans="1:10" x14ac:dyDescent="0.2">
      <c r="A632" s="2474" t="s">
        <v>2023</v>
      </c>
      <c r="B632" s="2474"/>
      <c r="C632" s="2474"/>
      <c r="D632" s="2475"/>
      <c r="E632" s="2474"/>
      <c r="F632" s="2474"/>
      <c r="H632" s="2474"/>
      <c r="I632" s="2474"/>
      <c r="J632" s="2474"/>
    </row>
    <row r="633" spans="1:10" x14ac:dyDescent="0.2">
      <c r="A633" s="2474" t="s">
        <v>1843</v>
      </c>
      <c r="B633" s="2474"/>
      <c r="C633" s="2474"/>
      <c r="D633" s="2474"/>
      <c r="E633" s="2474"/>
      <c r="F633" s="2474"/>
      <c r="G633" s="2474"/>
      <c r="H633" s="2474"/>
      <c r="I633" s="2474"/>
      <c r="J633" s="2474"/>
    </row>
    <row r="634" spans="1:10" x14ac:dyDescent="0.2">
      <c r="A634" s="2474" t="s">
        <v>2024</v>
      </c>
      <c r="B634" s="2474"/>
      <c r="C634" s="2474"/>
      <c r="D634" s="2474"/>
      <c r="E634" s="2474"/>
      <c r="F634" s="2474"/>
      <c r="G634" s="2474"/>
      <c r="H634" s="2474"/>
      <c r="I634" s="2474"/>
      <c r="J634" s="2474"/>
    </row>
    <row r="638" spans="1:10" ht="13.5" thickBot="1" x14ac:dyDescent="0.25">
      <c r="A638" s="3321" t="s">
        <v>2021</v>
      </c>
      <c r="B638" s="3321"/>
      <c r="C638" s="3321"/>
      <c r="D638" s="3321"/>
      <c r="E638" s="3321"/>
      <c r="F638" s="3321"/>
      <c r="G638" s="3321"/>
      <c r="H638" s="3321"/>
      <c r="I638" s="3321"/>
      <c r="J638" s="3321"/>
    </row>
    <row r="639" spans="1:10" ht="13.5" customHeight="1" thickBot="1" x14ac:dyDescent="0.25">
      <c r="A639" s="3322" t="s">
        <v>360</v>
      </c>
      <c r="B639" s="3324" t="s">
        <v>1272</v>
      </c>
      <c r="C639" s="3324" t="s">
        <v>1832</v>
      </c>
      <c r="D639" s="3326" t="s">
        <v>1844</v>
      </c>
      <c r="E639" s="3328" t="s">
        <v>1849</v>
      </c>
      <c r="F639" s="3329"/>
      <c r="G639" s="3330"/>
      <c r="H639" s="3328" t="s">
        <v>1850</v>
      </c>
      <c r="I639" s="3329"/>
      <c r="J639" s="3331"/>
    </row>
    <row r="640" spans="1:10" ht="13.5" customHeight="1" thickBot="1" x14ac:dyDescent="0.25">
      <c r="A640" s="3323"/>
      <c r="B640" s="3325"/>
      <c r="C640" s="3325"/>
      <c r="D640" s="3327"/>
      <c r="E640" s="2415" t="s">
        <v>1848</v>
      </c>
      <c r="F640" s="2416" t="s">
        <v>1231</v>
      </c>
      <c r="G640" s="2417" t="s">
        <v>1833</v>
      </c>
      <c r="H640" s="2415" t="s">
        <v>1848</v>
      </c>
      <c r="I640" s="2416" t="s">
        <v>1231</v>
      </c>
      <c r="J640" s="2418" t="s">
        <v>1833</v>
      </c>
    </row>
    <row r="641" spans="1:10" x14ac:dyDescent="0.2">
      <c r="A641" s="2419" t="s">
        <v>1851</v>
      </c>
      <c r="B641" s="2420"/>
      <c r="C641" s="2420"/>
      <c r="D641" s="2421"/>
      <c r="E641" s="2422"/>
      <c r="F641" s="2423"/>
      <c r="G641" s="2424"/>
      <c r="H641" s="2422"/>
      <c r="I641" s="2423"/>
      <c r="J641" s="2425"/>
    </row>
    <row r="642" spans="1:10" x14ac:dyDescent="0.2">
      <c r="A642" s="2426" t="s">
        <v>410</v>
      </c>
      <c r="B642" s="2427">
        <v>0</v>
      </c>
      <c r="C642" s="2428">
        <v>5667200.0000000009</v>
      </c>
      <c r="D642" s="2429">
        <v>0</v>
      </c>
      <c r="E642" s="2430">
        <v>0</v>
      </c>
      <c r="F642" s="2427">
        <v>0</v>
      </c>
      <c r="G642" s="2429">
        <v>0</v>
      </c>
      <c r="H642" s="2430">
        <v>0</v>
      </c>
      <c r="I642" s="2427">
        <v>0</v>
      </c>
      <c r="J642" s="2431">
        <v>0</v>
      </c>
    </row>
    <row r="643" spans="1:10" x14ac:dyDescent="0.2">
      <c r="A643" s="2426" t="s">
        <v>411</v>
      </c>
      <c r="B643" s="2427">
        <v>597.5</v>
      </c>
      <c r="C643" s="2428">
        <v>1753716.5000000002</v>
      </c>
      <c r="D643" s="2429">
        <v>1047.8456087500001</v>
      </c>
      <c r="E643" s="2430">
        <v>5.122539943058789</v>
      </c>
      <c r="F643" s="2427">
        <v>4.0654437789099402</v>
      </c>
      <c r="G643" s="2429">
        <v>4.2915059077007406E-2</v>
      </c>
      <c r="H643" s="2430">
        <v>1.8080216653158319</v>
      </c>
      <c r="I643" s="2427">
        <v>1.4224930936111264</v>
      </c>
      <c r="J643" s="2431">
        <v>1.6214097298945747E-2</v>
      </c>
    </row>
    <row r="644" spans="1:10" x14ac:dyDescent="0.2">
      <c r="A644" s="2426" t="s">
        <v>278</v>
      </c>
      <c r="B644" s="2427">
        <v>142.80000000000001</v>
      </c>
      <c r="C644" s="2428">
        <v>1637875</v>
      </c>
      <c r="D644" s="2429">
        <v>233.88855000000004</v>
      </c>
      <c r="E644" s="2430">
        <v>1.2242656131695315</v>
      </c>
      <c r="F644" s="2427">
        <v>0.97162405293445953</v>
      </c>
      <c r="G644" s="2429">
        <v>1.0256519558488129E-2</v>
      </c>
      <c r="H644" s="2430">
        <v>0.40356667254994144</v>
      </c>
      <c r="I644" s="2427">
        <v>0.31751323312468921</v>
      </c>
      <c r="J644" s="2431">
        <v>3.6191321270442243E-3</v>
      </c>
    </row>
    <row r="645" spans="1:10" x14ac:dyDescent="0.2">
      <c r="A645" s="2426" t="s">
        <v>200</v>
      </c>
      <c r="B645" s="2427">
        <v>305.2</v>
      </c>
      <c r="C645" s="2428">
        <v>7709114.5</v>
      </c>
      <c r="D645" s="2429">
        <v>2352.8217454000001</v>
      </c>
      <c r="E645" s="2430">
        <v>2.6165676830486064</v>
      </c>
      <c r="F645" s="2427">
        <v>2.0766082699971782</v>
      </c>
      <c r="G645" s="2429">
        <v>2.192079670343541E-2</v>
      </c>
      <c r="H645" s="2430">
        <v>4.0597132390372392</v>
      </c>
      <c r="I645" s="2427">
        <v>3.1940513520137186</v>
      </c>
      <c r="J645" s="2431">
        <v>3.6406967198631165E-2</v>
      </c>
    </row>
    <row r="646" spans="1:10" x14ac:dyDescent="0.2">
      <c r="A646" s="2426" t="s">
        <v>429</v>
      </c>
      <c r="B646" s="2427">
        <v>0</v>
      </c>
      <c r="C646" s="2428">
        <v>1255000</v>
      </c>
      <c r="D646" s="2429">
        <v>0</v>
      </c>
      <c r="E646" s="2430">
        <v>0</v>
      </c>
      <c r="F646" s="2427">
        <v>0</v>
      </c>
      <c r="G646" s="2429">
        <v>0</v>
      </c>
      <c r="H646" s="2430">
        <v>0</v>
      </c>
      <c r="I646" s="2427">
        <v>0</v>
      </c>
      <c r="J646" s="2431">
        <v>0</v>
      </c>
    </row>
    <row r="647" spans="1:10" x14ac:dyDescent="0.2">
      <c r="A647" s="2432" t="s">
        <v>431</v>
      </c>
      <c r="B647" s="2427">
        <v>0</v>
      </c>
      <c r="C647" s="2428">
        <v>0</v>
      </c>
      <c r="D647" s="2429">
        <v>0</v>
      </c>
      <c r="E647" s="2430">
        <v>0</v>
      </c>
      <c r="F647" s="2427">
        <v>0</v>
      </c>
      <c r="G647" s="2429">
        <v>0</v>
      </c>
      <c r="H647" s="2430">
        <v>0</v>
      </c>
      <c r="I647" s="2427">
        <v>0</v>
      </c>
      <c r="J647" s="2431">
        <v>0</v>
      </c>
    </row>
    <row r="648" spans="1:10" x14ac:dyDescent="0.2">
      <c r="A648" s="2432" t="s">
        <v>430</v>
      </c>
      <c r="B648" s="2427">
        <v>0</v>
      </c>
      <c r="C648" s="2428">
        <v>0</v>
      </c>
      <c r="D648" s="2429">
        <v>0</v>
      </c>
      <c r="E648" s="2430">
        <v>0</v>
      </c>
      <c r="F648" s="2427">
        <v>0</v>
      </c>
      <c r="G648" s="2429">
        <v>0</v>
      </c>
      <c r="H648" s="2430">
        <v>0</v>
      </c>
      <c r="I648" s="2427">
        <v>0</v>
      </c>
      <c r="J648" s="2431">
        <v>0</v>
      </c>
    </row>
    <row r="649" spans="1:10" x14ac:dyDescent="0.2">
      <c r="A649" s="2433" t="s">
        <v>279</v>
      </c>
      <c r="B649" s="2434">
        <v>1045.5</v>
      </c>
      <c r="C649" s="2433"/>
      <c r="D649" s="2435">
        <v>3634.5559041500001</v>
      </c>
      <c r="E649" s="2436">
        <v>8.9633732392769261</v>
      </c>
      <c r="F649" s="2434">
        <v>7.1136761018415777</v>
      </c>
      <c r="G649" s="2435">
        <v>7.5092375338930942E-2</v>
      </c>
      <c r="H649" s="2436">
        <v>6.2713015769030127</v>
      </c>
      <c r="I649" s="2434">
        <v>4.934057678749534</v>
      </c>
      <c r="J649" s="2437">
        <v>5.6240196624621132E-2</v>
      </c>
    </row>
    <row r="650" spans="1:10" x14ac:dyDescent="0.2">
      <c r="A650" s="2438" t="s">
        <v>412</v>
      </c>
      <c r="B650" s="2427">
        <v>53.0625</v>
      </c>
      <c r="C650" s="2428">
        <v>4129499.9999999995</v>
      </c>
      <c r="D650" s="2429">
        <v>219.12159374999996</v>
      </c>
      <c r="E650" s="2430">
        <v>0.45492012674235477</v>
      </c>
      <c r="F650" s="2427">
        <v>0.36104202597223217</v>
      </c>
      <c r="G650" s="2429">
        <v>3.8111804556882098E-3</v>
      </c>
      <c r="H650" s="2430">
        <v>0.37808679592706657</v>
      </c>
      <c r="I650" s="2427">
        <v>0.29746648854335606</v>
      </c>
      <c r="J650" s="2431">
        <v>3.3906319897650298E-3</v>
      </c>
    </row>
    <row r="651" spans="1:10" x14ac:dyDescent="0.2">
      <c r="A651" s="2438" t="s">
        <v>413</v>
      </c>
      <c r="B651" s="2427">
        <v>0</v>
      </c>
      <c r="C651" s="2428">
        <v>1200000</v>
      </c>
      <c r="D651" s="2429">
        <v>0</v>
      </c>
      <c r="E651" s="2430">
        <v>0</v>
      </c>
      <c r="F651" s="2427">
        <v>0</v>
      </c>
      <c r="G651" s="2429">
        <v>0</v>
      </c>
      <c r="H651" s="2430">
        <v>0</v>
      </c>
      <c r="I651" s="2427">
        <v>0</v>
      </c>
      <c r="J651" s="2431">
        <v>0</v>
      </c>
    </row>
    <row r="652" spans="1:10" x14ac:dyDescent="0.2">
      <c r="A652" s="2426" t="s">
        <v>90</v>
      </c>
      <c r="B652" s="2427">
        <v>0</v>
      </c>
      <c r="C652" s="2428">
        <v>1743000</v>
      </c>
      <c r="D652" s="2429">
        <v>0</v>
      </c>
      <c r="E652" s="2430">
        <v>0</v>
      </c>
      <c r="F652" s="2427">
        <v>0</v>
      </c>
      <c r="G652" s="2429">
        <v>0</v>
      </c>
      <c r="H652" s="2430">
        <v>0</v>
      </c>
      <c r="I652" s="2427">
        <v>0</v>
      </c>
      <c r="J652" s="2431">
        <v>0</v>
      </c>
    </row>
    <row r="653" spans="1:10" x14ac:dyDescent="0.2">
      <c r="A653" s="2426" t="s">
        <v>417</v>
      </c>
      <c r="B653" s="2427">
        <v>27</v>
      </c>
      <c r="C653" s="2428">
        <v>2563999.9999999995</v>
      </c>
      <c r="D653" s="2429">
        <v>69.22799999999998</v>
      </c>
      <c r="E653" s="2430">
        <v>0.23147879240600386</v>
      </c>
      <c r="F653" s="2427">
        <v>0.18371043017668351</v>
      </c>
      <c r="G653" s="2429">
        <v>1.939257899714142E-3</v>
      </c>
      <c r="H653" s="2430">
        <v>0.11945054004262856</v>
      </c>
      <c r="I653" s="2427">
        <v>9.3979829721275263E-2</v>
      </c>
      <c r="J653" s="2431">
        <v>1.071216521249191E-3</v>
      </c>
    </row>
    <row r="654" spans="1:10" x14ac:dyDescent="0.2">
      <c r="A654" s="2426" t="s">
        <v>418</v>
      </c>
      <c r="B654" s="2427">
        <v>140</v>
      </c>
      <c r="C654" s="2428">
        <v>2222500</v>
      </c>
      <c r="D654" s="2429">
        <v>311.14999999999998</v>
      </c>
      <c r="E654" s="2430">
        <v>1.200260405068168</v>
      </c>
      <c r="F654" s="2427">
        <v>0.95257260091613682</v>
      </c>
      <c r="G654" s="2429">
        <v>1.0055411331851108E-2</v>
      </c>
      <c r="H654" s="2430">
        <v>0.53687865508557064</v>
      </c>
      <c r="I654" s="2427">
        <v>0.42239879843090661</v>
      </c>
      <c r="J654" s="2431">
        <v>4.8146562169452504E-3</v>
      </c>
    </row>
    <row r="655" spans="1:10" x14ac:dyDescent="0.2">
      <c r="A655" s="2426" t="s">
        <v>423</v>
      </c>
      <c r="B655" s="2427">
        <v>0</v>
      </c>
      <c r="C655" s="2428">
        <v>2531500</v>
      </c>
      <c r="D655" s="2429">
        <v>0</v>
      </c>
      <c r="E655" s="2430">
        <v>0</v>
      </c>
      <c r="F655" s="2427">
        <v>0</v>
      </c>
      <c r="G655" s="2429">
        <v>0</v>
      </c>
      <c r="H655" s="2430">
        <v>0</v>
      </c>
      <c r="I655" s="2427">
        <v>0</v>
      </c>
      <c r="J655" s="2431">
        <v>0</v>
      </c>
    </row>
    <row r="656" spans="1:10" x14ac:dyDescent="0.2">
      <c r="A656" s="2426" t="s">
        <v>424</v>
      </c>
      <c r="B656" s="2427">
        <v>0</v>
      </c>
      <c r="C656" s="2428">
        <v>1369000</v>
      </c>
      <c r="D656" s="2429">
        <v>0</v>
      </c>
      <c r="E656" s="2430">
        <v>0</v>
      </c>
      <c r="F656" s="2427">
        <v>0</v>
      </c>
      <c r="G656" s="2429">
        <v>0</v>
      </c>
      <c r="H656" s="2430">
        <v>0</v>
      </c>
      <c r="I656" s="2427">
        <v>0</v>
      </c>
      <c r="J656" s="2431">
        <v>0</v>
      </c>
    </row>
    <row r="657" spans="1:10" x14ac:dyDescent="0.2">
      <c r="A657" s="2426" t="s">
        <v>280</v>
      </c>
      <c r="B657" s="2427">
        <v>0</v>
      </c>
      <c r="C657" s="2428">
        <v>1574500</v>
      </c>
      <c r="D657" s="2429">
        <v>0</v>
      </c>
      <c r="E657" s="2430">
        <v>0</v>
      </c>
      <c r="F657" s="2427">
        <v>0</v>
      </c>
      <c r="G657" s="2429">
        <v>0</v>
      </c>
      <c r="H657" s="2430">
        <v>0</v>
      </c>
      <c r="I657" s="2427">
        <v>0</v>
      </c>
      <c r="J657" s="2431">
        <v>0</v>
      </c>
    </row>
    <row r="658" spans="1:10" x14ac:dyDescent="0.2">
      <c r="A658" s="2426" t="s">
        <v>427</v>
      </c>
      <c r="B658" s="2427">
        <v>0</v>
      </c>
      <c r="C658" s="2428">
        <v>2072000</v>
      </c>
      <c r="D658" s="2429">
        <v>0</v>
      </c>
      <c r="E658" s="2430">
        <v>0</v>
      </c>
      <c r="F658" s="2427">
        <v>0</v>
      </c>
      <c r="G658" s="2429">
        <v>0</v>
      </c>
      <c r="H658" s="2430">
        <v>0</v>
      </c>
      <c r="I658" s="2427">
        <v>0</v>
      </c>
      <c r="J658" s="2431">
        <v>0</v>
      </c>
    </row>
    <row r="659" spans="1:10" x14ac:dyDescent="0.2">
      <c r="A659" s="2426" t="s">
        <v>428</v>
      </c>
      <c r="B659" s="2427">
        <v>0</v>
      </c>
      <c r="C659" s="2428">
        <v>1326280</v>
      </c>
      <c r="D659" s="2429">
        <v>0</v>
      </c>
      <c r="E659" s="2430">
        <v>0</v>
      </c>
      <c r="F659" s="2427">
        <v>0</v>
      </c>
      <c r="G659" s="2429">
        <v>0</v>
      </c>
      <c r="H659" s="2430">
        <v>0</v>
      </c>
      <c r="I659" s="2427">
        <v>0</v>
      </c>
      <c r="J659" s="2431">
        <v>0</v>
      </c>
    </row>
    <row r="660" spans="1:10" x14ac:dyDescent="0.2">
      <c r="A660" s="2439" t="s">
        <v>92</v>
      </c>
      <c r="B660" s="2427">
        <v>782</v>
      </c>
      <c r="C660" s="2428">
        <v>2215500</v>
      </c>
      <c r="D660" s="2429">
        <v>1732.521</v>
      </c>
      <c r="E660" s="2430">
        <v>6.7043116911664811</v>
      </c>
      <c r="F660" s="2427">
        <v>5.3207983851172775</v>
      </c>
      <c r="G660" s="2429">
        <v>5.6166654725054041E-2</v>
      </c>
      <c r="H660" s="2430">
        <v>2.9894055741202248</v>
      </c>
      <c r="I660" s="2427">
        <v>2.3519678247029172</v>
      </c>
      <c r="J660" s="2431">
        <v>2.6808590723568067E-2</v>
      </c>
    </row>
    <row r="661" spans="1:10" x14ac:dyDescent="0.2">
      <c r="A661" s="2433" t="s">
        <v>281</v>
      </c>
      <c r="B661" s="2434">
        <v>1002.0625</v>
      </c>
      <c r="C661" s="2433"/>
      <c r="D661" s="2435">
        <v>2332.02059375</v>
      </c>
      <c r="E661" s="2436">
        <v>8.5909710153830083</v>
      </c>
      <c r="F661" s="2434">
        <v>6.8181234421823307</v>
      </c>
      <c r="G661" s="2435">
        <v>7.1972504412307486E-2</v>
      </c>
      <c r="H661" s="2436">
        <v>4.0238215651754912</v>
      </c>
      <c r="I661" s="2434">
        <v>3.1658129413984555</v>
      </c>
      <c r="J661" s="2437">
        <v>3.6085095451527535E-2</v>
      </c>
    </row>
    <row r="662" spans="1:10" x14ac:dyDescent="0.2">
      <c r="A662" s="2440" t="s">
        <v>106</v>
      </c>
      <c r="B662" s="2441">
        <v>2047.5625</v>
      </c>
      <c r="C662" s="2440"/>
      <c r="D662" s="2442">
        <v>5966.5764978999996</v>
      </c>
      <c r="E662" s="2443">
        <v>17.554344254659934</v>
      </c>
      <c r="F662" s="2441">
        <v>13.93179954402391</v>
      </c>
      <c r="G662" s="2442">
        <v>0.14706487975123844</v>
      </c>
      <c r="H662" s="2443">
        <v>10.295123142078502</v>
      </c>
      <c r="I662" s="2441">
        <v>8.0998706201479891</v>
      </c>
      <c r="J662" s="2444">
        <v>9.232529207614866E-2</v>
      </c>
    </row>
    <row r="663" spans="1:10" x14ac:dyDescent="0.2">
      <c r="A663" s="2426" t="s">
        <v>905</v>
      </c>
      <c r="B663" s="2427">
        <v>20</v>
      </c>
      <c r="C663" s="2428">
        <v>6100000</v>
      </c>
      <c r="D663" s="2429">
        <v>122</v>
      </c>
      <c r="E663" s="2430">
        <v>0.17146577215259545</v>
      </c>
      <c r="F663" s="2427">
        <v>0.13608180013087667</v>
      </c>
      <c r="G663" s="2429">
        <v>1.4364873331215865E-3</v>
      </c>
      <c r="H663" s="2430">
        <v>0.21050681639222121</v>
      </c>
      <c r="I663" s="2427">
        <v>0.16561996917425875</v>
      </c>
      <c r="J663" s="2431">
        <v>1.8877970704397258E-3</v>
      </c>
    </row>
    <row r="664" spans="1:10" x14ac:dyDescent="0.2">
      <c r="A664" s="2426" t="s">
        <v>906</v>
      </c>
      <c r="B664" s="2427">
        <v>35</v>
      </c>
      <c r="C664" s="2428">
        <v>3022000.0000000005</v>
      </c>
      <c r="D664" s="2429">
        <v>105.77000000000001</v>
      </c>
      <c r="E664" s="2430">
        <v>0.300065101267042</v>
      </c>
      <c r="F664" s="2427">
        <v>0.23814315022903421</v>
      </c>
      <c r="G664" s="2429">
        <v>2.5138528329627769E-3</v>
      </c>
      <c r="H664" s="2430">
        <v>0.18250250794922326</v>
      </c>
      <c r="I664" s="2427">
        <v>0.14358708311115861</v>
      </c>
      <c r="J664" s="2431">
        <v>1.6366581650853263E-3</v>
      </c>
    </row>
    <row r="665" spans="1:10" x14ac:dyDescent="0.2">
      <c r="A665" s="2426" t="s">
        <v>907</v>
      </c>
      <c r="B665" s="2427">
        <v>3.5</v>
      </c>
      <c r="C665" s="2428">
        <v>2324000</v>
      </c>
      <c r="D665" s="2429">
        <v>8.1340000000000003</v>
      </c>
      <c r="E665" s="2430">
        <v>3.0006510126704203E-2</v>
      </c>
      <c r="F665" s="2427">
        <v>2.3814315022903418E-2</v>
      </c>
      <c r="G665" s="2429">
        <v>2.5138528329627768E-4</v>
      </c>
      <c r="H665" s="2430">
        <v>1.40349380699535E-2</v>
      </c>
      <c r="I665" s="2427">
        <v>1.1042236305437875E-2</v>
      </c>
      <c r="J665" s="2431">
        <v>1.2586345386030105E-4</v>
      </c>
    </row>
    <row r="666" spans="1:10" x14ac:dyDescent="0.2">
      <c r="A666" s="2439" t="s">
        <v>908</v>
      </c>
      <c r="B666" s="2427">
        <v>450</v>
      </c>
      <c r="C666" s="2428">
        <v>2403999.9999999995</v>
      </c>
      <c r="D666" s="2429">
        <v>1081.7999999999997</v>
      </c>
      <c r="E666" s="2430">
        <v>3.8579798734333974</v>
      </c>
      <c r="F666" s="2427">
        <v>3.0618405029447251</v>
      </c>
      <c r="G666" s="2429">
        <v>3.23209649952357E-2</v>
      </c>
      <c r="H666" s="2430">
        <v>1.8666088030582364</v>
      </c>
      <c r="I666" s="2427">
        <v>1.4685875627271563</v>
      </c>
      <c r="J666" s="2431">
        <v>1.6739498940997497E-2</v>
      </c>
    </row>
    <row r="667" spans="1:10" x14ac:dyDescent="0.2">
      <c r="A667" s="2440" t="s">
        <v>282</v>
      </c>
      <c r="B667" s="2441">
        <v>508.5</v>
      </c>
      <c r="C667" s="2440"/>
      <c r="D667" s="2442">
        <v>1317.7039999999997</v>
      </c>
      <c r="E667" s="2443">
        <v>4.3595172569797391</v>
      </c>
      <c r="F667" s="2441">
        <v>3.4598797683275393</v>
      </c>
      <c r="G667" s="2442">
        <v>3.652269044461634E-2</v>
      </c>
      <c r="H667" s="2443">
        <v>2.2736530654696341</v>
      </c>
      <c r="I667" s="2441">
        <v>1.7888368513180115</v>
      </c>
      <c r="J667" s="2444">
        <v>2.0389817630382851E-2</v>
      </c>
    </row>
    <row r="668" spans="1:10" x14ac:dyDescent="0.2">
      <c r="A668" s="2426" t="s">
        <v>955</v>
      </c>
      <c r="B668" s="2427">
        <v>131.38999999999999</v>
      </c>
      <c r="C668" s="2428">
        <v>12137000</v>
      </c>
      <c r="D668" s="2429">
        <v>1594.6804299999997</v>
      </c>
      <c r="E668" s="2430">
        <v>1.1264443901564756</v>
      </c>
      <c r="F668" s="2427">
        <v>0.89398938595979427</v>
      </c>
      <c r="G668" s="2429">
        <v>9.4370035349422635E-3</v>
      </c>
      <c r="H668" s="2430">
        <v>2.7515663973957234</v>
      </c>
      <c r="I668" s="2427">
        <v>2.1648436365524071</v>
      </c>
      <c r="J668" s="2431">
        <v>2.4675680688865255E-2</v>
      </c>
    </row>
    <row r="669" spans="1:10" x14ac:dyDescent="0.2">
      <c r="A669" s="2426" t="s">
        <v>283</v>
      </c>
      <c r="B669" s="2427">
        <v>1365.9058541601669</v>
      </c>
      <c r="C669" s="2428">
        <v>13024549.999999996</v>
      </c>
      <c r="D669" s="2429">
        <v>17790.309092801795</v>
      </c>
      <c r="E669" s="2430">
        <v>11.710305098566172</v>
      </c>
      <c r="F669" s="2427">
        <v>9.2937463721709115</v>
      </c>
      <c r="G669" s="2429">
        <v>9.8105322886885046E-2</v>
      </c>
      <c r="H669" s="2430">
        <v>30.696568276715496</v>
      </c>
      <c r="I669" s="2427">
        <v>24.151069209429249</v>
      </c>
      <c r="J669" s="2431">
        <v>0.27528273268531511</v>
      </c>
    </row>
    <row r="670" spans="1:10" x14ac:dyDescent="0.2">
      <c r="A670" s="2426" t="s">
        <v>69</v>
      </c>
      <c r="B670" s="2427">
        <v>1078.877145839833</v>
      </c>
      <c r="C670" s="2428">
        <v>14978232.499999994</v>
      </c>
      <c r="D670" s="2429">
        <v>16159.672729325421</v>
      </c>
      <c r="E670" s="2430">
        <v>9.2495251434607635</v>
      </c>
      <c r="F670" s="2427">
        <v>7.3407772062973429</v>
      </c>
      <c r="G670" s="2429">
        <v>7.7489667699664547E-2</v>
      </c>
      <c r="H670" s="2430">
        <v>27.882961149102375</v>
      </c>
      <c r="I670" s="2427">
        <v>21.937413928663819</v>
      </c>
      <c r="J670" s="2431">
        <v>0.25005067899742012</v>
      </c>
    </row>
    <row r="671" spans="1:10" x14ac:dyDescent="0.2">
      <c r="A671" s="2426" t="s">
        <v>199</v>
      </c>
      <c r="B671" s="2427">
        <v>510</v>
      </c>
      <c r="C671" s="2428">
        <v>3000000</v>
      </c>
      <c r="D671" s="2429">
        <v>1530</v>
      </c>
      <c r="E671" s="2430">
        <v>4.3723771898911838</v>
      </c>
      <c r="F671" s="2427">
        <v>3.4700859033373552</v>
      </c>
      <c r="G671" s="2429">
        <v>3.6630426994600458E-2</v>
      </c>
      <c r="H671" s="2430">
        <v>2.6399625334434296</v>
      </c>
      <c r="I671" s="2427">
        <v>2.0770373183329172</v>
      </c>
      <c r="J671" s="2431">
        <v>2.367483211289164E-2</v>
      </c>
    </row>
    <row r="672" spans="1:10" x14ac:dyDescent="0.2">
      <c r="A672" s="2426" t="s">
        <v>86</v>
      </c>
      <c r="B672" s="2427">
        <v>1020</v>
      </c>
      <c r="C672" s="2428">
        <v>170000</v>
      </c>
      <c r="D672" s="2429">
        <v>173.4</v>
      </c>
      <c r="E672" s="2430">
        <v>8.7447543797823677</v>
      </c>
      <c r="F672" s="2427">
        <v>6.9401718066747105</v>
      </c>
      <c r="G672" s="2429">
        <v>7.3260853989200916E-2</v>
      </c>
      <c r="H672" s="2430">
        <v>0.29919575379025537</v>
      </c>
      <c r="I672" s="2427">
        <v>0.2353975627443973</v>
      </c>
      <c r="J672" s="2431">
        <v>2.683147639461053E-3</v>
      </c>
    </row>
    <row r="673" spans="1:10" x14ac:dyDescent="0.2">
      <c r="A673" s="2439" t="s">
        <v>213</v>
      </c>
      <c r="B673" s="2427">
        <v>2647.7999999999997</v>
      </c>
      <c r="C673" s="2428">
        <v>1850000.0000000005</v>
      </c>
      <c r="D673" s="2429">
        <v>4898.4300000000012</v>
      </c>
      <c r="E673" s="2430">
        <v>22.700353575282108</v>
      </c>
      <c r="F673" s="2427">
        <v>18.01586951932676</v>
      </c>
      <c r="G673" s="2429">
        <v>0.19017655803196684</v>
      </c>
      <c r="H673" s="2430">
        <v>8.4520729886897392</v>
      </c>
      <c r="I673" s="2427">
        <v>6.6498182426415129</v>
      </c>
      <c r="J673" s="2431">
        <v>7.5797063965197267E-2</v>
      </c>
    </row>
    <row r="674" spans="1:10" x14ac:dyDescent="0.2">
      <c r="A674" s="2433" t="s">
        <v>1834</v>
      </c>
      <c r="B674" s="2434">
        <v>6753.973</v>
      </c>
      <c r="C674" s="2433"/>
      <c r="D674" s="2435">
        <v>42146.492252127216</v>
      </c>
      <c r="E674" s="2436">
        <v>57.903759777139072</v>
      </c>
      <c r="F674" s="2434">
        <v>45.954640193766878</v>
      </c>
      <c r="G674" s="2435">
        <v>0.48509983313726007</v>
      </c>
      <c r="H674" s="2436">
        <v>72.722327099137019</v>
      </c>
      <c r="I674" s="2434">
        <v>57.215579898364297</v>
      </c>
      <c r="J674" s="2437">
        <v>0.65216413608915036</v>
      </c>
    </row>
    <row r="675" spans="1:10" x14ac:dyDescent="0.2">
      <c r="A675" s="2426" t="s">
        <v>961</v>
      </c>
      <c r="B675" s="2427">
        <v>753.5</v>
      </c>
      <c r="C675" s="2428">
        <v>3668000</v>
      </c>
      <c r="D675" s="2429">
        <v>2763.8380000000002</v>
      </c>
      <c r="E675" s="2430">
        <v>6.4599729658490341</v>
      </c>
      <c r="F675" s="2427">
        <v>5.1268818199307784</v>
      </c>
      <c r="G675" s="2429">
        <v>5.4119660275355773E-2</v>
      </c>
      <c r="H675" s="2430">
        <v>4.7689076918347864</v>
      </c>
      <c r="I675" s="2427">
        <v>3.7520226587102052</v>
      </c>
      <c r="J675" s="2431">
        <v>4.2766928521065499E-2</v>
      </c>
    </row>
    <row r="676" spans="1:10" x14ac:dyDescent="0.2">
      <c r="A676" s="2426" t="s">
        <v>962</v>
      </c>
      <c r="B676" s="2427">
        <v>39.899999999999991</v>
      </c>
      <c r="C676" s="2428">
        <v>1999999.9999999998</v>
      </c>
      <c r="D676" s="2429">
        <v>79.799999999999969</v>
      </c>
      <c r="E676" s="2430">
        <v>0.34207421544442784</v>
      </c>
      <c r="F676" s="2427">
        <v>0.27148319126109888</v>
      </c>
      <c r="G676" s="2429">
        <v>2.8657922295775647E-3</v>
      </c>
      <c r="H676" s="2430">
        <v>0.1376921635090102</v>
      </c>
      <c r="I676" s="2427">
        <v>0.10833175032873642</v>
      </c>
      <c r="J676" s="2431">
        <v>1.2348049690253282E-3</v>
      </c>
    </row>
    <row r="677" spans="1:10" x14ac:dyDescent="0.2">
      <c r="A677" s="2426" t="s">
        <v>963</v>
      </c>
      <c r="B677" s="2427">
        <v>0</v>
      </c>
      <c r="C677" s="2428">
        <v>1347999.9999999998</v>
      </c>
      <c r="D677" s="2429">
        <v>0</v>
      </c>
      <c r="E677" s="2430">
        <v>0</v>
      </c>
      <c r="F677" s="2427">
        <v>0</v>
      </c>
      <c r="G677" s="2429">
        <v>0</v>
      </c>
      <c r="H677" s="2430">
        <v>0</v>
      </c>
      <c r="I677" s="2427">
        <v>0</v>
      </c>
      <c r="J677" s="2431">
        <v>0</v>
      </c>
    </row>
    <row r="678" spans="1:10" x14ac:dyDescent="0.2">
      <c r="A678" s="2426" t="s">
        <v>965</v>
      </c>
      <c r="B678" s="2427">
        <v>0</v>
      </c>
      <c r="C678" s="2428">
        <v>1599999.9999999995</v>
      </c>
      <c r="D678" s="2429">
        <v>0</v>
      </c>
      <c r="E678" s="2430">
        <v>0</v>
      </c>
      <c r="F678" s="2427">
        <v>0</v>
      </c>
      <c r="G678" s="2429">
        <v>0</v>
      </c>
      <c r="H678" s="2430">
        <v>0</v>
      </c>
      <c r="I678" s="2427">
        <v>0</v>
      </c>
      <c r="J678" s="2431">
        <v>0</v>
      </c>
    </row>
    <row r="679" spans="1:10" x14ac:dyDescent="0.2">
      <c r="A679" s="2426" t="s">
        <v>966</v>
      </c>
      <c r="B679" s="2427">
        <v>23.199999999999996</v>
      </c>
      <c r="C679" s="2428">
        <v>2244000</v>
      </c>
      <c r="D679" s="2429">
        <v>52.060799999999993</v>
      </c>
      <c r="E679" s="2430">
        <v>0.19890029569701065</v>
      </c>
      <c r="F679" s="2427">
        <v>0.15785488815181692</v>
      </c>
      <c r="G679" s="2429">
        <v>1.6663253064210402E-3</v>
      </c>
      <c r="H679" s="2430">
        <v>8.982912513796841E-2</v>
      </c>
      <c r="I679" s="2427">
        <v>7.0674656485141388E-2</v>
      </c>
      <c r="J679" s="2431">
        <v>8.0557562069465951E-4</v>
      </c>
    </row>
    <row r="680" spans="1:10" x14ac:dyDescent="0.2">
      <c r="A680" s="2426" t="s">
        <v>1499</v>
      </c>
      <c r="B680" s="2427">
        <v>0</v>
      </c>
      <c r="C680" s="2428">
        <v>4849999.9999999991</v>
      </c>
      <c r="D680" s="2429">
        <v>0</v>
      </c>
      <c r="E680" s="2430">
        <v>0</v>
      </c>
      <c r="F680" s="2427">
        <v>0</v>
      </c>
      <c r="G680" s="2429">
        <v>0</v>
      </c>
      <c r="H680" s="2430">
        <v>0</v>
      </c>
      <c r="I680" s="2427">
        <v>0</v>
      </c>
      <c r="J680" s="2431">
        <v>0</v>
      </c>
    </row>
    <row r="681" spans="1:10" x14ac:dyDescent="0.2">
      <c r="A681" s="2426" t="s">
        <v>1575</v>
      </c>
      <c r="B681" s="2427">
        <v>40</v>
      </c>
      <c r="C681" s="2428">
        <v>2250000.0000000005</v>
      </c>
      <c r="D681" s="2429">
        <v>90.000000000000014</v>
      </c>
      <c r="E681" s="2430">
        <v>0.34293154430519091</v>
      </c>
      <c r="F681" s="2427">
        <v>0.27216360026175335</v>
      </c>
      <c r="G681" s="2429">
        <v>2.872974666243173E-3</v>
      </c>
      <c r="H681" s="2430">
        <v>0.15529191373196649</v>
      </c>
      <c r="I681" s="2427">
        <v>0.12217866578428926</v>
      </c>
      <c r="J681" s="2431">
        <v>1.3926371831112733E-3</v>
      </c>
    </row>
    <row r="682" spans="1:10" x14ac:dyDescent="0.2">
      <c r="A682" s="2426" t="s">
        <v>964</v>
      </c>
      <c r="B682" s="2427">
        <v>0</v>
      </c>
      <c r="C682" s="2428">
        <v>1556000</v>
      </c>
      <c r="D682" s="2429">
        <v>0</v>
      </c>
      <c r="E682" s="2430">
        <v>0</v>
      </c>
      <c r="F682" s="2427">
        <v>0</v>
      </c>
      <c r="G682" s="2429">
        <v>0</v>
      </c>
      <c r="H682" s="2430">
        <v>0</v>
      </c>
      <c r="I682" s="2427">
        <v>0</v>
      </c>
      <c r="J682" s="2431">
        <v>0</v>
      </c>
    </row>
    <row r="683" spans="1:10" x14ac:dyDescent="0.2">
      <c r="A683" s="2426" t="s">
        <v>969</v>
      </c>
      <c r="B683" s="2427">
        <v>658.90000000000009</v>
      </c>
      <c r="C683" s="2428">
        <v>4800000</v>
      </c>
      <c r="D683" s="2429">
        <v>3162.7200000000003</v>
      </c>
      <c r="E683" s="2430">
        <v>5.6489398635672581</v>
      </c>
      <c r="F683" s="2427">
        <v>4.4832149053117325</v>
      </c>
      <c r="G683" s="2429">
        <v>4.7325075189690674E-2</v>
      </c>
      <c r="H683" s="2430">
        <v>5.4571649044262776</v>
      </c>
      <c r="I683" s="2427">
        <v>4.2935212205476363</v>
      </c>
      <c r="J683" s="2431">
        <v>4.8939127464107619E-2</v>
      </c>
    </row>
    <row r="684" spans="1:10" x14ac:dyDescent="0.2">
      <c r="A684" s="2426" t="s">
        <v>968</v>
      </c>
      <c r="B684" s="2427">
        <v>213.40000000000003</v>
      </c>
      <c r="C684" s="2428">
        <v>3050000.0000000009</v>
      </c>
      <c r="D684" s="2429">
        <v>650.87000000000035</v>
      </c>
      <c r="E684" s="2430">
        <v>1.8295397888681939</v>
      </c>
      <c r="F684" s="2427">
        <v>1.4519928073964543</v>
      </c>
      <c r="G684" s="2429">
        <v>1.5327319844407331E-2</v>
      </c>
      <c r="H684" s="2430">
        <v>1.1230538654525006</v>
      </c>
      <c r="I684" s="2427">
        <v>0.88358253554467092</v>
      </c>
      <c r="J684" s="2431">
        <v>1.0071397370795942E-2</v>
      </c>
    </row>
    <row r="685" spans="1:10" x14ac:dyDescent="0.2">
      <c r="A685" s="2426" t="s">
        <v>1013</v>
      </c>
      <c r="B685" s="2427">
        <v>0</v>
      </c>
      <c r="C685" s="2428">
        <v>1799999.9999999998</v>
      </c>
      <c r="D685" s="2429">
        <v>0</v>
      </c>
      <c r="E685" s="2430">
        <v>0</v>
      </c>
      <c r="F685" s="2427">
        <v>0</v>
      </c>
      <c r="G685" s="2429">
        <v>0</v>
      </c>
      <c r="H685" s="2430">
        <v>0</v>
      </c>
      <c r="I685" s="2427">
        <v>0</v>
      </c>
      <c r="J685" s="2431">
        <v>0</v>
      </c>
    </row>
    <row r="686" spans="1:10" x14ac:dyDescent="0.2">
      <c r="A686" s="2426" t="s">
        <v>1014</v>
      </c>
      <c r="B686" s="2427">
        <v>0</v>
      </c>
      <c r="C686" s="2428">
        <v>2195000.0000000005</v>
      </c>
      <c r="D686" s="2429">
        <v>0</v>
      </c>
      <c r="E686" s="2430">
        <v>0</v>
      </c>
      <c r="F686" s="2427">
        <v>0</v>
      </c>
      <c r="G686" s="2429">
        <v>0</v>
      </c>
      <c r="H686" s="2430">
        <v>0</v>
      </c>
      <c r="I686" s="2427">
        <v>0</v>
      </c>
      <c r="J686" s="2431">
        <v>0</v>
      </c>
    </row>
    <row r="687" spans="1:10" x14ac:dyDescent="0.2">
      <c r="A687" s="2426" t="s">
        <v>970</v>
      </c>
      <c r="B687" s="2427">
        <v>163.79999999999998</v>
      </c>
      <c r="C687" s="2428">
        <v>3100000.0000000005</v>
      </c>
      <c r="D687" s="2429">
        <v>507.78</v>
      </c>
      <c r="E687" s="2430">
        <v>1.4043046739297567</v>
      </c>
      <c r="F687" s="2427">
        <v>1.1145099430718797</v>
      </c>
      <c r="G687" s="2429">
        <v>1.1764831258265792E-2</v>
      </c>
      <c r="H687" s="2430">
        <v>0.87615697727575459</v>
      </c>
      <c r="I687" s="2427">
        <v>0.68933203235495988</v>
      </c>
      <c r="J687" s="2431">
        <v>7.8572589871138028E-3</v>
      </c>
    </row>
    <row r="688" spans="1:10" x14ac:dyDescent="0.2">
      <c r="A688" s="2426" t="s">
        <v>971</v>
      </c>
      <c r="B688" s="2427">
        <v>0</v>
      </c>
      <c r="C688" s="2428">
        <v>3010000</v>
      </c>
      <c r="D688" s="2429">
        <v>0</v>
      </c>
      <c r="E688" s="2430">
        <v>0</v>
      </c>
      <c r="F688" s="2427">
        <v>0</v>
      </c>
      <c r="G688" s="2429">
        <v>0</v>
      </c>
      <c r="H688" s="2430">
        <v>0</v>
      </c>
      <c r="I688" s="2427">
        <v>0</v>
      </c>
      <c r="J688" s="2431">
        <v>0</v>
      </c>
    </row>
    <row r="689" spans="1:10" x14ac:dyDescent="0.2">
      <c r="A689" s="2426" t="s">
        <v>972</v>
      </c>
      <c r="B689" s="2427">
        <v>65</v>
      </c>
      <c r="C689" s="2428">
        <v>2744000.0000000005</v>
      </c>
      <c r="D689" s="2429">
        <v>178.36000000000004</v>
      </c>
      <c r="E689" s="2430">
        <v>0.55726375949593521</v>
      </c>
      <c r="F689" s="2427">
        <v>0.44226585042534916</v>
      </c>
      <c r="G689" s="2429">
        <v>4.6685838326451564E-3</v>
      </c>
      <c r="H689" s="2430">
        <v>0.30775406370259489</v>
      </c>
      <c r="I689" s="2427">
        <v>0.24213096476984261</v>
      </c>
      <c r="J689" s="2431">
        <v>2.7598974219969637E-3</v>
      </c>
    </row>
    <row r="690" spans="1:10" x14ac:dyDescent="0.2">
      <c r="A690" s="2426" t="s">
        <v>973</v>
      </c>
      <c r="B690" s="2427">
        <v>128.1</v>
      </c>
      <c r="C690" s="2428">
        <v>2549999.9999999991</v>
      </c>
      <c r="D690" s="2429">
        <v>326.65499999999986</v>
      </c>
      <c r="E690" s="2430">
        <v>1.0982382706373739</v>
      </c>
      <c r="F690" s="2427">
        <v>0.87160392983826507</v>
      </c>
      <c r="G690" s="2429">
        <v>9.2007013686437617E-3</v>
      </c>
      <c r="H690" s="2430">
        <v>0.56363200089017196</v>
      </c>
      <c r="I690" s="2427">
        <v>0.44344746746407765</v>
      </c>
      <c r="J690" s="2431">
        <v>5.0545766561023633E-3</v>
      </c>
    </row>
    <row r="691" spans="1:10" x14ac:dyDescent="0.2">
      <c r="A691" s="2426" t="s">
        <v>974</v>
      </c>
      <c r="B691" s="2427">
        <v>0</v>
      </c>
      <c r="C691" s="2428">
        <v>1583999.9999999995</v>
      </c>
      <c r="D691" s="2429">
        <v>0</v>
      </c>
      <c r="E691" s="2430">
        <v>0</v>
      </c>
      <c r="F691" s="2427">
        <v>0</v>
      </c>
      <c r="G691" s="2429">
        <v>0</v>
      </c>
      <c r="H691" s="2430">
        <v>0</v>
      </c>
      <c r="I691" s="2427">
        <v>0</v>
      </c>
      <c r="J691" s="2431">
        <v>0</v>
      </c>
    </row>
    <row r="692" spans="1:10" x14ac:dyDescent="0.2">
      <c r="A692" s="2426" t="s">
        <v>975</v>
      </c>
      <c r="B692" s="2427">
        <v>171.7</v>
      </c>
      <c r="C692" s="2428">
        <v>2532000.0000000009</v>
      </c>
      <c r="D692" s="2429">
        <v>434.7444000000001</v>
      </c>
      <c r="E692" s="2430">
        <v>1.4720336539300318</v>
      </c>
      <c r="F692" s="2427">
        <v>1.1682622541235761</v>
      </c>
      <c r="G692" s="2429">
        <v>1.233224375484882E-2</v>
      </c>
      <c r="H692" s="2430">
        <v>0.75013655400283918</v>
      </c>
      <c r="I692" s="2427">
        <v>0.59018323054657074</v>
      </c>
      <c r="J692" s="2431">
        <v>6.7271246287711186E-3</v>
      </c>
    </row>
    <row r="693" spans="1:10" x14ac:dyDescent="0.2">
      <c r="A693" s="2426" t="s">
        <v>976</v>
      </c>
      <c r="B693" s="2427">
        <v>8.4000000000000021</v>
      </c>
      <c r="C693" s="2428">
        <v>7394999.9999999991</v>
      </c>
      <c r="D693" s="2429">
        <v>62.118000000000009</v>
      </c>
      <c r="E693" s="2430">
        <v>7.2015624304090101E-2</v>
      </c>
      <c r="F693" s="2427">
        <v>5.7154356054968221E-2</v>
      </c>
      <c r="G693" s="2429">
        <v>6.0332467991106649E-4</v>
      </c>
      <c r="H693" s="2430">
        <v>0.10718247885780326</v>
      </c>
      <c r="I693" s="2427">
        <v>8.4327715124316444E-2</v>
      </c>
      <c r="J693" s="2431">
        <v>9.6119818378340085E-4</v>
      </c>
    </row>
    <row r="694" spans="1:10" x14ac:dyDescent="0.2">
      <c r="A694" s="2426" t="s">
        <v>286</v>
      </c>
      <c r="B694" s="2427">
        <v>88.199999999999989</v>
      </c>
      <c r="C694" s="2428">
        <v>2445000.0000000005</v>
      </c>
      <c r="D694" s="2429">
        <v>215.649</v>
      </c>
      <c r="E694" s="2430">
        <v>0.75616405519294583</v>
      </c>
      <c r="F694" s="2427">
        <v>0.60012073857716608</v>
      </c>
      <c r="G694" s="2429">
        <v>6.3349091390661957E-3</v>
      </c>
      <c r="H694" s="2430">
        <v>0.37209495449316476</v>
      </c>
      <c r="I694" s="2427">
        <v>0.29275230108573547</v>
      </c>
      <c r="J694" s="2431">
        <v>3.3368979544529213E-3</v>
      </c>
    </row>
    <row r="695" spans="1:10" x14ac:dyDescent="0.2">
      <c r="A695" s="2439" t="s">
        <v>978</v>
      </c>
      <c r="B695" s="2427">
        <v>0</v>
      </c>
      <c r="C695" s="2428">
        <v>1850000.0000000002</v>
      </c>
      <c r="D695" s="2429">
        <v>0</v>
      </c>
      <c r="E695" s="2430">
        <v>0</v>
      </c>
      <c r="F695" s="2427">
        <v>0</v>
      </c>
      <c r="G695" s="2429">
        <v>0</v>
      </c>
      <c r="H695" s="2430">
        <v>0</v>
      </c>
      <c r="I695" s="2427">
        <v>0</v>
      </c>
      <c r="J695" s="2431">
        <v>0</v>
      </c>
    </row>
    <row r="696" spans="1:10" x14ac:dyDescent="0.2">
      <c r="A696" s="2426" t="s">
        <v>1163</v>
      </c>
      <c r="B696" s="2427">
        <v>0</v>
      </c>
      <c r="C696" s="2428">
        <v>0</v>
      </c>
      <c r="D696" s="2429">
        <v>0</v>
      </c>
      <c r="E696" s="2430">
        <v>0</v>
      </c>
      <c r="F696" s="2427">
        <v>0</v>
      </c>
      <c r="G696" s="2429">
        <v>0</v>
      </c>
      <c r="H696" s="2430">
        <v>0</v>
      </c>
      <c r="I696" s="2427">
        <v>0</v>
      </c>
      <c r="J696" s="2431">
        <v>0</v>
      </c>
    </row>
    <row r="697" spans="1:10" x14ac:dyDescent="0.2">
      <c r="A697" s="2433" t="s">
        <v>287</v>
      </c>
      <c r="B697" s="2434">
        <v>2354.1</v>
      </c>
      <c r="C697" s="2433"/>
      <c r="D697" s="2435">
        <v>8524.5952000000016</v>
      </c>
      <c r="E697" s="2436">
        <v>20.182378711221247</v>
      </c>
      <c r="F697" s="2434">
        <v>16.017508284404837</v>
      </c>
      <c r="G697" s="2435">
        <v>0.16908174154507635</v>
      </c>
      <c r="H697" s="2436">
        <v>14.708896693314838</v>
      </c>
      <c r="I697" s="2434">
        <v>11.572485198746184</v>
      </c>
      <c r="J697" s="2437">
        <v>0.1319074249610209</v>
      </c>
    </row>
    <row r="698" spans="1:10" x14ac:dyDescent="0.2">
      <c r="A698" s="2440" t="s">
        <v>1835</v>
      </c>
      <c r="B698" s="2441">
        <v>9108.0730000000003</v>
      </c>
      <c r="C698" s="2440"/>
      <c r="D698" s="2442">
        <v>50671.08745212722</v>
      </c>
      <c r="E698" s="2443">
        <v>78.086138488360319</v>
      </c>
      <c r="F698" s="2441">
        <v>61.972148478171718</v>
      </c>
      <c r="G698" s="2442">
        <v>0.65418157468233651</v>
      </c>
      <c r="H698" s="2443">
        <v>87.43122379245186</v>
      </c>
      <c r="I698" s="2441">
        <v>68.78806509711049</v>
      </c>
      <c r="J698" s="2444">
        <v>0.78407156105017128</v>
      </c>
    </row>
    <row r="699" spans="1:10" x14ac:dyDescent="0.2">
      <c r="A699" s="2445" t="s">
        <v>194</v>
      </c>
      <c r="B699" s="2446">
        <v>11664.1355</v>
      </c>
      <c r="C699" s="2447"/>
      <c r="D699" s="2448">
        <v>57955.367950027219</v>
      </c>
      <c r="E699" s="2449">
        <v>100</v>
      </c>
      <c r="F699" s="2446">
        <v>79.36382779052316</v>
      </c>
      <c r="G699" s="2448">
        <v>0.83776914487819121</v>
      </c>
      <c r="H699" s="2449">
        <v>100</v>
      </c>
      <c r="I699" s="2446">
        <v>78.676772568576496</v>
      </c>
      <c r="J699" s="2450">
        <v>0.89678667075670293</v>
      </c>
    </row>
    <row r="700" spans="1:10" x14ac:dyDescent="0.2">
      <c r="A700" s="2451" t="s">
        <v>1852</v>
      </c>
      <c r="B700" s="2427"/>
      <c r="C700" s="2452"/>
      <c r="D700" s="2429"/>
      <c r="E700" s="2430"/>
      <c r="F700" s="2427">
        <v>0</v>
      </c>
      <c r="G700" s="2429"/>
      <c r="H700" s="2430"/>
      <c r="I700" s="2427">
        <v>0</v>
      </c>
      <c r="J700" s="2431">
        <v>0</v>
      </c>
    </row>
    <row r="701" spans="1:10" x14ac:dyDescent="0.2">
      <c r="A701" s="2453" t="s">
        <v>1836</v>
      </c>
      <c r="B701" s="2427">
        <v>0</v>
      </c>
      <c r="C701" s="2428">
        <v>8033612.4975057133</v>
      </c>
      <c r="D701" s="2429">
        <v>0</v>
      </c>
      <c r="E701" s="2430">
        <v>0</v>
      </c>
      <c r="F701" s="2427">
        <v>0</v>
      </c>
      <c r="G701" s="2429">
        <v>0</v>
      </c>
      <c r="H701" s="2430">
        <v>0</v>
      </c>
      <c r="I701" s="2427">
        <v>0</v>
      </c>
      <c r="J701" s="2431">
        <v>0</v>
      </c>
    </row>
    <row r="702" spans="1:10" x14ac:dyDescent="0.2">
      <c r="A702" s="2453" t="s">
        <v>1837</v>
      </c>
      <c r="B702" s="2427">
        <v>2180.5100000000002</v>
      </c>
      <c r="C702" s="2428">
        <v>2214764.1578067578</v>
      </c>
      <c r="D702" s="2429">
        <v>4829.3153937392135</v>
      </c>
      <c r="E702" s="2430">
        <v>97.153056464357846</v>
      </c>
      <c r="F702" s="2427">
        <v>14.836386300168897</v>
      </c>
      <c r="G702" s="2429">
        <v>0.15661374973724757</v>
      </c>
      <c r="H702" s="2430">
        <v>89.288790470298196</v>
      </c>
      <c r="I702" s="2427">
        <v>6.5559923495398502</v>
      </c>
      <c r="J702" s="2431">
        <v>7.4727602069920962E-2</v>
      </c>
    </row>
    <row r="703" spans="1:10" x14ac:dyDescent="0.2">
      <c r="A703" s="2454" t="s">
        <v>309</v>
      </c>
      <c r="B703" s="2434">
        <v>2180.5100000000002</v>
      </c>
      <c r="C703" s="2433"/>
      <c r="D703" s="2435">
        <v>4829.3153937392135</v>
      </c>
      <c r="E703" s="2436">
        <v>97.153056464357846</v>
      </c>
      <c r="F703" s="2434">
        <v>14.836386300168897</v>
      </c>
      <c r="G703" s="2435">
        <v>0.15661374973724757</v>
      </c>
      <c r="H703" s="2436">
        <v>89.288790470298196</v>
      </c>
      <c r="I703" s="2434">
        <v>6.5559923495398502</v>
      </c>
      <c r="J703" s="2437">
        <v>7.4727602069920962E-2</v>
      </c>
    </row>
    <row r="704" spans="1:10" x14ac:dyDescent="0.2">
      <c r="A704" s="2453" t="s">
        <v>1838</v>
      </c>
      <c r="B704" s="2427">
        <v>0</v>
      </c>
      <c r="C704" s="2428">
        <v>10407427.50198495</v>
      </c>
      <c r="D704" s="2429">
        <v>0</v>
      </c>
      <c r="E704" s="2430">
        <v>0</v>
      </c>
      <c r="F704" s="2427">
        <v>0</v>
      </c>
      <c r="G704" s="2429">
        <v>0</v>
      </c>
      <c r="H704" s="2430">
        <v>0</v>
      </c>
      <c r="I704" s="2427">
        <v>0</v>
      </c>
      <c r="J704" s="2431">
        <v>0</v>
      </c>
    </row>
    <row r="705" spans="1:10" x14ac:dyDescent="0.2">
      <c r="A705" s="2454" t="s">
        <v>315</v>
      </c>
      <c r="B705" s="2434">
        <v>0</v>
      </c>
      <c r="C705" s="2455"/>
      <c r="D705" s="2435">
        <v>0</v>
      </c>
      <c r="E705" s="2436">
        <v>0</v>
      </c>
      <c r="F705" s="2434">
        <v>0</v>
      </c>
      <c r="G705" s="2435">
        <v>0</v>
      </c>
      <c r="H705" s="2436">
        <v>0</v>
      </c>
      <c r="I705" s="2434">
        <v>0</v>
      </c>
      <c r="J705" s="2437">
        <v>0</v>
      </c>
    </row>
    <row r="706" spans="1:10" x14ac:dyDescent="0.2">
      <c r="A706" s="2453" t="s">
        <v>1541</v>
      </c>
      <c r="B706" s="2427">
        <v>6.0720000000000001</v>
      </c>
      <c r="C706" s="2428">
        <v>10553660</v>
      </c>
      <c r="D706" s="2429">
        <v>64.08182352</v>
      </c>
      <c r="E706" s="2430">
        <v>0.27053916691580449</v>
      </c>
      <c r="F706" s="2427">
        <v>4.1314434519734156E-2</v>
      </c>
      <c r="G706" s="2429">
        <v>4.361175543357137E-4</v>
      </c>
      <c r="H706" s="2430">
        <v>1.1848032374629553</v>
      </c>
      <c r="I706" s="2427">
        <v>8.699368554108762E-2</v>
      </c>
      <c r="J706" s="2431">
        <v>9.9158589106140577E-4</v>
      </c>
    </row>
    <row r="707" spans="1:10" x14ac:dyDescent="0.2">
      <c r="A707" s="2453" t="s">
        <v>206</v>
      </c>
      <c r="B707" s="2427">
        <v>54.375</v>
      </c>
      <c r="C707" s="2428">
        <v>6960000</v>
      </c>
      <c r="D707" s="2429">
        <v>378.45</v>
      </c>
      <c r="E707" s="2430">
        <v>2.4226889329787329</v>
      </c>
      <c r="F707" s="2427">
        <v>0.36997239410582095</v>
      </c>
      <c r="G707" s="2429">
        <v>3.9054499369243138E-3</v>
      </c>
      <c r="H707" s="2430">
        <v>6.9971289920910698</v>
      </c>
      <c r="I707" s="2427">
        <v>0.51376128962293621</v>
      </c>
      <c r="J707" s="2431">
        <v>5.8560393549829028E-3</v>
      </c>
    </row>
    <row r="708" spans="1:10" x14ac:dyDescent="0.2">
      <c r="A708" s="2454" t="s">
        <v>310</v>
      </c>
      <c r="B708" s="2434">
        <v>60.447000000000003</v>
      </c>
      <c r="C708" s="2455"/>
      <c r="D708" s="2435">
        <v>442.53182351999999</v>
      </c>
      <c r="E708" s="2436">
        <v>2.6932280998945379</v>
      </c>
      <c r="F708" s="2434">
        <v>0.41128682862555516</v>
      </c>
      <c r="G708" s="2435">
        <v>4.3415674912600276E-3</v>
      </c>
      <c r="H708" s="2436">
        <v>8.1819322295540253</v>
      </c>
      <c r="I708" s="2434">
        <v>0.60075497516402387</v>
      </c>
      <c r="J708" s="2437">
        <v>6.8476252460443077E-3</v>
      </c>
    </row>
    <row r="709" spans="1:10" x14ac:dyDescent="0.2">
      <c r="A709" s="2453" t="s">
        <v>1839</v>
      </c>
      <c r="B709" s="2427">
        <v>3.45</v>
      </c>
      <c r="C709" s="2428">
        <v>39652080.629353955</v>
      </c>
      <c r="D709" s="2429">
        <v>136.79967817127115</v>
      </c>
      <c r="E709" s="2430">
        <v>0.15371543574761617</v>
      </c>
      <c r="F709" s="2427">
        <v>2.3474110522576228E-2</v>
      </c>
      <c r="G709" s="2429">
        <v>2.4779406496347375E-4</v>
      </c>
      <c r="H709" s="2430">
        <v>2.5292773001477848</v>
      </c>
      <c r="I709" s="2427">
        <v>0.18571113509651185</v>
      </c>
      <c r="J709" s="2431">
        <v>2.1168035384329753E-3</v>
      </c>
    </row>
    <row r="710" spans="1:10" x14ac:dyDescent="0.2">
      <c r="A710" s="2454" t="s">
        <v>311</v>
      </c>
      <c r="B710" s="2434">
        <v>3.45</v>
      </c>
      <c r="C710" s="2433"/>
      <c r="D710" s="2435">
        <v>136.79967817127115</v>
      </c>
      <c r="E710" s="2436">
        <v>0.15371543574761617</v>
      </c>
      <c r="F710" s="2434">
        <v>2.3474110522576228E-2</v>
      </c>
      <c r="G710" s="2435">
        <v>2.4779406496347375E-4</v>
      </c>
      <c r="H710" s="2436">
        <v>2.5292773001477848</v>
      </c>
      <c r="I710" s="2434">
        <v>0.18571113509651185</v>
      </c>
      <c r="J710" s="2437">
        <v>2.1168035384329753E-3</v>
      </c>
    </row>
    <row r="711" spans="1:10" x14ac:dyDescent="0.2">
      <c r="A711" s="2456" t="s">
        <v>129</v>
      </c>
      <c r="B711" s="2441">
        <v>2244.4070000000002</v>
      </c>
      <c r="C711" s="2440"/>
      <c r="D711" s="2442">
        <v>5408.6468954304846</v>
      </c>
      <c r="E711" s="2443">
        <v>100</v>
      </c>
      <c r="F711" s="2441">
        <v>15.271147239317026</v>
      </c>
      <c r="G711" s="2442">
        <v>0.16120311129347106</v>
      </c>
      <c r="H711" s="2443">
        <v>100</v>
      </c>
      <c r="I711" s="2441">
        <v>7.3424584598003868</v>
      </c>
      <c r="J711" s="2444">
        <v>8.3692030854398247E-2</v>
      </c>
    </row>
    <row r="712" spans="1:10" x14ac:dyDescent="0.2">
      <c r="A712" s="2451" t="s">
        <v>1853</v>
      </c>
      <c r="B712" s="2427"/>
      <c r="C712" s="2452"/>
      <c r="D712" s="2429"/>
      <c r="E712" s="2430"/>
      <c r="F712" s="2427">
        <v>0</v>
      </c>
      <c r="G712" s="2429"/>
      <c r="H712" s="2430"/>
      <c r="I712" s="2427">
        <v>0</v>
      </c>
      <c r="J712" s="2431">
        <v>0</v>
      </c>
    </row>
    <row r="713" spans="1:10" x14ac:dyDescent="0.2">
      <c r="A713" s="2426" t="s">
        <v>1543</v>
      </c>
      <c r="B713" s="2427">
        <v>648</v>
      </c>
      <c r="C713" s="2428">
        <v>13200000</v>
      </c>
      <c r="D713" s="2429">
        <v>8553.6</v>
      </c>
      <c r="E713" s="2430">
        <v>82.181357006975261</v>
      </c>
      <c r="F713" s="2427">
        <v>4.409050324240404</v>
      </c>
      <c r="G713" s="2429">
        <v>4.6542189593139403E-2</v>
      </c>
      <c r="H713" s="2430">
        <v>83.055949352339155</v>
      </c>
      <c r="I713" s="2427">
        <v>11.61186039613885</v>
      </c>
      <c r="J713" s="2431">
        <v>0.13235623788289541</v>
      </c>
    </row>
    <row r="714" spans="1:10" x14ac:dyDescent="0.2">
      <c r="A714" s="2426" t="s">
        <v>208</v>
      </c>
      <c r="B714" s="2427">
        <v>100.5</v>
      </c>
      <c r="C714" s="2428">
        <v>10000000</v>
      </c>
      <c r="D714" s="2429">
        <v>1005</v>
      </c>
      <c r="E714" s="2430">
        <v>12.745719720989221</v>
      </c>
      <c r="F714" s="2427">
        <v>0.68381104565765527</v>
      </c>
      <c r="G714" s="2429">
        <v>7.218348848935973E-3</v>
      </c>
      <c r="H714" s="2430">
        <v>9.7586079661313185</v>
      </c>
      <c r="I714" s="2427">
        <v>1.3643284345912299</v>
      </c>
      <c r="J714" s="2431">
        <v>1.5551115211409216E-2</v>
      </c>
    </row>
    <row r="715" spans="1:10" x14ac:dyDescent="0.2">
      <c r="A715" s="2426" t="s">
        <v>209</v>
      </c>
      <c r="B715" s="2427">
        <v>0</v>
      </c>
      <c r="C715" s="2428">
        <v>10000000</v>
      </c>
      <c r="D715" s="2429">
        <v>0</v>
      </c>
      <c r="E715" s="2430">
        <v>0</v>
      </c>
      <c r="F715" s="2427">
        <v>0</v>
      </c>
      <c r="G715" s="2429">
        <v>0</v>
      </c>
      <c r="H715" s="2430">
        <v>0</v>
      </c>
      <c r="I715" s="2427">
        <v>0</v>
      </c>
      <c r="J715" s="2431">
        <v>0</v>
      </c>
    </row>
    <row r="716" spans="1:10" x14ac:dyDescent="0.2">
      <c r="A716" s="2426" t="s">
        <v>210</v>
      </c>
      <c r="B716" s="2427">
        <v>40</v>
      </c>
      <c r="C716" s="2428">
        <v>18500000</v>
      </c>
      <c r="D716" s="2429">
        <v>740</v>
      </c>
      <c r="E716" s="2430">
        <v>5.0729232720355109</v>
      </c>
      <c r="F716" s="2427">
        <v>0.27216360026175335</v>
      </c>
      <c r="G716" s="2429">
        <v>2.872974666243173E-3</v>
      </c>
      <c r="H716" s="2430">
        <v>7.1854426815295271</v>
      </c>
      <c r="I716" s="2427">
        <v>1.0045801408930448</v>
      </c>
      <c r="J716" s="2431">
        <v>1.1450572394470468E-2</v>
      </c>
    </row>
    <row r="717" spans="1:10" x14ac:dyDescent="0.2">
      <c r="A717" s="2426" t="s">
        <v>1545</v>
      </c>
      <c r="B717" s="2427">
        <v>0</v>
      </c>
      <c r="C717" s="2428">
        <v>14200000</v>
      </c>
      <c r="D717" s="2429">
        <v>0</v>
      </c>
      <c r="E717" s="2430">
        <v>0</v>
      </c>
      <c r="F717" s="2427">
        <v>0</v>
      </c>
      <c r="G717" s="2429">
        <v>0</v>
      </c>
      <c r="H717" s="2430">
        <v>0</v>
      </c>
      <c r="I717" s="2427">
        <v>0</v>
      </c>
      <c r="J717" s="2431">
        <v>0</v>
      </c>
    </row>
    <row r="718" spans="1:10" x14ac:dyDescent="0.2">
      <c r="A718" s="2426" t="s">
        <v>1546</v>
      </c>
      <c r="B718" s="2427">
        <v>0</v>
      </c>
      <c r="C718" s="2428">
        <v>10000000</v>
      </c>
      <c r="D718" s="2429">
        <v>0</v>
      </c>
      <c r="E718" s="2430">
        <v>0</v>
      </c>
      <c r="F718" s="2427">
        <v>0</v>
      </c>
      <c r="G718" s="2429">
        <v>0</v>
      </c>
      <c r="H718" s="2430">
        <v>0</v>
      </c>
      <c r="I718" s="2427">
        <v>0</v>
      </c>
      <c r="J718" s="2431">
        <v>0</v>
      </c>
    </row>
    <row r="719" spans="1:10" x14ac:dyDescent="0.2">
      <c r="A719" s="2456" t="s">
        <v>121</v>
      </c>
      <c r="B719" s="2441">
        <v>788.5</v>
      </c>
      <c r="C719" s="2440"/>
      <c r="D719" s="2442">
        <v>10298.6</v>
      </c>
      <c r="E719" s="2443">
        <v>99.999999999999986</v>
      </c>
      <c r="F719" s="2441">
        <v>5.3650249701598129</v>
      </c>
      <c r="G719" s="2442">
        <v>5.6633513108318552E-2</v>
      </c>
      <c r="H719" s="2443">
        <v>100</v>
      </c>
      <c r="I719" s="2441">
        <v>13.980768971623124</v>
      </c>
      <c r="J719" s="2444">
        <v>0.15935792548877509</v>
      </c>
    </row>
    <row r="720" spans="1:10" ht="14.25" thickBot="1" x14ac:dyDescent="0.25">
      <c r="A720" s="2457" t="s">
        <v>1840</v>
      </c>
      <c r="B720" s="2446">
        <v>14697.0425</v>
      </c>
      <c r="C720" s="2458"/>
      <c r="D720" s="2448">
        <v>73662.614845457705</v>
      </c>
      <c r="E720" s="2459"/>
      <c r="F720" s="2460">
        <v>100</v>
      </c>
      <c r="G720" s="2461">
        <v>1.055605769279981</v>
      </c>
      <c r="H720" s="2462"/>
      <c r="I720" s="2460">
        <v>100</v>
      </c>
      <c r="J720" s="2463">
        <v>1.1398366270998763</v>
      </c>
    </row>
    <row r="721" spans="1:10" ht="15" thickBot="1" x14ac:dyDescent="0.25">
      <c r="A721" s="2464" t="s">
        <v>1841</v>
      </c>
      <c r="B721" s="2465">
        <v>1392285.1624830281</v>
      </c>
      <c r="C721" s="2466"/>
      <c r="D721" s="2467">
        <v>6462559.0276810033</v>
      </c>
      <c r="E721" s="2468"/>
      <c r="F721" s="2469"/>
      <c r="G721" s="2469"/>
      <c r="H721" s="2469"/>
      <c r="I721" s="2469"/>
      <c r="J721" s="2469"/>
    </row>
    <row r="722" spans="1:10" ht="16.5" thickBot="1" x14ac:dyDescent="0.3">
      <c r="A722" s="2470" t="s">
        <v>1842</v>
      </c>
      <c r="B722" s="2471">
        <v>1.0556057692799807</v>
      </c>
      <c r="C722" s="2472"/>
      <c r="D722" s="2473">
        <v>1.1398366270998761</v>
      </c>
      <c r="E722" s="2468"/>
      <c r="F722" s="2469"/>
      <c r="G722" s="2469"/>
      <c r="H722" s="2469"/>
      <c r="I722" s="2469"/>
      <c r="J722" s="2469"/>
    </row>
    <row r="723" spans="1:10" x14ac:dyDescent="0.2">
      <c r="A723" s="2474" t="s">
        <v>2023</v>
      </c>
      <c r="B723" s="2474"/>
      <c r="C723" s="2474"/>
      <c r="D723" s="2475"/>
      <c r="E723" s="2474"/>
      <c r="F723" s="2474"/>
      <c r="H723" s="2474"/>
      <c r="I723" s="2474"/>
      <c r="J723" s="2474"/>
    </row>
    <row r="724" spans="1:10" x14ac:dyDescent="0.2">
      <c r="A724" s="2474" t="s">
        <v>1843</v>
      </c>
      <c r="B724" s="2474"/>
      <c r="C724" s="2474"/>
      <c r="D724" s="2474"/>
      <c r="E724" s="2474"/>
      <c r="F724" s="2474"/>
      <c r="G724" s="2474"/>
      <c r="H724" s="2474"/>
      <c r="I724" s="2474"/>
      <c r="J724" s="2474"/>
    </row>
    <row r="725" spans="1:10" x14ac:dyDescent="0.2">
      <c r="A725" s="2474" t="s">
        <v>2024</v>
      </c>
      <c r="B725" s="2474"/>
      <c r="C725" s="2474"/>
      <c r="D725" s="2474"/>
      <c r="E725" s="2474"/>
      <c r="F725" s="2474"/>
      <c r="G725" s="2474"/>
      <c r="H725" s="2474"/>
      <c r="I725" s="2474"/>
      <c r="J725" s="2474"/>
    </row>
    <row r="729" spans="1:10" ht="13.5" thickBot="1" x14ac:dyDescent="0.25">
      <c r="A729" s="3321" t="s">
        <v>2021</v>
      </c>
      <c r="B729" s="3321"/>
      <c r="C729" s="3321"/>
      <c r="D729" s="3321"/>
      <c r="E729" s="3321"/>
      <c r="F729" s="3321"/>
      <c r="G729" s="3321"/>
      <c r="H729" s="3321"/>
      <c r="I729" s="3321"/>
      <c r="J729" s="3321"/>
    </row>
    <row r="730" spans="1:10" ht="13.5" customHeight="1" thickBot="1" x14ac:dyDescent="0.25">
      <c r="A730" s="3322" t="s">
        <v>938</v>
      </c>
      <c r="B730" s="3324" t="s">
        <v>1272</v>
      </c>
      <c r="C730" s="3324" t="s">
        <v>1832</v>
      </c>
      <c r="D730" s="3326" t="s">
        <v>1844</v>
      </c>
      <c r="E730" s="3328" t="s">
        <v>1849</v>
      </c>
      <c r="F730" s="3329"/>
      <c r="G730" s="3330"/>
      <c r="H730" s="3328" t="s">
        <v>1850</v>
      </c>
      <c r="I730" s="3329"/>
      <c r="J730" s="3331"/>
    </row>
    <row r="731" spans="1:10" ht="13.5" customHeight="1" thickBot="1" x14ac:dyDescent="0.25">
      <c r="A731" s="3323"/>
      <c r="B731" s="3325"/>
      <c r="C731" s="3325"/>
      <c r="D731" s="3327"/>
      <c r="E731" s="2415" t="s">
        <v>1848</v>
      </c>
      <c r="F731" s="2416" t="s">
        <v>1231</v>
      </c>
      <c r="G731" s="2417" t="s">
        <v>1833</v>
      </c>
      <c r="H731" s="2415" t="s">
        <v>1848</v>
      </c>
      <c r="I731" s="2416" t="s">
        <v>1231</v>
      </c>
      <c r="J731" s="2418" t="s">
        <v>1833</v>
      </c>
    </row>
    <row r="732" spans="1:10" x14ac:dyDescent="0.2">
      <c r="A732" s="2419" t="s">
        <v>1851</v>
      </c>
      <c r="B732" s="2420"/>
      <c r="C732" s="2420"/>
      <c r="D732" s="2421"/>
      <c r="E732" s="2422"/>
      <c r="F732" s="2423"/>
      <c r="G732" s="2424"/>
      <c r="H732" s="2422"/>
      <c r="I732" s="2423"/>
      <c r="J732" s="2425"/>
    </row>
    <row r="733" spans="1:10" x14ac:dyDescent="0.2">
      <c r="A733" s="2426" t="s">
        <v>410</v>
      </c>
      <c r="B733" s="2427">
        <v>25.2</v>
      </c>
      <c r="C733" s="2428">
        <v>5667200.0000000009</v>
      </c>
      <c r="D733" s="2429">
        <v>142.81344000000004</v>
      </c>
      <c r="E733" s="2430">
        <v>3.1845798800492604E-2</v>
      </c>
      <c r="F733" s="2427">
        <v>2.5546353112620886E-2</v>
      </c>
      <c r="G733" s="2429">
        <v>1.8099740397331989E-3</v>
      </c>
      <c r="H733" s="2430">
        <v>8.0062268216249705E-2</v>
      </c>
      <c r="I733" s="2427">
        <v>4.762300526425875E-2</v>
      </c>
      <c r="J733" s="2431">
        <v>2.2098589643558984E-3</v>
      </c>
    </row>
    <row r="734" spans="1:10" x14ac:dyDescent="0.2">
      <c r="A734" s="2426" t="s">
        <v>411</v>
      </c>
      <c r="B734" s="2427">
        <v>63375</v>
      </c>
      <c r="C734" s="2428">
        <v>1753716.5000000002</v>
      </c>
      <c r="D734" s="2429">
        <v>111141.78318750001</v>
      </c>
      <c r="E734" s="2430">
        <v>80.088392816715043</v>
      </c>
      <c r="F734" s="2427">
        <v>64.246036845728128</v>
      </c>
      <c r="G734" s="2429">
        <v>4.5518692368290274</v>
      </c>
      <c r="H734" s="2430">
        <v>62.306903717114402</v>
      </c>
      <c r="I734" s="2427">
        <v>37.061677989252381</v>
      </c>
      <c r="J734" s="2431">
        <v>1.719779776268932</v>
      </c>
    </row>
    <row r="735" spans="1:10" x14ac:dyDescent="0.2">
      <c r="A735" s="2426" t="s">
        <v>278</v>
      </c>
      <c r="B735" s="2427">
        <v>1773.6</v>
      </c>
      <c r="C735" s="2428">
        <v>1637875</v>
      </c>
      <c r="D735" s="2429">
        <v>2904.9351000000001</v>
      </c>
      <c r="E735" s="2430">
        <v>2.2413376489108603</v>
      </c>
      <c r="F735" s="2427">
        <v>1.7979766619263653</v>
      </c>
      <c r="G735" s="2429">
        <v>0.1273876967012223</v>
      </c>
      <c r="H735" s="2430">
        <v>1.628528051190407</v>
      </c>
      <c r="I735" s="2427">
        <v>0.96868851810886969</v>
      </c>
      <c r="J735" s="2431">
        <v>4.4950229275389608E-2</v>
      </c>
    </row>
    <row r="736" spans="1:10" x14ac:dyDescent="0.2">
      <c r="A736" s="2426" t="s">
        <v>200</v>
      </c>
      <c r="B736" s="2427">
        <v>96</v>
      </c>
      <c r="C736" s="2428">
        <v>7709114.5</v>
      </c>
      <c r="D736" s="2429">
        <v>740.07499199999995</v>
      </c>
      <c r="E736" s="2430">
        <v>0.12131732876378136</v>
      </c>
      <c r="F736" s="2427">
        <v>9.7319440429031956E-2</v>
      </c>
      <c r="G736" s="2429">
        <v>6.8951391989836167E-3</v>
      </c>
      <c r="H736" s="2430">
        <v>0.41489150117553947</v>
      </c>
      <c r="I736" s="2427">
        <v>0.24678766396189489</v>
      </c>
      <c r="J736" s="2431">
        <v>1.145173280166642E-2</v>
      </c>
    </row>
    <row r="737" spans="1:10" x14ac:dyDescent="0.2">
      <c r="A737" s="2426" t="s">
        <v>429</v>
      </c>
      <c r="B737" s="2427">
        <v>32</v>
      </c>
      <c r="C737" s="2428">
        <v>1255000</v>
      </c>
      <c r="D737" s="2429">
        <v>40.159999999999997</v>
      </c>
      <c r="E737" s="2430">
        <v>4.0439109587927118E-2</v>
      </c>
      <c r="F737" s="2427">
        <v>3.2439813476343983E-2</v>
      </c>
      <c r="G737" s="2429">
        <v>2.2983797329945385E-3</v>
      </c>
      <c r="H737" s="2430">
        <v>2.2513992321483097E-2</v>
      </c>
      <c r="I737" s="2427">
        <v>1.3391876082619608E-2</v>
      </c>
      <c r="J737" s="2431">
        <v>6.2142565859720801E-4</v>
      </c>
    </row>
    <row r="738" spans="1:10" x14ac:dyDescent="0.2">
      <c r="A738" s="2432" t="s">
        <v>431</v>
      </c>
      <c r="B738" s="2427">
        <v>0</v>
      </c>
      <c r="C738" s="2428">
        <v>0</v>
      </c>
      <c r="D738" s="2429">
        <v>0</v>
      </c>
      <c r="E738" s="2430">
        <v>0</v>
      </c>
      <c r="F738" s="2427">
        <v>0</v>
      </c>
      <c r="G738" s="2429">
        <v>0</v>
      </c>
      <c r="H738" s="2430">
        <v>0</v>
      </c>
      <c r="I738" s="2427">
        <v>0</v>
      </c>
      <c r="J738" s="2431">
        <v>0</v>
      </c>
    </row>
    <row r="739" spans="1:10" x14ac:dyDescent="0.2">
      <c r="A739" s="2432" t="s">
        <v>430</v>
      </c>
      <c r="B739" s="2427">
        <v>0</v>
      </c>
      <c r="C739" s="2428">
        <v>0</v>
      </c>
      <c r="D739" s="2429">
        <v>0</v>
      </c>
      <c r="E739" s="2430">
        <v>0</v>
      </c>
      <c r="F739" s="2427">
        <v>0</v>
      </c>
      <c r="G739" s="2429">
        <v>0</v>
      </c>
      <c r="H739" s="2430">
        <v>0</v>
      </c>
      <c r="I739" s="2427">
        <v>0</v>
      </c>
      <c r="J739" s="2431">
        <v>0</v>
      </c>
    </row>
    <row r="740" spans="1:10" x14ac:dyDescent="0.2">
      <c r="A740" s="2433" t="s">
        <v>279</v>
      </c>
      <c r="B740" s="2434">
        <v>65301.799999999996</v>
      </c>
      <c r="C740" s="2433"/>
      <c r="D740" s="2435">
        <v>114969.76671950001</v>
      </c>
      <c r="E740" s="2436">
        <v>82.523332702778092</v>
      </c>
      <c r="F740" s="2434">
        <v>66.199319114672477</v>
      </c>
      <c r="G740" s="2435">
        <v>4.6902604265019612</v>
      </c>
      <c r="H740" s="2436">
        <v>64.452899530018087</v>
      </c>
      <c r="I740" s="2434">
        <v>38.338169052670032</v>
      </c>
      <c r="J740" s="2437">
        <v>1.7790130229689407</v>
      </c>
    </row>
    <row r="741" spans="1:10" x14ac:dyDescent="0.2">
      <c r="A741" s="2438" t="s">
        <v>412</v>
      </c>
      <c r="B741" s="2427">
        <v>0</v>
      </c>
      <c r="C741" s="2428">
        <v>4129499.9999999995</v>
      </c>
      <c r="D741" s="2429">
        <v>0</v>
      </c>
      <c r="E741" s="2430">
        <v>0</v>
      </c>
      <c r="F741" s="2427">
        <v>0</v>
      </c>
      <c r="G741" s="2429">
        <v>0</v>
      </c>
      <c r="H741" s="2430">
        <v>0</v>
      </c>
      <c r="I741" s="2427">
        <v>0</v>
      </c>
      <c r="J741" s="2431">
        <v>0</v>
      </c>
    </row>
    <row r="742" spans="1:10" x14ac:dyDescent="0.2">
      <c r="A742" s="2438" t="s">
        <v>413</v>
      </c>
      <c r="B742" s="2427">
        <v>56</v>
      </c>
      <c r="C742" s="2428">
        <v>1200000</v>
      </c>
      <c r="D742" s="2429">
        <v>67.2</v>
      </c>
      <c r="E742" s="2430">
        <v>7.0768441778872454E-2</v>
      </c>
      <c r="F742" s="2427">
        <v>5.6769673583601972E-2</v>
      </c>
      <c r="G742" s="2429">
        <v>4.0221645327404429E-3</v>
      </c>
      <c r="H742" s="2430">
        <v>3.767281583674463E-2</v>
      </c>
      <c r="I742" s="2427">
        <v>2.2408716950996957E-2</v>
      </c>
      <c r="J742" s="2431">
        <v>1.0398357633897505E-3</v>
      </c>
    </row>
    <row r="743" spans="1:10" x14ac:dyDescent="0.2">
      <c r="A743" s="2426" t="s">
        <v>90</v>
      </c>
      <c r="B743" s="2427">
        <v>0</v>
      </c>
      <c r="C743" s="2428">
        <v>1743000</v>
      </c>
      <c r="D743" s="2429">
        <v>0</v>
      </c>
      <c r="E743" s="2430">
        <v>0</v>
      </c>
      <c r="F743" s="2427">
        <v>0</v>
      </c>
      <c r="G743" s="2429">
        <v>0</v>
      </c>
      <c r="H743" s="2430">
        <v>0</v>
      </c>
      <c r="I743" s="2427">
        <v>0</v>
      </c>
      <c r="J743" s="2431">
        <v>0</v>
      </c>
    </row>
    <row r="744" spans="1:10" x14ac:dyDescent="0.2">
      <c r="A744" s="2426" t="s">
        <v>417</v>
      </c>
      <c r="B744" s="2427">
        <v>27.5</v>
      </c>
      <c r="C744" s="2428">
        <v>2563999.9999999995</v>
      </c>
      <c r="D744" s="2429">
        <v>70.509999999999991</v>
      </c>
      <c r="E744" s="2430">
        <v>3.4752359802124863E-2</v>
      </c>
      <c r="F744" s="2427">
        <v>2.7877964706233112E-2</v>
      </c>
      <c r="G744" s="2429">
        <v>1.9751700830421817E-3</v>
      </c>
      <c r="H744" s="2430">
        <v>3.9528426259655705E-2</v>
      </c>
      <c r="I744" s="2427">
        <v>2.3512479646053502E-2</v>
      </c>
      <c r="J744" s="2431">
        <v>1.0910538642352873E-3</v>
      </c>
    </row>
    <row r="745" spans="1:10" x14ac:dyDescent="0.2">
      <c r="A745" s="2426" t="s">
        <v>418</v>
      </c>
      <c r="B745" s="2427">
        <v>236</v>
      </c>
      <c r="C745" s="2428">
        <v>2222500</v>
      </c>
      <c r="D745" s="2429">
        <v>524.51</v>
      </c>
      <c r="E745" s="2430">
        <v>0.29823843321096249</v>
      </c>
      <c r="F745" s="2427">
        <v>0.2392436243880369</v>
      </c>
      <c r="G745" s="2429">
        <v>1.6950550530834722E-2</v>
      </c>
      <c r="H745" s="2430">
        <v>0.29404417610909117</v>
      </c>
      <c r="I745" s="2427">
        <v>0.17490470428522939</v>
      </c>
      <c r="J745" s="2431">
        <v>8.1161347657077096E-3</v>
      </c>
    </row>
    <row r="746" spans="1:10" x14ac:dyDescent="0.2">
      <c r="A746" s="2426" t="s">
        <v>423</v>
      </c>
      <c r="B746" s="2427">
        <v>296</v>
      </c>
      <c r="C746" s="2428">
        <v>2531500</v>
      </c>
      <c r="D746" s="2429">
        <v>749.32399999999996</v>
      </c>
      <c r="E746" s="2430">
        <v>0.37406176368832583</v>
      </c>
      <c r="F746" s="2427">
        <v>0.30006827465618185</v>
      </c>
      <c r="G746" s="2429">
        <v>2.1260012530199483E-2</v>
      </c>
      <c r="H746" s="2430">
        <v>0.42007656330435755</v>
      </c>
      <c r="I746" s="2427">
        <v>0.24987186637781014</v>
      </c>
      <c r="J746" s="2431">
        <v>1.1594849606640794E-2</v>
      </c>
    </row>
    <row r="747" spans="1:10" x14ac:dyDescent="0.2">
      <c r="A747" s="2426" t="s">
        <v>424</v>
      </c>
      <c r="B747" s="2427">
        <v>0</v>
      </c>
      <c r="C747" s="2428">
        <v>1369000</v>
      </c>
      <c r="D747" s="2429">
        <v>0</v>
      </c>
      <c r="E747" s="2430">
        <v>0</v>
      </c>
      <c r="F747" s="2427">
        <v>0</v>
      </c>
      <c r="G747" s="2429">
        <v>0</v>
      </c>
      <c r="H747" s="2430">
        <v>0</v>
      </c>
      <c r="I747" s="2427">
        <v>0</v>
      </c>
      <c r="J747" s="2431">
        <v>0</v>
      </c>
    </row>
    <row r="748" spans="1:10" x14ac:dyDescent="0.2">
      <c r="A748" s="2426" t="s">
        <v>280</v>
      </c>
      <c r="B748" s="2427">
        <v>0</v>
      </c>
      <c r="C748" s="2428">
        <v>1574500</v>
      </c>
      <c r="D748" s="2429">
        <v>0</v>
      </c>
      <c r="E748" s="2430">
        <v>0</v>
      </c>
      <c r="F748" s="2427">
        <v>0</v>
      </c>
      <c r="G748" s="2429">
        <v>0</v>
      </c>
      <c r="H748" s="2430">
        <v>0</v>
      </c>
      <c r="I748" s="2427">
        <v>0</v>
      </c>
      <c r="J748" s="2431">
        <v>0</v>
      </c>
    </row>
    <row r="749" spans="1:10" x14ac:dyDescent="0.2">
      <c r="A749" s="2426" t="s">
        <v>427</v>
      </c>
      <c r="B749" s="2427">
        <v>0</v>
      </c>
      <c r="C749" s="2428">
        <v>2072000</v>
      </c>
      <c r="D749" s="2429">
        <v>0</v>
      </c>
      <c r="E749" s="2430">
        <v>0</v>
      </c>
      <c r="F749" s="2427">
        <v>0</v>
      </c>
      <c r="G749" s="2429">
        <v>0</v>
      </c>
      <c r="H749" s="2430">
        <v>0</v>
      </c>
      <c r="I749" s="2427">
        <v>0</v>
      </c>
      <c r="J749" s="2431">
        <v>0</v>
      </c>
    </row>
    <row r="750" spans="1:10" x14ac:dyDescent="0.2">
      <c r="A750" s="2426" t="s">
        <v>428</v>
      </c>
      <c r="B750" s="2427">
        <v>195</v>
      </c>
      <c r="C750" s="2428">
        <v>1326280</v>
      </c>
      <c r="D750" s="2429">
        <v>258.62459999999999</v>
      </c>
      <c r="E750" s="2430">
        <v>0.2464258240514309</v>
      </c>
      <c r="F750" s="2427">
        <v>0.19768011337147115</v>
      </c>
      <c r="G750" s="2429">
        <v>1.4005751497935469E-2</v>
      </c>
      <c r="H750" s="2430">
        <v>0.1449868590275557</v>
      </c>
      <c r="I750" s="2427">
        <v>8.6241747886381073E-2</v>
      </c>
      <c r="J750" s="2431">
        <v>4.0018914936364412E-3</v>
      </c>
    </row>
    <row r="751" spans="1:10" x14ac:dyDescent="0.2">
      <c r="A751" s="2439" t="s">
        <v>92</v>
      </c>
      <c r="B751" s="2427">
        <v>0</v>
      </c>
      <c r="C751" s="2428">
        <v>2215500</v>
      </c>
      <c r="D751" s="2429">
        <v>0</v>
      </c>
      <c r="E751" s="2430">
        <v>0</v>
      </c>
      <c r="F751" s="2427">
        <v>0</v>
      </c>
      <c r="G751" s="2429">
        <v>0</v>
      </c>
      <c r="H751" s="2430">
        <v>0</v>
      </c>
      <c r="I751" s="2427">
        <v>0</v>
      </c>
      <c r="J751" s="2431">
        <v>0</v>
      </c>
    </row>
    <row r="752" spans="1:10" x14ac:dyDescent="0.2">
      <c r="A752" s="2433" t="s">
        <v>281</v>
      </c>
      <c r="B752" s="2434">
        <v>810.5</v>
      </c>
      <c r="C752" s="2433"/>
      <c r="D752" s="2435">
        <v>1670.1686</v>
      </c>
      <c r="E752" s="2436">
        <v>1.0242468225317165</v>
      </c>
      <c r="F752" s="2434">
        <v>0.82163965070552492</v>
      </c>
      <c r="G752" s="2435">
        <v>5.8213649174752295E-2</v>
      </c>
      <c r="H752" s="2436">
        <v>0.93630884053740471</v>
      </c>
      <c r="I752" s="2434">
        <v>0.55693951514647111</v>
      </c>
      <c r="J752" s="2437">
        <v>2.5843765493609984E-2</v>
      </c>
    </row>
    <row r="753" spans="1:10" x14ac:dyDescent="0.2">
      <c r="A753" s="2440" t="s">
        <v>106</v>
      </c>
      <c r="B753" s="2441">
        <v>66112.299999999988</v>
      </c>
      <c r="C753" s="2440"/>
      <c r="D753" s="2442">
        <v>116639.93531950001</v>
      </c>
      <c r="E753" s="2443">
        <v>83.5475795253098</v>
      </c>
      <c r="F753" s="2441">
        <v>67.020958765377998</v>
      </c>
      <c r="G753" s="2442">
        <v>4.7484740756767128</v>
      </c>
      <c r="H753" s="2443">
        <v>65.389208370555494</v>
      </c>
      <c r="I753" s="2441">
        <v>38.8951085678165</v>
      </c>
      <c r="J753" s="2444">
        <v>1.804856788462551</v>
      </c>
    </row>
    <row r="754" spans="1:10" x14ac:dyDescent="0.2">
      <c r="A754" s="2426" t="s">
        <v>905</v>
      </c>
      <c r="B754" s="2427">
        <v>3.6</v>
      </c>
      <c r="C754" s="2428">
        <v>6100000</v>
      </c>
      <c r="D754" s="2429">
        <v>21.96</v>
      </c>
      <c r="E754" s="2430">
        <v>4.549399828641801E-3</v>
      </c>
      <c r="F754" s="2427">
        <v>3.6494790160886983E-3</v>
      </c>
      <c r="G754" s="2429">
        <v>2.5856771996188559E-4</v>
      </c>
      <c r="H754" s="2430">
        <v>1.2310938032364762E-2</v>
      </c>
      <c r="I754" s="2427">
        <v>7.3228485750579352E-3</v>
      </c>
      <c r="J754" s="2431">
        <v>3.3980347267915066E-4</v>
      </c>
    </row>
    <row r="755" spans="1:10" x14ac:dyDescent="0.2">
      <c r="A755" s="2426" t="s">
        <v>906</v>
      </c>
      <c r="B755" s="2427">
        <v>50</v>
      </c>
      <c r="C755" s="2428">
        <v>3022000.0000000005</v>
      </c>
      <c r="D755" s="2429">
        <v>151.10000000000002</v>
      </c>
      <c r="E755" s="2430">
        <v>6.3186108731136115E-2</v>
      </c>
      <c r="F755" s="2427">
        <v>5.0687208556787475E-2</v>
      </c>
      <c r="G755" s="2429">
        <v>3.5912183328039664E-3</v>
      </c>
      <c r="H755" s="2430">
        <v>8.4707774894823118E-2</v>
      </c>
      <c r="I755" s="2427">
        <v>5.0386266834756568E-2</v>
      </c>
      <c r="J755" s="2431">
        <v>2.3380830929790376E-3</v>
      </c>
    </row>
    <row r="756" spans="1:10" x14ac:dyDescent="0.2">
      <c r="A756" s="2426" t="s">
        <v>907</v>
      </c>
      <c r="B756" s="2427">
        <v>40</v>
      </c>
      <c r="C756" s="2428">
        <v>2324000</v>
      </c>
      <c r="D756" s="2429">
        <v>92.96</v>
      </c>
      <c r="E756" s="2430">
        <v>5.0548886984908906E-2</v>
      </c>
      <c r="F756" s="2427">
        <v>4.0549766845429977E-2</v>
      </c>
      <c r="G756" s="2429">
        <v>2.872974666243173E-3</v>
      </c>
      <c r="H756" s="2430">
        <v>5.2114061907496734E-2</v>
      </c>
      <c r="I756" s="2427">
        <v>3.0998725115545789E-2</v>
      </c>
      <c r="J756" s="2431">
        <v>1.4384394726891549E-3</v>
      </c>
    </row>
    <row r="757" spans="1:10" x14ac:dyDescent="0.2">
      <c r="A757" s="2439" t="s">
        <v>908</v>
      </c>
      <c r="B757" s="2427">
        <v>624</v>
      </c>
      <c r="C757" s="2428">
        <v>2403999.9999999995</v>
      </c>
      <c r="D757" s="2429">
        <v>1500.0959999999998</v>
      </c>
      <c r="E757" s="2430">
        <v>0.78856263696457873</v>
      </c>
      <c r="F757" s="2427">
        <v>0.63257636278870777</v>
      </c>
      <c r="G757" s="2429">
        <v>4.4818404793393503E-2</v>
      </c>
      <c r="H757" s="2430">
        <v>0.84096488609281639</v>
      </c>
      <c r="I757" s="2427">
        <v>0.50022658725182634</v>
      </c>
      <c r="J757" s="2431">
        <v>2.3212105198183199E-2</v>
      </c>
    </row>
    <row r="758" spans="1:10" x14ac:dyDescent="0.2">
      <c r="A758" s="2440" t="s">
        <v>282</v>
      </c>
      <c r="B758" s="2441">
        <v>717.6</v>
      </c>
      <c r="C758" s="2440"/>
      <c r="D758" s="2442">
        <v>1766.1159999999998</v>
      </c>
      <c r="E758" s="2443">
        <v>0.90684703250926568</v>
      </c>
      <c r="F758" s="2441">
        <v>0.72746281720701389</v>
      </c>
      <c r="G758" s="2442">
        <v>5.1541165512402523E-2</v>
      </c>
      <c r="H758" s="2443">
        <v>0.99009766092750096</v>
      </c>
      <c r="I758" s="2441">
        <v>0.58893442777718663</v>
      </c>
      <c r="J758" s="2444">
        <v>2.7328431236530545E-2</v>
      </c>
    </row>
    <row r="759" spans="1:10" x14ac:dyDescent="0.2">
      <c r="A759" s="2426" t="s">
        <v>955</v>
      </c>
      <c r="B759" s="2427">
        <v>195.816</v>
      </c>
      <c r="C759" s="2428">
        <v>12137000</v>
      </c>
      <c r="D759" s="2429">
        <v>2376.6187920000002</v>
      </c>
      <c r="E759" s="2430">
        <v>0.24745702134592301</v>
      </c>
      <c r="F759" s="2427">
        <v>0.19850732861511791</v>
      </c>
      <c r="G759" s="2429">
        <v>1.406436018112683E-2</v>
      </c>
      <c r="H759" s="2430">
        <v>1.3323500307315848</v>
      </c>
      <c r="I759" s="2427">
        <v>0.79251455074923083</v>
      </c>
      <c r="J759" s="2431">
        <v>3.6775196664668851E-2</v>
      </c>
    </row>
    <row r="760" spans="1:10" x14ac:dyDescent="0.2">
      <c r="A760" s="2426" t="s">
        <v>283</v>
      </c>
      <c r="B760" s="2427">
        <v>1582.1057608891699</v>
      </c>
      <c r="C760" s="2428">
        <v>13024549.999999996</v>
      </c>
      <c r="D760" s="2429">
        <v>20606.215587989034</v>
      </c>
      <c r="E760" s="2430">
        <v>1.9993421326339986</v>
      </c>
      <c r="F760" s="2427">
        <v>1.6038504932216857</v>
      </c>
      <c r="G760" s="2429">
        <v>0.1136337442587991</v>
      </c>
      <c r="H760" s="2430">
        <v>11.551996502062014</v>
      </c>
      <c r="I760" s="2427">
        <v>6.8714114961676733</v>
      </c>
      <c r="J760" s="2431">
        <v>0.31885535590045172</v>
      </c>
    </row>
    <row r="761" spans="1:10" x14ac:dyDescent="0.2">
      <c r="A761" s="2426" t="s">
        <v>69</v>
      </c>
      <c r="B761" s="2427">
        <v>1249.6452391108303</v>
      </c>
      <c r="C761" s="2428">
        <v>14978232.499999994</v>
      </c>
      <c r="D761" s="2429">
        <v>18717.476933920101</v>
      </c>
      <c r="E761" s="2430">
        <v>1.5792043990760705</v>
      </c>
      <c r="F761" s="2427">
        <v>1.2668205771361443</v>
      </c>
      <c r="G761" s="2429">
        <v>8.9754977843920197E-2</v>
      </c>
      <c r="H761" s="2430">
        <v>10.493155676489396</v>
      </c>
      <c r="I761" s="2427">
        <v>6.2415869441819938</v>
      </c>
      <c r="J761" s="2431">
        <v>0.28962949280227468</v>
      </c>
    </row>
    <row r="762" spans="1:10" x14ac:dyDescent="0.2">
      <c r="A762" s="2426" t="s">
        <v>199</v>
      </c>
      <c r="B762" s="2427">
        <v>1368</v>
      </c>
      <c r="C762" s="2428">
        <v>3000000</v>
      </c>
      <c r="D762" s="2429">
        <v>4104</v>
      </c>
      <c r="E762" s="2430">
        <v>1.7287719348838844</v>
      </c>
      <c r="F762" s="2427">
        <v>1.3868020261137053</v>
      </c>
      <c r="G762" s="2429">
        <v>9.8255733585516536E-2</v>
      </c>
      <c r="H762" s="2430">
        <v>2.3007326814583324</v>
      </c>
      <c r="I762" s="2427">
        <v>1.3685323566501713</v>
      </c>
      <c r="J762" s="2431">
        <v>6.3504255549874045E-2</v>
      </c>
    </row>
    <row r="763" spans="1:10" x14ac:dyDescent="0.2">
      <c r="A763" s="2426" t="s">
        <v>86</v>
      </c>
      <c r="B763" s="2427">
        <v>1520</v>
      </c>
      <c r="C763" s="2428">
        <v>170000</v>
      </c>
      <c r="D763" s="2429">
        <v>258.39999999999998</v>
      </c>
      <c r="E763" s="2430">
        <v>1.9208577054265381</v>
      </c>
      <c r="F763" s="2427">
        <v>1.5408911401263392</v>
      </c>
      <c r="G763" s="2429">
        <v>0.1091730373172406</v>
      </c>
      <c r="H763" s="2430">
        <v>0.14486094661033944</v>
      </c>
      <c r="I763" s="2427">
        <v>8.6166852085381149E-2</v>
      </c>
      <c r="J763" s="2431">
        <v>3.9984160901772548E-3</v>
      </c>
    </row>
    <row r="764" spans="1:10" x14ac:dyDescent="0.2">
      <c r="A764" s="2439" t="s">
        <v>213</v>
      </c>
      <c r="B764" s="2427">
        <v>3520.5</v>
      </c>
      <c r="C764" s="2428">
        <v>1850000.0000000005</v>
      </c>
      <c r="D764" s="2429">
        <v>6512.925000000002</v>
      </c>
      <c r="E764" s="2430">
        <v>4.4489339157592944</v>
      </c>
      <c r="F764" s="2427">
        <v>3.5688863544834062</v>
      </c>
      <c r="G764" s="2429">
        <v>0.25285768281272725</v>
      </c>
      <c r="H764" s="2430">
        <v>3.6511938107668165</v>
      </c>
      <c r="I764" s="2427">
        <v>2.1718198340486889</v>
      </c>
      <c r="J764" s="2431">
        <v>0.10077935028683324</v>
      </c>
    </row>
    <row r="765" spans="1:10" x14ac:dyDescent="0.2">
      <c r="A765" s="2433" t="s">
        <v>1834</v>
      </c>
      <c r="B765" s="2434">
        <v>9436.0669999999991</v>
      </c>
      <c r="C765" s="2433"/>
      <c r="D765" s="2435">
        <v>52575.636313909141</v>
      </c>
      <c r="E765" s="2436">
        <v>11.924567109125709</v>
      </c>
      <c r="F765" s="2434">
        <v>9.5657579196963987</v>
      </c>
      <c r="G765" s="2435">
        <v>0.67773953599933046</v>
      </c>
      <c r="H765" s="2436">
        <v>29.474289648118486</v>
      </c>
      <c r="I765" s="2434">
        <v>17.532032033883141</v>
      </c>
      <c r="J765" s="2437">
        <v>0.8135420672942798</v>
      </c>
    </row>
    <row r="766" spans="1:10" x14ac:dyDescent="0.2">
      <c r="A766" s="2426" t="s">
        <v>961</v>
      </c>
      <c r="B766" s="2427">
        <v>728.8</v>
      </c>
      <c r="C766" s="2428">
        <v>3668000</v>
      </c>
      <c r="D766" s="2429">
        <v>2673.2384000000002</v>
      </c>
      <c r="E766" s="2430">
        <v>0.92100072086504003</v>
      </c>
      <c r="F766" s="2427">
        <v>0.73881675192373419</v>
      </c>
      <c r="G766" s="2429">
        <v>5.2345598418950617E-2</v>
      </c>
      <c r="H766" s="2430">
        <v>1.4986371715909803</v>
      </c>
      <c r="I766" s="2427">
        <v>0.89142622988297604</v>
      </c>
      <c r="J766" s="2431">
        <v>4.1365013279565412E-2</v>
      </c>
    </row>
    <row r="767" spans="1:10" x14ac:dyDescent="0.2">
      <c r="A767" s="2426" t="s">
        <v>962</v>
      </c>
      <c r="B767" s="2427">
        <v>0</v>
      </c>
      <c r="C767" s="2428">
        <v>1999999.9999999998</v>
      </c>
      <c r="D767" s="2429">
        <v>0</v>
      </c>
      <c r="E767" s="2430">
        <v>0</v>
      </c>
      <c r="F767" s="2427">
        <v>0</v>
      </c>
      <c r="G767" s="2429">
        <v>0</v>
      </c>
      <c r="H767" s="2430">
        <v>0</v>
      </c>
      <c r="I767" s="2427">
        <v>0</v>
      </c>
      <c r="J767" s="2431">
        <v>0</v>
      </c>
    </row>
    <row r="768" spans="1:10" x14ac:dyDescent="0.2">
      <c r="A768" s="2426" t="s">
        <v>963</v>
      </c>
      <c r="B768" s="2427">
        <v>633.75</v>
      </c>
      <c r="C768" s="2428">
        <v>1347999.9999999998</v>
      </c>
      <c r="D768" s="2429">
        <v>854.29499999999985</v>
      </c>
      <c r="E768" s="2430">
        <v>0.80088392816715037</v>
      </c>
      <c r="F768" s="2427">
        <v>0.64246036845728127</v>
      </c>
      <c r="G768" s="2429">
        <v>4.5518692368290273E-2</v>
      </c>
      <c r="H768" s="2430">
        <v>0.47892408043529389</v>
      </c>
      <c r="I768" s="2427">
        <v>0.28487581618529673</v>
      </c>
      <c r="J768" s="2431">
        <v>1.3219144248289386E-2</v>
      </c>
    </row>
    <row r="769" spans="1:10" x14ac:dyDescent="0.2">
      <c r="A769" s="2426" t="s">
        <v>965</v>
      </c>
      <c r="B769" s="2427">
        <v>204.3</v>
      </c>
      <c r="C769" s="2428">
        <v>1599999.9999999995</v>
      </c>
      <c r="D769" s="2429">
        <v>326.87999999999994</v>
      </c>
      <c r="E769" s="2430">
        <v>0.25817844027542219</v>
      </c>
      <c r="F769" s="2427">
        <v>0.20710793416303364</v>
      </c>
      <c r="G769" s="2429">
        <v>1.4673718107837007E-2</v>
      </c>
      <c r="H769" s="2430">
        <v>0.18325133989159348</v>
      </c>
      <c r="I769" s="2427">
        <v>0.10900240174020662</v>
      </c>
      <c r="J769" s="2431">
        <v>5.058058249060143E-3</v>
      </c>
    </row>
    <row r="770" spans="1:10" x14ac:dyDescent="0.2">
      <c r="A770" s="2426" t="s">
        <v>966</v>
      </c>
      <c r="B770" s="2427">
        <v>120</v>
      </c>
      <c r="C770" s="2428">
        <v>2244000</v>
      </c>
      <c r="D770" s="2429">
        <v>269.27999999999997</v>
      </c>
      <c r="E770" s="2430">
        <v>0.1516466609547267</v>
      </c>
      <c r="F770" s="2427">
        <v>0.12164930053628994</v>
      </c>
      <c r="G770" s="2429">
        <v>8.6189239987295198E-3</v>
      </c>
      <c r="H770" s="2430">
        <v>0.15096035488866952</v>
      </c>
      <c r="I770" s="2427">
        <v>8.9794930067923523E-2</v>
      </c>
      <c r="J770" s="2431">
        <v>4.1667704518689288E-3</v>
      </c>
    </row>
    <row r="771" spans="1:10" x14ac:dyDescent="0.2">
      <c r="A771" s="2426" t="s">
        <v>1499</v>
      </c>
      <c r="B771" s="2427">
        <v>0</v>
      </c>
      <c r="C771" s="2428">
        <v>4849999.9999999991</v>
      </c>
      <c r="D771" s="2429">
        <v>0</v>
      </c>
      <c r="E771" s="2430">
        <v>0</v>
      </c>
      <c r="F771" s="2427">
        <v>0</v>
      </c>
      <c r="G771" s="2429">
        <v>0</v>
      </c>
      <c r="H771" s="2430">
        <v>0</v>
      </c>
      <c r="I771" s="2427">
        <v>0</v>
      </c>
      <c r="J771" s="2431">
        <v>0</v>
      </c>
    </row>
    <row r="772" spans="1:10" x14ac:dyDescent="0.2">
      <c r="A772" s="2426" t="s">
        <v>1575</v>
      </c>
      <c r="B772" s="2427">
        <v>16</v>
      </c>
      <c r="C772" s="2428">
        <v>2250000.0000000005</v>
      </c>
      <c r="D772" s="2429">
        <v>36.000000000000007</v>
      </c>
      <c r="E772" s="2430">
        <v>2.0219554793963559E-2</v>
      </c>
      <c r="F772" s="2427">
        <v>1.6219906738171991E-2</v>
      </c>
      <c r="G772" s="2429">
        <v>1.1491898664972692E-3</v>
      </c>
      <c r="H772" s="2430">
        <v>2.0181865626827486E-2</v>
      </c>
      <c r="I772" s="2427">
        <v>1.2004669795176944E-2</v>
      </c>
      <c r="J772" s="2431">
        <v>5.5705487324450933E-4</v>
      </c>
    </row>
    <row r="773" spans="1:10" x14ac:dyDescent="0.2">
      <c r="A773" s="2426" t="s">
        <v>964</v>
      </c>
      <c r="B773" s="2427">
        <v>0</v>
      </c>
      <c r="C773" s="2428">
        <v>1556000</v>
      </c>
      <c r="D773" s="2429">
        <v>0</v>
      </c>
      <c r="E773" s="2430">
        <v>0</v>
      </c>
      <c r="F773" s="2427">
        <v>0</v>
      </c>
      <c r="G773" s="2429">
        <v>0</v>
      </c>
      <c r="H773" s="2430">
        <v>0</v>
      </c>
      <c r="I773" s="2427">
        <v>0</v>
      </c>
      <c r="J773" s="2431">
        <v>0</v>
      </c>
    </row>
    <row r="774" spans="1:10" x14ac:dyDescent="0.2">
      <c r="A774" s="2426" t="s">
        <v>969</v>
      </c>
      <c r="B774" s="2427">
        <v>22.5</v>
      </c>
      <c r="C774" s="2428">
        <v>4800000</v>
      </c>
      <c r="D774" s="2429">
        <v>108</v>
      </c>
      <c r="E774" s="2430">
        <v>2.8433748929011255E-2</v>
      </c>
      <c r="F774" s="2427">
        <v>2.2809243850554363E-2</v>
      </c>
      <c r="G774" s="2429">
        <v>1.616048249761785E-3</v>
      </c>
      <c r="H774" s="2430">
        <v>6.0545596880482444E-2</v>
      </c>
      <c r="I774" s="2427">
        <v>3.6014009385530822E-2</v>
      </c>
      <c r="J774" s="2431">
        <v>1.6711646197335275E-3</v>
      </c>
    </row>
    <row r="775" spans="1:10" x14ac:dyDescent="0.2">
      <c r="A775" s="2426" t="s">
        <v>968</v>
      </c>
      <c r="B775" s="2427">
        <v>95</v>
      </c>
      <c r="C775" s="2428">
        <v>3050000.0000000009</v>
      </c>
      <c r="D775" s="2429">
        <v>289.75000000000006</v>
      </c>
      <c r="E775" s="2430">
        <v>0.12005360658915863</v>
      </c>
      <c r="F775" s="2427">
        <v>9.6305696257896201E-2</v>
      </c>
      <c r="G775" s="2429">
        <v>6.8233148323275372E-3</v>
      </c>
      <c r="H775" s="2430">
        <v>0.16243598792703509</v>
      </c>
      <c r="I775" s="2427">
        <v>9.6620918698681099E-2</v>
      </c>
      <c r="J775" s="2431">
        <v>4.4835180422943492E-3</v>
      </c>
    </row>
    <row r="776" spans="1:10" x14ac:dyDescent="0.2">
      <c r="A776" s="2426" t="s">
        <v>1013</v>
      </c>
      <c r="B776" s="2427">
        <v>0</v>
      </c>
      <c r="C776" s="2428">
        <v>1799999.9999999998</v>
      </c>
      <c r="D776" s="2429">
        <v>0</v>
      </c>
      <c r="E776" s="2430">
        <v>0</v>
      </c>
      <c r="F776" s="2427">
        <v>0</v>
      </c>
      <c r="G776" s="2429">
        <v>0</v>
      </c>
      <c r="H776" s="2430">
        <v>0</v>
      </c>
      <c r="I776" s="2427">
        <v>0</v>
      </c>
      <c r="J776" s="2431">
        <v>0</v>
      </c>
    </row>
    <row r="777" spans="1:10" x14ac:dyDescent="0.2">
      <c r="A777" s="2426" t="s">
        <v>1014</v>
      </c>
      <c r="B777" s="2427">
        <v>0</v>
      </c>
      <c r="C777" s="2428">
        <v>2195000.0000000005</v>
      </c>
      <c r="D777" s="2429">
        <v>0</v>
      </c>
      <c r="E777" s="2430">
        <v>0</v>
      </c>
      <c r="F777" s="2427">
        <v>0</v>
      </c>
      <c r="G777" s="2429">
        <v>0</v>
      </c>
      <c r="H777" s="2430">
        <v>0</v>
      </c>
      <c r="I777" s="2427">
        <v>0</v>
      </c>
      <c r="J777" s="2431">
        <v>0</v>
      </c>
    </row>
    <row r="778" spans="1:10" x14ac:dyDescent="0.2">
      <c r="A778" s="2426" t="s">
        <v>970</v>
      </c>
      <c r="B778" s="2427">
        <v>138</v>
      </c>
      <c r="C778" s="2428">
        <v>3100000.0000000005</v>
      </c>
      <c r="D778" s="2429">
        <v>427.80000000000007</v>
      </c>
      <c r="E778" s="2430">
        <v>0.17439366009793569</v>
      </c>
      <c r="F778" s="2427">
        <v>0.13989669561673343</v>
      </c>
      <c r="G778" s="2429">
        <v>9.9117625985389486E-3</v>
      </c>
      <c r="H778" s="2430">
        <v>0.23982783653213324</v>
      </c>
      <c r="I778" s="2427">
        <v>0.14265549273268602</v>
      </c>
      <c r="J778" s="2431">
        <v>6.6196687437222517E-3</v>
      </c>
    </row>
    <row r="779" spans="1:10" x14ac:dyDescent="0.2">
      <c r="A779" s="2426" t="s">
        <v>971</v>
      </c>
      <c r="B779" s="2427">
        <v>60</v>
      </c>
      <c r="C779" s="2428">
        <v>3010000</v>
      </c>
      <c r="D779" s="2429">
        <v>180.6</v>
      </c>
      <c r="E779" s="2430">
        <v>7.5823330477363352E-2</v>
      </c>
      <c r="F779" s="2427">
        <v>6.0824650268144972E-2</v>
      </c>
      <c r="G779" s="2429">
        <v>4.3094619993647599E-3</v>
      </c>
      <c r="H779" s="2430">
        <v>0.10124569256125118</v>
      </c>
      <c r="I779" s="2427">
        <v>6.0223426805804323E-2</v>
      </c>
      <c r="J779" s="2431">
        <v>2.7945586141099547E-3</v>
      </c>
    </row>
    <row r="780" spans="1:10" x14ac:dyDescent="0.2">
      <c r="A780" s="2426" t="s">
        <v>972</v>
      </c>
      <c r="B780" s="2427">
        <v>406</v>
      </c>
      <c r="C780" s="2428">
        <v>2744000.0000000005</v>
      </c>
      <c r="D780" s="2429">
        <v>1114.0640000000003</v>
      </c>
      <c r="E780" s="2430">
        <v>0.51307120289682528</v>
      </c>
      <c r="F780" s="2427">
        <v>0.41158013348111427</v>
      </c>
      <c r="G780" s="2429">
        <v>2.916069286236821E-2</v>
      </c>
      <c r="H780" s="2430">
        <v>0.62455249854683148</v>
      </c>
      <c r="I780" s="2427">
        <v>0.37149917918594466</v>
      </c>
      <c r="J780" s="2431">
        <v>1.7238743897396418E-2</v>
      </c>
    </row>
    <row r="781" spans="1:10" x14ac:dyDescent="0.2">
      <c r="A781" s="2426" t="s">
        <v>973</v>
      </c>
      <c r="B781" s="2427">
        <v>91</v>
      </c>
      <c r="C781" s="2428">
        <v>2549999.9999999991</v>
      </c>
      <c r="D781" s="2429">
        <v>232.0499999999999</v>
      </c>
      <c r="E781" s="2430">
        <v>0.11499871789066773</v>
      </c>
      <c r="F781" s="2427">
        <v>9.2250719573353207E-2</v>
      </c>
      <c r="G781" s="2429">
        <v>6.5360173657032193E-3</v>
      </c>
      <c r="H781" s="2430">
        <v>0.13008894218625874</v>
      </c>
      <c r="I781" s="2427">
        <v>7.7380100721411341E-2</v>
      </c>
      <c r="J781" s="2431">
        <v>3.5906828704552305E-3</v>
      </c>
    </row>
    <row r="782" spans="1:10" x14ac:dyDescent="0.2">
      <c r="A782" s="2426" t="s">
        <v>974</v>
      </c>
      <c r="B782" s="2427">
        <v>16</v>
      </c>
      <c r="C782" s="2428">
        <v>1583999.9999999995</v>
      </c>
      <c r="D782" s="2429">
        <v>25.343999999999994</v>
      </c>
      <c r="E782" s="2430">
        <v>2.0219554793963559E-2</v>
      </c>
      <c r="F782" s="2427">
        <v>1.6219906738171991E-2</v>
      </c>
      <c r="G782" s="2429">
        <v>1.1491898664972692E-3</v>
      </c>
      <c r="H782" s="2430">
        <v>1.4208033401286542E-2</v>
      </c>
      <c r="I782" s="2427">
        <v>8.4512875358045639E-3</v>
      </c>
      <c r="J782" s="2431">
        <v>3.9216663076413439E-4</v>
      </c>
    </row>
    <row r="783" spans="1:10" x14ac:dyDescent="0.2">
      <c r="A783" s="2426" t="s">
        <v>975</v>
      </c>
      <c r="B783" s="2427">
        <v>60</v>
      </c>
      <c r="C783" s="2428">
        <v>2532000.0000000009</v>
      </c>
      <c r="D783" s="2429">
        <v>151.92000000000007</v>
      </c>
      <c r="E783" s="2430">
        <v>7.5823330477363352E-2</v>
      </c>
      <c r="F783" s="2427">
        <v>6.0824650268144972E-2</v>
      </c>
      <c r="G783" s="2429">
        <v>4.3094619993647599E-3</v>
      </c>
      <c r="H783" s="2430">
        <v>8.5167472945212E-2</v>
      </c>
      <c r="I783" s="2427">
        <v>5.065970653564672E-2</v>
      </c>
      <c r="J783" s="2431">
        <v>2.3507715650918299E-3</v>
      </c>
    </row>
    <row r="784" spans="1:10" x14ac:dyDescent="0.2">
      <c r="A784" s="2426" t="s">
        <v>976</v>
      </c>
      <c r="B784" s="2427">
        <v>20</v>
      </c>
      <c r="C784" s="2428">
        <v>7394999.9999999991</v>
      </c>
      <c r="D784" s="2429">
        <v>147.89999999999998</v>
      </c>
      <c r="E784" s="2430">
        <v>2.5274443492454453E-2</v>
      </c>
      <c r="F784" s="2427">
        <v>2.0274883422714989E-2</v>
      </c>
      <c r="G784" s="2429">
        <v>1.4364873331215865E-3</v>
      </c>
      <c r="H784" s="2430">
        <v>8.2913831283549538E-2</v>
      </c>
      <c r="I784" s="2427">
        <v>4.9319185075185255E-2</v>
      </c>
      <c r="J784" s="2431">
        <v>2.2885671042461916E-3</v>
      </c>
    </row>
    <row r="785" spans="1:10" x14ac:dyDescent="0.2">
      <c r="A785" s="2426" t="s">
        <v>286</v>
      </c>
      <c r="B785" s="2427">
        <v>150</v>
      </c>
      <c r="C785" s="2428">
        <v>2445000.0000000005</v>
      </c>
      <c r="D785" s="2429">
        <v>366.75000000000006</v>
      </c>
      <c r="E785" s="2430">
        <v>0.18955832619340837</v>
      </c>
      <c r="F785" s="2427">
        <v>0.15206162567036244</v>
      </c>
      <c r="G785" s="2429">
        <v>1.0773654998411899E-2</v>
      </c>
      <c r="H785" s="2430">
        <v>0.20560275607330497</v>
      </c>
      <c r="I785" s="2427">
        <v>0.12229757353836512</v>
      </c>
      <c r="J785" s="2431">
        <v>5.6749965211784388E-3</v>
      </c>
    </row>
    <row r="786" spans="1:10" x14ac:dyDescent="0.2">
      <c r="A786" s="2439" t="s">
        <v>978</v>
      </c>
      <c r="B786" s="2427">
        <v>104</v>
      </c>
      <c r="C786" s="2428">
        <v>1850000.0000000002</v>
      </c>
      <c r="D786" s="2429">
        <v>192.40000000000003</v>
      </c>
      <c r="E786" s="2430">
        <v>0.13142710616076314</v>
      </c>
      <c r="F786" s="2427">
        <v>0.10542939379811794</v>
      </c>
      <c r="G786" s="2429">
        <v>7.4697341322322508E-3</v>
      </c>
      <c r="H786" s="2430">
        <v>0.10786085962782242</v>
      </c>
      <c r="I786" s="2427">
        <v>6.4158290794223444E-2</v>
      </c>
      <c r="J786" s="2431">
        <v>2.9771488225623218E-3</v>
      </c>
    </row>
    <row r="787" spans="1:10" x14ac:dyDescent="0.2">
      <c r="A787" s="2426" t="s">
        <v>1163</v>
      </c>
      <c r="B787" s="2427">
        <v>0</v>
      </c>
      <c r="C787" s="2428">
        <v>0</v>
      </c>
      <c r="D787" s="2429">
        <v>0</v>
      </c>
      <c r="E787" s="2430">
        <v>0</v>
      </c>
      <c r="F787" s="2427">
        <v>0</v>
      </c>
      <c r="G787" s="2429">
        <v>0</v>
      </c>
      <c r="H787" s="2430">
        <v>0</v>
      </c>
      <c r="I787" s="2427">
        <v>0</v>
      </c>
      <c r="J787" s="2431">
        <v>0</v>
      </c>
    </row>
    <row r="788" spans="1:10" x14ac:dyDescent="0.2">
      <c r="A788" s="2433" t="s">
        <v>287</v>
      </c>
      <c r="B788" s="2434">
        <v>2865.35</v>
      </c>
      <c r="C788" s="2433"/>
      <c r="D788" s="2435">
        <v>7396.2714000000005</v>
      </c>
      <c r="E788" s="2436">
        <v>3.6210063330552176</v>
      </c>
      <c r="F788" s="2434">
        <v>2.9047318607638197</v>
      </c>
      <c r="G788" s="2435">
        <v>0.20580194899799692</v>
      </c>
      <c r="H788" s="2436">
        <v>4.1464043203985321</v>
      </c>
      <c r="I788" s="2434">
        <v>2.4663832186808632</v>
      </c>
      <c r="J788" s="2437">
        <v>0.11444802853358303</v>
      </c>
    </row>
    <row r="789" spans="1:10" x14ac:dyDescent="0.2">
      <c r="A789" s="2440" t="s">
        <v>1835</v>
      </c>
      <c r="B789" s="2441">
        <v>12301.416999999999</v>
      </c>
      <c r="C789" s="2440"/>
      <c r="D789" s="2442">
        <v>59971.907713909139</v>
      </c>
      <c r="E789" s="2443">
        <v>15.545573442180928</v>
      </c>
      <c r="F789" s="2441">
        <v>12.470489780460218</v>
      </c>
      <c r="G789" s="2442">
        <v>0.88354148499732743</v>
      </c>
      <c r="H789" s="2443">
        <v>33.620693968517017</v>
      </c>
      <c r="I789" s="2441">
        <v>19.998415252564001</v>
      </c>
      <c r="J789" s="2444">
        <v>0.92799009582786274</v>
      </c>
    </row>
    <row r="790" spans="1:10" x14ac:dyDescent="0.2">
      <c r="A790" s="2445" t="s">
        <v>194</v>
      </c>
      <c r="B790" s="2446">
        <v>79131.316999999995</v>
      </c>
      <c r="C790" s="2447"/>
      <c r="D790" s="2448">
        <v>178377.95903340913</v>
      </c>
      <c r="E790" s="2449">
        <v>99.999999999999986</v>
      </c>
      <c r="F790" s="2446">
        <v>80.218911363045237</v>
      </c>
      <c r="G790" s="2448">
        <v>5.6835567261864428</v>
      </c>
      <c r="H790" s="2449">
        <v>100.00000000000001</v>
      </c>
      <c r="I790" s="2446">
        <v>59.482458248157677</v>
      </c>
      <c r="J790" s="2450">
        <v>2.760175315526944</v>
      </c>
    </row>
    <row r="791" spans="1:10" x14ac:dyDescent="0.2">
      <c r="A791" s="2451" t="s">
        <v>1852</v>
      </c>
      <c r="B791" s="2427"/>
      <c r="C791" s="2452"/>
      <c r="D791" s="2429"/>
      <c r="E791" s="2430"/>
      <c r="F791" s="2427">
        <v>0</v>
      </c>
      <c r="G791" s="2429"/>
      <c r="H791" s="2430"/>
      <c r="I791" s="2427">
        <v>0</v>
      </c>
      <c r="J791" s="2431">
        <v>0</v>
      </c>
    </row>
    <row r="792" spans="1:10" x14ac:dyDescent="0.2">
      <c r="A792" s="2453" t="s">
        <v>1836</v>
      </c>
      <c r="B792" s="2427">
        <v>950.65000000000009</v>
      </c>
      <c r="C792" s="2428">
        <v>8033612.4975057133</v>
      </c>
      <c r="D792" s="2429">
        <v>7637.1537207538067</v>
      </c>
      <c r="E792" s="2430">
        <v>5.9823546809809391</v>
      </c>
      <c r="F792" s="2427">
        <v>0.96371589629020027</v>
      </c>
      <c r="G792" s="2429">
        <v>6.8279834161601827E-2</v>
      </c>
      <c r="H792" s="2430">
        <v>10.30858948079471</v>
      </c>
      <c r="I792" s="2427">
        <v>2.5467085720182339</v>
      </c>
      <c r="J792" s="2431">
        <v>0.11817538049620399</v>
      </c>
    </row>
    <row r="793" spans="1:10" x14ac:dyDescent="0.2">
      <c r="A793" s="2453" t="s">
        <v>1837</v>
      </c>
      <c r="B793" s="2427">
        <v>8453.4</v>
      </c>
      <c r="C793" s="2428">
        <v>2214764.1578067578</v>
      </c>
      <c r="D793" s="2429">
        <v>18722.287331603646</v>
      </c>
      <c r="E793" s="2430">
        <v>53.196483522015747</v>
      </c>
      <c r="F793" s="2427">
        <v>8.5695849762789447</v>
      </c>
      <c r="G793" s="2429">
        <v>0.607160101090501</v>
      </c>
      <c r="H793" s="2430">
        <v>25.271243882195392</v>
      </c>
      <c r="I793" s="2427">
        <v>6.2431910340646164</v>
      </c>
      <c r="J793" s="2431">
        <v>0.28970392767649306</v>
      </c>
    </row>
    <row r="794" spans="1:10" x14ac:dyDescent="0.2">
      <c r="A794" s="2454" t="s">
        <v>309</v>
      </c>
      <c r="B794" s="2434">
        <v>9404.0499999999993</v>
      </c>
      <c r="C794" s="2433"/>
      <c r="D794" s="2435">
        <v>26359.441052357452</v>
      </c>
      <c r="E794" s="2436">
        <v>59.178838202996673</v>
      </c>
      <c r="F794" s="2434">
        <v>9.5333008725691446</v>
      </c>
      <c r="G794" s="2435">
        <v>0.67543993525210277</v>
      </c>
      <c r="H794" s="2436">
        <v>35.579833362990101</v>
      </c>
      <c r="I794" s="2434">
        <v>8.7898996060828498</v>
      </c>
      <c r="J794" s="2437">
        <v>0.40787930817269707</v>
      </c>
    </row>
    <row r="795" spans="1:10" x14ac:dyDescent="0.2">
      <c r="A795" s="2453" t="s">
        <v>1838</v>
      </c>
      <c r="B795" s="2427">
        <v>0</v>
      </c>
      <c r="C795" s="2428">
        <v>10407427.50198495</v>
      </c>
      <c r="D795" s="2429">
        <v>0</v>
      </c>
      <c r="E795" s="2430">
        <v>0</v>
      </c>
      <c r="F795" s="2427">
        <v>0</v>
      </c>
      <c r="G795" s="2429">
        <v>0</v>
      </c>
      <c r="H795" s="2430">
        <v>0</v>
      </c>
      <c r="I795" s="2427">
        <v>0</v>
      </c>
      <c r="J795" s="2431">
        <v>0</v>
      </c>
    </row>
    <row r="796" spans="1:10" x14ac:dyDescent="0.2">
      <c r="A796" s="2454" t="s">
        <v>315</v>
      </c>
      <c r="B796" s="2434">
        <v>0</v>
      </c>
      <c r="C796" s="2455"/>
      <c r="D796" s="2435">
        <v>0</v>
      </c>
      <c r="E796" s="2436">
        <v>0</v>
      </c>
      <c r="F796" s="2434">
        <v>0</v>
      </c>
      <c r="G796" s="2435">
        <v>0</v>
      </c>
      <c r="H796" s="2436">
        <v>0</v>
      </c>
      <c r="I796" s="2434">
        <v>0</v>
      </c>
      <c r="J796" s="2437">
        <v>0</v>
      </c>
    </row>
    <row r="797" spans="1:10" x14ac:dyDescent="0.2">
      <c r="A797" s="2453" t="s">
        <v>1541</v>
      </c>
      <c r="B797" s="2427">
        <v>683.1</v>
      </c>
      <c r="C797" s="2428">
        <v>10553660</v>
      </c>
      <c r="D797" s="2429">
        <v>7209.2051460000002</v>
      </c>
      <c r="E797" s="2430">
        <v>4.2986866697292161</v>
      </c>
      <c r="F797" s="2427">
        <v>0.69248864330283044</v>
      </c>
      <c r="G797" s="2429">
        <v>4.9063224862767797E-2</v>
      </c>
      <c r="H797" s="2430">
        <v>9.7309467702597789</v>
      </c>
      <c r="I797" s="2427">
        <v>2.4040035350950104</v>
      </c>
      <c r="J797" s="2431">
        <v>0.11155341274440816</v>
      </c>
    </row>
    <row r="798" spans="1:10" x14ac:dyDescent="0.2">
      <c r="A798" s="2453" t="s">
        <v>206</v>
      </c>
      <c r="B798" s="2427">
        <v>5800</v>
      </c>
      <c r="C798" s="2428">
        <v>6960000</v>
      </c>
      <c r="D798" s="2429">
        <v>40368</v>
      </c>
      <c r="E798" s="2430">
        <v>36.498876715604531</v>
      </c>
      <c r="F798" s="2427">
        <v>5.8797161925873471</v>
      </c>
      <c r="G798" s="2429">
        <v>0.41658132660526009</v>
      </c>
      <c r="H798" s="2430">
        <v>54.488511738329535</v>
      </c>
      <c r="I798" s="2427">
        <v>13.461236396991744</v>
      </c>
      <c r="J798" s="2431">
        <v>0.62464419786484293</v>
      </c>
    </row>
    <row r="799" spans="1:10" x14ac:dyDescent="0.2">
      <c r="A799" s="2454" t="s">
        <v>310</v>
      </c>
      <c r="B799" s="2434">
        <v>6483.1</v>
      </c>
      <c r="C799" s="2455"/>
      <c r="D799" s="2435">
        <v>47577.205146</v>
      </c>
      <c r="E799" s="2436">
        <v>40.797563385333746</v>
      </c>
      <c r="F799" s="2434">
        <v>6.5722048358901777</v>
      </c>
      <c r="G799" s="2435">
        <v>0.46564455146802797</v>
      </c>
      <c r="H799" s="2436">
        <v>64.219458508589327</v>
      </c>
      <c r="I799" s="2434">
        <v>15.865239932086755</v>
      </c>
      <c r="J799" s="2437">
        <v>0.73619761060925115</v>
      </c>
    </row>
    <row r="800" spans="1:10" x14ac:dyDescent="0.2">
      <c r="A800" s="2453" t="s">
        <v>1839</v>
      </c>
      <c r="B800" s="2427">
        <v>3.75</v>
      </c>
      <c r="C800" s="2428">
        <v>39652080.629353955</v>
      </c>
      <c r="D800" s="2429">
        <v>148.69530236007733</v>
      </c>
      <c r="E800" s="2430">
        <v>2.3598411669571894E-2</v>
      </c>
      <c r="F800" s="2427">
        <v>3.8015406417590608E-3</v>
      </c>
      <c r="G800" s="2429">
        <v>2.6934137496029749E-4</v>
      </c>
      <c r="H800" s="2430">
        <v>0.20070812842056912</v>
      </c>
      <c r="I800" s="2427">
        <v>4.9584389025742304E-2</v>
      </c>
      <c r="J800" s="2431">
        <v>2.3008734113401904E-3</v>
      </c>
    </row>
    <row r="801" spans="1:10" x14ac:dyDescent="0.2">
      <c r="A801" s="2454" t="s">
        <v>311</v>
      </c>
      <c r="B801" s="2434">
        <v>3.75</v>
      </c>
      <c r="C801" s="2433"/>
      <c r="D801" s="2435">
        <v>148.69530236007733</v>
      </c>
      <c r="E801" s="2436">
        <v>2.3598411669571894E-2</v>
      </c>
      <c r="F801" s="2434">
        <v>3.8015406417590608E-3</v>
      </c>
      <c r="G801" s="2435">
        <v>2.6934137496029749E-4</v>
      </c>
      <c r="H801" s="2436">
        <v>0.20070812842056912</v>
      </c>
      <c r="I801" s="2434">
        <v>4.9584389025742304E-2</v>
      </c>
      <c r="J801" s="2437">
        <v>2.3008734113401904E-3</v>
      </c>
    </row>
    <row r="802" spans="1:10" x14ac:dyDescent="0.2">
      <c r="A802" s="2456" t="s">
        <v>129</v>
      </c>
      <c r="B802" s="2441">
        <v>15890.9</v>
      </c>
      <c r="C802" s="2440"/>
      <c r="D802" s="2442">
        <v>74085.341500717535</v>
      </c>
      <c r="E802" s="2443">
        <v>99.999999999999986</v>
      </c>
      <c r="F802" s="2441">
        <v>16.109307249101082</v>
      </c>
      <c r="G802" s="2442">
        <v>1.141353828095091</v>
      </c>
      <c r="H802" s="2443">
        <v>100</v>
      </c>
      <c r="I802" s="2441">
        <v>24.704723927195349</v>
      </c>
      <c r="J802" s="2444">
        <v>1.1463777921932883</v>
      </c>
    </row>
    <row r="803" spans="1:10" x14ac:dyDescent="0.2">
      <c r="A803" s="2451" t="s">
        <v>1853</v>
      </c>
      <c r="B803" s="2427"/>
      <c r="C803" s="2452"/>
      <c r="D803" s="2429"/>
      <c r="E803" s="2430"/>
      <c r="F803" s="2427">
        <v>0</v>
      </c>
      <c r="G803" s="2429"/>
      <c r="H803" s="2430"/>
      <c r="I803" s="2427">
        <v>0</v>
      </c>
      <c r="J803" s="2431">
        <v>0</v>
      </c>
    </row>
    <row r="804" spans="1:10" x14ac:dyDescent="0.2">
      <c r="A804" s="2426" t="s">
        <v>1543</v>
      </c>
      <c r="B804" s="2427">
        <v>3500</v>
      </c>
      <c r="C804" s="2428">
        <v>13200000</v>
      </c>
      <c r="D804" s="2429">
        <v>46200</v>
      </c>
      <c r="E804" s="2430">
        <v>96.631695196024296</v>
      </c>
      <c r="F804" s="2427">
        <v>3.5481045989751236</v>
      </c>
      <c r="G804" s="2429">
        <v>0.25138528329627763</v>
      </c>
      <c r="H804" s="2430">
        <v>97.427245887811054</v>
      </c>
      <c r="I804" s="2427">
        <v>15.405992903810409</v>
      </c>
      <c r="J804" s="2431">
        <v>0.71488708733045347</v>
      </c>
    </row>
    <row r="805" spans="1:10" x14ac:dyDescent="0.2">
      <c r="A805" s="2426" t="s">
        <v>208</v>
      </c>
      <c r="B805" s="2427">
        <v>122</v>
      </c>
      <c r="C805" s="2428">
        <v>10000000</v>
      </c>
      <c r="D805" s="2429">
        <v>1220</v>
      </c>
      <c r="E805" s="2430">
        <v>3.368304803975704</v>
      </c>
      <c r="F805" s="2427">
        <v>0.12367678887856146</v>
      </c>
      <c r="G805" s="2429">
        <v>8.7625727320416787E-3</v>
      </c>
      <c r="H805" s="2430">
        <v>2.5727541121889499</v>
      </c>
      <c r="I805" s="2427">
        <v>0.40682492083655186</v>
      </c>
      <c r="J805" s="2431">
        <v>1.8877970704397257E-2</v>
      </c>
    </row>
    <row r="806" spans="1:10" x14ac:dyDescent="0.2">
      <c r="A806" s="2426" t="s">
        <v>209</v>
      </c>
      <c r="B806" s="2427">
        <v>0</v>
      </c>
      <c r="C806" s="2428">
        <v>10000000</v>
      </c>
      <c r="D806" s="2429">
        <v>0</v>
      </c>
      <c r="E806" s="2430">
        <v>0</v>
      </c>
      <c r="F806" s="2427">
        <v>0</v>
      </c>
      <c r="G806" s="2429">
        <v>0</v>
      </c>
      <c r="H806" s="2430">
        <v>0</v>
      </c>
      <c r="I806" s="2427">
        <v>0</v>
      </c>
      <c r="J806" s="2431">
        <v>0</v>
      </c>
    </row>
    <row r="807" spans="1:10" x14ac:dyDescent="0.2">
      <c r="A807" s="2426" t="s">
        <v>210</v>
      </c>
      <c r="B807" s="2427">
        <v>0</v>
      </c>
      <c r="C807" s="2428">
        <v>18500000</v>
      </c>
      <c r="D807" s="2429">
        <v>0</v>
      </c>
      <c r="E807" s="2430">
        <v>0</v>
      </c>
      <c r="F807" s="2427">
        <v>0</v>
      </c>
      <c r="G807" s="2429">
        <v>0</v>
      </c>
      <c r="H807" s="2430">
        <v>0</v>
      </c>
      <c r="I807" s="2427">
        <v>0</v>
      </c>
      <c r="J807" s="2431">
        <v>0</v>
      </c>
    </row>
    <row r="808" spans="1:10" x14ac:dyDescent="0.2">
      <c r="A808" s="2426" t="s">
        <v>1545</v>
      </c>
      <c r="B808" s="2427">
        <v>0</v>
      </c>
      <c r="C808" s="2428">
        <v>14200000</v>
      </c>
      <c r="D808" s="2429">
        <v>0</v>
      </c>
      <c r="E808" s="2430">
        <v>0</v>
      </c>
      <c r="F808" s="2427">
        <v>0</v>
      </c>
      <c r="G808" s="2429">
        <v>0</v>
      </c>
      <c r="H808" s="2430">
        <v>0</v>
      </c>
      <c r="I808" s="2427">
        <v>0</v>
      </c>
      <c r="J808" s="2431">
        <v>0</v>
      </c>
    </row>
    <row r="809" spans="1:10" x14ac:dyDescent="0.2">
      <c r="A809" s="2426" t="s">
        <v>1546</v>
      </c>
      <c r="B809" s="2427">
        <v>0</v>
      </c>
      <c r="C809" s="2428">
        <v>10000000</v>
      </c>
      <c r="D809" s="2429">
        <v>0</v>
      </c>
      <c r="E809" s="2430">
        <v>0</v>
      </c>
      <c r="F809" s="2427">
        <v>0</v>
      </c>
      <c r="G809" s="2429">
        <v>0</v>
      </c>
      <c r="H809" s="2430">
        <v>0</v>
      </c>
      <c r="I809" s="2427">
        <v>0</v>
      </c>
      <c r="J809" s="2431">
        <v>0</v>
      </c>
    </row>
    <row r="810" spans="1:10" x14ac:dyDescent="0.2">
      <c r="A810" s="2456" t="s">
        <v>121</v>
      </c>
      <c r="B810" s="2441">
        <v>3622</v>
      </c>
      <c r="C810" s="2440"/>
      <c r="D810" s="2442">
        <v>47420</v>
      </c>
      <c r="E810" s="2443">
        <v>100</v>
      </c>
      <c r="F810" s="2441">
        <v>3.6717813878536849</v>
      </c>
      <c r="G810" s="2442">
        <v>0.26014785602831936</v>
      </c>
      <c r="H810" s="2443">
        <v>100</v>
      </c>
      <c r="I810" s="2441">
        <v>15.81281782464696</v>
      </c>
      <c r="J810" s="2444">
        <v>0.7337650580348507</v>
      </c>
    </row>
    <row r="811" spans="1:10" ht="14.25" thickBot="1" x14ac:dyDescent="0.25">
      <c r="A811" s="2457" t="s">
        <v>1840</v>
      </c>
      <c r="B811" s="2446">
        <v>98644.21699999999</v>
      </c>
      <c r="C811" s="2458"/>
      <c r="D811" s="2448">
        <v>299883.3005341267</v>
      </c>
      <c r="E811" s="2459"/>
      <c r="F811" s="2460">
        <v>100</v>
      </c>
      <c r="G811" s="2461">
        <v>7.0850584103098528</v>
      </c>
      <c r="H811" s="2462"/>
      <c r="I811" s="2460">
        <v>99.999999999999986</v>
      </c>
      <c r="J811" s="2463">
        <v>4.6403181657550832</v>
      </c>
    </row>
    <row r="812" spans="1:10" ht="15" thickBot="1" x14ac:dyDescent="0.25">
      <c r="A812" s="2464" t="s">
        <v>1841</v>
      </c>
      <c r="B812" s="2465">
        <v>1392285.1624830281</v>
      </c>
      <c r="C812" s="2466"/>
      <c r="D812" s="2467">
        <v>6462559.0276810033</v>
      </c>
      <c r="E812" s="2468"/>
      <c r="F812" s="2469"/>
      <c r="G812" s="2469"/>
      <c r="H812" s="2469"/>
      <c r="I812" s="2469"/>
      <c r="J812" s="2469"/>
    </row>
    <row r="813" spans="1:10" ht="16.5" thickBot="1" x14ac:dyDescent="0.3">
      <c r="A813" s="2470" t="s">
        <v>1842</v>
      </c>
      <c r="B813" s="2471">
        <v>7.0850584103098537</v>
      </c>
      <c r="C813" s="2472"/>
      <c r="D813" s="2473">
        <v>4.6403181657550832</v>
      </c>
      <c r="E813" s="2468"/>
      <c r="F813" s="2469"/>
      <c r="G813" s="2469"/>
      <c r="H813" s="2469"/>
      <c r="I813" s="2469"/>
      <c r="J813" s="2469"/>
    </row>
    <row r="814" spans="1:10" x14ac:dyDescent="0.2">
      <c r="A814" s="2474" t="s">
        <v>2023</v>
      </c>
      <c r="B814" s="2474"/>
      <c r="C814" s="2474"/>
      <c r="D814" s="2475"/>
      <c r="E814" s="2474"/>
      <c r="F814" s="2474"/>
      <c r="H814" s="2474"/>
      <c r="I814" s="2474"/>
      <c r="J814" s="2474"/>
    </row>
    <row r="815" spans="1:10" x14ac:dyDescent="0.2">
      <c r="A815" s="2474" t="s">
        <v>1843</v>
      </c>
      <c r="B815" s="2474"/>
      <c r="C815" s="2474"/>
      <c r="D815" s="2474"/>
      <c r="E815" s="2474"/>
      <c r="F815" s="2474"/>
      <c r="G815" s="2474"/>
      <c r="H815" s="2474"/>
      <c r="I815" s="2474"/>
      <c r="J815" s="2474"/>
    </row>
    <row r="816" spans="1:10" x14ac:dyDescent="0.2">
      <c r="A816" s="2474" t="s">
        <v>2024</v>
      </c>
      <c r="B816" s="2474"/>
      <c r="C816" s="2474"/>
      <c r="D816" s="2474"/>
      <c r="E816" s="2474"/>
      <c r="F816" s="2474"/>
      <c r="G816" s="2474"/>
      <c r="H816" s="2474"/>
      <c r="I816" s="2474"/>
      <c r="J816" s="2474"/>
    </row>
    <row r="820" spans="1:10" ht="13.5" thickBot="1" x14ac:dyDescent="0.25">
      <c r="A820" s="3321" t="s">
        <v>2021</v>
      </c>
      <c r="B820" s="3321"/>
      <c r="C820" s="3321"/>
      <c r="D820" s="3321"/>
      <c r="E820" s="3321"/>
      <c r="F820" s="3321"/>
      <c r="G820" s="3321"/>
      <c r="H820" s="3321"/>
      <c r="I820" s="3321"/>
      <c r="J820" s="3321"/>
    </row>
    <row r="821" spans="1:10" ht="13.5" customHeight="1" thickBot="1" x14ac:dyDescent="0.25">
      <c r="A821" s="3322" t="s">
        <v>362</v>
      </c>
      <c r="B821" s="3324" t="s">
        <v>1272</v>
      </c>
      <c r="C821" s="3324" t="s">
        <v>1832</v>
      </c>
      <c r="D821" s="3326" t="s">
        <v>1844</v>
      </c>
      <c r="E821" s="3328" t="s">
        <v>1849</v>
      </c>
      <c r="F821" s="3329"/>
      <c r="G821" s="3330"/>
      <c r="H821" s="3328" t="s">
        <v>1850</v>
      </c>
      <c r="I821" s="3329"/>
      <c r="J821" s="3331"/>
    </row>
    <row r="822" spans="1:10" ht="13.5" customHeight="1" thickBot="1" x14ac:dyDescent="0.25">
      <c r="A822" s="3323"/>
      <c r="B822" s="3325"/>
      <c r="C822" s="3325"/>
      <c r="D822" s="3327"/>
      <c r="E822" s="2415" t="s">
        <v>1848</v>
      </c>
      <c r="F822" s="2416" t="s">
        <v>1231</v>
      </c>
      <c r="G822" s="2417" t="s">
        <v>1833</v>
      </c>
      <c r="H822" s="2415" t="s">
        <v>1848</v>
      </c>
      <c r="I822" s="2416" t="s">
        <v>1231</v>
      </c>
      <c r="J822" s="2418" t="s">
        <v>1833</v>
      </c>
    </row>
    <row r="823" spans="1:10" x14ac:dyDescent="0.2">
      <c r="A823" s="2419" t="s">
        <v>1851</v>
      </c>
      <c r="B823" s="2420"/>
      <c r="C823" s="2420"/>
      <c r="D823" s="2421"/>
      <c r="E823" s="2422"/>
      <c r="F823" s="2423"/>
      <c r="G823" s="2424"/>
      <c r="H823" s="2422"/>
      <c r="I823" s="2423"/>
      <c r="J823" s="2425"/>
    </row>
    <row r="824" spans="1:10" x14ac:dyDescent="0.2">
      <c r="A824" s="2426" t="s">
        <v>410</v>
      </c>
      <c r="B824" s="2427">
        <v>0</v>
      </c>
      <c r="C824" s="2428">
        <v>5667200.0000000009</v>
      </c>
      <c r="D824" s="2429">
        <v>0</v>
      </c>
      <c r="E824" s="2430">
        <v>0</v>
      </c>
      <c r="F824" s="2427">
        <v>0</v>
      </c>
      <c r="G824" s="2429">
        <v>0</v>
      </c>
      <c r="H824" s="2430">
        <v>0</v>
      </c>
      <c r="I824" s="2427">
        <v>0</v>
      </c>
      <c r="J824" s="2431">
        <v>0</v>
      </c>
    </row>
    <row r="825" spans="1:10" x14ac:dyDescent="0.2">
      <c r="A825" s="2426" t="s">
        <v>411</v>
      </c>
      <c r="B825" s="2427">
        <v>4625</v>
      </c>
      <c r="C825" s="2428">
        <v>1753716.5000000002</v>
      </c>
      <c r="D825" s="2429">
        <v>8110.9388125000014</v>
      </c>
      <c r="E825" s="2430">
        <v>22.221686648370117</v>
      </c>
      <c r="F825" s="2427">
        <v>7.4357640488899852</v>
      </c>
      <c r="G825" s="2429">
        <v>0.33218769578436691</v>
      </c>
      <c r="H825" s="2430">
        <v>14.150418788211377</v>
      </c>
      <c r="I825" s="2427">
        <v>2.2152933761237708</v>
      </c>
      <c r="J825" s="2431">
        <v>0.12550661089142107</v>
      </c>
    </row>
    <row r="826" spans="1:10" x14ac:dyDescent="0.2">
      <c r="A826" s="2426" t="s">
        <v>278</v>
      </c>
      <c r="B826" s="2427">
        <v>3120</v>
      </c>
      <c r="C826" s="2428">
        <v>1637875</v>
      </c>
      <c r="D826" s="2429">
        <v>5110.17</v>
      </c>
      <c r="E826" s="2430">
        <v>14.990629695765357</v>
      </c>
      <c r="F826" s="2427">
        <v>5.0161262340620008</v>
      </c>
      <c r="G826" s="2429">
        <v>0.22409202396696751</v>
      </c>
      <c r="H826" s="2430">
        <v>8.9152497942055113</v>
      </c>
      <c r="I826" s="2427">
        <v>1.3957109051815335</v>
      </c>
      <c r="J826" s="2431">
        <v>7.9073475044663707E-2</v>
      </c>
    </row>
    <row r="827" spans="1:10" x14ac:dyDescent="0.2">
      <c r="A827" s="2426" t="s">
        <v>200</v>
      </c>
      <c r="B827" s="2427">
        <v>317.75</v>
      </c>
      <c r="C827" s="2428">
        <v>7709114.5</v>
      </c>
      <c r="D827" s="2429">
        <v>2449.5711323750002</v>
      </c>
      <c r="E827" s="2430">
        <v>1.5266899313555902</v>
      </c>
      <c r="F827" s="2427">
        <v>0.51085708681833353</v>
      </c>
      <c r="G827" s="2429">
        <v>2.282219250496921E-2</v>
      </c>
      <c r="H827" s="2430">
        <v>4.273544428815085</v>
      </c>
      <c r="I827" s="2427">
        <v>0.66903706578717848</v>
      </c>
      <c r="J827" s="2431">
        <v>3.7904042684682351E-2</v>
      </c>
    </row>
    <row r="828" spans="1:10" x14ac:dyDescent="0.2">
      <c r="A828" s="2426" t="s">
        <v>429</v>
      </c>
      <c r="B828" s="2427">
        <v>0</v>
      </c>
      <c r="C828" s="2428">
        <v>1255000</v>
      </c>
      <c r="D828" s="2429">
        <v>0</v>
      </c>
      <c r="E828" s="2430">
        <v>0</v>
      </c>
      <c r="F828" s="2427">
        <v>0</v>
      </c>
      <c r="G828" s="2429">
        <v>0</v>
      </c>
      <c r="H828" s="2430">
        <v>0</v>
      </c>
      <c r="I828" s="2427">
        <v>0</v>
      </c>
      <c r="J828" s="2431">
        <v>0</v>
      </c>
    </row>
    <row r="829" spans="1:10" x14ac:dyDescent="0.2">
      <c r="A829" s="2432" t="s">
        <v>431</v>
      </c>
      <c r="B829" s="2427">
        <v>0</v>
      </c>
      <c r="C829" s="2428">
        <v>0</v>
      </c>
      <c r="D829" s="2429">
        <v>0</v>
      </c>
      <c r="E829" s="2430">
        <v>0</v>
      </c>
      <c r="F829" s="2427">
        <v>0</v>
      </c>
      <c r="G829" s="2429">
        <v>0</v>
      </c>
      <c r="H829" s="2430">
        <v>0</v>
      </c>
      <c r="I829" s="2427">
        <v>0</v>
      </c>
      <c r="J829" s="2431">
        <v>0</v>
      </c>
    </row>
    <row r="830" spans="1:10" x14ac:dyDescent="0.2">
      <c r="A830" s="2432" t="s">
        <v>430</v>
      </c>
      <c r="B830" s="2427">
        <v>0</v>
      </c>
      <c r="C830" s="2428">
        <v>0</v>
      </c>
      <c r="D830" s="2429">
        <v>0</v>
      </c>
      <c r="E830" s="2430">
        <v>0</v>
      </c>
      <c r="F830" s="2427">
        <v>0</v>
      </c>
      <c r="G830" s="2429">
        <v>0</v>
      </c>
      <c r="H830" s="2430">
        <v>0</v>
      </c>
      <c r="I830" s="2427">
        <v>0</v>
      </c>
      <c r="J830" s="2431">
        <v>0</v>
      </c>
    </row>
    <row r="831" spans="1:10" x14ac:dyDescent="0.2">
      <c r="A831" s="2433" t="s">
        <v>279</v>
      </c>
      <c r="B831" s="2434">
        <v>8062.75</v>
      </c>
      <c r="C831" s="2433"/>
      <c r="D831" s="2435">
        <v>15670.679944875003</v>
      </c>
      <c r="E831" s="2478">
        <v>38.739006275491064</v>
      </c>
      <c r="F831" s="2479">
        <v>12.962747369770319</v>
      </c>
      <c r="G831" s="2435">
        <v>0.5791019122563037</v>
      </c>
      <c r="H831" s="2478">
        <v>27.339213011231976</v>
      </c>
      <c r="I831" s="2479">
        <v>4.2800413470924825</v>
      </c>
      <c r="J831" s="2437">
        <v>0.24248412862076713</v>
      </c>
    </row>
    <row r="832" spans="1:10" x14ac:dyDescent="0.2">
      <c r="A832" s="2438" t="s">
        <v>412</v>
      </c>
      <c r="B832" s="2427">
        <v>54</v>
      </c>
      <c r="C832" s="2428">
        <v>4129499.9999999995</v>
      </c>
      <c r="D832" s="2429">
        <v>222.99299999999997</v>
      </c>
      <c r="E832" s="2430">
        <v>0.25945320627286195</v>
      </c>
      <c r="F832" s="2427">
        <v>8.6817569435688483E-2</v>
      </c>
      <c r="G832" s="2429">
        <v>3.8785157994282839E-3</v>
      </c>
      <c r="H832" s="2430">
        <v>0.38903564800373946</v>
      </c>
      <c r="I832" s="2427">
        <v>6.0904776529772137E-2</v>
      </c>
      <c r="J832" s="2431">
        <v>3.4505371485948001E-3</v>
      </c>
    </row>
    <row r="833" spans="1:10" x14ac:dyDescent="0.2">
      <c r="A833" s="2438" t="s">
        <v>413</v>
      </c>
      <c r="B833" s="2427">
        <v>48</v>
      </c>
      <c r="C833" s="2428">
        <v>1200000</v>
      </c>
      <c r="D833" s="2429">
        <v>57.6</v>
      </c>
      <c r="E833" s="2430">
        <v>0.23062507224254394</v>
      </c>
      <c r="F833" s="2427">
        <v>7.7171172831723103E-2</v>
      </c>
      <c r="G833" s="2429">
        <v>3.4475695994918083E-3</v>
      </c>
      <c r="H833" s="2430">
        <v>0.10048949215901573</v>
      </c>
      <c r="I833" s="2427">
        <v>1.5731951801692769E-2</v>
      </c>
      <c r="J833" s="2431">
        <v>8.9128779719121478E-4</v>
      </c>
    </row>
    <row r="834" spans="1:10" x14ac:dyDescent="0.2">
      <c r="A834" s="2426" t="s">
        <v>90</v>
      </c>
      <c r="B834" s="2427">
        <v>0</v>
      </c>
      <c r="C834" s="2428">
        <v>1743000</v>
      </c>
      <c r="D834" s="2429">
        <v>0</v>
      </c>
      <c r="E834" s="2430">
        <v>0</v>
      </c>
      <c r="F834" s="2427">
        <v>0</v>
      </c>
      <c r="G834" s="2429">
        <v>0</v>
      </c>
      <c r="H834" s="2430">
        <v>0</v>
      </c>
      <c r="I834" s="2427">
        <v>0</v>
      </c>
      <c r="J834" s="2431">
        <v>0</v>
      </c>
    </row>
    <row r="835" spans="1:10" x14ac:dyDescent="0.2">
      <c r="A835" s="2426" t="s">
        <v>417</v>
      </c>
      <c r="B835" s="2427">
        <v>27</v>
      </c>
      <c r="C835" s="2428">
        <v>2563999.9999999995</v>
      </c>
      <c r="D835" s="2429">
        <v>69.22799999999998</v>
      </c>
      <c r="E835" s="2430">
        <v>0.12972660313643097</v>
      </c>
      <c r="F835" s="2427">
        <v>4.3408784717844241E-2</v>
      </c>
      <c r="G835" s="2429">
        <v>1.939257899714142E-3</v>
      </c>
      <c r="H835" s="2430">
        <v>0.12077580838861701</v>
      </c>
      <c r="I835" s="2427">
        <v>1.890783957165949E-2</v>
      </c>
      <c r="J835" s="2431">
        <v>1.071216521249191E-3</v>
      </c>
    </row>
    <row r="836" spans="1:10" x14ac:dyDescent="0.2">
      <c r="A836" s="2426" t="s">
        <v>418</v>
      </c>
      <c r="B836" s="2427">
        <v>15</v>
      </c>
      <c r="C836" s="2428">
        <v>2222500</v>
      </c>
      <c r="D836" s="2429">
        <v>33.337499999999999</v>
      </c>
      <c r="E836" s="2430">
        <v>7.2070335075794981E-2</v>
      </c>
      <c r="F836" s="2427">
        <v>2.4115991509913465E-2</v>
      </c>
      <c r="G836" s="2429">
        <v>1.07736549984119E-3</v>
      </c>
      <c r="H836" s="2430">
        <v>5.8160910500888667E-2</v>
      </c>
      <c r="I836" s="2427">
        <v>9.1052767914745255E-3</v>
      </c>
      <c r="J836" s="2431">
        <v>5.1585602324413402E-4</v>
      </c>
    </row>
    <row r="837" spans="1:10" x14ac:dyDescent="0.2">
      <c r="A837" s="2426" t="s">
        <v>423</v>
      </c>
      <c r="B837" s="2427">
        <v>1275</v>
      </c>
      <c r="C837" s="2428">
        <v>2531500</v>
      </c>
      <c r="D837" s="2429">
        <v>3227.6624999999999</v>
      </c>
      <c r="E837" s="2430">
        <v>6.1259784814425728</v>
      </c>
      <c r="F837" s="2427">
        <v>2.049859278342645</v>
      </c>
      <c r="G837" s="2429">
        <v>9.1576067486501142E-2</v>
      </c>
      <c r="H837" s="2430">
        <v>5.6310098174600549</v>
      </c>
      <c r="I837" s="2427">
        <v>0.88155261948144414</v>
      </c>
      <c r="J837" s="2431">
        <v>4.9944031244820983E-2</v>
      </c>
    </row>
    <row r="838" spans="1:10" x14ac:dyDescent="0.2">
      <c r="A838" s="2426" t="s">
        <v>424</v>
      </c>
      <c r="B838" s="2427">
        <v>0</v>
      </c>
      <c r="C838" s="2428">
        <v>1369000</v>
      </c>
      <c r="D838" s="2429">
        <v>0</v>
      </c>
      <c r="E838" s="2430">
        <v>0</v>
      </c>
      <c r="F838" s="2427">
        <v>0</v>
      </c>
      <c r="G838" s="2429">
        <v>0</v>
      </c>
      <c r="H838" s="2430">
        <v>0</v>
      </c>
      <c r="I838" s="2427">
        <v>0</v>
      </c>
      <c r="J838" s="2431">
        <v>0</v>
      </c>
    </row>
    <row r="839" spans="1:10" x14ac:dyDescent="0.2">
      <c r="A839" s="2426" t="s">
        <v>280</v>
      </c>
      <c r="B839" s="2427">
        <v>60</v>
      </c>
      <c r="C839" s="2428">
        <v>1574500</v>
      </c>
      <c r="D839" s="2429">
        <v>94.47</v>
      </c>
      <c r="E839" s="2430">
        <v>0.28828134030317992</v>
      </c>
      <c r="F839" s="2427">
        <v>9.6463966039653862E-2</v>
      </c>
      <c r="G839" s="2429">
        <v>4.3094619993647599E-3</v>
      </c>
      <c r="H839" s="2430">
        <v>0.16481323479621904</v>
      </c>
      <c r="I839" s="2427">
        <v>2.5802039699755482E-2</v>
      </c>
      <c r="J839" s="2431">
        <v>1.4618048298724662E-3</v>
      </c>
    </row>
    <row r="840" spans="1:10" x14ac:dyDescent="0.2">
      <c r="A840" s="2426" t="s">
        <v>427</v>
      </c>
      <c r="B840" s="2427">
        <v>20</v>
      </c>
      <c r="C840" s="2428">
        <v>2072000</v>
      </c>
      <c r="D840" s="2429">
        <v>41.44</v>
      </c>
      <c r="E840" s="2430">
        <v>9.609378010105997E-2</v>
      </c>
      <c r="F840" s="2427">
        <v>3.2154655346551285E-2</v>
      </c>
      <c r="G840" s="2429">
        <v>1.4364873331215865E-3</v>
      </c>
      <c r="H840" s="2430">
        <v>7.2296606858847437E-2</v>
      </c>
      <c r="I840" s="2427">
        <v>1.131826532399563E-2</v>
      </c>
      <c r="J840" s="2431">
        <v>6.4123205409034618E-4</v>
      </c>
    </row>
    <row r="841" spans="1:10" x14ac:dyDescent="0.2">
      <c r="A841" s="2426" t="s">
        <v>428</v>
      </c>
      <c r="B841" s="2427">
        <v>510</v>
      </c>
      <c r="C841" s="2428">
        <v>1326280</v>
      </c>
      <c r="D841" s="2429">
        <v>676.40279999999996</v>
      </c>
      <c r="E841" s="2430">
        <v>2.4503913925770293</v>
      </c>
      <c r="F841" s="2427">
        <v>0.8199437113370579</v>
      </c>
      <c r="G841" s="2429">
        <v>3.6630426994600458E-2</v>
      </c>
      <c r="H841" s="2430">
        <v>1.180058574078755</v>
      </c>
      <c r="I841" s="2427">
        <v>0.18474194875225752</v>
      </c>
      <c r="J841" s="2431">
        <v>1.0466485444895307E-2</v>
      </c>
    </row>
    <row r="842" spans="1:10" x14ac:dyDescent="0.2">
      <c r="A842" s="2439" t="s">
        <v>92</v>
      </c>
      <c r="B842" s="2427">
        <v>140</v>
      </c>
      <c r="C842" s="2428">
        <v>2215500</v>
      </c>
      <c r="D842" s="2429">
        <v>310.17</v>
      </c>
      <c r="E842" s="2430">
        <v>0.6726564607074198</v>
      </c>
      <c r="F842" s="2427">
        <v>0.22508258742585902</v>
      </c>
      <c r="G842" s="2429">
        <v>1.0055411331851108E-2</v>
      </c>
      <c r="H842" s="2430">
        <v>0.54112544762086656</v>
      </c>
      <c r="I842" s="2427">
        <v>8.4714921707136223E-2</v>
      </c>
      <c r="J842" s="2431">
        <v>4.7994919453958175E-3</v>
      </c>
    </row>
    <row r="843" spans="1:10" x14ac:dyDescent="0.2">
      <c r="A843" s="2433" t="s">
        <v>281</v>
      </c>
      <c r="B843" s="2434">
        <v>2149</v>
      </c>
      <c r="C843" s="2433"/>
      <c r="D843" s="2435">
        <v>4733.3037999999997</v>
      </c>
      <c r="E843" s="2478">
        <v>10.325276671858893</v>
      </c>
      <c r="F843" s="2479">
        <v>3.4550177169869363</v>
      </c>
      <c r="G843" s="2435">
        <v>0.15435056394391447</v>
      </c>
      <c r="H843" s="2478">
        <v>8.2577655398670036</v>
      </c>
      <c r="I843" s="2479">
        <v>1.292779639659188</v>
      </c>
      <c r="J843" s="2437">
        <v>7.3241943009354271E-2</v>
      </c>
    </row>
    <row r="844" spans="1:10" x14ac:dyDescent="0.2">
      <c r="A844" s="2440" t="s">
        <v>106</v>
      </c>
      <c r="B844" s="2441">
        <v>10211.75</v>
      </c>
      <c r="C844" s="2440"/>
      <c r="D844" s="2442">
        <v>20403.983744875004</v>
      </c>
      <c r="E844" s="2443">
        <v>49.064282947349959</v>
      </c>
      <c r="F844" s="2441">
        <v>16.417765086757257</v>
      </c>
      <c r="G844" s="2442">
        <v>0.73345247620021814</v>
      </c>
      <c r="H844" s="2443">
        <v>35.596978551098978</v>
      </c>
      <c r="I844" s="2441">
        <v>5.5728209867516716</v>
      </c>
      <c r="J844" s="2444">
        <v>0.31572607163012145</v>
      </c>
    </row>
    <row r="845" spans="1:10" x14ac:dyDescent="0.2">
      <c r="A845" s="2426" t="s">
        <v>905</v>
      </c>
      <c r="B845" s="2427">
        <v>0</v>
      </c>
      <c r="C845" s="2428">
        <v>6100000</v>
      </c>
      <c r="D845" s="2429">
        <v>0</v>
      </c>
      <c r="E845" s="2430">
        <v>0</v>
      </c>
      <c r="F845" s="2427">
        <v>0</v>
      </c>
      <c r="G845" s="2429">
        <v>0</v>
      </c>
      <c r="H845" s="2430">
        <v>0</v>
      </c>
      <c r="I845" s="2427">
        <v>0</v>
      </c>
      <c r="J845" s="2431">
        <v>0</v>
      </c>
    </row>
    <row r="846" spans="1:10" x14ac:dyDescent="0.2">
      <c r="A846" s="2426" t="s">
        <v>906</v>
      </c>
      <c r="B846" s="2427">
        <v>0</v>
      </c>
      <c r="C846" s="2428">
        <v>3022000.0000000005</v>
      </c>
      <c r="D846" s="2429">
        <v>0</v>
      </c>
      <c r="E846" s="2430">
        <v>0</v>
      </c>
      <c r="F846" s="2427">
        <v>0</v>
      </c>
      <c r="G846" s="2429">
        <v>0</v>
      </c>
      <c r="H846" s="2430">
        <v>0</v>
      </c>
      <c r="I846" s="2427">
        <v>0</v>
      </c>
      <c r="J846" s="2431">
        <v>0</v>
      </c>
    </row>
    <row r="847" spans="1:10" x14ac:dyDescent="0.2">
      <c r="A847" s="2426" t="s">
        <v>907</v>
      </c>
      <c r="B847" s="2427">
        <v>0</v>
      </c>
      <c r="C847" s="2428">
        <v>2324000</v>
      </c>
      <c r="D847" s="2429">
        <v>0</v>
      </c>
      <c r="E847" s="2430">
        <v>0</v>
      </c>
      <c r="F847" s="2427">
        <v>0</v>
      </c>
      <c r="G847" s="2429">
        <v>0</v>
      </c>
      <c r="H847" s="2430">
        <v>0</v>
      </c>
      <c r="I847" s="2427">
        <v>0</v>
      </c>
      <c r="J847" s="2431">
        <v>0</v>
      </c>
    </row>
    <row r="848" spans="1:10" x14ac:dyDescent="0.2">
      <c r="A848" s="2439" t="s">
        <v>908</v>
      </c>
      <c r="B848" s="2427">
        <v>576</v>
      </c>
      <c r="C848" s="2428">
        <v>2403999.9999999995</v>
      </c>
      <c r="D848" s="2429">
        <v>1384.7039999999997</v>
      </c>
      <c r="E848" s="2430">
        <v>2.7675008669105274</v>
      </c>
      <c r="F848" s="2427">
        <v>0.92605407398067707</v>
      </c>
      <c r="G848" s="2429">
        <v>4.1370835193901695E-2</v>
      </c>
      <c r="H848" s="2430">
        <v>2.4157673915027376</v>
      </c>
      <c r="I848" s="2427">
        <v>0.37819612131269409</v>
      </c>
      <c r="J848" s="2431">
        <v>2.14265586444768E-2</v>
      </c>
    </row>
    <row r="849" spans="1:10" x14ac:dyDescent="0.2">
      <c r="A849" s="2440" t="s">
        <v>282</v>
      </c>
      <c r="B849" s="2441">
        <v>576</v>
      </c>
      <c r="C849" s="2440"/>
      <c r="D849" s="2442">
        <v>1384.7039999999997</v>
      </c>
      <c r="E849" s="2443">
        <v>2.7675008669105274</v>
      </c>
      <c r="F849" s="2441">
        <v>0.92605407398067707</v>
      </c>
      <c r="G849" s="2442">
        <v>4.1370835193901695E-2</v>
      </c>
      <c r="H849" s="2443">
        <v>2.4157673915027376</v>
      </c>
      <c r="I849" s="2441">
        <v>0.37819612131269409</v>
      </c>
      <c r="J849" s="2444">
        <v>2.14265586444768E-2</v>
      </c>
    </row>
    <row r="850" spans="1:10" x14ac:dyDescent="0.2">
      <c r="A850" s="2426" t="s">
        <v>955</v>
      </c>
      <c r="B850" s="2427">
        <v>517.28399999999999</v>
      </c>
      <c r="C850" s="2428">
        <v>12137000</v>
      </c>
      <c r="D850" s="2429">
        <v>6278.2759079999996</v>
      </c>
      <c r="E850" s="2430">
        <v>2.4853887472898353</v>
      </c>
      <c r="F850" s="2427">
        <v>0.83165443681427176</v>
      </c>
      <c r="G850" s="2429">
        <v>3.7153595681323343E-2</v>
      </c>
      <c r="H850" s="2430">
        <v>10.953138153283044</v>
      </c>
      <c r="I850" s="2427">
        <v>1.7147488538608491</v>
      </c>
      <c r="J850" s="2431">
        <v>9.7148449725694336E-2</v>
      </c>
    </row>
    <row r="851" spans="1:10" x14ac:dyDescent="0.2">
      <c r="A851" s="2426" t="s">
        <v>283</v>
      </c>
      <c r="B851" s="2427">
        <v>497.72977169327476</v>
      </c>
      <c r="C851" s="2428">
        <v>13024549.999999996</v>
      </c>
      <c r="D851" s="2429">
        <v>6482.7062979076391</v>
      </c>
      <c r="E851" s="2430">
        <v>2.3914367615422165</v>
      </c>
      <c r="F851" s="2427">
        <v>0.80021646322574558</v>
      </c>
      <c r="G851" s="2429">
        <v>3.5749125617744418E-2</v>
      </c>
      <c r="H851" s="2430">
        <v>11.309789300222077</v>
      </c>
      <c r="I851" s="2427">
        <v>1.7705837330418948</v>
      </c>
      <c r="J851" s="2431">
        <v>0.10031175375173115</v>
      </c>
    </row>
    <row r="852" spans="1:10" x14ac:dyDescent="0.2">
      <c r="A852" s="2426" t="s">
        <v>69</v>
      </c>
      <c r="B852" s="2427">
        <v>393.1378387818113</v>
      </c>
      <c r="C852" s="2428">
        <v>14978232.499999994</v>
      </c>
      <c r="D852" s="2429">
        <v>5888.5099538214845</v>
      </c>
      <c r="E852" s="2430">
        <v>1.8889050514652672</v>
      </c>
      <c r="F852" s="2427">
        <v>0.63206058548585942</v>
      </c>
      <c r="G852" s="2429">
        <v>2.8236876279043418E-2</v>
      </c>
      <c r="H852" s="2430">
        <v>10.273148868625524</v>
      </c>
      <c r="I852" s="2427">
        <v>1.6082943537727032</v>
      </c>
      <c r="J852" s="2431">
        <v>9.111731016458495E-2</v>
      </c>
    </row>
    <row r="853" spans="1:10" x14ac:dyDescent="0.2">
      <c r="A853" s="2426" t="s">
        <v>199</v>
      </c>
      <c r="B853" s="2427">
        <v>220</v>
      </c>
      <c r="C853" s="2428">
        <v>3000000</v>
      </c>
      <c r="D853" s="2429">
        <v>660</v>
      </c>
      <c r="E853" s="2430">
        <v>1.0570315811116595</v>
      </c>
      <c r="F853" s="2427">
        <v>0.35370120881206418</v>
      </c>
      <c r="G853" s="2429">
        <v>1.5801360664337454E-2</v>
      </c>
      <c r="H853" s="2430">
        <v>1.1514420976553887</v>
      </c>
      <c r="I853" s="2427">
        <v>0.18026194772772963</v>
      </c>
      <c r="J853" s="2431">
        <v>1.0212672676149335E-2</v>
      </c>
    </row>
    <row r="854" spans="1:10" x14ac:dyDescent="0.2">
      <c r="A854" s="2426" t="s">
        <v>86</v>
      </c>
      <c r="B854" s="2427">
        <v>440</v>
      </c>
      <c r="C854" s="2428">
        <v>170000</v>
      </c>
      <c r="D854" s="2429">
        <v>74.8</v>
      </c>
      <c r="E854" s="2430">
        <v>2.114063162223319</v>
      </c>
      <c r="F854" s="2427">
        <v>0.70740241762412837</v>
      </c>
      <c r="G854" s="2429">
        <v>3.1602721328674907E-2</v>
      </c>
      <c r="H854" s="2430">
        <v>0.13049677106761071</v>
      </c>
      <c r="I854" s="2427">
        <v>2.0429687409142694E-2</v>
      </c>
      <c r="J854" s="2431">
        <v>1.1574362366302579E-3</v>
      </c>
    </row>
    <row r="855" spans="1:10" x14ac:dyDescent="0.2">
      <c r="A855" s="2439" t="s">
        <v>213</v>
      </c>
      <c r="B855" s="2427">
        <v>1836</v>
      </c>
      <c r="C855" s="2428">
        <v>1850000.0000000005</v>
      </c>
      <c r="D855" s="2429">
        <v>3396.6000000000008</v>
      </c>
      <c r="E855" s="2430">
        <v>8.8214090132773055</v>
      </c>
      <c r="F855" s="2427">
        <v>2.9517973608134085</v>
      </c>
      <c r="G855" s="2429">
        <v>0.13186953718056166</v>
      </c>
      <c r="H855" s="2430">
        <v>5.9257397407519612</v>
      </c>
      <c r="I855" s="2427">
        <v>0.9276935328060707</v>
      </c>
      <c r="J855" s="2431">
        <v>5.2558127290619462E-2</v>
      </c>
    </row>
    <row r="856" spans="1:10" x14ac:dyDescent="0.2">
      <c r="A856" s="2433" t="s">
        <v>1834</v>
      </c>
      <c r="B856" s="2434">
        <v>3904.1516104750863</v>
      </c>
      <c r="C856" s="2433"/>
      <c r="D856" s="2435">
        <v>22780.892159729126</v>
      </c>
      <c r="E856" s="2478">
        <v>18.758234316909604</v>
      </c>
      <c r="F856" s="2479">
        <v>6.2768324727754772</v>
      </c>
      <c r="G856" s="2435">
        <v>0.28041321675168518</v>
      </c>
      <c r="H856" s="2478">
        <v>39.743754931605615</v>
      </c>
      <c r="I856" s="2479">
        <v>6.2220121086183902</v>
      </c>
      <c r="J856" s="2437">
        <v>0.3525057498454095</v>
      </c>
    </row>
    <row r="857" spans="1:10" x14ac:dyDescent="0.2">
      <c r="A857" s="2426" t="s">
        <v>961</v>
      </c>
      <c r="B857" s="2427">
        <v>546</v>
      </c>
      <c r="C857" s="2428">
        <v>3668000</v>
      </c>
      <c r="D857" s="2429">
        <v>2002.7280000000001</v>
      </c>
      <c r="E857" s="2430">
        <v>2.6233601967589371</v>
      </c>
      <c r="F857" s="2427">
        <v>0.87782209096085007</v>
      </c>
      <c r="G857" s="2429">
        <v>3.9216104194219316E-2</v>
      </c>
      <c r="H857" s="2430">
        <v>3.4939777717472449</v>
      </c>
      <c r="I857" s="2427">
        <v>0.54699340916494021</v>
      </c>
      <c r="J857" s="2431">
        <v>3.0989705338423042E-2</v>
      </c>
    </row>
    <row r="858" spans="1:10" x14ac:dyDescent="0.2">
      <c r="A858" s="2426" t="s">
        <v>962</v>
      </c>
      <c r="B858" s="2427">
        <v>15</v>
      </c>
      <c r="C858" s="2428">
        <v>1999999.9999999998</v>
      </c>
      <c r="D858" s="2429">
        <v>29.999999999999996</v>
      </c>
      <c r="E858" s="2430">
        <v>7.2070335075794981E-2</v>
      </c>
      <c r="F858" s="2427">
        <v>2.4115991509913465E-2</v>
      </c>
      <c r="G858" s="2429">
        <v>1.07736549984119E-3</v>
      </c>
      <c r="H858" s="2430">
        <v>5.2338277166154031E-2</v>
      </c>
      <c r="I858" s="2427">
        <v>8.193724896714983E-3</v>
      </c>
      <c r="J858" s="2431">
        <v>4.6421239437042426E-4</v>
      </c>
    </row>
    <row r="859" spans="1:10" x14ac:dyDescent="0.2">
      <c r="A859" s="2426" t="s">
        <v>963</v>
      </c>
      <c r="B859" s="2427">
        <v>1267.5</v>
      </c>
      <c r="C859" s="2428">
        <v>1347999.9999999998</v>
      </c>
      <c r="D859" s="2429">
        <v>1708.5899999999997</v>
      </c>
      <c r="E859" s="2430">
        <v>6.0899433139046755</v>
      </c>
      <c r="F859" s="2427">
        <v>2.0378012825876879</v>
      </c>
      <c r="G859" s="2429">
        <v>9.1037384736580546E-2</v>
      </c>
      <c r="H859" s="2430">
        <v>2.9808218994439701</v>
      </c>
      <c r="I859" s="2427">
        <v>0.4666572140426084</v>
      </c>
      <c r="J859" s="2431">
        <v>2.6438288496578772E-2</v>
      </c>
    </row>
    <row r="860" spans="1:10" x14ac:dyDescent="0.2">
      <c r="A860" s="2426" t="s">
        <v>965</v>
      </c>
      <c r="B860" s="2427">
        <v>852</v>
      </c>
      <c r="C860" s="2428">
        <v>1599999.9999999995</v>
      </c>
      <c r="D860" s="2429">
        <v>1363.1999999999996</v>
      </c>
      <c r="E860" s="2430">
        <v>4.0935950323051546</v>
      </c>
      <c r="F860" s="2427">
        <v>1.369788317763085</v>
      </c>
      <c r="G860" s="2429">
        <v>6.1194360390979585E-2</v>
      </c>
      <c r="H860" s="2430">
        <v>2.3782513144300386</v>
      </c>
      <c r="I860" s="2427">
        <v>0.37232285930672876</v>
      </c>
      <c r="J860" s="2431">
        <v>2.1093811200192075E-2</v>
      </c>
    </row>
    <row r="861" spans="1:10" x14ac:dyDescent="0.2">
      <c r="A861" s="2426" t="s">
        <v>966</v>
      </c>
      <c r="B861" s="2427">
        <v>712</v>
      </c>
      <c r="C861" s="2428">
        <v>2244000</v>
      </c>
      <c r="D861" s="2429">
        <v>1597.7280000000001</v>
      </c>
      <c r="E861" s="2430">
        <v>3.420938571597735</v>
      </c>
      <c r="F861" s="2427">
        <v>1.1447057303372259</v>
      </c>
      <c r="G861" s="2429">
        <v>5.1138949059128483E-2</v>
      </c>
      <c r="H861" s="2430">
        <v>2.787411030004165</v>
      </c>
      <c r="I861" s="2427">
        <v>0.43637812305928797</v>
      </c>
      <c r="J861" s="2431">
        <v>2.4722838014422311E-2</v>
      </c>
    </row>
    <row r="862" spans="1:10" x14ac:dyDescent="0.2">
      <c r="A862" s="2426" t="s">
        <v>1499</v>
      </c>
      <c r="B862" s="2427">
        <v>0</v>
      </c>
      <c r="C862" s="2428">
        <v>4849999.9999999991</v>
      </c>
      <c r="D862" s="2429">
        <v>0</v>
      </c>
      <c r="E862" s="2430">
        <v>0</v>
      </c>
      <c r="F862" s="2427">
        <v>0</v>
      </c>
      <c r="G862" s="2429">
        <v>0</v>
      </c>
      <c r="H862" s="2430">
        <v>0</v>
      </c>
      <c r="I862" s="2427">
        <v>0</v>
      </c>
      <c r="J862" s="2431">
        <v>0</v>
      </c>
    </row>
    <row r="863" spans="1:10" x14ac:dyDescent="0.2">
      <c r="A863" s="2426" t="s">
        <v>1575</v>
      </c>
      <c r="B863" s="2427">
        <v>10</v>
      </c>
      <c r="C863" s="2428">
        <v>2250000.0000000005</v>
      </c>
      <c r="D863" s="2429">
        <v>22.500000000000004</v>
      </c>
      <c r="E863" s="2430">
        <v>4.8046890050529985E-2</v>
      </c>
      <c r="F863" s="2427">
        <v>1.6077327673275642E-2</v>
      </c>
      <c r="G863" s="2429">
        <v>7.1824366656079324E-4</v>
      </c>
      <c r="H863" s="2430">
        <v>3.9253707874615532E-2</v>
      </c>
      <c r="I863" s="2427">
        <v>6.145293672536239E-3</v>
      </c>
      <c r="J863" s="2431">
        <v>3.4815929577781832E-4</v>
      </c>
    </row>
    <row r="864" spans="1:10" x14ac:dyDescent="0.2">
      <c r="A864" s="2426" t="s">
        <v>964</v>
      </c>
      <c r="B864" s="2427">
        <v>0</v>
      </c>
      <c r="C864" s="2428">
        <v>1556000</v>
      </c>
      <c r="D864" s="2429">
        <v>0</v>
      </c>
      <c r="E864" s="2430">
        <v>0</v>
      </c>
      <c r="F864" s="2427">
        <v>0</v>
      </c>
      <c r="G864" s="2429">
        <v>0</v>
      </c>
      <c r="H864" s="2430">
        <v>0</v>
      </c>
      <c r="I864" s="2427">
        <v>0</v>
      </c>
      <c r="J864" s="2431">
        <v>0</v>
      </c>
    </row>
    <row r="865" spans="1:10" x14ac:dyDescent="0.2">
      <c r="A865" s="2426" t="s">
        <v>969</v>
      </c>
      <c r="B865" s="2427">
        <v>51.999999999999957</v>
      </c>
      <c r="C865" s="2428">
        <v>4800000</v>
      </c>
      <c r="D865" s="2429">
        <v>249.5999999999998</v>
      </c>
      <c r="E865" s="2430">
        <v>0.24984382826275572</v>
      </c>
      <c r="F865" s="2427">
        <v>8.3602103901033273E-2</v>
      </c>
      <c r="G865" s="2429">
        <v>3.7348670661161223E-3</v>
      </c>
      <c r="H865" s="2430">
        <v>0.43545446602240118</v>
      </c>
      <c r="I865" s="2427">
        <v>6.8171791140668611E-2</v>
      </c>
      <c r="J865" s="2431">
        <v>3.8622471211619274E-3</v>
      </c>
    </row>
    <row r="866" spans="1:10" x14ac:dyDescent="0.2">
      <c r="A866" s="2426" t="s">
        <v>968</v>
      </c>
      <c r="B866" s="2427">
        <v>292.5</v>
      </c>
      <c r="C866" s="2428">
        <v>3050000.0000000009</v>
      </c>
      <c r="D866" s="2429">
        <v>892.12500000000023</v>
      </c>
      <c r="E866" s="2430">
        <v>1.4053715339780022</v>
      </c>
      <c r="F866" s="2427">
        <v>0.47026183444331254</v>
      </c>
      <c r="G866" s="2429">
        <v>2.1008627246903205E-2</v>
      </c>
      <c r="H866" s="2430">
        <v>1.556409517228506</v>
      </c>
      <c r="I866" s="2427">
        <v>0.2436608941160619</v>
      </c>
      <c r="J866" s="2431">
        <v>1.3804516077590498E-2</v>
      </c>
    </row>
    <row r="867" spans="1:10" x14ac:dyDescent="0.2">
      <c r="A867" s="2426" t="s">
        <v>1013</v>
      </c>
      <c r="B867" s="2427">
        <v>0</v>
      </c>
      <c r="C867" s="2428">
        <v>1799999.9999999998</v>
      </c>
      <c r="D867" s="2429">
        <v>0</v>
      </c>
      <c r="E867" s="2430">
        <v>0</v>
      </c>
      <c r="F867" s="2427">
        <v>0</v>
      </c>
      <c r="G867" s="2429">
        <v>0</v>
      </c>
      <c r="H867" s="2430">
        <v>0</v>
      </c>
      <c r="I867" s="2427">
        <v>0</v>
      </c>
      <c r="J867" s="2431">
        <v>0</v>
      </c>
    </row>
    <row r="868" spans="1:10" x14ac:dyDescent="0.2">
      <c r="A868" s="2426" t="s">
        <v>1014</v>
      </c>
      <c r="B868" s="2427">
        <v>1126.8</v>
      </c>
      <c r="C868" s="2428">
        <v>2195000.0000000005</v>
      </c>
      <c r="D868" s="2429">
        <v>2473.3260000000005</v>
      </c>
      <c r="E868" s="2430">
        <v>5.4139235708937186</v>
      </c>
      <c r="F868" s="2427">
        <v>1.8115932822246994</v>
      </c>
      <c r="G868" s="2429">
        <v>8.0931696348070181E-2</v>
      </c>
      <c r="H868" s="2430">
        <v>4.3149873903418374</v>
      </c>
      <c r="I868" s="2427">
        <v>0.67552509412974959</v>
      </c>
      <c r="J868" s="2431">
        <v>3.827161948395414E-2</v>
      </c>
    </row>
    <row r="869" spans="1:10" x14ac:dyDescent="0.2">
      <c r="A869" s="2426" t="s">
        <v>970</v>
      </c>
      <c r="B869" s="2427">
        <v>14.999999999999982</v>
      </c>
      <c r="C869" s="2428">
        <v>3100000.0000000005</v>
      </c>
      <c r="D869" s="2429">
        <v>46.499999999999957</v>
      </c>
      <c r="E869" s="2430">
        <v>7.2070335075794884E-2</v>
      </c>
      <c r="F869" s="2427">
        <v>2.4115991509913441E-2</v>
      </c>
      <c r="G869" s="2429">
        <v>1.0773654998411887E-3</v>
      </c>
      <c r="H869" s="2430">
        <v>8.1124329607538681E-2</v>
      </c>
      <c r="I869" s="2427">
        <v>1.2700273589908212E-2</v>
      </c>
      <c r="J869" s="2431">
        <v>7.1952921127415713E-4</v>
      </c>
    </row>
    <row r="870" spans="1:10" x14ac:dyDescent="0.2">
      <c r="A870" s="2426" t="s">
        <v>971</v>
      </c>
      <c r="B870" s="2427">
        <v>71.5</v>
      </c>
      <c r="C870" s="2428">
        <v>3010000</v>
      </c>
      <c r="D870" s="2429">
        <v>215.215</v>
      </c>
      <c r="E870" s="2430">
        <v>0.34353526386128941</v>
      </c>
      <c r="F870" s="2427">
        <v>0.11495289286392087</v>
      </c>
      <c r="G870" s="2429">
        <v>5.1354422159096717E-3</v>
      </c>
      <c r="H870" s="2430">
        <v>0.37546607734379467</v>
      </c>
      <c r="I870" s="2427">
        <v>5.8780416788217174E-2</v>
      </c>
      <c r="J870" s="2431">
        <v>3.3301823484810293E-3</v>
      </c>
    </row>
    <row r="871" spans="1:10" x14ac:dyDescent="0.2">
      <c r="A871" s="2426" t="s">
        <v>972</v>
      </c>
      <c r="B871" s="2427">
        <v>56</v>
      </c>
      <c r="C871" s="2428">
        <v>2744000.0000000005</v>
      </c>
      <c r="D871" s="2429">
        <v>153.66400000000002</v>
      </c>
      <c r="E871" s="2430">
        <v>0.26906258428296792</v>
      </c>
      <c r="F871" s="2427">
        <v>9.0033034970343609E-2</v>
      </c>
      <c r="G871" s="2429">
        <v>4.0221645327404429E-3</v>
      </c>
      <c r="H871" s="2430">
        <v>0.26808363408199642</v>
      </c>
      <c r="I871" s="2427">
        <v>4.1969351417627046E-2</v>
      </c>
      <c r="J871" s="2431">
        <v>2.3777577789512298E-3</v>
      </c>
    </row>
    <row r="872" spans="1:10" x14ac:dyDescent="0.2">
      <c r="A872" s="2426" t="s">
        <v>973</v>
      </c>
      <c r="B872" s="2427">
        <v>36</v>
      </c>
      <c r="C872" s="2428">
        <v>2549999.9999999991</v>
      </c>
      <c r="D872" s="2429">
        <v>91.799999999999969</v>
      </c>
      <c r="E872" s="2430">
        <v>0.17296880418190796</v>
      </c>
      <c r="F872" s="2427">
        <v>5.7878379623792317E-2</v>
      </c>
      <c r="G872" s="2429">
        <v>2.5856771996188559E-3</v>
      </c>
      <c r="H872" s="2430">
        <v>0.16015512812843127</v>
      </c>
      <c r="I872" s="2427">
        <v>2.5072798183947843E-2</v>
      </c>
      <c r="J872" s="2431">
        <v>1.420489926773498E-3</v>
      </c>
    </row>
    <row r="873" spans="1:10" x14ac:dyDescent="0.2">
      <c r="A873" s="2426" t="s">
        <v>974</v>
      </c>
      <c r="B873" s="2427">
        <v>320</v>
      </c>
      <c r="C873" s="2428">
        <v>1583999.9999999995</v>
      </c>
      <c r="D873" s="2429">
        <v>506.87999999999988</v>
      </c>
      <c r="E873" s="2430">
        <v>1.5375004816169595</v>
      </c>
      <c r="F873" s="2427">
        <v>0.51447448554482056</v>
      </c>
      <c r="G873" s="2429">
        <v>2.2983797329945384E-2</v>
      </c>
      <c r="H873" s="2430">
        <v>0.88430753099933823</v>
      </c>
      <c r="I873" s="2427">
        <v>0.13844117585489632</v>
      </c>
      <c r="J873" s="2431">
        <v>7.8433326152826874E-3</v>
      </c>
    </row>
    <row r="874" spans="1:10" x14ac:dyDescent="0.2">
      <c r="A874" s="2426" t="s">
        <v>975</v>
      </c>
      <c r="B874" s="2427">
        <v>0</v>
      </c>
      <c r="C874" s="2428">
        <v>2532000.0000000009</v>
      </c>
      <c r="D874" s="2429">
        <v>0</v>
      </c>
      <c r="E874" s="2430">
        <v>0</v>
      </c>
      <c r="F874" s="2427">
        <v>0</v>
      </c>
      <c r="G874" s="2429">
        <v>0</v>
      </c>
      <c r="H874" s="2430">
        <v>0</v>
      </c>
      <c r="I874" s="2427">
        <v>0</v>
      </c>
      <c r="J874" s="2431">
        <v>0</v>
      </c>
    </row>
    <row r="875" spans="1:10" x14ac:dyDescent="0.2">
      <c r="A875" s="2426" t="s">
        <v>976</v>
      </c>
      <c r="B875" s="2427">
        <v>0</v>
      </c>
      <c r="C875" s="2428">
        <v>7394999.9999999991</v>
      </c>
      <c r="D875" s="2429">
        <v>0</v>
      </c>
      <c r="E875" s="2430">
        <v>0</v>
      </c>
      <c r="F875" s="2427">
        <v>0</v>
      </c>
      <c r="G875" s="2429">
        <v>0</v>
      </c>
      <c r="H875" s="2430">
        <v>0</v>
      </c>
      <c r="I875" s="2427">
        <v>0</v>
      </c>
      <c r="J875" s="2431">
        <v>0</v>
      </c>
    </row>
    <row r="876" spans="1:10" x14ac:dyDescent="0.2">
      <c r="A876" s="2426" t="s">
        <v>286</v>
      </c>
      <c r="B876" s="2427">
        <v>18</v>
      </c>
      <c r="C876" s="2428">
        <v>2445000.0000000005</v>
      </c>
      <c r="D876" s="2429">
        <v>44.010000000000005</v>
      </c>
      <c r="E876" s="2430">
        <v>8.6484402090953982E-2</v>
      </c>
      <c r="F876" s="2427">
        <v>2.8939189811896159E-2</v>
      </c>
      <c r="G876" s="2429">
        <v>1.292838599809428E-3</v>
      </c>
      <c r="H876" s="2430">
        <v>7.678025260274797E-2</v>
      </c>
      <c r="I876" s="2427">
        <v>1.2020194423480882E-2</v>
      </c>
      <c r="J876" s="2431">
        <v>6.8099958254141263E-4</v>
      </c>
    </row>
    <row r="877" spans="1:10" x14ac:dyDescent="0.2">
      <c r="A877" s="2439" t="s">
        <v>978</v>
      </c>
      <c r="B877" s="2427">
        <v>730.8</v>
      </c>
      <c r="C877" s="2428">
        <v>1850000.0000000002</v>
      </c>
      <c r="D877" s="2429">
        <v>1351.98</v>
      </c>
      <c r="E877" s="2430">
        <v>3.5112667248927307</v>
      </c>
      <c r="F877" s="2427">
        <v>1.1749311063629841</v>
      </c>
      <c r="G877" s="2429">
        <v>5.2489247152262768E-2</v>
      </c>
      <c r="H877" s="2430">
        <v>2.3586767987698978</v>
      </c>
      <c r="I877" s="2427">
        <v>0.36925840619535749</v>
      </c>
      <c r="J877" s="2431">
        <v>2.0920195764697544E-2</v>
      </c>
    </row>
    <row r="878" spans="1:10" x14ac:dyDescent="0.2">
      <c r="A878" s="2426" t="s">
        <v>1163</v>
      </c>
      <c r="B878" s="2427">
        <v>0</v>
      </c>
      <c r="C878" s="2428">
        <v>0</v>
      </c>
      <c r="D878" s="2429">
        <v>0</v>
      </c>
      <c r="E878" s="2430">
        <v>0</v>
      </c>
      <c r="F878" s="2427">
        <v>0</v>
      </c>
      <c r="G878" s="2429">
        <v>0</v>
      </c>
      <c r="H878" s="2430">
        <v>0</v>
      </c>
      <c r="I878" s="2427">
        <v>0</v>
      </c>
      <c r="J878" s="2431">
        <v>0</v>
      </c>
    </row>
    <row r="879" spans="1:10" x14ac:dyDescent="0.2">
      <c r="A879" s="2433" t="s">
        <v>287</v>
      </c>
      <c r="B879" s="2434">
        <v>6121.1</v>
      </c>
      <c r="C879" s="2433"/>
      <c r="D879" s="2435">
        <v>12749.845999999998</v>
      </c>
      <c r="E879" s="2478">
        <v>29.40998186882991</v>
      </c>
      <c r="F879" s="2479">
        <v>9.8410930420887546</v>
      </c>
      <c r="G879" s="2435">
        <v>0.43964413073852721</v>
      </c>
      <c r="H879" s="2478">
        <v>22.243499125792674</v>
      </c>
      <c r="I879" s="2479">
        <v>3.4822910199827315</v>
      </c>
      <c r="J879" s="2437">
        <v>0.19728788465047253</v>
      </c>
    </row>
    <row r="880" spans="1:10" x14ac:dyDescent="0.2">
      <c r="A880" s="2440" t="s">
        <v>1835</v>
      </c>
      <c r="B880" s="2441">
        <v>10025.251610475087</v>
      </c>
      <c r="C880" s="2440"/>
      <c r="D880" s="2442">
        <v>35530.738159729124</v>
      </c>
      <c r="E880" s="2443">
        <v>48.168216185739517</v>
      </c>
      <c r="F880" s="2441">
        <v>16.117925514864233</v>
      </c>
      <c r="G880" s="2442">
        <v>0.72005734749021244</v>
      </c>
      <c r="H880" s="2443">
        <v>61.987254057398289</v>
      </c>
      <c r="I880" s="2441">
        <v>9.7043031286011221</v>
      </c>
      <c r="J880" s="2444">
        <v>0.54979363449588203</v>
      </c>
    </row>
    <row r="881" spans="1:10" x14ac:dyDescent="0.2">
      <c r="A881" s="2445" t="s">
        <v>194</v>
      </c>
      <c r="B881" s="2446">
        <v>20813.001610475087</v>
      </c>
      <c r="C881" s="2447"/>
      <c r="D881" s="2448">
        <v>57319.425904604126</v>
      </c>
      <c r="E881" s="2449">
        <v>100</v>
      </c>
      <c r="F881" s="2446">
        <v>33.461744675602169</v>
      </c>
      <c r="G881" s="2448">
        <v>1.4948806588843322</v>
      </c>
      <c r="H881" s="2449">
        <v>100</v>
      </c>
      <c r="I881" s="2446">
        <v>15.655320236665487</v>
      </c>
      <c r="J881" s="2450">
        <v>0.88694626477048033</v>
      </c>
    </row>
    <row r="882" spans="1:10" x14ac:dyDescent="0.2">
      <c r="A882" s="2451" t="s">
        <v>1852</v>
      </c>
      <c r="B882" s="2427"/>
      <c r="C882" s="2452"/>
      <c r="D882" s="2429"/>
      <c r="E882" s="2430"/>
      <c r="F882" s="2427">
        <v>0</v>
      </c>
      <c r="G882" s="2429"/>
      <c r="H882" s="2430"/>
      <c r="I882" s="2427">
        <v>0</v>
      </c>
      <c r="J882" s="2431">
        <v>0</v>
      </c>
    </row>
    <row r="883" spans="1:10" x14ac:dyDescent="0.2">
      <c r="A883" s="2453" t="s">
        <v>1836</v>
      </c>
      <c r="B883" s="2427">
        <v>16637.84</v>
      </c>
      <c r="C883" s="2428">
        <v>8033612.4975057133</v>
      </c>
      <c r="D883" s="2429">
        <v>133661.95935550047</v>
      </c>
      <c r="E883" s="2430">
        <v>41.717259171278357</v>
      </c>
      <c r="F883" s="2427">
        <v>26.749200545553247</v>
      </c>
      <c r="G883" s="2429">
        <v>1.195002320525183</v>
      </c>
      <c r="H883" s="2430">
        <v>46.151693636863527</v>
      </c>
      <c r="I883" s="2427">
        <v>36.50631080382901</v>
      </c>
      <c r="J883" s="2431">
        <v>2.0682512729553073</v>
      </c>
    </row>
    <row r="884" spans="1:10" x14ac:dyDescent="0.2">
      <c r="A884" s="2453" t="s">
        <v>1837</v>
      </c>
      <c r="B884" s="2427">
        <v>4916.55</v>
      </c>
      <c r="C884" s="2428">
        <v>2214764.1578067578</v>
      </c>
      <c r="D884" s="2429">
        <v>10888.998720064816</v>
      </c>
      <c r="E884" s="2430">
        <v>12.327621288493495</v>
      </c>
      <c r="F884" s="2427">
        <v>7.9044985372043364</v>
      </c>
      <c r="G884" s="2429">
        <v>0.35312808988294686</v>
      </c>
      <c r="H884" s="2430">
        <v>3.7598261716634758</v>
      </c>
      <c r="I884" s="2427">
        <v>2.9740486637630887</v>
      </c>
      <c r="J884" s="2431">
        <v>0.16849360560459248</v>
      </c>
    </row>
    <row r="885" spans="1:10" x14ac:dyDescent="0.2">
      <c r="A885" s="2454" t="s">
        <v>309</v>
      </c>
      <c r="B885" s="2434">
        <v>21554.39</v>
      </c>
      <c r="C885" s="2433"/>
      <c r="D885" s="2435">
        <v>144550.95807556529</v>
      </c>
      <c r="E885" s="2436">
        <v>54.044880459771839</v>
      </c>
      <c r="F885" s="2434">
        <v>34.653699082757583</v>
      </c>
      <c r="G885" s="2435">
        <v>1.5481304104081297</v>
      </c>
      <c r="H885" s="2436">
        <v>49.911519808527004</v>
      </c>
      <c r="I885" s="2434">
        <v>39.480359467592102</v>
      </c>
      <c r="J885" s="2437">
        <v>2.2367448785598998</v>
      </c>
    </row>
    <row r="886" spans="1:10" x14ac:dyDescent="0.2">
      <c r="A886" s="2453" t="s">
        <v>1838</v>
      </c>
      <c r="B886" s="2427">
        <v>4708.25</v>
      </c>
      <c r="C886" s="2428">
        <v>10407427.50198495</v>
      </c>
      <c r="D886" s="2429">
        <v>49000.77053622064</v>
      </c>
      <c r="E886" s="2430">
        <v>11.805335638109952</v>
      </c>
      <c r="F886" s="2427">
        <v>7.5696078017700046</v>
      </c>
      <c r="G886" s="2429">
        <v>0.33816707430848553</v>
      </c>
      <c r="H886" s="2430">
        <v>16.919313173788513</v>
      </c>
      <c r="I886" s="2427">
        <v>13.383294450028302</v>
      </c>
      <c r="J886" s="2431">
        <v>0.75822550055382409</v>
      </c>
    </row>
    <row r="887" spans="1:10" x14ac:dyDescent="0.2">
      <c r="A887" s="2454" t="s">
        <v>315</v>
      </c>
      <c r="B887" s="2434">
        <v>4708.25</v>
      </c>
      <c r="C887" s="2455"/>
      <c r="D887" s="2435">
        <v>49000.77053622064</v>
      </c>
      <c r="E887" s="2436">
        <v>11.805335638109952</v>
      </c>
      <c r="F887" s="2434">
        <v>7.5696078017700046</v>
      </c>
      <c r="G887" s="2435">
        <v>0.33816707430848553</v>
      </c>
      <c r="H887" s="2436">
        <v>16.919313173788513</v>
      </c>
      <c r="I887" s="2434">
        <v>13.383294450028302</v>
      </c>
      <c r="J887" s="2437">
        <v>0.75822550055382409</v>
      </c>
    </row>
    <row r="888" spans="1:10" x14ac:dyDescent="0.2">
      <c r="A888" s="2453" t="s">
        <v>1541</v>
      </c>
      <c r="B888" s="2427">
        <v>148.5</v>
      </c>
      <c r="C888" s="2428">
        <v>10553660</v>
      </c>
      <c r="D888" s="2429">
        <v>1567.2185099999999</v>
      </c>
      <c r="E888" s="2430">
        <v>0.37234478675926896</v>
      </c>
      <c r="F888" s="2427">
        <v>0.23874831594814333</v>
      </c>
      <c r="G888" s="2429">
        <v>1.0665918448427781E-2</v>
      </c>
      <c r="H888" s="2430">
        <v>0.54113966968841398</v>
      </c>
      <c r="I888" s="2427">
        <v>0.42804524413265199</v>
      </c>
      <c r="J888" s="2431">
        <v>2.4250741900958293E-2</v>
      </c>
    </row>
    <row r="889" spans="1:10" x14ac:dyDescent="0.2">
      <c r="A889" s="2453" t="s">
        <v>206</v>
      </c>
      <c r="B889" s="2427">
        <v>13448.75</v>
      </c>
      <c r="C889" s="2428">
        <v>6960000</v>
      </c>
      <c r="D889" s="2429">
        <v>93603.3</v>
      </c>
      <c r="E889" s="2430">
        <v>33.721023238577224</v>
      </c>
      <c r="F889" s="2427">
        <v>21.621996054596583</v>
      </c>
      <c r="G889" s="2429">
        <v>0.965947951065947</v>
      </c>
      <c r="H889" s="2430">
        <v>32.319972307974801</v>
      </c>
      <c r="I889" s="2427">
        <v>25.565322987489385</v>
      </c>
      <c r="J889" s="2431">
        <v>1.4483937337991046</v>
      </c>
    </row>
    <row r="890" spans="1:10" x14ac:dyDescent="0.2">
      <c r="A890" s="2454" t="s">
        <v>310</v>
      </c>
      <c r="B890" s="2434">
        <v>13597.25</v>
      </c>
      <c r="C890" s="2455"/>
      <c r="D890" s="2435">
        <v>95170.518510000009</v>
      </c>
      <c r="E890" s="2436">
        <v>34.093368025336495</v>
      </c>
      <c r="F890" s="2434">
        <v>21.860744370544726</v>
      </c>
      <c r="G890" s="2435">
        <v>0.97661386951437468</v>
      </c>
      <c r="H890" s="2436">
        <v>32.861111977663214</v>
      </c>
      <c r="I890" s="2434">
        <v>25.993368231622043</v>
      </c>
      <c r="J890" s="2437">
        <v>1.472644475700063</v>
      </c>
    </row>
    <row r="891" spans="1:10" x14ac:dyDescent="0.2">
      <c r="A891" s="2453" t="s">
        <v>1839</v>
      </c>
      <c r="B891" s="2427">
        <v>22.5</v>
      </c>
      <c r="C891" s="2428">
        <v>39652080.629353955</v>
      </c>
      <c r="D891" s="2429">
        <v>892.17181416046401</v>
      </c>
      <c r="E891" s="2430">
        <v>5.6415876781707418E-2</v>
      </c>
      <c r="F891" s="2427">
        <v>3.61739872648702E-2</v>
      </c>
      <c r="G891" s="2429">
        <v>1.616048249761785E-3</v>
      </c>
      <c r="H891" s="2430">
        <v>0.30805504002125816</v>
      </c>
      <c r="I891" s="2427">
        <v>0.24367368019446559</v>
      </c>
      <c r="J891" s="2431">
        <v>1.380524046804114E-2</v>
      </c>
    </row>
    <row r="892" spans="1:10" x14ac:dyDescent="0.2">
      <c r="A892" s="2454" t="s">
        <v>311</v>
      </c>
      <c r="B892" s="2434">
        <v>22.5</v>
      </c>
      <c r="C892" s="2433"/>
      <c r="D892" s="2435">
        <v>892.17181416046401</v>
      </c>
      <c r="E892" s="2436">
        <v>5.6415876781707418E-2</v>
      </c>
      <c r="F892" s="2434">
        <v>3.61739872648702E-2</v>
      </c>
      <c r="G892" s="2435">
        <v>1.616048249761785E-3</v>
      </c>
      <c r="H892" s="2436">
        <v>0.30805504002125816</v>
      </c>
      <c r="I892" s="2434">
        <v>0.24367368019446559</v>
      </c>
      <c r="J892" s="2437">
        <v>1.380524046804114E-2</v>
      </c>
    </row>
    <row r="893" spans="1:10" x14ac:dyDescent="0.2">
      <c r="A893" s="2456" t="s">
        <v>129</v>
      </c>
      <c r="B893" s="2441">
        <v>39882.39</v>
      </c>
      <c r="C893" s="2440"/>
      <c r="D893" s="2442">
        <v>289614.41893594642</v>
      </c>
      <c r="E893" s="2443">
        <v>100.00000000000001</v>
      </c>
      <c r="F893" s="2441">
        <v>64.120225242337185</v>
      </c>
      <c r="G893" s="2442">
        <v>2.8645274024807517</v>
      </c>
      <c r="H893" s="2443">
        <v>99.999999999999986</v>
      </c>
      <c r="I893" s="2441">
        <v>79.100695829436916</v>
      </c>
      <c r="J893" s="2444">
        <v>4.4814200952818277</v>
      </c>
    </row>
    <row r="894" spans="1:10" x14ac:dyDescent="0.2">
      <c r="A894" s="2451" t="s">
        <v>1853</v>
      </c>
      <c r="B894" s="2427"/>
      <c r="C894" s="2452"/>
      <c r="D894" s="2429"/>
      <c r="E894" s="2430"/>
      <c r="F894" s="2427">
        <v>0</v>
      </c>
      <c r="G894" s="2429"/>
      <c r="H894" s="2430"/>
      <c r="I894" s="2427">
        <v>0</v>
      </c>
      <c r="J894" s="2431">
        <v>0</v>
      </c>
    </row>
    <row r="895" spans="1:10" x14ac:dyDescent="0.2">
      <c r="A895" s="2426" t="s">
        <v>1543</v>
      </c>
      <c r="B895" s="2427">
        <v>1300</v>
      </c>
      <c r="C895" s="2428">
        <v>13200000</v>
      </c>
      <c r="D895" s="2429">
        <v>17160</v>
      </c>
      <c r="E895" s="2430">
        <v>86.436170212765958</v>
      </c>
      <c r="F895" s="2427">
        <v>2.0900525975258337</v>
      </c>
      <c r="G895" s="2429">
        <v>9.3371676652903135E-2</v>
      </c>
      <c r="H895" s="2430">
        <v>89.375</v>
      </c>
      <c r="I895" s="2427">
        <v>4.6868106409209709</v>
      </c>
      <c r="J895" s="2431">
        <v>0.26552948957988276</v>
      </c>
    </row>
    <row r="896" spans="1:10" x14ac:dyDescent="0.2">
      <c r="A896" s="2426" t="s">
        <v>208</v>
      </c>
      <c r="B896" s="2427">
        <v>204</v>
      </c>
      <c r="C896" s="2428">
        <v>10000000</v>
      </c>
      <c r="D896" s="2429">
        <v>2040</v>
      </c>
      <c r="E896" s="2430">
        <v>13.563829787234042</v>
      </c>
      <c r="F896" s="2427">
        <v>0.32797748453482317</v>
      </c>
      <c r="G896" s="2429">
        <v>1.4652170797840184E-2</v>
      </c>
      <c r="H896" s="2430">
        <v>10.625</v>
      </c>
      <c r="I896" s="2427">
        <v>0.55717329297661888</v>
      </c>
      <c r="J896" s="2431">
        <v>3.1566442817188858E-2</v>
      </c>
    </row>
    <row r="897" spans="1:10" x14ac:dyDescent="0.2">
      <c r="A897" s="2426" t="s">
        <v>209</v>
      </c>
      <c r="B897" s="2427">
        <v>0</v>
      </c>
      <c r="C897" s="2428">
        <v>10000000</v>
      </c>
      <c r="D897" s="2429">
        <v>0</v>
      </c>
      <c r="E897" s="2430">
        <v>0</v>
      </c>
      <c r="F897" s="2427">
        <v>0</v>
      </c>
      <c r="G897" s="2429">
        <v>0</v>
      </c>
      <c r="H897" s="2430">
        <v>0</v>
      </c>
      <c r="I897" s="2427">
        <v>0</v>
      </c>
      <c r="J897" s="2431">
        <v>0</v>
      </c>
    </row>
    <row r="898" spans="1:10" x14ac:dyDescent="0.2">
      <c r="A898" s="2426" t="s">
        <v>210</v>
      </c>
      <c r="B898" s="2427">
        <v>0</v>
      </c>
      <c r="C898" s="2428">
        <v>18500000</v>
      </c>
      <c r="D898" s="2429">
        <v>0</v>
      </c>
      <c r="E898" s="2430">
        <v>0</v>
      </c>
      <c r="F898" s="2427">
        <v>0</v>
      </c>
      <c r="G898" s="2429">
        <v>0</v>
      </c>
      <c r="H898" s="2430">
        <v>0</v>
      </c>
      <c r="I898" s="2427">
        <v>0</v>
      </c>
      <c r="J898" s="2431">
        <v>0</v>
      </c>
    </row>
    <row r="899" spans="1:10" x14ac:dyDescent="0.2">
      <c r="A899" s="2426" t="s">
        <v>1545</v>
      </c>
      <c r="B899" s="2427">
        <v>0</v>
      </c>
      <c r="C899" s="2428">
        <v>14200000</v>
      </c>
      <c r="D899" s="2429">
        <v>0</v>
      </c>
      <c r="E899" s="2430">
        <v>0</v>
      </c>
      <c r="F899" s="2427">
        <v>0</v>
      </c>
      <c r="G899" s="2429">
        <v>0</v>
      </c>
      <c r="H899" s="2430">
        <v>0</v>
      </c>
      <c r="I899" s="2427">
        <v>0</v>
      </c>
      <c r="J899" s="2431">
        <v>0</v>
      </c>
    </row>
    <row r="900" spans="1:10" x14ac:dyDescent="0.2">
      <c r="A900" s="2426" t="s">
        <v>1546</v>
      </c>
      <c r="B900" s="2427">
        <v>0</v>
      </c>
      <c r="C900" s="2428">
        <v>10000000</v>
      </c>
      <c r="D900" s="2429">
        <v>0</v>
      </c>
      <c r="E900" s="2430">
        <v>0</v>
      </c>
      <c r="F900" s="2427">
        <v>0</v>
      </c>
      <c r="G900" s="2429">
        <v>0</v>
      </c>
      <c r="H900" s="2430">
        <v>0</v>
      </c>
      <c r="I900" s="2427">
        <v>0</v>
      </c>
      <c r="J900" s="2431">
        <v>0</v>
      </c>
    </row>
    <row r="901" spans="1:10" x14ac:dyDescent="0.2">
      <c r="A901" s="2456" t="s">
        <v>121</v>
      </c>
      <c r="B901" s="2441">
        <v>1504</v>
      </c>
      <c r="C901" s="2440"/>
      <c r="D901" s="2442">
        <v>19200</v>
      </c>
      <c r="E901" s="2443">
        <v>100</v>
      </c>
      <c r="F901" s="2441">
        <v>2.4180300820606568</v>
      </c>
      <c r="G901" s="2442">
        <v>0.10802384745074332</v>
      </c>
      <c r="H901" s="2443">
        <v>100</v>
      </c>
      <c r="I901" s="2441">
        <v>5.2439839338975895</v>
      </c>
      <c r="J901" s="2444">
        <v>0.29709593239707155</v>
      </c>
    </row>
    <row r="902" spans="1:10" ht="14.25" thickBot="1" x14ac:dyDescent="0.25">
      <c r="A902" s="2457" t="s">
        <v>1840</v>
      </c>
      <c r="B902" s="2446">
        <v>62199.391610475082</v>
      </c>
      <c r="C902" s="2458"/>
      <c r="D902" s="2448">
        <v>366133.84484055056</v>
      </c>
      <c r="E902" s="2459"/>
      <c r="F902" s="2460">
        <v>100</v>
      </c>
      <c r="G902" s="2461">
        <v>4.4674319088158274</v>
      </c>
      <c r="H902" s="2462"/>
      <c r="I902" s="2460">
        <v>100</v>
      </c>
      <c r="J902" s="2463">
        <v>5.6654622924493792</v>
      </c>
    </row>
    <row r="903" spans="1:10" ht="15" thickBot="1" x14ac:dyDescent="0.25">
      <c r="A903" s="2464" t="s">
        <v>1841</v>
      </c>
      <c r="B903" s="2465">
        <v>1392285.1624830281</v>
      </c>
      <c r="C903" s="2466"/>
      <c r="D903" s="2467">
        <v>6462559.0276810033</v>
      </c>
      <c r="E903" s="2468"/>
      <c r="F903" s="2469"/>
      <c r="G903" s="2469"/>
      <c r="H903" s="2469"/>
      <c r="I903" s="2469"/>
      <c r="J903" s="2469"/>
    </row>
    <row r="904" spans="1:10" ht="16.5" thickBot="1" x14ac:dyDescent="0.3">
      <c r="A904" s="2470" t="s">
        <v>1842</v>
      </c>
      <c r="B904" s="2471">
        <v>4.4674319088158265</v>
      </c>
      <c r="C904" s="2472"/>
      <c r="D904" s="2473">
        <v>5.66546229244938</v>
      </c>
      <c r="E904" s="2468"/>
      <c r="F904" s="2469"/>
      <c r="G904" s="2469"/>
      <c r="H904" s="2469"/>
      <c r="I904" s="2469"/>
      <c r="J904" s="2469"/>
    </row>
    <row r="905" spans="1:10" x14ac:dyDescent="0.2">
      <c r="A905" s="2474" t="s">
        <v>2023</v>
      </c>
      <c r="B905" s="2474"/>
      <c r="C905" s="2474"/>
      <c r="D905" s="2475"/>
      <c r="E905" s="2474"/>
      <c r="F905" s="2474"/>
      <c r="H905" s="2474"/>
      <c r="I905" s="2474"/>
      <c r="J905" s="2474"/>
    </row>
    <row r="906" spans="1:10" x14ac:dyDescent="0.2">
      <c r="A906" s="2474" t="s">
        <v>1843</v>
      </c>
      <c r="B906" s="2474"/>
      <c r="C906" s="2474"/>
      <c r="D906" s="2474"/>
      <c r="E906" s="2474"/>
      <c r="F906" s="2474"/>
      <c r="G906" s="2474"/>
      <c r="H906" s="2474"/>
      <c r="I906" s="2474"/>
      <c r="J906" s="2474"/>
    </row>
    <row r="907" spans="1:10" x14ac:dyDescent="0.2">
      <c r="A907" s="2474" t="s">
        <v>2024</v>
      </c>
      <c r="B907" s="2474"/>
      <c r="C907" s="2474"/>
      <c r="D907" s="2474"/>
      <c r="E907" s="2474"/>
      <c r="F907" s="2474"/>
      <c r="G907" s="2474"/>
      <c r="H907" s="2474"/>
      <c r="I907" s="2474"/>
      <c r="J907" s="2474"/>
    </row>
    <row r="911" spans="1:10" ht="13.5" thickBot="1" x14ac:dyDescent="0.25">
      <c r="A911" s="3321" t="s">
        <v>2021</v>
      </c>
      <c r="B911" s="3321"/>
      <c r="C911" s="3321"/>
      <c r="D911" s="3321"/>
      <c r="E911" s="3321"/>
      <c r="F911" s="3321"/>
      <c r="G911" s="3321"/>
      <c r="H911" s="3321"/>
      <c r="I911" s="3321"/>
      <c r="J911" s="3321"/>
    </row>
    <row r="912" spans="1:10" ht="13.5" customHeight="1" thickBot="1" x14ac:dyDescent="0.25">
      <c r="A912" s="3322" t="s">
        <v>1854</v>
      </c>
      <c r="B912" s="3324" t="s">
        <v>1272</v>
      </c>
      <c r="C912" s="3324" t="s">
        <v>1832</v>
      </c>
      <c r="D912" s="3326" t="s">
        <v>1844</v>
      </c>
      <c r="E912" s="3328" t="s">
        <v>1849</v>
      </c>
      <c r="F912" s="3329"/>
      <c r="G912" s="3330"/>
      <c r="H912" s="3328" t="s">
        <v>1850</v>
      </c>
      <c r="I912" s="3329"/>
      <c r="J912" s="3331"/>
    </row>
    <row r="913" spans="1:10" ht="13.5" customHeight="1" thickBot="1" x14ac:dyDescent="0.25">
      <c r="A913" s="3323"/>
      <c r="B913" s="3325"/>
      <c r="C913" s="3325"/>
      <c r="D913" s="3327"/>
      <c r="E913" s="2415" t="s">
        <v>1848</v>
      </c>
      <c r="F913" s="2416" t="s">
        <v>1231</v>
      </c>
      <c r="G913" s="2417" t="s">
        <v>1833</v>
      </c>
      <c r="H913" s="2415" t="s">
        <v>1848</v>
      </c>
      <c r="I913" s="2416" t="s">
        <v>1231</v>
      </c>
      <c r="J913" s="2418" t="s">
        <v>1833</v>
      </c>
    </row>
    <row r="914" spans="1:10" x14ac:dyDescent="0.2">
      <c r="A914" s="2419" t="s">
        <v>1851</v>
      </c>
      <c r="B914" s="2420"/>
      <c r="C914" s="2420"/>
      <c r="D914" s="2421"/>
      <c r="E914" s="2422"/>
      <c r="F914" s="2423"/>
      <c r="G914" s="2424"/>
      <c r="H914" s="2422"/>
      <c r="I914" s="2423"/>
      <c r="J914" s="2425"/>
    </row>
    <row r="915" spans="1:10" x14ac:dyDescent="0.2">
      <c r="A915" s="2426" t="s">
        <v>410</v>
      </c>
      <c r="B915" s="2427">
        <v>0</v>
      </c>
      <c r="C915" s="2428">
        <v>5667200.0000000009</v>
      </c>
      <c r="D915" s="2429">
        <v>0</v>
      </c>
      <c r="E915" s="2430">
        <v>0</v>
      </c>
      <c r="F915" s="2427">
        <v>0</v>
      </c>
      <c r="G915" s="2429">
        <v>0</v>
      </c>
      <c r="H915" s="2430">
        <v>0</v>
      </c>
      <c r="I915" s="2427">
        <v>0</v>
      </c>
      <c r="J915" s="2431">
        <v>0</v>
      </c>
    </row>
    <row r="916" spans="1:10" x14ac:dyDescent="0.2">
      <c r="A916" s="2426" t="s">
        <v>411</v>
      </c>
      <c r="B916" s="2427">
        <v>0</v>
      </c>
      <c r="C916" s="2428">
        <v>1753716.5000000002</v>
      </c>
      <c r="D916" s="2429">
        <v>0</v>
      </c>
      <c r="E916" s="2430">
        <v>0</v>
      </c>
      <c r="F916" s="2427">
        <v>0</v>
      </c>
      <c r="G916" s="2429">
        <v>0</v>
      </c>
      <c r="H916" s="2430">
        <v>0</v>
      </c>
      <c r="I916" s="2427">
        <v>0</v>
      </c>
      <c r="J916" s="2431">
        <v>0</v>
      </c>
    </row>
    <row r="917" spans="1:10" x14ac:dyDescent="0.2">
      <c r="A917" s="2426" t="s">
        <v>278</v>
      </c>
      <c r="B917" s="2427">
        <v>102</v>
      </c>
      <c r="C917" s="2428">
        <v>1637875</v>
      </c>
      <c r="D917" s="2429">
        <v>167.06325000000001</v>
      </c>
      <c r="E917" s="2430">
        <v>0.61660014538464214</v>
      </c>
      <c r="F917" s="2427">
        <v>0.53811503052879561</v>
      </c>
      <c r="G917" s="2429">
        <v>7.3260853989200918E-3</v>
      </c>
      <c r="H917" s="2430">
        <v>0.19713168300459871</v>
      </c>
      <c r="I917" s="2427">
        <v>0.18076362421618258</v>
      </c>
      <c r="J917" s="2431">
        <v>2.5850943764601599E-3</v>
      </c>
    </row>
    <row r="918" spans="1:10" x14ac:dyDescent="0.2">
      <c r="A918" s="2426" t="s">
        <v>200</v>
      </c>
      <c r="B918" s="2427">
        <v>1009.2</v>
      </c>
      <c r="C918" s="2428">
        <v>7709114.5</v>
      </c>
      <c r="D918" s="2429">
        <v>7780.0383534000002</v>
      </c>
      <c r="E918" s="2430">
        <v>6.100714379629224</v>
      </c>
      <c r="F918" s="2427">
        <v>5.3241734197025545</v>
      </c>
      <c r="G918" s="2429">
        <v>7.2485150829315267E-2</v>
      </c>
      <c r="H918" s="2430">
        <v>9.1803077843036629</v>
      </c>
      <c r="I918" s="2427">
        <v>8.4180568096303965</v>
      </c>
      <c r="J918" s="2431">
        <v>0.12038634107751826</v>
      </c>
    </row>
    <row r="919" spans="1:10" x14ac:dyDescent="0.2">
      <c r="A919" s="2426" t="s">
        <v>429</v>
      </c>
      <c r="B919" s="2427">
        <v>0</v>
      </c>
      <c r="C919" s="2428">
        <v>1255000</v>
      </c>
      <c r="D919" s="2429">
        <v>0</v>
      </c>
      <c r="E919" s="2430">
        <v>0</v>
      </c>
      <c r="F919" s="2427">
        <v>0</v>
      </c>
      <c r="G919" s="2429">
        <v>0</v>
      </c>
      <c r="H919" s="2430">
        <v>0</v>
      </c>
      <c r="I919" s="2427">
        <v>0</v>
      </c>
      <c r="J919" s="2431">
        <v>0</v>
      </c>
    </row>
    <row r="920" spans="1:10" x14ac:dyDescent="0.2">
      <c r="A920" s="2432" t="s">
        <v>431</v>
      </c>
      <c r="B920" s="2427">
        <v>0</v>
      </c>
      <c r="C920" s="2428">
        <v>0</v>
      </c>
      <c r="D920" s="2429">
        <v>0</v>
      </c>
      <c r="E920" s="2430">
        <v>0</v>
      </c>
      <c r="F920" s="2427">
        <v>0</v>
      </c>
      <c r="G920" s="2429">
        <v>0</v>
      </c>
      <c r="H920" s="2430">
        <v>0</v>
      </c>
      <c r="I920" s="2427">
        <v>0</v>
      </c>
      <c r="J920" s="2431">
        <v>0</v>
      </c>
    </row>
    <row r="921" spans="1:10" x14ac:dyDescent="0.2">
      <c r="A921" s="2432" t="s">
        <v>430</v>
      </c>
      <c r="B921" s="2427">
        <v>0</v>
      </c>
      <c r="C921" s="2428">
        <v>0</v>
      </c>
      <c r="D921" s="2429">
        <v>0</v>
      </c>
      <c r="E921" s="2430">
        <v>0</v>
      </c>
      <c r="F921" s="2427">
        <v>0</v>
      </c>
      <c r="G921" s="2429">
        <v>0</v>
      </c>
      <c r="H921" s="2430">
        <v>0</v>
      </c>
      <c r="I921" s="2427">
        <v>0</v>
      </c>
      <c r="J921" s="2431">
        <v>0</v>
      </c>
    </row>
    <row r="922" spans="1:10" x14ac:dyDescent="0.2">
      <c r="A922" s="2433" t="s">
        <v>279</v>
      </c>
      <c r="B922" s="2434">
        <v>1111.2</v>
      </c>
      <c r="C922" s="2433"/>
      <c r="D922" s="2435">
        <v>7947.1016034000004</v>
      </c>
      <c r="E922" s="2436">
        <v>6.7173145250138662</v>
      </c>
      <c r="F922" s="2434">
        <v>5.8622884502313504</v>
      </c>
      <c r="G922" s="2435">
        <v>7.9811236228235355E-2</v>
      </c>
      <c r="H922" s="2436">
        <v>9.3774394673082622</v>
      </c>
      <c r="I922" s="2434">
        <v>8.5988204338465799</v>
      </c>
      <c r="J922" s="2437">
        <v>0.12297143545397843</v>
      </c>
    </row>
    <row r="923" spans="1:10" x14ac:dyDescent="0.2">
      <c r="A923" s="2438" t="s">
        <v>412</v>
      </c>
      <c r="B923" s="2427">
        <v>115</v>
      </c>
      <c r="C923" s="2428">
        <v>4129499.9999999995</v>
      </c>
      <c r="D923" s="2429">
        <v>474.89249999999993</v>
      </c>
      <c r="E923" s="2430">
        <v>0.69518643842386119</v>
      </c>
      <c r="F923" s="2427">
        <v>0.60669831873344604</v>
      </c>
      <c r="G923" s="2429">
        <v>8.2598021654491233E-3</v>
      </c>
      <c r="H923" s="2430">
        <v>0.56036475868427904</v>
      </c>
      <c r="I923" s="2427">
        <v>0.51383706119139583</v>
      </c>
      <c r="J923" s="2431">
        <v>7.3483661497852236E-3</v>
      </c>
    </row>
    <row r="924" spans="1:10" x14ac:dyDescent="0.2">
      <c r="A924" s="2438" t="s">
        <v>413</v>
      </c>
      <c r="B924" s="2427">
        <v>0</v>
      </c>
      <c r="C924" s="2428">
        <v>1200000</v>
      </c>
      <c r="D924" s="2429">
        <v>0</v>
      </c>
      <c r="E924" s="2430">
        <v>0</v>
      </c>
      <c r="F924" s="2427">
        <v>0</v>
      </c>
      <c r="G924" s="2429">
        <v>0</v>
      </c>
      <c r="H924" s="2430">
        <v>0</v>
      </c>
      <c r="I924" s="2427">
        <v>0</v>
      </c>
      <c r="J924" s="2431">
        <v>0</v>
      </c>
    </row>
    <row r="925" spans="1:10" x14ac:dyDescent="0.2">
      <c r="A925" s="2426" t="s">
        <v>90</v>
      </c>
      <c r="B925" s="2427">
        <v>0</v>
      </c>
      <c r="C925" s="2428">
        <v>1743000</v>
      </c>
      <c r="D925" s="2429">
        <v>0</v>
      </c>
      <c r="E925" s="2430">
        <v>0</v>
      </c>
      <c r="F925" s="2427">
        <v>0</v>
      </c>
      <c r="G925" s="2429">
        <v>0</v>
      </c>
      <c r="H925" s="2430">
        <v>0</v>
      </c>
      <c r="I925" s="2427">
        <v>0</v>
      </c>
      <c r="J925" s="2431">
        <v>0</v>
      </c>
    </row>
    <row r="926" spans="1:10" x14ac:dyDescent="0.2">
      <c r="A926" s="2426" t="s">
        <v>417</v>
      </c>
      <c r="B926" s="2427">
        <v>0</v>
      </c>
      <c r="C926" s="2428">
        <v>2563999.9999999995</v>
      </c>
      <c r="D926" s="2429">
        <v>0</v>
      </c>
      <c r="E926" s="2430">
        <v>0</v>
      </c>
      <c r="F926" s="2427">
        <v>0</v>
      </c>
      <c r="G926" s="2429">
        <v>0</v>
      </c>
      <c r="H926" s="2430">
        <v>0</v>
      </c>
      <c r="I926" s="2427">
        <v>0</v>
      </c>
      <c r="J926" s="2431">
        <v>0</v>
      </c>
    </row>
    <row r="927" spans="1:10" x14ac:dyDescent="0.2">
      <c r="A927" s="2426" t="s">
        <v>418</v>
      </c>
      <c r="B927" s="2427">
        <v>16</v>
      </c>
      <c r="C927" s="2428">
        <v>2222500</v>
      </c>
      <c r="D927" s="2429">
        <v>35.56</v>
      </c>
      <c r="E927" s="2430">
        <v>9.6721591432885043E-2</v>
      </c>
      <c r="F927" s="2427">
        <v>8.4410200867262059E-2</v>
      </c>
      <c r="G927" s="2429">
        <v>1.1491898664972692E-3</v>
      </c>
      <c r="H927" s="2430">
        <v>4.1960171657402394E-2</v>
      </c>
      <c r="I927" s="2427">
        <v>3.8476172809564356E-2</v>
      </c>
      <c r="J927" s="2431">
        <v>5.5024642479374294E-4</v>
      </c>
    </row>
    <row r="928" spans="1:10" x14ac:dyDescent="0.2">
      <c r="A928" s="2426" t="s">
        <v>423</v>
      </c>
      <c r="B928" s="2427">
        <v>0</v>
      </c>
      <c r="C928" s="2428">
        <v>2531500</v>
      </c>
      <c r="D928" s="2429">
        <v>0</v>
      </c>
      <c r="E928" s="2430">
        <v>0</v>
      </c>
      <c r="F928" s="2427">
        <v>0</v>
      </c>
      <c r="G928" s="2429">
        <v>0</v>
      </c>
      <c r="H928" s="2430">
        <v>0</v>
      </c>
      <c r="I928" s="2427">
        <v>0</v>
      </c>
      <c r="J928" s="2431">
        <v>0</v>
      </c>
    </row>
    <row r="929" spans="1:10" x14ac:dyDescent="0.2">
      <c r="A929" s="2426" t="s">
        <v>424</v>
      </c>
      <c r="B929" s="2427">
        <v>6</v>
      </c>
      <c r="C929" s="2428">
        <v>1369000</v>
      </c>
      <c r="D929" s="2429">
        <v>8.2140000000000004</v>
      </c>
      <c r="E929" s="2430">
        <v>3.6270596787331889E-2</v>
      </c>
      <c r="F929" s="2427">
        <v>3.1653825325223268E-2</v>
      </c>
      <c r="G929" s="2429">
        <v>4.3094619993647604E-4</v>
      </c>
      <c r="H929" s="2430">
        <v>9.6923748592211267E-3</v>
      </c>
      <c r="I929" s="2427">
        <v>8.8876063964499884E-3</v>
      </c>
      <c r="J929" s="2431">
        <v>1.2710135357862221E-4</v>
      </c>
    </row>
    <row r="930" spans="1:10" x14ac:dyDescent="0.2">
      <c r="A930" s="2426" t="s">
        <v>280</v>
      </c>
      <c r="B930" s="2427">
        <v>0</v>
      </c>
      <c r="C930" s="2428">
        <v>1574500</v>
      </c>
      <c r="D930" s="2429">
        <v>0</v>
      </c>
      <c r="E930" s="2430">
        <v>0</v>
      </c>
      <c r="F930" s="2427">
        <v>0</v>
      </c>
      <c r="G930" s="2429">
        <v>0</v>
      </c>
      <c r="H930" s="2430">
        <v>0</v>
      </c>
      <c r="I930" s="2427">
        <v>0</v>
      </c>
      <c r="J930" s="2431">
        <v>0</v>
      </c>
    </row>
    <row r="931" spans="1:10" x14ac:dyDescent="0.2">
      <c r="A931" s="2426" t="s">
        <v>427</v>
      </c>
      <c r="B931" s="2427">
        <v>0</v>
      </c>
      <c r="C931" s="2428">
        <v>2072000</v>
      </c>
      <c r="D931" s="2429">
        <v>0</v>
      </c>
      <c r="E931" s="2430">
        <v>0</v>
      </c>
      <c r="F931" s="2427">
        <v>0</v>
      </c>
      <c r="G931" s="2429">
        <v>0</v>
      </c>
      <c r="H931" s="2430">
        <v>0</v>
      </c>
      <c r="I931" s="2427">
        <v>0</v>
      </c>
      <c r="J931" s="2431">
        <v>0</v>
      </c>
    </row>
    <row r="932" spans="1:10" x14ac:dyDescent="0.2">
      <c r="A932" s="2426" t="s">
        <v>428</v>
      </c>
      <c r="B932" s="2427">
        <v>0</v>
      </c>
      <c r="C932" s="2428">
        <v>1326280</v>
      </c>
      <c r="D932" s="2429">
        <v>0</v>
      </c>
      <c r="E932" s="2430">
        <v>0</v>
      </c>
      <c r="F932" s="2427">
        <v>0</v>
      </c>
      <c r="G932" s="2429">
        <v>0</v>
      </c>
      <c r="H932" s="2430">
        <v>0</v>
      </c>
      <c r="I932" s="2427">
        <v>0</v>
      </c>
      <c r="J932" s="2431">
        <v>0</v>
      </c>
    </row>
    <row r="933" spans="1:10" x14ac:dyDescent="0.2">
      <c r="A933" s="2439" t="s">
        <v>92</v>
      </c>
      <c r="B933" s="2427">
        <v>240</v>
      </c>
      <c r="C933" s="2428">
        <v>2215500</v>
      </c>
      <c r="D933" s="2429">
        <v>531.72</v>
      </c>
      <c r="E933" s="2430">
        <v>1.4508238714932755</v>
      </c>
      <c r="F933" s="2427">
        <v>1.2661530130089309</v>
      </c>
      <c r="G933" s="2429">
        <v>1.723784799745904E-2</v>
      </c>
      <c r="H933" s="2430">
        <v>0.62742020454651293</v>
      </c>
      <c r="I933" s="2427">
        <v>0.57532482019970643</v>
      </c>
      <c r="J933" s="2431">
        <v>8.2277004778214015E-3</v>
      </c>
    </row>
    <row r="934" spans="1:10" x14ac:dyDescent="0.2">
      <c r="A934" s="2433" t="s">
        <v>281</v>
      </c>
      <c r="B934" s="2434">
        <v>377</v>
      </c>
      <c r="C934" s="2433"/>
      <c r="D934" s="2435">
        <v>1050.3865000000001</v>
      </c>
      <c r="E934" s="2436">
        <v>2.2790024981373538</v>
      </c>
      <c r="F934" s="2434">
        <v>1.9889153579348622</v>
      </c>
      <c r="G934" s="2435">
        <v>2.7077786229341906E-2</v>
      </c>
      <c r="H934" s="2436">
        <v>1.2394375097474157</v>
      </c>
      <c r="I934" s="2434">
        <v>1.1365256605971166</v>
      </c>
      <c r="J934" s="2437">
        <v>1.6253414405978991E-2</v>
      </c>
    </row>
    <row r="935" spans="1:10" x14ac:dyDescent="0.2">
      <c r="A935" s="2440" t="s">
        <v>106</v>
      </c>
      <c r="B935" s="2441">
        <v>1488.2</v>
      </c>
      <c r="C935" s="2440"/>
      <c r="D935" s="2442">
        <v>8997.4881034000009</v>
      </c>
      <c r="E935" s="2443">
        <v>8.9963170231512191</v>
      </c>
      <c r="F935" s="2441">
        <v>7.851203808166213</v>
      </c>
      <c r="G935" s="2442">
        <v>0.10688902245757725</v>
      </c>
      <c r="H935" s="2443">
        <v>10.616876977055679</v>
      </c>
      <c r="I935" s="2441">
        <v>9.7353460944436954</v>
      </c>
      <c r="J935" s="2444">
        <v>0.13922484985995742</v>
      </c>
    </row>
    <row r="936" spans="1:10" x14ac:dyDescent="0.2">
      <c r="A936" s="2426" t="s">
        <v>905</v>
      </c>
      <c r="B936" s="2427">
        <v>0</v>
      </c>
      <c r="C936" s="2428">
        <v>6100000</v>
      </c>
      <c r="D936" s="2429">
        <v>0</v>
      </c>
      <c r="E936" s="2430">
        <v>0</v>
      </c>
      <c r="F936" s="2427">
        <v>0</v>
      </c>
      <c r="G936" s="2429">
        <v>0</v>
      </c>
      <c r="H936" s="2430">
        <v>0</v>
      </c>
      <c r="I936" s="2427">
        <v>0</v>
      </c>
      <c r="J936" s="2431">
        <v>0</v>
      </c>
    </row>
    <row r="937" spans="1:10" x14ac:dyDescent="0.2">
      <c r="A937" s="2426" t="s">
        <v>906</v>
      </c>
      <c r="B937" s="2427">
        <v>10</v>
      </c>
      <c r="C937" s="2428">
        <v>3022000.0000000005</v>
      </c>
      <c r="D937" s="2429">
        <v>30.220000000000002</v>
      </c>
      <c r="E937" s="2430">
        <v>6.0450994645553147E-2</v>
      </c>
      <c r="F937" s="2427">
        <v>5.2756375542038783E-2</v>
      </c>
      <c r="G937" s="2429">
        <v>7.1824366656079324E-4</v>
      </c>
      <c r="H937" s="2430">
        <v>3.56590660148116E-2</v>
      </c>
      <c r="I937" s="2427">
        <v>3.2698254845473416E-2</v>
      </c>
      <c r="J937" s="2431">
        <v>4.6761661859580746E-4</v>
      </c>
    </row>
    <row r="938" spans="1:10" x14ac:dyDescent="0.2">
      <c r="A938" s="2426" t="s">
        <v>907</v>
      </c>
      <c r="B938" s="2427">
        <v>78</v>
      </c>
      <c r="C938" s="2428">
        <v>2324000</v>
      </c>
      <c r="D938" s="2429">
        <v>181.27199999999999</v>
      </c>
      <c r="E938" s="2430">
        <v>0.47151775823531461</v>
      </c>
      <c r="F938" s="2427">
        <v>0.41149972922790251</v>
      </c>
      <c r="G938" s="2429">
        <v>5.6023005991741879E-3</v>
      </c>
      <c r="H938" s="2430">
        <v>0.21389775693702603</v>
      </c>
      <c r="I938" s="2427">
        <v>0.19613759273159026</v>
      </c>
      <c r="J938" s="2431">
        <v>2.8049569717438516E-3</v>
      </c>
    </row>
    <row r="939" spans="1:10" x14ac:dyDescent="0.2">
      <c r="A939" s="2439" t="s">
        <v>908</v>
      </c>
      <c r="B939" s="2427">
        <v>140</v>
      </c>
      <c r="C939" s="2428">
        <v>2403999.9999999995</v>
      </c>
      <c r="D939" s="2429">
        <v>336.55999999999995</v>
      </c>
      <c r="E939" s="2430">
        <v>0.84631392503774405</v>
      </c>
      <c r="F939" s="2427">
        <v>0.73858925758854299</v>
      </c>
      <c r="G939" s="2429">
        <v>1.0055411331851108E-2</v>
      </c>
      <c r="H939" s="2430">
        <v>0.39713485300943047</v>
      </c>
      <c r="I939" s="2427">
        <v>0.36416031273304206</v>
      </c>
      <c r="J939" s="2431">
        <v>5.2078441149769998E-3</v>
      </c>
    </row>
    <row r="940" spans="1:10" x14ac:dyDescent="0.2">
      <c r="A940" s="2440" t="s">
        <v>282</v>
      </c>
      <c r="B940" s="2441">
        <v>228</v>
      </c>
      <c r="C940" s="2440"/>
      <c r="D940" s="2442">
        <v>548.05199999999991</v>
      </c>
      <c r="E940" s="2443">
        <v>1.3782826779186119</v>
      </c>
      <c r="F940" s="2441">
        <v>1.2028453623584843</v>
      </c>
      <c r="G940" s="2442">
        <v>1.6375955597586086E-2</v>
      </c>
      <c r="H940" s="2443">
        <v>0.64669167596126809</v>
      </c>
      <c r="I940" s="2441">
        <v>0.59299616031010571</v>
      </c>
      <c r="J940" s="2444">
        <v>8.480417705316658E-3</v>
      </c>
    </row>
    <row r="941" spans="1:10" x14ac:dyDescent="0.2">
      <c r="A941" s="2426" t="s">
        <v>955</v>
      </c>
      <c r="B941" s="2427">
        <v>31.525000000000002</v>
      </c>
      <c r="C941" s="2428">
        <v>12137000</v>
      </c>
      <c r="D941" s="2429">
        <v>382.61892499999999</v>
      </c>
      <c r="E941" s="2430">
        <v>0.19057176062010631</v>
      </c>
      <c r="F941" s="2427">
        <v>0.16631447389627727</v>
      </c>
      <c r="G941" s="2429">
        <v>2.2642631588329011E-3</v>
      </c>
      <c r="H941" s="2430">
        <v>0.45148357065159644</v>
      </c>
      <c r="I941" s="2427">
        <v>0.41399639703345731</v>
      </c>
      <c r="J941" s="2431">
        <v>5.920548243522927E-3</v>
      </c>
    </row>
    <row r="942" spans="1:10" x14ac:dyDescent="0.2">
      <c r="A942" s="2426" t="s">
        <v>283</v>
      </c>
      <c r="B942" s="2427">
        <v>2018.5354939457891</v>
      </c>
      <c r="C942" s="2428">
        <v>13024549.999999996</v>
      </c>
      <c r="D942" s="2429">
        <v>26290.516467671619</v>
      </c>
      <c r="E942" s="2430">
        <v>12.202247833637587</v>
      </c>
      <c r="F942" s="2427">
        <v>10.649061656353881</v>
      </c>
      <c r="G942" s="2429">
        <v>0.14498003342547255</v>
      </c>
      <c r="H942" s="2430">
        <v>31.022344880350548</v>
      </c>
      <c r="I942" s="2427">
        <v>28.446525727301196</v>
      </c>
      <c r="J942" s="2431">
        <v>0.40681278662309711</v>
      </c>
    </row>
    <row r="943" spans="1:10" x14ac:dyDescent="0.2">
      <c r="A943" s="2426" t="s">
        <v>69</v>
      </c>
      <c r="B943" s="2427">
        <v>1594.3645060542115</v>
      </c>
      <c r="C943" s="2428">
        <v>14978232.499999994</v>
      </c>
      <c r="D943" s="2429">
        <v>23880.762261427626</v>
      </c>
      <c r="E943" s="2430">
        <v>9.6380920218543125</v>
      </c>
      <c r="F943" s="2427">
        <v>8.4112892632293157</v>
      </c>
      <c r="G943" s="2429">
        <v>0.11451422086627651</v>
      </c>
      <c r="H943" s="2430">
        <v>28.178877497163107</v>
      </c>
      <c r="I943" s="2427">
        <v>25.839154544286057</v>
      </c>
      <c r="J943" s="2431">
        <v>0.3695248609589396</v>
      </c>
    </row>
    <row r="944" spans="1:10" x14ac:dyDescent="0.2">
      <c r="A944" s="2426" t="s">
        <v>199</v>
      </c>
      <c r="B944" s="2427">
        <v>838.19999999999993</v>
      </c>
      <c r="C944" s="2428">
        <v>3000000</v>
      </c>
      <c r="D944" s="2429">
        <v>2514.6</v>
      </c>
      <c r="E944" s="2430">
        <v>5.0670023711902639</v>
      </c>
      <c r="F944" s="2427">
        <v>4.4220393979336903</v>
      </c>
      <c r="G944" s="2429">
        <v>6.0203184131125694E-2</v>
      </c>
      <c r="H944" s="2430">
        <v>2.9671835672020261</v>
      </c>
      <c r="I944" s="2427">
        <v>2.7208150772477646</v>
      </c>
      <c r="J944" s="2431">
        <v>3.8910282896128967E-2</v>
      </c>
    </row>
    <row r="945" spans="1:10" x14ac:dyDescent="0.2">
      <c r="A945" s="2426" t="s">
        <v>86</v>
      </c>
      <c r="B945" s="2427">
        <v>1270</v>
      </c>
      <c r="C945" s="2428">
        <v>170000</v>
      </c>
      <c r="D945" s="2429">
        <v>215.9</v>
      </c>
      <c r="E945" s="2430">
        <v>7.677276319985249</v>
      </c>
      <c r="F945" s="2427">
        <v>6.7000596938389254</v>
      </c>
      <c r="G945" s="2429">
        <v>9.1216945653220749E-2</v>
      </c>
      <c r="H945" s="2430">
        <v>0.25475818506280029</v>
      </c>
      <c r="I945" s="2427">
        <v>0.23360533491521215</v>
      </c>
      <c r="J945" s="2431">
        <v>3.3407818648191539E-3</v>
      </c>
    </row>
    <row r="946" spans="1:10" x14ac:dyDescent="0.2">
      <c r="A946" s="2439" t="s">
        <v>213</v>
      </c>
      <c r="B946" s="2427">
        <v>5826</v>
      </c>
      <c r="C946" s="2428">
        <v>1850000.0000000005</v>
      </c>
      <c r="D946" s="2429">
        <v>10778.100000000002</v>
      </c>
      <c r="E946" s="2430">
        <v>35.218749480499262</v>
      </c>
      <c r="F946" s="2427">
        <v>30.735864390791797</v>
      </c>
      <c r="G946" s="2429">
        <v>0.41844876013831817</v>
      </c>
      <c r="H946" s="2430">
        <v>12.717967551761777</v>
      </c>
      <c r="I946" s="2427">
        <v>11.661980825612082</v>
      </c>
      <c r="J946" s="2431">
        <v>0.16677758692546238</v>
      </c>
    </row>
    <row r="947" spans="1:10" x14ac:dyDescent="0.2">
      <c r="A947" s="2433" t="s">
        <v>1834</v>
      </c>
      <c r="B947" s="2434">
        <v>11578.625</v>
      </c>
      <c r="C947" s="2433"/>
      <c r="D947" s="2435">
        <v>64062.49765409925</v>
      </c>
      <c r="E947" s="2436">
        <v>69.993939787786786</v>
      </c>
      <c r="F947" s="2434">
        <v>61.08462887604388</v>
      </c>
      <c r="G947" s="2435">
        <v>0.83162740737324647</v>
      </c>
      <c r="H947" s="2436">
        <v>75.592615252191862</v>
      </c>
      <c r="I947" s="2434">
        <v>69.316077906395762</v>
      </c>
      <c r="J947" s="2437">
        <v>0.99128684751197027</v>
      </c>
    </row>
    <row r="948" spans="1:10" x14ac:dyDescent="0.2">
      <c r="A948" s="2426" t="s">
        <v>961</v>
      </c>
      <c r="B948" s="2427">
        <v>2144</v>
      </c>
      <c r="C948" s="2428">
        <v>3668000</v>
      </c>
      <c r="D948" s="2429">
        <v>7864.192</v>
      </c>
      <c r="E948" s="2430">
        <v>12.960693252006594</v>
      </c>
      <c r="F948" s="2427">
        <v>11.310966916213115</v>
      </c>
      <c r="G948" s="2429">
        <v>0.15399144211063409</v>
      </c>
      <c r="H948" s="2430">
        <v>9.2796076003028851</v>
      </c>
      <c r="I948" s="2427">
        <v>8.5091116535318747</v>
      </c>
      <c r="J948" s="2431">
        <v>0.1216885132702912</v>
      </c>
    </row>
    <row r="949" spans="1:10" x14ac:dyDescent="0.2">
      <c r="A949" s="2426" t="s">
        <v>962</v>
      </c>
      <c r="B949" s="2427">
        <v>0</v>
      </c>
      <c r="C949" s="2428">
        <v>1999999.9999999998</v>
      </c>
      <c r="D949" s="2429">
        <v>0</v>
      </c>
      <c r="E949" s="2430">
        <v>0</v>
      </c>
      <c r="F949" s="2427">
        <v>0</v>
      </c>
      <c r="G949" s="2429">
        <v>0</v>
      </c>
      <c r="H949" s="2430">
        <v>0</v>
      </c>
      <c r="I949" s="2427">
        <v>0</v>
      </c>
      <c r="J949" s="2431">
        <v>0</v>
      </c>
    </row>
    <row r="950" spans="1:10" x14ac:dyDescent="0.2">
      <c r="A950" s="2426" t="s">
        <v>963</v>
      </c>
      <c r="B950" s="2427">
        <v>240</v>
      </c>
      <c r="C950" s="2428">
        <v>1347999.9999999998</v>
      </c>
      <c r="D950" s="2429">
        <v>323.51999999999992</v>
      </c>
      <c r="E950" s="2430">
        <v>1.4508238714932755</v>
      </c>
      <c r="F950" s="2427">
        <v>1.2661530130089309</v>
      </c>
      <c r="G950" s="2429">
        <v>1.723784799745904E-2</v>
      </c>
      <c r="H950" s="2430">
        <v>0.3817478834252761</v>
      </c>
      <c r="I950" s="2427">
        <v>0.3500509400267226</v>
      </c>
      <c r="J950" s="2431">
        <v>5.0060664608906546E-3</v>
      </c>
    </row>
    <row r="951" spans="1:10" x14ac:dyDescent="0.2">
      <c r="A951" s="2426" t="s">
        <v>965</v>
      </c>
      <c r="B951" s="2427">
        <v>190</v>
      </c>
      <c r="C951" s="2428">
        <v>1599999.9999999995</v>
      </c>
      <c r="D951" s="2429">
        <v>303.99999999999994</v>
      </c>
      <c r="E951" s="2430">
        <v>1.1485688982655098</v>
      </c>
      <c r="F951" s="2427">
        <v>1.002371135298737</v>
      </c>
      <c r="G951" s="2429">
        <v>1.3646629664655074E-2</v>
      </c>
      <c r="H951" s="2430">
        <v>0.35871462834224765</v>
      </c>
      <c r="I951" s="2427">
        <v>0.32893016125161872</v>
      </c>
      <c r="J951" s="2431">
        <v>4.7040189296202991E-3</v>
      </c>
    </row>
    <row r="952" spans="1:10" x14ac:dyDescent="0.2">
      <c r="A952" s="2426" t="s">
        <v>966</v>
      </c>
      <c r="B952" s="2427">
        <v>0</v>
      </c>
      <c r="C952" s="2428">
        <v>2244000</v>
      </c>
      <c r="D952" s="2429">
        <v>0</v>
      </c>
      <c r="E952" s="2430">
        <v>0</v>
      </c>
      <c r="F952" s="2427">
        <v>0</v>
      </c>
      <c r="G952" s="2429">
        <v>0</v>
      </c>
      <c r="H952" s="2430">
        <v>0</v>
      </c>
      <c r="I952" s="2427">
        <v>0</v>
      </c>
      <c r="J952" s="2431">
        <v>0</v>
      </c>
    </row>
    <row r="953" spans="1:10" x14ac:dyDescent="0.2">
      <c r="A953" s="2426" t="s">
        <v>1499</v>
      </c>
      <c r="B953" s="2427">
        <v>0</v>
      </c>
      <c r="C953" s="2428">
        <v>4849999.9999999991</v>
      </c>
      <c r="D953" s="2429">
        <v>0</v>
      </c>
      <c r="E953" s="2430">
        <v>0</v>
      </c>
      <c r="F953" s="2427">
        <v>0</v>
      </c>
      <c r="G953" s="2429">
        <v>0</v>
      </c>
      <c r="H953" s="2430">
        <v>0</v>
      </c>
      <c r="I953" s="2427">
        <v>0</v>
      </c>
      <c r="J953" s="2431">
        <v>0</v>
      </c>
    </row>
    <row r="954" spans="1:10" x14ac:dyDescent="0.2">
      <c r="A954" s="2426" t="s">
        <v>1575</v>
      </c>
      <c r="B954" s="2427">
        <v>5</v>
      </c>
      <c r="C954" s="2428">
        <v>2250000.0000000005</v>
      </c>
      <c r="D954" s="2429">
        <v>11.250000000000002</v>
      </c>
      <c r="E954" s="2430">
        <v>3.0225497322776573E-2</v>
      </c>
      <c r="F954" s="2427">
        <v>2.6378187771019392E-2</v>
      </c>
      <c r="G954" s="2429">
        <v>3.5912183328039662E-4</v>
      </c>
      <c r="H954" s="2430">
        <v>1.3274801213323313E-2</v>
      </c>
      <c r="I954" s="2427">
        <v>1.2172579980528656E-2</v>
      </c>
      <c r="J954" s="2431">
        <v>1.7407964788890916E-4</v>
      </c>
    </row>
    <row r="955" spans="1:10" x14ac:dyDescent="0.2">
      <c r="A955" s="2426" t="s">
        <v>964</v>
      </c>
      <c r="B955" s="2427">
        <v>0</v>
      </c>
      <c r="C955" s="2428">
        <v>1556000</v>
      </c>
      <c r="D955" s="2429">
        <v>0</v>
      </c>
      <c r="E955" s="2430">
        <v>0</v>
      </c>
      <c r="F955" s="2427">
        <v>0</v>
      </c>
      <c r="G955" s="2429">
        <v>0</v>
      </c>
      <c r="H955" s="2430">
        <v>0</v>
      </c>
      <c r="I955" s="2427">
        <v>0</v>
      </c>
      <c r="J955" s="2431">
        <v>0</v>
      </c>
    </row>
    <row r="956" spans="1:10" x14ac:dyDescent="0.2">
      <c r="A956" s="2426" t="s">
        <v>969</v>
      </c>
      <c r="B956" s="2427">
        <v>277.5</v>
      </c>
      <c r="C956" s="2428">
        <v>4800000</v>
      </c>
      <c r="D956" s="2429">
        <v>1332</v>
      </c>
      <c r="E956" s="2430">
        <v>1.6775151014140999</v>
      </c>
      <c r="F956" s="2427">
        <v>1.4639894212915763</v>
      </c>
      <c r="G956" s="2429">
        <v>1.9931261747062015E-2</v>
      </c>
      <c r="H956" s="2430">
        <v>1.57173646365748</v>
      </c>
      <c r="I956" s="2427">
        <v>1.4412334696945928</v>
      </c>
      <c r="J956" s="2431">
        <v>2.0611030310046841E-2</v>
      </c>
    </row>
    <row r="957" spans="1:10" x14ac:dyDescent="0.2">
      <c r="A957" s="2426" t="s">
        <v>968</v>
      </c>
      <c r="B957" s="2427">
        <v>0</v>
      </c>
      <c r="C957" s="2428">
        <v>3050000.0000000009</v>
      </c>
      <c r="D957" s="2429">
        <v>0</v>
      </c>
      <c r="E957" s="2430">
        <v>0</v>
      </c>
      <c r="F957" s="2427">
        <v>0</v>
      </c>
      <c r="G957" s="2429">
        <v>0</v>
      </c>
      <c r="H957" s="2430">
        <v>0</v>
      </c>
      <c r="I957" s="2427">
        <v>0</v>
      </c>
      <c r="J957" s="2431">
        <v>0</v>
      </c>
    </row>
    <row r="958" spans="1:10" x14ac:dyDescent="0.2">
      <c r="A958" s="2426" t="s">
        <v>1013</v>
      </c>
      <c r="B958" s="2427">
        <v>0</v>
      </c>
      <c r="C958" s="2428">
        <v>1799999.9999999998</v>
      </c>
      <c r="D958" s="2429">
        <v>0</v>
      </c>
      <c r="E958" s="2430">
        <v>0</v>
      </c>
      <c r="F958" s="2427">
        <v>0</v>
      </c>
      <c r="G958" s="2429">
        <v>0</v>
      </c>
      <c r="H958" s="2430">
        <v>0</v>
      </c>
      <c r="I958" s="2427">
        <v>0</v>
      </c>
      <c r="J958" s="2431">
        <v>0</v>
      </c>
    </row>
    <row r="959" spans="1:10" x14ac:dyDescent="0.2">
      <c r="A959" s="2426" t="s">
        <v>1014</v>
      </c>
      <c r="B959" s="2427">
        <v>0</v>
      </c>
      <c r="C959" s="2428">
        <v>2195000.0000000005</v>
      </c>
      <c r="D959" s="2429">
        <v>0</v>
      </c>
      <c r="E959" s="2430">
        <v>0</v>
      </c>
      <c r="F959" s="2427">
        <v>0</v>
      </c>
      <c r="G959" s="2429">
        <v>0</v>
      </c>
      <c r="H959" s="2430">
        <v>0</v>
      </c>
      <c r="I959" s="2427">
        <v>0</v>
      </c>
      <c r="J959" s="2431">
        <v>0</v>
      </c>
    </row>
    <row r="960" spans="1:10" x14ac:dyDescent="0.2">
      <c r="A960" s="2426" t="s">
        <v>970</v>
      </c>
      <c r="B960" s="2427">
        <v>126</v>
      </c>
      <c r="C960" s="2428">
        <v>3100000.0000000005</v>
      </c>
      <c r="D960" s="2429">
        <v>390.60000000000008</v>
      </c>
      <c r="E960" s="2430">
        <v>0.76168253253396967</v>
      </c>
      <c r="F960" s="2427">
        <v>0.66473033182968877</v>
      </c>
      <c r="G960" s="2429">
        <v>9.0498701986659966E-3</v>
      </c>
      <c r="H960" s="2430">
        <v>0.46090109812658542</v>
      </c>
      <c r="I960" s="2427">
        <v>0.42263197692395499</v>
      </c>
      <c r="J960" s="2431">
        <v>6.0440453747029263E-3</v>
      </c>
    </row>
    <row r="961" spans="1:10" x14ac:dyDescent="0.2">
      <c r="A961" s="2426" t="s">
        <v>971</v>
      </c>
      <c r="B961" s="2427">
        <v>7</v>
      </c>
      <c r="C961" s="2428">
        <v>3010000</v>
      </c>
      <c r="D961" s="2429">
        <v>21.07</v>
      </c>
      <c r="E961" s="2430">
        <v>4.2315696251887198E-2</v>
      </c>
      <c r="F961" s="2427">
        <v>3.6929462879427145E-2</v>
      </c>
      <c r="G961" s="2429">
        <v>5.0277056659255536E-4</v>
      </c>
      <c r="H961" s="2430">
        <v>2.4862227694641966E-2</v>
      </c>
      <c r="I961" s="2427">
        <v>2.2797889794643447E-2</v>
      </c>
      <c r="J961" s="2431">
        <v>3.2603183831282802E-4</v>
      </c>
    </row>
    <row r="962" spans="1:10" x14ac:dyDescent="0.2">
      <c r="A962" s="2426" t="s">
        <v>972</v>
      </c>
      <c r="B962" s="2427">
        <v>78</v>
      </c>
      <c r="C962" s="2428">
        <v>2744000.0000000005</v>
      </c>
      <c r="D962" s="2429">
        <v>214.03200000000004</v>
      </c>
      <c r="E962" s="2430">
        <v>0.47151775823531461</v>
      </c>
      <c r="F962" s="2427">
        <v>0.41149972922790251</v>
      </c>
      <c r="G962" s="2429">
        <v>5.6023005991741879E-3</v>
      </c>
      <c r="H962" s="2430">
        <v>0.25255397807022356</v>
      </c>
      <c r="I962" s="2427">
        <v>0.23158414563488974</v>
      </c>
      <c r="J962" s="2431">
        <v>3.3118769063963556E-3</v>
      </c>
    </row>
    <row r="963" spans="1:10" x14ac:dyDescent="0.2">
      <c r="A963" s="2426" t="s">
        <v>973</v>
      </c>
      <c r="B963" s="2427">
        <v>6</v>
      </c>
      <c r="C963" s="2428">
        <v>2549999.9999999991</v>
      </c>
      <c r="D963" s="2429">
        <v>15.299999999999994</v>
      </c>
      <c r="E963" s="2430">
        <v>3.6270596787331889E-2</v>
      </c>
      <c r="F963" s="2427">
        <v>3.1653825325223268E-2</v>
      </c>
      <c r="G963" s="2429">
        <v>4.3094619993647604E-4</v>
      </c>
      <c r="H963" s="2430">
        <v>1.8053729650119695E-2</v>
      </c>
      <c r="I963" s="2427">
        <v>1.6554708773518962E-2</v>
      </c>
      <c r="J963" s="2431">
        <v>2.367483211289163E-4</v>
      </c>
    </row>
    <row r="964" spans="1:10" x14ac:dyDescent="0.2">
      <c r="A964" s="2426" t="s">
        <v>974</v>
      </c>
      <c r="B964" s="2427">
        <v>0</v>
      </c>
      <c r="C964" s="2428">
        <v>1583999.9999999995</v>
      </c>
      <c r="D964" s="2429">
        <v>0</v>
      </c>
      <c r="E964" s="2430">
        <v>0</v>
      </c>
      <c r="F964" s="2427">
        <v>0</v>
      </c>
      <c r="G964" s="2429">
        <v>0</v>
      </c>
      <c r="H964" s="2430">
        <v>0</v>
      </c>
      <c r="I964" s="2427">
        <v>0</v>
      </c>
      <c r="J964" s="2431">
        <v>0</v>
      </c>
    </row>
    <row r="965" spans="1:10" x14ac:dyDescent="0.2">
      <c r="A965" s="2426" t="s">
        <v>975</v>
      </c>
      <c r="B965" s="2427">
        <v>0</v>
      </c>
      <c r="C965" s="2428">
        <v>2532000.0000000009</v>
      </c>
      <c r="D965" s="2429">
        <v>0</v>
      </c>
      <c r="E965" s="2430">
        <v>0</v>
      </c>
      <c r="F965" s="2427">
        <v>0</v>
      </c>
      <c r="G965" s="2429">
        <v>0</v>
      </c>
      <c r="H965" s="2430">
        <v>0</v>
      </c>
      <c r="I965" s="2427">
        <v>0</v>
      </c>
      <c r="J965" s="2431">
        <v>0</v>
      </c>
    </row>
    <row r="966" spans="1:10" x14ac:dyDescent="0.2">
      <c r="A966" s="2426" t="s">
        <v>976</v>
      </c>
      <c r="B966" s="2427">
        <v>48</v>
      </c>
      <c r="C966" s="2428">
        <v>7394999.9999999991</v>
      </c>
      <c r="D966" s="2429">
        <v>354.95999999999992</v>
      </c>
      <c r="E966" s="2430">
        <v>0.29016477429865511</v>
      </c>
      <c r="F966" s="2427">
        <v>0.25323060260178615</v>
      </c>
      <c r="G966" s="2429">
        <v>3.4475695994918083E-3</v>
      </c>
      <c r="H966" s="2430">
        <v>0.41884652788277699</v>
      </c>
      <c r="I966" s="2427">
        <v>0.38406924354564004</v>
      </c>
      <c r="J966" s="2431">
        <v>5.4925610501908593E-3</v>
      </c>
    </row>
    <row r="967" spans="1:10" x14ac:dyDescent="0.2">
      <c r="A967" s="2426" t="s">
        <v>286</v>
      </c>
      <c r="B967" s="2427">
        <v>126</v>
      </c>
      <c r="C967" s="2428">
        <v>2445000.0000000005</v>
      </c>
      <c r="D967" s="2429">
        <v>308.07000000000005</v>
      </c>
      <c r="E967" s="2430">
        <v>0.76168253253396967</v>
      </c>
      <c r="F967" s="2427">
        <v>0.66473033182968877</v>
      </c>
      <c r="G967" s="2429">
        <v>9.0498701986659966E-3</v>
      </c>
      <c r="H967" s="2430">
        <v>0.36351715642564558</v>
      </c>
      <c r="I967" s="2427">
        <v>0.33333393018679675</v>
      </c>
      <c r="J967" s="2431">
        <v>4.7669970777898885E-3</v>
      </c>
    </row>
    <row r="968" spans="1:10" x14ac:dyDescent="0.2">
      <c r="A968" s="2439" t="s">
        <v>978</v>
      </c>
      <c r="B968" s="2427">
        <v>0</v>
      </c>
      <c r="C968" s="2428">
        <v>1850000.0000000002</v>
      </c>
      <c r="D968" s="2429">
        <v>0</v>
      </c>
      <c r="E968" s="2430">
        <v>0</v>
      </c>
      <c r="F968" s="2427">
        <v>0</v>
      </c>
      <c r="G968" s="2429">
        <v>0</v>
      </c>
      <c r="H968" s="2430">
        <v>0</v>
      </c>
      <c r="I968" s="2427">
        <v>0</v>
      </c>
      <c r="J968" s="2431">
        <v>0</v>
      </c>
    </row>
    <row r="969" spans="1:10" x14ac:dyDescent="0.2">
      <c r="A969" s="2426" t="s">
        <v>1163</v>
      </c>
      <c r="B969" s="2427">
        <v>0</v>
      </c>
      <c r="C969" s="2428">
        <v>0</v>
      </c>
      <c r="D969" s="2429">
        <v>0</v>
      </c>
      <c r="E969" s="2430">
        <v>0</v>
      </c>
      <c r="F969" s="2427">
        <v>0</v>
      </c>
      <c r="G969" s="2429">
        <v>0</v>
      </c>
      <c r="H969" s="2430">
        <v>0</v>
      </c>
      <c r="I969" s="2427">
        <v>0</v>
      </c>
      <c r="J969" s="2431">
        <v>0</v>
      </c>
    </row>
    <row r="970" spans="1:10" x14ac:dyDescent="0.2">
      <c r="A970" s="2433" t="s">
        <v>287</v>
      </c>
      <c r="B970" s="2434">
        <v>3247.5</v>
      </c>
      <c r="C970" s="2433"/>
      <c r="D970" s="2435">
        <v>11138.993999999997</v>
      </c>
      <c r="E970" s="2436">
        <v>19.631460511143384</v>
      </c>
      <c r="F970" s="2434">
        <v>17.132632957277096</v>
      </c>
      <c r="G970" s="2435">
        <v>0.23324963071561763</v>
      </c>
      <c r="H970" s="2436">
        <v>13.143816094791202</v>
      </c>
      <c r="I970" s="2434">
        <v>12.052470699344779</v>
      </c>
      <c r="J970" s="2437">
        <v>0.17236196918725963</v>
      </c>
    </row>
    <row r="971" spans="1:10" x14ac:dyDescent="0.2">
      <c r="A971" s="2440" t="s">
        <v>1835</v>
      </c>
      <c r="B971" s="2441">
        <v>14826.125</v>
      </c>
      <c r="C971" s="2440"/>
      <c r="D971" s="2442">
        <v>75201.491654099242</v>
      </c>
      <c r="E971" s="2443">
        <v>89.625400298930174</v>
      </c>
      <c r="F971" s="2441">
        <v>78.21726183332099</v>
      </c>
      <c r="G971" s="2442">
        <v>1.0648770380888641</v>
      </c>
      <c r="H971" s="2443">
        <v>88.736431346983053</v>
      </c>
      <c r="I971" s="2441">
        <v>81.368548605740543</v>
      </c>
      <c r="J971" s="2444">
        <v>1.1636488166992298</v>
      </c>
    </row>
    <row r="972" spans="1:10" x14ac:dyDescent="0.2">
      <c r="A972" s="2445" t="s">
        <v>194</v>
      </c>
      <c r="B972" s="2446">
        <v>16542.325000000001</v>
      </c>
      <c r="C972" s="2447"/>
      <c r="D972" s="2448">
        <v>84747.031757499237</v>
      </c>
      <c r="E972" s="2449">
        <v>100</v>
      </c>
      <c r="F972" s="2446">
        <v>87.271311003845682</v>
      </c>
      <c r="G972" s="2448">
        <v>1.1881420161440277</v>
      </c>
      <c r="H972" s="2449">
        <v>100</v>
      </c>
      <c r="I972" s="2446">
        <v>91.696890860494335</v>
      </c>
      <c r="J972" s="2450">
        <v>1.3113540842645037</v>
      </c>
    </row>
    <row r="973" spans="1:10" x14ac:dyDescent="0.2">
      <c r="A973" s="2451" t="s">
        <v>1852</v>
      </c>
      <c r="B973" s="2427"/>
      <c r="C973" s="2452"/>
      <c r="D973" s="2429"/>
      <c r="E973" s="2430"/>
      <c r="F973" s="2427">
        <v>0</v>
      </c>
      <c r="G973" s="2429"/>
      <c r="H973" s="2430"/>
      <c r="I973" s="2427">
        <v>0</v>
      </c>
      <c r="J973" s="2431">
        <v>0</v>
      </c>
    </row>
    <row r="974" spans="1:10" x14ac:dyDescent="0.2">
      <c r="A974" s="2453" t="s">
        <v>1836</v>
      </c>
      <c r="B974" s="2427">
        <v>0</v>
      </c>
      <c r="C974" s="2428">
        <v>8033612.4975057133</v>
      </c>
      <c r="D974" s="2429">
        <v>0</v>
      </c>
      <c r="E974" s="2430">
        <v>0</v>
      </c>
      <c r="F974" s="2427">
        <v>0</v>
      </c>
      <c r="G974" s="2429">
        <v>0</v>
      </c>
      <c r="H974" s="2430">
        <v>0</v>
      </c>
      <c r="I974" s="2427">
        <v>0</v>
      </c>
      <c r="J974" s="2431">
        <v>0</v>
      </c>
    </row>
    <row r="975" spans="1:10" x14ac:dyDescent="0.2">
      <c r="A975" s="2453" t="s">
        <v>1837</v>
      </c>
      <c r="B975" s="2427">
        <v>2117</v>
      </c>
      <c r="C975" s="2428">
        <v>2214764.1578067578</v>
      </c>
      <c r="D975" s="2429">
        <v>4688.6557220769064</v>
      </c>
      <c r="E975" s="2430">
        <v>90.095457775999805</v>
      </c>
      <c r="F975" s="2427">
        <v>11.168524702249611</v>
      </c>
      <c r="G975" s="2429">
        <v>0.15205218421091993</v>
      </c>
      <c r="H975" s="2430">
        <v>70.333675092411227</v>
      </c>
      <c r="I975" s="2427">
        <v>5.0731588247239534</v>
      </c>
      <c r="J975" s="2431">
        <v>7.255106997079705E-2</v>
      </c>
    </row>
    <row r="976" spans="1:10" x14ac:dyDescent="0.2">
      <c r="A976" s="2454" t="s">
        <v>309</v>
      </c>
      <c r="B976" s="2434">
        <v>2117</v>
      </c>
      <c r="C976" s="2433"/>
      <c r="D976" s="2435">
        <v>4688.6557220769064</v>
      </c>
      <c r="E976" s="2436">
        <v>90.095457775999805</v>
      </c>
      <c r="F976" s="2434">
        <v>11.168524702249611</v>
      </c>
      <c r="G976" s="2435">
        <v>0.15205218421091993</v>
      </c>
      <c r="H976" s="2436">
        <v>70.333675092411227</v>
      </c>
      <c r="I976" s="2434">
        <v>5.0731588247239534</v>
      </c>
      <c r="J976" s="2437">
        <v>7.255106997079705E-2</v>
      </c>
    </row>
    <row r="977" spans="1:10" x14ac:dyDescent="0.2">
      <c r="A977" s="2453" t="s">
        <v>1838</v>
      </c>
      <c r="B977" s="2427">
        <v>0</v>
      </c>
      <c r="C977" s="2428">
        <v>10407427.50198495</v>
      </c>
      <c r="D977" s="2429">
        <v>0</v>
      </c>
      <c r="E977" s="2430">
        <v>0</v>
      </c>
      <c r="F977" s="2427">
        <v>0</v>
      </c>
      <c r="G977" s="2429">
        <v>0</v>
      </c>
      <c r="H977" s="2430">
        <v>0</v>
      </c>
      <c r="I977" s="2427">
        <v>0</v>
      </c>
      <c r="J977" s="2431">
        <v>0</v>
      </c>
    </row>
    <row r="978" spans="1:10" x14ac:dyDescent="0.2">
      <c r="A978" s="2454" t="s">
        <v>315</v>
      </c>
      <c r="B978" s="2434">
        <v>0</v>
      </c>
      <c r="C978" s="2455"/>
      <c r="D978" s="2435">
        <v>0</v>
      </c>
      <c r="E978" s="2436">
        <v>0</v>
      </c>
      <c r="F978" s="2434">
        <v>0</v>
      </c>
      <c r="G978" s="2435">
        <v>0</v>
      </c>
      <c r="H978" s="2436">
        <v>0</v>
      </c>
      <c r="I978" s="2434">
        <v>0</v>
      </c>
      <c r="J978" s="2437">
        <v>0</v>
      </c>
    </row>
    <row r="979" spans="1:10" x14ac:dyDescent="0.2">
      <c r="A979" s="2454" t="s">
        <v>1541</v>
      </c>
      <c r="B979" s="2434">
        <v>45.54</v>
      </c>
      <c r="C979" s="2455">
        <v>10553660</v>
      </c>
      <c r="D979" s="2435">
        <v>480.61367639999997</v>
      </c>
      <c r="E979" s="2436">
        <v>1.9380950151719558</v>
      </c>
      <c r="F979" s="2434">
        <v>0.24025253421844461</v>
      </c>
      <c r="G979" s="2435">
        <v>3.2708816575178529E-3</v>
      </c>
      <c r="H979" s="2436">
        <v>7.209598691949429</v>
      </c>
      <c r="I979" s="2434">
        <v>0.52002741473021485</v>
      </c>
      <c r="J979" s="2437">
        <v>7.4368941829605429E-3</v>
      </c>
    </row>
    <row r="980" spans="1:10" x14ac:dyDescent="0.2">
      <c r="A980" s="2453" t="s">
        <v>206</v>
      </c>
      <c r="B980" s="2427">
        <v>181.25</v>
      </c>
      <c r="C980" s="2428">
        <v>6960000</v>
      </c>
      <c r="D980" s="2429">
        <v>1261.5</v>
      </c>
      <c r="E980" s="2430">
        <v>7.7136522068492974</v>
      </c>
      <c r="F980" s="2427">
        <v>0.95620930669945303</v>
      </c>
      <c r="G980" s="2429">
        <v>1.3018166456414378E-2</v>
      </c>
      <c r="H980" s="2430">
        <v>18.923532967307388</v>
      </c>
      <c r="I980" s="2427">
        <v>1.3649519684832798</v>
      </c>
      <c r="J980" s="2431">
        <v>1.9520131183276342E-2</v>
      </c>
    </row>
    <row r="981" spans="1:10" x14ac:dyDescent="0.2">
      <c r="A981" s="2454" t="s">
        <v>310</v>
      </c>
      <c r="B981" s="2434">
        <v>226.79</v>
      </c>
      <c r="C981" s="2455"/>
      <c r="D981" s="2435">
        <v>1742.1136764</v>
      </c>
      <c r="E981" s="2436">
        <v>9.6517472220212532</v>
      </c>
      <c r="F981" s="2434">
        <v>1.1964618409178975</v>
      </c>
      <c r="G981" s="2435">
        <v>1.6289048113932232E-2</v>
      </c>
      <c r="H981" s="2436">
        <v>26.133131659256819</v>
      </c>
      <c r="I981" s="2434">
        <v>1.8849793832134947</v>
      </c>
      <c r="J981" s="2437">
        <v>2.6957025366236891E-2</v>
      </c>
    </row>
    <row r="982" spans="1:10" x14ac:dyDescent="0.2">
      <c r="A982" s="2453" t="s">
        <v>1839</v>
      </c>
      <c r="B982" s="2427">
        <v>5.94</v>
      </c>
      <c r="C982" s="2428">
        <v>39652080.629353955</v>
      </c>
      <c r="D982" s="2429">
        <v>235.53335893836251</v>
      </c>
      <c r="E982" s="2430">
        <v>0.25279500197895077</v>
      </c>
      <c r="F982" s="2427">
        <v>3.1337287071971039E-2</v>
      </c>
      <c r="G982" s="2429">
        <v>4.2663673793711131E-4</v>
      </c>
      <c r="H982" s="2430">
        <v>3.5331932483319441</v>
      </c>
      <c r="I982" s="2427">
        <v>0.25484876886753616</v>
      </c>
      <c r="J982" s="2431">
        <v>3.6445834835628615E-3</v>
      </c>
    </row>
    <row r="983" spans="1:10" x14ac:dyDescent="0.2">
      <c r="A983" s="2454" t="s">
        <v>311</v>
      </c>
      <c r="B983" s="2434">
        <v>5.94</v>
      </c>
      <c r="C983" s="2433"/>
      <c r="D983" s="2435">
        <v>235.53335893836251</v>
      </c>
      <c r="E983" s="2436">
        <v>0.25279500197895077</v>
      </c>
      <c r="F983" s="2434">
        <v>3.1337287071971039E-2</v>
      </c>
      <c r="G983" s="2435">
        <v>4.2663673793711131E-4</v>
      </c>
      <c r="H983" s="2436">
        <v>3.5331932483319441</v>
      </c>
      <c r="I983" s="2434">
        <v>0.25484876886753616</v>
      </c>
      <c r="J983" s="2437">
        <v>3.6445834835628615E-3</v>
      </c>
    </row>
    <row r="984" spans="1:10" x14ac:dyDescent="0.2">
      <c r="A984" s="2456" t="s">
        <v>129</v>
      </c>
      <c r="B984" s="2441">
        <v>2349.73</v>
      </c>
      <c r="C984" s="2440"/>
      <c r="D984" s="2442">
        <v>6666.3027574152693</v>
      </c>
      <c r="E984" s="2443">
        <v>100.00000000000001</v>
      </c>
      <c r="F984" s="2441">
        <v>12.39632383023948</v>
      </c>
      <c r="G984" s="2442">
        <v>0.16876786906278929</v>
      </c>
      <c r="H984" s="2443">
        <v>99.999999999999986</v>
      </c>
      <c r="I984" s="2441">
        <v>7.2129869768049844</v>
      </c>
      <c r="J984" s="2444">
        <v>0.1031526788205968</v>
      </c>
    </row>
    <row r="985" spans="1:10" x14ac:dyDescent="0.2">
      <c r="A985" s="2451" t="s">
        <v>1853</v>
      </c>
      <c r="B985" s="2427"/>
      <c r="C985" s="2452"/>
      <c r="D985" s="2429"/>
      <c r="E985" s="2430"/>
      <c r="F985" s="2427">
        <v>0</v>
      </c>
      <c r="G985" s="2429"/>
      <c r="H985" s="2430"/>
      <c r="I985" s="2427">
        <v>0</v>
      </c>
      <c r="J985" s="2431">
        <v>0</v>
      </c>
    </row>
    <row r="986" spans="1:10" x14ac:dyDescent="0.2">
      <c r="A986" s="2426" t="s">
        <v>1543</v>
      </c>
      <c r="B986" s="2427">
        <v>25</v>
      </c>
      <c r="C986" s="2428">
        <v>13200000</v>
      </c>
      <c r="D986" s="2429">
        <v>330</v>
      </c>
      <c r="E986" s="2430">
        <v>39.682539682539684</v>
      </c>
      <c r="F986" s="2427">
        <v>0.13189093885509698</v>
      </c>
      <c r="G986" s="2429">
        <v>1.7956091664019832E-3</v>
      </c>
      <c r="H986" s="2430">
        <v>32.754342431761785</v>
      </c>
      <c r="I986" s="2427">
        <v>0.35706234609550719</v>
      </c>
      <c r="J986" s="2431">
        <v>5.1063363380746676E-3</v>
      </c>
    </row>
    <row r="987" spans="1:10" x14ac:dyDescent="0.2">
      <c r="A987" s="2426" t="s">
        <v>208</v>
      </c>
      <c r="B987" s="2427">
        <v>0</v>
      </c>
      <c r="C987" s="2428">
        <v>10000000</v>
      </c>
      <c r="D987" s="2429">
        <v>0</v>
      </c>
      <c r="E987" s="2430">
        <v>0</v>
      </c>
      <c r="F987" s="2427">
        <v>0</v>
      </c>
      <c r="G987" s="2429">
        <v>0</v>
      </c>
      <c r="H987" s="2430">
        <v>0</v>
      </c>
      <c r="I987" s="2427">
        <v>0</v>
      </c>
      <c r="J987" s="2431">
        <v>0</v>
      </c>
    </row>
    <row r="988" spans="1:10" x14ac:dyDescent="0.2">
      <c r="A988" s="2426" t="s">
        <v>209</v>
      </c>
      <c r="B988" s="2427">
        <v>3</v>
      </c>
      <c r="C988" s="2428">
        <v>10000000</v>
      </c>
      <c r="D988" s="2429">
        <v>30</v>
      </c>
      <c r="E988" s="2430">
        <v>4.7619047619047619</v>
      </c>
      <c r="F988" s="2427">
        <v>1.5826912662611634E-2</v>
      </c>
      <c r="G988" s="2429">
        <v>2.1547309996823802E-4</v>
      </c>
      <c r="H988" s="2430">
        <v>2.9776674937965262</v>
      </c>
      <c r="I988" s="2427">
        <v>3.2460213281409744E-2</v>
      </c>
      <c r="J988" s="2431">
        <v>4.6421239437042437E-4</v>
      </c>
    </row>
    <row r="989" spans="1:10" x14ac:dyDescent="0.2">
      <c r="A989" s="2426" t="s">
        <v>210</v>
      </c>
      <c r="B989" s="2427">
        <v>35</v>
      </c>
      <c r="C989" s="2428">
        <v>18500000</v>
      </c>
      <c r="D989" s="2429">
        <v>647.5</v>
      </c>
      <c r="E989" s="2430">
        <v>55.555555555555557</v>
      </c>
      <c r="F989" s="2427">
        <v>0.18464731439713575</v>
      </c>
      <c r="G989" s="2429">
        <v>2.5138528329627769E-3</v>
      </c>
      <c r="H989" s="2430">
        <v>64.267990074441684</v>
      </c>
      <c r="I989" s="2427">
        <v>0.70059960332376037</v>
      </c>
      <c r="J989" s="2431">
        <v>1.001925084516166E-2</v>
      </c>
    </row>
    <row r="990" spans="1:10" x14ac:dyDescent="0.2">
      <c r="A990" s="2426" t="s">
        <v>1545</v>
      </c>
      <c r="B990" s="2427">
        <v>0</v>
      </c>
      <c r="C990" s="2428">
        <v>14200000</v>
      </c>
      <c r="D990" s="2429">
        <v>0</v>
      </c>
      <c r="E990" s="2430">
        <v>0</v>
      </c>
      <c r="F990" s="2427">
        <v>0</v>
      </c>
      <c r="G990" s="2429">
        <v>0</v>
      </c>
      <c r="H990" s="2430">
        <v>0</v>
      </c>
      <c r="I990" s="2427">
        <v>0</v>
      </c>
      <c r="J990" s="2431">
        <v>0</v>
      </c>
    </row>
    <row r="991" spans="1:10" x14ac:dyDescent="0.2">
      <c r="A991" s="2426" t="s">
        <v>1546</v>
      </c>
      <c r="B991" s="2427">
        <v>0</v>
      </c>
      <c r="C991" s="2428">
        <v>10000000</v>
      </c>
      <c r="D991" s="2429">
        <v>0</v>
      </c>
      <c r="E991" s="2430">
        <v>0</v>
      </c>
      <c r="F991" s="2427">
        <v>0</v>
      </c>
      <c r="G991" s="2429">
        <v>0</v>
      </c>
      <c r="H991" s="2430">
        <v>0</v>
      </c>
      <c r="I991" s="2427">
        <v>0</v>
      </c>
      <c r="J991" s="2431">
        <v>0</v>
      </c>
    </row>
    <row r="992" spans="1:10" x14ac:dyDescent="0.2">
      <c r="A992" s="2456" t="s">
        <v>121</v>
      </c>
      <c r="B992" s="2441">
        <v>63</v>
      </c>
      <c r="C992" s="2440"/>
      <c r="D992" s="2442">
        <v>1007.5</v>
      </c>
      <c r="E992" s="2443">
        <v>100</v>
      </c>
      <c r="F992" s="2441">
        <v>0.33236516591484438</v>
      </c>
      <c r="G992" s="2442">
        <v>4.5249350993329983E-3</v>
      </c>
      <c r="H992" s="2443">
        <v>100</v>
      </c>
      <c r="I992" s="2441">
        <v>1.0901221627006774</v>
      </c>
      <c r="J992" s="2444">
        <v>1.558979957760675E-2</v>
      </c>
    </row>
    <row r="993" spans="1:10" ht="14.25" thickBot="1" x14ac:dyDescent="0.25">
      <c r="A993" s="2457" t="s">
        <v>1840</v>
      </c>
      <c r="B993" s="2446">
        <v>18955.055</v>
      </c>
      <c r="C993" s="2458"/>
      <c r="D993" s="2448">
        <v>92420.834514914503</v>
      </c>
      <c r="E993" s="2459"/>
      <c r="F993" s="2460">
        <v>100.00000000000001</v>
      </c>
      <c r="G993" s="2461">
        <v>1.3614348203061502</v>
      </c>
      <c r="H993" s="2462"/>
      <c r="I993" s="2460">
        <v>100</v>
      </c>
      <c r="J993" s="2463">
        <v>1.4300965626627071</v>
      </c>
    </row>
    <row r="994" spans="1:10" ht="15" thickBot="1" x14ac:dyDescent="0.25">
      <c r="A994" s="2464" t="s">
        <v>1841</v>
      </c>
      <c r="B994" s="2465">
        <v>1392285.1624830281</v>
      </c>
      <c r="C994" s="2466"/>
      <c r="D994" s="2467">
        <v>6462559.0276810033</v>
      </c>
      <c r="E994" s="2468"/>
      <c r="F994" s="2469"/>
      <c r="G994" s="2469"/>
      <c r="H994" s="2469"/>
      <c r="I994" s="2469"/>
      <c r="J994" s="2469"/>
    </row>
    <row r="995" spans="1:10" ht="16.5" thickBot="1" x14ac:dyDescent="0.3">
      <c r="A995" s="2470" t="s">
        <v>1842</v>
      </c>
      <c r="B995" s="2471">
        <v>1.3614348203061499</v>
      </c>
      <c r="C995" s="2472"/>
      <c r="D995" s="2473">
        <v>1.4300965626627071</v>
      </c>
      <c r="E995" s="2468"/>
      <c r="F995" s="2469"/>
      <c r="G995" s="2469"/>
      <c r="H995" s="2469"/>
      <c r="I995" s="2469"/>
      <c r="J995" s="2469"/>
    </row>
    <row r="996" spans="1:10" x14ac:dyDescent="0.2">
      <c r="A996" s="2474" t="s">
        <v>2023</v>
      </c>
      <c r="B996" s="2474"/>
      <c r="C996" s="2474"/>
      <c r="D996" s="2475"/>
      <c r="E996" s="2474"/>
      <c r="F996" s="2474"/>
      <c r="H996" s="2474"/>
      <c r="I996" s="2474"/>
      <c r="J996" s="2474"/>
    </row>
    <row r="997" spans="1:10" x14ac:dyDescent="0.2">
      <c r="A997" s="2474" t="s">
        <v>1843</v>
      </c>
      <c r="B997" s="2474"/>
      <c r="C997" s="2474"/>
      <c r="D997" s="2474"/>
      <c r="E997" s="2474"/>
      <c r="F997" s="2474"/>
      <c r="G997" s="2474"/>
      <c r="H997" s="2474"/>
      <c r="I997" s="2474"/>
      <c r="J997" s="2474"/>
    </row>
    <row r="998" spans="1:10" x14ac:dyDescent="0.2">
      <c r="A998" s="2474" t="s">
        <v>2024</v>
      </c>
      <c r="B998" s="2474"/>
      <c r="C998" s="2474"/>
      <c r="D998" s="2474"/>
      <c r="E998" s="2474"/>
      <c r="F998" s="2474"/>
      <c r="G998" s="2474"/>
      <c r="H998" s="2474"/>
      <c r="I998" s="2474"/>
      <c r="J998" s="2474"/>
    </row>
    <row r="1002" spans="1:10" ht="13.5" thickBot="1" x14ac:dyDescent="0.25">
      <c r="A1002" s="3321" t="s">
        <v>2021</v>
      </c>
      <c r="B1002" s="3321"/>
      <c r="C1002" s="3321"/>
      <c r="D1002" s="3321"/>
      <c r="E1002" s="3321"/>
      <c r="F1002" s="3321"/>
      <c r="G1002" s="3321"/>
      <c r="H1002" s="3321"/>
      <c r="I1002" s="3321"/>
      <c r="J1002" s="3321"/>
    </row>
    <row r="1003" spans="1:10" ht="13.5" customHeight="1" thickBot="1" x14ac:dyDescent="0.25">
      <c r="A1003" s="3322" t="s">
        <v>939</v>
      </c>
      <c r="B1003" s="3324" t="s">
        <v>1272</v>
      </c>
      <c r="C1003" s="3324" t="s">
        <v>1832</v>
      </c>
      <c r="D1003" s="3326" t="s">
        <v>1844</v>
      </c>
      <c r="E1003" s="3328" t="s">
        <v>1849</v>
      </c>
      <c r="F1003" s="3329"/>
      <c r="G1003" s="3330"/>
      <c r="H1003" s="3328" t="s">
        <v>1850</v>
      </c>
      <c r="I1003" s="3329"/>
      <c r="J1003" s="3331"/>
    </row>
    <row r="1004" spans="1:10" ht="13.5" customHeight="1" thickBot="1" x14ac:dyDescent="0.25">
      <c r="A1004" s="3323"/>
      <c r="B1004" s="3325"/>
      <c r="C1004" s="3325"/>
      <c r="D1004" s="3327"/>
      <c r="E1004" s="2415" t="s">
        <v>1848</v>
      </c>
      <c r="F1004" s="2416" t="s">
        <v>1231</v>
      </c>
      <c r="G1004" s="2417" t="s">
        <v>1833</v>
      </c>
      <c r="H1004" s="2415" t="s">
        <v>1848</v>
      </c>
      <c r="I1004" s="2416" t="s">
        <v>1231</v>
      </c>
      <c r="J1004" s="2418" t="s">
        <v>1833</v>
      </c>
    </row>
    <row r="1005" spans="1:10" x14ac:dyDescent="0.2">
      <c r="A1005" s="2419" t="s">
        <v>1851</v>
      </c>
      <c r="B1005" s="2420"/>
      <c r="C1005" s="2420"/>
      <c r="D1005" s="2421"/>
      <c r="E1005" s="2422"/>
      <c r="F1005" s="2423"/>
      <c r="G1005" s="2424"/>
      <c r="H1005" s="2422"/>
      <c r="I1005" s="2423"/>
      <c r="J1005" s="2425"/>
    </row>
    <row r="1006" spans="1:10" x14ac:dyDescent="0.2">
      <c r="A1006" s="2426" t="s">
        <v>410</v>
      </c>
      <c r="B1006" s="2427">
        <v>52.5</v>
      </c>
      <c r="C1006" s="2428">
        <v>5667200.0000000009</v>
      </c>
      <c r="D1006" s="2429">
        <v>297.52800000000008</v>
      </c>
      <c r="E1006" s="2430">
        <v>0.10909425615936041</v>
      </c>
      <c r="F1006" s="2427">
        <v>9.793185731619386E-2</v>
      </c>
      <c r="G1006" s="2429">
        <v>3.7707792494441651E-3</v>
      </c>
      <c r="H1006" s="2430">
        <v>0.21876497233318898</v>
      </c>
      <c r="I1006" s="2427">
        <v>0.18953426110787797</v>
      </c>
      <c r="J1006" s="2431">
        <v>4.6038728424081217E-3</v>
      </c>
    </row>
    <row r="1007" spans="1:10" x14ac:dyDescent="0.2">
      <c r="A1007" s="2426" t="s">
        <v>411</v>
      </c>
      <c r="B1007" s="2427">
        <v>18600</v>
      </c>
      <c r="C1007" s="2428">
        <v>1753716.5000000002</v>
      </c>
      <c r="D1007" s="2429">
        <v>32619.126900000003</v>
      </c>
      <c r="E1007" s="2430">
        <v>38.650536467887683</v>
      </c>
      <c r="F1007" s="2427">
        <v>34.6958580205944</v>
      </c>
      <c r="G1007" s="2429">
        <v>1.3359332198030756</v>
      </c>
      <c r="H1007" s="2430">
        <v>23.984036439633513</v>
      </c>
      <c r="I1007" s="2427">
        <v>20.779362328841671</v>
      </c>
      <c r="J1007" s="2431">
        <v>0.50474010001739056</v>
      </c>
    </row>
    <row r="1008" spans="1:10" x14ac:dyDescent="0.2">
      <c r="A1008" s="2426" t="s">
        <v>278</v>
      </c>
      <c r="B1008" s="2427">
        <v>2022.3</v>
      </c>
      <c r="C1008" s="2428">
        <v>1637875</v>
      </c>
      <c r="D1008" s="2429">
        <v>3312.2746124999999</v>
      </c>
      <c r="E1008" s="2430">
        <v>4.2023107472585624</v>
      </c>
      <c r="F1008" s="2427">
        <v>3.7723351438197876</v>
      </c>
      <c r="G1008" s="2429">
        <v>0.14525041668858923</v>
      </c>
      <c r="H1008" s="2430">
        <v>2.4354335187393676</v>
      </c>
      <c r="I1008" s="2427">
        <v>2.110018288250417</v>
      </c>
      <c r="J1008" s="2431">
        <v>5.1253297622699812E-2</v>
      </c>
    </row>
    <row r="1009" spans="1:10" x14ac:dyDescent="0.2">
      <c r="A1009" s="2426" t="s">
        <v>200</v>
      </c>
      <c r="B1009" s="2427">
        <v>476.4</v>
      </c>
      <c r="C1009" s="2428">
        <v>7709114.5</v>
      </c>
      <c r="D1009" s="2429">
        <v>3672.6221477999998</v>
      </c>
      <c r="E1009" s="2430">
        <v>0.98995245017751043</v>
      </c>
      <c r="F1009" s="2427">
        <v>0.88866165381780493</v>
      </c>
      <c r="G1009" s="2429">
        <v>3.4217128274956196E-2</v>
      </c>
      <c r="H1009" s="2430">
        <v>2.7003881401203378</v>
      </c>
      <c r="I1009" s="2427">
        <v>2.339570477775875</v>
      </c>
      <c r="J1009" s="2431">
        <v>5.6829224028269613E-2</v>
      </c>
    </row>
    <row r="1010" spans="1:10" x14ac:dyDescent="0.2">
      <c r="A1010" s="2426" t="s">
        <v>429</v>
      </c>
      <c r="B1010" s="2427">
        <v>0</v>
      </c>
      <c r="C1010" s="2428">
        <v>1255000</v>
      </c>
      <c r="D1010" s="2429">
        <v>0</v>
      </c>
      <c r="E1010" s="2430">
        <v>0</v>
      </c>
      <c r="F1010" s="2427">
        <v>0</v>
      </c>
      <c r="G1010" s="2429">
        <v>0</v>
      </c>
      <c r="H1010" s="2430">
        <v>0</v>
      </c>
      <c r="I1010" s="2427">
        <v>0</v>
      </c>
      <c r="J1010" s="2431">
        <v>0</v>
      </c>
    </row>
    <row r="1011" spans="1:10" x14ac:dyDescent="0.2">
      <c r="A1011" s="2432" t="s">
        <v>431</v>
      </c>
      <c r="B1011" s="2427">
        <v>0</v>
      </c>
      <c r="C1011" s="2428">
        <v>0</v>
      </c>
      <c r="D1011" s="2429">
        <v>0</v>
      </c>
      <c r="E1011" s="2430">
        <v>0</v>
      </c>
      <c r="F1011" s="2427">
        <v>0</v>
      </c>
      <c r="G1011" s="2429">
        <v>0</v>
      </c>
      <c r="H1011" s="2430">
        <v>0</v>
      </c>
      <c r="I1011" s="2427">
        <v>0</v>
      </c>
      <c r="J1011" s="2431">
        <v>0</v>
      </c>
    </row>
    <row r="1012" spans="1:10" x14ac:dyDescent="0.2">
      <c r="A1012" s="2432" t="s">
        <v>430</v>
      </c>
      <c r="B1012" s="2427">
        <v>0</v>
      </c>
      <c r="C1012" s="2428">
        <v>0</v>
      </c>
      <c r="D1012" s="2429">
        <v>0</v>
      </c>
      <c r="E1012" s="2430">
        <v>0</v>
      </c>
      <c r="F1012" s="2427">
        <v>0</v>
      </c>
      <c r="G1012" s="2429">
        <v>0</v>
      </c>
      <c r="H1012" s="2430">
        <v>0</v>
      </c>
      <c r="I1012" s="2427">
        <v>0</v>
      </c>
      <c r="J1012" s="2431">
        <v>0</v>
      </c>
    </row>
    <row r="1013" spans="1:10" x14ac:dyDescent="0.2">
      <c r="A1013" s="2433" t="s">
        <v>279</v>
      </c>
      <c r="B1013" s="2434">
        <v>21151.200000000001</v>
      </c>
      <c r="C1013" s="2433"/>
      <c r="D1013" s="2435">
        <v>39901.5516603</v>
      </c>
      <c r="E1013" s="2436">
        <v>43.951893921483126</v>
      </c>
      <c r="F1013" s="2434">
        <v>39.454786675548185</v>
      </c>
      <c r="G1013" s="2435">
        <v>1.5191715440160651</v>
      </c>
      <c r="H1013" s="2436">
        <v>29.338623070826404</v>
      </c>
      <c r="I1013" s="2434">
        <v>25.418485355975839</v>
      </c>
      <c r="J1013" s="2437">
        <v>0.61742649451076814</v>
      </c>
    </row>
    <row r="1014" spans="1:10" x14ac:dyDescent="0.2">
      <c r="A1014" s="2438" t="s">
        <v>412</v>
      </c>
      <c r="B1014" s="2427">
        <v>83</v>
      </c>
      <c r="C1014" s="2428">
        <v>4129499.9999999995</v>
      </c>
      <c r="D1014" s="2429">
        <v>342.74849999999992</v>
      </c>
      <c r="E1014" s="2430">
        <v>0.1724728240233698</v>
      </c>
      <c r="F1014" s="2427">
        <v>0.15482560299512554</v>
      </c>
      <c r="G1014" s="2429">
        <v>5.9614224324545844E-3</v>
      </c>
      <c r="H1014" s="2430">
        <v>0.25201448643402297</v>
      </c>
      <c r="I1014" s="2427">
        <v>0.21834107611160453</v>
      </c>
      <c r="J1014" s="2431">
        <v>5.3036033950623783E-3</v>
      </c>
    </row>
    <row r="1015" spans="1:10" x14ac:dyDescent="0.2">
      <c r="A1015" s="2438" t="s">
        <v>413</v>
      </c>
      <c r="B1015" s="2427">
        <v>60</v>
      </c>
      <c r="C1015" s="2428">
        <v>1200000</v>
      </c>
      <c r="D1015" s="2429">
        <v>72</v>
      </c>
      <c r="E1015" s="2430">
        <v>0.12467914989641191</v>
      </c>
      <c r="F1015" s="2427">
        <v>0.11192212264707871</v>
      </c>
      <c r="G1015" s="2429">
        <v>4.3094619993647599E-3</v>
      </c>
      <c r="H1015" s="2430">
        <v>5.293981745580114E-2</v>
      </c>
      <c r="I1015" s="2427">
        <v>4.5866159822830828E-2</v>
      </c>
      <c r="J1015" s="2431">
        <v>1.1141097464890184E-3</v>
      </c>
    </row>
    <row r="1016" spans="1:10" x14ac:dyDescent="0.2">
      <c r="A1016" s="2426" t="s">
        <v>90</v>
      </c>
      <c r="B1016" s="2427">
        <v>0</v>
      </c>
      <c r="C1016" s="2428">
        <v>1743000</v>
      </c>
      <c r="D1016" s="2429">
        <v>0</v>
      </c>
      <c r="E1016" s="2430">
        <v>0</v>
      </c>
      <c r="F1016" s="2427">
        <v>0</v>
      </c>
      <c r="G1016" s="2429">
        <v>0</v>
      </c>
      <c r="H1016" s="2430">
        <v>0</v>
      </c>
      <c r="I1016" s="2427">
        <v>0</v>
      </c>
      <c r="J1016" s="2431">
        <v>0</v>
      </c>
    </row>
    <row r="1017" spans="1:10" x14ac:dyDescent="0.2">
      <c r="A1017" s="2426" t="s">
        <v>417</v>
      </c>
      <c r="B1017" s="2427">
        <v>20</v>
      </c>
      <c r="C1017" s="2428">
        <v>2563999.9999999995</v>
      </c>
      <c r="D1017" s="2429">
        <v>51.279999999999994</v>
      </c>
      <c r="E1017" s="2430">
        <v>4.1559716632137297E-2</v>
      </c>
      <c r="F1017" s="2427">
        <v>3.7307374215692905E-2</v>
      </c>
      <c r="G1017" s="2429">
        <v>1.4364873331215865E-3</v>
      </c>
      <c r="H1017" s="2430">
        <v>3.7704914432409482E-2</v>
      </c>
      <c r="I1017" s="2427">
        <v>3.2666898273816178E-2</v>
      </c>
      <c r="J1017" s="2431">
        <v>7.9349371944384536E-4</v>
      </c>
    </row>
    <row r="1018" spans="1:10" x14ac:dyDescent="0.2">
      <c r="A1018" s="2426" t="s">
        <v>418</v>
      </c>
      <c r="B1018" s="2427">
        <v>121.80000000000001</v>
      </c>
      <c r="C1018" s="2428">
        <v>2222500</v>
      </c>
      <c r="D1018" s="2429">
        <v>270.70049999999998</v>
      </c>
      <c r="E1018" s="2430">
        <v>0.25309867428971616</v>
      </c>
      <c r="F1018" s="2427">
        <v>0.22720190897356976</v>
      </c>
      <c r="G1018" s="2429">
        <v>8.748207858710463E-3</v>
      </c>
      <c r="H1018" s="2430">
        <v>0.19903937576658468</v>
      </c>
      <c r="I1018" s="2427">
        <v>0.17244433884889188</v>
      </c>
      <c r="J1018" s="2431">
        <v>4.1887509087423676E-3</v>
      </c>
    </row>
    <row r="1019" spans="1:10" x14ac:dyDescent="0.2">
      <c r="A1019" s="2426" t="s">
        <v>423</v>
      </c>
      <c r="B1019" s="2427">
        <v>1188</v>
      </c>
      <c r="C1019" s="2428">
        <v>2531500</v>
      </c>
      <c r="D1019" s="2429">
        <v>3007.422</v>
      </c>
      <c r="E1019" s="2430">
        <v>2.4686471679489554</v>
      </c>
      <c r="F1019" s="2427">
        <v>2.2160580284121583</v>
      </c>
      <c r="G1019" s="2429">
        <v>8.5327347587422248E-2</v>
      </c>
      <c r="H1019" s="2430">
        <v>2.21128294017445</v>
      </c>
      <c r="I1019" s="2427">
        <v>1.9158180292596878</v>
      </c>
      <c r="J1019" s="2431">
        <v>4.653608558340968E-2</v>
      </c>
    </row>
    <row r="1020" spans="1:10" x14ac:dyDescent="0.2">
      <c r="A1020" s="2426" t="s">
        <v>424</v>
      </c>
      <c r="B1020" s="2427">
        <v>0</v>
      </c>
      <c r="C1020" s="2428">
        <v>1369000</v>
      </c>
      <c r="D1020" s="2429">
        <v>0</v>
      </c>
      <c r="E1020" s="2430">
        <v>0</v>
      </c>
      <c r="F1020" s="2427">
        <v>0</v>
      </c>
      <c r="G1020" s="2429">
        <v>0</v>
      </c>
      <c r="H1020" s="2430">
        <v>0</v>
      </c>
      <c r="I1020" s="2427">
        <v>0</v>
      </c>
      <c r="J1020" s="2431">
        <v>0</v>
      </c>
    </row>
    <row r="1021" spans="1:10" x14ac:dyDescent="0.2">
      <c r="A1021" s="2426" t="s">
        <v>280</v>
      </c>
      <c r="B1021" s="2427">
        <v>0</v>
      </c>
      <c r="C1021" s="2428">
        <v>1574500</v>
      </c>
      <c r="D1021" s="2429">
        <v>0</v>
      </c>
      <c r="E1021" s="2430">
        <v>0</v>
      </c>
      <c r="F1021" s="2427">
        <v>0</v>
      </c>
      <c r="G1021" s="2429">
        <v>0</v>
      </c>
      <c r="H1021" s="2430">
        <v>0</v>
      </c>
      <c r="I1021" s="2427">
        <v>0</v>
      </c>
      <c r="J1021" s="2431">
        <v>0</v>
      </c>
    </row>
    <row r="1022" spans="1:10" x14ac:dyDescent="0.2">
      <c r="A1022" s="2426" t="s">
        <v>427</v>
      </c>
      <c r="B1022" s="2427">
        <v>0</v>
      </c>
      <c r="C1022" s="2428">
        <v>2072000</v>
      </c>
      <c r="D1022" s="2429">
        <v>0</v>
      </c>
      <c r="E1022" s="2430">
        <v>0</v>
      </c>
      <c r="F1022" s="2427">
        <v>0</v>
      </c>
      <c r="G1022" s="2429">
        <v>0</v>
      </c>
      <c r="H1022" s="2430">
        <v>0</v>
      </c>
      <c r="I1022" s="2427">
        <v>0</v>
      </c>
      <c r="J1022" s="2431">
        <v>0</v>
      </c>
    </row>
    <row r="1023" spans="1:10" x14ac:dyDescent="0.2">
      <c r="A1023" s="2426" t="s">
        <v>428</v>
      </c>
      <c r="B1023" s="2427">
        <v>506</v>
      </c>
      <c r="C1023" s="2428">
        <v>1326280</v>
      </c>
      <c r="D1023" s="2429">
        <v>671.09767999999997</v>
      </c>
      <c r="E1023" s="2430">
        <v>1.0514608307930737</v>
      </c>
      <c r="F1023" s="2427">
        <v>0.94387656765703032</v>
      </c>
      <c r="G1023" s="2429">
        <v>3.6343129527976144E-2</v>
      </c>
      <c r="H1023" s="2430">
        <v>0.49344150936405068</v>
      </c>
      <c r="I1023" s="2427">
        <v>0.42750935343904134</v>
      </c>
      <c r="J1023" s="2431">
        <v>1.0384395362974561E-2</v>
      </c>
    </row>
    <row r="1024" spans="1:10" x14ac:dyDescent="0.2">
      <c r="A1024" s="2439" t="s">
        <v>92</v>
      </c>
      <c r="B1024" s="2427">
        <v>600</v>
      </c>
      <c r="C1024" s="2428">
        <v>2215500</v>
      </c>
      <c r="D1024" s="2429">
        <v>1329.3</v>
      </c>
      <c r="E1024" s="2430">
        <v>1.2467914989641191</v>
      </c>
      <c r="F1024" s="2427">
        <v>1.119221226470787</v>
      </c>
      <c r="G1024" s="2429">
        <v>4.3094619993647595E-2</v>
      </c>
      <c r="H1024" s="2430">
        <v>0.97740137977772867</v>
      </c>
      <c r="I1024" s="2427">
        <v>0.846803975729014</v>
      </c>
      <c r="J1024" s="2431">
        <v>2.0569251194553502E-2</v>
      </c>
    </row>
    <row r="1025" spans="1:10" x14ac:dyDescent="0.2">
      <c r="A1025" s="2433" t="s">
        <v>281</v>
      </c>
      <c r="B1025" s="2434">
        <v>2578.8000000000002</v>
      </c>
      <c r="C1025" s="2433"/>
      <c r="D1025" s="2435">
        <v>5744.5486799999999</v>
      </c>
      <c r="E1025" s="2436">
        <v>5.3587098625477836</v>
      </c>
      <c r="F1025" s="2434">
        <v>4.8104128313714432</v>
      </c>
      <c r="G1025" s="2435">
        <v>0.1852206767326974</v>
      </c>
      <c r="H1025" s="2436">
        <v>4.2238244234050475</v>
      </c>
      <c r="I1025" s="2434">
        <v>3.6594498314848867</v>
      </c>
      <c r="J1025" s="2437">
        <v>8.8889689910675349E-2</v>
      </c>
    </row>
    <row r="1026" spans="1:10" x14ac:dyDescent="0.2">
      <c r="A1026" s="2440" t="s">
        <v>106</v>
      </c>
      <c r="B1026" s="2441">
        <v>23730</v>
      </c>
      <c r="C1026" s="2440"/>
      <c r="D1026" s="2442">
        <v>45646.1003403</v>
      </c>
      <c r="E1026" s="2443">
        <v>49.310603784030903</v>
      </c>
      <c r="F1026" s="2441">
        <v>44.265199506919629</v>
      </c>
      <c r="G1026" s="2442">
        <v>1.7043922207487623</v>
      </c>
      <c r="H1026" s="2443">
        <v>33.562447494231449</v>
      </c>
      <c r="I1026" s="2441">
        <v>29.077935187460724</v>
      </c>
      <c r="J1026" s="2444">
        <v>0.7063161844214435</v>
      </c>
    </row>
    <row r="1027" spans="1:10" x14ac:dyDescent="0.2">
      <c r="A1027" s="2426" t="s">
        <v>905</v>
      </c>
      <c r="B1027" s="2427">
        <v>0</v>
      </c>
      <c r="C1027" s="2428">
        <v>6100000</v>
      </c>
      <c r="D1027" s="2429">
        <v>0</v>
      </c>
      <c r="E1027" s="2430">
        <v>0</v>
      </c>
      <c r="F1027" s="2427">
        <v>0</v>
      </c>
      <c r="G1027" s="2429">
        <v>0</v>
      </c>
      <c r="H1027" s="2430">
        <v>0</v>
      </c>
      <c r="I1027" s="2427">
        <v>0</v>
      </c>
      <c r="J1027" s="2431">
        <v>0</v>
      </c>
    </row>
    <row r="1028" spans="1:10" x14ac:dyDescent="0.2">
      <c r="A1028" s="2426" t="s">
        <v>906</v>
      </c>
      <c r="B1028" s="2427">
        <v>6</v>
      </c>
      <c r="C1028" s="2428">
        <v>3022000.0000000005</v>
      </c>
      <c r="D1028" s="2429">
        <v>18.132000000000005</v>
      </c>
      <c r="E1028" s="2430">
        <v>1.246791498964119E-2</v>
      </c>
      <c r="F1028" s="2427">
        <v>1.119221226470787E-2</v>
      </c>
      <c r="G1028" s="2429">
        <v>4.3094619993647604E-4</v>
      </c>
      <c r="H1028" s="2430">
        <v>1.3332010695952592E-2</v>
      </c>
      <c r="I1028" s="2427">
        <v>1.1550627915382899E-2</v>
      </c>
      <c r="J1028" s="2431">
        <v>2.8056997115748455E-4</v>
      </c>
    </row>
    <row r="1029" spans="1:10" x14ac:dyDescent="0.2">
      <c r="A1029" s="2426" t="s">
        <v>907</v>
      </c>
      <c r="B1029" s="2427">
        <v>12</v>
      </c>
      <c r="C1029" s="2428">
        <v>2324000</v>
      </c>
      <c r="D1029" s="2429">
        <v>27.888000000000002</v>
      </c>
      <c r="E1029" s="2430">
        <v>2.4935829979282381E-2</v>
      </c>
      <c r="F1029" s="2427">
        <v>2.238442452941574E-2</v>
      </c>
      <c r="G1029" s="2429">
        <v>8.6189239987295209E-4</v>
      </c>
      <c r="H1029" s="2430">
        <v>2.0505355961213646E-2</v>
      </c>
      <c r="I1029" s="2427">
        <v>1.7765492571376475E-2</v>
      </c>
      <c r="J1029" s="2431">
        <v>4.3153184180674651E-4</v>
      </c>
    </row>
    <row r="1030" spans="1:10" x14ac:dyDescent="0.2">
      <c r="A1030" s="2439" t="s">
        <v>908</v>
      </c>
      <c r="B1030" s="2427">
        <v>336</v>
      </c>
      <c r="C1030" s="2428">
        <v>2403999.9999999995</v>
      </c>
      <c r="D1030" s="2429">
        <v>807.74399999999991</v>
      </c>
      <c r="E1030" s="2430">
        <v>0.6982032394199067</v>
      </c>
      <c r="F1030" s="2427">
        <v>0.6267638868236407</v>
      </c>
      <c r="G1030" s="2429">
        <v>2.4132987196442655E-2</v>
      </c>
      <c r="H1030" s="2430">
        <v>0.59391416543081443</v>
      </c>
      <c r="I1030" s="2427">
        <v>0.51455715833239801</v>
      </c>
      <c r="J1030" s="2431">
        <v>1.2498825875944801E-2</v>
      </c>
    </row>
    <row r="1031" spans="1:10" x14ac:dyDescent="0.2">
      <c r="A1031" s="2440" t="s">
        <v>282</v>
      </c>
      <c r="B1031" s="2441">
        <v>354</v>
      </c>
      <c r="C1031" s="2440"/>
      <c r="D1031" s="2442">
        <v>853.7639999999999</v>
      </c>
      <c r="E1031" s="2443">
        <v>0.73560698438883021</v>
      </c>
      <c r="F1031" s="2441">
        <v>0.6603405236177643</v>
      </c>
      <c r="G1031" s="2442">
        <v>2.5425825796252084E-2</v>
      </c>
      <c r="H1031" s="2443">
        <v>0.62775153208798062</v>
      </c>
      <c r="I1031" s="2441">
        <v>0.54387327881915737</v>
      </c>
      <c r="J1031" s="2444">
        <v>1.3210927688909031E-2</v>
      </c>
    </row>
    <row r="1032" spans="1:10" x14ac:dyDescent="0.2">
      <c r="A1032" s="2426" t="s">
        <v>955</v>
      </c>
      <c r="B1032" s="2427">
        <v>471.03600000000006</v>
      </c>
      <c r="C1032" s="2428">
        <v>12137000</v>
      </c>
      <c r="D1032" s="2429">
        <v>5716.9639320000006</v>
      </c>
      <c r="E1032" s="2430">
        <v>0.97880613417677143</v>
      </c>
      <c r="F1032" s="2427">
        <v>0.87865581605315624</v>
      </c>
      <c r="G1032" s="2429">
        <v>3.3831862372212987E-2</v>
      </c>
      <c r="H1032" s="2430">
        <v>4.2035420411316551</v>
      </c>
      <c r="I1032" s="2427">
        <v>3.641877519534324</v>
      </c>
      <c r="J1032" s="2431">
        <v>8.8462850513435859E-2</v>
      </c>
    </row>
    <row r="1033" spans="1:10" x14ac:dyDescent="0.2">
      <c r="A1033" s="2426" t="s">
        <v>283</v>
      </c>
      <c r="B1033" s="2427">
        <v>1930.030067851879</v>
      </c>
      <c r="C1033" s="2428">
        <v>13024549.999999996</v>
      </c>
      <c r="D1033" s="2429">
        <v>25137.773120240185</v>
      </c>
      <c r="E1033" s="2430">
        <v>4.0105751355714414</v>
      </c>
      <c r="F1033" s="2427">
        <v>3.6002176994444608</v>
      </c>
      <c r="G1033" s="2429">
        <v>0.13862318725065104</v>
      </c>
      <c r="H1033" s="2430">
        <v>18.483182225428614</v>
      </c>
      <c r="I1033" s="2427">
        <v>16.013515548930517</v>
      </c>
      <c r="J1033" s="2431">
        <v>0.38897552830957294</v>
      </c>
    </row>
    <row r="1034" spans="1:10" x14ac:dyDescent="0.2">
      <c r="A1034" s="2426" t="s">
        <v>69</v>
      </c>
      <c r="B1034" s="2427">
        <v>1524.4574321481211</v>
      </c>
      <c r="C1034" s="2428">
        <v>14978232.499999994</v>
      </c>
      <c r="D1034" s="2429">
        <v>22833.677855067523</v>
      </c>
      <c r="E1034" s="2430">
        <v>3.1678009448915794</v>
      </c>
      <c r="F1034" s="2427">
        <v>2.843675194852211</v>
      </c>
      <c r="G1034" s="2429">
        <v>0.10949318955819183</v>
      </c>
      <c r="H1034" s="2430">
        <v>16.789038020720053</v>
      </c>
      <c r="I1034" s="2427">
        <v>14.545737747827223</v>
      </c>
      <c r="J1034" s="2431">
        <v>0.35332254231279436</v>
      </c>
    </row>
    <row r="1035" spans="1:10" x14ac:dyDescent="0.2">
      <c r="A1035" s="2426" t="s">
        <v>199</v>
      </c>
      <c r="B1035" s="2427">
        <v>906</v>
      </c>
      <c r="C1035" s="2428">
        <v>3000000</v>
      </c>
      <c r="D1035" s="2429">
        <v>2718</v>
      </c>
      <c r="E1035" s="2430">
        <v>1.8826551634358197</v>
      </c>
      <c r="F1035" s="2427">
        <v>1.6900240519708885</v>
      </c>
      <c r="G1035" s="2429">
        <v>6.5072876190407872E-2</v>
      </c>
      <c r="H1035" s="2430">
        <v>1.9984781089564931</v>
      </c>
      <c r="I1035" s="2427">
        <v>1.7314475333118635</v>
      </c>
      <c r="J1035" s="2431">
        <v>4.2057642929960448E-2</v>
      </c>
    </row>
    <row r="1036" spans="1:10" x14ac:dyDescent="0.2">
      <c r="A1036" s="2426" t="s">
        <v>86</v>
      </c>
      <c r="B1036" s="2427">
        <v>1132.5</v>
      </c>
      <c r="C1036" s="2428">
        <v>170000</v>
      </c>
      <c r="D1036" s="2429">
        <v>192.52500000000001</v>
      </c>
      <c r="E1036" s="2430">
        <v>2.3533189542947746</v>
      </c>
      <c r="F1036" s="2427">
        <v>2.1125300649636105</v>
      </c>
      <c r="G1036" s="2429">
        <v>8.1341095238009836E-2</v>
      </c>
      <c r="H1036" s="2430">
        <v>0.14155886605108495</v>
      </c>
      <c r="I1036" s="2427">
        <v>0.12264420027625703</v>
      </c>
      <c r="J1036" s="2431">
        <v>2.9790830408721984E-3</v>
      </c>
    </row>
    <row r="1037" spans="1:10" x14ac:dyDescent="0.2">
      <c r="A1037" s="2439" t="s">
        <v>213</v>
      </c>
      <c r="B1037" s="2427">
        <v>7793</v>
      </c>
      <c r="C1037" s="2428">
        <v>1850000.0000000005</v>
      </c>
      <c r="D1037" s="2429">
        <v>14417.050000000003</v>
      </c>
      <c r="E1037" s="2430">
        <v>16.193743585712298</v>
      </c>
      <c r="F1037" s="2427">
        <v>14.536818363144738</v>
      </c>
      <c r="G1037" s="2429">
        <v>0.55972728935082627</v>
      </c>
      <c r="H1037" s="2430">
        <v>10.600499934043862</v>
      </c>
      <c r="I1037" s="2427">
        <v>9.184093326024211</v>
      </c>
      <c r="J1037" s="2431">
        <v>0.22308577667527091</v>
      </c>
    </row>
    <row r="1038" spans="1:10" x14ac:dyDescent="0.2">
      <c r="A1038" s="2433" t="s">
        <v>1834</v>
      </c>
      <c r="B1038" s="2434">
        <v>13757.023499999999</v>
      </c>
      <c r="C1038" s="2433"/>
      <c r="D1038" s="2435">
        <v>71015.98990730771</v>
      </c>
      <c r="E1038" s="2436">
        <v>28.586899918082683</v>
      </c>
      <c r="F1038" s="2434">
        <v>25.661921190429066</v>
      </c>
      <c r="G1038" s="2435">
        <v>0.98808949996029971</v>
      </c>
      <c r="H1038" s="2436">
        <v>52.216299196331761</v>
      </c>
      <c r="I1038" s="2434">
        <v>45.239315875904396</v>
      </c>
      <c r="J1038" s="2437">
        <v>1.0988834237819067</v>
      </c>
    </row>
    <row r="1039" spans="1:10" x14ac:dyDescent="0.2">
      <c r="A1039" s="2426" t="s">
        <v>961</v>
      </c>
      <c r="B1039" s="2427">
        <v>610</v>
      </c>
      <c r="C1039" s="2428">
        <v>3668000</v>
      </c>
      <c r="D1039" s="2429">
        <v>2237.48</v>
      </c>
      <c r="E1039" s="2430">
        <v>1.2675713572801877</v>
      </c>
      <c r="F1039" s="2427">
        <v>1.1378749135786335</v>
      </c>
      <c r="G1039" s="2429">
        <v>4.3812863660208388E-2</v>
      </c>
      <c r="H1039" s="2430">
        <v>1.6451636494584161</v>
      </c>
      <c r="I1039" s="2427">
        <v>1.4253418788942711</v>
      </c>
      <c r="J1039" s="2431">
        <v>3.4622198271864565E-2</v>
      </c>
    </row>
    <row r="1040" spans="1:10" x14ac:dyDescent="0.2">
      <c r="A1040" s="2426" t="s">
        <v>962</v>
      </c>
      <c r="B1040" s="2427">
        <v>0</v>
      </c>
      <c r="C1040" s="2428">
        <v>1999999.9999999998</v>
      </c>
      <c r="D1040" s="2429">
        <v>0</v>
      </c>
      <c r="E1040" s="2430">
        <v>0</v>
      </c>
      <c r="F1040" s="2427">
        <v>0</v>
      </c>
      <c r="G1040" s="2429">
        <v>0</v>
      </c>
      <c r="H1040" s="2430">
        <v>0</v>
      </c>
      <c r="I1040" s="2427">
        <v>0</v>
      </c>
      <c r="J1040" s="2431">
        <v>0</v>
      </c>
    </row>
    <row r="1041" spans="1:10" x14ac:dyDescent="0.2">
      <c r="A1041" s="2426" t="s">
        <v>963</v>
      </c>
      <c r="B1041" s="2427">
        <v>6755</v>
      </c>
      <c r="C1041" s="2428">
        <v>1347999.9999999998</v>
      </c>
      <c r="D1041" s="2429">
        <v>9105.739999999998</v>
      </c>
      <c r="E1041" s="2430">
        <v>14.036794292504373</v>
      </c>
      <c r="F1041" s="2427">
        <v>12.600565641350277</v>
      </c>
      <c r="G1041" s="2429">
        <v>0.48517359676181587</v>
      </c>
      <c r="H1041" s="2430">
        <v>6.6952251861109255</v>
      </c>
      <c r="I1041" s="2427">
        <v>5.8006295297936594</v>
      </c>
      <c r="J1041" s="2431">
        <v>0.14089991226381823</v>
      </c>
    </row>
    <row r="1042" spans="1:10" x14ac:dyDescent="0.2">
      <c r="A1042" s="2426" t="s">
        <v>965</v>
      </c>
      <c r="B1042" s="2427">
        <v>1296</v>
      </c>
      <c r="C1042" s="2428">
        <v>1599999.9999999995</v>
      </c>
      <c r="D1042" s="2429">
        <v>2073.5999999999995</v>
      </c>
      <c r="E1042" s="2430">
        <v>2.693069637762497</v>
      </c>
      <c r="F1042" s="2427">
        <v>2.4175178491769</v>
      </c>
      <c r="G1042" s="2429">
        <v>9.3084379186278807E-2</v>
      </c>
      <c r="H1042" s="2430">
        <v>1.5246667427270726</v>
      </c>
      <c r="I1042" s="2427">
        <v>1.3209454028975274</v>
      </c>
      <c r="J1042" s="2431">
        <v>3.2086360698883723E-2</v>
      </c>
    </row>
    <row r="1043" spans="1:10" x14ac:dyDescent="0.2">
      <c r="A1043" s="2426" t="s">
        <v>966</v>
      </c>
      <c r="B1043" s="2427">
        <v>60</v>
      </c>
      <c r="C1043" s="2428">
        <v>2244000</v>
      </c>
      <c r="D1043" s="2429">
        <v>134.63999999999999</v>
      </c>
      <c r="E1043" s="2430">
        <v>0.12467914989641191</v>
      </c>
      <c r="F1043" s="2427">
        <v>0.11192212264707871</v>
      </c>
      <c r="G1043" s="2429">
        <v>4.3094619993647599E-3</v>
      </c>
      <c r="H1043" s="2430">
        <v>9.8997458642348143E-2</v>
      </c>
      <c r="I1043" s="2427">
        <v>8.576971886869364E-2</v>
      </c>
      <c r="J1043" s="2431">
        <v>2.0833852259344644E-3</v>
      </c>
    </row>
    <row r="1044" spans="1:10" x14ac:dyDescent="0.2">
      <c r="A1044" s="2426" t="s">
        <v>1499</v>
      </c>
      <c r="B1044" s="2427">
        <v>0</v>
      </c>
      <c r="C1044" s="2428">
        <v>4849999.9999999991</v>
      </c>
      <c r="D1044" s="2429">
        <v>0</v>
      </c>
      <c r="E1044" s="2430">
        <v>0</v>
      </c>
      <c r="F1044" s="2427">
        <v>0</v>
      </c>
      <c r="G1044" s="2429">
        <v>0</v>
      </c>
      <c r="H1044" s="2430">
        <v>0</v>
      </c>
      <c r="I1044" s="2427">
        <v>0</v>
      </c>
      <c r="J1044" s="2431">
        <v>0</v>
      </c>
    </row>
    <row r="1045" spans="1:10" x14ac:dyDescent="0.2">
      <c r="A1045" s="2426" t="s">
        <v>1575</v>
      </c>
      <c r="B1045" s="2427">
        <v>0</v>
      </c>
      <c r="C1045" s="2428">
        <v>2250000.0000000005</v>
      </c>
      <c r="D1045" s="2429">
        <v>0</v>
      </c>
      <c r="E1045" s="2430">
        <v>0</v>
      </c>
      <c r="F1045" s="2427">
        <v>0</v>
      </c>
      <c r="G1045" s="2429">
        <v>0</v>
      </c>
      <c r="H1045" s="2430">
        <v>0</v>
      </c>
      <c r="I1045" s="2427">
        <v>0</v>
      </c>
      <c r="J1045" s="2431">
        <v>0</v>
      </c>
    </row>
    <row r="1046" spans="1:10" x14ac:dyDescent="0.2">
      <c r="A1046" s="2426" t="s">
        <v>964</v>
      </c>
      <c r="B1046" s="2427">
        <v>8</v>
      </c>
      <c r="C1046" s="2428">
        <v>1556000</v>
      </c>
      <c r="D1046" s="2429">
        <v>12.448</v>
      </c>
      <c r="E1046" s="2430">
        <v>1.662388665285492E-2</v>
      </c>
      <c r="F1046" s="2427">
        <v>1.492294968627716E-2</v>
      </c>
      <c r="G1046" s="2429">
        <v>5.7459493324863462E-4</v>
      </c>
      <c r="H1046" s="2430">
        <v>9.1527062179140653E-3</v>
      </c>
      <c r="I1046" s="2427">
        <v>7.9297494093694184E-3</v>
      </c>
      <c r="J1046" s="2431">
        <v>1.926171961707681E-4</v>
      </c>
    </row>
    <row r="1047" spans="1:10" x14ac:dyDescent="0.2">
      <c r="A1047" s="2426" t="s">
        <v>969</v>
      </c>
      <c r="B1047" s="2427">
        <v>238</v>
      </c>
      <c r="C1047" s="2428">
        <v>4800000</v>
      </c>
      <c r="D1047" s="2429">
        <v>1142.4000000000001</v>
      </c>
      <c r="E1047" s="2430">
        <v>0.49456062792243388</v>
      </c>
      <c r="F1047" s="2427">
        <v>0.44395775316674552</v>
      </c>
      <c r="G1047" s="2429">
        <v>1.7094199264146882E-2</v>
      </c>
      <c r="H1047" s="2430">
        <v>0.83997843696537822</v>
      </c>
      <c r="I1047" s="2427">
        <v>0.72774306918891585</v>
      </c>
      <c r="J1047" s="2431">
        <v>1.7677207977625758E-2</v>
      </c>
    </row>
    <row r="1048" spans="1:10" x14ac:dyDescent="0.2">
      <c r="A1048" s="2426" t="s">
        <v>968</v>
      </c>
      <c r="B1048" s="2427">
        <v>40</v>
      </c>
      <c r="C1048" s="2428">
        <v>3050000.0000000009</v>
      </c>
      <c r="D1048" s="2429">
        <v>122.00000000000003</v>
      </c>
      <c r="E1048" s="2430">
        <v>8.3119433264274595E-2</v>
      </c>
      <c r="F1048" s="2427">
        <v>7.4614748431385811E-2</v>
      </c>
      <c r="G1048" s="2429">
        <v>2.872974666243173E-3</v>
      </c>
      <c r="H1048" s="2430">
        <v>8.9703579577885301E-2</v>
      </c>
      <c r="I1048" s="2427">
        <v>7.7717659699796701E-2</v>
      </c>
      <c r="J1048" s="2431">
        <v>1.887797070439726E-3</v>
      </c>
    </row>
    <row r="1049" spans="1:10" x14ac:dyDescent="0.2">
      <c r="A1049" s="2426" t="s">
        <v>1013</v>
      </c>
      <c r="B1049" s="2427">
        <v>0</v>
      </c>
      <c r="C1049" s="2428">
        <v>1799999.9999999998</v>
      </c>
      <c r="D1049" s="2429">
        <v>0</v>
      </c>
      <c r="E1049" s="2430">
        <v>0</v>
      </c>
      <c r="F1049" s="2427">
        <v>0</v>
      </c>
      <c r="G1049" s="2429">
        <v>0</v>
      </c>
      <c r="H1049" s="2430">
        <v>0</v>
      </c>
      <c r="I1049" s="2427">
        <v>0</v>
      </c>
      <c r="J1049" s="2431">
        <v>0</v>
      </c>
    </row>
    <row r="1050" spans="1:10" x14ac:dyDescent="0.2">
      <c r="A1050" s="2426" t="s">
        <v>1014</v>
      </c>
      <c r="B1050" s="2427">
        <v>0</v>
      </c>
      <c r="C1050" s="2428">
        <v>2195000.0000000005</v>
      </c>
      <c r="D1050" s="2429">
        <v>0</v>
      </c>
      <c r="E1050" s="2430">
        <v>0</v>
      </c>
      <c r="F1050" s="2427">
        <v>0</v>
      </c>
      <c r="G1050" s="2429">
        <v>0</v>
      </c>
      <c r="H1050" s="2430">
        <v>0</v>
      </c>
      <c r="I1050" s="2427">
        <v>0</v>
      </c>
      <c r="J1050" s="2431">
        <v>0</v>
      </c>
    </row>
    <row r="1051" spans="1:10" x14ac:dyDescent="0.2">
      <c r="A1051" s="2426" t="s">
        <v>970</v>
      </c>
      <c r="B1051" s="2427">
        <v>210</v>
      </c>
      <c r="C1051" s="2428">
        <v>3100000.0000000005</v>
      </c>
      <c r="D1051" s="2429">
        <v>651.00000000000011</v>
      </c>
      <c r="E1051" s="2430">
        <v>0.43637702463744166</v>
      </c>
      <c r="F1051" s="2427">
        <v>0.39172742926477544</v>
      </c>
      <c r="G1051" s="2429">
        <v>1.508311699777666E-2</v>
      </c>
      <c r="H1051" s="2430">
        <v>0.47866418282953543</v>
      </c>
      <c r="I1051" s="2427">
        <v>0.41470652839809541</v>
      </c>
      <c r="J1051" s="2431">
        <v>1.0073408957838209E-2</v>
      </c>
    </row>
    <row r="1052" spans="1:10" x14ac:dyDescent="0.2">
      <c r="A1052" s="2426" t="s">
        <v>971</v>
      </c>
      <c r="B1052" s="2427">
        <v>384</v>
      </c>
      <c r="C1052" s="2428">
        <v>3010000</v>
      </c>
      <c r="D1052" s="2429">
        <v>1155.8399999999999</v>
      </c>
      <c r="E1052" s="2430">
        <v>0.79794655933703618</v>
      </c>
      <c r="F1052" s="2427">
        <v>0.71630158494130369</v>
      </c>
      <c r="G1052" s="2429">
        <v>2.7580556795934467E-2</v>
      </c>
      <c r="H1052" s="2430">
        <v>0.84986053622379443</v>
      </c>
      <c r="I1052" s="2427">
        <v>0.73630475235584414</v>
      </c>
      <c r="J1052" s="2431">
        <v>1.7885175130303708E-2</v>
      </c>
    </row>
    <row r="1053" spans="1:10" x14ac:dyDescent="0.2">
      <c r="A1053" s="2426" t="s">
        <v>972</v>
      </c>
      <c r="B1053" s="2427">
        <v>656</v>
      </c>
      <c r="C1053" s="2428">
        <v>2744000.0000000005</v>
      </c>
      <c r="D1053" s="2429">
        <v>1800.0640000000003</v>
      </c>
      <c r="E1053" s="2430">
        <v>1.3631587055341035</v>
      </c>
      <c r="F1053" s="2427">
        <v>1.2236818742747271</v>
      </c>
      <c r="G1053" s="2429">
        <v>4.7116784526388039E-2</v>
      </c>
      <c r="H1053" s="2430">
        <v>1.3235424940105454</v>
      </c>
      <c r="I1053" s="2427">
        <v>1.1466947654906132</v>
      </c>
      <c r="J1053" s="2431">
        <v>2.7853733982000122E-2</v>
      </c>
    </row>
    <row r="1054" spans="1:10" x14ac:dyDescent="0.2">
      <c r="A1054" s="2426" t="s">
        <v>973</v>
      </c>
      <c r="B1054" s="2427">
        <v>7.5</v>
      </c>
      <c r="C1054" s="2428">
        <v>2549999.9999999991</v>
      </c>
      <c r="D1054" s="2429">
        <v>19.124999999999993</v>
      </c>
      <c r="E1054" s="2430">
        <v>1.5584893737051488E-2</v>
      </c>
      <c r="F1054" s="2427">
        <v>1.3990265330884839E-2</v>
      </c>
      <c r="G1054" s="2429">
        <v>5.3868274992059499E-4</v>
      </c>
      <c r="H1054" s="2430">
        <v>1.4062139011697174E-2</v>
      </c>
      <c r="I1054" s="2427">
        <v>1.2183198702939433E-2</v>
      </c>
      <c r="J1054" s="2431">
        <v>2.9593540141114542E-4</v>
      </c>
    </row>
    <row r="1055" spans="1:10" x14ac:dyDescent="0.2">
      <c r="A1055" s="2426" t="s">
        <v>974</v>
      </c>
      <c r="B1055" s="2427">
        <v>0</v>
      </c>
      <c r="C1055" s="2428">
        <v>1583999.9999999995</v>
      </c>
      <c r="D1055" s="2429">
        <v>0</v>
      </c>
      <c r="E1055" s="2430">
        <v>0</v>
      </c>
      <c r="F1055" s="2427">
        <v>0</v>
      </c>
      <c r="G1055" s="2429">
        <v>0</v>
      </c>
      <c r="H1055" s="2430">
        <v>0</v>
      </c>
      <c r="I1055" s="2427">
        <v>0</v>
      </c>
      <c r="J1055" s="2431">
        <v>0</v>
      </c>
    </row>
    <row r="1056" spans="1:10" x14ac:dyDescent="0.2">
      <c r="A1056" s="2426" t="s">
        <v>975</v>
      </c>
      <c r="B1056" s="2427">
        <v>0</v>
      </c>
      <c r="C1056" s="2428">
        <v>2532000.0000000009</v>
      </c>
      <c r="D1056" s="2429">
        <v>0</v>
      </c>
      <c r="E1056" s="2430">
        <v>0</v>
      </c>
      <c r="F1056" s="2427">
        <v>0</v>
      </c>
      <c r="G1056" s="2429">
        <v>0</v>
      </c>
      <c r="H1056" s="2430">
        <v>0</v>
      </c>
      <c r="I1056" s="2427">
        <v>0</v>
      </c>
      <c r="J1056" s="2431">
        <v>0</v>
      </c>
    </row>
    <row r="1057" spans="1:10" x14ac:dyDescent="0.2">
      <c r="A1057" s="2426" t="s">
        <v>976</v>
      </c>
      <c r="B1057" s="2427">
        <v>0</v>
      </c>
      <c r="C1057" s="2428">
        <v>7394999.9999999991</v>
      </c>
      <c r="D1057" s="2429">
        <v>0</v>
      </c>
      <c r="E1057" s="2430">
        <v>0</v>
      </c>
      <c r="F1057" s="2427">
        <v>0</v>
      </c>
      <c r="G1057" s="2429">
        <v>0</v>
      </c>
      <c r="H1057" s="2430">
        <v>0</v>
      </c>
      <c r="I1057" s="2427">
        <v>0</v>
      </c>
      <c r="J1057" s="2431">
        <v>0</v>
      </c>
    </row>
    <row r="1058" spans="1:10" x14ac:dyDescent="0.2">
      <c r="A1058" s="2426" t="s">
        <v>286</v>
      </c>
      <c r="B1058" s="2427">
        <v>0</v>
      </c>
      <c r="C1058" s="2428">
        <v>2445000.0000000005</v>
      </c>
      <c r="D1058" s="2429">
        <v>0</v>
      </c>
      <c r="E1058" s="2430">
        <v>0</v>
      </c>
      <c r="F1058" s="2427">
        <v>0</v>
      </c>
      <c r="G1058" s="2429">
        <v>0</v>
      </c>
      <c r="H1058" s="2430">
        <v>0</v>
      </c>
      <c r="I1058" s="2427">
        <v>0</v>
      </c>
      <c r="J1058" s="2431">
        <v>0</v>
      </c>
    </row>
    <row r="1059" spans="1:10" x14ac:dyDescent="0.2">
      <c r="A1059" s="2439" t="s">
        <v>978</v>
      </c>
      <c r="B1059" s="2427">
        <v>18</v>
      </c>
      <c r="C1059" s="2428">
        <v>1850000.0000000002</v>
      </c>
      <c r="D1059" s="2429">
        <v>33.300000000000004</v>
      </c>
      <c r="E1059" s="2430">
        <v>3.7403744968923569E-2</v>
      </c>
      <c r="F1059" s="2427">
        <v>3.3576636794123614E-2</v>
      </c>
      <c r="G1059" s="2429">
        <v>1.292838599809428E-3</v>
      </c>
      <c r="H1059" s="2430">
        <v>2.4484665573308036E-2</v>
      </c>
      <c r="I1059" s="2427">
        <v>2.121309891805926E-2</v>
      </c>
      <c r="J1059" s="2431">
        <v>5.152757577511711E-4</v>
      </c>
    </row>
    <row r="1060" spans="1:10" x14ac:dyDescent="0.2">
      <c r="A1060" s="2426" t="s">
        <v>1163</v>
      </c>
      <c r="B1060" s="2427">
        <v>0</v>
      </c>
      <c r="C1060" s="2428">
        <v>0</v>
      </c>
      <c r="D1060" s="2429">
        <v>0</v>
      </c>
      <c r="E1060" s="2430">
        <v>0</v>
      </c>
      <c r="F1060" s="2427">
        <v>0</v>
      </c>
      <c r="G1060" s="2429">
        <v>0</v>
      </c>
      <c r="H1060" s="2430">
        <v>0</v>
      </c>
      <c r="I1060" s="2427">
        <v>0</v>
      </c>
      <c r="J1060" s="2431">
        <v>0</v>
      </c>
    </row>
    <row r="1061" spans="1:10" x14ac:dyDescent="0.2">
      <c r="A1061" s="2433" t="s">
        <v>287</v>
      </c>
      <c r="B1061" s="2434">
        <v>10282.5</v>
      </c>
      <c r="C1061" s="2433"/>
      <c r="D1061" s="2435">
        <v>18487.636999999992</v>
      </c>
      <c r="E1061" s="2436">
        <v>21.366889313497587</v>
      </c>
      <c r="F1061" s="2434">
        <v>19.180653768643115</v>
      </c>
      <c r="G1061" s="2435">
        <v>0.73853405014113571</v>
      </c>
      <c r="H1061" s="2436">
        <v>13.593501777348816</v>
      </c>
      <c r="I1061" s="2434">
        <v>11.777179352617781</v>
      </c>
      <c r="J1061" s="2437">
        <v>0.2860730079340415</v>
      </c>
    </row>
    <row r="1062" spans="1:10" x14ac:dyDescent="0.2">
      <c r="A1062" s="2440" t="s">
        <v>1835</v>
      </c>
      <c r="B1062" s="2441">
        <v>24039.523499999999</v>
      </c>
      <c r="C1062" s="2440"/>
      <c r="D1062" s="2442">
        <v>89503.626907307698</v>
      </c>
      <c r="E1062" s="2443">
        <v>49.953789231580274</v>
      </c>
      <c r="F1062" s="2441">
        <v>44.842574959072181</v>
      </c>
      <c r="G1062" s="2442">
        <v>1.7266235501014353</v>
      </c>
      <c r="H1062" s="2443">
        <v>65.809800973680581</v>
      </c>
      <c r="I1062" s="2441">
        <v>57.016495228522167</v>
      </c>
      <c r="J1062" s="2444">
        <v>1.3849564317159482</v>
      </c>
    </row>
    <row r="1063" spans="1:10" x14ac:dyDescent="0.2">
      <c r="A1063" s="2445" t="s">
        <v>194</v>
      </c>
      <c r="B1063" s="2446">
        <v>48123.523499999996</v>
      </c>
      <c r="C1063" s="2447"/>
      <c r="D1063" s="2448">
        <v>136003.49124760769</v>
      </c>
      <c r="E1063" s="2449">
        <v>100</v>
      </c>
      <c r="F1063" s="2446">
        <v>89.768114989609558</v>
      </c>
      <c r="G1063" s="2448">
        <v>3.4564415966464499</v>
      </c>
      <c r="H1063" s="2449">
        <v>100</v>
      </c>
      <c r="I1063" s="2446">
        <v>86.638303694802048</v>
      </c>
      <c r="J1063" s="2450">
        <v>2.1044835438263005</v>
      </c>
    </row>
    <row r="1064" spans="1:10" x14ac:dyDescent="0.2">
      <c r="A1064" s="2451" t="s">
        <v>1852</v>
      </c>
      <c r="B1064" s="2427"/>
      <c r="C1064" s="2452"/>
      <c r="D1064" s="2429"/>
      <c r="E1064" s="2430"/>
      <c r="F1064" s="2427">
        <v>0</v>
      </c>
      <c r="G1064" s="2429"/>
      <c r="H1064" s="2430"/>
      <c r="I1064" s="2427">
        <v>0</v>
      </c>
      <c r="J1064" s="2431">
        <v>0</v>
      </c>
    </row>
    <row r="1065" spans="1:10" x14ac:dyDescent="0.2">
      <c r="A1065" s="2453" t="s">
        <v>1836</v>
      </c>
      <c r="B1065" s="2427">
        <v>0</v>
      </c>
      <c r="C1065" s="2428">
        <v>8033612.4975057133</v>
      </c>
      <c r="D1065" s="2429">
        <v>0</v>
      </c>
      <c r="E1065" s="2430">
        <v>0</v>
      </c>
      <c r="F1065" s="2427">
        <v>0</v>
      </c>
      <c r="G1065" s="2429">
        <v>0</v>
      </c>
      <c r="H1065" s="2430">
        <v>0</v>
      </c>
      <c r="I1065" s="2427">
        <v>0</v>
      </c>
      <c r="J1065" s="2431">
        <v>0</v>
      </c>
    </row>
    <row r="1066" spans="1:10" x14ac:dyDescent="0.2">
      <c r="A1066" s="2453" t="s">
        <v>1837</v>
      </c>
      <c r="B1066" s="2427">
        <v>4653.75</v>
      </c>
      <c r="C1066" s="2428">
        <v>2214764.1578067578</v>
      </c>
      <c r="D1066" s="2429">
        <v>10306.958699393201</v>
      </c>
      <c r="E1066" s="2430">
        <v>99.274048851684839</v>
      </c>
      <c r="F1066" s="2427">
        <v>8.680959637814043</v>
      </c>
      <c r="G1066" s="2429">
        <v>0.33425264632572921</v>
      </c>
      <c r="H1066" s="2430">
        <v>96.788155620570066</v>
      </c>
      <c r="I1066" s="2427">
        <v>6.5658418749122927</v>
      </c>
      <c r="J1066" s="2431">
        <v>0.15948726588407974</v>
      </c>
    </row>
    <row r="1067" spans="1:10" x14ac:dyDescent="0.2">
      <c r="A1067" s="2454" t="s">
        <v>309</v>
      </c>
      <c r="B1067" s="2434">
        <v>4653.75</v>
      </c>
      <c r="C1067" s="2433"/>
      <c r="D1067" s="2435">
        <v>10306.958699393201</v>
      </c>
      <c r="E1067" s="2436">
        <v>99.274048851684839</v>
      </c>
      <c r="F1067" s="2434">
        <v>8.680959637814043</v>
      </c>
      <c r="G1067" s="2435">
        <v>0.33425264632572921</v>
      </c>
      <c r="H1067" s="2436">
        <v>96.788155620570066</v>
      </c>
      <c r="I1067" s="2434">
        <v>6.5658418749122927</v>
      </c>
      <c r="J1067" s="2437">
        <v>0.15948726588407974</v>
      </c>
    </row>
    <row r="1068" spans="1:10" x14ac:dyDescent="0.2">
      <c r="A1068" s="2453" t="s">
        <v>1838</v>
      </c>
      <c r="B1068" s="2427">
        <v>0</v>
      </c>
      <c r="C1068" s="2428">
        <v>10407427.50198495</v>
      </c>
      <c r="D1068" s="2429">
        <v>0</v>
      </c>
      <c r="E1068" s="2430">
        <v>0</v>
      </c>
      <c r="F1068" s="2427">
        <v>0</v>
      </c>
      <c r="G1068" s="2429">
        <v>0</v>
      </c>
      <c r="H1068" s="2430">
        <v>0</v>
      </c>
      <c r="I1068" s="2427">
        <v>0</v>
      </c>
      <c r="J1068" s="2431">
        <v>0</v>
      </c>
    </row>
    <row r="1069" spans="1:10" x14ac:dyDescent="0.2">
      <c r="A1069" s="2454" t="s">
        <v>315</v>
      </c>
      <c r="B1069" s="2434">
        <v>0</v>
      </c>
      <c r="C1069" s="2455"/>
      <c r="D1069" s="2435">
        <v>0</v>
      </c>
      <c r="E1069" s="2436">
        <v>0</v>
      </c>
      <c r="F1069" s="2434">
        <v>0</v>
      </c>
      <c r="G1069" s="2435">
        <v>0</v>
      </c>
      <c r="H1069" s="2436">
        <v>0</v>
      </c>
      <c r="I1069" s="2434">
        <v>0</v>
      </c>
      <c r="J1069" s="2437">
        <v>0</v>
      </c>
    </row>
    <row r="1070" spans="1:10" x14ac:dyDescent="0.2">
      <c r="A1070" s="2453" t="s">
        <v>1541</v>
      </c>
      <c r="B1070" s="2427">
        <v>14.256</v>
      </c>
      <c r="C1070" s="2428">
        <v>10553660</v>
      </c>
      <c r="D1070" s="2429">
        <v>150.45297696</v>
      </c>
      <c r="E1070" s="2430">
        <v>0.30410976963300973</v>
      </c>
      <c r="F1070" s="2427">
        <v>2.6592696340945902E-2</v>
      </c>
      <c r="G1070" s="2429">
        <v>1.023928171049067E-3</v>
      </c>
      <c r="H1070" s="2430">
        <v>1.412838313637546</v>
      </c>
      <c r="I1070" s="2427">
        <v>9.5843059542611714E-2</v>
      </c>
      <c r="J1070" s="2431">
        <v>2.3280712224919963E-3</v>
      </c>
    </row>
    <row r="1071" spans="1:10" x14ac:dyDescent="0.2">
      <c r="A1071" s="2453" t="s">
        <v>206</v>
      </c>
      <c r="B1071" s="2427">
        <v>18.125</v>
      </c>
      <c r="C1071" s="2428">
        <v>6960000</v>
      </c>
      <c r="D1071" s="2429">
        <v>126.15</v>
      </c>
      <c r="E1071" s="2430">
        <v>0.38664348867833204</v>
      </c>
      <c r="F1071" s="2427">
        <v>3.3809807882971693E-2</v>
      </c>
      <c r="G1071" s="2429">
        <v>1.3018166456414378E-3</v>
      </c>
      <c r="H1071" s="2430">
        <v>1.1846196523765775</v>
      </c>
      <c r="I1071" s="2427">
        <v>8.036133418958484E-2</v>
      </c>
      <c r="J1071" s="2431">
        <v>1.9520131183276344E-3</v>
      </c>
    </row>
    <row r="1072" spans="1:10" x14ac:dyDescent="0.2">
      <c r="A1072" s="2454" t="s">
        <v>310</v>
      </c>
      <c r="B1072" s="2434">
        <v>32.381</v>
      </c>
      <c r="C1072" s="2455"/>
      <c r="D1072" s="2435">
        <v>276.60297695999998</v>
      </c>
      <c r="E1072" s="2436">
        <v>0.69075325831134182</v>
      </c>
      <c r="F1072" s="2434">
        <v>6.0402504223917589E-2</v>
      </c>
      <c r="G1072" s="2435">
        <v>2.3257448166905045E-3</v>
      </c>
      <c r="H1072" s="2436">
        <v>2.5974579660141233</v>
      </c>
      <c r="I1072" s="2434">
        <v>0.17620439373219654</v>
      </c>
      <c r="J1072" s="2437">
        <v>4.2800843408196303E-3</v>
      </c>
    </row>
    <row r="1073" spans="1:10" x14ac:dyDescent="0.2">
      <c r="A1073" s="2453" t="s">
        <v>1839</v>
      </c>
      <c r="B1073" s="2427">
        <v>1.65</v>
      </c>
      <c r="C1073" s="2428">
        <v>39652080.629353955</v>
      </c>
      <c r="D1073" s="2429">
        <v>65.425933038434025</v>
      </c>
      <c r="E1073" s="2430">
        <v>3.5197890003820571E-2</v>
      </c>
      <c r="F1073" s="2427">
        <v>3.0778583727946642E-3</v>
      </c>
      <c r="G1073" s="2429">
        <v>1.1851020498253088E-4</v>
      </c>
      <c r="H1073" s="2430">
        <v>0.61438641341579825</v>
      </c>
      <c r="I1073" s="2427">
        <v>4.1678281962481148E-2</v>
      </c>
      <c r="J1073" s="2431">
        <v>1.0123843009896838E-3</v>
      </c>
    </row>
    <row r="1074" spans="1:10" x14ac:dyDescent="0.2">
      <c r="A1074" s="2454" t="s">
        <v>311</v>
      </c>
      <c r="B1074" s="2434">
        <v>1.65</v>
      </c>
      <c r="C1074" s="2433"/>
      <c r="D1074" s="2435">
        <v>65.425933038434025</v>
      </c>
      <c r="E1074" s="2436">
        <v>3.5197890003820571E-2</v>
      </c>
      <c r="F1074" s="2434">
        <v>3.0778583727946642E-3</v>
      </c>
      <c r="G1074" s="2435">
        <v>1.1851020498253088E-4</v>
      </c>
      <c r="H1074" s="2436">
        <v>0.61438641341579825</v>
      </c>
      <c r="I1074" s="2434">
        <v>4.1678281962481148E-2</v>
      </c>
      <c r="J1074" s="2437">
        <v>1.0123843009896838E-3</v>
      </c>
    </row>
    <row r="1075" spans="1:10" x14ac:dyDescent="0.2">
      <c r="A1075" s="2456" t="s">
        <v>129</v>
      </c>
      <c r="B1075" s="2441">
        <v>4687.7809999999999</v>
      </c>
      <c r="C1075" s="2440"/>
      <c r="D1075" s="2442">
        <v>10648.987609391635</v>
      </c>
      <c r="E1075" s="2443">
        <v>100</v>
      </c>
      <c r="F1075" s="2441">
        <v>8.7444400004107532</v>
      </c>
      <c r="G1075" s="2442">
        <v>0.33669690134740221</v>
      </c>
      <c r="H1075" s="2443">
        <v>99.999999999999986</v>
      </c>
      <c r="I1075" s="2441">
        <v>6.7837245506069701</v>
      </c>
      <c r="J1075" s="2444">
        <v>0.16477973452588909</v>
      </c>
    </row>
    <row r="1076" spans="1:10" x14ac:dyDescent="0.2">
      <c r="A1076" s="2451" t="s">
        <v>1853</v>
      </c>
      <c r="B1076" s="2427"/>
      <c r="C1076" s="2452"/>
      <c r="D1076" s="2429"/>
      <c r="E1076" s="2430"/>
      <c r="F1076" s="2427">
        <v>0</v>
      </c>
      <c r="G1076" s="2429"/>
      <c r="H1076" s="2430"/>
      <c r="I1076" s="2427">
        <v>0</v>
      </c>
      <c r="J1076" s="2431">
        <v>0</v>
      </c>
    </row>
    <row r="1077" spans="1:10" x14ac:dyDescent="0.2">
      <c r="A1077" s="2426" t="s">
        <v>1543</v>
      </c>
      <c r="B1077" s="2427">
        <v>735</v>
      </c>
      <c r="C1077" s="2428">
        <v>13200000</v>
      </c>
      <c r="D1077" s="2429">
        <v>9702</v>
      </c>
      <c r="E1077" s="2430">
        <v>92.174567343867565</v>
      </c>
      <c r="F1077" s="2427">
        <v>1.3710460024267141</v>
      </c>
      <c r="G1077" s="2429">
        <v>5.2790909492218312E-2</v>
      </c>
      <c r="H1077" s="2430">
        <v>93.957001743172569</v>
      </c>
      <c r="I1077" s="2427">
        <v>6.1804650361264537</v>
      </c>
      <c r="J1077" s="2431">
        <v>0.15012628833939523</v>
      </c>
    </row>
    <row r="1078" spans="1:10" x14ac:dyDescent="0.2">
      <c r="A1078" s="2426" t="s">
        <v>208</v>
      </c>
      <c r="B1078" s="2427">
        <v>61.2</v>
      </c>
      <c r="C1078" s="2428">
        <v>10000000</v>
      </c>
      <c r="D1078" s="2429">
        <v>612</v>
      </c>
      <c r="E1078" s="2430">
        <v>7.6749435665914216</v>
      </c>
      <c r="F1078" s="2427">
        <v>0.11416056510002029</v>
      </c>
      <c r="G1078" s="2429">
        <v>4.3956512393520551E-3</v>
      </c>
      <c r="H1078" s="2430">
        <v>5.9267867518884367</v>
      </c>
      <c r="I1078" s="2427">
        <v>0.38986235849406203</v>
      </c>
      <c r="J1078" s="2431">
        <v>9.4699328451566568E-3</v>
      </c>
    </row>
    <row r="1079" spans="1:10" x14ac:dyDescent="0.2">
      <c r="A1079" s="2426" t="s">
        <v>209</v>
      </c>
      <c r="B1079" s="2427">
        <v>0</v>
      </c>
      <c r="C1079" s="2428">
        <v>10000000</v>
      </c>
      <c r="D1079" s="2429">
        <v>0</v>
      </c>
      <c r="E1079" s="2430">
        <v>0</v>
      </c>
      <c r="F1079" s="2427">
        <v>0</v>
      </c>
      <c r="G1079" s="2429">
        <v>0</v>
      </c>
      <c r="H1079" s="2430">
        <v>0</v>
      </c>
      <c r="I1079" s="2427">
        <v>0</v>
      </c>
      <c r="J1079" s="2431">
        <v>0</v>
      </c>
    </row>
    <row r="1080" spans="1:10" x14ac:dyDescent="0.2">
      <c r="A1080" s="2426" t="s">
        <v>210</v>
      </c>
      <c r="B1080" s="2427">
        <v>0</v>
      </c>
      <c r="C1080" s="2428">
        <v>18500000</v>
      </c>
      <c r="D1080" s="2429">
        <v>0</v>
      </c>
      <c r="E1080" s="2430">
        <v>0</v>
      </c>
      <c r="F1080" s="2427">
        <v>0</v>
      </c>
      <c r="G1080" s="2429">
        <v>0</v>
      </c>
      <c r="H1080" s="2430">
        <v>0</v>
      </c>
      <c r="I1080" s="2427">
        <v>0</v>
      </c>
      <c r="J1080" s="2431">
        <v>0</v>
      </c>
    </row>
    <row r="1081" spans="1:10" x14ac:dyDescent="0.2">
      <c r="A1081" s="2426" t="s">
        <v>1545</v>
      </c>
      <c r="B1081" s="2427">
        <v>0</v>
      </c>
      <c r="C1081" s="2428">
        <v>14200000</v>
      </c>
      <c r="D1081" s="2429">
        <v>0</v>
      </c>
      <c r="E1081" s="2430">
        <v>0</v>
      </c>
      <c r="F1081" s="2427">
        <v>0</v>
      </c>
      <c r="G1081" s="2429">
        <v>0</v>
      </c>
      <c r="H1081" s="2430">
        <v>0</v>
      </c>
      <c r="I1081" s="2427">
        <v>0</v>
      </c>
      <c r="J1081" s="2431">
        <v>0</v>
      </c>
    </row>
    <row r="1082" spans="1:10" x14ac:dyDescent="0.2">
      <c r="A1082" s="2426" t="s">
        <v>1546</v>
      </c>
      <c r="B1082" s="2427">
        <v>1.2</v>
      </c>
      <c r="C1082" s="2428">
        <v>10000000</v>
      </c>
      <c r="D1082" s="2429">
        <v>12</v>
      </c>
      <c r="E1082" s="2430">
        <v>0.15048908954100826</v>
      </c>
      <c r="F1082" s="2427">
        <v>2.2384424529415738E-3</v>
      </c>
      <c r="G1082" s="2429">
        <v>8.6189239987295198E-5</v>
      </c>
      <c r="H1082" s="2430">
        <v>0.11621150493898895</v>
      </c>
      <c r="I1082" s="2427">
        <v>7.6443599704718044E-3</v>
      </c>
      <c r="J1082" s="2431">
        <v>1.8568495774816973E-4</v>
      </c>
    </row>
    <row r="1083" spans="1:10" x14ac:dyDescent="0.2">
      <c r="A1083" s="2456" t="s">
        <v>121</v>
      </c>
      <c r="B1083" s="2441">
        <v>797.40000000000009</v>
      </c>
      <c r="C1083" s="2440"/>
      <c r="D1083" s="2442">
        <v>10326</v>
      </c>
      <c r="E1083" s="2443">
        <v>100</v>
      </c>
      <c r="F1083" s="2441">
        <v>1.4874450099796761</v>
      </c>
      <c r="G1083" s="2442">
        <v>5.7272749971557665E-2</v>
      </c>
      <c r="H1083" s="2443">
        <v>100</v>
      </c>
      <c r="I1083" s="2441">
        <v>6.5779717545909877</v>
      </c>
      <c r="J1083" s="2444">
        <v>0.15978190614230006</v>
      </c>
    </row>
    <row r="1084" spans="1:10" ht="14.25" thickBot="1" x14ac:dyDescent="0.25">
      <c r="A1084" s="2457" t="s">
        <v>1840</v>
      </c>
      <c r="B1084" s="2446">
        <v>53608.7045</v>
      </c>
      <c r="C1084" s="2458"/>
      <c r="D1084" s="2448">
        <v>156978.47885699931</v>
      </c>
      <c r="E1084" s="2459"/>
      <c r="F1084" s="2460">
        <v>99.999999999999986</v>
      </c>
      <c r="G1084" s="2461">
        <v>3.8504112479654098</v>
      </c>
      <c r="H1084" s="2462"/>
      <c r="I1084" s="2460">
        <v>100.00000000000001</v>
      </c>
      <c r="J1084" s="2463">
        <v>2.4290451844944898</v>
      </c>
    </row>
    <row r="1085" spans="1:10" ht="15" thickBot="1" x14ac:dyDescent="0.25">
      <c r="A1085" s="2464" t="s">
        <v>1841</v>
      </c>
      <c r="B1085" s="2465">
        <v>1392285.1624830281</v>
      </c>
      <c r="C1085" s="2466"/>
      <c r="D1085" s="2467">
        <v>6462559.0276810033</v>
      </c>
      <c r="E1085" s="2468"/>
      <c r="F1085" s="2469"/>
      <c r="G1085" s="2469"/>
      <c r="H1085" s="2469"/>
      <c r="I1085" s="2469"/>
      <c r="J1085" s="2469"/>
    </row>
    <row r="1086" spans="1:10" ht="16.5" thickBot="1" x14ac:dyDescent="0.3">
      <c r="A1086" s="2470" t="s">
        <v>1842</v>
      </c>
      <c r="B1086" s="2471">
        <v>3.8504112479654102</v>
      </c>
      <c r="C1086" s="2472"/>
      <c r="D1086" s="2473">
        <v>2.4290451844944894</v>
      </c>
      <c r="E1086" s="2468"/>
      <c r="F1086" s="2469"/>
      <c r="G1086" s="2469"/>
      <c r="H1086" s="2469"/>
      <c r="I1086" s="2469"/>
      <c r="J1086" s="2469"/>
    </row>
    <row r="1087" spans="1:10" x14ac:dyDescent="0.2">
      <c r="A1087" s="2474" t="s">
        <v>2023</v>
      </c>
      <c r="B1087" s="2474"/>
      <c r="C1087" s="2474"/>
      <c r="D1087" s="2475"/>
      <c r="E1087" s="2474"/>
      <c r="F1087" s="2474"/>
      <c r="H1087" s="2474"/>
      <c r="I1087" s="2474"/>
      <c r="J1087" s="2474"/>
    </row>
    <row r="1088" spans="1:10" x14ac:dyDescent="0.2">
      <c r="A1088" s="2474" t="s">
        <v>1843</v>
      </c>
      <c r="B1088" s="2474"/>
      <c r="C1088" s="2474"/>
      <c r="D1088" s="2474"/>
      <c r="E1088" s="2474"/>
      <c r="F1088" s="2474"/>
      <c r="G1088" s="2474"/>
      <c r="H1088" s="2474"/>
      <c r="I1088" s="2474"/>
      <c r="J1088" s="2474"/>
    </row>
    <row r="1089" spans="1:10" x14ac:dyDescent="0.2">
      <c r="A1089" s="2474" t="s">
        <v>2024</v>
      </c>
      <c r="B1089" s="2474"/>
      <c r="C1089" s="2474"/>
      <c r="D1089" s="2474"/>
      <c r="E1089" s="2474"/>
      <c r="F1089" s="2474"/>
      <c r="G1089" s="2474"/>
      <c r="H1089" s="2474"/>
      <c r="I1089" s="2474"/>
      <c r="J1089" s="2474"/>
    </row>
    <row r="1093" spans="1:10" ht="13.5" thickBot="1" x14ac:dyDescent="0.25">
      <c r="A1093" s="3321" t="s">
        <v>2021</v>
      </c>
      <c r="B1093" s="3321"/>
      <c r="C1093" s="3321"/>
      <c r="D1093" s="3321"/>
      <c r="E1093" s="3321"/>
      <c r="F1093" s="3321"/>
      <c r="G1093" s="3321"/>
      <c r="H1093" s="3321"/>
      <c r="I1093" s="3321"/>
      <c r="J1093" s="3321"/>
    </row>
    <row r="1094" spans="1:10" ht="13.5" customHeight="1" thickBot="1" x14ac:dyDescent="0.25">
      <c r="A1094" s="3322" t="s">
        <v>1855</v>
      </c>
      <c r="B1094" s="3324" t="s">
        <v>1272</v>
      </c>
      <c r="C1094" s="3324" t="s">
        <v>1832</v>
      </c>
      <c r="D1094" s="3326" t="s">
        <v>1844</v>
      </c>
      <c r="E1094" s="3328" t="s">
        <v>1849</v>
      </c>
      <c r="F1094" s="3329"/>
      <c r="G1094" s="3330"/>
      <c r="H1094" s="3328" t="s">
        <v>1850</v>
      </c>
      <c r="I1094" s="3329"/>
      <c r="J1094" s="3331"/>
    </row>
    <row r="1095" spans="1:10" ht="13.5" customHeight="1" thickBot="1" x14ac:dyDescent="0.25">
      <c r="A1095" s="3323"/>
      <c r="B1095" s="3325"/>
      <c r="C1095" s="3325"/>
      <c r="D1095" s="3327"/>
      <c r="E1095" s="2415" t="s">
        <v>1848</v>
      </c>
      <c r="F1095" s="2416" t="s">
        <v>1231</v>
      </c>
      <c r="G1095" s="2417" t="s">
        <v>1833</v>
      </c>
      <c r="H1095" s="2415" t="s">
        <v>1848</v>
      </c>
      <c r="I1095" s="2416" t="s">
        <v>1231</v>
      </c>
      <c r="J1095" s="2418" t="s">
        <v>1833</v>
      </c>
    </row>
    <row r="1096" spans="1:10" x14ac:dyDescent="0.2">
      <c r="A1096" s="2419" t="s">
        <v>1851</v>
      </c>
      <c r="B1096" s="2420"/>
      <c r="C1096" s="2420"/>
      <c r="D1096" s="2421"/>
      <c r="E1096" s="2422"/>
      <c r="F1096" s="2423"/>
      <c r="G1096" s="2424"/>
      <c r="H1096" s="2422"/>
      <c r="I1096" s="2423"/>
      <c r="J1096" s="2425"/>
    </row>
    <row r="1097" spans="1:10" x14ac:dyDescent="0.2">
      <c r="A1097" s="2426" t="s">
        <v>410</v>
      </c>
      <c r="B1097" s="2427">
        <v>0</v>
      </c>
      <c r="C1097" s="2428">
        <v>5667200.0000000009</v>
      </c>
      <c r="D1097" s="2429">
        <v>0</v>
      </c>
      <c r="E1097" s="2430">
        <v>0</v>
      </c>
      <c r="F1097" s="2427">
        <v>0</v>
      </c>
      <c r="G1097" s="2429">
        <v>0</v>
      </c>
      <c r="H1097" s="2430">
        <v>0</v>
      </c>
      <c r="I1097" s="2427">
        <v>0</v>
      </c>
      <c r="J1097" s="2431">
        <v>0</v>
      </c>
    </row>
    <row r="1098" spans="1:10" x14ac:dyDescent="0.2">
      <c r="A1098" s="2426" t="s">
        <v>411</v>
      </c>
      <c r="B1098" s="2427">
        <v>1631</v>
      </c>
      <c r="C1098" s="2428">
        <v>1753716.5000000002</v>
      </c>
      <c r="D1098" s="2429">
        <v>2860.3116115000003</v>
      </c>
      <c r="E1098" s="2430">
        <v>21.184796453634512</v>
      </c>
      <c r="F1098" s="2427">
        <v>17.192573917252822</v>
      </c>
      <c r="G1098" s="2429">
        <v>0.11714554201606539</v>
      </c>
      <c r="H1098" s="2430">
        <v>5.7705081111991978</v>
      </c>
      <c r="I1098" s="2427">
        <v>5.2459403000719069</v>
      </c>
      <c r="J1098" s="2431">
        <v>4.4259736727331397E-2</v>
      </c>
    </row>
    <row r="1099" spans="1:10" x14ac:dyDescent="0.2">
      <c r="A1099" s="2426" t="s">
        <v>278</v>
      </c>
      <c r="B1099" s="2427">
        <v>454.2</v>
      </c>
      <c r="C1099" s="2428">
        <v>1637875</v>
      </c>
      <c r="D1099" s="2429">
        <v>743.92282499999999</v>
      </c>
      <c r="E1099" s="2430">
        <v>5.8995306862297943</v>
      </c>
      <c r="F1099" s="2427">
        <v>4.7877787082870826</v>
      </c>
      <c r="G1099" s="2429">
        <v>3.262262733519123E-2</v>
      </c>
      <c r="H1099" s="2430">
        <v>1.5008199381176832</v>
      </c>
      <c r="I1099" s="2427">
        <v>1.3643879611299616</v>
      </c>
      <c r="J1099" s="2431">
        <v>1.1511273194002006E-2</v>
      </c>
    </row>
    <row r="1100" spans="1:10" x14ac:dyDescent="0.2">
      <c r="A1100" s="2426" t="s">
        <v>200</v>
      </c>
      <c r="B1100" s="2427">
        <v>24.4</v>
      </c>
      <c r="C1100" s="2428">
        <v>7709114.5</v>
      </c>
      <c r="D1100" s="2429">
        <v>188.10239379999999</v>
      </c>
      <c r="E1100" s="2430">
        <v>0.31692767226773882</v>
      </c>
      <c r="F1100" s="2427">
        <v>0.2572034356719613</v>
      </c>
      <c r="G1100" s="2429">
        <v>1.7525145464083358E-3</v>
      </c>
      <c r="H1100" s="2430">
        <v>0.3794853626418897</v>
      </c>
      <c r="I1100" s="2427">
        <v>0.34498826079230344</v>
      </c>
      <c r="J1100" s="2431">
        <v>2.9106487537568816E-3</v>
      </c>
    </row>
    <row r="1101" spans="1:10" x14ac:dyDescent="0.2">
      <c r="A1101" s="2426" t="s">
        <v>429</v>
      </c>
      <c r="B1101" s="2427">
        <v>0</v>
      </c>
      <c r="C1101" s="2428">
        <v>1255000</v>
      </c>
      <c r="D1101" s="2429">
        <v>0</v>
      </c>
      <c r="E1101" s="2430">
        <v>0</v>
      </c>
      <c r="F1101" s="2427">
        <v>0</v>
      </c>
      <c r="G1101" s="2429">
        <v>0</v>
      </c>
      <c r="H1101" s="2430">
        <v>0</v>
      </c>
      <c r="I1101" s="2427">
        <v>0</v>
      </c>
      <c r="J1101" s="2431">
        <v>0</v>
      </c>
    </row>
    <row r="1102" spans="1:10" x14ac:dyDescent="0.2">
      <c r="A1102" s="2432" t="s">
        <v>431</v>
      </c>
      <c r="B1102" s="2427">
        <v>0</v>
      </c>
      <c r="C1102" s="2428">
        <v>0</v>
      </c>
      <c r="D1102" s="2429">
        <v>0</v>
      </c>
      <c r="E1102" s="2430">
        <v>0</v>
      </c>
      <c r="F1102" s="2427">
        <v>0</v>
      </c>
      <c r="G1102" s="2429">
        <v>0</v>
      </c>
      <c r="H1102" s="2430">
        <v>0</v>
      </c>
      <c r="I1102" s="2427">
        <v>0</v>
      </c>
      <c r="J1102" s="2431">
        <v>0</v>
      </c>
    </row>
    <row r="1103" spans="1:10" x14ac:dyDescent="0.2">
      <c r="A1103" s="2432" t="s">
        <v>430</v>
      </c>
      <c r="B1103" s="2427">
        <v>0</v>
      </c>
      <c r="C1103" s="2428">
        <v>0</v>
      </c>
      <c r="D1103" s="2429">
        <v>0</v>
      </c>
      <c r="E1103" s="2430">
        <v>0</v>
      </c>
      <c r="F1103" s="2427">
        <v>0</v>
      </c>
      <c r="G1103" s="2429">
        <v>0</v>
      </c>
      <c r="H1103" s="2430">
        <v>0</v>
      </c>
      <c r="I1103" s="2427">
        <v>0</v>
      </c>
      <c r="J1103" s="2431">
        <v>0</v>
      </c>
    </row>
    <row r="1104" spans="1:10" x14ac:dyDescent="0.2">
      <c r="A1104" s="2433" t="s">
        <v>279</v>
      </c>
      <c r="B1104" s="2434">
        <v>2109.6</v>
      </c>
      <c r="C1104" s="2433"/>
      <c r="D1104" s="2435">
        <v>3792.3368303000002</v>
      </c>
      <c r="E1104" s="2436">
        <v>27.401254812132048</v>
      </c>
      <c r="F1104" s="2434">
        <v>22.237556061211865</v>
      </c>
      <c r="G1104" s="2435">
        <v>0.15152068389766496</v>
      </c>
      <c r="H1104" s="2436">
        <v>7.6508134119587705</v>
      </c>
      <c r="I1104" s="2434">
        <v>6.9553165219941722</v>
      </c>
      <c r="J1104" s="2437">
        <v>5.8681658675090294E-2</v>
      </c>
    </row>
    <row r="1105" spans="1:10" x14ac:dyDescent="0.2">
      <c r="A1105" s="2438" t="s">
        <v>412</v>
      </c>
      <c r="B1105" s="2427">
        <v>0</v>
      </c>
      <c r="C1105" s="2428">
        <v>4129499.9999999995</v>
      </c>
      <c r="D1105" s="2429">
        <v>0</v>
      </c>
      <c r="E1105" s="2430">
        <v>0</v>
      </c>
      <c r="F1105" s="2427">
        <v>0</v>
      </c>
      <c r="G1105" s="2429">
        <v>0</v>
      </c>
      <c r="H1105" s="2430">
        <v>0</v>
      </c>
      <c r="I1105" s="2427">
        <v>0</v>
      </c>
      <c r="J1105" s="2431">
        <v>0</v>
      </c>
    </row>
    <row r="1106" spans="1:10" x14ac:dyDescent="0.2">
      <c r="A1106" s="2438" t="s">
        <v>413</v>
      </c>
      <c r="B1106" s="2427">
        <v>0</v>
      </c>
      <c r="C1106" s="2428">
        <v>1200000</v>
      </c>
      <c r="D1106" s="2429">
        <v>0</v>
      </c>
      <c r="E1106" s="2430">
        <v>0</v>
      </c>
      <c r="F1106" s="2427">
        <v>0</v>
      </c>
      <c r="G1106" s="2429">
        <v>0</v>
      </c>
      <c r="H1106" s="2430">
        <v>0</v>
      </c>
      <c r="I1106" s="2427">
        <v>0</v>
      </c>
      <c r="J1106" s="2431">
        <v>0</v>
      </c>
    </row>
    <row r="1107" spans="1:10" x14ac:dyDescent="0.2">
      <c r="A1107" s="2426" t="s">
        <v>90</v>
      </c>
      <c r="B1107" s="2427">
        <v>0</v>
      </c>
      <c r="C1107" s="2428">
        <v>1743000</v>
      </c>
      <c r="D1107" s="2429">
        <v>0</v>
      </c>
      <c r="E1107" s="2430">
        <v>0</v>
      </c>
      <c r="F1107" s="2427">
        <v>0</v>
      </c>
      <c r="G1107" s="2429">
        <v>0</v>
      </c>
      <c r="H1107" s="2430">
        <v>0</v>
      </c>
      <c r="I1107" s="2427">
        <v>0</v>
      </c>
      <c r="J1107" s="2431">
        <v>0</v>
      </c>
    </row>
    <row r="1108" spans="1:10" x14ac:dyDescent="0.2">
      <c r="A1108" s="2426" t="s">
        <v>417</v>
      </c>
      <c r="B1108" s="2427">
        <v>0</v>
      </c>
      <c r="C1108" s="2428">
        <v>2563999.9999999995</v>
      </c>
      <c r="D1108" s="2429">
        <v>0</v>
      </c>
      <c r="E1108" s="2430">
        <v>0</v>
      </c>
      <c r="F1108" s="2427">
        <v>0</v>
      </c>
      <c r="G1108" s="2429">
        <v>0</v>
      </c>
      <c r="H1108" s="2430">
        <v>0</v>
      </c>
      <c r="I1108" s="2427">
        <v>0</v>
      </c>
      <c r="J1108" s="2431">
        <v>0</v>
      </c>
    </row>
    <row r="1109" spans="1:10" x14ac:dyDescent="0.2">
      <c r="A1109" s="2426" t="s">
        <v>418</v>
      </c>
      <c r="B1109" s="2427">
        <v>36</v>
      </c>
      <c r="C1109" s="2428">
        <v>2222500</v>
      </c>
      <c r="D1109" s="2429">
        <v>80.010000000000005</v>
      </c>
      <c r="E1109" s="2430">
        <v>0.4675982049851885</v>
      </c>
      <c r="F1109" s="2427">
        <v>0.37948047886027075</v>
      </c>
      <c r="G1109" s="2429">
        <v>2.5856771996188559E-3</v>
      </c>
      <c r="H1109" s="2430">
        <v>0.16141540387444872</v>
      </c>
      <c r="I1109" s="2427">
        <v>0.14674194298314244</v>
      </c>
      <c r="J1109" s="2431">
        <v>1.2380544557859217E-3</v>
      </c>
    </row>
    <row r="1110" spans="1:10" x14ac:dyDescent="0.2">
      <c r="A1110" s="2426" t="s">
        <v>423</v>
      </c>
      <c r="B1110" s="2427">
        <v>0</v>
      </c>
      <c r="C1110" s="2428">
        <v>2531500</v>
      </c>
      <c r="D1110" s="2429">
        <v>0</v>
      </c>
      <c r="E1110" s="2430">
        <v>0</v>
      </c>
      <c r="F1110" s="2427">
        <v>0</v>
      </c>
      <c r="G1110" s="2429">
        <v>0</v>
      </c>
      <c r="H1110" s="2430">
        <v>0</v>
      </c>
      <c r="I1110" s="2427">
        <v>0</v>
      </c>
      <c r="J1110" s="2431">
        <v>0</v>
      </c>
    </row>
    <row r="1111" spans="1:10" x14ac:dyDescent="0.2">
      <c r="A1111" s="2426" t="s">
        <v>424</v>
      </c>
      <c r="B1111" s="2427">
        <v>0</v>
      </c>
      <c r="C1111" s="2428">
        <v>1369000</v>
      </c>
      <c r="D1111" s="2429">
        <v>0</v>
      </c>
      <c r="E1111" s="2430">
        <v>0</v>
      </c>
      <c r="F1111" s="2427">
        <v>0</v>
      </c>
      <c r="G1111" s="2429">
        <v>0</v>
      </c>
      <c r="H1111" s="2430">
        <v>0</v>
      </c>
      <c r="I1111" s="2427">
        <v>0</v>
      </c>
      <c r="J1111" s="2431">
        <v>0</v>
      </c>
    </row>
    <row r="1112" spans="1:10" x14ac:dyDescent="0.2">
      <c r="A1112" s="2426" t="s">
        <v>280</v>
      </c>
      <c r="B1112" s="2427">
        <v>0</v>
      </c>
      <c r="C1112" s="2428">
        <v>1574500</v>
      </c>
      <c r="D1112" s="2429">
        <v>0</v>
      </c>
      <c r="E1112" s="2430">
        <v>0</v>
      </c>
      <c r="F1112" s="2427">
        <v>0</v>
      </c>
      <c r="G1112" s="2429">
        <v>0</v>
      </c>
      <c r="H1112" s="2430">
        <v>0</v>
      </c>
      <c r="I1112" s="2427">
        <v>0</v>
      </c>
      <c r="J1112" s="2431">
        <v>0</v>
      </c>
    </row>
    <row r="1113" spans="1:10" x14ac:dyDescent="0.2">
      <c r="A1113" s="2426" t="s">
        <v>427</v>
      </c>
      <c r="B1113" s="2427">
        <v>0</v>
      </c>
      <c r="C1113" s="2428">
        <v>2072000</v>
      </c>
      <c r="D1113" s="2429">
        <v>0</v>
      </c>
      <c r="E1113" s="2430">
        <v>0</v>
      </c>
      <c r="F1113" s="2427">
        <v>0</v>
      </c>
      <c r="G1113" s="2429">
        <v>0</v>
      </c>
      <c r="H1113" s="2430">
        <v>0</v>
      </c>
      <c r="I1113" s="2427">
        <v>0</v>
      </c>
      <c r="J1113" s="2431">
        <v>0</v>
      </c>
    </row>
    <row r="1114" spans="1:10" x14ac:dyDescent="0.2">
      <c r="A1114" s="2426" t="s">
        <v>428</v>
      </c>
      <c r="B1114" s="2427">
        <v>0</v>
      </c>
      <c r="C1114" s="2428">
        <v>1326280</v>
      </c>
      <c r="D1114" s="2429">
        <v>0</v>
      </c>
      <c r="E1114" s="2430">
        <v>0</v>
      </c>
      <c r="F1114" s="2427">
        <v>0</v>
      </c>
      <c r="G1114" s="2429">
        <v>0</v>
      </c>
      <c r="H1114" s="2430">
        <v>0</v>
      </c>
      <c r="I1114" s="2427">
        <v>0</v>
      </c>
      <c r="J1114" s="2431">
        <v>0</v>
      </c>
    </row>
    <row r="1115" spans="1:10" x14ac:dyDescent="0.2">
      <c r="A1115" s="2439" t="s">
        <v>92</v>
      </c>
      <c r="B1115" s="2427">
        <v>9.5</v>
      </c>
      <c r="C1115" s="2428">
        <v>2215500</v>
      </c>
      <c r="D1115" s="2429">
        <v>21.047249999999998</v>
      </c>
      <c r="E1115" s="2430">
        <v>0.12339397075998031</v>
      </c>
      <c r="F1115" s="2427">
        <v>0.10014068192146035</v>
      </c>
      <c r="G1115" s="2429">
        <v>6.8233148323275361E-4</v>
      </c>
      <c r="H1115" s="2430">
        <v>4.246157179348195E-2</v>
      </c>
      <c r="I1115" s="2427">
        <v>3.8601604292612723E-2</v>
      </c>
      <c r="J1115" s="2431">
        <v>3.2567981058043046E-4</v>
      </c>
    </row>
    <row r="1116" spans="1:10" x14ac:dyDescent="0.2">
      <c r="A1116" s="2433" t="s">
        <v>281</v>
      </c>
      <c r="B1116" s="2434">
        <v>45.5</v>
      </c>
      <c r="C1116" s="2433"/>
      <c r="D1116" s="2435">
        <v>101.05725000000001</v>
      </c>
      <c r="E1116" s="2436">
        <v>0.59099217574516871</v>
      </c>
      <c r="F1116" s="2434">
        <v>0.47962116078173112</v>
      </c>
      <c r="G1116" s="2435">
        <v>3.2680086828516097E-3</v>
      </c>
      <c r="H1116" s="2436">
        <v>0.2038769756679307</v>
      </c>
      <c r="I1116" s="2434">
        <v>0.18534354727575517</v>
      </c>
      <c r="J1116" s="2437">
        <v>1.5637342663663524E-3</v>
      </c>
    </row>
    <row r="1117" spans="1:10" x14ac:dyDescent="0.2">
      <c r="A1117" s="2440" t="s">
        <v>106</v>
      </c>
      <c r="B1117" s="2441">
        <v>2155.1</v>
      </c>
      <c r="C1117" s="2440"/>
      <c r="D1117" s="2442">
        <v>3893.3940803</v>
      </c>
      <c r="E1117" s="2443">
        <v>27.992246987877213</v>
      </c>
      <c r="F1117" s="2441">
        <v>22.717177221993598</v>
      </c>
      <c r="G1117" s="2442">
        <v>0.15478869258051656</v>
      </c>
      <c r="H1117" s="2443">
        <v>7.8546903876267002</v>
      </c>
      <c r="I1117" s="2441">
        <v>7.1406600692699262</v>
      </c>
      <c r="J1117" s="2444">
        <v>6.0245392941456644E-2</v>
      </c>
    </row>
    <row r="1118" spans="1:10" x14ac:dyDescent="0.2">
      <c r="A1118" s="2426" t="s">
        <v>905</v>
      </c>
      <c r="B1118" s="2427">
        <v>0</v>
      </c>
      <c r="C1118" s="2428">
        <v>6100000</v>
      </c>
      <c r="D1118" s="2429">
        <v>0</v>
      </c>
      <c r="E1118" s="2430">
        <v>0</v>
      </c>
      <c r="F1118" s="2427">
        <v>0</v>
      </c>
      <c r="G1118" s="2429">
        <v>0</v>
      </c>
      <c r="H1118" s="2430">
        <v>0</v>
      </c>
      <c r="I1118" s="2427">
        <v>0</v>
      </c>
      <c r="J1118" s="2431">
        <v>0</v>
      </c>
    </row>
    <row r="1119" spans="1:10" x14ac:dyDescent="0.2">
      <c r="A1119" s="2426" t="s">
        <v>906</v>
      </c>
      <c r="B1119" s="2427">
        <v>18</v>
      </c>
      <c r="C1119" s="2428">
        <v>3022000.0000000005</v>
      </c>
      <c r="D1119" s="2429">
        <v>54.396000000000008</v>
      </c>
      <c r="E1119" s="2430">
        <v>0.23379910249259425</v>
      </c>
      <c r="F1119" s="2427">
        <v>0.18974023943013538</v>
      </c>
      <c r="G1119" s="2429">
        <v>1.292838599809428E-3</v>
      </c>
      <c r="H1119" s="2430">
        <v>0.1097406862786466</v>
      </c>
      <c r="I1119" s="2427">
        <v>9.9764713542194919E-2</v>
      </c>
      <c r="J1119" s="2431">
        <v>8.4170991347245355E-4</v>
      </c>
    </row>
    <row r="1120" spans="1:10" x14ac:dyDescent="0.2">
      <c r="A1120" s="2426" t="s">
        <v>907</v>
      </c>
      <c r="B1120" s="2427">
        <v>27.599999999999998</v>
      </c>
      <c r="C1120" s="2428">
        <v>2324000</v>
      </c>
      <c r="D1120" s="2429">
        <v>64.142399999999995</v>
      </c>
      <c r="E1120" s="2430">
        <v>0.35849195715531113</v>
      </c>
      <c r="F1120" s="2427">
        <v>0.29093503379287428</v>
      </c>
      <c r="G1120" s="2429">
        <v>1.9823525197077895E-3</v>
      </c>
      <c r="H1120" s="2430">
        <v>0.12940346708506983</v>
      </c>
      <c r="I1120" s="2427">
        <v>0.11764005003876907</v>
      </c>
      <c r="J1120" s="2431">
        <v>9.9252323615551695E-4</v>
      </c>
    </row>
    <row r="1121" spans="1:10" x14ac:dyDescent="0.2">
      <c r="A1121" s="2439" t="s">
        <v>908</v>
      </c>
      <c r="B1121" s="2427">
        <v>147</v>
      </c>
      <c r="C1121" s="2428">
        <v>2403999.9999999995</v>
      </c>
      <c r="D1121" s="2429">
        <v>353.38799999999992</v>
      </c>
      <c r="E1121" s="2430">
        <v>1.909359337022853</v>
      </c>
      <c r="F1121" s="2427">
        <v>1.549545288679439</v>
      </c>
      <c r="G1121" s="2429">
        <v>1.0558181898443661E-2</v>
      </c>
      <c r="H1121" s="2430">
        <v>0.71293921690268303</v>
      </c>
      <c r="I1121" s="2427">
        <v>0.6481295056483779</v>
      </c>
      <c r="J1121" s="2431">
        <v>5.4682363207258491E-3</v>
      </c>
    </row>
    <row r="1122" spans="1:10" x14ac:dyDescent="0.2">
      <c r="A1122" s="2440" t="s">
        <v>282</v>
      </c>
      <c r="B1122" s="2441">
        <v>192.6</v>
      </c>
      <c r="C1122" s="2440"/>
      <c r="D1122" s="2442">
        <v>471.92639999999994</v>
      </c>
      <c r="E1122" s="2443">
        <v>2.5016503966707586</v>
      </c>
      <c r="F1122" s="2441">
        <v>2.0302205619024485</v>
      </c>
      <c r="G1122" s="2442">
        <v>1.3833373017960879E-2</v>
      </c>
      <c r="H1122" s="2443">
        <v>0.95208337026639955</v>
      </c>
      <c r="I1122" s="2441">
        <v>0.86553426922934207</v>
      </c>
      <c r="J1122" s="2444">
        <v>7.3024694703538199E-3</v>
      </c>
    </row>
    <row r="1123" spans="1:10" x14ac:dyDescent="0.2">
      <c r="A1123" s="2426" t="s">
        <v>955</v>
      </c>
      <c r="B1123" s="2427">
        <v>47.949999999999996</v>
      </c>
      <c r="C1123" s="2428">
        <v>12137000</v>
      </c>
      <c r="D1123" s="2429">
        <v>581.96915000000001</v>
      </c>
      <c r="E1123" s="2430">
        <v>0.62281483136221627</v>
      </c>
      <c r="F1123" s="2427">
        <v>0.50544691559305499</v>
      </c>
      <c r="G1123" s="2429">
        <v>3.4439783811590035E-3</v>
      </c>
      <c r="H1123" s="2430">
        <v>1.1740880563644498</v>
      </c>
      <c r="I1123" s="2427">
        <v>1.0673576281370811</v>
      </c>
      <c r="J1123" s="2431">
        <v>9.0052430857073557E-3</v>
      </c>
    </row>
    <row r="1124" spans="1:10" x14ac:dyDescent="0.2">
      <c r="A1124" s="2426" t="s">
        <v>283</v>
      </c>
      <c r="B1124" s="2427">
        <v>1587.1656441768339</v>
      </c>
      <c r="C1124" s="2428">
        <v>13024549.999999996</v>
      </c>
      <c r="D1124" s="2429">
        <v>20672.118290863378</v>
      </c>
      <c r="E1124" s="2430">
        <v>20.61543906197911</v>
      </c>
      <c r="F1124" s="2427">
        <v>16.730510518966529</v>
      </c>
      <c r="G1124" s="2429">
        <v>0.11399716717128926</v>
      </c>
      <c r="H1124" s="2430">
        <v>41.704765940008635</v>
      </c>
      <c r="I1124" s="2427">
        <v>37.913595845252459</v>
      </c>
      <c r="J1124" s="2431">
        <v>0.3198751176170111</v>
      </c>
    </row>
    <row r="1125" spans="1:10" x14ac:dyDescent="0.2">
      <c r="A1125" s="2426" t="s">
        <v>69</v>
      </c>
      <c r="B1125" s="2427">
        <v>1253.6418487036883</v>
      </c>
      <c r="C1125" s="2428">
        <v>14978232.499999994</v>
      </c>
      <c r="D1125" s="2429">
        <v>18777.33908161366</v>
      </c>
      <c r="E1125" s="2430">
        <v>16.283352170782166</v>
      </c>
      <c r="F1125" s="2427">
        <v>13.214794696259743</v>
      </c>
      <c r="G1125" s="2429">
        <v>9.004203179669884E-2</v>
      </c>
      <c r="H1125" s="2430">
        <v>37.882161874092475</v>
      </c>
      <c r="I1125" s="2427">
        <v>34.438485450434733</v>
      </c>
      <c r="J1125" s="2431">
        <v>0.29055578449937408</v>
      </c>
    </row>
    <row r="1126" spans="1:10" x14ac:dyDescent="0.2">
      <c r="A1126" s="2426" t="s">
        <v>199</v>
      </c>
      <c r="B1126" s="2427">
        <v>187.5</v>
      </c>
      <c r="C1126" s="2428">
        <v>3000000</v>
      </c>
      <c r="D1126" s="2429">
        <v>562.5</v>
      </c>
      <c r="E1126" s="2430">
        <v>2.4354073176311899</v>
      </c>
      <c r="F1126" s="2427">
        <v>1.9764608273972435</v>
      </c>
      <c r="G1126" s="2429">
        <v>1.3467068748014874E-2</v>
      </c>
      <c r="H1126" s="2430">
        <v>1.1348102072163155</v>
      </c>
      <c r="I1126" s="2427">
        <v>1.0316503303089315</v>
      </c>
      <c r="J1126" s="2431">
        <v>8.7039823944454562E-3</v>
      </c>
    </row>
    <row r="1127" spans="1:10" x14ac:dyDescent="0.2">
      <c r="A1127" s="2426" t="s">
        <v>86</v>
      </c>
      <c r="B1127" s="2427">
        <v>250</v>
      </c>
      <c r="C1127" s="2428">
        <v>170000</v>
      </c>
      <c r="D1127" s="2429">
        <v>42.5</v>
      </c>
      <c r="E1127" s="2430">
        <v>3.247209756841587</v>
      </c>
      <c r="F1127" s="2427">
        <v>2.6352811031963248</v>
      </c>
      <c r="G1127" s="2429">
        <v>1.7956091664019833E-2</v>
      </c>
      <c r="H1127" s="2430">
        <v>8.5741215656343836E-2</v>
      </c>
      <c r="I1127" s="2427">
        <v>7.7946913845563709E-2</v>
      </c>
      <c r="J1127" s="2431">
        <v>6.5763422535810114E-4</v>
      </c>
    </row>
    <row r="1128" spans="1:10" x14ac:dyDescent="0.2">
      <c r="A1128" s="2439" t="s">
        <v>213</v>
      </c>
      <c r="B1128" s="2427">
        <v>1359.6</v>
      </c>
      <c r="C1128" s="2428">
        <v>1850000.0000000005</v>
      </c>
      <c r="D1128" s="2429">
        <v>2515.2600000000007</v>
      </c>
      <c r="E1128" s="2430">
        <v>17.659625541607284</v>
      </c>
      <c r="F1128" s="2427">
        <v>14.331712751622891</v>
      </c>
      <c r="G1128" s="2429">
        <v>9.7652408905605448E-2</v>
      </c>
      <c r="H1128" s="2430">
        <v>5.0743870609829527</v>
      </c>
      <c r="I1128" s="2427">
        <v>4.6131001063339445</v>
      </c>
      <c r="J1128" s="2431">
        <v>3.8920495568805127E-2</v>
      </c>
    </row>
    <row r="1129" spans="1:10" x14ac:dyDescent="0.2">
      <c r="A1129" s="2433" t="s">
        <v>1834</v>
      </c>
      <c r="B1129" s="2434">
        <v>4685.8574928805228</v>
      </c>
      <c r="C1129" s="2433"/>
      <c r="D1129" s="2435">
        <v>43151.686522477037</v>
      </c>
      <c r="E1129" s="2436">
        <v>60.86384868020356</v>
      </c>
      <c r="F1129" s="2434">
        <v>49.394206813035794</v>
      </c>
      <c r="G1129" s="2435">
        <v>0.33655874666678731</v>
      </c>
      <c r="H1129" s="2436">
        <v>87.055954354321159</v>
      </c>
      <c r="I1129" s="2434">
        <v>79.142136274312719</v>
      </c>
      <c r="J1129" s="2437">
        <v>0.66771825739070112</v>
      </c>
    </row>
    <row r="1130" spans="1:10" x14ac:dyDescent="0.2">
      <c r="A1130" s="2426" t="s">
        <v>961</v>
      </c>
      <c r="B1130" s="2427">
        <v>347</v>
      </c>
      <c r="C1130" s="2428">
        <v>3668000</v>
      </c>
      <c r="D1130" s="2429">
        <v>1272.796</v>
      </c>
      <c r="E1130" s="2430">
        <v>4.5071271424961221</v>
      </c>
      <c r="F1130" s="2427">
        <v>3.6577701712364989</v>
      </c>
      <c r="G1130" s="2429">
        <v>2.4923055229659527E-2</v>
      </c>
      <c r="H1130" s="2430">
        <v>2.5677900311183959</v>
      </c>
      <c r="I1130" s="2427">
        <v>2.3343651801171319</v>
      </c>
      <c r="J1130" s="2431">
        <v>1.9694922623503287E-2</v>
      </c>
    </row>
    <row r="1131" spans="1:10" x14ac:dyDescent="0.2">
      <c r="A1131" s="2426" t="s">
        <v>962</v>
      </c>
      <c r="B1131" s="2427">
        <v>0</v>
      </c>
      <c r="C1131" s="2428">
        <v>1999999.9999999998</v>
      </c>
      <c r="D1131" s="2429">
        <v>0</v>
      </c>
      <c r="E1131" s="2430">
        <v>0</v>
      </c>
      <c r="F1131" s="2427">
        <v>0</v>
      </c>
      <c r="G1131" s="2429">
        <v>0</v>
      </c>
      <c r="H1131" s="2430">
        <v>0</v>
      </c>
      <c r="I1131" s="2427">
        <v>0</v>
      </c>
      <c r="J1131" s="2431">
        <v>0</v>
      </c>
    </row>
    <row r="1132" spans="1:10" x14ac:dyDescent="0.2">
      <c r="A1132" s="2426" t="s">
        <v>963</v>
      </c>
      <c r="B1132" s="2427">
        <v>180</v>
      </c>
      <c r="C1132" s="2428">
        <v>1347999.9999999998</v>
      </c>
      <c r="D1132" s="2429">
        <v>242.63999999999996</v>
      </c>
      <c r="E1132" s="2430">
        <v>2.3379910249259428</v>
      </c>
      <c r="F1132" s="2427">
        <v>1.8974023943013538</v>
      </c>
      <c r="G1132" s="2429">
        <v>1.292838599809428E-2</v>
      </c>
      <c r="H1132" s="2430">
        <v>0.48951173098482981</v>
      </c>
      <c r="I1132" s="2427">
        <v>0.4450126864820606</v>
      </c>
      <c r="J1132" s="2431">
        <v>3.7545498456679916E-3</v>
      </c>
    </row>
    <row r="1133" spans="1:10" x14ac:dyDescent="0.2">
      <c r="A1133" s="2426" t="s">
        <v>965</v>
      </c>
      <c r="B1133" s="2427">
        <v>21.059999999999995</v>
      </c>
      <c r="C1133" s="2428">
        <v>1599999.9999999995</v>
      </c>
      <c r="D1133" s="2429">
        <v>33.695999999999984</v>
      </c>
      <c r="E1133" s="2430">
        <v>0.27354494991633521</v>
      </c>
      <c r="F1133" s="2427">
        <v>0.22199608013325836</v>
      </c>
      <c r="G1133" s="2429">
        <v>1.5126211617770304E-3</v>
      </c>
      <c r="H1133" s="2430">
        <v>6.7979670653086133E-2</v>
      </c>
      <c r="I1133" s="2427">
        <v>6.17999813868262E-2</v>
      </c>
      <c r="J1133" s="2431">
        <v>5.2140336135686038E-4</v>
      </c>
    </row>
    <row r="1134" spans="1:10" x14ac:dyDescent="0.2">
      <c r="A1134" s="2426" t="s">
        <v>966</v>
      </c>
      <c r="B1134" s="2427">
        <v>4</v>
      </c>
      <c r="C1134" s="2428">
        <v>2244000</v>
      </c>
      <c r="D1134" s="2429">
        <v>8.9760000000000009</v>
      </c>
      <c r="E1134" s="2430">
        <v>5.1955356109465389E-2</v>
      </c>
      <c r="F1134" s="2427">
        <v>4.2164497651141199E-2</v>
      </c>
      <c r="G1134" s="2429">
        <v>2.8729746662431731E-4</v>
      </c>
      <c r="H1134" s="2430">
        <v>1.8108544746619819E-2</v>
      </c>
      <c r="I1134" s="2427">
        <v>1.6462388204183057E-2</v>
      </c>
      <c r="J1134" s="2431">
        <v>1.3889234839563097E-4</v>
      </c>
    </row>
    <row r="1135" spans="1:10" x14ac:dyDescent="0.2">
      <c r="A1135" s="2426" t="s">
        <v>1499</v>
      </c>
      <c r="B1135" s="2427">
        <v>0</v>
      </c>
      <c r="C1135" s="2428">
        <v>4849999.9999999991</v>
      </c>
      <c r="D1135" s="2429">
        <v>0</v>
      </c>
      <c r="E1135" s="2430">
        <v>0</v>
      </c>
      <c r="F1135" s="2427">
        <v>0</v>
      </c>
      <c r="G1135" s="2429">
        <v>0</v>
      </c>
      <c r="H1135" s="2430">
        <v>0</v>
      </c>
      <c r="I1135" s="2427">
        <v>0</v>
      </c>
      <c r="J1135" s="2431">
        <v>0</v>
      </c>
    </row>
    <row r="1136" spans="1:10" x14ac:dyDescent="0.2">
      <c r="A1136" s="2426" t="s">
        <v>1575</v>
      </c>
      <c r="B1136" s="2427">
        <v>0</v>
      </c>
      <c r="C1136" s="2428">
        <v>2250000.0000000005</v>
      </c>
      <c r="D1136" s="2429">
        <v>0</v>
      </c>
      <c r="E1136" s="2430">
        <v>0</v>
      </c>
      <c r="F1136" s="2427">
        <v>0</v>
      </c>
      <c r="G1136" s="2429">
        <v>0</v>
      </c>
      <c r="H1136" s="2430">
        <v>0</v>
      </c>
      <c r="I1136" s="2427">
        <v>0</v>
      </c>
      <c r="J1136" s="2431">
        <v>0</v>
      </c>
    </row>
    <row r="1137" spans="1:10" x14ac:dyDescent="0.2">
      <c r="A1137" s="2426" t="s">
        <v>964</v>
      </c>
      <c r="B1137" s="2427">
        <v>0</v>
      </c>
      <c r="C1137" s="2428">
        <v>1556000</v>
      </c>
      <c r="D1137" s="2429">
        <v>0</v>
      </c>
      <c r="E1137" s="2430">
        <v>0</v>
      </c>
      <c r="F1137" s="2427">
        <v>0</v>
      </c>
      <c r="G1137" s="2429">
        <v>0</v>
      </c>
      <c r="H1137" s="2430">
        <v>0</v>
      </c>
      <c r="I1137" s="2427">
        <v>0</v>
      </c>
      <c r="J1137" s="2431">
        <v>0</v>
      </c>
    </row>
    <row r="1138" spans="1:10" x14ac:dyDescent="0.2">
      <c r="A1138" s="2426" t="s">
        <v>969</v>
      </c>
      <c r="B1138" s="2427">
        <v>82.5</v>
      </c>
      <c r="C1138" s="2428">
        <v>4800000</v>
      </c>
      <c r="D1138" s="2429">
        <v>396</v>
      </c>
      <c r="E1138" s="2430">
        <v>1.0715792197577236</v>
      </c>
      <c r="F1138" s="2427">
        <v>0.86964276405478713</v>
      </c>
      <c r="G1138" s="2429">
        <v>5.9255102491265451E-3</v>
      </c>
      <c r="H1138" s="2430">
        <v>0.79890638588028617</v>
      </c>
      <c r="I1138" s="2427">
        <v>0.72628183253748779</v>
      </c>
      <c r="J1138" s="2431">
        <v>6.1276036056896006E-3</v>
      </c>
    </row>
    <row r="1139" spans="1:10" x14ac:dyDescent="0.2">
      <c r="A1139" s="2426" t="s">
        <v>968</v>
      </c>
      <c r="B1139" s="2427">
        <v>0</v>
      </c>
      <c r="C1139" s="2428">
        <v>3050000.0000000009</v>
      </c>
      <c r="D1139" s="2429">
        <v>0</v>
      </c>
      <c r="E1139" s="2430">
        <v>0</v>
      </c>
      <c r="F1139" s="2427">
        <v>0</v>
      </c>
      <c r="G1139" s="2429">
        <v>0</v>
      </c>
      <c r="H1139" s="2430">
        <v>0</v>
      </c>
      <c r="I1139" s="2427">
        <v>0</v>
      </c>
      <c r="J1139" s="2431">
        <v>0</v>
      </c>
    </row>
    <row r="1140" spans="1:10" x14ac:dyDescent="0.2">
      <c r="A1140" s="2426" t="s">
        <v>1013</v>
      </c>
      <c r="B1140" s="2427">
        <v>0</v>
      </c>
      <c r="C1140" s="2428">
        <v>1799999.9999999998</v>
      </c>
      <c r="D1140" s="2429">
        <v>0</v>
      </c>
      <c r="E1140" s="2430">
        <v>0</v>
      </c>
      <c r="F1140" s="2427">
        <v>0</v>
      </c>
      <c r="G1140" s="2429">
        <v>0</v>
      </c>
      <c r="H1140" s="2430">
        <v>0</v>
      </c>
      <c r="I1140" s="2427">
        <v>0</v>
      </c>
      <c r="J1140" s="2431">
        <v>0</v>
      </c>
    </row>
    <row r="1141" spans="1:10" x14ac:dyDescent="0.2">
      <c r="A1141" s="2426" t="s">
        <v>1014</v>
      </c>
      <c r="B1141" s="2427">
        <v>0</v>
      </c>
      <c r="C1141" s="2428">
        <v>2195000.0000000005</v>
      </c>
      <c r="D1141" s="2429">
        <v>0</v>
      </c>
      <c r="E1141" s="2430">
        <v>0</v>
      </c>
      <c r="F1141" s="2427">
        <v>0</v>
      </c>
      <c r="G1141" s="2429">
        <v>0</v>
      </c>
      <c r="H1141" s="2430">
        <v>0</v>
      </c>
      <c r="I1141" s="2427">
        <v>0</v>
      </c>
      <c r="J1141" s="2431">
        <v>0</v>
      </c>
    </row>
    <row r="1142" spans="1:10" x14ac:dyDescent="0.2">
      <c r="A1142" s="2426" t="s">
        <v>970</v>
      </c>
      <c r="B1142" s="2427">
        <v>15.3</v>
      </c>
      <c r="C1142" s="2428">
        <v>3100000.0000000005</v>
      </c>
      <c r="D1142" s="2429">
        <v>47.430000000000007</v>
      </c>
      <c r="E1142" s="2430">
        <v>0.1987292371187051</v>
      </c>
      <c r="F1142" s="2427">
        <v>0.16127920351561509</v>
      </c>
      <c r="G1142" s="2429">
        <v>1.0989128098380138E-3</v>
      </c>
      <c r="H1142" s="2430">
        <v>9.5687196672479741E-2</v>
      </c>
      <c r="I1142" s="2427">
        <v>8.6988755851649113E-2</v>
      </c>
      <c r="J1142" s="2431">
        <v>7.3391979549964096E-4</v>
      </c>
    </row>
    <row r="1143" spans="1:10" x14ac:dyDescent="0.2">
      <c r="A1143" s="2426" t="s">
        <v>971</v>
      </c>
      <c r="B1143" s="2427">
        <v>0</v>
      </c>
      <c r="C1143" s="2428">
        <v>3010000</v>
      </c>
      <c r="D1143" s="2429">
        <v>0</v>
      </c>
      <c r="E1143" s="2430">
        <v>0</v>
      </c>
      <c r="F1143" s="2427">
        <v>0</v>
      </c>
      <c r="G1143" s="2429">
        <v>0</v>
      </c>
      <c r="H1143" s="2430">
        <v>0</v>
      </c>
      <c r="I1143" s="2427">
        <v>0</v>
      </c>
      <c r="J1143" s="2431">
        <v>0</v>
      </c>
    </row>
    <row r="1144" spans="1:10" x14ac:dyDescent="0.2">
      <c r="A1144" s="2426" t="s">
        <v>972</v>
      </c>
      <c r="B1144" s="2427">
        <v>0</v>
      </c>
      <c r="C1144" s="2428">
        <v>2744000.0000000005</v>
      </c>
      <c r="D1144" s="2429">
        <v>0</v>
      </c>
      <c r="E1144" s="2430">
        <v>0</v>
      </c>
      <c r="F1144" s="2427">
        <v>0</v>
      </c>
      <c r="G1144" s="2429">
        <v>0</v>
      </c>
      <c r="H1144" s="2430">
        <v>0</v>
      </c>
      <c r="I1144" s="2427">
        <v>0</v>
      </c>
      <c r="J1144" s="2431">
        <v>0</v>
      </c>
    </row>
    <row r="1145" spans="1:10" x14ac:dyDescent="0.2">
      <c r="A1145" s="2426" t="s">
        <v>973</v>
      </c>
      <c r="B1145" s="2427">
        <v>13.5</v>
      </c>
      <c r="C1145" s="2428">
        <v>2549999.9999999991</v>
      </c>
      <c r="D1145" s="2429">
        <v>34.424999999999983</v>
      </c>
      <c r="E1145" s="2430">
        <v>0.17534932686944568</v>
      </c>
      <c r="F1145" s="2427">
        <v>0.14230517957260153</v>
      </c>
      <c r="G1145" s="2429">
        <v>9.6962894985707098E-4</v>
      </c>
      <c r="H1145" s="2430">
        <v>6.9450384681638472E-2</v>
      </c>
      <c r="I1145" s="2427">
        <v>6.3137000214906577E-2</v>
      </c>
      <c r="J1145" s="2431">
        <v>5.3268372254006158E-4</v>
      </c>
    </row>
    <row r="1146" spans="1:10" x14ac:dyDescent="0.2">
      <c r="A1146" s="2426" t="s">
        <v>974</v>
      </c>
      <c r="B1146" s="2427">
        <v>0</v>
      </c>
      <c r="C1146" s="2428">
        <v>1583999.9999999995</v>
      </c>
      <c r="D1146" s="2429">
        <v>0</v>
      </c>
      <c r="E1146" s="2430">
        <v>0</v>
      </c>
      <c r="F1146" s="2427">
        <v>0</v>
      </c>
      <c r="G1146" s="2429">
        <v>0</v>
      </c>
      <c r="H1146" s="2430">
        <v>0</v>
      </c>
      <c r="I1146" s="2427">
        <v>0</v>
      </c>
      <c r="J1146" s="2431">
        <v>0</v>
      </c>
    </row>
    <row r="1147" spans="1:10" x14ac:dyDescent="0.2">
      <c r="A1147" s="2426" t="s">
        <v>975</v>
      </c>
      <c r="B1147" s="2427">
        <v>0</v>
      </c>
      <c r="C1147" s="2428">
        <v>2532000.0000000009</v>
      </c>
      <c r="D1147" s="2429">
        <v>0</v>
      </c>
      <c r="E1147" s="2430">
        <v>0</v>
      </c>
      <c r="F1147" s="2427">
        <v>0</v>
      </c>
      <c r="G1147" s="2429">
        <v>0</v>
      </c>
      <c r="H1147" s="2430">
        <v>0</v>
      </c>
      <c r="I1147" s="2427">
        <v>0</v>
      </c>
      <c r="J1147" s="2431">
        <v>0</v>
      </c>
    </row>
    <row r="1148" spans="1:10" x14ac:dyDescent="0.2">
      <c r="A1148" s="2426" t="s">
        <v>976</v>
      </c>
      <c r="B1148" s="2427">
        <v>1.9999999999999982</v>
      </c>
      <c r="C1148" s="2428">
        <v>7394999.9999999991</v>
      </c>
      <c r="D1148" s="2429">
        <v>14.789999999999985</v>
      </c>
      <c r="E1148" s="2430">
        <v>2.5977678054732674E-2</v>
      </c>
      <c r="F1148" s="2427">
        <v>2.1082248825570579E-2</v>
      </c>
      <c r="G1148" s="2429">
        <v>1.4364873331215852E-4</v>
      </c>
      <c r="H1148" s="2430">
        <v>2.9837943048407627E-2</v>
      </c>
      <c r="I1148" s="2427">
        <v>2.7125526018256144E-2</v>
      </c>
      <c r="J1148" s="2431">
        <v>2.2885671042461897E-4</v>
      </c>
    </row>
    <row r="1149" spans="1:10" x14ac:dyDescent="0.2">
      <c r="A1149" s="2426" t="s">
        <v>286</v>
      </c>
      <c r="B1149" s="2427">
        <v>0</v>
      </c>
      <c r="C1149" s="2428">
        <v>2445000.0000000005</v>
      </c>
      <c r="D1149" s="2429">
        <v>0</v>
      </c>
      <c r="E1149" s="2430">
        <v>0</v>
      </c>
      <c r="F1149" s="2427">
        <v>0</v>
      </c>
      <c r="G1149" s="2429">
        <v>0</v>
      </c>
      <c r="H1149" s="2430">
        <v>0</v>
      </c>
      <c r="I1149" s="2427">
        <v>0</v>
      </c>
      <c r="J1149" s="2431">
        <v>0</v>
      </c>
    </row>
    <row r="1150" spans="1:10" x14ac:dyDescent="0.2">
      <c r="A1150" s="2439" t="s">
        <v>978</v>
      </c>
      <c r="B1150" s="2427">
        <v>0</v>
      </c>
      <c r="C1150" s="2428">
        <v>1850000.0000000002</v>
      </c>
      <c r="D1150" s="2429">
        <v>0</v>
      </c>
      <c r="E1150" s="2430">
        <v>0</v>
      </c>
      <c r="F1150" s="2427">
        <v>0</v>
      </c>
      <c r="G1150" s="2429">
        <v>0</v>
      </c>
      <c r="H1150" s="2430">
        <v>0</v>
      </c>
      <c r="I1150" s="2427">
        <v>0</v>
      </c>
      <c r="J1150" s="2431">
        <v>0</v>
      </c>
    </row>
    <row r="1151" spans="1:10" x14ac:dyDescent="0.2">
      <c r="A1151" s="2426" t="s">
        <v>1163</v>
      </c>
      <c r="B1151" s="2427">
        <v>0</v>
      </c>
      <c r="C1151" s="2428">
        <v>0</v>
      </c>
      <c r="D1151" s="2429">
        <v>0</v>
      </c>
      <c r="E1151" s="2430">
        <v>0</v>
      </c>
      <c r="F1151" s="2427">
        <v>0</v>
      </c>
      <c r="G1151" s="2429">
        <v>0</v>
      </c>
      <c r="H1151" s="2430">
        <v>0</v>
      </c>
      <c r="I1151" s="2427">
        <v>0</v>
      </c>
      <c r="J1151" s="2431">
        <v>0</v>
      </c>
    </row>
    <row r="1152" spans="1:10" x14ac:dyDescent="0.2">
      <c r="A1152" s="2433" t="s">
        <v>287</v>
      </c>
      <c r="B1152" s="2434">
        <v>665.3599999999999</v>
      </c>
      <c r="C1152" s="2433"/>
      <c r="D1152" s="2435">
        <v>2050.7530000000002</v>
      </c>
      <c r="E1152" s="2436">
        <v>8.6422539352484709</v>
      </c>
      <c r="F1152" s="2434">
        <v>7.0136425392908253</v>
      </c>
      <c r="G1152" s="2435">
        <v>4.778906059828894E-2</v>
      </c>
      <c r="H1152" s="2436">
        <v>4.1372718877857437</v>
      </c>
      <c r="I1152" s="2434">
        <v>3.761173350812502</v>
      </c>
      <c r="J1152" s="2437">
        <v>3.1732832013077694E-2</v>
      </c>
    </row>
    <row r="1153" spans="1:10" x14ac:dyDescent="0.2">
      <c r="A1153" s="2440" t="s">
        <v>1835</v>
      </c>
      <c r="B1153" s="2441">
        <v>5351.2174928805225</v>
      </c>
      <c r="C1153" s="2440"/>
      <c r="D1153" s="2442">
        <v>45202.439522477034</v>
      </c>
      <c r="E1153" s="2443">
        <v>69.506102615452022</v>
      </c>
      <c r="F1153" s="2441">
        <v>56.407849352326622</v>
      </c>
      <c r="G1153" s="2442">
        <v>0.38434780726507628</v>
      </c>
      <c r="H1153" s="2443">
        <v>91.193226242106903</v>
      </c>
      <c r="I1153" s="2441">
        <v>82.903309625125203</v>
      </c>
      <c r="J1153" s="2444">
        <v>0.69945108940377876</v>
      </c>
    </row>
    <row r="1154" spans="1:10" x14ac:dyDescent="0.2">
      <c r="A1154" s="2445" t="s">
        <v>194</v>
      </c>
      <c r="B1154" s="2446">
        <v>7698.9174928805223</v>
      </c>
      <c r="C1154" s="2447"/>
      <c r="D1154" s="2448">
        <v>49567.760002777031</v>
      </c>
      <c r="E1154" s="2449">
        <v>100</v>
      </c>
      <c r="F1154" s="2446">
        <v>81.15524713622267</v>
      </c>
      <c r="G1154" s="2448">
        <v>0.5529698728635537</v>
      </c>
      <c r="H1154" s="2449">
        <v>100</v>
      </c>
      <c r="I1154" s="2446">
        <v>90.909503963624473</v>
      </c>
      <c r="J1154" s="2450">
        <v>0.7669989518155893</v>
      </c>
    </row>
    <row r="1155" spans="1:10" x14ac:dyDescent="0.2">
      <c r="A1155" s="2451" t="s">
        <v>1852</v>
      </c>
      <c r="B1155" s="2427"/>
      <c r="C1155" s="2452"/>
      <c r="D1155" s="2429"/>
      <c r="E1155" s="2430"/>
      <c r="F1155" s="2427">
        <v>0</v>
      </c>
      <c r="G1155" s="2429"/>
      <c r="H1155" s="2430"/>
      <c r="I1155" s="2427">
        <v>0</v>
      </c>
      <c r="J1155" s="2431">
        <v>0</v>
      </c>
    </row>
    <row r="1156" spans="1:10" x14ac:dyDescent="0.2">
      <c r="A1156" s="2453" t="s">
        <v>1836</v>
      </c>
      <c r="B1156" s="2427">
        <v>0</v>
      </c>
      <c r="C1156" s="2428">
        <v>8033612.4975057133</v>
      </c>
      <c r="D1156" s="2429">
        <v>0</v>
      </c>
      <c r="E1156" s="2430">
        <v>0</v>
      </c>
      <c r="F1156" s="2427">
        <v>0</v>
      </c>
      <c r="G1156" s="2429">
        <v>0</v>
      </c>
      <c r="H1156" s="2430">
        <v>0</v>
      </c>
      <c r="I1156" s="2427">
        <v>0</v>
      </c>
      <c r="J1156" s="2431">
        <v>0</v>
      </c>
    </row>
    <row r="1157" spans="1:10" x14ac:dyDescent="0.2">
      <c r="A1157" s="2453" t="s">
        <v>1837</v>
      </c>
      <c r="B1157" s="2427">
        <v>1689.95</v>
      </c>
      <c r="C1157" s="2428">
        <v>2214764.1578067578</v>
      </c>
      <c r="D1157" s="2429">
        <v>3742.8406884855303</v>
      </c>
      <c r="E1157" s="2430">
        <v>97.281981894078655</v>
      </c>
      <c r="F1157" s="2427">
        <v>17.813973201386517</v>
      </c>
      <c r="G1157" s="2429">
        <v>0.12137958843044126</v>
      </c>
      <c r="H1157" s="2430">
        <v>90.585582206843654</v>
      </c>
      <c r="I1157" s="2427">
        <v>6.8645383690129886</v>
      </c>
      <c r="J1157" s="2431">
        <v>5.7915767924963849E-2</v>
      </c>
    </row>
    <row r="1158" spans="1:10" x14ac:dyDescent="0.2">
      <c r="A1158" s="2454" t="s">
        <v>309</v>
      </c>
      <c r="B1158" s="2434">
        <v>1689.95</v>
      </c>
      <c r="C1158" s="2433"/>
      <c r="D1158" s="2435">
        <v>3742.8406884855303</v>
      </c>
      <c r="E1158" s="2436">
        <v>97.281981894078655</v>
      </c>
      <c r="F1158" s="2434">
        <v>17.813973201386517</v>
      </c>
      <c r="G1158" s="2435">
        <v>0.12137958843044126</v>
      </c>
      <c r="H1158" s="2436">
        <v>90.585582206843654</v>
      </c>
      <c r="I1158" s="2434">
        <v>6.8645383690129886</v>
      </c>
      <c r="J1158" s="2437">
        <v>5.7915767924963849E-2</v>
      </c>
    </row>
    <row r="1159" spans="1:10" x14ac:dyDescent="0.2">
      <c r="A1159" s="2453" t="s">
        <v>1838</v>
      </c>
      <c r="B1159" s="2427">
        <v>0</v>
      </c>
      <c r="C1159" s="2428">
        <v>10407427.50198495</v>
      </c>
      <c r="D1159" s="2429">
        <v>0</v>
      </c>
      <c r="E1159" s="2430">
        <v>0</v>
      </c>
      <c r="F1159" s="2427">
        <v>0</v>
      </c>
      <c r="G1159" s="2429">
        <v>0</v>
      </c>
      <c r="H1159" s="2430">
        <v>0</v>
      </c>
      <c r="I1159" s="2427">
        <v>0</v>
      </c>
      <c r="J1159" s="2431">
        <v>0</v>
      </c>
    </row>
    <row r="1160" spans="1:10" x14ac:dyDescent="0.2">
      <c r="A1160" s="2454" t="s">
        <v>315</v>
      </c>
      <c r="B1160" s="2434">
        <v>0</v>
      </c>
      <c r="C1160" s="2455"/>
      <c r="D1160" s="2435">
        <v>0</v>
      </c>
      <c r="E1160" s="2436">
        <v>0</v>
      </c>
      <c r="F1160" s="2434">
        <v>0</v>
      </c>
      <c r="G1160" s="2435">
        <v>0</v>
      </c>
      <c r="H1160" s="2436">
        <v>0</v>
      </c>
      <c r="I1160" s="2434">
        <v>0</v>
      </c>
      <c r="J1160" s="2437">
        <v>0</v>
      </c>
    </row>
    <row r="1161" spans="1:10" x14ac:dyDescent="0.2">
      <c r="A1161" s="2453" t="s">
        <v>1541</v>
      </c>
      <c r="B1161" s="2427">
        <v>10.246499999999999</v>
      </c>
      <c r="C1161" s="2428">
        <v>10553660</v>
      </c>
      <c r="D1161" s="2429">
        <v>108.13807719</v>
      </c>
      <c r="E1161" s="2430">
        <v>0.58983983400554862</v>
      </c>
      <c r="F1161" s="2427">
        <v>0.10800963129560456</v>
      </c>
      <c r="G1161" s="2429">
        <v>7.359483729415168E-4</v>
      </c>
      <c r="H1161" s="2430">
        <v>2.6171968021830003</v>
      </c>
      <c r="I1161" s="2427">
        <v>0.19833010320361999</v>
      </c>
      <c r="J1161" s="2431">
        <v>1.6733011911661223E-3</v>
      </c>
    </row>
    <row r="1162" spans="1:10" x14ac:dyDescent="0.2">
      <c r="A1162" s="2453" t="s">
        <v>206</v>
      </c>
      <c r="B1162" s="2427">
        <v>36.25</v>
      </c>
      <c r="C1162" s="2428">
        <v>6960000</v>
      </c>
      <c r="D1162" s="2429">
        <v>252.3</v>
      </c>
      <c r="E1162" s="2430">
        <v>2.0867314675939235</v>
      </c>
      <c r="F1162" s="2427">
        <v>0.38211575996346708</v>
      </c>
      <c r="G1162" s="2429">
        <v>2.6036332912828756E-3</v>
      </c>
      <c r="H1162" s="2430">
        <v>6.1062557273936209</v>
      </c>
      <c r="I1162" s="2427">
        <v>0.4627295614878994</v>
      </c>
      <c r="J1162" s="2431">
        <v>3.9040262366552688E-3</v>
      </c>
    </row>
    <row r="1163" spans="1:10" x14ac:dyDescent="0.2">
      <c r="A1163" s="2454" t="s">
        <v>310</v>
      </c>
      <c r="B1163" s="2434">
        <v>46.496499999999997</v>
      </c>
      <c r="C1163" s="2455"/>
      <c r="D1163" s="2435">
        <v>360.43807719</v>
      </c>
      <c r="E1163" s="2436">
        <v>2.6765713015994721</v>
      </c>
      <c r="F1163" s="2434">
        <v>0.49012539125907162</v>
      </c>
      <c r="G1163" s="2435">
        <v>3.339581664224392E-3</v>
      </c>
      <c r="H1163" s="2436">
        <v>8.7234525295766208</v>
      </c>
      <c r="I1163" s="2434">
        <v>0.66105966469151944</v>
      </c>
      <c r="J1163" s="2437">
        <v>5.5773274278213911E-3</v>
      </c>
    </row>
    <row r="1164" spans="1:10" x14ac:dyDescent="0.2">
      <c r="A1164" s="2453" t="s">
        <v>1839</v>
      </c>
      <c r="B1164" s="2427">
        <v>0.72</v>
      </c>
      <c r="C1164" s="2428">
        <v>39652080.629353955</v>
      </c>
      <c r="D1164" s="2429">
        <v>28.549498053134847</v>
      </c>
      <c r="E1164" s="2430">
        <v>4.1446804321865517E-2</v>
      </c>
      <c r="F1164" s="2427">
        <v>7.5896095772054152E-3</v>
      </c>
      <c r="G1164" s="2429">
        <v>5.1713543992377116E-5</v>
      </c>
      <c r="H1164" s="2430">
        <v>0.6909652635797372</v>
      </c>
      <c r="I1164" s="2427">
        <v>5.2361065060748023E-2</v>
      </c>
      <c r="J1164" s="2431">
        <v>4.417676949773165E-4</v>
      </c>
    </row>
    <row r="1165" spans="1:10" x14ac:dyDescent="0.2">
      <c r="A1165" s="2454" t="s">
        <v>311</v>
      </c>
      <c r="B1165" s="2434">
        <v>0.72</v>
      </c>
      <c r="C1165" s="2433"/>
      <c r="D1165" s="2435">
        <v>28.549498053134847</v>
      </c>
      <c r="E1165" s="2436">
        <v>4.1446804321865517E-2</v>
      </c>
      <c r="F1165" s="2434">
        <v>7.5896095772054152E-3</v>
      </c>
      <c r="G1165" s="2435">
        <v>5.1713543992377116E-5</v>
      </c>
      <c r="H1165" s="2436">
        <v>0.6909652635797372</v>
      </c>
      <c r="I1165" s="2434">
        <v>5.2361065060748023E-2</v>
      </c>
      <c r="J1165" s="2437">
        <v>4.417676949773165E-4</v>
      </c>
    </row>
    <row r="1166" spans="1:10" x14ac:dyDescent="0.2">
      <c r="A1166" s="2456" t="s">
        <v>129</v>
      </c>
      <c r="B1166" s="2441">
        <v>1737.1665</v>
      </c>
      <c r="C1166" s="2440"/>
      <c r="D1166" s="2442">
        <v>4131.8282637286648</v>
      </c>
      <c r="E1166" s="2443">
        <v>99.999999999999986</v>
      </c>
      <c r="F1166" s="2441">
        <v>18.311688202222793</v>
      </c>
      <c r="G1166" s="2442">
        <v>0.12477088363865804</v>
      </c>
      <c r="H1166" s="2443">
        <v>100.00000000000001</v>
      </c>
      <c r="I1166" s="2441">
        <v>7.5779590987652554</v>
      </c>
      <c r="J1166" s="2444">
        <v>6.3934863047762552E-2</v>
      </c>
    </row>
    <row r="1167" spans="1:10" x14ac:dyDescent="0.2">
      <c r="A1167" s="2451" t="s">
        <v>1853</v>
      </c>
      <c r="B1167" s="2427"/>
      <c r="C1167" s="2452"/>
      <c r="D1167" s="2429"/>
      <c r="E1167" s="2430"/>
      <c r="F1167" s="2427">
        <v>0</v>
      </c>
      <c r="G1167" s="2429"/>
      <c r="H1167" s="2430"/>
      <c r="I1167" s="2427">
        <v>0</v>
      </c>
      <c r="J1167" s="2431">
        <v>0</v>
      </c>
    </row>
    <row r="1168" spans="1:10" x14ac:dyDescent="0.2">
      <c r="A1168" s="2426" t="s">
        <v>1543</v>
      </c>
      <c r="B1168" s="2427">
        <v>20</v>
      </c>
      <c r="C1168" s="2428">
        <v>13200000</v>
      </c>
      <c r="D1168" s="2429">
        <v>264</v>
      </c>
      <c r="E1168" s="2430">
        <v>39.549139806209219</v>
      </c>
      <c r="F1168" s="2427">
        <v>0.21082248825570596</v>
      </c>
      <c r="G1168" s="2429">
        <v>1.4364873331215865E-3</v>
      </c>
      <c r="H1168" s="2430">
        <v>32.01164059658057</v>
      </c>
      <c r="I1168" s="2427">
        <v>0.48418788835832516</v>
      </c>
      <c r="J1168" s="2431">
        <v>4.0850690704597337E-3</v>
      </c>
    </row>
    <row r="1169" spans="1:10" x14ac:dyDescent="0.2">
      <c r="A1169" s="2426" t="s">
        <v>208</v>
      </c>
      <c r="B1169" s="2427">
        <v>0.56999999999999995</v>
      </c>
      <c r="C1169" s="2428">
        <v>10000000</v>
      </c>
      <c r="D1169" s="2429">
        <v>5.6999999999999993</v>
      </c>
      <c r="E1169" s="2430">
        <v>1.1271504844769626</v>
      </c>
      <c r="F1169" s="2427">
        <v>6.0084409152876203E-3</v>
      </c>
      <c r="G1169" s="2429">
        <v>4.0939888993965216E-5</v>
      </c>
      <c r="H1169" s="2430">
        <v>0.69116042197162586</v>
      </c>
      <c r="I1169" s="2427">
        <v>1.0454056680463838E-2</v>
      </c>
      <c r="J1169" s="2431">
        <v>8.8200354930380607E-5</v>
      </c>
    </row>
    <row r="1170" spans="1:10" x14ac:dyDescent="0.2">
      <c r="A1170" s="2426" t="s">
        <v>209</v>
      </c>
      <c r="B1170" s="2427">
        <v>0</v>
      </c>
      <c r="C1170" s="2428">
        <v>10000000</v>
      </c>
      <c r="D1170" s="2429">
        <v>0</v>
      </c>
      <c r="E1170" s="2430">
        <v>0</v>
      </c>
      <c r="F1170" s="2427">
        <v>0</v>
      </c>
      <c r="G1170" s="2429">
        <v>0</v>
      </c>
      <c r="H1170" s="2430">
        <v>0</v>
      </c>
      <c r="I1170" s="2427">
        <v>0</v>
      </c>
      <c r="J1170" s="2431">
        <v>0</v>
      </c>
    </row>
    <row r="1171" spans="1:10" x14ac:dyDescent="0.2">
      <c r="A1171" s="2426" t="s">
        <v>210</v>
      </c>
      <c r="B1171" s="2427">
        <v>30</v>
      </c>
      <c r="C1171" s="2428">
        <v>18500000</v>
      </c>
      <c r="D1171" s="2429">
        <v>555</v>
      </c>
      <c r="E1171" s="2430">
        <v>59.323709709313817</v>
      </c>
      <c r="F1171" s="2427">
        <v>0.31623373238355895</v>
      </c>
      <c r="G1171" s="2429">
        <v>2.1547309996823799E-3</v>
      </c>
      <c r="H1171" s="2430">
        <v>67.297198981447792</v>
      </c>
      <c r="I1171" s="2427">
        <v>1.0178949925714791</v>
      </c>
      <c r="J1171" s="2431">
        <v>8.5879292958528503E-3</v>
      </c>
    </row>
    <row r="1172" spans="1:10" x14ac:dyDescent="0.2">
      <c r="A1172" s="2426" t="s">
        <v>1545</v>
      </c>
      <c r="B1172" s="2427">
        <v>0</v>
      </c>
      <c r="C1172" s="2428">
        <v>14200000</v>
      </c>
      <c r="D1172" s="2429">
        <v>0</v>
      </c>
      <c r="E1172" s="2430">
        <v>0</v>
      </c>
      <c r="F1172" s="2427">
        <v>0</v>
      </c>
      <c r="G1172" s="2429">
        <v>0</v>
      </c>
      <c r="H1172" s="2430">
        <v>0</v>
      </c>
      <c r="I1172" s="2427">
        <v>0</v>
      </c>
      <c r="J1172" s="2431">
        <v>0</v>
      </c>
    </row>
    <row r="1173" spans="1:10" x14ac:dyDescent="0.2">
      <c r="A1173" s="2426" t="s">
        <v>1546</v>
      </c>
      <c r="B1173" s="2427">
        <v>0</v>
      </c>
      <c r="C1173" s="2428">
        <v>10000000</v>
      </c>
      <c r="D1173" s="2429">
        <v>0</v>
      </c>
      <c r="E1173" s="2430">
        <v>0</v>
      </c>
      <c r="F1173" s="2427">
        <v>0</v>
      </c>
      <c r="G1173" s="2429">
        <v>0</v>
      </c>
      <c r="H1173" s="2430">
        <v>0</v>
      </c>
      <c r="I1173" s="2427">
        <v>0</v>
      </c>
      <c r="J1173" s="2431">
        <v>0</v>
      </c>
    </row>
    <row r="1174" spans="1:10" x14ac:dyDescent="0.2">
      <c r="A1174" s="2456" t="s">
        <v>121</v>
      </c>
      <c r="B1174" s="2441">
        <v>50.57</v>
      </c>
      <c r="C1174" s="2440"/>
      <c r="D1174" s="2442">
        <v>824.7</v>
      </c>
      <c r="E1174" s="2443">
        <v>100</v>
      </c>
      <c r="F1174" s="2441">
        <v>0.53306466155455257</v>
      </c>
      <c r="G1174" s="2442">
        <v>3.6321582217979319E-3</v>
      </c>
      <c r="H1174" s="2443">
        <v>99.999999999999986</v>
      </c>
      <c r="I1174" s="2441">
        <v>1.5125369376102682</v>
      </c>
      <c r="J1174" s="2444">
        <v>1.2761198721242966E-2</v>
      </c>
    </row>
    <row r="1175" spans="1:10" ht="14.25" thickBot="1" x14ac:dyDescent="0.25">
      <c r="A1175" s="2457" t="s">
        <v>1840</v>
      </c>
      <c r="B1175" s="2446">
        <v>9486.6539928805214</v>
      </c>
      <c r="C1175" s="2458"/>
      <c r="D1175" s="2448">
        <v>54524.288266505697</v>
      </c>
      <c r="E1175" s="2459"/>
      <c r="F1175" s="2460">
        <v>100.00000000000001</v>
      </c>
      <c r="G1175" s="2461">
        <v>0.68137291472400974</v>
      </c>
      <c r="H1175" s="2462"/>
      <c r="I1175" s="2460">
        <v>100</v>
      </c>
      <c r="J1175" s="2463">
        <v>0.84369501358459476</v>
      </c>
    </row>
    <row r="1176" spans="1:10" ht="15" thickBot="1" x14ac:dyDescent="0.25">
      <c r="A1176" s="2464" t="s">
        <v>1841</v>
      </c>
      <c r="B1176" s="2465">
        <v>1392285.1624830281</v>
      </c>
      <c r="C1176" s="2466"/>
      <c r="D1176" s="2467">
        <v>6462559.0276810033</v>
      </c>
      <c r="E1176" s="2468"/>
      <c r="F1176" s="2469"/>
      <c r="G1176" s="2469"/>
      <c r="H1176" s="2469"/>
      <c r="I1176" s="2469"/>
      <c r="J1176" s="2469"/>
    </row>
    <row r="1177" spans="1:10" ht="16.5" thickBot="1" x14ac:dyDescent="0.3">
      <c r="A1177" s="2470" t="s">
        <v>1842</v>
      </c>
      <c r="B1177" s="2471">
        <v>0.68137291472400963</v>
      </c>
      <c r="C1177" s="2472"/>
      <c r="D1177" s="2473">
        <v>0.84369501358459476</v>
      </c>
      <c r="E1177" s="2468"/>
      <c r="F1177" s="2469"/>
      <c r="G1177" s="2469"/>
      <c r="H1177" s="2469"/>
      <c r="I1177" s="2469"/>
      <c r="J1177" s="2469"/>
    </row>
    <row r="1178" spans="1:10" x14ac:dyDescent="0.2">
      <c r="A1178" s="2474" t="s">
        <v>2023</v>
      </c>
      <c r="B1178" s="2474"/>
      <c r="C1178" s="2474"/>
      <c r="D1178" s="2475"/>
      <c r="E1178" s="2474"/>
      <c r="F1178" s="2474"/>
      <c r="H1178" s="2474"/>
      <c r="I1178" s="2474"/>
      <c r="J1178" s="2474"/>
    </row>
    <row r="1179" spans="1:10" x14ac:dyDescent="0.2">
      <c r="A1179" s="2474" t="s">
        <v>1843</v>
      </c>
      <c r="B1179" s="2474"/>
      <c r="C1179" s="2474"/>
      <c r="D1179" s="2474"/>
      <c r="E1179" s="2474"/>
      <c r="F1179" s="2474"/>
      <c r="G1179" s="2474"/>
      <c r="H1179" s="2474"/>
      <c r="I1179" s="2474"/>
      <c r="J1179" s="2474"/>
    </row>
    <row r="1180" spans="1:10" x14ac:dyDescent="0.2">
      <c r="A1180" s="2474" t="s">
        <v>2024</v>
      </c>
      <c r="B1180" s="2474"/>
      <c r="C1180" s="2474"/>
      <c r="D1180" s="2474"/>
      <c r="E1180" s="2474"/>
      <c r="F1180" s="2474"/>
      <c r="G1180" s="2474"/>
      <c r="H1180" s="2474"/>
      <c r="I1180" s="2474"/>
      <c r="J1180" s="2474"/>
    </row>
    <row r="1184" spans="1:10" ht="13.5" thickBot="1" x14ac:dyDescent="0.25">
      <c r="A1184" s="3321" t="s">
        <v>2021</v>
      </c>
      <c r="B1184" s="3321"/>
      <c r="C1184" s="3321"/>
      <c r="D1184" s="3321"/>
      <c r="E1184" s="3321"/>
      <c r="F1184" s="3321"/>
      <c r="G1184" s="3321"/>
      <c r="H1184" s="3321"/>
      <c r="I1184" s="3321"/>
      <c r="J1184" s="3321"/>
    </row>
    <row r="1185" spans="1:10" ht="13.5" customHeight="1" thickBot="1" x14ac:dyDescent="0.25">
      <c r="A1185" s="3322" t="s">
        <v>366</v>
      </c>
      <c r="B1185" s="3324" t="s">
        <v>1272</v>
      </c>
      <c r="C1185" s="3324" t="s">
        <v>1832</v>
      </c>
      <c r="D1185" s="3326" t="s">
        <v>1844</v>
      </c>
      <c r="E1185" s="3328" t="s">
        <v>1849</v>
      </c>
      <c r="F1185" s="3329"/>
      <c r="G1185" s="3330"/>
      <c r="H1185" s="3328" t="s">
        <v>1850</v>
      </c>
      <c r="I1185" s="3329"/>
      <c r="J1185" s="3331"/>
    </row>
    <row r="1186" spans="1:10" ht="13.5" customHeight="1" thickBot="1" x14ac:dyDescent="0.25">
      <c r="A1186" s="3323"/>
      <c r="B1186" s="3325"/>
      <c r="C1186" s="3325"/>
      <c r="D1186" s="3327"/>
      <c r="E1186" s="2415" t="s">
        <v>1848</v>
      </c>
      <c r="F1186" s="2416" t="s">
        <v>1231</v>
      </c>
      <c r="G1186" s="2417" t="s">
        <v>1833</v>
      </c>
      <c r="H1186" s="2415" t="s">
        <v>1848</v>
      </c>
      <c r="I1186" s="2416" t="s">
        <v>1231</v>
      </c>
      <c r="J1186" s="2418" t="s">
        <v>1833</v>
      </c>
    </row>
    <row r="1187" spans="1:10" x14ac:dyDescent="0.2">
      <c r="A1187" s="2419" t="s">
        <v>1851</v>
      </c>
      <c r="B1187" s="2420"/>
      <c r="C1187" s="2420"/>
      <c r="D1187" s="2421"/>
      <c r="E1187" s="2422"/>
      <c r="F1187" s="2423"/>
      <c r="G1187" s="2424"/>
      <c r="H1187" s="2422"/>
      <c r="I1187" s="2423"/>
      <c r="J1187" s="2425"/>
    </row>
    <row r="1188" spans="1:10" x14ac:dyDescent="0.2">
      <c r="A1188" s="2426" t="s">
        <v>410</v>
      </c>
      <c r="B1188" s="2427">
        <v>30</v>
      </c>
      <c r="C1188" s="2428">
        <v>5667200.0000000009</v>
      </c>
      <c r="D1188" s="2429">
        <v>170.01600000000002</v>
      </c>
      <c r="E1188" s="2430">
        <v>0.11351961902815855</v>
      </c>
      <c r="F1188" s="2427">
        <v>8.5504628365533422E-2</v>
      </c>
      <c r="G1188" s="2429">
        <v>2.1547309996823799E-3</v>
      </c>
      <c r="H1188" s="2430">
        <v>0.36400398678633678</v>
      </c>
      <c r="I1188" s="2427">
        <v>0.12874726519566831</v>
      </c>
      <c r="J1188" s="2431">
        <v>2.6307844813760694E-3</v>
      </c>
    </row>
    <row r="1189" spans="1:10" x14ac:dyDescent="0.2">
      <c r="A1189" s="2426" t="s">
        <v>411</v>
      </c>
      <c r="B1189" s="2427">
        <v>20790</v>
      </c>
      <c r="C1189" s="2428">
        <v>1753716.5000000002</v>
      </c>
      <c r="D1189" s="2429">
        <v>36459.766035000008</v>
      </c>
      <c r="E1189" s="2430">
        <v>78.669095986513867</v>
      </c>
      <c r="F1189" s="2427">
        <v>59.254707457314673</v>
      </c>
      <c r="G1189" s="2429">
        <v>1.4932285827798895</v>
      </c>
      <c r="H1189" s="2430">
        <v>78.060301348326462</v>
      </c>
      <c r="I1189" s="2427">
        <v>27.609725947441216</v>
      </c>
      <c r="J1189" s="2431">
        <v>0.56416917630976082</v>
      </c>
    </row>
    <row r="1190" spans="1:10" x14ac:dyDescent="0.2">
      <c r="A1190" s="2426" t="s">
        <v>278</v>
      </c>
      <c r="B1190" s="2427">
        <v>133.5</v>
      </c>
      <c r="C1190" s="2428">
        <v>1637875</v>
      </c>
      <c r="D1190" s="2429">
        <v>218.65631250000001</v>
      </c>
      <c r="E1190" s="2430">
        <v>0.50516230467530543</v>
      </c>
      <c r="F1190" s="2427">
        <v>0.38049559622662377</v>
      </c>
      <c r="G1190" s="2429">
        <v>9.5885529485865914E-3</v>
      </c>
      <c r="H1190" s="2430">
        <v>0.46814281882881098</v>
      </c>
      <c r="I1190" s="2427">
        <v>0.16558089975146117</v>
      </c>
      <c r="J1190" s="2431">
        <v>3.3834323456610918E-3</v>
      </c>
    </row>
    <row r="1191" spans="1:10" x14ac:dyDescent="0.2">
      <c r="A1191" s="2426" t="s">
        <v>200</v>
      </c>
      <c r="B1191" s="2427">
        <v>0</v>
      </c>
      <c r="C1191" s="2428">
        <v>7709114.5</v>
      </c>
      <c r="D1191" s="2429">
        <v>0</v>
      </c>
      <c r="E1191" s="2430">
        <v>0</v>
      </c>
      <c r="F1191" s="2427">
        <v>0</v>
      </c>
      <c r="G1191" s="2429">
        <v>0</v>
      </c>
      <c r="H1191" s="2430">
        <v>0</v>
      </c>
      <c r="I1191" s="2427">
        <v>0</v>
      </c>
      <c r="J1191" s="2431">
        <v>0</v>
      </c>
    </row>
    <row r="1192" spans="1:10" x14ac:dyDescent="0.2">
      <c r="A1192" s="2426" t="s">
        <v>429</v>
      </c>
      <c r="B1192" s="2427">
        <v>75</v>
      </c>
      <c r="C1192" s="2428">
        <v>1255000</v>
      </c>
      <c r="D1192" s="2429">
        <v>94.125</v>
      </c>
      <c r="E1192" s="2430">
        <v>0.28379904757039637</v>
      </c>
      <c r="F1192" s="2427">
        <v>0.21376157091383355</v>
      </c>
      <c r="G1192" s="2429">
        <v>5.3868274992059494E-3</v>
      </c>
      <c r="H1192" s="2430">
        <v>0.20152147595675668</v>
      </c>
      <c r="I1192" s="2427">
        <v>7.1277622909269006E-2</v>
      </c>
      <c r="J1192" s="2431">
        <v>1.4564663873372064E-3</v>
      </c>
    </row>
    <row r="1193" spans="1:10" x14ac:dyDescent="0.2">
      <c r="A1193" s="2432" t="s">
        <v>431</v>
      </c>
      <c r="B1193" s="2427">
        <v>0</v>
      </c>
      <c r="C1193" s="2428">
        <v>0</v>
      </c>
      <c r="D1193" s="2429">
        <v>0</v>
      </c>
      <c r="E1193" s="2430">
        <v>0</v>
      </c>
      <c r="F1193" s="2427">
        <v>0</v>
      </c>
      <c r="G1193" s="2429">
        <v>0</v>
      </c>
      <c r="H1193" s="2430">
        <v>0</v>
      </c>
      <c r="I1193" s="2427">
        <v>0</v>
      </c>
      <c r="J1193" s="2431">
        <v>0</v>
      </c>
    </row>
    <row r="1194" spans="1:10" x14ac:dyDescent="0.2">
      <c r="A1194" s="2432" t="s">
        <v>430</v>
      </c>
      <c r="B1194" s="2427">
        <v>0</v>
      </c>
      <c r="C1194" s="2428">
        <v>0</v>
      </c>
      <c r="D1194" s="2429">
        <v>0</v>
      </c>
      <c r="E1194" s="2430">
        <v>0</v>
      </c>
      <c r="F1194" s="2427">
        <v>0</v>
      </c>
      <c r="G1194" s="2429">
        <v>0</v>
      </c>
      <c r="H1194" s="2430">
        <v>0</v>
      </c>
      <c r="I1194" s="2427">
        <v>0</v>
      </c>
      <c r="J1194" s="2431">
        <v>0</v>
      </c>
    </row>
    <row r="1195" spans="1:10" x14ac:dyDescent="0.2">
      <c r="A1195" s="2433" t="s">
        <v>279</v>
      </c>
      <c r="B1195" s="2434">
        <v>21028.5</v>
      </c>
      <c r="C1195" s="2433"/>
      <c r="D1195" s="2435">
        <v>36942.563347500014</v>
      </c>
      <c r="E1195" s="2436">
        <v>79.571576957787727</v>
      </c>
      <c r="F1195" s="2434">
        <v>59.934469252820655</v>
      </c>
      <c r="G1195" s="2435">
        <v>1.5103586942273641</v>
      </c>
      <c r="H1195" s="2436">
        <v>79.093969629898382</v>
      </c>
      <c r="I1195" s="2434">
        <v>27.975331735297619</v>
      </c>
      <c r="J1195" s="2437">
        <v>0.57163985952413543</v>
      </c>
    </row>
    <row r="1196" spans="1:10" x14ac:dyDescent="0.2">
      <c r="A1196" s="2438" t="s">
        <v>412</v>
      </c>
      <c r="B1196" s="2427">
        <v>0</v>
      </c>
      <c r="C1196" s="2428">
        <v>4129499.9999999995</v>
      </c>
      <c r="D1196" s="2429">
        <v>0</v>
      </c>
      <c r="E1196" s="2430">
        <v>0</v>
      </c>
      <c r="F1196" s="2427">
        <v>0</v>
      </c>
      <c r="G1196" s="2429">
        <v>0</v>
      </c>
      <c r="H1196" s="2430">
        <v>0</v>
      </c>
      <c r="I1196" s="2427">
        <v>0</v>
      </c>
      <c r="J1196" s="2431">
        <v>0</v>
      </c>
    </row>
    <row r="1197" spans="1:10" x14ac:dyDescent="0.2">
      <c r="A1197" s="2438" t="s">
        <v>413</v>
      </c>
      <c r="B1197" s="2427">
        <v>120</v>
      </c>
      <c r="C1197" s="2428">
        <v>1200000</v>
      </c>
      <c r="D1197" s="2429">
        <v>144</v>
      </c>
      <c r="E1197" s="2430">
        <v>0.45407847611263419</v>
      </c>
      <c r="F1197" s="2427">
        <v>0.34201851346213369</v>
      </c>
      <c r="G1197" s="2429">
        <v>8.6189239987295198E-3</v>
      </c>
      <c r="H1197" s="2430">
        <v>0.30830377198165171</v>
      </c>
      <c r="I1197" s="2427">
        <v>0.10904624381338364</v>
      </c>
      <c r="J1197" s="2431">
        <v>2.2282194929780369E-3</v>
      </c>
    </row>
    <row r="1198" spans="1:10" x14ac:dyDescent="0.2">
      <c r="A1198" s="2426" t="s">
        <v>90</v>
      </c>
      <c r="B1198" s="2427">
        <v>0</v>
      </c>
      <c r="C1198" s="2428">
        <v>1743000</v>
      </c>
      <c r="D1198" s="2429">
        <v>0</v>
      </c>
      <c r="E1198" s="2430">
        <v>0</v>
      </c>
      <c r="F1198" s="2427">
        <v>0</v>
      </c>
      <c r="G1198" s="2429">
        <v>0</v>
      </c>
      <c r="H1198" s="2430">
        <v>0</v>
      </c>
      <c r="I1198" s="2427">
        <v>0</v>
      </c>
      <c r="J1198" s="2431">
        <v>0</v>
      </c>
    </row>
    <row r="1199" spans="1:10" x14ac:dyDescent="0.2">
      <c r="A1199" s="2426" t="s">
        <v>417</v>
      </c>
      <c r="B1199" s="2427">
        <v>0</v>
      </c>
      <c r="C1199" s="2428">
        <v>2563999.9999999995</v>
      </c>
      <c r="D1199" s="2429">
        <v>0</v>
      </c>
      <c r="E1199" s="2430">
        <v>0</v>
      </c>
      <c r="F1199" s="2427">
        <v>0</v>
      </c>
      <c r="G1199" s="2429">
        <v>0</v>
      </c>
      <c r="H1199" s="2430">
        <v>0</v>
      </c>
      <c r="I1199" s="2427">
        <v>0</v>
      </c>
      <c r="J1199" s="2431">
        <v>0</v>
      </c>
    </row>
    <row r="1200" spans="1:10" x14ac:dyDescent="0.2">
      <c r="A1200" s="2426" t="s">
        <v>418</v>
      </c>
      <c r="B1200" s="2427">
        <v>0</v>
      </c>
      <c r="C1200" s="2428">
        <v>2222500</v>
      </c>
      <c r="D1200" s="2429">
        <v>0</v>
      </c>
      <c r="E1200" s="2430">
        <v>0</v>
      </c>
      <c r="F1200" s="2427">
        <v>0</v>
      </c>
      <c r="G1200" s="2429">
        <v>0</v>
      </c>
      <c r="H1200" s="2430">
        <v>0</v>
      </c>
      <c r="I1200" s="2427">
        <v>0</v>
      </c>
      <c r="J1200" s="2431">
        <v>0</v>
      </c>
    </row>
    <row r="1201" spans="1:10" x14ac:dyDescent="0.2">
      <c r="A1201" s="2426" t="s">
        <v>423</v>
      </c>
      <c r="B1201" s="2427">
        <v>320</v>
      </c>
      <c r="C1201" s="2428">
        <v>2531500</v>
      </c>
      <c r="D1201" s="2429">
        <v>810.08</v>
      </c>
      <c r="E1201" s="2430">
        <v>1.2108759363003576</v>
      </c>
      <c r="F1201" s="2427">
        <v>0.91204936923235647</v>
      </c>
      <c r="G1201" s="2429">
        <v>2.2983797329945384E-2</v>
      </c>
      <c r="H1201" s="2430">
        <v>1.7343799972701139</v>
      </c>
      <c r="I1201" s="2427">
        <v>0.61344570269684606</v>
      </c>
      <c r="J1201" s="2431">
        <v>1.2534972547719779E-2</v>
      </c>
    </row>
    <row r="1202" spans="1:10" x14ac:dyDescent="0.2">
      <c r="A1202" s="2426" t="s">
        <v>424</v>
      </c>
      <c r="B1202" s="2427">
        <v>0</v>
      </c>
      <c r="C1202" s="2428">
        <v>1369000</v>
      </c>
      <c r="D1202" s="2429">
        <v>0</v>
      </c>
      <c r="E1202" s="2430">
        <v>0</v>
      </c>
      <c r="F1202" s="2427">
        <v>0</v>
      </c>
      <c r="G1202" s="2429">
        <v>0</v>
      </c>
      <c r="H1202" s="2430">
        <v>0</v>
      </c>
      <c r="I1202" s="2427">
        <v>0</v>
      </c>
      <c r="J1202" s="2431">
        <v>0</v>
      </c>
    </row>
    <row r="1203" spans="1:10" x14ac:dyDescent="0.2">
      <c r="A1203" s="2426" t="s">
        <v>280</v>
      </c>
      <c r="B1203" s="2427">
        <v>0</v>
      </c>
      <c r="C1203" s="2428">
        <v>1574500</v>
      </c>
      <c r="D1203" s="2429">
        <v>0</v>
      </c>
      <c r="E1203" s="2430">
        <v>0</v>
      </c>
      <c r="F1203" s="2427">
        <v>0</v>
      </c>
      <c r="G1203" s="2429">
        <v>0</v>
      </c>
      <c r="H1203" s="2430">
        <v>0</v>
      </c>
      <c r="I1203" s="2427">
        <v>0</v>
      </c>
      <c r="J1203" s="2431">
        <v>0</v>
      </c>
    </row>
    <row r="1204" spans="1:10" x14ac:dyDescent="0.2">
      <c r="A1204" s="2426" t="s">
        <v>427</v>
      </c>
      <c r="B1204" s="2427">
        <v>0</v>
      </c>
      <c r="C1204" s="2428">
        <v>2072000</v>
      </c>
      <c r="D1204" s="2429">
        <v>0</v>
      </c>
      <c r="E1204" s="2430">
        <v>0</v>
      </c>
      <c r="F1204" s="2427">
        <v>0</v>
      </c>
      <c r="G1204" s="2429">
        <v>0</v>
      </c>
      <c r="H1204" s="2430">
        <v>0</v>
      </c>
      <c r="I1204" s="2427">
        <v>0</v>
      </c>
      <c r="J1204" s="2431">
        <v>0</v>
      </c>
    </row>
    <row r="1205" spans="1:10" x14ac:dyDescent="0.2">
      <c r="A1205" s="2426" t="s">
        <v>428</v>
      </c>
      <c r="B1205" s="2427">
        <v>128</v>
      </c>
      <c r="C1205" s="2428">
        <v>1326280</v>
      </c>
      <c r="D1205" s="2429">
        <v>169.76383999999999</v>
      </c>
      <c r="E1205" s="2430">
        <v>0.48435037452014307</v>
      </c>
      <c r="F1205" s="2427">
        <v>0.36481974769294262</v>
      </c>
      <c r="G1205" s="2429">
        <v>9.1935189319781539E-3</v>
      </c>
      <c r="H1205" s="2430">
        <v>0.36346411262562217</v>
      </c>
      <c r="I1205" s="2427">
        <v>0.12855631310650176</v>
      </c>
      <c r="J1205" s="2431">
        <v>2.6268826214639203E-3</v>
      </c>
    </row>
    <row r="1206" spans="1:10" x14ac:dyDescent="0.2">
      <c r="A1206" s="2439" t="s">
        <v>92</v>
      </c>
      <c r="B1206" s="2427">
        <v>7.5</v>
      </c>
      <c r="C1206" s="2428">
        <v>2215500</v>
      </c>
      <c r="D1206" s="2429">
        <v>16.616250000000001</v>
      </c>
      <c r="E1206" s="2430">
        <v>2.8379904757039637E-2</v>
      </c>
      <c r="F1206" s="2427">
        <v>2.1376157091383356E-2</v>
      </c>
      <c r="G1206" s="2429">
        <v>5.3868274992059499E-4</v>
      </c>
      <c r="H1206" s="2430">
        <v>3.5575364938820277E-2</v>
      </c>
      <c r="I1206" s="2427">
        <v>1.2582914227528724E-2</v>
      </c>
      <c r="J1206" s="2431">
        <v>2.571156399319188E-4</v>
      </c>
    </row>
    <row r="1207" spans="1:10" x14ac:dyDescent="0.2">
      <c r="A1207" s="2433" t="s">
        <v>281</v>
      </c>
      <c r="B1207" s="2434">
        <v>575.5</v>
      </c>
      <c r="C1207" s="2433"/>
      <c r="D1207" s="2435">
        <v>1140.46009</v>
      </c>
      <c r="E1207" s="2436">
        <v>2.1776846916901746</v>
      </c>
      <c r="F1207" s="2434">
        <v>1.6402637874788164</v>
      </c>
      <c r="G1207" s="2435">
        <v>4.1334923010573656E-2</v>
      </c>
      <c r="H1207" s="2436">
        <v>2.4417232468162084</v>
      </c>
      <c r="I1207" s="2434">
        <v>0.86363117384426025</v>
      </c>
      <c r="J1207" s="2437">
        <v>1.7647190302093656E-2</v>
      </c>
    </row>
    <row r="1208" spans="1:10" x14ac:dyDescent="0.2">
      <c r="A1208" s="2440" t="s">
        <v>106</v>
      </c>
      <c r="B1208" s="2441">
        <v>21604</v>
      </c>
      <c r="C1208" s="2440"/>
      <c r="D1208" s="2442">
        <v>38083.023437500015</v>
      </c>
      <c r="E1208" s="2443">
        <v>81.749261649477901</v>
      </c>
      <c r="F1208" s="2441">
        <v>61.574733040299471</v>
      </c>
      <c r="G1208" s="2442">
        <v>1.5516936172379379</v>
      </c>
      <c r="H1208" s="2443">
        <v>81.535692876714592</v>
      </c>
      <c r="I1208" s="2441">
        <v>28.83896290914188</v>
      </c>
      <c r="J1208" s="2444">
        <v>0.58928704982622893</v>
      </c>
    </row>
    <row r="1209" spans="1:10" x14ac:dyDescent="0.2">
      <c r="A1209" s="2426" t="s">
        <v>905</v>
      </c>
      <c r="B1209" s="2427">
        <v>0</v>
      </c>
      <c r="C1209" s="2428">
        <v>6100000</v>
      </c>
      <c r="D1209" s="2429">
        <v>0</v>
      </c>
      <c r="E1209" s="2430">
        <v>0</v>
      </c>
      <c r="F1209" s="2427">
        <v>0</v>
      </c>
      <c r="G1209" s="2429">
        <v>0</v>
      </c>
      <c r="H1209" s="2430">
        <v>0</v>
      </c>
      <c r="I1209" s="2427">
        <v>0</v>
      </c>
      <c r="J1209" s="2431">
        <v>0</v>
      </c>
    </row>
    <row r="1210" spans="1:10" x14ac:dyDescent="0.2">
      <c r="A1210" s="2426" t="s">
        <v>906</v>
      </c>
      <c r="B1210" s="2427">
        <v>0</v>
      </c>
      <c r="C1210" s="2428">
        <v>3022000.0000000005</v>
      </c>
      <c r="D1210" s="2429">
        <v>0</v>
      </c>
      <c r="E1210" s="2430">
        <v>0</v>
      </c>
      <c r="F1210" s="2427">
        <v>0</v>
      </c>
      <c r="G1210" s="2429">
        <v>0</v>
      </c>
      <c r="H1210" s="2430">
        <v>0</v>
      </c>
      <c r="I1210" s="2427">
        <v>0</v>
      </c>
      <c r="J1210" s="2431">
        <v>0</v>
      </c>
    </row>
    <row r="1211" spans="1:10" x14ac:dyDescent="0.2">
      <c r="A1211" s="2426" t="s">
        <v>907</v>
      </c>
      <c r="B1211" s="2427">
        <v>0</v>
      </c>
      <c r="C1211" s="2428">
        <v>2324000</v>
      </c>
      <c r="D1211" s="2429">
        <v>0</v>
      </c>
      <c r="E1211" s="2430">
        <v>0</v>
      </c>
      <c r="F1211" s="2427">
        <v>0</v>
      </c>
      <c r="G1211" s="2429">
        <v>0</v>
      </c>
      <c r="H1211" s="2430">
        <v>0</v>
      </c>
      <c r="I1211" s="2427">
        <v>0</v>
      </c>
      <c r="J1211" s="2431">
        <v>0</v>
      </c>
    </row>
    <row r="1212" spans="1:10" x14ac:dyDescent="0.2">
      <c r="A1212" s="2439" t="s">
        <v>908</v>
      </c>
      <c r="B1212" s="2427">
        <v>120</v>
      </c>
      <c r="C1212" s="2428">
        <v>2403999.9999999995</v>
      </c>
      <c r="D1212" s="2429">
        <v>288.47999999999996</v>
      </c>
      <c r="E1212" s="2430">
        <v>0.45407847611263419</v>
      </c>
      <c r="F1212" s="2427">
        <v>0.34201851346213369</v>
      </c>
      <c r="G1212" s="2429">
        <v>8.6189239987295198E-3</v>
      </c>
      <c r="H1212" s="2430">
        <v>0.61763522320324216</v>
      </c>
      <c r="I1212" s="2427">
        <v>0.21845597510614523</v>
      </c>
      <c r="J1212" s="2431">
        <v>4.4638663842659996E-3</v>
      </c>
    </row>
    <row r="1213" spans="1:10" x14ac:dyDescent="0.2">
      <c r="A1213" s="2440" t="s">
        <v>282</v>
      </c>
      <c r="B1213" s="2441">
        <v>120</v>
      </c>
      <c r="C1213" s="2440"/>
      <c r="D1213" s="2442">
        <v>288.47999999999996</v>
      </c>
      <c r="E1213" s="2443">
        <v>0.45407847611263419</v>
      </c>
      <c r="F1213" s="2441">
        <v>0.34201851346213369</v>
      </c>
      <c r="G1213" s="2442">
        <v>8.6189239987295198E-3</v>
      </c>
      <c r="H1213" s="2443">
        <v>0.61763522320324216</v>
      </c>
      <c r="I1213" s="2441">
        <v>0.21845597510614523</v>
      </c>
      <c r="J1213" s="2444">
        <v>4.4638663842659996E-3</v>
      </c>
    </row>
    <row r="1214" spans="1:10" x14ac:dyDescent="0.2">
      <c r="A1214" s="2426" t="s">
        <v>955</v>
      </c>
      <c r="B1214" s="2427">
        <v>15.399999999999999</v>
      </c>
      <c r="C1214" s="2428">
        <v>12137000</v>
      </c>
      <c r="D1214" s="2429">
        <v>186.90979999999996</v>
      </c>
      <c r="E1214" s="2430">
        <v>5.8273404434454716E-2</v>
      </c>
      <c r="F1214" s="2427">
        <v>4.3892375894307153E-2</v>
      </c>
      <c r="G1214" s="2429">
        <v>1.1060952465036216E-3</v>
      </c>
      <c r="H1214" s="2430">
        <v>0.40017358583566742</v>
      </c>
      <c r="I1214" s="2427">
        <v>0.14154035848549146</v>
      </c>
      <c r="J1214" s="2431">
        <v>2.8921948596432375E-3</v>
      </c>
    </row>
    <row r="1215" spans="1:10" x14ac:dyDescent="0.2">
      <c r="A1215" s="2426" t="s">
        <v>283</v>
      </c>
      <c r="B1215" s="2427">
        <v>0</v>
      </c>
      <c r="C1215" s="2428">
        <v>13024549.999999996</v>
      </c>
      <c r="D1215" s="2429">
        <v>0</v>
      </c>
      <c r="E1215" s="2430">
        <v>0</v>
      </c>
      <c r="F1215" s="2427">
        <v>0</v>
      </c>
      <c r="G1215" s="2429">
        <v>0</v>
      </c>
      <c r="H1215" s="2430">
        <v>0</v>
      </c>
      <c r="I1215" s="2427">
        <v>0</v>
      </c>
      <c r="J1215" s="2431">
        <v>0</v>
      </c>
    </row>
    <row r="1216" spans="1:10" x14ac:dyDescent="0.2">
      <c r="A1216" s="2426" t="s">
        <v>69</v>
      </c>
      <c r="B1216" s="2427">
        <v>0</v>
      </c>
      <c r="C1216" s="2428">
        <v>14978232.499999994</v>
      </c>
      <c r="D1216" s="2429">
        <v>0</v>
      </c>
      <c r="E1216" s="2430">
        <v>0</v>
      </c>
      <c r="F1216" s="2427">
        <v>0</v>
      </c>
      <c r="G1216" s="2429">
        <v>0</v>
      </c>
      <c r="H1216" s="2430">
        <v>0</v>
      </c>
      <c r="I1216" s="2427">
        <v>0</v>
      </c>
      <c r="J1216" s="2431">
        <v>0</v>
      </c>
    </row>
    <row r="1217" spans="1:10" x14ac:dyDescent="0.2">
      <c r="A1217" s="2426" t="s">
        <v>199</v>
      </c>
      <c r="B1217" s="2427">
        <v>216</v>
      </c>
      <c r="C1217" s="2428">
        <v>3000000</v>
      </c>
      <c r="D1217" s="2429">
        <v>648</v>
      </c>
      <c r="E1217" s="2430">
        <v>0.81734125700274141</v>
      </c>
      <c r="F1217" s="2427">
        <v>0.6156333242318407</v>
      </c>
      <c r="G1217" s="2429">
        <v>1.5514063197713136E-2</v>
      </c>
      <c r="H1217" s="2430">
        <v>1.3873669739174326</v>
      </c>
      <c r="I1217" s="2427">
        <v>0.4907080971602264</v>
      </c>
      <c r="J1217" s="2431">
        <v>1.0026987718401166E-2</v>
      </c>
    </row>
    <row r="1218" spans="1:10" x14ac:dyDescent="0.2">
      <c r="A1218" s="2426" t="s">
        <v>86</v>
      </c>
      <c r="B1218" s="2427">
        <v>270</v>
      </c>
      <c r="C1218" s="2428">
        <v>170000</v>
      </c>
      <c r="D1218" s="2429">
        <v>45.9</v>
      </c>
      <c r="E1218" s="2430">
        <v>1.0216765712534268</v>
      </c>
      <c r="F1218" s="2427">
        <v>0.7695416552898009</v>
      </c>
      <c r="G1218" s="2429">
        <v>1.9392578997141419E-2</v>
      </c>
      <c r="H1218" s="2430">
        <v>9.8271827319151461E-2</v>
      </c>
      <c r="I1218" s="2427">
        <v>3.4758490215516039E-2</v>
      </c>
      <c r="J1218" s="2431">
        <v>7.1024496338674924E-4</v>
      </c>
    </row>
    <row r="1219" spans="1:10" x14ac:dyDescent="0.2">
      <c r="A1219" s="2439" t="s">
        <v>213</v>
      </c>
      <c r="B1219" s="2427">
        <v>1268</v>
      </c>
      <c r="C1219" s="2428">
        <v>1850000.0000000005</v>
      </c>
      <c r="D1219" s="2429">
        <v>2345.8000000000006</v>
      </c>
      <c r="E1219" s="2430">
        <v>4.7980958975901675</v>
      </c>
      <c r="F1219" s="2427">
        <v>3.6139956255832129</v>
      </c>
      <c r="G1219" s="2429">
        <v>9.1073296919908592E-2</v>
      </c>
      <c r="H1219" s="2430">
        <v>5.0223540855177689</v>
      </c>
      <c r="I1219" s="2427">
        <v>1.7763936023433018</v>
      </c>
      <c r="J1219" s="2431">
        <v>3.6298314490471391E-2</v>
      </c>
    </row>
    <row r="1220" spans="1:10" x14ac:dyDescent="0.2">
      <c r="A1220" s="2433" t="s">
        <v>1834</v>
      </c>
      <c r="B1220" s="2434">
        <v>1769.4</v>
      </c>
      <c r="C1220" s="2433"/>
      <c r="D1220" s="2435">
        <v>3226.6098000000006</v>
      </c>
      <c r="E1220" s="2436">
        <v>6.6953871302807899</v>
      </c>
      <c r="F1220" s="2434">
        <v>5.0430629809991618</v>
      </c>
      <c r="G1220" s="2435">
        <v>0.12708603436126678</v>
      </c>
      <c r="H1220" s="2436">
        <v>6.90816647259002</v>
      </c>
      <c r="I1220" s="2434">
        <v>2.4434005482045356</v>
      </c>
      <c r="J1220" s="2437">
        <v>4.9927742031902547E-2</v>
      </c>
    </row>
    <row r="1221" spans="1:10" x14ac:dyDescent="0.2">
      <c r="A1221" s="2426" t="s">
        <v>961</v>
      </c>
      <c r="B1221" s="2427">
        <v>0</v>
      </c>
      <c r="C1221" s="2428">
        <v>3668000</v>
      </c>
      <c r="D1221" s="2429">
        <v>0</v>
      </c>
      <c r="E1221" s="2430">
        <v>0</v>
      </c>
      <c r="F1221" s="2427">
        <v>0</v>
      </c>
      <c r="G1221" s="2429">
        <v>0</v>
      </c>
      <c r="H1221" s="2430">
        <v>0</v>
      </c>
      <c r="I1221" s="2427">
        <v>0</v>
      </c>
      <c r="J1221" s="2431">
        <v>0</v>
      </c>
    </row>
    <row r="1222" spans="1:10" x14ac:dyDescent="0.2">
      <c r="A1222" s="2426" t="s">
        <v>962</v>
      </c>
      <c r="B1222" s="2427">
        <v>0</v>
      </c>
      <c r="C1222" s="2428">
        <v>1999999.9999999998</v>
      </c>
      <c r="D1222" s="2429">
        <v>0</v>
      </c>
      <c r="E1222" s="2430">
        <v>0</v>
      </c>
      <c r="F1222" s="2427">
        <v>0</v>
      </c>
      <c r="G1222" s="2429">
        <v>0</v>
      </c>
      <c r="H1222" s="2430">
        <v>0</v>
      </c>
      <c r="I1222" s="2427">
        <v>0</v>
      </c>
      <c r="J1222" s="2431">
        <v>0</v>
      </c>
    </row>
    <row r="1223" spans="1:10" x14ac:dyDescent="0.2">
      <c r="A1223" s="2426" t="s">
        <v>963</v>
      </c>
      <c r="B1223" s="2427">
        <v>0</v>
      </c>
      <c r="C1223" s="2428">
        <v>1347999.9999999998</v>
      </c>
      <c r="D1223" s="2429">
        <v>0</v>
      </c>
      <c r="E1223" s="2430">
        <v>0</v>
      </c>
      <c r="F1223" s="2427">
        <v>0</v>
      </c>
      <c r="G1223" s="2429">
        <v>0</v>
      </c>
      <c r="H1223" s="2430">
        <v>0</v>
      </c>
      <c r="I1223" s="2427">
        <v>0</v>
      </c>
      <c r="J1223" s="2431">
        <v>0</v>
      </c>
    </row>
    <row r="1224" spans="1:10" x14ac:dyDescent="0.2">
      <c r="A1224" s="2426" t="s">
        <v>965</v>
      </c>
      <c r="B1224" s="2427">
        <v>2598.3000000000002</v>
      </c>
      <c r="C1224" s="2428">
        <v>1599999.9999999995</v>
      </c>
      <c r="D1224" s="2429">
        <v>4157.2799999999988</v>
      </c>
      <c r="E1224" s="2430">
        <v>9.8319342040288102</v>
      </c>
      <c r="F1224" s="2427">
        <v>7.4055558627388507</v>
      </c>
      <c r="G1224" s="2429">
        <v>0.18662125188249093</v>
      </c>
      <c r="H1224" s="2430">
        <v>8.9007298971102813</v>
      </c>
      <c r="I1224" s="2427">
        <v>3.1481650588923853</v>
      </c>
      <c r="J1224" s="2431">
        <v>6.43286967622759E-2</v>
      </c>
    </row>
    <row r="1225" spans="1:10" x14ac:dyDescent="0.2">
      <c r="A1225" s="2426" t="s">
        <v>966</v>
      </c>
      <c r="B1225" s="2427">
        <v>0</v>
      </c>
      <c r="C1225" s="2428">
        <v>2244000</v>
      </c>
      <c r="D1225" s="2429">
        <v>0</v>
      </c>
      <c r="E1225" s="2430">
        <v>0</v>
      </c>
      <c r="F1225" s="2427">
        <v>0</v>
      </c>
      <c r="G1225" s="2429">
        <v>0</v>
      </c>
      <c r="H1225" s="2430">
        <v>0</v>
      </c>
      <c r="I1225" s="2427">
        <v>0</v>
      </c>
      <c r="J1225" s="2431">
        <v>0</v>
      </c>
    </row>
    <row r="1226" spans="1:10" x14ac:dyDescent="0.2">
      <c r="A1226" s="2426" t="s">
        <v>1499</v>
      </c>
      <c r="B1226" s="2427">
        <v>0</v>
      </c>
      <c r="C1226" s="2428">
        <v>4849999.9999999991</v>
      </c>
      <c r="D1226" s="2429">
        <v>0</v>
      </c>
      <c r="E1226" s="2430">
        <v>0</v>
      </c>
      <c r="F1226" s="2427">
        <v>0</v>
      </c>
      <c r="G1226" s="2429">
        <v>0</v>
      </c>
      <c r="H1226" s="2430">
        <v>0</v>
      </c>
      <c r="I1226" s="2427">
        <v>0</v>
      </c>
      <c r="J1226" s="2431">
        <v>0</v>
      </c>
    </row>
    <row r="1227" spans="1:10" x14ac:dyDescent="0.2">
      <c r="A1227" s="2426" t="s">
        <v>1575</v>
      </c>
      <c r="B1227" s="2427">
        <v>0</v>
      </c>
      <c r="C1227" s="2428">
        <v>2250000.0000000005</v>
      </c>
      <c r="D1227" s="2429">
        <v>0</v>
      </c>
      <c r="E1227" s="2430">
        <v>0</v>
      </c>
      <c r="F1227" s="2427">
        <v>0</v>
      </c>
      <c r="G1227" s="2429">
        <v>0</v>
      </c>
      <c r="H1227" s="2430">
        <v>0</v>
      </c>
      <c r="I1227" s="2427">
        <v>0</v>
      </c>
      <c r="J1227" s="2431">
        <v>0</v>
      </c>
    </row>
    <row r="1228" spans="1:10" x14ac:dyDescent="0.2">
      <c r="A1228" s="2426" t="s">
        <v>964</v>
      </c>
      <c r="B1228" s="2427">
        <v>0</v>
      </c>
      <c r="C1228" s="2428">
        <v>1556000</v>
      </c>
      <c r="D1228" s="2429">
        <v>0</v>
      </c>
      <c r="E1228" s="2430">
        <v>0</v>
      </c>
      <c r="F1228" s="2427">
        <v>0</v>
      </c>
      <c r="G1228" s="2429">
        <v>0</v>
      </c>
      <c r="H1228" s="2430">
        <v>0</v>
      </c>
      <c r="I1228" s="2427">
        <v>0</v>
      </c>
      <c r="J1228" s="2431">
        <v>0</v>
      </c>
    </row>
    <row r="1229" spans="1:10" x14ac:dyDescent="0.2">
      <c r="A1229" s="2426" t="s">
        <v>969</v>
      </c>
      <c r="B1229" s="2427">
        <v>0</v>
      </c>
      <c r="C1229" s="2428">
        <v>4800000</v>
      </c>
      <c r="D1229" s="2429">
        <v>0</v>
      </c>
      <c r="E1229" s="2430">
        <v>0</v>
      </c>
      <c r="F1229" s="2427">
        <v>0</v>
      </c>
      <c r="G1229" s="2429">
        <v>0</v>
      </c>
      <c r="H1229" s="2430">
        <v>0</v>
      </c>
      <c r="I1229" s="2427">
        <v>0</v>
      </c>
      <c r="J1229" s="2431">
        <v>0</v>
      </c>
    </row>
    <row r="1230" spans="1:10" x14ac:dyDescent="0.2">
      <c r="A1230" s="2426" t="s">
        <v>968</v>
      </c>
      <c r="B1230" s="2427">
        <v>22.950000000000006</v>
      </c>
      <c r="C1230" s="2428">
        <v>3050000.0000000009</v>
      </c>
      <c r="D1230" s="2429">
        <v>69.997500000000045</v>
      </c>
      <c r="E1230" s="2430">
        <v>8.6842508556541312E-2</v>
      </c>
      <c r="F1230" s="2427">
        <v>6.5411040699633091E-2</v>
      </c>
      <c r="G1230" s="2429">
        <v>1.648369214757021E-3</v>
      </c>
      <c r="H1230" s="2430">
        <v>0.1498645366617061</v>
      </c>
      <c r="I1230" s="2427">
        <v>5.3006697578661999E-2</v>
      </c>
      <c r="J1230" s="2431">
        <v>1.0831235691647933E-3</v>
      </c>
    </row>
    <row r="1231" spans="1:10" x14ac:dyDescent="0.2">
      <c r="A1231" s="2426" t="s">
        <v>1013</v>
      </c>
      <c r="B1231" s="2427">
        <v>0</v>
      </c>
      <c r="C1231" s="2428">
        <v>1799999.9999999998</v>
      </c>
      <c r="D1231" s="2429">
        <v>0</v>
      </c>
      <c r="E1231" s="2430">
        <v>0</v>
      </c>
      <c r="F1231" s="2427">
        <v>0</v>
      </c>
      <c r="G1231" s="2429">
        <v>0</v>
      </c>
      <c r="H1231" s="2430">
        <v>0</v>
      </c>
      <c r="I1231" s="2427">
        <v>0</v>
      </c>
      <c r="J1231" s="2431">
        <v>0</v>
      </c>
    </row>
    <row r="1232" spans="1:10" x14ac:dyDescent="0.2">
      <c r="A1232" s="2426" t="s">
        <v>1014</v>
      </c>
      <c r="B1232" s="2427">
        <v>24</v>
      </c>
      <c r="C1232" s="2428">
        <v>2195000.0000000005</v>
      </c>
      <c r="D1232" s="2429">
        <v>52.680000000000014</v>
      </c>
      <c r="E1232" s="2430">
        <v>9.0815695222526832E-2</v>
      </c>
      <c r="F1232" s="2427">
        <v>6.8403702692426738E-2</v>
      </c>
      <c r="G1232" s="2429">
        <v>1.7237847997459042E-3</v>
      </c>
      <c r="H1232" s="2430">
        <v>0.11278779658328761</v>
      </c>
      <c r="I1232" s="2427">
        <v>3.9892750861729526E-2</v>
      </c>
      <c r="J1232" s="2431">
        <v>8.1515696451446541E-4</v>
      </c>
    </row>
    <row r="1233" spans="1:10" x14ac:dyDescent="0.2">
      <c r="A1233" s="2426" t="s">
        <v>970</v>
      </c>
      <c r="B1233" s="2427">
        <v>0</v>
      </c>
      <c r="C1233" s="2428">
        <v>3100000.0000000005</v>
      </c>
      <c r="D1233" s="2429">
        <v>0</v>
      </c>
      <c r="E1233" s="2430">
        <v>0</v>
      </c>
      <c r="F1233" s="2427">
        <v>0</v>
      </c>
      <c r="G1233" s="2429">
        <v>0</v>
      </c>
      <c r="H1233" s="2430">
        <v>0</v>
      </c>
      <c r="I1233" s="2427">
        <v>0</v>
      </c>
      <c r="J1233" s="2431">
        <v>0</v>
      </c>
    </row>
    <row r="1234" spans="1:10" x14ac:dyDescent="0.2">
      <c r="A1234" s="2426" t="s">
        <v>971</v>
      </c>
      <c r="B1234" s="2427">
        <v>246</v>
      </c>
      <c r="C1234" s="2428">
        <v>3010000</v>
      </c>
      <c r="D1234" s="2429">
        <v>740.46</v>
      </c>
      <c r="E1234" s="2430">
        <v>0.93086087603089995</v>
      </c>
      <c r="F1234" s="2427">
        <v>0.7011379525973741</v>
      </c>
      <c r="G1234" s="2429">
        <v>1.7668794197395515E-2</v>
      </c>
      <c r="H1234" s="2430">
        <v>1.5853236875106516</v>
      </c>
      <c r="I1234" s="2427">
        <v>0.56072487287540329</v>
      </c>
      <c r="J1234" s="2431">
        <v>1.1457690317850815E-2</v>
      </c>
    </row>
    <row r="1235" spans="1:10" x14ac:dyDescent="0.2">
      <c r="A1235" s="2426" t="s">
        <v>972</v>
      </c>
      <c r="B1235" s="2427">
        <v>0</v>
      </c>
      <c r="C1235" s="2428">
        <v>2744000.0000000005</v>
      </c>
      <c r="D1235" s="2429">
        <v>0</v>
      </c>
      <c r="E1235" s="2430">
        <v>0</v>
      </c>
      <c r="F1235" s="2427">
        <v>0</v>
      </c>
      <c r="G1235" s="2429">
        <v>0</v>
      </c>
      <c r="H1235" s="2430">
        <v>0</v>
      </c>
      <c r="I1235" s="2427">
        <v>0</v>
      </c>
      <c r="J1235" s="2431">
        <v>0</v>
      </c>
    </row>
    <row r="1236" spans="1:10" x14ac:dyDescent="0.2">
      <c r="A1236" s="2426" t="s">
        <v>973</v>
      </c>
      <c r="B1236" s="2427">
        <v>0</v>
      </c>
      <c r="C1236" s="2428">
        <v>2549999.9999999991</v>
      </c>
      <c r="D1236" s="2429">
        <v>0</v>
      </c>
      <c r="E1236" s="2430">
        <v>0</v>
      </c>
      <c r="F1236" s="2427">
        <v>0</v>
      </c>
      <c r="G1236" s="2429">
        <v>0</v>
      </c>
      <c r="H1236" s="2430">
        <v>0</v>
      </c>
      <c r="I1236" s="2427">
        <v>0</v>
      </c>
      <c r="J1236" s="2431">
        <v>0</v>
      </c>
    </row>
    <row r="1237" spans="1:10" x14ac:dyDescent="0.2">
      <c r="A1237" s="2426" t="s">
        <v>974</v>
      </c>
      <c r="B1237" s="2427">
        <v>20</v>
      </c>
      <c r="C1237" s="2428">
        <v>1583999.9999999995</v>
      </c>
      <c r="D1237" s="2429">
        <v>31.679999999999993</v>
      </c>
      <c r="E1237" s="2430">
        <v>7.5679746018772351E-2</v>
      </c>
      <c r="F1237" s="2427">
        <v>5.7003085577022279E-2</v>
      </c>
      <c r="G1237" s="2429">
        <v>1.4364873331215865E-3</v>
      </c>
      <c r="H1237" s="2430">
        <v>6.7826829835963359E-2</v>
      </c>
      <c r="I1237" s="2427">
        <v>2.3990173638944397E-2</v>
      </c>
      <c r="J1237" s="2431">
        <v>4.9020828845516796E-4</v>
      </c>
    </row>
    <row r="1238" spans="1:10" x14ac:dyDescent="0.2">
      <c r="A1238" s="2426" t="s">
        <v>975</v>
      </c>
      <c r="B1238" s="2427">
        <v>22.5</v>
      </c>
      <c r="C1238" s="2428">
        <v>2532000.0000000009</v>
      </c>
      <c r="D1238" s="2429">
        <v>56.97000000000002</v>
      </c>
      <c r="E1238" s="2430">
        <v>8.513971427111891E-2</v>
      </c>
      <c r="F1238" s="2427">
        <v>6.412847127415007E-2</v>
      </c>
      <c r="G1238" s="2429">
        <v>1.616048249761785E-3</v>
      </c>
      <c r="H1238" s="2430">
        <v>0.12197267979024098</v>
      </c>
      <c r="I1238" s="2427">
        <v>4.3141420208669921E-2</v>
      </c>
      <c r="J1238" s="2431">
        <v>8.8153933690943609E-4</v>
      </c>
    </row>
    <row r="1239" spans="1:10" x14ac:dyDescent="0.2">
      <c r="A1239" s="2426" t="s">
        <v>976</v>
      </c>
      <c r="B1239" s="2427">
        <v>0</v>
      </c>
      <c r="C1239" s="2428">
        <v>7394999.9999999991</v>
      </c>
      <c r="D1239" s="2429">
        <v>0</v>
      </c>
      <c r="E1239" s="2430">
        <v>0</v>
      </c>
      <c r="F1239" s="2427">
        <v>0</v>
      </c>
      <c r="G1239" s="2429">
        <v>0</v>
      </c>
      <c r="H1239" s="2430">
        <v>0</v>
      </c>
      <c r="I1239" s="2427">
        <v>0</v>
      </c>
      <c r="J1239" s="2431">
        <v>0</v>
      </c>
    </row>
    <row r="1240" spans="1:10" x14ac:dyDescent="0.2">
      <c r="A1240" s="2426" t="s">
        <v>286</v>
      </c>
      <c r="B1240" s="2427">
        <v>0</v>
      </c>
      <c r="C1240" s="2428">
        <v>2445000.0000000005</v>
      </c>
      <c r="D1240" s="2429">
        <v>0</v>
      </c>
      <c r="E1240" s="2430">
        <v>0</v>
      </c>
      <c r="F1240" s="2427">
        <v>0</v>
      </c>
      <c r="G1240" s="2429">
        <v>0</v>
      </c>
      <c r="H1240" s="2430">
        <v>0</v>
      </c>
      <c r="I1240" s="2427">
        <v>0</v>
      </c>
      <c r="J1240" s="2431">
        <v>0</v>
      </c>
    </row>
    <row r="1241" spans="1:10" x14ac:dyDescent="0.2">
      <c r="A1241" s="2439" t="s">
        <v>978</v>
      </c>
      <c r="B1241" s="2427">
        <v>0</v>
      </c>
      <c r="C1241" s="2428">
        <v>1850000.0000000002</v>
      </c>
      <c r="D1241" s="2429">
        <v>0</v>
      </c>
      <c r="E1241" s="2430">
        <v>0</v>
      </c>
      <c r="F1241" s="2427">
        <v>0</v>
      </c>
      <c r="G1241" s="2429">
        <v>0</v>
      </c>
      <c r="H1241" s="2430">
        <v>0</v>
      </c>
      <c r="I1241" s="2427">
        <v>0</v>
      </c>
      <c r="J1241" s="2431">
        <v>0</v>
      </c>
    </row>
    <row r="1242" spans="1:10" x14ac:dyDescent="0.2">
      <c r="A1242" s="2426" t="s">
        <v>1163</v>
      </c>
      <c r="B1242" s="2427">
        <v>0</v>
      </c>
      <c r="C1242" s="2428">
        <v>0</v>
      </c>
      <c r="D1242" s="2429">
        <v>0</v>
      </c>
      <c r="E1242" s="2430">
        <v>0</v>
      </c>
      <c r="F1242" s="2427">
        <v>0</v>
      </c>
      <c r="G1242" s="2429">
        <v>0</v>
      </c>
      <c r="H1242" s="2430">
        <v>0</v>
      </c>
      <c r="I1242" s="2427">
        <v>0</v>
      </c>
      <c r="J1242" s="2431">
        <v>0</v>
      </c>
    </row>
    <row r="1243" spans="1:10" x14ac:dyDescent="0.2">
      <c r="A1243" s="2433" t="s">
        <v>287</v>
      </c>
      <c r="B1243" s="2434">
        <v>2933.75</v>
      </c>
      <c r="C1243" s="2433"/>
      <c r="D1243" s="2435">
        <v>5109.0675000000001</v>
      </c>
      <c r="E1243" s="2436">
        <v>11.101272744128671</v>
      </c>
      <c r="F1243" s="2434">
        <v>8.3616401155794566</v>
      </c>
      <c r="G1243" s="2435">
        <v>0.21071473567727275</v>
      </c>
      <c r="H1243" s="2436">
        <v>10.938505427492133</v>
      </c>
      <c r="I1243" s="2434">
        <v>3.8689209740557953</v>
      </c>
      <c r="J1243" s="2437">
        <v>7.9056415239170605E-2</v>
      </c>
    </row>
    <row r="1244" spans="1:10" x14ac:dyDescent="0.2">
      <c r="A1244" s="2440" t="s">
        <v>1835</v>
      </c>
      <c r="B1244" s="2441">
        <v>4703.1499999999996</v>
      </c>
      <c r="C1244" s="2440"/>
      <c r="D1244" s="2442">
        <v>8335.6773000000012</v>
      </c>
      <c r="E1244" s="2443">
        <v>17.79665987440946</v>
      </c>
      <c r="F1244" s="2441">
        <v>13.404703096578615</v>
      </c>
      <c r="G1244" s="2442">
        <v>0.33780077003853948</v>
      </c>
      <c r="H1244" s="2443">
        <v>17.846671900082157</v>
      </c>
      <c r="I1244" s="2441">
        <v>6.3123215222603308</v>
      </c>
      <c r="J1244" s="2444">
        <v>0.12898415727107315</v>
      </c>
    </row>
    <row r="1245" spans="1:10" x14ac:dyDescent="0.2">
      <c r="A1245" s="2456" t="s">
        <v>194</v>
      </c>
      <c r="B1245" s="2441">
        <v>26427.15</v>
      </c>
      <c r="C1245" s="2440"/>
      <c r="D1245" s="2442">
        <v>46707.180737500021</v>
      </c>
      <c r="E1245" s="2443">
        <v>99.999999999999986</v>
      </c>
      <c r="F1245" s="2441">
        <v>75.321454650340229</v>
      </c>
      <c r="G1245" s="2442">
        <v>1.8981133112752069</v>
      </c>
      <c r="H1245" s="2443">
        <v>99.999999999999986</v>
      </c>
      <c r="I1245" s="2441">
        <v>35.369740406508363</v>
      </c>
      <c r="J1245" s="2444">
        <v>0.72273507348156829</v>
      </c>
    </row>
    <row r="1246" spans="1:10" x14ac:dyDescent="0.2">
      <c r="A1246" s="2451" t="s">
        <v>1852</v>
      </c>
      <c r="B1246" s="2427"/>
      <c r="C1246" s="2452"/>
      <c r="D1246" s="2429"/>
      <c r="E1246" s="2430"/>
      <c r="F1246" s="2427">
        <v>0</v>
      </c>
      <c r="G1246" s="2429"/>
      <c r="H1246" s="2430"/>
      <c r="I1246" s="2427">
        <v>0</v>
      </c>
      <c r="J1246" s="2431">
        <v>0</v>
      </c>
    </row>
    <row r="1247" spans="1:10" x14ac:dyDescent="0.2">
      <c r="A1247" s="2453" t="s">
        <v>1836</v>
      </c>
      <c r="B1247" s="2427">
        <v>0</v>
      </c>
      <c r="C1247" s="2428">
        <v>8033612.4975057133</v>
      </c>
      <c r="D1247" s="2429">
        <v>0</v>
      </c>
      <c r="E1247" s="2430">
        <v>0</v>
      </c>
      <c r="F1247" s="2427">
        <v>0</v>
      </c>
      <c r="G1247" s="2429">
        <v>0</v>
      </c>
      <c r="H1247" s="2430">
        <v>0</v>
      </c>
      <c r="I1247" s="2427">
        <v>0</v>
      </c>
      <c r="J1247" s="2431">
        <v>0</v>
      </c>
    </row>
    <row r="1248" spans="1:10" x14ac:dyDescent="0.2">
      <c r="A1248" s="2453" t="s">
        <v>1837</v>
      </c>
      <c r="B1248" s="2427">
        <v>2602.4499999999998</v>
      </c>
      <c r="C1248" s="2428">
        <v>2214764.1578067578</v>
      </c>
      <c r="D1248" s="2429">
        <v>5763.8129824841963</v>
      </c>
      <c r="E1248" s="2430">
        <v>97.881727264863073</v>
      </c>
      <c r="F1248" s="2427">
        <v>7.4173840029960818</v>
      </c>
      <c r="G1248" s="2429">
        <v>0.18691932300411365</v>
      </c>
      <c r="H1248" s="2430">
        <v>91.585093799751007</v>
      </c>
      <c r="I1248" s="2427">
        <v>4.3647371929355394</v>
      </c>
      <c r="J1248" s="2431">
        <v>8.9187780843410849E-2</v>
      </c>
    </row>
    <row r="1249" spans="1:10" x14ac:dyDescent="0.2">
      <c r="A1249" s="2454" t="s">
        <v>309</v>
      </c>
      <c r="B1249" s="2434">
        <v>2602.4499999999998</v>
      </c>
      <c r="C1249" s="2433"/>
      <c r="D1249" s="2435">
        <v>5763.8129824841963</v>
      </c>
      <c r="E1249" s="2436">
        <v>97.881727264863073</v>
      </c>
      <c r="F1249" s="2434">
        <v>7.4173840029960818</v>
      </c>
      <c r="G1249" s="2435">
        <v>0.18691932300411365</v>
      </c>
      <c r="H1249" s="2436">
        <v>91.585093799751007</v>
      </c>
      <c r="I1249" s="2434">
        <v>4.3647371929355394</v>
      </c>
      <c r="J1249" s="2437">
        <v>8.9187780843410849E-2</v>
      </c>
    </row>
    <row r="1250" spans="1:10" x14ac:dyDescent="0.2">
      <c r="A1250" s="2453" t="s">
        <v>1838</v>
      </c>
      <c r="B1250" s="2427">
        <v>0</v>
      </c>
      <c r="C1250" s="2428">
        <v>10407427.50198495</v>
      </c>
      <c r="D1250" s="2429">
        <v>0</v>
      </c>
      <c r="E1250" s="2430">
        <v>0</v>
      </c>
      <c r="F1250" s="2427">
        <v>0</v>
      </c>
      <c r="G1250" s="2429">
        <v>0</v>
      </c>
      <c r="H1250" s="2430">
        <v>0</v>
      </c>
      <c r="I1250" s="2427">
        <v>0</v>
      </c>
      <c r="J1250" s="2431">
        <v>0</v>
      </c>
    </row>
    <row r="1251" spans="1:10" x14ac:dyDescent="0.2">
      <c r="A1251" s="2454" t="s">
        <v>315</v>
      </c>
      <c r="B1251" s="2434">
        <v>0</v>
      </c>
      <c r="C1251" s="2455"/>
      <c r="D1251" s="2435">
        <v>0</v>
      </c>
      <c r="E1251" s="2436">
        <v>0</v>
      </c>
      <c r="F1251" s="2434">
        <v>0</v>
      </c>
      <c r="G1251" s="2435">
        <v>0</v>
      </c>
      <c r="H1251" s="2436">
        <v>0</v>
      </c>
      <c r="I1251" s="2434">
        <v>0</v>
      </c>
      <c r="J1251" s="2437">
        <v>0</v>
      </c>
    </row>
    <row r="1252" spans="1:10" x14ac:dyDescent="0.2">
      <c r="A1252" s="2453" t="s">
        <v>1541</v>
      </c>
      <c r="B1252" s="2427">
        <v>17.82</v>
      </c>
      <c r="C1252" s="2428">
        <v>10553660</v>
      </c>
      <c r="D1252" s="2429">
        <v>188.06622120000003</v>
      </c>
      <c r="E1252" s="2430">
        <v>0.67023473260191746</v>
      </c>
      <c r="F1252" s="2427">
        <v>5.078974924912686E-2</v>
      </c>
      <c r="G1252" s="2429">
        <v>1.2799102138113336E-3</v>
      </c>
      <c r="H1252" s="2430">
        <v>2.9883104398961904</v>
      </c>
      <c r="I1252" s="2427">
        <v>0.14241607645858989</v>
      </c>
      <c r="J1252" s="2431">
        <v>2.9100890281149958E-3</v>
      </c>
    </row>
    <row r="1253" spans="1:10" x14ac:dyDescent="0.2">
      <c r="A1253" s="2453" t="s">
        <v>206</v>
      </c>
      <c r="B1253" s="2427">
        <v>36.25</v>
      </c>
      <c r="C1253" s="2428">
        <v>6960000</v>
      </c>
      <c r="D1253" s="2429">
        <v>252.3</v>
      </c>
      <c r="E1253" s="2430">
        <v>1.3634124049842595</v>
      </c>
      <c r="F1253" s="2427">
        <v>0.1033180926083529</v>
      </c>
      <c r="G1253" s="2429">
        <v>2.6036332912828756E-3</v>
      </c>
      <c r="H1253" s="2430">
        <v>4.0089640722031419</v>
      </c>
      <c r="I1253" s="2427">
        <v>0.19105810634803261</v>
      </c>
      <c r="J1253" s="2431">
        <v>3.9040262366552688E-3</v>
      </c>
    </row>
    <row r="1254" spans="1:10" x14ac:dyDescent="0.2">
      <c r="A1254" s="2454" t="s">
        <v>310</v>
      </c>
      <c r="B1254" s="2434">
        <v>54.07</v>
      </c>
      <c r="C1254" s="2455"/>
      <c r="D1254" s="2435">
        <v>440.36622120000004</v>
      </c>
      <c r="E1254" s="2436">
        <v>2.0336471375861769</v>
      </c>
      <c r="F1254" s="2434">
        <v>0.15410784185747975</v>
      </c>
      <c r="G1254" s="2435">
        <v>3.8835435050942092E-3</v>
      </c>
      <c r="H1254" s="2436">
        <v>6.9972745120993327</v>
      </c>
      <c r="I1254" s="2434">
        <v>0.3334741828066225</v>
      </c>
      <c r="J1254" s="2437">
        <v>6.8141152647702647E-3</v>
      </c>
    </row>
    <row r="1255" spans="1:10" x14ac:dyDescent="0.2">
      <c r="A1255" s="2453" t="s">
        <v>1839</v>
      </c>
      <c r="B1255" s="2427">
        <v>2.25</v>
      </c>
      <c r="C1255" s="2428">
        <v>39652080.629353955</v>
      </c>
      <c r="D1255" s="2429">
        <v>89.217181416046401</v>
      </c>
      <c r="E1255" s="2430">
        <v>8.4625597550747153E-2</v>
      </c>
      <c r="F1255" s="2427">
        <v>6.4128471274150067E-3</v>
      </c>
      <c r="G1255" s="2429">
        <v>1.616048249761785E-4</v>
      </c>
      <c r="H1255" s="2430">
        <v>1.4176316881496625</v>
      </c>
      <c r="I1255" s="2427">
        <v>6.7561100812757485E-2</v>
      </c>
      <c r="J1255" s="2431">
        <v>1.3805240468041141E-3</v>
      </c>
    </row>
    <row r="1256" spans="1:10" x14ac:dyDescent="0.2">
      <c r="A1256" s="2454" t="s">
        <v>311</v>
      </c>
      <c r="B1256" s="2434">
        <v>2.25</v>
      </c>
      <c r="C1256" s="2433"/>
      <c r="D1256" s="2435">
        <v>89.217181416046401</v>
      </c>
      <c r="E1256" s="2436">
        <v>8.4625597550747153E-2</v>
      </c>
      <c r="F1256" s="2434">
        <v>6.4128471274150067E-3</v>
      </c>
      <c r="G1256" s="2435">
        <v>1.616048249761785E-4</v>
      </c>
      <c r="H1256" s="2436">
        <v>1.4176316881496625</v>
      </c>
      <c r="I1256" s="2434">
        <v>6.7561100812757485E-2</v>
      </c>
      <c r="J1256" s="2437">
        <v>1.3805240468041141E-3</v>
      </c>
    </row>
    <row r="1257" spans="1:10" x14ac:dyDescent="0.2">
      <c r="A1257" s="2456" t="s">
        <v>129</v>
      </c>
      <c r="B1257" s="2441">
        <v>2658.77</v>
      </c>
      <c r="C1257" s="2440"/>
      <c r="D1257" s="2442">
        <v>6293.3963851002427</v>
      </c>
      <c r="E1257" s="2443">
        <v>99.999999999999986</v>
      </c>
      <c r="F1257" s="2441">
        <v>7.5779046919809776</v>
      </c>
      <c r="G1257" s="2442">
        <v>0.19096447133418404</v>
      </c>
      <c r="H1257" s="2443">
        <v>100.00000000000001</v>
      </c>
      <c r="I1257" s="2441">
        <v>4.7657724765549192</v>
      </c>
      <c r="J1257" s="2444">
        <v>9.738242015498523E-2</v>
      </c>
    </row>
    <row r="1258" spans="1:10" x14ac:dyDescent="0.2">
      <c r="A1258" s="2451" t="s">
        <v>1853</v>
      </c>
      <c r="B1258" s="2427"/>
      <c r="C1258" s="2452"/>
      <c r="D1258" s="2429"/>
      <c r="E1258" s="2430"/>
      <c r="F1258" s="2427">
        <v>0</v>
      </c>
      <c r="G1258" s="2429"/>
      <c r="H1258" s="2430"/>
      <c r="I1258" s="2427">
        <v>0</v>
      </c>
      <c r="J1258" s="2431">
        <v>0</v>
      </c>
    </row>
    <row r="1259" spans="1:10" x14ac:dyDescent="0.2">
      <c r="A1259" s="2426" t="s">
        <v>1543</v>
      </c>
      <c r="B1259" s="2427">
        <v>5950</v>
      </c>
      <c r="C1259" s="2428">
        <v>13200000</v>
      </c>
      <c r="D1259" s="2429">
        <v>78540</v>
      </c>
      <c r="E1259" s="2430">
        <v>99.168319471991211</v>
      </c>
      <c r="F1259" s="2427">
        <v>16.95841795916413</v>
      </c>
      <c r="G1259" s="2429">
        <v>0.42735498160367208</v>
      </c>
      <c r="H1259" s="2430">
        <v>99.350452459467633</v>
      </c>
      <c r="I1259" s="2427">
        <v>59.475638813216335</v>
      </c>
      <c r="J1259" s="2431">
        <v>1.2153080484617709</v>
      </c>
    </row>
    <row r="1260" spans="1:10" x14ac:dyDescent="0.2">
      <c r="A1260" s="2426" t="s">
        <v>208</v>
      </c>
      <c r="B1260" s="2427">
        <v>34.5</v>
      </c>
      <c r="C1260" s="2428">
        <v>10000000</v>
      </c>
      <c r="D1260" s="2429">
        <v>345</v>
      </c>
      <c r="E1260" s="2430">
        <v>0.5750095834930582</v>
      </c>
      <c r="F1260" s="2427">
        <v>9.8330322620363439E-2</v>
      </c>
      <c r="G1260" s="2429">
        <v>2.4779406496347372E-3</v>
      </c>
      <c r="H1260" s="2430">
        <v>0.43641337023830318</v>
      </c>
      <c r="I1260" s="2427">
        <v>0.26125662580289832</v>
      </c>
      <c r="J1260" s="2431">
        <v>5.3384425352598804E-3</v>
      </c>
    </row>
    <row r="1261" spans="1:10" x14ac:dyDescent="0.2">
      <c r="A1261" s="2426" t="s">
        <v>209</v>
      </c>
      <c r="B1261" s="2427">
        <v>0</v>
      </c>
      <c r="C1261" s="2428">
        <v>10000000</v>
      </c>
      <c r="D1261" s="2429">
        <v>0</v>
      </c>
      <c r="E1261" s="2430">
        <v>0</v>
      </c>
      <c r="F1261" s="2427">
        <v>0</v>
      </c>
      <c r="G1261" s="2429">
        <v>0</v>
      </c>
      <c r="H1261" s="2430">
        <v>0</v>
      </c>
      <c r="I1261" s="2427">
        <v>0</v>
      </c>
      <c r="J1261" s="2431">
        <v>0</v>
      </c>
    </row>
    <row r="1262" spans="1:10" x14ac:dyDescent="0.2">
      <c r="A1262" s="2426" t="s">
        <v>210</v>
      </c>
      <c r="B1262" s="2427">
        <v>0</v>
      </c>
      <c r="C1262" s="2428">
        <v>18500000</v>
      </c>
      <c r="D1262" s="2429">
        <v>0</v>
      </c>
      <c r="E1262" s="2430">
        <v>0</v>
      </c>
      <c r="F1262" s="2427">
        <v>0</v>
      </c>
      <c r="G1262" s="2429">
        <v>0</v>
      </c>
      <c r="H1262" s="2430">
        <v>0</v>
      </c>
      <c r="I1262" s="2427">
        <v>0</v>
      </c>
      <c r="J1262" s="2431">
        <v>0</v>
      </c>
    </row>
    <row r="1263" spans="1:10" x14ac:dyDescent="0.2">
      <c r="A1263" s="2426" t="s">
        <v>1545</v>
      </c>
      <c r="B1263" s="2427">
        <v>3.45</v>
      </c>
      <c r="C1263" s="2428">
        <v>14200000</v>
      </c>
      <c r="D1263" s="2429">
        <v>48.99</v>
      </c>
      <c r="E1263" s="2430">
        <v>5.7500958349305825E-2</v>
      </c>
      <c r="F1263" s="2427">
        <v>9.8330322620363442E-3</v>
      </c>
      <c r="G1263" s="2429">
        <v>2.4779406496347375E-4</v>
      </c>
      <c r="H1263" s="2430">
        <v>6.1970698573839057E-2</v>
      </c>
      <c r="I1263" s="2427">
        <v>3.7098440864011567E-2</v>
      </c>
      <c r="J1263" s="2431">
        <v>7.5805884000690305E-4</v>
      </c>
    </row>
    <row r="1264" spans="1:10" x14ac:dyDescent="0.2">
      <c r="A1264" s="2426" t="s">
        <v>1546</v>
      </c>
      <c r="B1264" s="2427">
        <v>11.95</v>
      </c>
      <c r="C1264" s="2428">
        <v>10000000</v>
      </c>
      <c r="D1264" s="2429">
        <v>119.5</v>
      </c>
      <c r="E1264" s="2430">
        <v>0.19916998616643611</v>
      </c>
      <c r="F1264" s="2427">
        <v>3.4059343632270811E-2</v>
      </c>
      <c r="G1264" s="2429">
        <v>8.5830118154014805E-4</v>
      </c>
      <c r="H1264" s="2430">
        <v>0.15116347172022385</v>
      </c>
      <c r="I1264" s="2427">
        <v>9.0493237053467679E-2</v>
      </c>
      <c r="J1264" s="2431">
        <v>1.8491127042421904E-3</v>
      </c>
    </row>
    <row r="1265" spans="1:12" x14ac:dyDescent="0.2">
      <c r="A1265" s="2456" t="s">
        <v>121</v>
      </c>
      <c r="B1265" s="2441">
        <v>5999.9</v>
      </c>
      <c r="C1265" s="2440"/>
      <c r="D1265" s="2442">
        <v>79053.490000000005</v>
      </c>
      <c r="E1265" s="2443">
        <v>100.00000000000001</v>
      </c>
      <c r="F1265" s="2441">
        <v>17.100640657678802</v>
      </c>
      <c r="G1265" s="2442">
        <v>0.43093901749981034</v>
      </c>
      <c r="H1265" s="2443">
        <v>100</v>
      </c>
      <c r="I1265" s="2441">
        <v>59.864487116936715</v>
      </c>
      <c r="J1265" s="2444">
        <v>1.22325366254128</v>
      </c>
    </row>
    <row r="1266" spans="1:12" ht="14.25" thickBot="1" x14ac:dyDescent="0.25">
      <c r="A1266" s="2457" t="s">
        <v>1840</v>
      </c>
      <c r="B1266" s="2446">
        <v>35085.82</v>
      </c>
      <c r="C1266" s="2458"/>
      <c r="D1266" s="2448">
        <v>132054.06712260027</v>
      </c>
      <c r="E1266" s="2459"/>
      <c r="F1266" s="2460">
        <v>100</v>
      </c>
      <c r="G1266" s="2461">
        <v>2.5200168001092016</v>
      </c>
      <c r="H1266" s="2462"/>
      <c r="I1266" s="2460">
        <v>100</v>
      </c>
      <c r="J1266" s="2463">
        <v>2.0433711561778334</v>
      </c>
    </row>
    <row r="1267" spans="1:12" ht="15" thickBot="1" x14ac:dyDescent="0.25">
      <c r="A1267" s="2464" t="s">
        <v>1841</v>
      </c>
      <c r="B1267" s="2465">
        <v>1392285.1624830281</v>
      </c>
      <c r="C1267" s="2466"/>
      <c r="D1267" s="2467">
        <v>6462559.0276810033</v>
      </c>
      <c r="E1267" s="2468"/>
      <c r="F1267" s="2469"/>
      <c r="G1267" s="2469"/>
      <c r="H1267" s="2469"/>
      <c r="I1267" s="2469"/>
      <c r="J1267" s="2469"/>
    </row>
    <row r="1268" spans="1:12" ht="16.5" thickBot="1" x14ac:dyDescent="0.3">
      <c r="A1268" s="2470" t="s">
        <v>1842</v>
      </c>
      <c r="B1268" s="2471">
        <v>2.5200168001092016</v>
      </c>
      <c r="C1268" s="2472"/>
      <c r="D1268" s="2473">
        <v>2.0433711561778334</v>
      </c>
      <c r="E1268" s="2468"/>
      <c r="F1268" s="2469"/>
      <c r="G1268" s="2469"/>
      <c r="H1268" s="2469"/>
      <c r="I1268" s="2469"/>
      <c r="J1268" s="2469"/>
    </row>
    <row r="1269" spans="1:12" x14ac:dyDescent="0.2">
      <c r="A1269" s="2474" t="s">
        <v>2023</v>
      </c>
      <c r="B1269" s="2474"/>
      <c r="C1269" s="2474"/>
      <c r="D1269" s="2475"/>
      <c r="E1269" s="2474"/>
      <c r="F1269" s="2474"/>
      <c r="H1269" s="2474"/>
      <c r="I1269" s="2474"/>
      <c r="J1269" s="2474"/>
    </row>
    <row r="1270" spans="1:12" x14ac:dyDescent="0.2">
      <c r="A1270" s="2474" t="s">
        <v>1843</v>
      </c>
      <c r="B1270" s="2474"/>
      <c r="C1270" s="2474"/>
      <c r="D1270" s="2474"/>
      <c r="E1270" s="2474"/>
      <c r="F1270" s="2474"/>
      <c r="G1270" s="2474"/>
      <c r="H1270" s="2474"/>
      <c r="I1270" s="2474"/>
      <c r="J1270" s="2474"/>
    </row>
    <row r="1271" spans="1:12" x14ac:dyDescent="0.2">
      <c r="A1271" s="2474" t="s">
        <v>2024</v>
      </c>
      <c r="B1271" s="2474"/>
      <c r="C1271" s="2474"/>
      <c r="D1271" s="2474"/>
      <c r="E1271" s="2474"/>
      <c r="F1271" s="2474"/>
      <c r="G1271" s="2474"/>
      <c r="H1271" s="2474"/>
      <c r="I1271" s="2474"/>
      <c r="J1271" s="2474"/>
    </row>
    <row r="1275" spans="1:12" ht="13.5" thickBot="1" x14ac:dyDescent="0.25">
      <c r="A1275" s="3321" t="s">
        <v>2021</v>
      </c>
      <c r="B1275" s="3321"/>
      <c r="C1275" s="3321"/>
      <c r="D1275" s="3321"/>
      <c r="E1275" s="3321"/>
      <c r="F1275" s="3321"/>
      <c r="G1275" s="3321"/>
      <c r="H1275" s="3321"/>
      <c r="I1275" s="3321"/>
      <c r="J1275" s="3321"/>
    </row>
    <row r="1276" spans="1:12" ht="13.5" customHeight="1" thickBot="1" x14ac:dyDescent="0.25">
      <c r="A1276" s="3322" t="s">
        <v>367</v>
      </c>
      <c r="B1276" s="3324" t="s">
        <v>1272</v>
      </c>
      <c r="C1276" s="3324" t="s">
        <v>1832</v>
      </c>
      <c r="D1276" s="3326" t="s">
        <v>1844</v>
      </c>
      <c r="E1276" s="3328" t="s">
        <v>1849</v>
      </c>
      <c r="F1276" s="3329"/>
      <c r="G1276" s="3330"/>
      <c r="H1276" s="3328" t="s">
        <v>1850</v>
      </c>
      <c r="I1276" s="3329"/>
      <c r="J1276" s="3331"/>
    </row>
    <row r="1277" spans="1:12" ht="13.5" customHeight="1" thickBot="1" x14ac:dyDescent="0.25">
      <c r="A1277" s="3323"/>
      <c r="B1277" s="3325"/>
      <c r="C1277" s="3325"/>
      <c r="D1277" s="3327"/>
      <c r="E1277" s="2415" t="s">
        <v>1848</v>
      </c>
      <c r="F1277" s="2416" t="s">
        <v>1231</v>
      </c>
      <c r="G1277" s="2417" t="s">
        <v>1833</v>
      </c>
      <c r="H1277" s="2415" t="s">
        <v>1848</v>
      </c>
      <c r="I1277" s="2416" t="s">
        <v>1231</v>
      </c>
      <c r="J1277" s="2418" t="s">
        <v>1833</v>
      </c>
    </row>
    <row r="1278" spans="1:12" x14ac:dyDescent="0.2">
      <c r="A1278" s="2419" t="s">
        <v>1851</v>
      </c>
      <c r="B1278" s="2420"/>
      <c r="C1278" s="2420"/>
      <c r="D1278" s="2421"/>
      <c r="E1278" s="2422"/>
      <c r="F1278" s="2423"/>
      <c r="G1278" s="2424"/>
      <c r="H1278" s="2422"/>
      <c r="I1278" s="2423"/>
      <c r="J1278" s="2425"/>
      <c r="L1278" s="2480"/>
    </row>
    <row r="1279" spans="1:12" x14ac:dyDescent="0.2">
      <c r="A1279" s="2426" t="s">
        <v>410</v>
      </c>
      <c r="B1279" s="2427">
        <v>0</v>
      </c>
      <c r="C1279" s="2428">
        <v>5667200.0000000009</v>
      </c>
      <c r="D1279" s="2429">
        <v>0</v>
      </c>
      <c r="E1279" s="2430">
        <v>0</v>
      </c>
      <c r="F1279" s="2427">
        <v>0</v>
      </c>
      <c r="G1279" s="2429">
        <v>0</v>
      </c>
      <c r="H1279" s="2430">
        <v>0</v>
      </c>
      <c r="I1279" s="2427">
        <v>0</v>
      </c>
      <c r="J1279" s="2431">
        <v>0</v>
      </c>
      <c r="L1279" s="2480"/>
    </row>
    <row r="1280" spans="1:12" x14ac:dyDescent="0.2">
      <c r="A1280" s="2426" t="s">
        <v>411</v>
      </c>
      <c r="B1280" s="2427">
        <v>20977.8</v>
      </c>
      <c r="C1280" s="2428">
        <v>1753716.5000000002</v>
      </c>
      <c r="D1280" s="2429">
        <v>36789.113993700004</v>
      </c>
      <c r="E1280" s="2430">
        <v>93.574028476608504</v>
      </c>
      <c r="F1280" s="2427">
        <v>54.834422669683427</v>
      </c>
      <c r="G1280" s="2429">
        <v>1.5067171988379009</v>
      </c>
      <c r="H1280" s="2430">
        <v>91.949186929525453</v>
      </c>
      <c r="I1280" s="2427">
        <v>20.133626551553995</v>
      </c>
      <c r="J1280" s="2431">
        <v>0.56926542312606543</v>
      </c>
    </row>
    <row r="1281" spans="1:12" x14ac:dyDescent="0.2">
      <c r="A1281" s="2426" t="s">
        <v>278</v>
      </c>
      <c r="B1281" s="2427">
        <v>0</v>
      </c>
      <c r="C1281" s="2428">
        <v>1637875</v>
      </c>
      <c r="D1281" s="2429">
        <v>0</v>
      </c>
      <c r="E1281" s="2430">
        <v>0</v>
      </c>
      <c r="F1281" s="2427">
        <v>0</v>
      </c>
      <c r="G1281" s="2429">
        <v>0</v>
      </c>
      <c r="H1281" s="2430">
        <v>0</v>
      </c>
      <c r="I1281" s="2427">
        <v>0</v>
      </c>
      <c r="J1281" s="2431">
        <v>0</v>
      </c>
    </row>
    <row r="1282" spans="1:12" x14ac:dyDescent="0.2">
      <c r="A1282" s="2426" t="s">
        <v>200</v>
      </c>
      <c r="B1282" s="2427">
        <v>0</v>
      </c>
      <c r="C1282" s="2428">
        <v>7709114.5</v>
      </c>
      <c r="D1282" s="2429">
        <v>0</v>
      </c>
      <c r="E1282" s="2430">
        <v>0</v>
      </c>
      <c r="F1282" s="2427">
        <v>0</v>
      </c>
      <c r="G1282" s="2429">
        <v>0</v>
      </c>
      <c r="H1282" s="2430">
        <v>0</v>
      </c>
      <c r="I1282" s="2427">
        <v>0</v>
      </c>
      <c r="J1282" s="2431">
        <v>0</v>
      </c>
      <c r="L1282" s="2480"/>
    </row>
    <row r="1283" spans="1:12" x14ac:dyDescent="0.2">
      <c r="A1283" s="2426" t="s">
        <v>429</v>
      </c>
      <c r="B1283" s="2427">
        <v>0</v>
      </c>
      <c r="C1283" s="2428">
        <v>1255000</v>
      </c>
      <c r="D1283" s="2429">
        <v>0</v>
      </c>
      <c r="E1283" s="2430">
        <v>0</v>
      </c>
      <c r="F1283" s="2427">
        <v>0</v>
      </c>
      <c r="G1283" s="2429">
        <v>0</v>
      </c>
      <c r="H1283" s="2430">
        <v>0</v>
      </c>
      <c r="I1283" s="2427">
        <v>0</v>
      </c>
      <c r="J1283" s="2431">
        <v>0</v>
      </c>
    </row>
    <row r="1284" spans="1:12" x14ac:dyDescent="0.2">
      <c r="A1284" s="2432" t="s">
        <v>431</v>
      </c>
      <c r="B1284" s="2427">
        <v>0</v>
      </c>
      <c r="C1284" s="2428">
        <v>0</v>
      </c>
      <c r="D1284" s="2429">
        <v>0</v>
      </c>
      <c r="E1284" s="2430">
        <v>0</v>
      </c>
      <c r="F1284" s="2427">
        <v>0</v>
      </c>
      <c r="G1284" s="2429">
        <v>0</v>
      </c>
      <c r="H1284" s="2430">
        <v>0</v>
      </c>
      <c r="I1284" s="2427">
        <v>0</v>
      </c>
      <c r="J1284" s="2431">
        <v>0</v>
      </c>
    </row>
    <row r="1285" spans="1:12" x14ac:dyDescent="0.2">
      <c r="A1285" s="2432" t="s">
        <v>430</v>
      </c>
      <c r="B1285" s="2427">
        <v>0</v>
      </c>
      <c r="C1285" s="2428">
        <v>0</v>
      </c>
      <c r="D1285" s="2429">
        <v>0</v>
      </c>
      <c r="E1285" s="2430">
        <v>0</v>
      </c>
      <c r="F1285" s="2427">
        <v>0</v>
      </c>
      <c r="G1285" s="2429">
        <v>0</v>
      </c>
      <c r="H1285" s="2430">
        <v>0</v>
      </c>
      <c r="I1285" s="2427">
        <v>0</v>
      </c>
      <c r="J1285" s="2431">
        <v>0</v>
      </c>
    </row>
    <row r="1286" spans="1:12" x14ac:dyDescent="0.2">
      <c r="A1286" s="2433" t="s">
        <v>279</v>
      </c>
      <c r="B1286" s="2434">
        <v>20977.8</v>
      </c>
      <c r="C1286" s="2433"/>
      <c r="D1286" s="2435">
        <v>36789.113993700004</v>
      </c>
      <c r="E1286" s="2436">
        <v>93.574028476608504</v>
      </c>
      <c r="F1286" s="2434">
        <v>54.834422669683427</v>
      </c>
      <c r="G1286" s="2435">
        <v>1.5067171988379009</v>
      </c>
      <c r="H1286" s="2436">
        <v>91.949186929525453</v>
      </c>
      <c r="I1286" s="2434">
        <v>20.133626551553995</v>
      </c>
      <c r="J1286" s="2437">
        <v>0.56926542312606543</v>
      </c>
      <c r="L1286" s="2480"/>
    </row>
    <row r="1287" spans="1:12" x14ac:dyDescent="0.2">
      <c r="A1287" s="2438" t="s">
        <v>412</v>
      </c>
      <c r="B1287" s="2427">
        <v>0</v>
      </c>
      <c r="C1287" s="2428">
        <v>4129499.9999999995</v>
      </c>
      <c r="D1287" s="2429">
        <v>0</v>
      </c>
      <c r="E1287" s="2430">
        <v>0</v>
      </c>
      <c r="F1287" s="2427">
        <v>0</v>
      </c>
      <c r="G1287" s="2429">
        <v>0</v>
      </c>
      <c r="H1287" s="2430">
        <v>0</v>
      </c>
      <c r="I1287" s="2427">
        <v>0</v>
      </c>
      <c r="J1287" s="2431">
        <v>0</v>
      </c>
      <c r="L1287" s="2480"/>
    </row>
    <row r="1288" spans="1:12" x14ac:dyDescent="0.2">
      <c r="A1288" s="2438" t="s">
        <v>413</v>
      </c>
      <c r="B1288" s="2427">
        <v>0</v>
      </c>
      <c r="C1288" s="2428">
        <v>1200000</v>
      </c>
      <c r="D1288" s="2429">
        <v>0</v>
      </c>
      <c r="E1288" s="2430">
        <v>0</v>
      </c>
      <c r="F1288" s="2427">
        <v>0</v>
      </c>
      <c r="G1288" s="2429">
        <v>0</v>
      </c>
      <c r="H1288" s="2430">
        <v>0</v>
      </c>
      <c r="I1288" s="2427">
        <v>0</v>
      </c>
      <c r="J1288" s="2431">
        <v>0</v>
      </c>
    </row>
    <row r="1289" spans="1:12" x14ac:dyDescent="0.2">
      <c r="A1289" s="2426" t="s">
        <v>90</v>
      </c>
      <c r="B1289" s="2427">
        <v>0</v>
      </c>
      <c r="C1289" s="2428">
        <v>1743000</v>
      </c>
      <c r="D1289" s="2429">
        <v>0</v>
      </c>
      <c r="E1289" s="2430">
        <v>0</v>
      </c>
      <c r="F1289" s="2427">
        <v>0</v>
      </c>
      <c r="G1289" s="2429">
        <v>0</v>
      </c>
      <c r="H1289" s="2430">
        <v>0</v>
      </c>
      <c r="I1289" s="2427">
        <v>0</v>
      </c>
      <c r="J1289" s="2431">
        <v>0</v>
      </c>
    </row>
    <row r="1290" spans="1:12" x14ac:dyDescent="0.2">
      <c r="A1290" s="2426" t="s">
        <v>417</v>
      </c>
      <c r="B1290" s="2427">
        <v>0</v>
      </c>
      <c r="C1290" s="2428">
        <v>2563999.9999999995</v>
      </c>
      <c r="D1290" s="2429">
        <v>0</v>
      </c>
      <c r="E1290" s="2430">
        <v>0</v>
      </c>
      <c r="F1290" s="2427">
        <v>0</v>
      </c>
      <c r="G1290" s="2429">
        <v>0</v>
      </c>
      <c r="H1290" s="2430">
        <v>0</v>
      </c>
      <c r="I1290" s="2427">
        <v>0</v>
      </c>
      <c r="J1290" s="2431">
        <v>0</v>
      </c>
    </row>
    <row r="1291" spans="1:12" x14ac:dyDescent="0.2">
      <c r="A1291" s="2426" t="s">
        <v>418</v>
      </c>
      <c r="B1291" s="2427">
        <v>0</v>
      </c>
      <c r="C1291" s="2428">
        <v>2222500</v>
      </c>
      <c r="D1291" s="2429">
        <v>0</v>
      </c>
      <c r="E1291" s="2430">
        <v>0</v>
      </c>
      <c r="F1291" s="2427">
        <v>0</v>
      </c>
      <c r="G1291" s="2429">
        <v>0</v>
      </c>
      <c r="H1291" s="2430">
        <v>0</v>
      </c>
      <c r="I1291" s="2427">
        <v>0</v>
      </c>
      <c r="J1291" s="2431">
        <v>0</v>
      </c>
    </row>
    <row r="1292" spans="1:12" x14ac:dyDescent="0.2">
      <c r="A1292" s="2426" t="s">
        <v>423</v>
      </c>
      <c r="B1292" s="2427">
        <v>126</v>
      </c>
      <c r="C1292" s="2428">
        <v>2531500</v>
      </c>
      <c r="D1292" s="2429">
        <v>318.96899999999999</v>
      </c>
      <c r="E1292" s="2430">
        <v>0.56203832566106415</v>
      </c>
      <c r="F1292" s="2427">
        <v>0.32935471099829872</v>
      </c>
      <c r="G1292" s="2429">
        <v>9.0498701986659966E-3</v>
      </c>
      <c r="H1292" s="2430">
        <v>0.79721790013062754</v>
      </c>
      <c r="I1292" s="2427">
        <v>0.1745625819807014</v>
      </c>
      <c r="J1292" s="2431">
        <v>4.9356454406646625E-3</v>
      </c>
      <c r="L1292" s="2481"/>
    </row>
    <row r="1293" spans="1:12" x14ac:dyDescent="0.2">
      <c r="A1293" s="2426" t="s">
        <v>424</v>
      </c>
      <c r="B1293" s="2427">
        <v>0</v>
      </c>
      <c r="C1293" s="2428">
        <v>1369000</v>
      </c>
      <c r="D1293" s="2429">
        <v>0</v>
      </c>
      <c r="E1293" s="2430">
        <v>0</v>
      </c>
      <c r="F1293" s="2427">
        <v>0</v>
      </c>
      <c r="G1293" s="2429">
        <v>0</v>
      </c>
      <c r="H1293" s="2430">
        <v>0</v>
      </c>
      <c r="I1293" s="2427">
        <v>0</v>
      </c>
      <c r="J1293" s="2431">
        <v>0</v>
      </c>
    </row>
    <row r="1294" spans="1:12" x14ac:dyDescent="0.2">
      <c r="A1294" s="2426" t="s">
        <v>280</v>
      </c>
      <c r="B1294" s="2427">
        <v>0</v>
      </c>
      <c r="C1294" s="2428">
        <v>1574500</v>
      </c>
      <c r="D1294" s="2429">
        <v>0</v>
      </c>
      <c r="E1294" s="2430">
        <v>0</v>
      </c>
      <c r="F1294" s="2427">
        <v>0</v>
      </c>
      <c r="G1294" s="2429">
        <v>0</v>
      </c>
      <c r="H1294" s="2430">
        <v>0</v>
      </c>
      <c r="I1294" s="2427">
        <v>0</v>
      </c>
      <c r="J1294" s="2431">
        <v>0</v>
      </c>
    </row>
    <row r="1295" spans="1:12" x14ac:dyDescent="0.2">
      <c r="A1295" s="2426" t="s">
        <v>427</v>
      </c>
      <c r="B1295" s="2427">
        <v>0</v>
      </c>
      <c r="C1295" s="2428">
        <v>2072000</v>
      </c>
      <c r="D1295" s="2429">
        <v>0</v>
      </c>
      <c r="E1295" s="2430">
        <v>0</v>
      </c>
      <c r="F1295" s="2427">
        <v>0</v>
      </c>
      <c r="G1295" s="2429">
        <v>0</v>
      </c>
      <c r="H1295" s="2430">
        <v>0</v>
      </c>
      <c r="I1295" s="2427">
        <v>0</v>
      </c>
      <c r="J1295" s="2431">
        <v>0</v>
      </c>
    </row>
    <row r="1296" spans="1:12" x14ac:dyDescent="0.2">
      <c r="A1296" s="2426" t="s">
        <v>428</v>
      </c>
      <c r="B1296" s="2427">
        <v>0</v>
      </c>
      <c r="C1296" s="2428">
        <v>1326280</v>
      </c>
      <c r="D1296" s="2429">
        <v>0</v>
      </c>
      <c r="E1296" s="2430">
        <v>0</v>
      </c>
      <c r="F1296" s="2427">
        <v>0</v>
      </c>
      <c r="G1296" s="2429">
        <v>0</v>
      </c>
      <c r="H1296" s="2430">
        <v>0</v>
      </c>
      <c r="I1296" s="2427">
        <v>0</v>
      </c>
      <c r="J1296" s="2431">
        <v>0</v>
      </c>
    </row>
    <row r="1297" spans="1:10" x14ac:dyDescent="0.2">
      <c r="A1297" s="2439" t="s">
        <v>92</v>
      </c>
      <c r="B1297" s="2427">
        <v>0</v>
      </c>
      <c r="C1297" s="2428">
        <v>2215500</v>
      </c>
      <c r="D1297" s="2429">
        <v>0</v>
      </c>
      <c r="E1297" s="2430">
        <v>0</v>
      </c>
      <c r="F1297" s="2427">
        <v>0</v>
      </c>
      <c r="G1297" s="2429">
        <v>0</v>
      </c>
      <c r="H1297" s="2430">
        <v>0</v>
      </c>
      <c r="I1297" s="2427">
        <v>0</v>
      </c>
      <c r="J1297" s="2431">
        <v>0</v>
      </c>
    </row>
    <row r="1298" spans="1:10" x14ac:dyDescent="0.2">
      <c r="A1298" s="2433" t="s">
        <v>281</v>
      </c>
      <c r="B1298" s="2434">
        <v>126</v>
      </c>
      <c r="C1298" s="2433"/>
      <c r="D1298" s="2435">
        <v>318.96899999999999</v>
      </c>
      <c r="E1298" s="2436">
        <v>0.56203832566106415</v>
      </c>
      <c r="F1298" s="2434">
        <v>0.32935471099829872</v>
      </c>
      <c r="G1298" s="2435">
        <v>9.0498701986659966E-3</v>
      </c>
      <c r="H1298" s="2436">
        <v>0.79721790013062754</v>
      </c>
      <c r="I1298" s="2434">
        <v>0.1745625819807014</v>
      </c>
      <c r="J1298" s="2437">
        <v>4.9356454406646625E-3</v>
      </c>
    </row>
    <row r="1299" spans="1:10" x14ac:dyDescent="0.2">
      <c r="A1299" s="2440" t="s">
        <v>106</v>
      </c>
      <c r="B1299" s="2441">
        <v>21103.8</v>
      </c>
      <c r="C1299" s="2440"/>
      <c r="D1299" s="2442">
        <v>37108.082993700002</v>
      </c>
      <c r="E1299" s="2443">
        <v>94.136066802269568</v>
      </c>
      <c r="F1299" s="2441">
        <v>55.163777380681722</v>
      </c>
      <c r="G1299" s="2442">
        <v>1.515767069036567</v>
      </c>
      <c r="H1299" s="2443">
        <v>92.746404829656072</v>
      </c>
      <c r="I1299" s="2441">
        <v>20.308189133534697</v>
      </c>
      <c r="J1299" s="2444">
        <v>0.57420106856673003</v>
      </c>
    </row>
    <row r="1300" spans="1:10" x14ac:dyDescent="0.2">
      <c r="A1300" s="2426" t="s">
        <v>905</v>
      </c>
      <c r="B1300" s="2427">
        <v>0</v>
      </c>
      <c r="C1300" s="2428">
        <v>6100000</v>
      </c>
      <c r="D1300" s="2429">
        <v>0</v>
      </c>
      <c r="E1300" s="2430">
        <v>0</v>
      </c>
      <c r="F1300" s="2427">
        <v>0</v>
      </c>
      <c r="G1300" s="2429">
        <v>0</v>
      </c>
      <c r="H1300" s="2430">
        <v>0</v>
      </c>
      <c r="I1300" s="2427">
        <v>0</v>
      </c>
      <c r="J1300" s="2431">
        <v>0</v>
      </c>
    </row>
    <row r="1301" spans="1:10" x14ac:dyDescent="0.2">
      <c r="A1301" s="2426" t="s">
        <v>906</v>
      </c>
      <c r="B1301" s="2427">
        <v>0</v>
      </c>
      <c r="C1301" s="2428">
        <v>3022000.0000000005</v>
      </c>
      <c r="D1301" s="2429">
        <v>0</v>
      </c>
      <c r="E1301" s="2430">
        <v>0</v>
      </c>
      <c r="F1301" s="2427">
        <v>0</v>
      </c>
      <c r="G1301" s="2429">
        <v>0</v>
      </c>
      <c r="H1301" s="2430">
        <v>0</v>
      </c>
      <c r="I1301" s="2427">
        <v>0</v>
      </c>
      <c r="J1301" s="2431">
        <v>0</v>
      </c>
    </row>
    <row r="1302" spans="1:10" x14ac:dyDescent="0.2">
      <c r="A1302" s="2426" t="s">
        <v>907</v>
      </c>
      <c r="B1302" s="2427">
        <v>0</v>
      </c>
      <c r="C1302" s="2428">
        <v>2324000</v>
      </c>
      <c r="D1302" s="2429">
        <v>0</v>
      </c>
      <c r="E1302" s="2430">
        <v>0</v>
      </c>
      <c r="F1302" s="2427">
        <v>0</v>
      </c>
      <c r="G1302" s="2429">
        <v>0</v>
      </c>
      <c r="H1302" s="2430">
        <v>0</v>
      </c>
      <c r="I1302" s="2427">
        <v>0</v>
      </c>
      <c r="J1302" s="2431">
        <v>0</v>
      </c>
    </row>
    <row r="1303" spans="1:10" x14ac:dyDescent="0.2">
      <c r="A1303" s="2439" t="s">
        <v>908</v>
      </c>
      <c r="B1303" s="2427">
        <v>0</v>
      </c>
      <c r="C1303" s="2428">
        <v>2403999.9999999995</v>
      </c>
      <c r="D1303" s="2429">
        <v>0</v>
      </c>
      <c r="E1303" s="2430">
        <v>0</v>
      </c>
      <c r="F1303" s="2427">
        <v>0</v>
      </c>
      <c r="G1303" s="2429">
        <v>0</v>
      </c>
      <c r="H1303" s="2430">
        <v>0</v>
      </c>
      <c r="I1303" s="2427">
        <v>0</v>
      </c>
      <c r="J1303" s="2431">
        <v>0</v>
      </c>
    </row>
    <row r="1304" spans="1:10" x14ac:dyDescent="0.2">
      <c r="A1304" s="2440" t="s">
        <v>282</v>
      </c>
      <c r="B1304" s="2441">
        <v>0</v>
      </c>
      <c r="C1304" s="2440"/>
      <c r="D1304" s="2442">
        <v>0</v>
      </c>
      <c r="E1304" s="2443">
        <v>0</v>
      </c>
      <c r="F1304" s="2441">
        <v>0</v>
      </c>
      <c r="G1304" s="2442">
        <v>0</v>
      </c>
      <c r="H1304" s="2443">
        <v>0</v>
      </c>
      <c r="I1304" s="2441">
        <v>0</v>
      </c>
      <c r="J1304" s="2444">
        <v>0</v>
      </c>
    </row>
    <row r="1305" spans="1:10" x14ac:dyDescent="0.2">
      <c r="A1305" s="2426" t="s">
        <v>955</v>
      </c>
      <c r="B1305" s="2427">
        <v>44.099999999999994</v>
      </c>
      <c r="C1305" s="2428">
        <v>12137000</v>
      </c>
      <c r="D1305" s="2429">
        <v>535.24169999999992</v>
      </c>
      <c r="E1305" s="2430">
        <v>0.19671341398137246</v>
      </c>
      <c r="F1305" s="2427">
        <v>0.11527414884940454</v>
      </c>
      <c r="G1305" s="2429">
        <v>3.1674545695330979E-3</v>
      </c>
      <c r="H1305" s="2430">
        <v>1.3377609239027846</v>
      </c>
      <c r="I1305" s="2427">
        <v>0.2929224254888092</v>
      </c>
      <c r="J1305" s="2431">
        <v>8.2821943707965442E-3</v>
      </c>
    </row>
    <row r="1306" spans="1:10" x14ac:dyDescent="0.2">
      <c r="A1306" s="2426" t="s">
        <v>283</v>
      </c>
      <c r="B1306" s="2427">
        <v>0</v>
      </c>
      <c r="C1306" s="2428">
        <v>13024549.999999996</v>
      </c>
      <c r="D1306" s="2429">
        <v>0</v>
      </c>
      <c r="E1306" s="2430">
        <v>0</v>
      </c>
      <c r="F1306" s="2427">
        <v>0</v>
      </c>
      <c r="G1306" s="2429">
        <v>0</v>
      </c>
      <c r="H1306" s="2430">
        <v>0</v>
      </c>
      <c r="I1306" s="2427">
        <v>0</v>
      </c>
      <c r="J1306" s="2431">
        <v>0</v>
      </c>
    </row>
    <row r="1307" spans="1:10" x14ac:dyDescent="0.2">
      <c r="A1307" s="2426" t="s">
        <v>69</v>
      </c>
      <c r="B1307" s="2427">
        <v>0</v>
      </c>
      <c r="C1307" s="2428">
        <v>14978232.499999994</v>
      </c>
      <c r="D1307" s="2429">
        <v>0</v>
      </c>
      <c r="E1307" s="2430">
        <v>0</v>
      </c>
      <c r="F1307" s="2427">
        <v>0</v>
      </c>
      <c r="G1307" s="2429">
        <v>0</v>
      </c>
      <c r="H1307" s="2430">
        <v>0</v>
      </c>
      <c r="I1307" s="2427">
        <v>0</v>
      </c>
      <c r="J1307" s="2431">
        <v>0</v>
      </c>
    </row>
    <row r="1308" spans="1:10" x14ac:dyDescent="0.2">
      <c r="A1308" s="2426" t="s">
        <v>199</v>
      </c>
      <c r="B1308" s="2427">
        <v>4</v>
      </c>
      <c r="C1308" s="2428">
        <v>3000000</v>
      </c>
      <c r="D1308" s="2429">
        <v>12</v>
      </c>
      <c r="E1308" s="2430">
        <v>1.7842486528922671E-2</v>
      </c>
      <c r="F1308" s="2427">
        <v>1.0455705111057102E-2</v>
      </c>
      <c r="G1308" s="2429">
        <v>2.8729746662431731E-4</v>
      </c>
      <c r="H1308" s="2430">
        <v>2.9992302705176773E-2</v>
      </c>
      <c r="I1308" s="2427">
        <v>6.5672557012387313E-3</v>
      </c>
      <c r="J1308" s="2431">
        <v>1.8568495774816973E-4</v>
      </c>
    </row>
    <row r="1309" spans="1:10" x14ac:dyDescent="0.2">
      <c r="A1309" s="2426" t="s">
        <v>86</v>
      </c>
      <c r="B1309" s="2427">
        <v>10</v>
      </c>
      <c r="C1309" s="2428">
        <v>170000</v>
      </c>
      <c r="D1309" s="2429">
        <v>1.7</v>
      </c>
      <c r="E1309" s="2430">
        <v>4.4606216322306678E-2</v>
      </c>
      <c r="F1309" s="2427">
        <v>2.6139262777642756E-2</v>
      </c>
      <c r="G1309" s="2429">
        <v>7.1824366656079324E-4</v>
      </c>
      <c r="H1309" s="2430">
        <v>4.2489095499000434E-3</v>
      </c>
      <c r="I1309" s="2427">
        <v>9.3036122434215357E-4</v>
      </c>
      <c r="J1309" s="2431">
        <v>2.6305369014324048E-5</v>
      </c>
    </row>
    <row r="1310" spans="1:10" x14ac:dyDescent="0.2">
      <c r="A1310" s="2439" t="s">
        <v>213</v>
      </c>
      <c r="B1310" s="2427">
        <v>56</v>
      </c>
      <c r="C1310" s="2428">
        <v>1850000.0000000005</v>
      </c>
      <c r="D1310" s="2429">
        <v>103.60000000000002</v>
      </c>
      <c r="E1310" s="2430">
        <v>0.24979481140491741</v>
      </c>
      <c r="F1310" s="2427">
        <v>0.14637987155479945</v>
      </c>
      <c r="G1310" s="2429">
        <v>4.0221645327404429E-3</v>
      </c>
      <c r="H1310" s="2430">
        <v>0.25893354668802621</v>
      </c>
      <c r="I1310" s="2427">
        <v>5.6697307554027729E-2</v>
      </c>
      <c r="J1310" s="2431">
        <v>1.6030801352258657E-3</v>
      </c>
    </row>
    <row r="1311" spans="1:10" x14ac:dyDescent="0.2">
      <c r="A1311" s="2433" t="s">
        <v>1834</v>
      </c>
      <c r="B1311" s="2434">
        <v>114.1</v>
      </c>
      <c r="C1311" s="2433"/>
      <c r="D1311" s="2435">
        <v>652.54169999999999</v>
      </c>
      <c r="E1311" s="2436">
        <v>0.50895692823751926</v>
      </c>
      <c r="F1311" s="2434">
        <v>0.29824898829290386</v>
      </c>
      <c r="G1311" s="2435">
        <v>8.1951602354586508E-3</v>
      </c>
      <c r="H1311" s="2436">
        <v>1.6309356828458874</v>
      </c>
      <c r="I1311" s="2434">
        <v>0.35711734996841782</v>
      </c>
      <c r="J1311" s="2437">
        <v>1.0097264832784905E-2</v>
      </c>
    </row>
    <row r="1312" spans="1:10" x14ac:dyDescent="0.2">
      <c r="A1312" s="2426" t="s">
        <v>961</v>
      </c>
      <c r="B1312" s="2427">
        <v>0</v>
      </c>
      <c r="C1312" s="2428">
        <v>3668000</v>
      </c>
      <c r="D1312" s="2429">
        <v>0</v>
      </c>
      <c r="E1312" s="2430">
        <v>0</v>
      </c>
      <c r="F1312" s="2427">
        <v>0</v>
      </c>
      <c r="G1312" s="2429">
        <v>0</v>
      </c>
      <c r="H1312" s="2430">
        <v>0</v>
      </c>
      <c r="I1312" s="2427">
        <v>0</v>
      </c>
      <c r="J1312" s="2431">
        <v>0</v>
      </c>
    </row>
    <row r="1313" spans="1:10" x14ac:dyDescent="0.2">
      <c r="A1313" s="2426" t="s">
        <v>962</v>
      </c>
      <c r="B1313" s="2427">
        <v>0</v>
      </c>
      <c r="C1313" s="2428">
        <v>1999999.9999999998</v>
      </c>
      <c r="D1313" s="2429">
        <v>0</v>
      </c>
      <c r="E1313" s="2430">
        <v>0</v>
      </c>
      <c r="F1313" s="2427">
        <v>0</v>
      </c>
      <c r="G1313" s="2429">
        <v>0</v>
      </c>
      <c r="H1313" s="2430">
        <v>0</v>
      </c>
      <c r="I1313" s="2427">
        <v>0</v>
      </c>
      <c r="J1313" s="2431">
        <v>0</v>
      </c>
    </row>
    <row r="1314" spans="1:10" x14ac:dyDescent="0.2">
      <c r="A1314" s="2426" t="s">
        <v>963</v>
      </c>
      <c r="B1314" s="2427">
        <v>0</v>
      </c>
      <c r="C1314" s="2428">
        <v>1347999.9999999998</v>
      </c>
      <c r="D1314" s="2429">
        <v>0</v>
      </c>
      <c r="E1314" s="2430">
        <v>0</v>
      </c>
      <c r="F1314" s="2427">
        <v>0</v>
      </c>
      <c r="G1314" s="2429">
        <v>0</v>
      </c>
      <c r="H1314" s="2430">
        <v>0</v>
      </c>
      <c r="I1314" s="2427">
        <v>0</v>
      </c>
      <c r="J1314" s="2431">
        <v>0</v>
      </c>
    </row>
    <row r="1315" spans="1:10" x14ac:dyDescent="0.2">
      <c r="A1315" s="2426" t="s">
        <v>965</v>
      </c>
      <c r="B1315" s="2427">
        <v>852</v>
      </c>
      <c r="C1315" s="2428">
        <v>1599999.9999999995</v>
      </c>
      <c r="D1315" s="2429">
        <v>1363.1999999999996</v>
      </c>
      <c r="E1315" s="2430">
        <v>3.8004496306605295</v>
      </c>
      <c r="F1315" s="2427">
        <v>2.2270651886551631</v>
      </c>
      <c r="G1315" s="2429">
        <v>6.1194360390979585E-2</v>
      </c>
      <c r="H1315" s="2430">
        <v>3.4071255873080806</v>
      </c>
      <c r="I1315" s="2427">
        <v>0.74604024766071964</v>
      </c>
      <c r="J1315" s="2431">
        <v>2.1093811200192075E-2</v>
      </c>
    </row>
    <row r="1316" spans="1:10" x14ac:dyDescent="0.2">
      <c r="A1316" s="2426" t="s">
        <v>966</v>
      </c>
      <c r="B1316" s="2427">
        <v>9</v>
      </c>
      <c r="C1316" s="2428">
        <v>2244000</v>
      </c>
      <c r="D1316" s="2429">
        <v>20.196000000000002</v>
      </c>
      <c r="E1316" s="2430">
        <v>4.014559469007601E-2</v>
      </c>
      <c r="F1316" s="2427">
        <v>2.352533649987848E-2</v>
      </c>
      <c r="G1316" s="2429">
        <v>6.4641929990471398E-4</v>
      </c>
      <c r="H1316" s="2430">
        <v>5.0477045452812522E-2</v>
      </c>
      <c r="I1316" s="2427">
        <v>1.1052691345184785E-2</v>
      </c>
      <c r="J1316" s="2431">
        <v>3.1250778389016969E-4</v>
      </c>
    </row>
    <row r="1317" spans="1:10" x14ac:dyDescent="0.2">
      <c r="A1317" s="2426" t="s">
        <v>1499</v>
      </c>
      <c r="B1317" s="2427">
        <v>0</v>
      </c>
      <c r="C1317" s="2428">
        <v>4849999.9999999991</v>
      </c>
      <c r="D1317" s="2429">
        <v>0</v>
      </c>
      <c r="E1317" s="2430">
        <v>0</v>
      </c>
      <c r="F1317" s="2427">
        <v>0</v>
      </c>
      <c r="G1317" s="2429">
        <v>0</v>
      </c>
      <c r="H1317" s="2430">
        <v>0</v>
      </c>
      <c r="I1317" s="2427">
        <v>0</v>
      </c>
      <c r="J1317" s="2431">
        <v>0</v>
      </c>
    </row>
    <row r="1318" spans="1:10" x14ac:dyDescent="0.2">
      <c r="A1318" s="2426" t="s">
        <v>1575</v>
      </c>
      <c r="B1318" s="2427">
        <v>0</v>
      </c>
      <c r="C1318" s="2428">
        <v>2250000.0000000005</v>
      </c>
      <c r="D1318" s="2429">
        <v>0</v>
      </c>
      <c r="E1318" s="2430">
        <v>0</v>
      </c>
      <c r="F1318" s="2427">
        <v>0</v>
      </c>
      <c r="G1318" s="2429">
        <v>0</v>
      </c>
      <c r="H1318" s="2430">
        <v>0</v>
      </c>
      <c r="I1318" s="2427">
        <v>0</v>
      </c>
      <c r="J1318" s="2431">
        <v>0</v>
      </c>
    </row>
    <row r="1319" spans="1:10" x14ac:dyDescent="0.2">
      <c r="A1319" s="2426" t="s">
        <v>964</v>
      </c>
      <c r="B1319" s="2427">
        <v>0</v>
      </c>
      <c r="C1319" s="2428">
        <v>1556000</v>
      </c>
      <c r="D1319" s="2429">
        <v>0</v>
      </c>
      <c r="E1319" s="2430">
        <v>0</v>
      </c>
      <c r="F1319" s="2427">
        <v>0</v>
      </c>
      <c r="G1319" s="2429">
        <v>0</v>
      </c>
      <c r="H1319" s="2430">
        <v>0</v>
      </c>
      <c r="I1319" s="2427">
        <v>0</v>
      </c>
      <c r="J1319" s="2431">
        <v>0</v>
      </c>
    </row>
    <row r="1320" spans="1:10" x14ac:dyDescent="0.2">
      <c r="A1320" s="2426" t="s">
        <v>969</v>
      </c>
      <c r="B1320" s="2427">
        <v>0</v>
      </c>
      <c r="C1320" s="2428">
        <v>4800000</v>
      </c>
      <c r="D1320" s="2429">
        <v>0</v>
      </c>
      <c r="E1320" s="2430">
        <v>0</v>
      </c>
      <c r="F1320" s="2427">
        <v>0</v>
      </c>
      <c r="G1320" s="2429">
        <v>0</v>
      </c>
      <c r="H1320" s="2430">
        <v>0</v>
      </c>
      <c r="I1320" s="2427">
        <v>0</v>
      </c>
      <c r="J1320" s="2431">
        <v>0</v>
      </c>
    </row>
    <row r="1321" spans="1:10" x14ac:dyDescent="0.2">
      <c r="A1321" s="2426" t="s">
        <v>968</v>
      </c>
      <c r="B1321" s="2427">
        <v>214.5</v>
      </c>
      <c r="C1321" s="2428">
        <v>3050000.0000000009</v>
      </c>
      <c r="D1321" s="2429">
        <v>654.22500000000025</v>
      </c>
      <c r="E1321" s="2430">
        <v>0.95680334011347834</v>
      </c>
      <c r="F1321" s="2427">
        <v>0.56068718658043715</v>
      </c>
      <c r="G1321" s="2429">
        <v>1.5406326647729018E-2</v>
      </c>
      <c r="H1321" s="2430">
        <v>1.6351428531078567</v>
      </c>
      <c r="I1321" s="2427">
        <v>0.35803857176190917</v>
      </c>
      <c r="J1321" s="2431">
        <v>1.0123311790233033E-2</v>
      </c>
    </row>
    <row r="1322" spans="1:10" x14ac:dyDescent="0.2">
      <c r="A1322" s="2426" t="s">
        <v>1013</v>
      </c>
      <c r="B1322" s="2427">
        <v>0</v>
      </c>
      <c r="C1322" s="2428">
        <v>1799999.9999999998</v>
      </c>
      <c r="D1322" s="2429">
        <v>0</v>
      </c>
      <c r="E1322" s="2430">
        <v>0</v>
      </c>
      <c r="F1322" s="2427">
        <v>0</v>
      </c>
      <c r="G1322" s="2429">
        <v>0</v>
      </c>
      <c r="H1322" s="2430">
        <v>0</v>
      </c>
      <c r="I1322" s="2427">
        <v>0</v>
      </c>
      <c r="J1322" s="2431">
        <v>0</v>
      </c>
    </row>
    <row r="1323" spans="1:10" x14ac:dyDescent="0.2">
      <c r="A1323" s="2426" t="s">
        <v>1014</v>
      </c>
      <c r="B1323" s="2427">
        <v>0</v>
      </c>
      <c r="C1323" s="2428">
        <v>2195000.0000000005</v>
      </c>
      <c r="D1323" s="2429">
        <v>0</v>
      </c>
      <c r="E1323" s="2430">
        <v>0</v>
      </c>
      <c r="F1323" s="2427">
        <v>0</v>
      </c>
      <c r="G1323" s="2429">
        <v>0</v>
      </c>
      <c r="H1323" s="2430">
        <v>0</v>
      </c>
      <c r="I1323" s="2427">
        <v>0</v>
      </c>
      <c r="J1323" s="2431">
        <v>0</v>
      </c>
    </row>
    <row r="1324" spans="1:10" x14ac:dyDescent="0.2">
      <c r="A1324" s="2426" t="s">
        <v>970</v>
      </c>
      <c r="B1324" s="2427">
        <v>0</v>
      </c>
      <c r="C1324" s="2428">
        <v>3100000.0000000005</v>
      </c>
      <c r="D1324" s="2429">
        <v>0</v>
      </c>
      <c r="E1324" s="2430">
        <v>0</v>
      </c>
      <c r="F1324" s="2427">
        <v>0</v>
      </c>
      <c r="G1324" s="2429">
        <v>0</v>
      </c>
      <c r="H1324" s="2430">
        <v>0</v>
      </c>
      <c r="I1324" s="2427">
        <v>0</v>
      </c>
      <c r="J1324" s="2431">
        <v>0</v>
      </c>
    </row>
    <row r="1325" spans="1:10" x14ac:dyDescent="0.2">
      <c r="A1325" s="2426" t="s">
        <v>971</v>
      </c>
      <c r="B1325" s="2427">
        <v>0</v>
      </c>
      <c r="C1325" s="2428">
        <v>3010000</v>
      </c>
      <c r="D1325" s="2429">
        <v>0</v>
      </c>
      <c r="E1325" s="2430">
        <v>0</v>
      </c>
      <c r="F1325" s="2427">
        <v>0</v>
      </c>
      <c r="G1325" s="2429">
        <v>0</v>
      </c>
      <c r="H1325" s="2430">
        <v>0</v>
      </c>
      <c r="I1325" s="2427">
        <v>0</v>
      </c>
      <c r="J1325" s="2431">
        <v>0</v>
      </c>
    </row>
    <row r="1326" spans="1:10" x14ac:dyDescent="0.2">
      <c r="A1326" s="2426" t="s">
        <v>972</v>
      </c>
      <c r="B1326" s="2427">
        <v>7.5</v>
      </c>
      <c r="C1326" s="2428">
        <v>2744000.0000000005</v>
      </c>
      <c r="D1326" s="2429">
        <v>20.580000000000005</v>
      </c>
      <c r="E1326" s="2430">
        <v>3.3454662241730014E-2</v>
      </c>
      <c r="F1326" s="2427">
        <v>1.9604447083232068E-2</v>
      </c>
      <c r="G1326" s="2429">
        <v>5.3868274992059499E-4</v>
      </c>
      <c r="H1326" s="2430">
        <v>5.1436799139378181E-2</v>
      </c>
      <c r="I1326" s="2427">
        <v>1.1262843527624427E-2</v>
      </c>
      <c r="J1326" s="2431">
        <v>3.1844970253811118E-4</v>
      </c>
    </row>
    <row r="1327" spans="1:10" x14ac:dyDescent="0.2">
      <c r="A1327" s="2426" t="s">
        <v>973</v>
      </c>
      <c r="B1327" s="2427">
        <v>0</v>
      </c>
      <c r="C1327" s="2428">
        <v>2549999.9999999991</v>
      </c>
      <c r="D1327" s="2429">
        <v>0</v>
      </c>
      <c r="E1327" s="2430">
        <v>0</v>
      </c>
      <c r="F1327" s="2427">
        <v>0</v>
      </c>
      <c r="G1327" s="2429">
        <v>0</v>
      </c>
      <c r="H1327" s="2430">
        <v>0</v>
      </c>
      <c r="I1327" s="2427">
        <v>0</v>
      </c>
      <c r="J1327" s="2431">
        <v>0</v>
      </c>
    </row>
    <row r="1328" spans="1:10" x14ac:dyDescent="0.2">
      <c r="A1328" s="2426" t="s">
        <v>974</v>
      </c>
      <c r="B1328" s="2427">
        <v>97.5</v>
      </c>
      <c r="C1328" s="2428">
        <v>1583999.9999999995</v>
      </c>
      <c r="D1328" s="2429">
        <v>154.43999999999994</v>
      </c>
      <c r="E1328" s="2430">
        <v>0.43491060914249019</v>
      </c>
      <c r="F1328" s="2427">
        <v>0.25485781208201685</v>
      </c>
      <c r="G1328" s="2429">
        <v>7.0028757489677346E-3</v>
      </c>
      <c r="H1328" s="2430">
        <v>0.38600093581562495</v>
      </c>
      <c r="I1328" s="2427">
        <v>8.4520580874942436E-2</v>
      </c>
      <c r="J1328" s="2431">
        <v>2.3897654062189438E-3</v>
      </c>
    </row>
    <row r="1329" spans="1:10" x14ac:dyDescent="0.2">
      <c r="A1329" s="2426" t="s">
        <v>975</v>
      </c>
      <c r="B1329" s="2427">
        <v>0</v>
      </c>
      <c r="C1329" s="2428">
        <v>2532000.0000000009</v>
      </c>
      <c r="D1329" s="2429">
        <v>0</v>
      </c>
      <c r="E1329" s="2430">
        <v>0</v>
      </c>
      <c r="F1329" s="2427">
        <v>0</v>
      </c>
      <c r="G1329" s="2429">
        <v>0</v>
      </c>
      <c r="H1329" s="2430">
        <v>0</v>
      </c>
      <c r="I1329" s="2427">
        <v>0</v>
      </c>
      <c r="J1329" s="2431">
        <v>0</v>
      </c>
    </row>
    <row r="1330" spans="1:10" x14ac:dyDescent="0.2">
      <c r="A1330" s="2426" t="s">
        <v>976</v>
      </c>
      <c r="B1330" s="2427">
        <v>0</v>
      </c>
      <c r="C1330" s="2428">
        <v>7394999.9999999991</v>
      </c>
      <c r="D1330" s="2429">
        <v>0</v>
      </c>
      <c r="E1330" s="2430">
        <v>0</v>
      </c>
      <c r="F1330" s="2427">
        <v>0</v>
      </c>
      <c r="G1330" s="2429">
        <v>0</v>
      </c>
      <c r="H1330" s="2430">
        <v>0</v>
      </c>
      <c r="I1330" s="2427">
        <v>0</v>
      </c>
      <c r="J1330" s="2431">
        <v>0</v>
      </c>
    </row>
    <row r="1331" spans="1:10" x14ac:dyDescent="0.2">
      <c r="A1331" s="2426" t="s">
        <v>286</v>
      </c>
      <c r="B1331" s="2427">
        <v>0</v>
      </c>
      <c r="C1331" s="2428">
        <v>2445000.0000000005</v>
      </c>
      <c r="D1331" s="2429">
        <v>0</v>
      </c>
      <c r="E1331" s="2430">
        <v>0</v>
      </c>
      <c r="F1331" s="2427">
        <v>0</v>
      </c>
      <c r="G1331" s="2429">
        <v>0</v>
      </c>
      <c r="H1331" s="2430">
        <v>0</v>
      </c>
      <c r="I1331" s="2427">
        <v>0</v>
      </c>
      <c r="J1331" s="2431">
        <v>0</v>
      </c>
    </row>
    <row r="1332" spans="1:10" x14ac:dyDescent="0.2">
      <c r="A1332" s="2439" t="s">
        <v>978</v>
      </c>
      <c r="B1332" s="2427">
        <v>20</v>
      </c>
      <c r="C1332" s="2428">
        <v>1850000.0000000002</v>
      </c>
      <c r="D1332" s="2429">
        <v>37.000000000000007</v>
      </c>
      <c r="E1332" s="2430">
        <v>8.9212432644613357E-2</v>
      </c>
      <c r="F1332" s="2427">
        <v>5.2278525555285511E-2</v>
      </c>
      <c r="G1332" s="2429">
        <v>1.4364873331215865E-3</v>
      </c>
      <c r="H1332" s="2430">
        <v>9.247626667429508E-2</v>
      </c>
      <c r="I1332" s="2427">
        <v>2.0249038412152757E-2</v>
      </c>
      <c r="J1332" s="2431">
        <v>5.7252861972352347E-4</v>
      </c>
    </row>
    <row r="1333" spans="1:10" x14ac:dyDescent="0.2">
      <c r="A1333" s="2426" t="s">
        <v>1163</v>
      </c>
      <c r="B1333" s="2427">
        <v>0</v>
      </c>
      <c r="C1333" s="2428">
        <v>0</v>
      </c>
      <c r="D1333" s="2429">
        <v>0</v>
      </c>
      <c r="E1333" s="2430">
        <v>0</v>
      </c>
      <c r="F1333" s="2427">
        <v>0</v>
      </c>
      <c r="G1333" s="2429">
        <v>0</v>
      </c>
      <c r="H1333" s="2430">
        <v>0</v>
      </c>
      <c r="I1333" s="2427">
        <v>0</v>
      </c>
      <c r="J1333" s="2431">
        <v>0</v>
      </c>
    </row>
    <row r="1334" spans="1:10" x14ac:dyDescent="0.2">
      <c r="A1334" s="2433" t="s">
        <v>287</v>
      </c>
      <c r="B1334" s="2434">
        <v>1200.5</v>
      </c>
      <c r="C1334" s="2433"/>
      <c r="D1334" s="2435">
        <v>2249.6409999999996</v>
      </c>
      <c r="E1334" s="2436">
        <v>5.3549762694929175</v>
      </c>
      <c r="F1334" s="2434">
        <v>3.1380184964560129</v>
      </c>
      <c r="G1334" s="2435">
        <v>8.6225152170623237E-2</v>
      </c>
      <c r="H1334" s="2436">
        <v>5.6226594874980478</v>
      </c>
      <c r="I1334" s="2434">
        <v>1.2311639735825333</v>
      </c>
      <c r="J1334" s="2437">
        <v>3.4810374502795852E-2</v>
      </c>
    </row>
    <row r="1335" spans="1:10" x14ac:dyDescent="0.2">
      <c r="A1335" s="2440" t="s">
        <v>1835</v>
      </c>
      <c r="B1335" s="2441">
        <v>1314.6</v>
      </c>
      <c r="C1335" s="2440"/>
      <c r="D1335" s="2442">
        <v>2902.1826999999994</v>
      </c>
      <c r="E1335" s="2443">
        <v>5.8639331977304359</v>
      </c>
      <c r="F1335" s="2441">
        <v>3.4362674847489165</v>
      </c>
      <c r="G1335" s="2442">
        <v>9.4420312406081883E-2</v>
      </c>
      <c r="H1335" s="2443">
        <v>7.2535951703439352</v>
      </c>
      <c r="I1335" s="2441">
        <v>1.5882813235509508</v>
      </c>
      <c r="J1335" s="2444">
        <v>4.490763933558075E-2</v>
      </c>
    </row>
    <row r="1336" spans="1:10" x14ac:dyDescent="0.2">
      <c r="A1336" s="2456" t="s">
        <v>194</v>
      </c>
      <c r="B1336" s="2441">
        <v>22418.399999999998</v>
      </c>
      <c r="C1336" s="2440"/>
      <c r="D1336" s="2442">
        <v>40010.265693699999</v>
      </c>
      <c r="E1336" s="2443">
        <v>100</v>
      </c>
      <c r="F1336" s="2441">
        <v>58.600044865430633</v>
      </c>
      <c r="G1336" s="2442">
        <v>1.6101873814426488</v>
      </c>
      <c r="H1336" s="2443">
        <v>100</v>
      </c>
      <c r="I1336" s="2441">
        <v>21.896470457085645</v>
      </c>
      <c r="J1336" s="2444">
        <v>0.61910870790231076</v>
      </c>
    </row>
    <row r="1337" spans="1:10" x14ac:dyDescent="0.2">
      <c r="A1337" s="2451" t="s">
        <v>1852</v>
      </c>
      <c r="B1337" s="2427"/>
      <c r="C1337" s="2452"/>
      <c r="D1337" s="2429"/>
      <c r="E1337" s="2430"/>
      <c r="F1337" s="2427">
        <v>0</v>
      </c>
      <c r="G1337" s="2429"/>
      <c r="H1337" s="2430"/>
      <c r="I1337" s="2427">
        <v>0</v>
      </c>
      <c r="J1337" s="2431">
        <v>0</v>
      </c>
    </row>
    <row r="1338" spans="1:10" x14ac:dyDescent="0.2">
      <c r="A1338" s="2453" t="s">
        <v>1836</v>
      </c>
      <c r="B1338" s="2427">
        <v>0</v>
      </c>
      <c r="C1338" s="2428">
        <v>8033612.4975057133</v>
      </c>
      <c r="D1338" s="2429">
        <v>0</v>
      </c>
      <c r="E1338" s="2430">
        <v>0</v>
      </c>
      <c r="F1338" s="2427">
        <v>0</v>
      </c>
      <c r="G1338" s="2429">
        <v>0</v>
      </c>
      <c r="H1338" s="2430">
        <v>0</v>
      </c>
      <c r="I1338" s="2427">
        <v>0</v>
      </c>
      <c r="J1338" s="2431">
        <v>0</v>
      </c>
    </row>
    <row r="1339" spans="1:10" x14ac:dyDescent="0.2">
      <c r="A1339" s="2453" t="s">
        <v>1837</v>
      </c>
      <c r="B1339" s="2427">
        <v>5521.72</v>
      </c>
      <c r="C1339" s="2428">
        <v>2214764.1578067578</v>
      </c>
      <c r="D1339" s="2429">
        <v>12229.307545444732</v>
      </c>
      <c r="E1339" s="2430">
        <v>85.711367468325378</v>
      </c>
      <c r="F1339" s="2427">
        <v>14.433369006456557</v>
      </c>
      <c r="G1339" s="2429">
        <v>0.39659404185220637</v>
      </c>
      <c r="H1339" s="2430">
        <v>65.441949240139493</v>
      </c>
      <c r="I1339" s="2427">
        <v>6.6927491416686458</v>
      </c>
      <c r="J1339" s="2431">
        <v>0.18923320457210652</v>
      </c>
    </row>
    <row r="1340" spans="1:10" x14ac:dyDescent="0.2">
      <c r="A1340" s="2454" t="s">
        <v>309</v>
      </c>
      <c r="B1340" s="2434">
        <v>5521.72</v>
      </c>
      <c r="C1340" s="2433"/>
      <c r="D1340" s="2435">
        <v>12229.307545444732</v>
      </c>
      <c r="E1340" s="2436">
        <v>85.711367468325378</v>
      </c>
      <c r="F1340" s="2434">
        <v>14.433369006456557</v>
      </c>
      <c r="G1340" s="2435">
        <v>0.39659404185220637</v>
      </c>
      <c r="H1340" s="2436">
        <v>65.441949240139493</v>
      </c>
      <c r="I1340" s="2434">
        <v>6.6927491416686458</v>
      </c>
      <c r="J1340" s="2437">
        <v>0.18923320457210652</v>
      </c>
    </row>
    <row r="1341" spans="1:10" x14ac:dyDescent="0.2">
      <c r="A1341" s="2453" t="s">
        <v>1838</v>
      </c>
      <c r="B1341" s="2427">
        <v>0</v>
      </c>
      <c r="C1341" s="2428">
        <v>10407427.50198495</v>
      </c>
      <c r="D1341" s="2429">
        <v>0</v>
      </c>
      <c r="E1341" s="2430">
        <v>0</v>
      </c>
      <c r="F1341" s="2427">
        <v>0</v>
      </c>
      <c r="G1341" s="2429">
        <v>0</v>
      </c>
      <c r="H1341" s="2430">
        <v>0</v>
      </c>
      <c r="I1341" s="2427">
        <v>0</v>
      </c>
      <c r="J1341" s="2431">
        <v>0</v>
      </c>
    </row>
    <row r="1342" spans="1:10" x14ac:dyDescent="0.2">
      <c r="A1342" s="2454" t="s">
        <v>315</v>
      </c>
      <c r="B1342" s="2434">
        <v>0</v>
      </c>
      <c r="C1342" s="2455"/>
      <c r="D1342" s="2435">
        <v>0</v>
      </c>
      <c r="E1342" s="2436">
        <v>0</v>
      </c>
      <c r="F1342" s="2434">
        <v>0</v>
      </c>
      <c r="G1342" s="2435">
        <v>0</v>
      </c>
      <c r="H1342" s="2436">
        <v>0</v>
      </c>
      <c r="I1342" s="2434">
        <v>0</v>
      </c>
      <c r="J1342" s="2437">
        <v>0</v>
      </c>
    </row>
    <row r="1343" spans="1:10" x14ac:dyDescent="0.2">
      <c r="A1343" s="2453" t="s">
        <v>1541</v>
      </c>
      <c r="B1343" s="2427">
        <v>14.256</v>
      </c>
      <c r="C1343" s="2428">
        <v>10553660</v>
      </c>
      <c r="D1343" s="2429">
        <v>150.45297696</v>
      </c>
      <c r="E1343" s="2430">
        <v>0.22128997026804087</v>
      </c>
      <c r="F1343" s="2427">
        <v>3.7264133015807513E-2</v>
      </c>
      <c r="G1343" s="2429">
        <v>1.023928171049067E-3</v>
      </c>
      <c r="H1343" s="2430">
        <v>0.8051098596266546</v>
      </c>
      <c r="I1343" s="2427">
        <v>8.2338597559074952E-2</v>
      </c>
      <c r="J1343" s="2431">
        <v>2.3280712224919963E-3</v>
      </c>
    </row>
    <row r="1344" spans="1:10" x14ac:dyDescent="0.2">
      <c r="A1344" s="2453" t="s">
        <v>206</v>
      </c>
      <c r="B1344" s="2427">
        <v>906.25</v>
      </c>
      <c r="C1344" s="2428">
        <v>6960000</v>
      </c>
      <c r="D1344" s="2429">
        <v>6307.5</v>
      </c>
      <c r="E1344" s="2430">
        <v>14.067342561406567</v>
      </c>
      <c r="F1344" s="2427">
        <v>2.3688706892238747</v>
      </c>
      <c r="G1344" s="2429">
        <v>6.5090832282071895E-2</v>
      </c>
      <c r="H1344" s="2430">
        <v>33.752940900233845</v>
      </c>
      <c r="I1344" s="2427">
        <v>3.4519137779636084</v>
      </c>
      <c r="J1344" s="2431">
        <v>9.7600655916381715E-2</v>
      </c>
    </row>
    <row r="1345" spans="1:10" x14ac:dyDescent="0.2">
      <c r="A1345" s="2454" t="s">
        <v>310</v>
      </c>
      <c r="B1345" s="2434">
        <v>920.50599999999997</v>
      </c>
      <c r="C1345" s="2455"/>
      <c r="D1345" s="2435">
        <v>6457.9529769600003</v>
      </c>
      <c r="E1345" s="2436">
        <v>14.288632531674608</v>
      </c>
      <c r="F1345" s="2434">
        <v>2.4061348222396823</v>
      </c>
      <c r="G1345" s="2435">
        <v>6.6114760453120952E-2</v>
      </c>
      <c r="H1345" s="2436">
        <v>34.558050759860507</v>
      </c>
      <c r="I1345" s="2434">
        <v>3.5342523755226831</v>
      </c>
      <c r="J1345" s="2437">
        <v>9.9928727138873713E-2</v>
      </c>
    </row>
    <row r="1346" spans="1:10" x14ac:dyDescent="0.2">
      <c r="A1346" s="2453" t="s">
        <v>1839</v>
      </c>
      <c r="B1346" s="2427">
        <v>0</v>
      </c>
      <c r="C1346" s="2428">
        <v>39652080.629353955</v>
      </c>
      <c r="D1346" s="2429">
        <v>0</v>
      </c>
      <c r="E1346" s="2430">
        <v>0</v>
      </c>
      <c r="F1346" s="2427">
        <v>0</v>
      </c>
      <c r="G1346" s="2429">
        <v>0</v>
      </c>
      <c r="H1346" s="2430">
        <v>0</v>
      </c>
      <c r="I1346" s="2427">
        <v>0</v>
      </c>
      <c r="J1346" s="2431">
        <v>0</v>
      </c>
    </row>
    <row r="1347" spans="1:10" x14ac:dyDescent="0.2">
      <c r="A1347" s="2454" t="s">
        <v>311</v>
      </c>
      <c r="B1347" s="2434">
        <v>0</v>
      </c>
      <c r="C1347" s="2433"/>
      <c r="D1347" s="2435">
        <v>0</v>
      </c>
      <c r="E1347" s="2436">
        <v>0</v>
      </c>
      <c r="F1347" s="2434">
        <v>0</v>
      </c>
      <c r="G1347" s="2435">
        <v>0</v>
      </c>
      <c r="H1347" s="2436">
        <v>0</v>
      </c>
      <c r="I1347" s="2434">
        <v>0</v>
      </c>
      <c r="J1347" s="2437">
        <v>0</v>
      </c>
    </row>
    <row r="1348" spans="1:10" x14ac:dyDescent="0.2">
      <c r="A1348" s="2456" t="s">
        <v>129</v>
      </c>
      <c r="B1348" s="2441">
        <v>6442.2260000000006</v>
      </c>
      <c r="C1348" s="2440"/>
      <c r="D1348" s="2442">
        <v>18687.260522404733</v>
      </c>
      <c r="E1348" s="2443">
        <v>99.999999999999986</v>
      </c>
      <c r="F1348" s="2441">
        <v>16.839503828696241</v>
      </c>
      <c r="G1348" s="2442">
        <v>0.46270880230532735</v>
      </c>
      <c r="H1348" s="2443">
        <v>100</v>
      </c>
      <c r="I1348" s="2441">
        <v>10.227001517191329</v>
      </c>
      <c r="J1348" s="2444">
        <v>0.28916193171098026</v>
      </c>
    </row>
    <row r="1349" spans="1:10" x14ac:dyDescent="0.2">
      <c r="A1349" s="2451" t="s">
        <v>1853</v>
      </c>
      <c r="B1349" s="2427"/>
      <c r="C1349" s="2452"/>
      <c r="D1349" s="2429"/>
      <c r="E1349" s="2430"/>
      <c r="F1349" s="2427">
        <v>0</v>
      </c>
      <c r="G1349" s="2429"/>
      <c r="H1349" s="2430"/>
      <c r="I1349" s="2427">
        <v>0</v>
      </c>
      <c r="J1349" s="2431">
        <v>0</v>
      </c>
    </row>
    <row r="1350" spans="1:10" x14ac:dyDescent="0.2">
      <c r="A1350" s="2426" t="s">
        <v>1543</v>
      </c>
      <c r="B1350" s="2427">
        <v>9396</v>
      </c>
      <c r="C1350" s="2428">
        <v>13200000</v>
      </c>
      <c r="D1350" s="2429">
        <v>124027.2</v>
      </c>
      <c r="E1350" s="2430">
        <v>100</v>
      </c>
      <c r="F1350" s="2427">
        <v>24.560451305873134</v>
      </c>
      <c r="G1350" s="2429">
        <v>0.67486174910052144</v>
      </c>
      <c r="H1350" s="2430">
        <v>100</v>
      </c>
      <c r="I1350" s="2427">
        <v>67.876528025723033</v>
      </c>
      <c r="J1350" s="2431">
        <v>1.9191654493019832</v>
      </c>
    </row>
    <row r="1351" spans="1:10" x14ac:dyDescent="0.2">
      <c r="A1351" s="2426" t="s">
        <v>208</v>
      </c>
      <c r="B1351" s="2427">
        <v>0</v>
      </c>
      <c r="C1351" s="2428">
        <v>10000000</v>
      </c>
      <c r="D1351" s="2429">
        <v>0</v>
      </c>
      <c r="E1351" s="2430">
        <v>0</v>
      </c>
      <c r="F1351" s="2427">
        <v>0</v>
      </c>
      <c r="G1351" s="2429">
        <v>0</v>
      </c>
      <c r="H1351" s="2430">
        <v>0</v>
      </c>
      <c r="I1351" s="2427">
        <v>0</v>
      </c>
      <c r="J1351" s="2431">
        <v>0</v>
      </c>
    </row>
    <row r="1352" spans="1:10" x14ac:dyDescent="0.2">
      <c r="A1352" s="2426" t="s">
        <v>209</v>
      </c>
      <c r="B1352" s="2427">
        <v>0</v>
      </c>
      <c r="C1352" s="2428">
        <v>10000000</v>
      </c>
      <c r="D1352" s="2429">
        <v>0</v>
      </c>
      <c r="E1352" s="2430">
        <v>0</v>
      </c>
      <c r="F1352" s="2427">
        <v>0</v>
      </c>
      <c r="G1352" s="2429">
        <v>0</v>
      </c>
      <c r="H1352" s="2430">
        <v>0</v>
      </c>
      <c r="I1352" s="2427">
        <v>0</v>
      </c>
      <c r="J1352" s="2431">
        <v>0</v>
      </c>
    </row>
    <row r="1353" spans="1:10" x14ac:dyDescent="0.2">
      <c r="A1353" s="2426" t="s">
        <v>210</v>
      </c>
      <c r="B1353" s="2427">
        <v>0</v>
      </c>
      <c r="C1353" s="2428">
        <v>18500000</v>
      </c>
      <c r="D1353" s="2429">
        <v>0</v>
      </c>
      <c r="E1353" s="2430">
        <v>0</v>
      </c>
      <c r="F1353" s="2427">
        <v>0</v>
      </c>
      <c r="G1353" s="2429">
        <v>0</v>
      </c>
      <c r="H1353" s="2430">
        <v>0</v>
      </c>
      <c r="I1353" s="2427">
        <v>0</v>
      </c>
      <c r="J1353" s="2431">
        <v>0</v>
      </c>
    </row>
    <row r="1354" spans="1:10" x14ac:dyDescent="0.2">
      <c r="A1354" s="2426" t="s">
        <v>1545</v>
      </c>
      <c r="B1354" s="2427">
        <v>0</v>
      </c>
      <c r="C1354" s="2428">
        <v>14200000</v>
      </c>
      <c r="D1354" s="2429">
        <v>0</v>
      </c>
      <c r="E1354" s="2430">
        <v>0</v>
      </c>
      <c r="F1354" s="2427">
        <v>0</v>
      </c>
      <c r="G1354" s="2429">
        <v>0</v>
      </c>
      <c r="H1354" s="2430">
        <v>0</v>
      </c>
      <c r="I1354" s="2427">
        <v>0</v>
      </c>
      <c r="J1354" s="2431">
        <v>0</v>
      </c>
    </row>
    <row r="1355" spans="1:10" x14ac:dyDescent="0.2">
      <c r="A1355" s="2426" t="s">
        <v>1546</v>
      </c>
      <c r="B1355" s="2427">
        <v>0</v>
      </c>
      <c r="C1355" s="2428">
        <v>10000000</v>
      </c>
      <c r="D1355" s="2429">
        <v>0</v>
      </c>
      <c r="E1355" s="2430">
        <v>0</v>
      </c>
      <c r="F1355" s="2427">
        <v>0</v>
      </c>
      <c r="G1355" s="2429">
        <v>0</v>
      </c>
      <c r="H1355" s="2430">
        <v>0</v>
      </c>
      <c r="I1355" s="2427">
        <v>0</v>
      </c>
      <c r="J1355" s="2431">
        <v>0</v>
      </c>
    </row>
    <row r="1356" spans="1:10" x14ac:dyDescent="0.2">
      <c r="A1356" s="2456" t="s">
        <v>121</v>
      </c>
      <c r="B1356" s="2441">
        <v>9396</v>
      </c>
      <c r="C1356" s="2440"/>
      <c r="D1356" s="2442">
        <v>124027.2</v>
      </c>
      <c r="E1356" s="2443">
        <v>100</v>
      </c>
      <c r="F1356" s="2441">
        <v>24.560451305873134</v>
      </c>
      <c r="G1356" s="2442">
        <v>0.67486174910052144</v>
      </c>
      <c r="H1356" s="2443">
        <v>100</v>
      </c>
      <c r="I1356" s="2441">
        <v>67.876528025723033</v>
      </c>
      <c r="J1356" s="2444">
        <v>1.9191654493019832</v>
      </c>
    </row>
    <row r="1357" spans="1:10" ht="14.25" thickBot="1" x14ac:dyDescent="0.25">
      <c r="A1357" s="2457" t="s">
        <v>1840</v>
      </c>
      <c r="B1357" s="2446">
        <v>38256.625999999997</v>
      </c>
      <c r="C1357" s="2458"/>
      <c r="D1357" s="2448">
        <v>182724.72621610473</v>
      </c>
      <c r="E1357" s="2459"/>
      <c r="F1357" s="2460">
        <v>100</v>
      </c>
      <c r="G1357" s="2461">
        <v>2.7477579328484976</v>
      </c>
      <c r="H1357" s="2462"/>
      <c r="I1357" s="2460">
        <v>100</v>
      </c>
      <c r="J1357" s="2463">
        <v>2.8274360889152743</v>
      </c>
    </row>
    <row r="1358" spans="1:10" ht="15" thickBot="1" x14ac:dyDescent="0.25">
      <c r="A1358" s="2464" t="s">
        <v>1841</v>
      </c>
      <c r="B1358" s="2465">
        <v>1392285.1624830281</v>
      </c>
      <c r="C1358" s="2466"/>
      <c r="D1358" s="2467">
        <v>6462559.0276810033</v>
      </c>
      <c r="E1358" s="2468"/>
      <c r="F1358" s="2469"/>
      <c r="G1358" s="2469"/>
      <c r="H1358" s="2469"/>
      <c r="I1358" s="2469"/>
      <c r="J1358" s="2469"/>
    </row>
    <row r="1359" spans="1:10" ht="16.5" thickBot="1" x14ac:dyDescent="0.3">
      <c r="A1359" s="2470" t="s">
        <v>1842</v>
      </c>
      <c r="B1359" s="2471">
        <v>2.7477579328484976</v>
      </c>
      <c r="C1359" s="2472"/>
      <c r="D1359" s="2473">
        <v>2.8274360889152739</v>
      </c>
      <c r="E1359" s="2468"/>
      <c r="F1359" s="2469"/>
      <c r="G1359" s="2469"/>
      <c r="H1359" s="2469"/>
      <c r="I1359" s="2469"/>
      <c r="J1359" s="2469"/>
    </row>
    <row r="1360" spans="1:10" x14ac:dyDescent="0.2">
      <c r="A1360" s="2474" t="s">
        <v>2023</v>
      </c>
      <c r="B1360" s="2474"/>
      <c r="C1360" s="2474"/>
      <c r="D1360" s="2475"/>
      <c r="E1360" s="2474"/>
      <c r="F1360" s="2474"/>
      <c r="H1360" s="2474"/>
      <c r="I1360" s="2474"/>
      <c r="J1360" s="2474"/>
    </row>
    <row r="1361" spans="1:10" x14ac:dyDescent="0.2">
      <c r="A1361" s="2474" t="s">
        <v>1843</v>
      </c>
      <c r="B1361" s="2474"/>
      <c r="C1361" s="2474"/>
      <c r="D1361" s="2474"/>
      <c r="E1361" s="2474"/>
      <c r="F1361" s="2474"/>
      <c r="G1361" s="2474"/>
      <c r="H1361" s="2474"/>
      <c r="I1361" s="2474"/>
      <c r="J1361" s="2474"/>
    </row>
    <row r="1362" spans="1:10" x14ac:dyDescent="0.2">
      <c r="A1362" s="2474" t="s">
        <v>2024</v>
      </c>
      <c r="B1362" s="2474"/>
      <c r="C1362" s="2474"/>
      <c r="D1362" s="2474"/>
      <c r="E1362" s="2474"/>
      <c r="F1362" s="2474"/>
      <c r="G1362" s="2474"/>
      <c r="H1362" s="2474"/>
      <c r="I1362" s="2474"/>
      <c r="J1362" s="2474"/>
    </row>
    <row r="1366" spans="1:10" ht="13.5" thickBot="1" x14ac:dyDescent="0.25">
      <c r="A1366" s="3321" t="s">
        <v>2021</v>
      </c>
      <c r="B1366" s="3321"/>
      <c r="C1366" s="3321"/>
      <c r="D1366" s="3321"/>
      <c r="E1366" s="3321"/>
      <c r="F1366" s="3321"/>
      <c r="G1366" s="3321"/>
      <c r="H1366" s="3321"/>
      <c r="I1366" s="3321"/>
      <c r="J1366" s="3321"/>
    </row>
    <row r="1367" spans="1:10" ht="13.5" customHeight="1" thickBot="1" x14ac:dyDescent="0.25">
      <c r="A1367" s="3322" t="s">
        <v>369</v>
      </c>
      <c r="B1367" s="3324" t="s">
        <v>1272</v>
      </c>
      <c r="C1367" s="3324" t="s">
        <v>1832</v>
      </c>
      <c r="D1367" s="3326" t="s">
        <v>1844</v>
      </c>
      <c r="E1367" s="3328" t="s">
        <v>1849</v>
      </c>
      <c r="F1367" s="3329"/>
      <c r="G1367" s="3330"/>
      <c r="H1367" s="3328" t="s">
        <v>1850</v>
      </c>
      <c r="I1367" s="3329"/>
      <c r="J1367" s="3331"/>
    </row>
    <row r="1368" spans="1:10" ht="13.5" customHeight="1" thickBot="1" x14ac:dyDescent="0.25">
      <c r="A1368" s="3323"/>
      <c r="B1368" s="3325"/>
      <c r="C1368" s="3325"/>
      <c r="D1368" s="3327"/>
      <c r="E1368" s="2415" t="s">
        <v>1848</v>
      </c>
      <c r="F1368" s="2416" t="s">
        <v>1231</v>
      </c>
      <c r="G1368" s="2417" t="s">
        <v>1833</v>
      </c>
      <c r="H1368" s="2415" t="s">
        <v>1848</v>
      </c>
      <c r="I1368" s="2416" t="s">
        <v>1231</v>
      </c>
      <c r="J1368" s="2418" t="s">
        <v>1833</v>
      </c>
    </row>
    <row r="1369" spans="1:10" x14ac:dyDescent="0.2">
      <c r="A1369" s="2419" t="s">
        <v>1851</v>
      </c>
      <c r="B1369" s="2420"/>
      <c r="C1369" s="2420"/>
      <c r="D1369" s="2421"/>
      <c r="E1369" s="2422"/>
      <c r="F1369" s="2423"/>
      <c r="G1369" s="2424"/>
      <c r="H1369" s="2422"/>
      <c r="I1369" s="2423"/>
      <c r="J1369" s="2425"/>
    </row>
    <row r="1370" spans="1:10" x14ac:dyDescent="0.2">
      <c r="A1370" s="2426" t="s">
        <v>410</v>
      </c>
      <c r="B1370" s="2427">
        <v>0</v>
      </c>
      <c r="C1370" s="2428">
        <v>5667200.0000000009</v>
      </c>
      <c r="D1370" s="2429">
        <v>0</v>
      </c>
      <c r="E1370" s="2430">
        <v>0</v>
      </c>
      <c r="F1370" s="2427">
        <v>0</v>
      </c>
      <c r="G1370" s="2429">
        <v>0</v>
      </c>
      <c r="H1370" s="2430">
        <v>0</v>
      </c>
      <c r="I1370" s="2427">
        <v>0</v>
      </c>
      <c r="J1370" s="2431">
        <v>0</v>
      </c>
    </row>
    <row r="1371" spans="1:10" x14ac:dyDescent="0.2">
      <c r="A1371" s="2426" t="s">
        <v>411</v>
      </c>
      <c r="B1371" s="2427">
        <v>0</v>
      </c>
      <c r="C1371" s="2428">
        <v>1753716.5000000002</v>
      </c>
      <c r="D1371" s="2429">
        <v>0</v>
      </c>
      <c r="E1371" s="2430">
        <v>0</v>
      </c>
      <c r="F1371" s="2427">
        <v>0</v>
      </c>
      <c r="G1371" s="2429">
        <v>0</v>
      </c>
      <c r="H1371" s="2430">
        <v>0</v>
      </c>
      <c r="I1371" s="2427">
        <v>0</v>
      </c>
      <c r="J1371" s="2431">
        <v>0</v>
      </c>
    </row>
    <row r="1372" spans="1:10" x14ac:dyDescent="0.2">
      <c r="A1372" s="2426" t="s">
        <v>278</v>
      </c>
      <c r="B1372" s="2427">
        <v>7971.7</v>
      </c>
      <c r="C1372" s="2428">
        <v>1637875</v>
      </c>
      <c r="D1372" s="2429">
        <v>13056.6481375</v>
      </c>
      <c r="E1372" s="2430">
        <v>12.289778033353389</v>
      </c>
      <c r="F1372" s="2427">
        <v>10.991337515631223</v>
      </c>
      <c r="G1372" s="2429">
        <v>0.57256230367226757</v>
      </c>
      <c r="H1372" s="2430">
        <v>3.7949951149589816</v>
      </c>
      <c r="I1372" s="2427">
        <v>3.432700406602049</v>
      </c>
      <c r="J1372" s="2431">
        <v>0.20203526314536724</v>
      </c>
    </row>
    <row r="1373" spans="1:10" x14ac:dyDescent="0.2">
      <c r="A1373" s="2426" t="s">
        <v>200</v>
      </c>
      <c r="B1373" s="2427">
        <v>5693.4</v>
      </c>
      <c r="C1373" s="2428">
        <v>7709114.5</v>
      </c>
      <c r="D1373" s="2429">
        <v>43891.072494299995</v>
      </c>
      <c r="E1373" s="2430">
        <v>8.7773777556975539</v>
      </c>
      <c r="F1373" s="2427">
        <v>7.850029606168671</v>
      </c>
      <c r="G1373" s="2429">
        <v>0.40892484911972204</v>
      </c>
      <c r="H1373" s="2430">
        <v>12.757210269593127</v>
      </c>
      <c r="I1373" s="2427">
        <v>11.539324703455776</v>
      </c>
      <c r="J1373" s="2431">
        <v>0.67915932846882909</v>
      </c>
    </row>
    <row r="1374" spans="1:10" x14ac:dyDescent="0.2">
      <c r="A1374" s="2426" t="s">
        <v>429</v>
      </c>
      <c r="B1374" s="2427">
        <v>0</v>
      </c>
      <c r="C1374" s="2428">
        <v>1255000</v>
      </c>
      <c r="D1374" s="2429">
        <v>0</v>
      </c>
      <c r="E1374" s="2430">
        <v>0</v>
      </c>
      <c r="F1374" s="2427">
        <v>0</v>
      </c>
      <c r="G1374" s="2429">
        <v>0</v>
      </c>
      <c r="H1374" s="2430">
        <v>0</v>
      </c>
      <c r="I1374" s="2427">
        <v>0</v>
      </c>
      <c r="J1374" s="2431">
        <v>0</v>
      </c>
    </row>
    <row r="1375" spans="1:10" x14ac:dyDescent="0.2">
      <c r="A1375" s="2432" t="s">
        <v>431</v>
      </c>
      <c r="B1375" s="2427">
        <v>0</v>
      </c>
      <c r="C1375" s="2428">
        <v>0</v>
      </c>
      <c r="D1375" s="2429">
        <v>0</v>
      </c>
      <c r="E1375" s="2430">
        <v>0</v>
      </c>
      <c r="F1375" s="2427">
        <v>0</v>
      </c>
      <c r="G1375" s="2429">
        <v>0</v>
      </c>
      <c r="H1375" s="2430">
        <v>0</v>
      </c>
      <c r="I1375" s="2427">
        <v>0</v>
      </c>
      <c r="J1375" s="2431">
        <v>0</v>
      </c>
    </row>
    <row r="1376" spans="1:10" x14ac:dyDescent="0.2">
      <c r="A1376" s="2432" t="s">
        <v>430</v>
      </c>
      <c r="B1376" s="2427">
        <v>0</v>
      </c>
      <c r="C1376" s="2428">
        <v>0</v>
      </c>
      <c r="D1376" s="2429">
        <v>0</v>
      </c>
      <c r="E1376" s="2430">
        <v>0</v>
      </c>
      <c r="F1376" s="2427">
        <v>0</v>
      </c>
      <c r="G1376" s="2429">
        <v>0</v>
      </c>
      <c r="H1376" s="2430">
        <v>0</v>
      </c>
      <c r="I1376" s="2427">
        <v>0</v>
      </c>
      <c r="J1376" s="2431">
        <v>0</v>
      </c>
    </row>
    <row r="1377" spans="1:10" x14ac:dyDescent="0.2">
      <c r="A1377" s="2433" t="s">
        <v>279</v>
      </c>
      <c r="B1377" s="2434">
        <v>13665.099999999999</v>
      </c>
      <c r="C1377" s="2433"/>
      <c r="D1377" s="2435">
        <v>56947.720631799995</v>
      </c>
      <c r="E1377" s="2436">
        <v>21.06715578905094</v>
      </c>
      <c r="F1377" s="2434">
        <v>18.841367121799895</v>
      </c>
      <c r="G1377" s="2435">
        <v>0.98148715279198961</v>
      </c>
      <c r="H1377" s="2436">
        <v>16.55220538455211</v>
      </c>
      <c r="I1377" s="2434">
        <v>14.972025110057826</v>
      </c>
      <c r="J1377" s="2437">
        <v>0.88119459161419644</v>
      </c>
    </row>
    <row r="1378" spans="1:10" x14ac:dyDescent="0.2">
      <c r="A1378" s="2438" t="s">
        <v>412</v>
      </c>
      <c r="B1378" s="2427">
        <v>1176.5</v>
      </c>
      <c r="C1378" s="2428">
        <v>4129499.9999999995</v>
      </c>
      <c r="D1378" s="2429">
        <v>4858.356749999999</v>
      </c>
      <c r="E1378" s="2430">
        <v>1.8137817349173029</v>
      </c>
      <c r="F1378" s="2427">
        <v>1.6221519358656413</v>
      </c>
      <c r="G1378" s="2429">
        <v>8.4501367370877337E-2</v>
      </c>
      <c r="H1378" s="2430">
        <v>1.4121112814569781</v>
      </c>
      <c r="I1378" s="2427">
        <v>1.2773020315408501</v>
      </c>
      <c r="J1378" s="2431">
        <v>7.5176980654107092E-2</v>
      </c>
    </row>
    <row r="1379" spans="1:10" x14ac:dyDescent="0.2">
      <c r="A1379" s="2438" t="s">
        <v>413</v>
      </c>
      <c r="B1379" s="2427">
        <v>1028</v>
      </c>
      <c r="C1379" s="2428">
        <v>1200000</v>
      </c>
      <c r="D1379" s="2429">
        <v>1233.5999999999999</v>
      </c>
      <c r="E1379" s="2430">
        <v>1.5848428588992669</v>
      </c>
      <c r="F1379" s="2427">
        <v>1.417400926536234</v>
      </c>
      <c r="G1379" s="2429">
        <v>7.3835448922449559E-2</v>
      </c>
      <c r="H1379" s="2430">
        <v>0.35855342998542217</v>
      </c>
      <c r="I1379" s="2427">
        <v>0.32432360717619035</v>
      </c>
      <c r="J1379" s="2431">
        <v>1.9088413656511847E-2</v>
      </c>
    </row>
    <row r="1380" spans="1:10" x14ac:dyDescent="0.2">
      <c r="A1380" s="2426" t="s">
        <v>90</v>
      </c>
      <c r="B1380" s="2427">
        <v>314</v>
      </c>
      <c r="C1380" s="2428">
        <v>1743000</v>
      </c>
      <c r="D1380" s="2429">
        <v>547.30200000000002</v>
      </c>
      <c r="E1380" s="2430">
        <v>0.48408624289335578</v>
      </c>
      <c r="F1380" s="2427">
        <v>0.43294152814433606</v>
      </c>
      <c r="G1380" s="2429">
        <v>2.2552851130008912E-2</v>
      </c>
      <c r="H1380" s="2430">
        <v>0.15907669369153823</v>
      </c>
      <c r="I1380" s="2427">
        <v>0.14389020659431206</v>
      </c>
      <c r="J1380" s="2431">
        <v>8.4688123954573986E-3</v>
      </c>
    </row>
    <row r="1381" spans="1:10" x14ac:dyDescent="0.2">
      <c r="A1381" s="2426" t="s">
        <v>417</v>
      </c>
      <c r="B1381" s="2427">
        <v>703</v>
      </c>
      <c r="C1381" s="2428">
        <v>2563999.9999999995</v>
      </c>
      <c r="D1381" s="2429">
        <v>1802.4919999999997</v>
      </c>
      <c r="E1381" s="2430">
        <v>1.0837981807453156</v>
      </c>
      <c r="F1381" s="2427">
        <v>0.96929265696009004</v>
      </c>
      <c r="G1381" s="2429">
        <v>5.0492529759223768E-2</v>
      </c>
      <c r="H1381" s="2430">
        <v>0.5239053900140106</v>
      </c>
      <c r="I1381" s="2427">
        <v>0.47389000271256948</v>
      </c>
      <c r="J1381" s="2431">
        <v>2.7891304238451157E-2</v>
      </c>
    </row>
    <row r="1382" spans="1:10" x14ac:dyDescent="0.2">
      <c r="A1382" s="2426" t="s">
        <v>418</v>
      </c>
      <c r="B1382" s="2427">
        <v>1300</v>
      </c>
      <c r="C1382" s="2428">
        <v>2222500</v>
      </c>
      <c r="D1382" s="2429">
        <v>2889.25</v>
      </c>
      <c r="E1382" s="2430">
        <v>2.0041787126158042</v>
      </c>
      <c r="F1382" s="2427">
        <v>1.7924330783045759</v>
      </c>
      <c r="G1382" s="2429">
        <v>9.3371676652903135E-2</v>
      </c>
      <c r="H1382" s="2430">
        <v>0.83977828922290942</v>
      </c>
      <c r="I1382" s="2427">
        <v>0.7596076378354476</v>
      </c>
      <c r="J1382" s="2431">
        <v>4.4707522014491623E-2</v>
      </c>
    </row>
    <row r="1383" spans="1:10" x14ac:dyDescent="0.2">
      <c r="A1383" s="2426" t="s">
        <v>423</v>
      </c>
      <c r="B1383" s="2427">
        <v>0</v>
      </c>
      <c r="C1383" s="2428">
        <v>2531500</v>
      </c>
      <c r="D1383" s="2429">
        <v>0</v>
      </c>
      <c r="E1383" s="2430">
        <v>0</v>
      </c>
      <c r="F1383" s="2427">
        <v>0</v>
      </c>
      <c r="G1383" s="2429">
        <v>0</v>
      </c>
      <c r="H1383" s="2430">
        <v>0</v>
      </c>
      <c r="I1383" s="2427">
        <v>0</v>
      </c>
      <c r="J1383" s="2431">
        <v>0</v>
      </c>
    </row>
    <row r="1384" spans="1:10" x14ac:dyDescent="0.2">
      <c r="A1384" s="2426" t="s">
        <v>424</v>
      </c>
      <c r="B1384" s="2427">
        <v>128</v>
      </c>
      <c r="C1384" s="2428">
        <v>1369000</v>
      </c>
      <c r="D1384" s="2429">
        <v>175.232</v>
      </c>
      <c r="E1384" s="2430">
        <v>0.19733451939601765</v>
      </c>
      <c r="F1384" s="2427">
        <v>0.17648571847921979</v>
      </c>
      <c r="G1384" s="2429">
        <v>9.1935189319781539E-3</v>
      </c>
      <c r="H1384" s="2430">
        <v>5.0932258952014836E-2</v>
      </c>
      <c r="I1384" s="2427">
        <v>4.6069937040124992E-2</v>
      </c>
      <c r="J1384" s="2431">
        <v>2.7114955430106065E-3</v>
      </c>
    </row>
    <row r="1385" spans="1:10" x14ac:dyDescent="0.2">
      <c r="A1385" s="2426" t="s">
        <v>280</v>
      </c>
      <c r="B1385" s="2427">
        <v>1080</v>
      </c>
      <c r="C1385" s="2428">
        <v>1574500</v>
      </c>
      <c r="D1385" s="2429">
        <v>1700.46</v>
      </c>
      <c r="E1385" s="2430">
        <v>1.6650100074038987</v>
      </c>
      <c r="F1385" s="2427">
        <v>1.4890982496684171</v>
      </c>
      <c r="G1385" s="2429">
        <v>7.7570315988565675E-2</v>
      </c>
      <c r="H1385" s="2430">
        <v>0.49424916144050823</v>
      </c>
      <c r="I1385" s="2427">
        <v>0.44706494897764654</v>
      </c>
      <c r="J1385" s="2431">
        <v>2.6312486937704393E-2</v>
      </c>
    </row>
    <row r="1386" spans="1:10" x14ac:dyDescent="0.2">
      <c r="A1386" s="2426" t="s">
        <v>427</v>
      </c>
      <c r="B1386" s="2427">
        <v>300</v>
      </c>
      <c r="C1386" s="2428">
        <v>2072000</v>
      </c>
      <c r="D1386" s="2429">
        <v>621.6</v>
      </c>
      <c r="E1386" s="2430">
        <v>0.46250277983441634</v>
      </c>
      <c r="F1386" s="2427">
        <v>0.41363840268567137</v>
      </c>
      <c r="G1386" s="2429">
        <v>2.1547309996823798E-2</v>
      </c>
      <c r="H1386" s="2430">
        <v>0.18067186452572831</v>
      </c>
      <c r="I1386" s="2427">
        <v>0.16342376314909204</v>
      </c>
      <c r="J1386" s="2431">
        <v>9.6184808113551935E-3</v>
      </c>
    </row>
    <row r="1387" spans="1:10" x14ac:dyDescent="0.2">
      <c r="A1387" s="2426" t="s">
        <v>428</v>
      </c>
      <c r="B1387" s="2427">
        <v>0</v>
      </c>
      <c r="C1387" s="2428">
        <v>1326280</v>
      </c>
      <c r="D1387" s="2429">
        <v>0</v>
      </c>
      <c r="E1387" s="2430">
        <v>0</v>
      </c>
      <c r="F1387" s="2427">
        <v>0</v>
      </c>
      <c r="G1387" s="2429">
        <v>0</v>
      </c>
      <c r="H1387" s="2430">
        <v>0</v>
      </c>
      <c r="I1387" s="2427">
        <v>0</v>
      </c>
      <c r="J1387" s="2431">
        <v>0</v>
      </c>
    </row>
    <row r="1388" spans="1:10" x14ac:dyDescent="0.2">
      <c r="A1388" s="2439" t="s">
        <v>92</v>
      </c>
      <c r="B1388" s="2427">
        <v>1108</v>
      </c>
      <c r="C1388" s="2428">
        <v>2215500</v>
      </c>
      <c r="D1388" s="2429">
        <v>2454.7739999999999</v>
      </c>
      <c r="E1388" s="2430">
        <v>1.7081769335217778</v>
      </c>
      <c r="F1388" s="2427">
        <v>1.5277045005857464</v>
      </c>
      <c r="G1388" s="2429">
        <v>7.9581398254935903E-2</v>
      </c>
      <c r="H1388" s="2430">
        <v>0.7134951666172461</v>
      </c>
      <c r="I1388" s="2427">
        <v>0.6453803165388502</v>
      </c>
      <c r="J1388" s="2431">
        <v>3.798455053927547E-2</v>
      </c>
    </row>
    <row r="1389" spans="1:10" x14ac:dyDescent="0.2">
      <c r="A1389" s="2433" t="s">
        <v>281</v>
      </c>
      <c r="B1389" s="2434">
        <v>7137.5</v>
      </c>
      <c r="C1389" s="2433"/>
      <c r="D1389" s="2435">
        <v>16283.066749999998</v>
      </c>
      <c r="E1389" s="2436">
        <v>11.003711970227156</v>
      </c>
      <c r="F1389" s="2434">
        <v>9.8411469972299308</v>
      </c>
      <c r="G1389" s="2435">
        <v>0.51264641700776614</v>
      </c>
      <c r="H1389" s="2436">
        <v>4.7327735359063556</v>
      </c>
      <c r="I1389" s="2434">
        <v>4.2809524515650832</v>
      </c>
      <c r="J1389" s="2437">
        <v>0.25196004679036477</v>
      </c>
    </row>
    <row r="1390" spans="1:10" x14ac:dyDescent="0.2">
      <c r="A1390" s="2440" t="s">
        <v>106</v>
      </c>
      <c r="B1390" s="2441">
        <v>20802.599999999999</v>
      </c>
      <c r="C1390" s="2440"/>
      <c r="D1390" s="2442">
        <v>73230.787381799993</v>
      </c>
      <c r="E1390" s="2443">
        <v>32.070867759278102</v>
      </c>
      <c r="F1390" s="2441">
        <v>28.682514119029822</v>
      </c>
      <c r="G1390" s="2442">
        <v>1.4941335697997558</v>
      </c>
      <c r="H1390" s="2443">
        <v>21.284978920458467</v>
      </c>
      <c r="I1390" s="2441">
        <v>19.25297756162291</v>
      </c>
      <c r="J1390" s="2444">
        <v>1.133154638404561</v>
      </c>
    </row>
    <row r="1391" spans="1:10" x14ac:dyDescent="0.2">
      <c r="A1391" s="2426" t="s">
        <v>905</v>
      </c>
      <c r="B1391" s="2427">
        <v>100.8</v>
      </c>
      <c r="C1391" s="2428">
        <v>6100000</v>
      </c>
      <c r="D1391" s="2429">
        <v>614.88</v>
      </c>
      <c r="E1391" s="2430">
        <v>0.15540093402436389</v>
      </c>
      <c r="F1391" s="2427">
        <v>0.1389825033023856</v>
      </c>
      <c r="G1391" s="2429">
        <v>7.2398961589327957E-3</v>
      </c>
      <c r="H1391" s="2430">
        <v>0.17871865517950422</v>
      </c>
      <c r="I1391" s="2427">
        <v>0.16165701976369645</v>
      </c>
      <c r="J1391" s="2431">
        <v>9.5144972350162168E-3</v>
      </c>
    </row>
    <row r="1392" spans="1:10" x14ac:dyDescent="0.2">
      <c r="A1392" s="2426" t="s">
        <v>906</v>
      </c>
      <c r="B1392" s="2427">
        <v>264</v>
      </c>
      <c r="C1392" s="2428">
        <v>3022000.0000000005</v>
      </c>
      <c r="D1392" s="2429">
        <v>797.80800000000011</v>
      </c>
      <c r="E1392" s="2430">
        <v>0.40700244625428639</v>
      </c>
      <c r="F1392" s="2427">
        <v>0.36400179436339081</v>
      </c>
      <c r="G1392" s="2429">
        <v>1.8961632797204944E-2</v>
      </c>
      <c r="H1392" s="2430">
        <v>0.23188780388279001</v>
      </c>
      <c r="I1392" s="2427">
        <v>0.20975029863328642</v>
      </c>
      <c r="J1392" s="2431">
        <v>1.2345078730929319E-2</v>
      </c>
    </row>
    <row r="1393" spans="1:10" x14ac:dyDescent="0.2">
      <c r="A1393" s="2426" t="s">
        <v>907</v>
      </c>
      <c r="B1393" s="2427">
        <v>504</v>
      </c>
      <c r="C1393" s="2428">
        <v>2324000</v>
      </c>
      <c r="D1393" s="2429">
        <v>1171.296</v>
      </c>
      <c r="E1393" s="2430">
        <v>0.77700467012181951</v>
      </c>
      <c r="F1393" s="2427">
        <v>0.69491251651192798</v>
      </c>
      <c r="G1393" s="2429">
        <v>3.6199480794663987E-2</v>
      </c>
      <c r="H1393" s="2430">
        <v>0.34044438904685886</v>
      </c>
      <c r="I1393" s="2427">
        <v>0.30794337207445133</v>
      </c>
      <c r="J1393" s="2431">
        <v>1.8124337355883355E-2</v>
      </c>
    </row>
    <row r="1394" spans="1:10" x14ac:dyDescent="0.2">
      <c r="A1394" s="2439" t="s">
        <v>908</v>
      </c>
      <c r="B1394" s="2427">
        <v>6356</v>
      </c>
      <c r="C1394" s="2428">
        <v>2403999.9999999995</v>
      </c>
      <c r="D1394" s="2429">
        <v>15279.823999999997</v>
      </c>
      <c r="E1394" s="2430">
        <v>9.7988922287585023</v>
      </c>
      <c r="F1394" s="2427">
        <v>8.7636189582337582</v>
      </c>
      <c r="G1394" s="2429">
        <v>0.45651567446604024</v>
      </c>
      <c r="H1394" s="2430">
        <v>4.4411748579552306</v>
      </c>
      <c r="I1394" s="2427">
        <v>4.0171916639894008</v>
      </c>
      <c r="J1394" s="2431">
        <v>0.2364361228199558</v>
      </c>
    </row>
    <row r="1395" spans="1:10" x14ac:dyDescent="0.2">
      <c r="A1395" s="2440" t="s">
        <v>282</v>
      </c>
      <c r="B1395" s="2441">
        <v>7224.8</v>
      </c>
      <c r="C1395" s="2440"/>
      <c r="D1395" s="2442">
        <v>17863.807999999997</v>
      </c>
      <c r="E1395" s="2443">
        <v>11.138300279158972</v>
      </c>
      <c r="F1395" s="2441">
        <v>9.9615157724114631</v>
      </c>
      <c r="G1395" s="2442">
        <v>0.51891668421684189</v>
      </c>
      <c r="H1395" s="2443">
        <v>5.1922257060643835</v>
      </c>
      <c r="I1395" s="2441">
        <v>4.6965423544608349</v>
      </c>
      <c r="J1395" s="2444">
        <v>0.27642003614178468</v>
      </c>
    </row>
    <row r="1396" spans="1:10" x14ac:dyDescent="0.2">
      <c r="A1396" s="2426" t="s">
        <v>955</v>
      </c>
      <c r="B1396" s="2427">
        <v>354.64000000000004</v>
      </c>
      <c r="C1396" s="2428">
        <v>12137000</v>
      </c>
      <c r="D1396" s="2429">
        <v>4304.2656800000013</v>
      </c>
      <c r="E1396" s="2430">
        <v>0.54673995280159149</v>
      </c>
      <c r="F1396" s="2427">
        <v>0.48897574376148845</v>
      </c>
      <c r="G1396" s="2429">
        <v>2.5471793390911976E-2</v>
      </c>
      <c r="H1396" s="2430">
        <v>1.2510613027987485</v>
      </c>
      <c r="I1396" s="2427">
        <v>1.1316269224888769</v>
      </c>
      <c r="J1396" s="2431">
        <v>6.6603115910641442E-2</v>
      </c>
    </row>
    <row r="1397" spans="1:10" x14ac:dyDescent="0.2">
      <c r="A1397" s="2426" t="s">
        <v>283</v>
      </c>
      <c r="B1397" s="2427">
        <v>7941.7211531482744</v>
      </c>
      <c r="C1397" s="2428">
        <v>13024549.999999996</v>
      </c>
      <c r="D1397" s="2429">
        <v>103437.34424523734</v>
      </c>
      <c r="E1397" s="2430">
        <v>12.243560366669545</v>
      </c>
      <c r="F1397" s="2427">
        <v>10.950002841210868</v>
      </c>
      <c r="G1397" s="2429">
        <v>0.57040909198406287</v>
      </c>
      <c r="H1397" s="2430">
        <v>30.064700525058953</v>
      </c>
      <c r="I1397" s="2427">
        <v>27.194530319666612</v>
      </c>
      <c r="J1397" s="2431">
        <v>1.6005632413133155</v>
      </c>
    </row>
    <row r="1398" spans="1:10" x14ac:dyDescent="0.2">
      <c r="A1398" s="2426" t="s">
        <v>69</v>
      </c>
      <c r="B1398" s="2427">
        <v>6272.8638468517247</v>
      </c>
      <c r="C1398" s="2428">
        <v>14978232.499999994</v>
      </c>
      <c r="D1398" s="2429">
        <v>93956.41313898949</v>
      </c>
      <c r="E1398" s="2430">
        <v>9.670723222305778</v>
      </c>
      <c r="F1398" s="2427">
        <v>8.648991272921478</v>
      </c>
      <c r="G1398" s="2429">
        <v>0.45054447291994254</v>
      </c>
      <c r="H1398" s="2430">
        <v>27.309009565590198</v>
      </c>
      <c r="I1398" s="2427">
        <v>24.701915391191211</v>
      </c>
      <c r="J1398" s="2431">
        <v>1.4538577169902369</v>
      </c>
    </row>
    <row r="1399" spans="1:10" x14ac:dyDescent="0.2">
      <c r="A1399" s="2426" t="s">
        <v>199</v>
      </c>
      <c r="B1399" s="2427">
        <v>1799</v>
      </c>
      <c r="C1399" s="2428">
        <v>3000000</v>
      </c>
      <c r="D1399" s="2429">
        <v>5397</v>
      </c>
      <c r="E1399" s="2430">
        <v>2.7734750030737167</v>
      </c>
      <c r="F1399" s="2427">
        <v>2.4804516214384096</v>
      </c>
      <c r="G1399" s="2429">
        <v>0.12921203561428674</v>
      </c>
      <c r="H1399" s="2430">
        <v>1.5686712561862222</v>
      </c>
      <c r="I1399" s="2427">
        <v>1.4189157813958329</v>
      </c>
      <c r="J1399" s="2431">
        <v>8.3511809747239332E-2</v>
      </c>
    </row>
    <row r="1400" spans="1:10" x14ac:dyDescent="0.2">
      <c r="A1400" s="2426" t="s">
        <v>86</v>
      </c>
      <c r="B1400" s="2427">
        <v>2570</v>
      </c>
      <c r="C1400" s="2428">
        <v>170000</v>
      </c>
      <c r="D1400" s="2429">
        <v>436.9</v>
      </c>
      <c r="E1400" s="2430">
        <v>3.9621071472481666</v>
      </c>
      <c r="F1400" s="2427">
        <v>3.5435023163405845</v>
      </c>
      <c r="G1400" s="2429">
        <v>0.18458862230612388</v>
      </c>
      <c r="H1400" s="2430">
        <v>0.12698767311983702</v>
      </c>
      <c r="I1400" s="2427">
        <v>0.11486461087490075</v>
      </c>
      <c r="J1400" s="2431">
        <v>6.7604798366812787E-3</v>
      </c>
    </row>
    <row r="1401" spans="1:10" x14ac:dyDescent="0.2">
      <c r="A1401" s="2439" t="s">
        <v>213</v>
      </c>
      <c r="B1401" s="2427">
        <v>4483.5999999999995</v>
      </c>
      <c r="C1401" s="2428">
        <v>1850000.0000000005</v>
      </c>
      <c r="D1401" s="2429">
        <v>8294.6600000000017</v>
      </c>
      <c r="E1401" s="2430">
        <v>6.9122582122186307</v>
      </c>
      <c r="F1401" s="2427">
        <v>6.1819638076049195</v>
      </c>
      <c r="G1401" s="2429">
        <v>0.32203173033919724</v>
      </c>
      <c r="H1401" s="2430">
        <v>2.4108939636534394</v>
      </c>
      <c r="I1401" s="2427">
        <v>2.1807344775454438</v>
      </c>
      <c r="J1401" s="2431">
        <v>0.12834946596961949</v>
      </c>
    </row>
    <row r="1402" spans="1:10" x14ac:dyDescent="0.2">
      <c r="A1402" s="2433" t="s">
        <v>1834</v>
      </c>
      <c r="B1402" s="2434">
        <v>23421.824999999997</v>
      </c>
      <c r="C1402" s="2433"/>
      <c r="D1402" s="2435">
        <v>215826.58306422684</v>
      </c>
      <c r="E1402" s="2436">
        <v>36.108863904317424</v>
      </c>
      <c r="F1402" s="2434">
        <v>32.293887603277746</v>
      </c>
      <c r="G1402" s="2435">
        <v>1.682257746554525</v>
      </c>
      <c r="H1402" s="2436">
        <v>62.7313242864074</v>
      </c>
      <c r="I1402" s="2434">
        <v>56.742587503162881</v>
      </c>
      <c r="J1402" s="2437">
        <v>3.3396458297677336</v>
      </c>
    </row>
    <row r="1403" spans="1:10" x14ac:dyDescent="0.2">
      <c r="A1403" s="2426" t="s">
        <v>961</v>
      </c>
      <c r="B1403" s="2427">
        <v>2459.8999999999996</v>
      </c>
      <c r="C1403" s="2428">
        <v>3668000</v>
      </c>
      <c r="D1403" s="2429">
        <v>9022.9131999999972</v>
      </c>
      <c r="E1403" s="2430">
        <v>3.7923686270489352</v>
      </c>
      <c r="F1403" s="2427">
        <v>3.391697022554943</v>
      </c>
      <c r="G1403" s="2429">
        <v>0.17668075953728954</v>
      </c>
      <c r="H1403" s="2430">
        <v>2.6225652369655812</v>
      </c>
      <c r="I1403" s="2427">
        <v>2.3721982459968078</v>
      </c>
      <c r="J1403" s="2431">
        <v>0.13961827135895022</v>
      </c>
    </row>
    <row r="1404" spans="1:10" x14ac:dyDescent="0.2">
      <c r="A1404" s="2426" t="s">
        <v>962</v>
      </c>
      <c r="B1404" s="2427">
        <v>127.5</v>
      </c>
      <c r="C1404" s="2428">
        <v>1999999.9999999998</v>
      </c>
      <c r="D1404" s="2429">
        <v>254.99999999999997</v>
      </c>
      <c r="E1404" s="2430">
        <v>0.19656368142962696</v>
      </c>
      <c r="F1404" s="2427">
        <v>0.17579632114141033</v>
      </c>
      <c r="G1404" s="2429">
        <v>9.1576067486501146E-3</v>
      </c>
      <c r="H1404" s="2430">
        <v>7.4117318941539112E-2</v>
      </c>
      <c r="I1404" s="2427">
        <v>6.7041601677957641E-2</v>
      </c>
      <c r="J1404" s="2431">
        <v>3.9458053521486064E-3</v>
      </c>
    </row>
    <row r="1405" spans="1:10" x14ac:dyDescent="0.2">
      <c r="A1405" s="2426" t="s">
        <v>963</v>
      </c>
      <c r="B1405" s="2427">
        <v>954</v>
      </c>
      <c r="C1405" s="2428">
        <v>1347999.9999999998</v>
      </c>
      <c r="D1405" s="2429">
        <v>1285.9919999999997</v>
      </c>
      <c r="E1405" s="2430">
        <v>1.4707588398734439</v>
      </c>
      <c r="F1405" s="2427">
        <v>1.3153701205404351</v>
      </c>
      <c r="G1405" s="2429">
        <v>6.8520445789899687E-2</v>
      </c>
      <c r="H1405" s="2430">
        <v>0.37378148713830495</v>
      </c>
      <c r="I1405" s="2427">
        <v>0.33809789578447091</v>
      </c>
      <c r="J1405" s="2431">
        <v>1.9899114182040354E-2</v>
      </c>
    </row>
    <row r="1406" spans="1:10" x14ac:dyDescent="0.2">
      <c r="A1406" s="2426" t="s">
        <v>965</v>
      </c>
      <c r="B1406" s="2427">
        <v>1128.75</v>
      </c>
      <c r="C1406" s="2428">
        <v>1599999.9999999995</v>
      </c>
      <c r="D1406" s="2429">
        <v>1805.9999999999995</v>
      </c>
      <c r="E1406" s="2430">
        <v>1.7401667091269915</v>
      </c>
      <c r="F1406" s="2427">
        <v>1.5563144901048387</v>
      </c>
      <c r="G1406" s="2429">
        <v>8.1071753863049545E-2</v>
      </c>
      <c r="H1406" s="2430">
        <v>0.52492501179772399</v>
      </c>
      <c r="I1406" s="2427">
        <v>0.47481228482506455</v>
      </c>
      <c r="J1406" s="2431">
        <v>2.794558614109954E-2</v>
      </c>
    </row>
    <row r="1407" spans="1:10" x14ac:dyDescent="0.2">
      <c r="A1407" s="2426" t="s">
        <v>966</v>
      </c>
      <c r="B1407" s="2427">
        <v>27</v>
      </c>
      <c r="C1407" s="2428">
        <v>2244000</v>
      </c>
      <c r="D1407" s="2429">
        <v>60.588000000000001</v>
      </c>
      <c r="E1407" s="2430">
        <v>4.1625250185097475E-2</v>
      </c>
      <c r="F1407" s="2427">
        <v>3.7227456241710422E-2</v>
      </c>
      <c r="G1407" s="2429">
        <v>1.939257899714142E-3</v>
      </c>
      <c r="H1407" s="2430">
        <v>1.7610274980509696E-2</v>
      </c>
      <c r="I1407" s="2427">
        <v>1.5929084558682735E-2</v>
      </c>
      <c r="J1407" s="2431">
        <v>9.3752335167050901E-4</v>
      </c>
    </row>
    <row r="1408" spans="1:10" x14ac:dyDescent="0.2">
      <c r="A1408" s="2426" t="s">
        <v>1499</v>
      </c>
      <c r="B1408" s="2427">
        <v>84</v>
      </c>
      <c r="C1408" s="2428">
        <v>4849999.9999999991</v>
      </c>
      <c r="D1408" s="2429">
        <v>407.39999999999992</v>
      </c>
      <c r="E1408" s="2430">
        <v>0.12950077835363658</v>
      </c>
      <c r="F1408" s="2427">
        <v>0.115818752751988</v>
      </c>
      <c r="G1408" s="2429">
        <v>6.0332467991106638E-3</v>
      </c>
      <c r="H1408" s="2430">
        <v>0.11841331661483542</v>
      </c>
      <c r="I1408" s="2427">
        <v>0.10710881773960761</v>
      </c>
      <c r="J1408" s="2431">
        <v>6.3040043155503621E-3</v>
      </c>
    </row>
    <row r="1409" spans="1:10" x14ac:dyDescent="0.2">
      <c r="A1409" s="2426" t="s">
        <v>1575</v>
      </c>
      <c r="B1409" s="2427">
        <v>23.100000000000009</v>
      </c>
      <c r="C1409" s="2428">
        <v>2250000.0000000005</v>
      </c>
      <c r="D1409" s="2429">
        <v>51.97500000000003</v>
      </c>
      <c r="E1409" s="2430">
        <v>3.5612714047250076E-2</v>
      </c>
      <c r="F1409" s="2427">
        <v>3.1850157006796706E-2</v>
      </c>
      <c r="G1409" s="2429">
        <v>1.659142869755433E-3</v>
      </c>
      <c r="H1409" s="2430">
        <v>1.5106853537201953E-2</v>
      </c>
      <c r="I1409" s="2427">
        <v>1.3664655871419022E-2</v>
      </c>
      <c r="J1409" s="2431">
        <v>8.0424797324676065E-4</v>
      </c>
    </row>
    <row r="1410" spans="1:10" x14ac:dyDescent="0.2">
      <c r="A1410" s="2426" t="s">
        <v>964</v>
      </c>
      <c r="B1410" s="2427">
        <v>90</v>
      </c>
      <c r="C1410" s="2428">
        <v>1556000</v>
      </c>
      <c r="D1410" s="2429">
        <v>140.04</v>
      </c>
      <c r="E1410" s="2430">
        <v>0.13875083395032489</v>
      </c>
      <c r="F1410" s="2427">
        <v>0.12409152080570141</v>
      </c>
      <c r="G1410" s="2429">
        <v>6.4641929990471398E-3</v>
      </c>
      <c r="H1410" s="2430">
        <v>4.0703487625777017E-2</v>
      </c>
      <c r="I1410" s="2427">
        <v>3.6817670192083089E-2</v>
      </c>
      <c r="J1410" s="2431">
        <v>2.1669434569211408E-3</v>
      </c>
    </row>
    <row r="1411" spans="1:10" x14ac:dyDescent="0.2">
      <c r="A1411" s="2426" t="s">
        <v>969</v>
      </c>
      <c r="B1411" s="2427">
        <v>535</v>
      </c>
      <c r="C1411" s="2428">
        <v>4800000</v>
      </c>
      <c r="D1411" s="2429">
        <v>2568</v>
      </c>
      <c r="E1411" s="2430">
        <v>0.82479662403804244</v>
      </c>
      <c r="F1411" s="2427">
        <v>0.73765515145611393</v>
      </c>
      <c r="G1411" s="2429">
        <v>3.8426036161002437E-2</v>
      </c>
      <c r="H1411" s="2430">
        <v>0.74640500016420575</v>
      </c>
      <c r="I1411" s="2427">
        <v>0.67514836513331467</v>
      </c>
      <c r="J1411" s="2431">
        <v>3.9736580958108322E-2</v>
      </c>
    </row>
    <row r="1412" spans="1:10" x14ac:dyDescent="0.2">
      <c r="A1412" s="2426" t="s">
        <v>968</v>
      </c>
      <c r="B1412" s="2427">
        <v>280.5</v>
      </c>
      <c r="C1412" s="2428">
        <v>3050000.0000000009</v>
      </c>
      <c r="D1412" s="2429">
        <v>855.5250000000002</v>
      </c>
      <c r="E1412" s="2430">
        <v>0.43244009914517928</v>
      </c>
      <c r="F1412" s="2427">
        <v>0.38675190651110275</v>
      </c>
      <c r="G1412" s="2429">
        <v>2.0146734847030251E-2</v>
      </c>
      <c r="H1412" s="2430">
        <v>0.24866360504886381</v>
      </c>
      <c r="I1412" s="2427">
        <v>0.22492457362954793</v>
      </c>
      <c r="J1412" s="2431">
        <v>1.323817695645858E-2</v>
      </c>
    </row>
    <row r="1413" spans="1:10" x14ac:dyDescent="0.2">
      <c r="A1413" s="2426" t="s">
        <v>1013</v>
      </c>
      <c r="B1413" s="2427">
        <v>122.5</v>
      </c>
      <c r="C1413" s="2428">
        <v>1799999.9999999998</v>
      </c>
      <c r="D1413" s="2429">
        <v>220.49999999999997</v>
      </c>
      <c r="E1413" s="2430">
        <v>0.18885530176572002</v>
      </c>
      <c r="F1413" s="2427">
        <v>0.16890234776331584</v>
      </c>
      <c r="G1413" s="2429">
        <v>8.798484915369718E-3</v>
      </c>
      <c r="H1413" s="2430">
        <v>6.4089681672977933E-2</v>
      </c>
      <c r="I1413" s="2427">
        <v>5.7971267333292775E-2</v>
      </c>
      <c r="J1413" s="2431">
        <v>3.4119610986226181E-3</v>
      </c>
    </row>
    <row r="1414" spans="1:10" x14ac:dyDescent="0.2">
      <c r="A1414" s="2426" t="s">
        <v>1014</v>
      </c>
      <c r="B1414" s="2427">
        <v>32</v>
      </c>
      <c r="C1414" s="2428">
        <v>2195000.0000000005</v>
      </c>
      <c r="D1414" s="2429">
        <v>70.240000000000009</v>
      </c>
      <c r="E1414" s="2430">
        <v>4.9333629849004412E-2</v>
      </c>
      <c r="F1414" s="2427">
        <v>4.4121429619804947E-2</v>
      </c>
      <c r="G1414" s="2429">
        <v>2.2983797329945385E-3</v>
      </c>
      <c r="H1414" s="2430">
        <v>2.0415688166485129E-2</v>
      </c>
      <c r="I1414" s="2427">
        <v>1.8466674909253904E-2</v>
      </c>
      <c r="J1414" s="2431">
        <v>1.0868759526859535E-3</v>
      </c>
    </row>
    <row r="1415" spans="1:10" x14ac:dyDescent="0.2">
      <c r="A1415" s="2426" t="s">
        <v>970</v>
      </c>
      <c r="B1415" s="2427">
        <v>1060.5</v>
      </c>
      <c r="C1415" s="2428">
        <v>3100000.0000000005</v>
      </c>
      <c r="D1415" s="2429">
        <v>3287.5500000000006</v>
      </c>
      <c r="E1415" s="2430">
        <v>1.6349473267146617</v>
      </c>
      <c r="F1415" s="2427">
        <v>1.4622117534938484</v>
      </c>
      <c r="G1415" s="2429">
        <v>7.6169740838772135E-2</v>
      </c>
      <c r="H1415" s="2430">
        <v>0.95554663484806668</v>
      </c>
      <c r="I1415" s="2427">
        <v>0.86432399057399889</v>
      </c>
      <c r="J1415" s="2431">
        <v>5.0870715237082968E-2</v>
      </c>
    </row>
    <row r="1416" spans="1:10" x14ac:dyDescent="0.2">
      <c r="A1416" s="2426" t="s">
        <v>971</v>
      </c>
      <c r="B1416" s="2427">
        <v>227.5</v>
      </c>
      <c r="C1416" s="2428">
        <v>3010000</v>
      </c>
      <c r="D1416" s="2429">
        <v>684.77499999999998</v>
      </c>
      <c r="E1416" s="2430">
        <v>0.35073127470776572</v>
      </c>
      <c r="F1416" s="2427">
        <v>0.31367578870330082</v>
      </c>
      <c r="G1416" s="2429">
        <v>1.634004341425805E-2</v>
      </c>
      <c r="H1416" s="2430">
        <v>0.19903406697330375</v>
      </c>
      <c r="I1416" s="2427">
        <v>0.18003299132950371</v>
      </c>
      <c r="J1416" s="2431">
        <v>1.059603474516691E-2</v>
      </c>
    </row>
    <row r="1417" spans="1:10" x14ac:dyDescent="0.2">
      <c r="A1417" s="2426" t="s">
        <v>972</v>
      </c>
      <c r="B1417" s="2427">
        <v>1611</v>
      </c>
      <c r="C1417" s="2428">
        <v>2744000.0000000005</v>
      </c>
      <c r="D1417" s="2429">
        <v>4420.5840000000007</v>
      </c>
      <c r="E1417" s="2430">
        <v>2.4836399277108159</v>
      </c>
      <c r="F1417" s="2427">
        <v>2.2212382224220555</v>
      </c>
      <c r="G1417" s="2429">
        <v>0.1157090546829438</v>
      </c>
      <c r="H1417" s="2430">
        <v>1.2848699381798621</v>
      </c>
      <c r="I1417" s="2427">
        <v>1.1622079674978538</v>
      </c>
      <c r="J1417" s="2431">
        <v>6.840299610518627E-2</v>
      </c>
    </row>
    <row r="1418" spans="1:10" x14ac:dyDescent="0.2">
      <c r="A1418" s="2426" t="s">
        <v>973</v>
      </c>
      <c r="B1418" s="2427">
        <v>3209.5</v>
      </c>
      <c r="C1418" s="2428">
        <v>2549999.9999999991</v>
      </c>
      <c r="D1418" s="2429">
        <v>8184.2249999999967</v>
      </c>
      <c r="E1418" s="2430">
        <v>4.9480089062618644</v>
      </c>
      <c r="F1418" s="2427">
        <v>4.4252415113988741</v>
      </c>
      <c r="G1418" s="2429">
        <v>0.23052030478268662</v>
      </c>
      <c r="H1418" s="2430">
        <v>2.378795351428697</v>
      </c>
      <c r="I1418" s="2427">
        <v>2.1517002058540498</v>
      </c>
      <c r="J1418" s="2431">
        <v>0.1266406227772095</v>
      </c>
    </row>
    <row r="1419" spans="1:10" x14ac:dyDescent="0.2">
      <c r="A1419" s="2426" t="s">
        <v>974</v>
      </c>
      <c r="B1419" s="2427">
        <v>333</v>
      </c>
      <c r="C1419" s="2428">
        <v>1583999.9999999995</v>
      </c>
      <c r="D1419" s="2429">
        <v>527.47199999999987</v>
      </c>
      <c r="E1419" s="2430">
        <v>0.51337808561620213</v>
      </c>
      <c r="F1419" s="2427">
        <v>0.45913862698109525</v>
      </c>
      <c r="G1419" s="2429">
        <v>2.3917514096474416E-2</v>
      </c>
      <c r="H1419" s="2430">
        <v>0.15331298218326084</v>
      </c>
      <c r="I1419" s="2427">
        <v>0.13867673615794376</v>
      </c>
      <c r="J1419" s="2431">
        <v>8.1619680027785468E-3</v>
      </c>
    </row>
    <row r="1420" spans="1:10" x14ac:dyDescent="0.2">
      <c r="A1420" s="2426" t="s">
        <v>975</v>
      </c>
      <c r="B1420" s="2427">
        <v>506</v>
      </c>
      <c r="C1420" s="2428">
        <v>2532000.0000000009</v>
      </c>
      <c r="D1420" s="2429">
        <v>1281.1920000000005</v>
      </c>
      <c r="E1420" s="2430">
        <v>0.78008802198738225</v>
      </c>
      <c r="F1420" s="2427">
        <v>0.6976701058631658</v>
      </c>
      <c r="G1420" s="2429">
        <v>3.6343129527976144E-2</v>
      </c>
      <c r="H1420" s="2430">
        <v>0.37238633760528794</v>
      </c>
      <c r="I1420" s="2427">
        <v>0.33683593622347424</v>
      </c>
      <c r="J1420" s="2431">
        <v>1.9824840198941096E-2</v>
      </c>
    </row>
    <row r="1421" spans="1:10" x14ac:dyDescent="0.2">
      <c r="A1421" s="2426" t="s">
        <v>976</v>
      </c>
      <c r="B1421" s="2427">
        <v>116</v>
      </c>
      <c r="C1421" s="2428">
        <v>7394999.9999999991</v>
      </c>
      <c r="D1421" s="2429">
        <v>857.81999999999994</v>
      </c>
      <c r="E1421" s="2430">
        <v>0.17883440820264099</v>
      </c>
      <c r="F1421" s="2427">
        <v>0.15994018237179294</v>
      </c>
      <c r="G1421" s="2429">
        <v>8.3316265321052019E-3</v>
      </c>
      <c r="H1421" s="2430">
        <v>0.24933066091933756</v>
      </c>
      <c r="I1421" s="2427">
        <v>0.22552794804464948</v>
      </c>
      <c r="J1421" s="2431">
        <v>1.3273689204627914E-2</v>
      </c>
    </row>
    <row r="1422" spans="1:10" x14ac:dyDescent="0.2">
      <c r="A1422" s="2426" t="s">
        <v>286</v>
      </c>
      <c r="B1422" s="2427">
        <v>400.5</v>
      </c>
      <c r="C1422" s="2428">
        <v>2445000.0000000005</v>
      </c>
      <c r="D1422" s="2429">
        <v>979.2225000000002</v>
      </c>
      <c r="E1422" s="2430">
        <v>0.61744121107894578</v>
      </c>
      <c r="F1422" s="2427">
        <v>0.55220726758537131</v>
      </c>
      <c r="G1422" s="2429">
        <v>2.8765658845759771E-2</v>
      </c>
      <c r="H1422" s="2430">
        <v>0.28461704449894631</v>
      </c>
      <c r="I1422" s="2427">
        <v>0.25744566587879958</v>
      </c>
      <c r="J1422" s="2431">
        <v>1.5152240711546432E-2</v>
      </c>
    </row>
    <row r="1423" spans="1:10" x14ac:dyDescent="0.2">
      <c r="A1423" s="2439" t="s">
        <v>978</v>
      </c>
      <c r="B1423" s="2427">
        <v>87</v>
      </c>
      <c r="C1423" s="2428">
        <v>1850000.0000000002</v>
      </c>
      <c r="D1423" s="2429">
        <v>160.95000000000002</v>
      </c>
      <c r="E1423" s="2430">
        <v>0.13412580615198075</v>
      </c>
      <c r="F1423" s="2427">
        <v>0.11995513677884471</v>
      </c>
      <c r="G1423" s="2429">
        <v>6.2487198990789014E-3</v>
      </c>
      <c r="H1423" s="2430">
        <v>4.6781107778983227E-2</v>
      </c>
      <c r="I1423" s="2427">
        <v>4.231508152967562E-2</v>
      </c>
      <c r="J1423" s="2431">
        <v>2.4904994957973266E-3</v>
      </c>
    </row>
    <row r="1424" spans="1:10" x14ac:dyDescent="0.2">
      <c r="A1424" s="2426" t="s">
        <v>1163</v>
      </c>
      <c r="B1424" s="2427">
        <v>0</v>
      </c>
      <c r="C1424" s="2428">
        <v>0</v>
      </c>
      <c r="D1424" s="2429">
        <v>0</v>
      </c>
      <c r="E1424" s="2430">
        <v>0</v>
      </c>
      <c r="F1424" s="2427">
        <v>0</v>
      </c>
      <c r="G1424" s="2429">
        <v>0</v>
      </c>
      <c r="H1424" s="2430">
        <v>0</v>
      </c>
      <c r="I1424" s="2427">
        <v>0</v>
      </c>
      <c r="J1424" s="2431">
        <v>0</v>
      </c>
    </row>
    <row r="1425" spans="1:10" x14ac:dyDescent="0.2">
      <c r="A1425" s="2433" t="s">
        <v>287</v>
      </c>
      <c r="B1425" s="2434">
        <v>13415.25</v>
      </c>
      <c r="C1425" s="2433"/>
      <c r="D1425" s="2435">
        <v>37127.963700000008</v>
      </c>
      <c r="E1425" s="2436">
        <v>20.681968057245513</v>
      </c>
      <c r="F1425" s="2434">
        <v>18.49687527209651</v>
      </c>
      <c r="G1425" s="2435">
        <v>0.96354183478296829</v>
      </c>
      <c r="H1425" s="2436">
        <v>10.791471087069755</v>
      </c>
      <c r="I1425" s="2434">
        <v>9.7612476607414553</v>
      </c>
      <c r="J1425" s="2437">
        <v>0.57450869757584011</v>
      </c>
    </row>
    <row r="1426" spans="1:10" x14ac:dyDescent="0.2">
      <c r="A1426" s="2440" t="s">
        <v>1835</v>
      </c>
      <c r="B1426" s="2441">
        <v>36837.074999999997</v>
      </c>
      <c r="C1426" s="2440"/>
      <c r="D1426" s="2442">
        <v>252954.54676422686</v>
      </c>
      <c r="E1426" s="2443">
        <v>56.790831961562937</v>
      </c>
      <c r="F1426" s="2441">
        <v>50.790762875374263</v>
      </c>
      <c r="G1426" s="2442">
        <v>2.6457995813374935</v>
      </c>
      <c r="H1426" s="2443">
        <v>73.522795373477152</v>
      </c>
      <c r="I1426" s="2441">
        <v>66.503835163904341</v>
      </c>
      <c r="J1426" s="2444">
        <v>3.9141545273435741</v>
      </c>
    </row>
    <row r="1427" spans="1:10" x14ac:dyDescent="0.2">
      <c r="A1427" s="2456" t="s">
        <v>194</v>
      </c>
      <c r="B1427" s="2441">
        <v>64864.474999999991</v>
      </c>
      <c r="C1427" s="2440"/>
      <c r="D1427" s="2442">
        <v>344049.14214602683</v>
      </c>
      <c r="E1427" s="2443">
        <v>100</v>
      </c>
      <c r="F1427" s="2441">
        <v>89.434792766815548</v>
      </c>
      <c r="G1427" s="2442">
        <v>4.6588498353540908</v>
      </c>
      <c r="H1427" s="2443">
        <v>100</v>
      </c>
      <c r="I1427" s="2441">
        <v>90.453355079988071</v>
      </c>
      <c r="J1427" s="2444">
        <v>5.32372920188992</v>
      </c>
    </row>
    <row r="1428" spans="1:10" x14ac:dyDescent="0.2">
      <c r="A1428" s="2451" t="s">
        <v>1852</v>
      </c>
      <c r="B1428" s="2427"/>
      <c r="C1428" s="2452"/>
      <c r="D1428" s="2429"/>
      <c r="E1428" s="2430"/>
      <c r="F1428" s="2427">
        <v>0</v>
      </c>
      <c r="G1428" s="2429"/>
      <c r="H1428" s="2430"/>
      <c r="I1428" s="2427">
        <v>0</v>
      </c>
      <c r="J1428" s="2431">
        <v>0</v>
      </c>
    </row>
    <row r="1429" spans="1:10" x14ac:dyDescent="0.2">
      <c r="A1429" s="2453" t="s">
        <v>1836</v>
      </c>
      <c r="B1429" s="2427">
        <v>0</v>
      </c>
      <c r="C1429" s="2428">
        <v>8033612.4975057133</v>
      </c>
      <c r="D1429" s="2429">
        <v>0</v>
      </c>
      <c r="E1429" s="2430">
        <v>0</v>
      </c>
      <c r="F1429" s="2427">
        <v>0</v>
      </c>
      <c r="G1429" s="2429">
        <v>0</v>
      </c>
      <c r="H1429" s="2430">
        <v>0</v>
      </c>
      <c r="I1429" s="2427">
        <v>0</v>
      </c>
      <c r="J1429" s="2431">
        <v>0</v>
      </c>
    </row>
    <row r="1430" spans="1:10" x14ac:dyDescent="0.2">
      <c r="A1430" s="2453" t="s">
        <v>1837</v>
      </c>
      <c r="B1430" s="2427">
        <v>5020.5749999999998</v>
      </c>
      <c r="C1430" s="2428">
        <v>2214764.1578067578</v>
      </c>
      <c r="D1430" s="2429">
        <v>11119.389561580663</v>
      </c>
      <c r="E1430" s="2430">
        <v>70.579912052318733</v>
      </c>
      <c r="F1430" s="2427">
        <v>6.9223420785453822</v>
      </c>
      <c r="G1430" s="2429">
        <v>0.3605996196243455</v>
      </c>
      <c r="H1430" s="2430">
        <v>38.15785582723997</v>
      </c>
      <c r="I1430" s="2427">
        <v>2.9233791603511015</v>
      </c>
      <c r="J1430" s="2431">
        <v>0.17205861507729542</v>
      </c>
    </row>
    <row r="1431" spans="1:10" x14ac:dyDescent="0.2">
      <c r="A1431" s="2454" t="s">
        <v>309</v>
      </c>
      <c r="B1431" s="2434">
        <v>5020.5749999999998</v>
      </c>
      <c r="C1431" s="2433"/>
      <c r="D1431" s="2435">
        <v>11119.389561580663</v>
      </c>
      <c r="E1431" s="2436">
        <v>70.579912052318733</v>
      </c>
      <c r="F1431" s="2434">
        <v>6.9223420785453822</v>
      </c>
      <c r="G1431" s="2435">
        <v>0.3605996196243455</v>
      </c>
      <c r="H1431" s="2436">
        <v>38.15785582723997</v>
      </c>
      <c r="I1431" s="2434">
        <v>2.9233791603511015</v>
      </c>
      <c r="J1431" s="2437">
        <v>0.17205861507729542</v>
      </c>
    </row>
    <row r="1432" spans="1:10" x14ac:dyDescent="0.2">
      <c r="A1432" s="2453" t="s">
        <v>1838</v>
      </c>
      <c r="B1432" s="2427">
        <v>0</v>
      </c>
      <c r="C1432" s="2428">
        <v>10407427.50198495</v>
      </c>
      <c r="D1432" s="2429">
        <v>0</v>
      </c>
      <c r="E1432" s="2430">
        <v>0</v>
      </c>
      <c r="F1432" s="2427">
        <v>0</v>
      </c>
      <c r="G1432" s="2429">
        <v>0</v>
      </c>
      <c r="H1432" s="2430">
        <v>0</v>
      </c>
      <c r="I1432" s="2427">
        <v>0</v>
      </c>
      <c r="J1432" s="2431">
        <v>0</v>
      </c>
    </row>
    <row r="1433" spans="1:10" x14ac:dyDescent="0.2">
      <c r="A1433" s="2454" t="s">
        <v>315</v>
      </c>
      <c r="B1433" s="2434">
        <v>0</v>
      </c>
      <c r="C1433" s="2455"/>
      <c r="D1433" s="2435">
        <v>0</v>
      </c>
      <c r="E1433" s="2436">
        <v>0</v>
      </c>
      <c r="F1433" s="2434">
        <v>0</v>
      </c>
      <c r="G1433" s="2435">
        <v>0</v>
      </c>
      <c r="H1433" s="2436">
        <v>0</v>
      </c>
      <c r="I1433" s="2434">
        <v>0</v>
      </c>
      <c r="J1433" s="2437">
        <v>0</v>
      </c>
    </row>
    <row r="1434" spans="1:10" x14ac:dyDescent="0.2">
      <c r="A1434" s="2453" t="s">
        <v>1541</v>
      </c>
      <c r="B1434" s="2427">
        <v>908.82</v>
      </c>
      <c r="C1434" s="2428">
        <v>10553660</v>
      </c>
      <c r="D1434" s="2429">
        <v>9591.3772812000007</v>
      </c>
      <c r="E1434" s="2430">
        <v>12.776312607896173</v>
      </c>
      <c r="F1434" s="2427">
        <v>1.2530761770959731</v>
      </c>
      <c r="G1434" s="2429">
        <v>6.5275420904378018E-2</v>
      </c>
      <c r="H1434" s="2430">
        <v>32.914252122727873</v>
      </c>
      <c r="I1434" s="2427">
        <v>2.5216521381538146</v>
      </c>
      <c r="J1434" s="2431">
        <v>0.14841454043386476</v>
      </c>
    </row>
    <row r="1435" spans="1:10" x14ac:dyDescent="0.2">
      <c r="A1435" s="2453" t="s">
        <v>206</v>
      </c>
      <c r="B1435" s="2427">
        <v>1178.125</v>
      </c>
      <c r="C1435" s="2428">
        <v>6960000</v>
      </c>
      <c r="D1435" s="2429">
        <v>8199.75</v>
      </c>
      <c r="E1435" s="2430">
        <v>16.562238167269292</v>
      </c>
      <c r="F1435" s="2427">
        <v>1.6243924772135221</v>
      </c>
      <c r="G1435" s="2429">
        <v>8.4618081966693473E-2</v>
      </c>
      <c r="H1435" s="2430">
        <v>28.138674033013476</v>
      </c>
      <c r="I1435" s="2427">
        <v>2.1557818563091495</v>
      </c>
      <c r="J1435" s="2431">
        <v>0.12688085269129623</v>
      </c>
    </row>
    <row r="1436" spans="1:10" x14ac:dyDescent="0.2">
      <c r="A1436" s="2454" t="s">
        <v>310</v>
      </c>
      <c r="B1436" s="2434">
        <v>2086.9450000000002</v>
      </c>
      <c r="C1436" s="2455"/>
      <c r="D1436" s="2435">
        <v>17791.127281200002</v>
      </c>
      <c r="E1436" s="2436">
        <v>29.338550775165462</v>
      </c>
      <c r="F1436" s="2434">
        <v>2.8774686543094949</v>
      </c>
      <c r="G1436" s="2435">
        <v>0.14989350287107148</v>
      </c>
      <c r="H1436" s="2436">
        <v>61.052926155741361</v>
      </c>
      <c r="I1436" s="2434">
        <v>4.677433994462965</v>
      </c>
      <c r="J1436" s="2437">
        <v>0.27529539312516105</v>
      </c>
    </row>
    <row r="1437" spans="1:10" x14ac:dyDescent="0.2">
      <c r="A1437" s="2453" t="s">
        <v>1839</v>
      </c>
      <c r="B1437" s="2427">
        <v>5.8</v>
      </c>
      <c r="C1437" s="2428">
        <v>39652080.629353955</v>
      </c>
      <c r="D1437" s="2429">
        <v>229.98206765025293</v>
      </c>
      <c r="E1437" s="2430">
        <v>8.1537172515787279E-2</v>
      </c>
      <c r="F1437" s="2427">
        <v>7.9970091185896462E-3</v>
      </c>
      <c r="G1437" s="2429">
        <v>4.165813266052601E-4</v>
      </c>
      <c r="H1437" s="2430">
        <v>0.78921801701867988</v>
      </c>
      <c r="I1437" s="2427">
        <v>6.0464181068554369E-2</v>
      </c>
      <c r="J1437" s="2431">
        <v>3.5586842095394942E-3</v>
      </c>
    </row>
    <row r="1438" spans="1:10" x14ac:dyDescent="0.2">
      <c r="A1438" s="2454" t="s">
        <v>311</v>
      </c>
      <c r="B1438" s="2434">
        <v>5.8</v>
      </c>
      <c r="C1438" s="2433"/>
      <c r="D1438" s="2435">
        <v>229.98206765025293</v>
      </c>
      <c r="E1438" s="2436">
        <v>8.1537172515787279E-2</v>
      </c>
      <c r="F1438" s="2434">
        <v>7.9970091185896462E-3</v>
      </c>
      <c r="G1438" s="2435">
        <v>4.165813266052601E-4</v>
      </c>
      <c r="H1438" s="2436">
        <v>0.78921801701867988</v>
      </c>
      <c r="I1438" s="2434">
        <v>6.0464181068554369E-2</v>
      </c>
      <c r="J1438" s="2437">
        <v>3.5586842095394942E-3</v>
      </c>
    </row>
    <row r="1439" spans="1:10" x14ac:dyDescent="0.2">
      <c r="A1439" s="2456" t="s">
        <v>129</v>
      </c>
      <c r="B1439" s="2441">
        <v>7113.3200000000006</v>
      </c>
      <c r="C1439" s="2440"/>
      <c r="D1439" s="2442">
        <v>29140.498910430917</v>
      </c>
      <c r="E1439" s="2443">
        <v>99.999999999999972</v>
      </c>
      <c r="F1439" s="2441">
        <v>9.8078077419734679</v>
      </c>
      <c r="G1439" s="2442">
        <v>0.51090970382202228</v>
      </c>
      <c r="H1439" s="2443">
        <v>100.00000000000001</v>
      </c>
      <c r="I1439" s="2441">
        <v>7.6612773358826196</v>
      </c>
      <c r="J1439" s="2444">
        <v>0.45091269241199589</v>
      </c>
    </row>
    <row r="1440" spans="1:10" x14ac:dyDescent="0.2">
      <c r="A1440" s="2451" t="s">
        <v>1853</v>
      </c>
      <c r="B1440" s="2427"/>
      <c r="C1440" s="2452"/>
      <c r="D1440" s="2429"/>
      <c r="E1440" s="2430"/>
      <c r="F1440" s="2427">
        <v>0</v>
      </c>
      <c r="G1440" s="2429"/>
      <c r="H1440" s="2430"/>
      <c r="I1440" s="2427">
        <v>0</v>
      </c>
      <c r="J1440" s="2431">
        <v>0</v>
      </c>
    </row>
    <row r="1441" spans="1:10" x14ac:dyDescent="0.2">
      <c r="A1441" s="2426" t="s">
        <v>1543</v>
      </c>
      <c r="B1441" s="2427">
        <v>450</v>
      </c>
      <c r="C1441" s="2428">
        <v>13200000</v>
      </c>
      <c r="D1441" s="2429">
        <v>5940</v>
      </c>
      <c r="E1441" s="2430">
        <v>81.919464064661753</v>
      </c>
      <c r="F1441" s="2427">
        <v>0.62045760402850714</v>
      </c>
      <c r="G1441" s="2429">
        <v>3.23209649952357E-2</v>
      </c>
      <c r="H1441" s="2430">
        <v>82.831325301204814</v>
      </c>
      <c r="I1441" s="2427">
        <v>1.5616749567336017</v>
      </c>
      <c r="J1441" s="2431">
        <v>9.1914054085344019E-2</v>
      </c>
    </row>
    <row r="1442" spans="1:10" x14ac:dyDescent="0.2">
      <c r="A1442" s="2426" t="s">
        <v>208</v>
      </c>
      <c r="B1442" s="2427">
        <v>36.72</v>
      </c>
      <c r="C1442" s="2428">
        <v>10000000</v>
      </c>
      <c r="D1442" s="2429">
        <v>367.2</v>
      </c>
      <c r="E1442" s="2430">
        <v>6.6846282676763984</v>
      </c>
      <c r="F1442" s="2427">
        <v>5.0629340488726172E-2</v>
      </c>
      <c r="G1442" s="2429">
        <v>2.6373907436112328E-3</v>
      </c>
      <c r="H1442" s="2430">
        <v>5.1204819277108431</v>
      </c>
      <c r="I1442" s="2427">
        <v>9.6539906416258994E-2</v>
      </c>
      <c r="J1442" s="2431">
        <v>5.6819597070939939E-3</v>
      </c>
    </row>
    <row r="1443" spans="1:10" x14ac:dyDescent="0.2">
      <c r="A1443" s="2426" t="s">
        <v>209</v>
      </c>
      <c r="B1443" s="2427">
        <v>34.6</v>
      </c>
      <c r="C1443" s="2428">
        <v>10000000</v>
      </c>
      <c r="D1443" s="2429">
        <v>346</v>
      </c>
      <c r="E1443" s="2430">
        <v>6.2986965703051041</v>
      </c>
      <c r="F1443" s="2427">
        <v>4.7706295776414102E-2</v>
      </c>
      <c r="G1443" s="2429">
        <v>2.485123086300345E-3</v>
      </c>
      <c r="H1443" s="2430">
        <v>4.8248549754573853</v>
      </c>
      <c r="I1443" s="2427">
        <v>9.0966251688522917E-2</v>
      </c>
      <c r="J1443" s="2431">
        <v>5.3539162817388946E-3</v>
      </c>
    </row>
    <row r="1444" spans="1:10" x14ac:dyDescent="0.2">
      <c r="A1444" s="2426" t="s">
        <v>210</v>
      </c>
      <c r="B1444" s="2427">
        <v>28</v>
      </c>
      <c r="C1444" s="2428">
        <v>18500000</v>
      </c>
      <c r="D1444" s="2429">
        <v>518</v>
      </c>
      <c r="E1444" s="2430">
        <v>5.0972110973567322</v>
      </c>
      <c r="F1444" s="2427">
        <v>3.8606250917329332E-2</v>
      </c>
      <c r="G1444" s="2429">
        <v>2.0110822663702214E-3</v>
      </c>
      <c r="H1444" s="2430">
        <v>7.2233377956269527</v>
      </c>
      <c r="I1444" s="2427">
        <v>0.13618646929091002</v>
      </c>
      <c r="J1444" s="2431">
        <v>8.0154006761293268E-3</v>
      </c>
    </row>
    <row r="1445" spans="1:10" x14ac:dyDescent="0.2">
      <c r="A1445" s="2426" t="s">
        <v>1545</v>
      </c>
      <c r="B1445" s="2427">
        <v>0</v>
      </c>
      <c r="C1445" s="2428">
        <v>14200000</v>
      </c>
      <c r="D1445" s="2429">
        <v>0</v>
      </c>
      <c r="E1445" s="2430">
        <v>0</v>
      </c>
      <c r="F1445" s="2427">
        <v>0</v>
      </c>
      <c r="G1445" s="2429">
        <v>0</v>
      </c>
      <c r="H1445" s="2430">
        <v>0</v>
      </c>
      <c r="I1445" s="2427">
        <v>0</v>
      </c>
      <c r="J1445" s="2431">
        <v>0</v>
      </c>
    </row>
    <row r="1446" spans="1:10" x14ac:dyDescent="0.2">
      <c r="A1446" s="2426" t="s">
        <v>1546</v>
      </c>
      <c r="B1446" s="2427">
        <v>0</v>
      </c>
      <c r="C1446" s="2428">
        <v>10000000</v>
      </c>
      <c r="D1446" s="2429">
        <v>0</v>
      </c>
      <c r="E1446" s="2430">
        <v>0</v>
      </c>
      <c r="F1446" s="2427">
        <v>0</v>
      </c>
      <c r="G1446" s="2429">
        <v>0</v>
      </c>
      <c r="H1446" s="2430">
        <v>0</v>
      </c>
      <c r="I1446" s="2427">
        <v>0</v>
      </c>
      <c r="J1446" s="2431">
        <v>0</v>
      </c>
    </row>
    <row r="1447" spans="1:10" x14ac:dyDescent="0.2">
      <c r="A1447" s="2456" t="s">
        <v>121</v>
      </c>
      <c r="B1447" s="2441">
        <v>549.32000000000005</v>
      </c>
      <c r="C1447" s="2440"/>
      <c r="D1447" s="2442">
        <v>7171.2</v>
      </c>
      <c r="E1447" s="2443">
        <v>100</v>
      </c>
      <c r="F1447" s="2441">
        <v>0.75739949121097672</v>
      </c>
      <c r="G1447" s="2442">
        <v>3.9454561091517501E-2</v>
      </c>
      <c r="H1447" s="2443">
        <v>99.999999999999986</v>
      </c>
      <c r="I1447" s="2441">
        <v>1.8853675841292934</v>
      </c>
      <c r="J1447" s="2444">
        <v>0.11096533075030622</v>
      </c>
    </row>
    <row r="1448" spans="1:10" ht="14.25" thickBot="1" x14ac:dyDescent="0.25">
      <c r="A1448" s="2457" t="s">
        <v>1840</v>
      </c>
      <c r="B1448" s="2446">
        <v>72527.115000000005</v>
      </c>
      <c r="C1448" s="2458"/>
      <c r="D1448" s="2448">
        <v>380360.84105645778</v>
      </c>
      <c r="E1448" s="2459"/>
      <c r="F1448" s="2460">
        <v>99.999999999999986</v>
      </c>
      <c r="G1448" s="2461">
        <v>5.20921410026763</v>
      </c>
      <c r="H1448" s="2462"/>
      <c r="I1448" s="2460">
        <v>99.999999999999986</v>
      </c>
      <c r="J1448" s="2463">
        <v>5.8856072250522224</v>
      </c>
    </row>
    <row r="1449" spans="1:10" ht="15" thickBot="1" x14ac:dyDescent="0.25">
      <c r="A1449" s="2464" t="s">
        <v>1841</v>
      </c>
      <c r="B1449" s="2465">
        <v>1392285.1624830281</v>
      </c>
      <c r="C1449" s="2466"/>
      <c r="D1449" s="2467">
        <v>6462559.0276810033</v>
      </c>
      <c r="E1449" s="2468"/>
      <c r="F1449" s="2469"/>
      <c r="G1449" s="2469"/>
      <c r="H1449" s="2469"/>
      <c r="I1449" s="2469"/>
      <c r="J1449" s="2469"/>
    </row>
    <row r="1450" spans="1:10" ht="16.5" thickBot="1" x14ac:dyDescent="0.3">
      <c r="A1450" s="2470" t="s">
        <v>1842</v>
      </c>
      <c r="B1450" s="2471">
        <v>5.2092141002676309</v>
      </c>
      <c r="C1450" s="2472"/>
      <c r="D1450" s="2473">
        <v>5.8856072250522224</v>
      </c>
      <c r="E1450" s="2468"/>
      <c r="F1450" s="2469"/>
      <c r="G1450" s="2469"/>
      <c r="H1450" s="2469"/>
      <c r="I1450" s="2469"/>
      <c r="J1450" s="2469"/>
    </row>
    <row r="1451" spans="1:10" x14ac:dyDescent="0.2">
      <c r="A1451" s="2474" t="s">
        <v>2023</v>
      </c>
      <c r="B1451" s="2474"/>
      <c r="C1451" s="2474"/>
      <c r="D1451" s="2475"/>
      <c r="E1451" s="2474"/>
      <c r="F1451" s="2474"/>
      <c r="H1451" s="2474"/>
      <c r="I1451" s="2474"/>
      <c r="J1451" s="2474"/>
    </row>
    <row r="1452" spans="1:10" x14ac:dyDescent="0.2">
      <c r="A1452" s="2474" t="s">
        <v>1843</v>
      </c>
      <c r="B1452" s="2474"/>
      <c r="C1452" s="2474"/>
      <c r="D1452" s="2474"/>
      <c r="E1452" s="2474"/>
      <c r="F1452" s="2474"/>
      <c r="G1452" s="2474"/>
      <c r="H1452" s="2474"/>
      <c r="I1452" s="2474"/>
      <c r="J1452" s="2474"/>
    </row>
    <row r="1453" spans="1:10" x14ac:dyDescent="0.2">
      <c r="A1453" s="2474" t="s">
        <v>2024</v>
      </c>
      <c r="B1453" s="2474"/>
      <c r="C1453" s="2474"/>
      <c r="D1453" s="2474"/>
      <c r="E1453" s="2474"/>
      <c r="F1453" s="2474"/>
      <c r="G1453" s="2474"/>
      <c r="H1453" s="2474"/>
      <c r="I1453" s="2474"/>
      <c r="J1453" s="2474"/>
    </row>
    <row r="1457" spans="1:10" ht="13.5" thickBot="1" x14ac:dyDescent="0.25">
      <c r="A1457" s="3321" t="s">
        <v>2021</v>
      </c>
      <c r="B1457" s="3321"/>
      <c r="C1457" s="3321"/>
      <c r="D1457" s="3321"/>
      <c r="E1457" s="3321"/>
      <c r="F1457" s="3321"/>
      <c r="G1457" s="3321"/>
      <c r="H1457" s="3321"/>
      <c r="I1457" s="3321"/>
      <c r="J1457" s="3321"/>
    </row>
    <row r="1458" spans="1:10" ht="13.5" customHeight="1" thickBot="1" x14ac:dyDescent="0.25">
      <c r="A1458" s="3322" t="s">
        <v>370</v>
      </c>
      <c r="B1458" s="3324" t="s">
        <v>1272</v>
      </c>
      <c r="C1458" s="3324" t="s">
        <v>1832</v>
      </c>
      <c r="D1458" s="3326" t="s">
        <v>1844</v>
      </c>
      <c r="E1458" s="3328" t="s">
        <v>1849</v>
      </c>
      <c r="F1458" s="3329"/>
      <c r="G1458" s="3330"/>
      <c r="H1458" s="3328" t="s">
        <v>1850</v>
      </c>
      <c r="I1458" s="3329"/>
      <c r="J1458" s="3331"/>
    </row>
    <row r="1459" spans="1:10" ht="13.5" customHeight="1" thickBot="1" x14ac:dyDescent="0.25">
      <c r="A1459" s="3323"/>
      <c r="B1459" s="3325"/>
      <c r="C1459" s="3325"/>
      <c r="D1459" s="3327"/>
      <c r="E1459" s="2415" t="s">
        <v>1848</v>
      </c>
      <c r="F1459" s="2416" t="s">
        <v>1231</v>
      </c>
      <c r="G1459" s="2417" t="s">
        <v>1833</v>
      </c>
      <c r="H1459" s="2415" t="s">
        <v>1848</v>
      </c>
      <c r="I1459" s="2416" t="s">
        <v>1231</v>
      </c>
      <c r="J1459" s="2418" t="s">
        <v>1833</v>
      </c>
    </row>
    <row r="1460" spans="1:10" x14ac:dyDescent="0.2">
      <c r="A1460" s="2419" t="s">
        <v>1851</v>
      </c>
      <c r="B1460" s="2420"/>
      <c r="C1460" s="2420"/>
      <c r="D1460" s="2421"/>
      <c r="E1460" s="2422"/>
      <c r="F1460" s="2423"/>
      <c r="G1460" s="2424"/>
      <c r="H1460" s="2422"/>
      <c r="I1460" s="2423"/>
      <c r="J1460" s="2425"/>
    </row>
    <row r="1461" spans="1:10" x14ac:dyDescent="0.2">
      <c r="A1461" s="2426" t="s">
        <v>410</v>
      </c>
      <c r="B1461" s="2427">
        <v>0</v>
      </c>
      <c r="C1461" s="2428">
        <v>5667200.0000000009</v>
      </c>
      <c r="D1461" s="2429">
        <v>0</v>
      </c>
      <c r="E1461" s="2430">
        <v>0</v>
      </c>
      <c r="F1461" s="2427">
        <v>0</v>
      </c>
      <c r="G1461" s="2429">
        <v>0</v>
      </c>
      <c r="H1461" s="2430">
        <v>0</v>
      </c>
      <c r="I1461" s="2427">
        <v>0</v>
      </c>
      <c r="J1461" s="2431">
        <v>0</v>
      </c>
    </row>
    <row r="1462" spans="1:10" x14ac:dyDescent="0.2">
      <c r="A1462" s="2426" t="s">
        <v>411</v>
      </c>
      <c r="B1462" s="2427">
        <v>0</v>
      </c>
      <c r="C1462" s="2428">
        <v>1753716.5000000002</v>
      </c>
      <c r="D1462" s="2429">
        <v>0</v>
      </c>
      <c r="E1462" s="2430">
        <v>0</v>
      </c>
      <c r="F1462" s="2427">
        <v>0</v>
      </c>
      <c r="G1462" s="2429">
        <v>0</v>
      </c>
      <c r="H1462" s="2430">
        <v>0</v>
      </c>
      <c r="I1462" s="2427">
        <v>0</v>
      </c>
      <c r="J1462" s="2431">
        <v>0</v>
      </c>
    </row>
    <row r="1463" spans="1:10" x14ac:dyDescent="0.2">
      <c r="A1463" s="2426" t="s">
        <v>278</v>
      </c>
      <c r="B1463" s="2427">
        <v>326</v>
      </c>
      <c r="C1463" s="2428">
        <v>1637875</v>
      </c>
      <c r="D1463" s="2429">
        <v>533.94725000000005</v>
      </c>
      <c r="E1463" s="2430">
        <v>3.1249323011215435</v>
      </c>
      <c r="F1463" s="2427">
        <v>2.6074342910562121</v>
      </c>
      <c r="G1463" s="2429">
        <v>2.3414743529881862E-2</v>
      </c>
      <c r="H1463" s="2430">
        <v>0.88200192811940437</v>
      </c>
      <c r="I1463" s="2427">
        <v>0.77974419101893422</v>
      </c>
      <c r="J1463" s="2431">
        <v>8.2621643796667865E-3</v>
      </c>
    </row>
    <row r="1464" spans="1:10" x14ac:dyDescent="0.2">
      <c r="A1464" s="2426" t="s">
        <v>200</v>
      </c>
      <c r="B1464" s="2427">
        <v>448</v>
      </c>
      <c r="C1464" s="2428">
        <v>7709114.5</v>
      </c>
      <c r="D1464" s="2429">
        <v>3453.6832960000002</v>
      </c>
      <c r="E1464" s="2430">
        <v>4.2943854935658026</v>
      </c>
      <c r="F1464" s="2427">
        <v>3.5832225840281686</v>
      </c>
      <c r="G1464" s="2429">
        <v>3.2177316261923543E-2</v>
      </c>
      <c r="H1464" s="2430">
        <v>5.7049742763649016</v>
      </c>
      <c r="I1464" s="2427">
        <v>5.0435496908638937</v>
      </c>
      <c r="J1464" s="2431">
        <v>5.3441419741109969E-2</v>
      </c>
    </row>
    <row r="1465" spans="1:10" x14ac:dyDescent="0.2">
      <c r="A1465" s="2426" t="s">
        <v>429</v>
      </c>
      <c r="B1465" s="2427">
        <v>0</v>
      </c>
      <c r="C1465" s="2428">
        <v>1255000</v>
      </c>
      <c r="D1465" s="2429">
        <v>0</v>
      </c>
      <c r="E1465" s="2430">
        <v>0</v>
      </c>
      <c r="F1465" s="2427">
        <v>0</v>
      </c>
      <c r="G1465" s="2429">
        <v>0</v>
      </c>
      <c r="H1465" s="2430">
        <v>0</v>
      </c>
      <c r="I1465" s="2427">
        <v>0</v>
      </c>
      <c r="J1465" s="2431">
        <v>0</v>
      </c>
    </row>
    <row r="1466" spans="1:10" x14ac:dyDescent="0.2">
      <c r="A1466" s="2432" t="s">
        <v>431</v>
      </c>
      <c r="B1466" s="2427">
        <v>0</v>
      </c>
      <c r="C1466" s="2428">
        <v>0</v>
      </c>
      <c r="D1466" s="2429">
        <v>0</v>
      </c>
      <c r="E1466" s="2430">
        <v>0</v>
      </c>
      <c r="F1466" s="2427">
        <v>0</v>
      </c>
      <c r="G1466" s="2429">
        <v>0</v>
      </c>
      <c r="H1466" s="2430">
        <v>0</v>
      </c>
      <c r="I1466" s="2427">
        <v>0</v>
      </c>
      <c r="J1466" s="2431">
        <v>0</v>
      </c>
    </row>
    <row r="1467" spans="1:10" x14ac:dyDescent="0.2">
      <c r="A1467" s="2432" t="s">
        <v>430</v>
      </c>
      <c r="B1467" s="2427">
        <v>0</v>
      </c>
      <c r="C1467" s="2428">
        <v>0</v>
      </c>
      <c r="D1467" s="2429">
        <v>0</v>
      </c>
      <c r="E1467" s="2430">
        <v>0</v>
      </c>
      <c r="F1467" s="2427">
        <v>0</v>
      </c>
      <c r="G1467" s="2429">
        <v>0</v>
      </c>
      <c r="H1467" s="2430">
        <v>0</v>
      </c>
      <c r="I1467" s="2427">
        <v>0</v>
      </c>
      <c r="J1467" s="2431">
        <v>0</v>
      </c>
    </row>
    <row r="1468" spans="1:10" x14ac:dyDescent="0.2">
      <c r="A1468" s="2433" t="s">
        <v>279</v>
      </c>
      <c r="B1468" s="2434">
        <v>774</v>
      </c>
      <c r="C1468" s="2433"/>
      <c r="D1468" s="2435">
        <v>3987.6305460000003</v>
      </c>
      <c r="E1468" s="2436">
        <v>7.4193177946873465</v>
      </c>
      <c r="F1468" s="2434">
        <v>6.1906568750843816</v>
      </c>
      <c r="G1468" s="2435">
        <v>5.5592059791805405E-2</v>
      </c>
      <c r="H1468" s="2436">
        <v>6.5869762044843059</v>
      </c>
      <c r="I1468" s="2434">
        <v>5.8232938818828277</v>
      </c>
      <c r="J1468" s="2437">
        <v>6.1703584120776755E-2</v>
      </c>
    </row>
    <row r="1469" spans="1:10" x14ac:dyDescent="0.2">
      <c r="A1469" s="2438" t="s">
        <v>412</v>
      </c>
      <c r="B1469" s="2427">
        <v>87</v>
      </c>
      <c r="C1469" s="2428">
        <v>4129499.9999999995</v>
      </c>
      <c r="D1469" s="2429">
        <v>359.26649999999995</v>
      </c>
      <c r="E1469" s="2430">
        <v>0.83395432575943029</v>
      </c>
      <c r="F1469" s="2427">
        <v>0.69584902859475606</v>
      </c>
      <c r="G1469" s="2429">
        <v>6.2487198990789014E-3</v>
      </c>
      <c r="H1469" s="2430">
        <v>0.5934551506889677</v>
      </c>
      <c r="I1469" s="2427">
        <v>0.5246510145013461</v>
      </c>
      <c r="J1469" s="2431">
        <v>5.5591987394027348E-3</v>
      </c>
    </row>
    <row r="1470" spans="1:10" x14ac:dyDescent="0.2">
      <c r="A1470" s="2438" t="s">
        <v>413</v>
      </c>
      <c r="B1470" s="2427">
        <v>20</v>
      </c>
      <c r="C1470" s="2428">
        <v>1200000</v>
      </c>
      <c r="D1470" s="2429">
        <v>24</v>
      </c>
      <c r="E1470" s="2430">
        <v>0.19171363810561617</v>
      </c>
      <c r="F1470" s="2427">
        <v>0.15996529392982897</v>
      </c>
      <c r="G1470" s="2429">
        <v>1.4364873331215865E-3</v>
      </c>
      <c r="H1470" s="2430">
        <v>3.964445228412676E-2</v>
      </c>
      <c r="I1470" s="2427">
        <v>3.5048144895313944E-2</v>
      </c>
      <c r="J1470" s="2431">
        <v>3.7136991549633946E-4</v>
      </c>
    </row>
    <row r="1471" spans="1:10" x14ac:dyDescent="0.2">
      <c r="A1471" s="2426" t="s">
        <v>90</v>
      </c>
      <c r="B1471" s="2427">
        <v>0</v>
      </c>
      <c r="C1471" s="2428">
        <v>1743000</v>
      </c>
      <c r="D1471" s="2429">
        <v>0</v>
      </c>
      <c r="E1471" s="2430">
        <v>0</v>
      </c>
      <c r="F1471" s="2427">
        <v>0</v>
      </c>
      <c r="G1471" s="2429">
        <v>0</v>
      </c>
      <c r="H1471" s="2430">
        <v>0</v>
      </c>
      <c r="I1471" s="2427">
        <v>0</v>
      </c>
      <c r="J1471" s="2431">
        <v>0</v>
      </c>
    </row>
    <row r="1472" spans="1:10" x14ac:dyDescent="0.2">
      <c r="A1472" s="2426" t="s">
        <v>417</v>
      </c>
      <c r="B1472" s="2427">
        <v>36</v>
      </c>
      <c r="C1472" s="2428">
        <v>2563999.9999999995</v>
      </c>
      <c r="D1472" s="2429">
        <v>92.303999999999988</v>
      </c>
      <c r="E1472" s="2430">
        <v>0.34508454859010912</v>
      </c>
      <c r="F1472" s="2427">
        <v>0.28793752907369213</v>
      </c>
      <c r="G1472" s="2429">
        <v>2.5856771996188559E-3</v>
      </c>
      <c r="H1472" s="2430">
        <v>0.15247256348475149</v>
      </c>
      <c r="I1472" s="2427">
        <v>0.13479516526737742</v>
      </c>
      <c r="J1472" s="2431">
        <v>1.4282886949989215E-3</v>
      </c>
    </row>
    <row r="1473" spans="1:10" x14ac:dyDescent="0.2">
      <c r="A1473" s="2426" t="s">
        <v>418</v>
      </c>
      <c r="B1473" s="2427">
        <v>317.5</v>
      </c>
      <c r="C1473" s="2428">
        <v>2222500</v>
      </c>
      <c r="D1473" s="2429">
        <v>705.64374999999995</v>
      </c>
      <c r="E1473" s="2430">
        <v>3.043454004926657</v>
      </c>
      <c r="F1473" s="2427">
        <v>2.5394490411360349</v>
      </c>
      <c r="G1473" s="2429">
        <v>2.2804236413305187E-2</v>
      </c>
      <c r="H1473" s="2430">
        <v>1.1656191656861361</v>
      </c>
      <c r="I1473" s="2427">
        <v>1.0304793497696954</v>
      </c>
      <c r="J1473" s="2431">
        <v>1.0918952492000837E-2</v>
      </c>
    </row>
    <row r="1474" spans="1:10" x14ac:dyDescent="0.2">
      <c r="A1474" s="2426" t="s">
        <v>423</v>
      </c>
      <c r="B1474" s="2427">
        <v>0</v>
      </c>
      <c r="C1474" s="2428">
        <v>2531500</v>
      </c>
      <c r="D1474" s="2429">
        <v>0</v>
      </c>
      <c r="E1474" s="2430">
        <v>0</v>
      </c>
      <c r="F1474" s="2427">
        <v>0</v>
      </c>
      <c r="G1474" s="2429">
        <v>0</v>
      </c>
      <c r="H1474" s="2430">
        <v>0</v>
      </c>
      <c r="I1474" s="2427">
        <v>0</v>
      </c>
      <c r="J1474" s="2431">
        <v>0</v>
      </c>
    </row>
    <row r="1475" spans="1:10" x14ac:dyDescent="0.2">
      <c r="A1475" s="2426" t="s">
        <v>424</v>
      </c>
      <c r="B1475" s="2427">
        <v>0</v>
      </c>
      <c r="C1475" s="2428">
        <v>1369000</v>
      </c>
      <c r="D1475" s="2429">
        <v>0</v>
      </c>
      <c r="E1475" s="2430">
        <v>0</v>
      </c>
      <c r="F1475" s="2427">
        <v>0</v>
      </c>
      <c r="G1475" s="2429">
        <v>0</v>
      </c>
      <c r="H1475" s="2430">
        <v>0</v>
      </c>
      <c r="I1475" s="2427">
        <v>0</v>
      </c>
      <c r="J1475" s="2431">
        <v>0</v>
      </c>
    </row>
    <row r="1476" spans="1:10" x14ac:dyDescent="0.2">
      <c r="A1476" s="2426" t="s">
        <v>280</v>
      </c>
      <c r="B1476" s="2427">
        <v>0</v>
      </c>
      <c r="C1476" s="2428">
        <v>1574500</v>
      </c>
      <c r="D1476" s="2429">
        <v>0</v>
      </c>
      <c r="E1476" s="2430">
        <v>0</v>
      </c>
      <c r="F1476" s="2427">
        <v>0</v>
      </c>
      <c r="G1476" s="2429">
        <v>0</v>
      </c>
      <c r="H1476" s="2430">
        <v>0</v>
      </c>
      <c r="I1476" s="2427">
        <v>0</v>
      </c>
      <c r="J1476" s="2431">
        <v>0</v>
      </c>
    </row>
    <row r="1477" spans="1:10" x14ac:dyDescent="0.2">
      <c r="A1477" s="2426" t="s">
        <v>427</v>
      </c>
      <c r="B1477" s="2427">
        <v>24</v>
      </c>
      <c r="C1477" s="2428">
        <v>2072000</v>
      </c>
      <c r="D1477" s="2429">
        <v>49.728000000000002</v>
      </c>
      <c r="E1477" s="2430">
        <v>0.2300563657267394</v>
      </c>
      <c r="F1477" s="2427">
        <v>0.19195835271579476</v>
      </c>
      <c r="G1477" s="2429">
        <v>1.7237847997459042E-3</v>
      </c>
      <c r="H1477" s="2430">
        <v>8.2143305132710648E-2</v>
      </c>
      <c r="I1477" s="2427">
        <v>7.2619756223090498E-2</v>
      </c>
      <c r="J1477" s="2431">
        <v>7.6947846490841535E-4</v>
      </c>
    </row>
    <row r="1478" spans="1:10" x14ac:dyDescent="0.2">
      <c r="A1478" s="2426" t="s">
        <v>428</v>
      </c>
      <c r="B1478" s="2427">
        <v>0</v>
      </c>
      <c r="C1478" s="2428">
        <v>1326280</v>
      </c>
      <c r="D1478" s="2429">
        <v>0</v>
      </c>
      <c r="E1478" s="2430">
        <v>0</v>
      </c>
      <c r="F1478" s="2427">
        <v>0</v>
      </c>
      <c r="G1478" s="2429">
        <v>0</v>
      </c>
      <c r="H1478" s="2430">
        <v>0</v>
      </c>
      <c r="I1478" s="2427">
        <v>0</v>
      </c>
      <c r="J1478" s="2431">
        <v>0</v>
      </c>
    </row>
    <row r="1479" spans="1:10" x14ac:dyDescent="0.2">
      <c r="A1479" s="2439" t="s">
        <v>92</v>
      </c>
      <c r="B1479" s="2427">
        <v>480</v>
      </c>
      <c r="C1479" s="2428">
        <v>2215500</v>
      </c>
      <c r="D1479" s="2429">
        <v>1063.44</v>
      </c>
      <c r="E1479" s="2430">
        <v>4.6011273145347884</v>
      </c>
      <c r="F1479" s="2427">
        <v>3.8391670543158951</v>
      </c>
      <c r="G1479" s="2429">
        <v>3.4475695994918079E-2</v>
      </c>
      <c r="H1479" s="2430">
        <v>1.7566456807096569</v>
      </c>
      <c r="I1479" s="2427">
        <v>1.5529833003113609</v>
      </c>
      <c r="J1479" s="2431">
        <v>1.6455400955642803E-2</v>
      </c>
    </row>
    <row r="1480" spans="1:10" x14ac:dyDescent="0.2">
      <c r="A1480" s="2433" t="s">
        <v>281</v>
      </c>
      <c r="B1480" s="2434">
        <v>964.5</v>
      </c>
      <c r="C1480" s="2433"/>
      <c r="D1480" s="2435">
        <v>2294.3822500000001</v>
      </c>
      <c r="E1480" s="2436">
        <v>9.2453901976433404</v>
      </c>
      <c r="F1480" s="2434">
        <v>7.7143262997660011</v>
      </c>
      <c r="G1480" s="2435">
        <v>6.9274601639788519E-2</v>
      </c>
      <c r="H1480" s="2436">
        <v>3.78998031798635</v>
      </c>
      <c r="I1480" s="2434">
        <v>3.3505767309681849</v>
      </c>
      <c r="J1480" s="2437">
        <v>3.5502689262450052E-2</v>
      </c>
    </row>
    <row r="1481" spans="1:10" x14ac:dyDescent="0.2">
      <c r="A1481" s="2440" t="s">
        <v>106</v>
      </c>
      <c r="B1481" s="2441">
        <v>1738.5</v>
      </c>
      <c r="C1481" s="2440"/>
      <c r="D1481" s="2442">
        <v>6282.0127960000009</v>
      </c>
      <c r="E1481" s="2443">
        <v>16.664707992330687</v>
      </c>
      <c r="F1481" s="2441">
        <v>13.904983174850383</v>
      </c>
      <c r="G1481" s="2442">
        <v>0.12486666143159392</v>
      </c>
      <c r="H1481" s="2443">
        <v>10.376956522470657</v>
      </c>
      <c r="I1481" s="2441">
        <v>9.1738706128510135</v>
      </c>
      <c r="J1481" s="2444">
        <v>9.7206273383226821E-2</v>
      </c>
    </row>
    <row r="1482" spans="1:10" x14ac:dyDescent="0.2">
      <c r="A1482" s="2426" t="s">
        <v>905</v>
      </c>
      <c r="B1482" s="2427">
        <v>0</v>
      </c>
      <c r="C1482" s="2428">
        <v>6100000</v>
      </c>
      <c r="D1482" s="2429">
        <v>0</v>
      </c>
      <c r="E1482" s="2430">
        <v>0</v>
      </c>
      <c r="F1482" s="2427">
        <v>0</v>
      </c>
      <c r="G1482" s="2429">
        <v>0</v>
      </c>
      <c r="H1482" s="2430">
        <v>0</v>
      </c>
      <c r="I1482" s="2427">
        <v>0</v>
      </c>
      <c r="J1482" s="2431">
        <v>0</v>
      </c>
    </row>
    <row r="1483" spans="1:10" x14ac:dyDescent="0.2">
      <c r="A1483" s="2426" t="s">
        <v>906</v>
      </c>
      <c r="B1483" s="2427">
        <v>165</v>
      </c>
      <c r="C1483" s="2428">
        <v>3022000.0000000005</v>
      </c>
      <c r="D1483" s="2429">
        <v>498.63000000000005</v>
      </c>
      <c r="E1483" s="2430">
        <v>1.5816375143713333</v>
      </c>
      <c r="F1483" s="2427">
        <v>1.3197136749210889</v>
      </c>
      <c r="G1483" s="2429">
        <v>1.185102049825309E-2</v>
      </c>
      <c r="H1483" s="2430">
        <v>0.82366305176808863</v>
      </c>
      <c r="I1483" s="2427">
        <v>0.72816902038126641</v>
      </c>
      <c r="J1483" s="2431">
        <v>7.7156742068308238E-3</v>
      </c>
    </row>
    <row r="1484" spans="1:10" x14ac:dyDescent="0.2">
      <c r="A1484" s="2426" t="s">
        <v>907</v>
      </c>
      <c r="B1484" s="2427">
        <v>90</v>
      </c>
      <c r="C1484" s="2428">
        <v>2324000</v>
      </c>
      <c r="D1484" s="2429">
        <v>209.16</v>
      </c>
      <c r="E1484" s="2430">
        <v>0.86271137147527277</v>
      </c>
      <c r="F1484" s="2427">
        <v>0.71984382268423031</v>
      </c>
      <c r="G1484" s="2429">
        <v>6.4641929990471398E-3</v>
      </c>
      <c r="H1484" s="2430">
        <v>0.34550140165616472</v>
      </c>
      <c r="I1484" s="2427">
        <v>0.30544458276266101</v>
      </c>
      <c r="J1484" s="2431">
        <v>3.2364888135505985E-3</v>
      </c>
    </row>
    <row r="1485" spans="1:10" x14ac:dyDescent="0.2">
      <c r="A1485" s="2439" t="s">
        <v>908</v>
      </c>
      <c r="B1485" s="2427">
        <v>504</v>
      </c>
      <c r="C1485" s="2428">
        <v>2403999.9999999995</v>
      </c>
      <c r="D1485" s="2429">
        <v>1211.6159999999998</v>
      </c>
      <c r="E1485" s="2430">
        <v>4.8311836802615273</v>
      </c>
      <c r="F1485" s="2427">
        <v>4.0311254070316904</v>
      </c>
      <c r="G1485" s="2429">
        <v>3.6199480794663987E-2</v>
      </c>
      <c r="H1485" s="2430">
        <v>2.0014105291118551</v>
      </c>
      <c r="I1485" s="2427">
        <v>1.7693705468950289</v>
      </c>
      <c r="J1485" s="2431">
        <v>1.8748238813917198E-2</v>
      </c>
    </row>
    <row r="1486" spans="1:10" x14ac:dyDescent="0.2">
      <c r="A1486" s="2440" t="s">
        <v>282</v>
      </c>
      <c r="B1486" s="2441">
        <v>759</v>
      </c>
      <c r="C1486" s="2440"/>
      <c r="D1486" s="2442">
        <v>1919.4059999999999</v>
      </c>
      <c r="E1486" s="2443">
        <v>7.2755325661081338</v>
      </c>
      <c r="F1486" s="2441">
        <v>6.0706829046370094</v>
      </c>
      <c r="G1486" s="2442">
        <v>5.4514694291964212E-2</v>
      </c>
      <c r="H1486" s="2443">
        <v>3.1705749825361083</v>
      </c>
      <c r="I1486" s="2441">
        <v>2.8029841500389567</v>
      </c>
      <c r="J1486" s="2444">
        <v>2.9700401834298621E-2</v>
      </c>
    </row>
    <row r="1487" spans="1:10" x14ac:dyDescent="0.2">
      <c r="A1487" s="2426" t="s">
        <v>955</v>
      </c>
      <c r="B1487" s="2427">
        <v>0</v>
      </c>
      <c r="C1487" s="2428">
        <v>12137000</v>
      </c>
      <c r="D1487" s="2429">
        <v>0</v>
      </c>
      <c r="E1487" s="2430">
        <v>0</v>
      </c>
      <c r="F1487" s="2427">
        <v>0</v>
      </c>
      <c r="G1487" s="2429">
        <v>0</v>
      </c>
      <c r="H1487" s="2430">
        <v>0</v>
      </c>
      <c r="I1487" s="2427">
        <v>0</v>
      </c>
      <c r="J1487" s="2431">
        <v>0</v>
      </c>
    </row>
    <row r="1488" spans="1:10" x14ac:dyDescent="0.2">
      <c r="A1488" s="2426" t="s">
        <v>283</v>
      </c>
      <c r="B1488" s="2427">
        <v>1642.5769029598673</v>
      </c>
      <c r="C1488" s="2428">
        <v>13024549.999999996</v>
      </c>
      <c r="D1488" s="2429">
        <v>21393.825001445934</v>
      </c>
      <c r="E1488" s="2430">
        <v>15.745219696734591</v>
      </c>
      <c r="F1488" s="2427">
        <v>13.137764854216167</v>
      </c>
      <c r="G1488" s="2429">
        <v>0.11797704573899674</v>
      </c>
      <c r="H1488" s="2430">
        <v>35.339436435199225</v>
      </c>
      <c r="I1488" s="2427">
        <v>31.242244938152798</v>
      </c>
      <c r="J1488" s="2431">
        <v>0.33104262428876879</v>
      </c>
    </row>
    <row r="1489" spans="1:10" x14ac:dyDescent="0.2">
      <c r="A1489" s="2426" t="s">
        <v>69</v>
      </c>
      <c r="B1489" s="2427">
        <v>1297.409097040133</v>
      </c>
      <c r="C1489" s="2428">
        <v>14978232.499999994</v>
      </c>
      <c r="D1489" s="2429">
        <v>19432.89510308217</v>
      </c>
      <c r="E1489" s="2430">
        <v>12.436550905244316</v>
      </c>
      <c r="F1489" s="2427">
        <v>10.377021377762944</v>
      </c>
      <c r="G1489" s="2429">
        <v>9.3185586688743327E-2</v>
      </c>
      <c r="H1489" s="2430">
        <v>32.100270110690907</v>
      </c>
      <c r="I1489" s="2427">
        <v>28.37862180451086</v>
      </c>
      <c r="J1489" s="2431">
        <v>0.30069969217836895</v>
      </c>
    </row>
    <row r="1490" spans="1:10" x14ac:dyDescent="0.2">
      <c r="A1490" s="2426" t="s">
        <v>199</v>
      </c>
      <c r="B1490" s="2427">
        <v>600</v>
      </c>
      <c r="C1490" s="2428">
        <v>3000000</v>
      </c>
      <c r="D1490" s="2429">
        <v>1800</v>
      </c>
      <c r="E1490" s="2430">
        <v>5.7514091431684857</v>
      </c>
      <c r="F1490" s="2427">
        <v>4.798958817894869</v>
      </c>
      <c r="G1490" s="2429">
        <v>4.3094619993647595E-2</v>
      </c>
      <c r="H1490" s="2430">
        <v>2.9733339213095071</v>
      </c>
      <c r="I1490" s="2427">
        <v>2.628610867148546</v>
      </c>
      <c r="J1490" s="2431">
        <v>2.7852743662225461E-2</v>
      </c>
    </row>
    <row r="1491" spans="1:10" x14ac:dyDescent="0.2">
      <c r="A1491" s="2426" t="s">
        <v>86</v>
      </c>
      <c r="B1491" s="2427">
        <v>1500</v>
      </c>
      <c r="C1491" s="2428">
        <v>170000</v>
      </c>
      <c r="D1491" s="2429">
        <v>255</v>
      </c>
      <c r="E1491" s="2430">
        <v>14.378522857921213</v>
      </c>
      <c r="F1491" s="2427">
        <v>11.997397044737172</v>
      </c>
      <c r="G1491" s="2429">
        <v>0.107736549984119</v>
      </c>
      <c r="H1491" s="2430">
        <v>0.42122230551884687</v>
      </c>
      <c r="I1491" s="2427">
        <v>0.37238653951271067</v>
      </c>
      <c r="J1491" s="2431">
        <v>3.9458053521486073E-3</v>
      </c>
    </row>
    <row r="1492" spans="1:10" x14ac:dyDescent="0.2">
      <c r="A1492" s="2439" t="s">
        <v>213</v>
      </c>
      <c r="B1492" s="2427">
        <v>525.5</v>
      </c>
      <c r="C1492" s="2428">
        <v>1850000.0000000005</v>
      </c>
      <c r="D1492" s="2429">
        <v>972.17500000000018</v>
      </c>
      <c r="E1492" s="2430">
        <v>5.0372758412250658</v>
      </c>
      <c r="F1492" s="2427">
        <v>4.2030880980062557</v>
      </c>
      <c r="G1492" s="2429">
        <v>3.7743704677769691E-2</v>
      </c>
      <c r="H1492" s="2430">
        <v>1.6058893916383723</v>
      </c>
      <c r="I1492" s="2427">
        <v>1.4197054276500767</v>
      </c>
      <c r="J1492" s="2431">
        <v>1.5043189483235579E-2</v>
      </c>
    </row>
    <row r="1493" spans="1:10" x14ac:dyDescent="0.2">
      <c r="A1493" s="2433" t="s">
        <v>1834</v>
      </c>
      <c r="B1493" s="2434">
        <v>5565.4860000000008</v>
      </c>
      <c r="C1493" s="2433"/>
      <c r="D1493" s="2435">
        <v>43853.895104528106</v>
      </c>
      <c r="E1493" s="2436">
        <v>53.348978444293685</v>
      </c>
      <c r="F1493" s="2434">
        <v>44.514230192617411</v>
      </c>
      <c r="G1493" s="2435">
        <v>0.39973750708327643</v>
      </c>
      <c r="H1493" s="2436">
        <v>72.440152164356846</v>
      </c>
      <c r="I1493" s="2434">
        <v>64.041569576974993</v>
      </c>
      <c r="J1493" s="2437">
        <v>0.6785840549647475</v>
      </c>
    </row>
    <row r="1494" spans="1:10" x14ac:dyDescent="0.2">
      <c r="A1494" s="2426" t="s">
        <v>961</v>
      </c>
      <c r="B1494" s="2427">
        <v>728.03999999999985</v>
      </c>
      <c r="C1494" s="2428">
        <v>3668000</v>
      </c>
      <c r="D1494" s="2429">
        <v>2670.4507199999994</v>
      </c>
      <c r="E1494" s="2430">
        <v>6.9787598543206393</v>
      </c>
      <c r="F1494" s="2427">
        <v>5.8230566296336326</v>
      </c>
      <c r="G1494" s="2429">
        <v>5.2291011900291985E-2</v>
      </c>
      <c r="H1494" s="2430">
        <v>4.4111898394229963</v>
      </c>
      <c r="I1494" s="2427">
        <v>3.8997643237648094</v>
      </c>
      <c r="J1494" s="2431">
        <v>4.1321877425980778E-2</v>
      </c>
    </row>
    <row r="1495" spans="1:10" x14ac:dyDescent="0.2">
      <c r="A1495" s="2426" t="s">
        <v>962</v>
      </c>
      <c r="B1495" s="2427">
        <v>0</v>
      </c>
      <c r="C1495" s="2428">
        <v>1999999.9999999998</v>
      </c>
      <c r="D1495" s="2429">
        <v>0</v>
      </c>
      <c r="E1495" s="2430">
        <v>0</v>
      </c>
      <c r="F1495" s="2427">
        <v>0</v>
      </c>
      <c r="G1495" s="2429">
        <v>0</v>
      </c>
      <c r="H1495" s="2430">
        <v>0</v>
      </c>
      <c r="I1495" s="2427">
        <v>0</v>
      </c>
      <c r="J1495" s="2431">
        <v>0</v>
      </c>
    </row>
    <row r="1496" spans="1:10" x14ac:dyDescent="0.2">
      <c r="A1496" s="2426" t="s">
        <v>963</v>
      </c>
      <c r="B1496" s="2427">
        <v>0</v>
      </c>
      <c r="C1496" s="2428">
        <v>1347999.9999999998</v>
      </c>
      <c r="D1496" s="2429">
        <v>0</v>
      </c>
      <c r="E1496" s="2430">
        <v>0</v>
      </c>
      <c r="F1496" s="2427">
        <v>0</v>
      </c>
      <c r="G1496" s="2429">
        <v>0</v>
      </c>
      <c r="H1496" s="2430">
        <v>0</v>
      </c>
      <c r="I1496" s="2427">
        <v>0</v>
      </c>
      <c r="J1496" s="2431">
        <v>0</v>
      </c>
    </row>
    <row r="1497" spans="1:10" x14ac:dyDescent="0.2">
      <c r="A1497" s="2426" t="s">
        <v>965</v>
      </c>
      <c r="B1497" s="2427">
        <v>114</v>
      </c>
      <c r="C1497" s="2428">
        <v>1599999.9999999995</v>
      </c>
      <c r="D1497" s="2429">
        <v>182.39999999999995</v>
      </c>
      <c r="E1497" s="2430">
        <v>1.0927677372020124</v>
      </c>
      <c r="F1497" s="2427">
        <v>0.91180217540002517</v>
      </c>
      <c r="G1497" s="2429">
        <v>8.1879777987930429E-3</v>
      </c>
      <c r="H1497" s="2430">
        <v>0.30129783735936327</v>
      </c>
      <c r="I1497" s="2427">
        <v>0.26636590120438591</v>
      </c>
      <c r="J1497" s="2431">
        <v>2.822411357772179E-3</v>
      </c>
    </row>
    <row r="1498" spans="1:10" x14ac:dyDescent="0.2">
      <c r="A1498" s="2426" t="s">
        <v>966</v>
      </c>
      <c r="B1498" s="2427">
        <v>0</v>
      </c>
      <c r="C1498" s="2428">
        <v>2244000</v>
      </c>
      <c r="D1498" s="2429">
        <v>0</v>
      </c>
      <c r="E1498" s="2430">
        <v>0</v>
      </c>
      <c r="F1498" s="2427">
        <v>0</v>
      </c>
      <c r="G1498" s="2429">
        <v>0</v>
      </c>
      <c r="H1498" s="2430">
        <v>0</v>
      </c>
      <c r="I1498" s="2427">
        <v>0</v>
      </c>
      <c r="J1498" s="2431">
        <v>0</v>
      </c>
    </row>
    <row r="1499" spans="1:10" x14ac:dyDescent="0.2">
      <c r="A1499" s="2426" t="s">
        <v>1499</v>
      </c>
      <c r="B1499" s="2427">
        <v>80</v>
      </c>
      <c r="C1499" s="2428">
        <v>4849999.9999999991</v>
      </c>
      <c r="D1499" s="2429">
        <v>387.99999999999994</v>
      </c>
      <c r="E1499" s="2430">
        <v>0.7668545524224647</v>
      </c>
      <c r="F1499" s="2427">
        <v>0.63986117571931589</v>
      </c>
      <c r="G1499" s="2429">
        <v>5.7459493324863459E-3</v>
      </c>
      <c r="H1499" s="2430">
        <v>0.64091864526004916</v>
      </c>
      <c r="I1499" s="2427">
        <v>0.56661167580757543</v>
      </c>
      <c r="J1499" s="2431">
        <v>6.0038136338574875E-3</v>
      </c>
    </row>
    <row r="1500" spans="1:10" x14ac:dyDescent="0.2">
      <c r="A1500" s="2426" t="s">
        <v>1575</v>
      </c>
      <c r="B1500" s="2427">
        <v>10</v>
      </c>
      <c r="C1500" s="2428">
        <v>2250000.0000000005</v>
      </c>
      <c r="D1500" s="2429">
        <v>22.500000000000004</v>
      </c>
      <c r="E1500" s="2430">
        <v>9.5856819052808087E-2</v>
      </c>
      <c r="F1500" s="2427">
        <v>7.9982646964914486E-2</v>
      </c>
      <c r="G1500" s="2429">
        <v>7.1824366656079324E-4</v>
      </c>
      <c r="H1500" s="2430">
        <v>3.7166674016368841E-2</v>
      </c>
      <c r="I1500" s="2427">
        <v>3.285763583935683E-2</v>
      </c>
      <c r="J1500" s="2431">
        <v>3.4815929577781832E-4</v>
      </c>
    </row>
    <row r="1501" spans="1:10" x14ac:dyDescent="0.2">
      <c r="A1501" s="2426" t="s">
        <v>964</v>
      </c>
      <c r="B1501" s="2427">
        <v>0</v>
      </c>
      <c r="C1501" s="2428">
        <v>1556000</v>
      </c>
      <c r="D1501" s="2429">
        <v>0</v>
      </c>
      <c r="E1501" s="2430">
        <v>0</v>
      </c>
      <c r="F1501" s="2427">
        <v>0</v>
      </c>
      <c r="G1501" s="2429">
        <v>0</v>
      </c>
      <c r="H1501" s="2430">
        <v>0</v>
      </c>
      <c r="I1501" s="2427">
        <v>0</v>
      </c>
      <c r="J1501" s="2431">
        <v>0</v>
      </c>
    </row>
    <row r="1502" spans="1:10" x14ac:dyDescent="0.2">
      <c r="A1502" s="2426" t="s">
        <v>969</v>
      </c>
      <c r="B1502" s="2427">
        <v>101.5</v>
      </c>
      <c r="C1502" s="2428">
        <v>4800000</v>
      </c>
      <c r="D1502" s="2429">
        <v>487.2</v>
      </c>
      <c r="E1502" s="2430">
        <v>0.97294671338600203</v>
      </c>
      <c r="F1502" s="2427">
        <v>0.81182386669388196</v>
      </c>
      <c r="G1502" s="2429">
        <v>7.2901732155920525E-3</v>
      </c>
      <c r="H1502" s="2430">
        <v>0.80478238136777325</v>
      </c>
      <c r="I1502" s="2427">
        <v>0.71147734137487306</v>
      </c>
      <c r="J1502" s="2431">
        <v>7.5388092845756908E-3</v>
      </c>
    </row>
    <row r="1503" spans="1:10" x14ac:dyDescent="0.2">
      <c r="A1503" s="2426" t="s">
        <v>968</v>
      </c>
      <c r="B1503" s="2427">
        <v>0</v>
      </c>
      <c r="C1503" s="2428">
        <v>3050000.0000000009</v>
      </c>
      <c r="D1503" s="2429">
        <v>0</v>
      </c>
      <c r="E1503" s="2430">
        <v>0</v>
      </c>
      <c r="F1503" s="2427">
        <v>0</v>
      </c>
      <c r="G1503" s="2429">
        <v>0</v>
      </c>
      <c r="H1503" s="2430">
        <v>0</v>
      </c>
      <c r="I1503" s="2427">
        <v>0</v>
      </c>
      <c r="J1503" s="2431">
        <v>0</v>
      </c>
    </row>
    <row r="1504" spans="1:10" x14ac:dyDescent="0.2">
      <c r="A1504" s="2426" t="s">
        <v>1013</v>
      </c>
      <c r="B1504" s="2427">
        <v>371.7</v>
      </c>
      <c r="C1504" s="2428">
        <v>1799999.9999999998</v>
      </c>
      <c r="D1504" s="2429">
        <v>669.05999999999983</v>
      </c>
      <c r="E1504" s="2430">
        <v>3.5629979641928768</v>
      </c>
      <c r="F1504" s="2427">
        <v>2.972954987685871</v>
      </c>
      <c r="G1504" s="2429">
        <v>2.6697117086064689E-2</v>
      </c>
      <c r="H1504" s="2430">
        <v>1.1051882185507436</v>
      </c>
      <c r="I1504" s="2427">
        <v>0.97705465931911439</v>
      </c>
      <c r="J1504" s="2431">
        <v>1.0352864819249201E-2</v>
      </c>
    </row>
    <row r="1505" spans="1:10" x14ac:dyDescent="0.2">
      <c r="A1505" s="2426" t="s">
        <v>1014</v>
      </c>
      <c r="B1505" s="2427">
        <v>0</v>
      </c>
      <c r="C1505" s="2428">
        <v>2195000.0000000005</v>
      </c>
      <c r="D1505" s="2429">
        <v>0</v>
      </c>
      <c r="E1505" s="2430">
        <v>0</v>
      </c>
      <c r="F1505" s="2427">
        <v>0</v>
      </c>
      <c r="G1505" s="2429">
        <v>0</v>
      </c>
      <c r="H1505" s="2430">
        <v>0</v>
      </c>
      <c r="I1505" s="2427">
        <v>0</v>
      </c>
      <c r="J1505" s="2431">
        <v>0</v>
      </c>
    </row>
    <row r="1506" spans="1:10" x14ac:dyDescent="0.2">
      <c r="A1506" s="2426" t="s">
        <v>970</v>
      </c>
      <c r="B1506" s="2427">
        <v>370</v>
      </c>
      <c r="C1506" s="2428">
        <v>3100000.0000000005</v>
      </c>
      <c r="D1506" s="2429">
        <v>1147.0000000000002</v>
      </c>
      <c r="E1506" s="2430">
        <v>3.5467023049538993</v>
      </c>
      <c r="F1506" s="2427">
        <v>2.959357937701836</v>
      </c>
      <c r="G1506" s="2429">
        <v>2.6575015662749352E-2</v>
      </c>
      <c r="H1506" s="2430">
        <v>1.8946744487455585</v>
      </c>
      <c r="I1506" s="2427">
        <v>1.6750092581218794</v>
      </c>
      <c r="J1506" s="2431">
        <v>1.7748387211429229E-2</v>
      </c>
    </row>
    <row r="1507" spans="1:10" x14ac:dyDescent="0.2">
      <c r="A1507" s="2426" t="s">
        <v>971</v>
      </c>
      <c r="B1507" s="2427">
        <v>0</v>
      </c>
      <c r="C1507" s="2428">
        <v>3010000</v>
      </c>
      <c r="D1507" s="2429">
        <v>0</v>
      </c>
      <c r="E1507" s="2430">
        <v>0</v>
      </c>
      <c r="F1507" s="2427">
        <v>0</v>
      </c>
      <c r="G1507" s="2429">
        <v>0</v>
      </c>
      <c r="H1507" s="2430">
        <v>0</v>
      </c>
      <c r="I1507" s="2427">
        <v>0</v>
      </c>
      <c r="J1507" s="2431">
        <v>0</v>
      </c>
    </row>
    <row r="1508" spans="1:10" x14ac:dyDescent="0.2">
      <c r="A1508" s="2426" t="s">
        <v>972</v>
      </c>
      <c r="B1508" s="2427">
        <v>0</v>
      </c>
      <c r="C1508" s="2428">
        <v>2744000.0000000005</v>
      </c>
      <c r="D1508" s="2429">
        <v>0</v>
      </c>
      <c r="E1508" s="2430">
        <v>0</v>
      </c>
      <c r="F1508" s="2427">
        <v>0</v>
      </c>
      <c r="G1508" s="2429">
        <v>0</v>
      </c>
      <c r="H1508" s="2430">
        <v>0</v>
      </c>
      <c r="I1508" s="2427">
        <v>0</v>
      </c>
      <c r="J1508" s="2431">
        <v>0</v>
      </c>
    </row>
    <row r="1509" spans="1:10" x14ac:dyDescent="0.2">
      <c r="A1509" s="2426" t="s">
        <v>973</v>
      </c>
      <c r="B1509" s="2427">
        <v>90</v>
      </c>
      <c r="C1509" s="2428">
        <v>2549999.9999999991</v>
      </c>
      <c r="D1509" s="2429">
        <v>229.49999999999991</v>
      </c>
      <c r="E1509" s="2430">
        <v>0.86271137147527277</v>
      </c>
      <c r="F1509" s="2427">
        <v>0.71984382268423031</v>
      </c>
      <c r="G1509" s="2429">
        <v>6.4641929990471398E-3</v>
      </c>
      <c r="H1509" s="2430">
        <v>0.37910007496696196</v>
      </c>
      <c r="I1509" s="2427">
        <v>0.33514788556143948</v>
      </c>
      <c r="J1509" s="2431">
        <v>3.551224816933745E-3</v>
      </c>
    </row>
    <row r="1510" spans="1:10" x14ac:dyDescent="0.2">
      <c r="A1510" s="2426" t="s">
        <v>974</v>
      </c>
      <c r="B1510" s="2427">
        <v>0</v>
      </c>
      <c r="C1510" s="2428">
        <v>1583999.9999999995</v>
      </c>
      <c r="D1510" s="2429">
        <v>0</v>
      </c>
      <c r="E1510" s="2430">
        <v>0</v>
      </c>
      <c r="F1510" s="2427">
        <v>0</v>
      </c>
      <c r="G1510" s="2429">
        <v>0</v>
      </c>
      <c r="H1510" s="2430">
        <v>0</v>
      </c>
      <c r="I1510" s="2427">
        <v>0</v>
      </c>
      <c r="J1510" s="2431">
        <v>0</v>
      </c>
    </row>
    <row r="1511" spans="1:10" x14ac:dyDescent="0.2">
      <c r="A1511" s="2426" t="s">
        <v>975</v>
      </c>
      <c r="B1511" s="2427">
        <v>40</v>
      </c>
      <c r="C1511" s="2428">
        <v>2532000.0000000009</v>
      </c>
      <c r="D1511" s="2429">
        <v>101.28000000000003</v>
      </c>
      <c r="E1511" s="2430">
        <v>0.38342727621123235</v>
      </c>
      <c r="F1511" s="2427">
        <v>0.31993058785965794</v>
      </c>
      <c r="G1511" s="2429">
        <v>2.872974666243173E-3</v>
      </c>
      <c r="H1511" s="2430">
        <v>0.16729958863901498</v>
      </c>
      <c r="I1511" s="2427">
        <v>0.14790317145822487</v>
      </c>
      <c r="J1511" s="2431">
        <v>1.5671810433945531E-3</v>
      </c>
    </row>
    <row r="1512" spans="1:10" x14ac:dyDescent="0.2">
      <c r="A1512" s="2426" t="s">
        <v>976</v>
      </c>
      <c r="B1512" s="2427">
        <v>296</v>
      </c>
      <c r="C1512" s="2428">
        <v>7394999.9999999991</v>
      </c>
      <c r="D1512" s="2429">
        <v>2188.9199999999996</v>
      </c>
      <c r="E1512" s="2430">
        <v>2.8373618439631194</v>
      </c>
      <c r="F1512" s="2427">
        <v>2.3674863501614687</v>
      </c>
      <c r="G1512" s="2429">
        <v>2.1260012530199483E-2</v>
      </c>
      <c r="H1512" s="2430">
        <v>3.6157722705737805</v>
      </c>
      <c r="I1512" s="2427">
        <v>3.196566055177108</v>
      </c>
      <c r="J1512" s="2431">
        <v>3.3870793142843636E-2</v>
      </c>
    </row>
    <row r="1513" spans="1:10" x14ac:dyDescent="0.2">
      <c r="A1513" s="2426" t="s">
        <v>286</v>
      </c>
      <c r="B1513" s="2427">
        <v>144</v>
      </c>
      <c r="C1513" s="2428">
        <v>2445000.0000000005</v>
      </c>
      <c r="D1513" s="2429">
        <v>352.08000000000004</v>
      </c>
      <c r="E1513" s="2430">
        <v>1.3803381943604365</v>
      </c>
      <c r="F1513" s="2427">
        <v>1.1517501162947685</v>
      </c>
      <c r="G1513" s="2429">
        <v>1.0342708798475424E-2</v>
      </c>
      <c r="H1513" s="2430">
        <v>0.58158411500813967</v>
      </c>
      <c r="I1513" s="2427">
        <v>0.51415628561425564</v>
      </c>
      <c r="J1513" s="2431">
        <v>5.447996660331301E-3</v>
      </c>
    </row>
    <row r="1514" spans="1:10" x14ac:dyDescent="0.2">
      <c r="A1514" s="2439" t="s">
        <v>978</v>
      </c>
      <c r="B1514" s="2427">
        <v>24</v>
      </c>
      <c r="C1514" s="2428">
        <v>1850000.0000000002</v>
      </c>
      <c r="D1514" s="2429">
        <v>44.400000000000006</v>
      </c>
      <c r="E1514" s="2430">
        <v>0.2300563657267394</v>
      </c>
      <c r="F1514" s="2427">
        <v>0.19195835271579476</v>
      </c>
      <c r="G1514" s="2429">
        <v>1.7237847997459042E-3</v>
      </c>
      <c r="H1514" s="2430">
        <v>7.3342236725634502E-2</v>
      </c>
      <c r="I1514" s="2427">
        <v>6.4839068056330801E-2</v>
      </c>
      <c r="J1514" s="2431">
        <v>6.8703434366822809E-4</v>
      </c>
    </row>
    <row r="1515" spans="1:10" x14ac:dyDescent="0.2">
      <c r="A1515" s="2426" t="s">
        <v>1163</v>
      </c>
      <c r="B1515" s="2427">
        <v>0</v>
      </c>
      <c r="C1515" s="2428">
        <v>0</v>
      </c>
      <c r="D1515" s="2429">
        <v>0</v>
      </c>
      <c r="E1515" s="2430">
        <v>0</v>
      </c>
      <c r="F1515" s="2427">
        <v>0</v>
      </c>
      <c r="G1515" s="2429">
        <v>0</v>
      </c>
      <c r="H1515" s="2430">
        <v>0</v>
      </c>
      <c r="I1515" s="2427">
        <v>0</v>
      </c>
      <c r="J1515" s="2431">
        <v>0</v>
      </c>
    </row>
    <row r="1516" spans="1:10" x14ac:dyDescent="0.2">
      <c r="A1516" s="2433" t="s">
        <v>287</v>
      </c>
      <c r="B1516" s="2434">
        <v>2369.2399999999998</v>
      </c>
      <c r="C1516" s="2433"/>
      <c r="D1516" s="2435">
        <v>8482.7907199999972</v>
      </c>
      <c r="E1516" s="2436">
        <v>22.710780997267502</v>
      </c>
      <c r="F1516" s="2434">
        <v>18.949808649515397</v>
      </c>
      <c r="G1516" s="2435">
        <v>0.17016916245624936</v>
      </c>
      <c r="H1516" s="2436">
        <v>14.012316330636382</v>
      </c>
      <c r="I1516" s="2434">
        <v>12.38775326129935</v>
      </c>
      <c r="J1516" s="2437">
        <v>0.13126055303581383</v>
      </c>
    </row>
    <row r="1517" spans="1:10" x14ac:dyDescent="0.2">
      <c r="A1517" s="2440" t="s">
        <v>1835</v>
      </c>
      <c r="B1517" s="2441">
        <v>7934.7260000000006</v>
      </c>
      <c r="C1517" s="2440"/>
      <c r="D1517" s="2442">
        <v>52336.685824528104</v>
      </c>
      <c r="E1517" s="2443">
        <v>76.059759441561184</v>
      </c>
      <c r="F1517" s="2441">
        <v>63.464038842132808</v>
      </c>
      <c r="G1517" s="2442">
        <v>0.56990666953952585</v>
      </c>
      <c r="H1517" s="2443">
        <v>86.452468494993241</v>
      </c>
      <c r="I1517" s="2441">
        <v>76.429322838274345</v>
      </c>
      <c r="J1517" s="2444">
        <v>0.80984460800056124</v>
      </c>
    </row>
    <row r="1518" spans="1:10" x14ac:dyDescent="0.2">
      <c r="A1518" s="2445" t="s">
        <v>194</v>
      </c>
      <c r="B1518" s="2446">
        <v>10432.226000000001</v>
      </c>
      <c r="C1518" s="2447"/>
      <c r="D1518" s="2448">
        <v>60538.104620528102</v>
      </c>
      <c r="E1518" s="2449">
        <v>100</v>
      </c>
      <c r="F1518" s="2427">
        <v>83.439704921620205</v>
      </c>
      <c r="G1518" s="2448">
        <v>0.74928802526308391</v>
      </c>
      <c r="H1518" s="2449">
        <v>100</v>
      </c>
      <c r="I1518" s="2427">
        <v>88.406177601164316</v>
      </c>
      <c r="J1518" s="2450">
        <v>0.93675128321808654</v>
      </c>
    </row>
    <row r="1519" spans="1:10" x14ac:dyDescent="0.2">
      <c r="A1519" s="2451" t="s">
        <v>1852</v>
      </c>
      <c r="B1519" s="2427"/>
      <c r="C1519" s="2452"/>
      <c r="D1519" s="2429"/>
      <c r="E1519" s="2430"/>
      <c r="F1519" s="2427">
        <v>0</v>
      </c>
      <c r="G1519" s="2429"/>
      <c r="H1519" s="2430"/>
      <c r="I1519" s="2427">
        <v>0</v>
      </c>
      <c r="J1519" s="2431">
        <v>0</v>
      </c>
    </row>
    <row r="1520" spans="1:10" x14ac:dyDescent="0.2">
      <c r="A1520" s="2453" t="s">
        <v>1836</v>
      </c>
      <c r="B1520" s="2427">
        <v>0</v>
      </c>
      <c r="C1520" s="2428">
        <v>8033612.4975057133</v>
      </c>
      <c r="D1520" s="2429">
        <v>0</v>
      </c>
      <c r="E1520" s="2430">
        <v>0</v>
      </c>
      <c r="F1520" s="2427">
        <v>0</v>
      </c>
      <c r="G1520" s="2429">
        <v>0</v>
      </c>
      <c r="H1520" s="2430">
        <v>0</v>
      </c>
      <c r="I1520" s="2427">
        <v>0</v>
      </c>
      <c r="J1520" s="2431">
        <v>0</v>
      </c>
    </row>
    <row r="1521" spans="1:10" x14ac:dyDescent="0.2">
      <c r="A1521" s="2453" t="s">
        <v>1837</v>
      </c>
      <c r="B1521" s="2427">
        <v>1708.2</v>
      </c>
      <c r="C1521" s="2428">
        <v>2214764.1578067578</v>
      </c>
      <c r="D1521" s="2429">
        <v>3783.2601343655037</v>
      </c>
      <c r="E1521" s="2430">
        <v>92.382574835726444</v>
      </c>
      <c r="F1521" s="2427">
        <v>13.662635754546692</v>
      </c>
      <c r="G1521" s="2429">
        <v>0.12269038312191473</v>
      </c>
      <c r="H1521" s="2430">
        <v>76.448512032442935</v>
      </c>
      <c r="I1521" s="2427">
        <v>5.5248437235794619</v>
      </c>
      <c r="J1521" s="2431">
        <v>5.8541208183332798E-2</v>
      </c>
    </row>
    <row r="1522" spans="1:10" x14ac:dyDescent="0.2">
      <c r="A1522" s="2454" t="s">
        <v>309</v>
      </c>
      <c r="B1522" s="2434">
        <v>1708.2</v>
      </c>
      <c r="C1522" s="2433"/>
      <c r="D1522" s="2435">
        <v>3783.2601343655037</v>
      </c>
      <c r="E1522" s="2436">
        <v>92.382574835726444</v>
      </c>
      <c r="F1522" s="2434">
        <v>13.662635754546692</v>
      </c>
      <c r="G1522" s="2435">
        <v>0.12269038312191473</v>
      </c>
      <c r="H1522" s="2436">
        <v>76.448512032442935</v>
      </c>
      <c r="I1522" s="2434">
        <v>5.5248437235794619</v>
      </c>
      <c r="J1522" s="2437">
        <v>5.8541208183332798E-2</v>
      </c>
    </row>
    <row r="1523" spans="1:10" x14ac:dyDescent="0.2">
      <c r="A1523" s="2453" t="s">
        <v>1838</v>
      </c>
      <c r="B1523" s="2427">
        <v>0</v>
      </c>
      <c r="C1523" s="2428">
        <v>10407427.50198495</v>
      </c>
      <c r="D1523" s="2429">
        <v>0</v>
      </c>
      <c r="E1523" s="2430">
        <v>0</v>
      </c>
      <c r="F1523" s="2427">
        <v>0</v>
      </c>
      <c r="G1523" s="2429">
        <v>0</v>
      </c>
      <c r="H1523" s="2430">
        <v>0</v>
      </c>
      <c r="I1523" s="2427">
        <v>0</v>
      </c>
      <c r="J1523" s="2431">
        <v>0</v>
      </c>
    </row>
    <row r="1524" spans="1:10" x14ac:dyDescent="0.2">
      <c r="A1524" s="2454" t="s">
        <v>315</v>
      </c>
      <c r="B1524" s="2434">
        <v>0</v>
      </c>
      <c r="C1524" s="2455"/>
      <c r="D1524" s="2435">
        <v>0</v>
      </c>
      <c r="E1524" s="2436">
        <v>0</v>
      </c>
      <c r="F1524" s="2434">
        <v>0</v>
      </c>
      <c r="G1524" s="2435">
        <v>0</v>
      </c>
      <c r="H1524" s="2436">
        <v>0</v>
      </c>
      <c r="I1524" s="2434">
        <v>0</v>
      </c>
      <c r="J1524" s="2437">
        <v>0</v>
      </c>
    </row>
    <row r="1525" spans="1:10" x14ac:dyDescent="0.2">
      <c r="A1525" s="2453" t="s">
        <v>1541</v>
      </c>
      <c r="B1525" s="2427">
        <v>29.7</v>
      </c>
      <c r="C1525" s="2428">
        <v>10553660</v>
      </c>
      <c r="D1525" s="2429">
        <v>313.44370199999997</v>
      </c>
      <c r="E1525" s="2430">
        <v>1.6062302263324408</v>
      </c>
      <c r="F1525" s="2427">
        <v>0.23754846148579603</v>
      </c>
      <c r="G1525" s="2429">
        <v>2.1331836896855559E-3</v>
      </c>
      <c r="H1525" s="2430">
        <v>6.3337713434445639</v>
      </c>
      <c r="I1525" s="2427">
        <v>0.45773417850915016</v>
      </c>
      <c r="J1525" s="2431">
        <v>4.8501483801916588E-3</v>
      </c>
    </row>
    <row r="1526" spans="1:10" x14ac:dyDescent="0.2">
      <c r="A1526" s="2453" t="s">
        <v>206</v>
      </c>
      <c r="B1526" s="2427">
        <v>108.75</v>
      </c>
      <c r="C1526" s="2428">
        <v>6960000</v>
      </c>
      <c r="D1526" s="2429">
        <v>756.9</v>
      </c>
      <c r="E1526" s="2430">
        <v>5.8813985560152506</v>
      </c>
      <c r="F1526" s="2427">
        <v>0.86981128574344502</v>
      </c>
      <c r="G1526" s="2429">
        <v>7.8108998738486276E-3</v>
      </c>
      <c r="H1526" s="2430">
        <v>15.294713210901238</v>
      </c>
      <c r="I1526" s="2427">
        <v>1.1053308696359634</v>
      </c>
      <c r="J1526" s="2431">
        <v>1.1712078709965806E-2</v>
      </c>
    </row>
    <row r="1527" spans="1:10" x14ac:dyDescent="0.2">
      <c r="A1527" s="2454" t="s">
        <v>310</v>
      </c>
      <c r="B1527" s="2434">
        <v>138.44999999999999</v>
      </c>
      <c r="C1527" s="2455"/>
      <c r="D1527" s="2435">
        <v>1070.3437019999999</v>
      </c>
      <c r="E1527" s="2436">
        <v>7.4876287823476915</v>
      </c>
      <c r="F1527" s="2434">
        <v>1.1073597472292409</v>
      </c>
      <c r="G1527" s="2435">
        <v>9.9440835635341823E-3</v>
      </c>
      <c r="H1527" s="2436">
        <v>21.6284845543458</v>
      </c>
      <c r="I1527" s="2434">
        <v>1.5630650481451136</v>
      </c>
      <c r="J1527" s="2437">
        <v>1.6562227090157464E-2</v>
      </c>
    </row>
    <row r="1528" spans="1:10" x14ac:dyDescent="0.2">
      <c r="A1528" s="2453" t="s">
        <v>1839</v>
      </c>
      <c r="B1528" s="2427">
        <v>2.4</v>
      </c>
      <c r="C1528" s="2428">
        <v>39652080.629353955</v>
      </c>
      <c r="D1528" s="2429">
        <v>95.164993510449477</v>
      </c>
      <c r="E1528" s="2430">
        <v>0.1297963819258538</v>
      </c>
      <c r="F1528" s="2427">
        <v>1.9195835271579476E-2</v>
      </c>
      <c r="G1528" s="2429">
        <v>1.723784799745904E-4</v>
      </c>
      <c r="H1528" s="2430">
        <v>1.9230034132112592</v>
      </c>
      <c r="I1528" s="2427">
        <v>0.13897318672982686</v>
      </c>
      <c r="J1528" s="2431">
        <v>1.4725589832577215E-3</v>
      </c>
    </row>
    <row r="1529" spans="1:10" x14ac:dyDescent="0.2">
      <c r="A1529" s="2454" t="s">
        <v>311</v>
      </c>
      <c r="B1529" s="2434">
        <v>2.4</v>
      </c>
      <c r="C1529" s="2433"/>
      <c r="D1529" s="2435">
        <v>95.164993510449477</v>
      </c>
      <c r="E1529" s="2436">
        <v>0.1297963819258538</v>
      </c>
      <c r="F1529" s="2434">
        <v>1.9195835271579476E-2</v>
      </c>
      <c r="G1529" s="2435">
        <v>1.723784799745904E-4</v>
      </c>
      <c r="H1529" s="2436">
        <v>1.9230034132112592</v>
      </c>
      <c r="I1529" s="2434">
        <v>0.13897318672982686</v>
      </c>
      <c r="J1529" s="2437">
        <v>1.4725589832577215E-3</v>
      </c>
    </row>
    <row r="1530" spans="1:10" x14ac:dyDescent="0.2">
      <c r="A1530" s="2456" t="s">
        <v>129</v>
      </c>
      <c r="B1530" s="2441">
        <v>1849.0500000000002</v>
      </c>
      <c r="C1530" s="2440"/>
      <c r="D1530" s="2442">
        <v>4948.7688298759531</v>
      </c>
      <c r="E1530" s="2443">
        <v>99.999999999999986</v>
      </c>
      <c r="F1530" s="2441">
        <v>14.789191337047514</v>
      </c>
      <c r="G1530" s="2442">
        <v>0.13280684516542351</v>
      </c>
      <c r="H1530" s="2443">
        <v>100</v>
      </c>
      <c r="I1530" s="2441">
        <v>7.2268819584544026</v>
      </c>
      <c r="J1530" s="2444">
        <v>7.6575994256747978E-2</v>
      </c>
    </row>
    <row r="1531" spans="1:10" x14ac:dyDescent="0.2">
      <c r="A1531" s="2451" t="s">
        <v>1853</v>
      </c>
      <c r="B1531" s="2427"/>
      <c r="C1531" s="2452"/>
      <c r="D1531" s="2429"/>
      <c r="E1531" s="2430"/>
      <c r="F1531" s="2427">
        <v>0</v>
      </c>
      <c r="G1531" s="2429"/>
      <c r="H1531" s="2430"/>
      <c r="I1531" s="2427">
        <v>0</v>
      </c>
      <c r="J1531" s="2431">
        <v>0</v>
      </c>
    </row>
    <row r="1532" spans="1:10" x14ac:dyDescent="0.2">
      <c r="A1532" s="2426" t="s">
        <v>1543</v>
      </c>
      <c r="B1532" s="2427">
        <v>200</v>
      </c>
      <c r="C1532" s="2428">
        <v>13200000</v>
      </c>
      <c r="D1532" s="2429">
        <v>2640</v>
      </c>
      <c r="E1532" s="2430">
        <v>90.319550569916359</v>
      </c>
      <c r="F1532" s="2427">
        <v>1.5996529392982894</v>
      </c>
      <c r="G1532" s="2429">
        <v>1.4364873331215866E-2</v>
      </c>
      <c r="H1532" s="2430">
        <v>88.283684907502774</v>
      </c>
      <c r="I1532" s="2427">
        <v>3.855295938484534</v>
      </c>
      <c r="J1532" s="2431">
        <v>4.0850690704597341E-2</v>
      </c>
    </row>
    <row r="1533" spans="1:10" x14ac:dyDescent="0.2">
      <c r="A1533" s="2426" t="s">
        <v>208</v>
      </c>
      <c r="B1533" s="2427">
        <v>5.4359999999999999</v>
      </c>
      <c r="C1533" s="2428">
        <v>10000000</v>
      </c>
      <c r="D1533" s="2429">
        <v>54.36</v>
      </c>
      <c r="E1533" s="2430">
        <v>2.4548853844903267</v>
      </c>
      <c r="F1533" s="2427">
        <v>4.347856689012751E-2</v>
      </c>
      <c r="G1533" s="2429">
        <v>3.904372571424473E-4</v>
      </c>
      <c r="H1533" s="2430">
        <v>1.8178413301408525</v>
      </c>
      <c r="I1533" s="2427">
        <v>7.9384048187886094E-2</v>
      </c>
      <c r="J1533" s="2431">
        <v>8.4115285859920894E-4</v>
      </c>
    </row>
    <row r="1534" spans="1:10" x14ac:dyDescent="0.2">
      <c r="A1534" s="2426" t="s">
        <v>209</v>
      </c>
      <c r="B1534" s="2427">
        <v>0</v>
      </c>
      <c r="C1534" s="2428">
        <v>10000000</v>
      </c>
      <c r="D1534" s="2429">
        <v>0</v>
      </c>
      <c r="E1534" s="2430">
        <v>0</v>
      </c>
      <c r="F1534" s="2427">
        <v>0</v>
      </c>
      <c r="G1534" s="2429">
        <v>0</v>
      </c>
      <c r="H1534" s="2430">
        <v>0</v>
      </c>
      <c r="I1534" s="2427">
        <v>0</v>
      </c>
      <c r="J1534" s="2431">
        <v>0</v>
      </c>
    </row>
    <row r="1535" spans="1:10" x14ac:dyDescent="0.2">
      <c r="A1535" s="2426" t="s">
        <v>210</v>
      </c>
      <c r="B1535" s="2427">
        <v>16</v>
      </c>
      <c r="C1535" s="2428">
        <v>18500000</v>
      </c>
      <c r="D1535" s="2429">
        <v>296</v>
      </c>
      <c r="E1535" s="2430">
        <v>7.225564045593309</v>
      </c>
      <c r="F1535" s="2427">
        <v>0.12797223514386316</v>
      </c>
      <c r="G1535" s="2429">
        <v>1.1491898664972692E-3</v>
      </c>
      <c r="H1535" s="2430">
        <v>9.898473762356371</v>
      </c>
      <c r="I1535" s="2427">
        <v>0.43226045370887195</v>
      </c>
      <c r="J1535" s="2431">
        <v>4.5802289577881869E-3</v>
      </c>
    </row>
    <row r="1536" spans="1:10" x14ac:dyDescent="0.2">
      <c r="A1536" s="2426" t="s">
        <v>1545</v>
      </c>
      <c r="B1536" s="2427">
        <v>0</v>
      </c>
      <c r="C1536" s="2428">
        <v>14200000</v>
      </c>
      <c r="D1536" s="2429">
        <v>0</v>
      </c>
      <c r="E1536" s="2430">
        <v>0</v>
      </c>
      <c r="F1536" s="2427">
        <v>0</v>
      </c>
      <c r="G1536" s="2429">
        <v>0</v>
      </c>
      <c r="H1536" s="2430">
        <v>0</v>
      </c>
      <c r="I1536" s="2427">
        <v>0</v>
      </c>
      <c r="J1536" s="2431">
        <v>0</v>
      </c>
    </row>
    <row r="1537" spans="1:10" x14ac:dyDescent="0.2">
      <c r="A1537" s="2426" t="s">
        <v>1546</v>
      </c>
      <c r="B1537" s="2427">
        <v>0</v>
      </c>
      <c r="C1537" s="2428">
        <v>10000000</v>
      </c>
      <c r="D1537" s="2429">
        <v>0</v>
      </c>
      <c r="E1537" s="2430">
        <v>0</v>
      </c>
      <c r="F1537" s="2427">
        <v>0</v>
      </c>
      <c r="G1537" s="2429">
        <v>0</v>
      </c>
      <c r="H1537" s="2430">
        <v>0</v>
      </c>
      <c r="I1537" s="2427">
        <v>0</v>
      </c>
      <c r="J1537" s="2431">
        <v>0</v>
      </c>
    </row>
    <row r="1538" spans="1:10" x14ac:dyDescent="0.2">
      <c r="A1538" s="2456" t="s">
        <v>121</v>
      </c>
      <c r="B1538" s="2441">
        <v>221.43600000000001</v>
      </c>
      <c r="C1538" s="2440"/>
      <c r="D1538" s="2442">
        <v>2990.36</v>
      </c>
      <c r="E1538" s="2443">
        <v>100</v>
      </c>
      <c r="F1538" s="2441">
        <v>1.7711037413322805</v>
      </c>
      <c r="G1538" s="2442">
        <v>1.5904500454855582E-2</v>
      </c>
      <c r="H1538" s="2443">
        <v>100</v>
      </c>
      <c r="I1538" s="2441">
        <v>4.3669404403812919</v>
      </c>
      <c r="J1538" s="2444">
        <v>4.6272072520984739E-2</v>
      </c>
    </row>
    <row r="1539" spans="1:10" ht="14.25" thickBot="1" x14ac:dyDescent="0.25">
      <c r="A1539" s="2457" t="s">
        <v>1840</v>
      </c>
      <c r="B1539" s="2446">
        <v>12502.712000000001</v>
      </c>
      <c r="C1539" s="2458"/>
      <c r="D1539" s="2448">
        <v>68477.233450404048</v>
      </c>
      <c r="E1539" s="2459"/>
      <c r="F1539" s="2460">
        <v>100</v>
      </c>
      <c r="G1539" s="2461">
        <v>0.89799937088336301</v>
      </c>
      <c r="H1539" s="2462"/>
      <c r="I1539" s="2460">
        <v>100</v>
      </c>
      <c r="J1539" s="2463">
        <v>1.0595993499958192</v>
      </c>
    </row>
    <row r="1540" spans="1:10" ht="15" thickBot="1" x14ac:dyDescent="0.25">
      <c r="A1540" s="2464" t="s">
        <v>1841</v>
      </c>
      <c r="B1540" s="2465">
        <v>1392285.1624830281</v>
      </c>
      <c r="C1540" s="2466"/>
      <c r="D1540" s="2467">
        <v>6462559.0276810033</v>
      </c>
      <c r="E1540" s="2468"/>
      <c r="F1540" s="2469"/>
      <c r="G1540" s="2469"/>
      <c r="H1540" s="2469"/>
      <c r="I1540" s="2469"/>
      <c r="J1540" s="2469"/>
    </row>
    <row r="1541" spans="1:10" ht="16.5" thickBot="1" x14ac:dyDescent="0.3">
      <c r="A1541" s="2470" t="s">
        <v>1842</v>
      </c>
      <c r="B1541" s="2471">
        <v>0.89799937088336312</v>
      </c>
      <c r="C1541" s="2472"/>
      <c r="D1541" s="2473">
        <v>1.0595993499958192</v>
      </c>
      <c r="E1541" s="2468"/>
      <c r="F1541" s="2469"/>
      <c r="G1541" s="2469"/>
      <c r="H1541" s="2469"/>
      <c r="I1541" s="2469"/>
      <c r="J1541" s="2469"/>
    </row>
    <row r="1542" spans="1:10" x14ac:dyDescent="0.2">
      <c r="A1542" s="2474" t="s">
        <v>2023</v>
      </c>
      <c r="B1542" s="2474"/>
      <c r="C1542" s="2474"/>
      <c r="D1542" s="2475"/>
      <c r="E1542" s="2474"/>
      <c r="F1542" s="2474"/>
      <c r="H1542" s="2474"/>
      <c r="I1542" s="2474"/>
      <c r="J1542" s="2474"/>
    </row>
    <row r="1543" spans="1:10" x14ac:dyDescent="0.2">
      <c r="A1543" s="2474" t="s">
        <v>1843</v>
      </c>
      <c r="B1543" s="2474"/>
      <c r="C1543" s="2474"/>
      <c r="D1543" s="2474"/>
      <c r="E1543" s="2474"/>
      <c r="F1543" s="2474"/>
      <c r="G1543" s="2474"/>
      <c r="H1543" s="2474"/>
      <c r="I1543" s="2474"/>
      <c r="J1543" s="2474"/>
    </row>
    <row r="1544" spans="1:10" x14ac:dyDescent="0.2">
      <c r="A1544" s="2474" t="s">
        <v>2024</v>
      </c>
      <c r="B1544" s="2474"/>
      <c r="C1544" s="2474"/>
      <c r="D1544" s="2474"/>
      <c r="E1544" s="2474"/>
      <c r="F1544" s="2474"/>
      <c r="G1544" s="2474"/>
      <c r="H1544" s="2474"/>
      <c r="I1544" s="2474"/>
      <c r="J1544" s="2474"/>
    </row>
    <row r="1548" spans="1:10" ht="13.5" thickBot="1" x14ac:dyDescent="0.25">
      <c r="A1548" s="3321" t="s">
        <v>2021</v>
      </c>
      <c r="B1548" s="3321"/>
      <c r="C1548" s="3321"/>
      <c r="D1548" s="3321"/>
      <c r="E1548" s="3321"/>
      <c r="F1548" s="3321"/>
      <c r="G1548" s="3321"/>
      <c r="H1548" s="3321"/>
      <c r="I1548" s="3321"/>
      <c r="J1548" s="3321"/>
    </row>
    <row r="1549" spans="1:10" ht="13.5" customHeight="1" thickBot="1" x14ac:dyDescent="0.25">
      <c r="A1549" s="3322" t="s">
        <v>371</v>
      </c>
      <c r="B1549" s="3324" t="s">
        <v>1272</v>
      </c>
      <c r="C1549" s="3324" t="s">
        <v>1832</v>
      </c>
      <c r="D1549" s="3326" t="s">
        <v>1844</v>
      </c>
      <c r="E1549" s="3328" t="s">
        <v>1849</v>
      </c>
      <c r="F1549" s="3329"/>
      <c r="G1549" s="3330"/>
      <c r="H1549" s="3328" t="s">
        <v>1850</v>
      </c>
      <c r="I1549" s="3329"/>
      <c r="J1549" s="3331"/>
    </row>
    <row r="1550" spans="1:10" ht="13.5" customHeight="1" thickBot="1" x14ac:dyDescent="0.25">
      <c r="A1550" s="3323"/>
      <c r="B1550" s="3325"/>
      <c r="C1550" s="3325"/>
      <c r="D1550" s="3327"/>
      <c r="E1550" s="2415" t="s">
        <v>1848</v>
      </c>
      <c r="F1550" s="2416" t="s">
        <v>1231</v>
      </c>
      <c r="G1550" s="2417" t="s">
        <v>1833</v>
      </c>
      <c r="H1550" s="2415" t="s">
        <v>1848</v>
      </c>
      <c r="I1550" s="2416" t="s">
        <v>1231</v>
      </c>
      <c r="J1550" s="2418" t="s">
        <v>1833</v>
      </c>
    </row>
    <row r="1551" spans="1:10" x14ac:dyDescent="0.2">
      <c r="A1551" s="2419" t="s">
        <v>1851</v>
      </c>
      <c r="B1551" s="2420"/>
      <c r="C1551" s="2420"/>
      <c r="D1551" s="2421"/>
      <c r="E1551" s="2422"/>
      <c r="F1551" s="2423"/>
      <c r="G1551" s="2424"/>
      <c r="H1551" s="2422"/>
      <c r="I1551" s="2423"/>
      <c r="J1551" s="2425"/>
    </row>
    <row r="1552" spans="1:10" x14ac:dyDescent="0.2">
      <c r="A1552" s="2426" t="s">
        <v>410</v>
      </c>
      <c r="B1552" s="2427">
        <v>0</v>
      </c>
      <c r="C1552" s="2428">
        <v>5667200.0000000009</v>
      </c>
      <c r="D1552" s="2429">
        <v>0</v>
      </c>
      <c r="E1552" s="2430">
        <v>0</v>
      </c>
      <c r="F1552" s="2427">
        <v>0</v>
      </c>
      <c r="G1552" s="2429">
        <v>0</v>
      </c>
      <c r="H1552" s="2430">
        <v>0</v>
      </c>
      <c r="I1552" s="2427">
        <v>0</v>
      </c>
      <c r="J1552" s="2431">
        <v>0</v>
      </c>
    </row>
    <row r="1553" spans="1:10" x14ac:dyDescent="0.2">
      <c r="A1553" s="2426" t="s">
        <v>411</v>
      </c>
      <c r="B1553" s="2427">
        <v>0</v>
      </c>
      <c r="C1553" s="2428">
        <v>1753716.5000000002</v>
      </c>
      <c r="D1553" s="2429">
        <v>0</v>
      </c>
      <c r="E1553" s="2430">
        <v>0</v>
      </c>
      <c r="F1553" s="2427">
        <v>0</v>
      </c>
      <c r="G1553" s="2429">
        <v>0</v>
      </c>
      <c r="H1553" s="2430">
        <v>0</v>
      </c>
      <c r="I1553" s="2427">
        <v>0</v>
      </c>
      <c r="J1553" s="2431">
        <v>0</v>
      </c>
    </row>
    <row r="1554" spans="1:10" x14ac:dyDescent="0.2">
      <c r="A1554" s="2426" t="s">
        <v>278</v>
      </c>
      <c r="B1554" s="2427">
        <v>159.35</v>
      </c>
      <c r="C1554" s="2428">
        <v>1637875</v>
      </c>
      <c r="D1554" s="2429">
        <v>260.99538124999998</v>
      </c>
      <c r="E1554" s="2430">
        <v>3.2228666382436861</v>
      </c>
      <c r="F1554" s="2427">
        <v>2.6773898918156385</v>
      </c>
      <c r="G1554" s="2429">
        <v>1.1445212826646241E-2</v>
      </c>
      <c r="H1554" s="2430">
        <v>0.72710253002532033</v>
      </c>
      <c r="I1554" s="2427">
        <v>0.67752679299244256</v>
      </c>
      <c r="J1554" s="2431">
        <v>4.038576361656142E-3</v>
      </c>
    </row>
    <row r="1555" spans="1:10" x14ac:dyDescent="0.2">
      <c r="A1555" s="2426" t="s">
        <v>200</v>
      </c>
      <c r="B1555" s="2427">
        <v>94.300000000000011</v>
      </c>
      <c r="C1555" s="2428">
        <v>7709114.5</v>
      </c>
      <c r="D1555" s="2429">
        <v>726.9694973500001</v>
      </c>
      <c r="E1555" s="2430">
        <v>1.9072251269932832</v>
      </c>
      <c r="F1555" s="2427">
        <v>1.5844233875005633</v>
      </c>
      <c r="G1555" s="2429">
        <v>6.7730377756682822E-3</v>
      </c>
      <c r="H1555" s="2430">
        <v>2.0252517812493682</v>
      </c>
      <c r="I1555" s="2427">
        <v>1.8871648600979736</v>
      </c>
      <c r="J1555" s="2431">
        <v>1.1248941699970247E-2</v>
      </c>
    </row>
    <row r="1556" spans="1:10" x14ac:dyDescent="0.2">
      <c r="A1556" s="2426" t="s">
        <v>429</v>
      </c>
      <c r="B1556" s="2427">
        <v>0</v>
      </c>
      <c r="C1556" s="2428">
        <v>1255000</v>
      </c>
      <c r="D1556" s="2429">
        <v>0</v>
      </c>
      <c r="E1556" s="2430">
        <v>0</v>
      </c>
      <c r="F1556" s="2427">
        <v>0</v>
      </c>
      <c r="G1556" s="2429">
        <v>0</v>
      </c>
      <c r="H1556" s="2430">
        <v>0</v>
      </c>
      <c r="I1556" s="2427">
        <v>0</v>
      </c>
      <c r="J1556" s="2431">
        <v>0</v>
      </c>
    </row>
    <row r="1557" spans="1:10" x14ac:dyDescent="0.2">
      <c r="A1557" s="2432" t="s">
        <v>431</v>
      </c>
      <c r="B1557" s="2427">
        <v>0</v>
      </c>
      <c r="C1557" s="2428">
        <v>0</v>
      </c>
      <c r="D1557" s="2429">
        <v>0</v>
      </c>
      <c r="E1557" s="2430">
        <v>0</v>
      </c>
      <c r="F1557" s="2427">
        <v>0</v>
      </c>
      <c r="G1557" s="2429">
        <v>0</v>
      </c>
      <c r="H1557" s="2430">
        <v>0</v>
      </c>
      <c r="I1557" s="2427">
        <v>0</v>
      </c>
      <c r="J1557" s="2431">
        <v>0</v>
      </c>
    </row>
    <row r="1558" spans="1:10" x14ac:dyDescent="0.2">
      <c r="A1558" s="2432" t="s">
        <v>430</v>
      </c>
      <c r="B1558" s="2427">
        <v>0</v>
      </c>
      <c r="C1558" s="2428">
        <v>0</v>
      </c>
      <c r="D1558" s="2429">
        <v>0</v>
      </c>
      <c r="E1558" s="2430">
        <v>0</v>
      </c>
      <c r="F1558" s="2427">
        <v>0</v>
      </c>
      <c r="G1558" s="2429">
        <v>0</v>
      </c>
      <c r="H1558" s="2430">
        <v>0</v>
      </c>
      <c r="I1558" s="2427">
        <v>0</v>
      </c>
      <c r="J1558" s="2431">
        <v>0</v>
      </c>
    </row>
    <row r="1559" spans="1:10" x14ac:dyDescent="0.2">
      <c r="A1559" s="2433" t="s">
        <v>279</v>
      </c>
      <c r="B1559" s="2434">
        <v>253.65</v>
      </c>
      <c r="C1559" s="2433"/>
      <c r="D1559" s="2435">
        <v>987.96487860000002</v>
      </c>
      <c r="E1559" s="2436">
        <v>5.1300917652369691</v>
      </c>
      <c r="F1559" s="2434">
        <v>4.2618132793162022</v>
      </c>
      <c r="G1559" s="2435">
        <v>1.8218250602314523E-2</v>
      </c>
      <c r="H1559" s="2436">
        <v>2.7523543112746882</v>
      </c>
      <c r="I1559" s="2434">
        <v>2.5646916530904158</v>
      </c>
      <c r="J1559" s="2437">
        <v>1.5287518061626388E-2</v>
      </c>
    </row>
    <row r="1560" spans="1:10" x14ac:dyDescent="0.2">
      <c r="A1560" s="2438" t="s">
        <v>412</v>
      </c>
      <c r="B1560" s="2427">
        <v>52</v>
      </c>
      <c r="C1560" s="2428">
        <v>4129499.9999999995</v>
      </c>
      <c r="D1560" s="2429">
        <v>214.73399999999998</v>
      </c>
      <c r="E1560" s="2430">
        <v>1.0517042057651189</v>
      </c>
      <c r="F1560" s="2427">
        <v>0.873701125663089</v>
      </c>
      <c r="G1560" s="2429">
        <v>3.7348670661161254E-3</v>
      </c>
      <c r="H1560" s="2430">
        <v>0.59822374608576379</v>
      </c>
      <c r="I1560" s="2427">
        <v>0.557435298929985</v>
      </c>
      <c r="J1560" s="2431">
        <v>3.3227394764246236E-3</v>
      </c>
    </row>
    <row r="1561" spans="1:10" x14ac:dyDescent="0.2">
      <c r="A1561" s="2438" t="s">
        <v>413</v>
      </c>
      <c r="B1561" s="2427">
        <v>0</v>
      </c>
      <c r="C1561" s="2428">
        <v>1200000</v>
      </c>
      <c r="D1561" s="2429">
        <v>0</v>
      </c>
      <c r="E1561" s="2430">
        <v>0</v>
      </c>
      <c r="F1561" s="2427">
        <v>0</v>
      </c>
      <c r="G1561" s="2429">
        <v>0</v>
      </c>
      <c r="H1561" s="2430">
        <v>0</v>
      </c>
      <c r="I1561" s="2427">
        <v>0</v>
      </c>
      <c r="J1561" s="2431">
        <v>0</v>
      </c>
    </row>
    <row r="1562" spans="1:10" x14ac:dyDescent="0.2">
      <c r="A1562" s="2426" t="s">
        <v>90</v>
      </c>
      <c r="B1562" s="2427">
        <v>0</v>
      </c>
      <c r="C1562" s="2428">
        <v>1743000</v>
      </c>
      <c r="D1562" s="2429">
        <v>0</v>
      </c>
      <c r="E1562" s="2430">
        <v>0</v>
      </c>
      <c r="F1562" s="2427">
        <v>0</v>
      </c>
      <c r="G1562" s="2429">
        <v>0</v>
      </c>
      <c r="H1562" s="2430">
        <v>0</v>
      </c>
      <c r="I1562" s="2427">
        <v>0</v>
      </c>
      <c r="J1562" s="2431">
        <v>0</v>
      </c>
    </row>
    <row r="1563" spans="1:10" x14ac:dyDescent="0.2">
      <c r="A1563" s="2426" t="s">
        <v>417</v>
      </c>
      <c r="B1563" s="2427">
        <v>0</v>
      </c>
      <c r="C1563" s="2428">
        <v>2563999.9999999995</v>
      </c>
      <c r="D1563" s="2429">
        <v>0</v>
      </c>
      <c r="E1563" s="2430">
        <v>0</v>
      </c>
      <c r="F1563" s="2427">
        <v>0</v>
      </c>
      <c r="G1563" s="2429">
        <v>0</v>
      </c>
      <c r="H1563" s="2430">
        <v>0</v>
      </c>
      <c r="I1563" s="2427">
        <v>0</v>
      </c>
      <c r="J1563" s="2431">
        <v>0</v>
      </c>
    </row>
    <row r="1564" spans="1:10" x14ac:dyDescent="0.2">
      <c r="A1564" s="2426" t="s">
        <v>418</v>
      </c>
      <c r="B1564" s="2427">
        <v>102</v>
      </c>
      <c r="C1564" s="2428">
        <v>2222500</v>
      </c>
      <c r="D1564" s="2429">
        <v>226.69499999999999</v>
      </c>
      <c r="E1564" s="2430">
        <v>2.0629582497700407</v>
      </c>
      <c r="F1564" s="2427">
        <v>1.7137983618775974</v>
      </c>
      <c r="G1564" s="2429">
        <v>7.3260853989200918E-3</v>
      </c>
      <c r="H1564" s="2430">
        <v>0.63154568963886593</v>
      </c>
      <c r="I1564" s="2427">
        <v>0.58848526591472683</v>
      </c>
      <c r="J1564" s="2431">
        <v>3.5078209580601117E-3</v>
      </c>
    </row>
    <row r="1565" spans="1:10" x14ac:dyDescent="0.2">
      <c r="A1565" s="2426" t="s">
        <v>423</v>
      </c>
      <c r="B1565" s="2427">
        <v>0</v>
      </c>
      <c r="C1565" s="2428">
        <v>2531500</v>
      </c>
      <c r="D1565" s="2429">
        <v>0</v>
      </c>
      <c r="E1565" s="2430">
        <v>0</v>
      </c>
      <c r="F1565" s="2427">
        <v>0</v>
      </c>
      <c r="G1565" s="2429">
        <v>0</v>
      </c>
      <c r="H1565" s="2430">
        <v>0</v>
      </c>
      <c r="I1565" s="2427">
        <v>0</v>
      </c>
      <c r="J1565" s="2431">
        <v>0</v>
      </c>
    </row>
    <row r="1566" spans="1:10" x14ac:dyDescent="0.2">
      <c r="A1566" s="2426" t="s">
        <v>424</v>
      </c>
      <c r="B1566" s="2427">
        <v>0</v>
      </c>
      <c r="C1566" s="2428">
        <v>1369000</v>
      </c>
      <c r="D1566" s="2429">
        <v>0</v>
      </c>
      <c r="E1566" s="2430">
        <v>0</v>
      </c>
      <c r="F1566" s="2427">
        <v>0</v>
      </c>
      <c r="G1566" s="2429">
        <v>0</v>
      </c>
      <c r="H1566" s="2430">
        <v>0</v>
      </c>
      <c r="I1566" s="2427">
        <v>0</v>
      </c>
      <c r="J1566" s="2431">
        <v>0</v>
      </c>
    </row>
    <row r="1567" spans="1:10" x14ac:dyDescent="0.2">
      <c r="A1567" s="2426" t="s">
        <v>280</v>
      </c>
      <c r="B1567" s="2427">
        <v>0</v>
      </c>
      <c r="C1567" s="2428">
        <v>1574500</v>
      </c>
      <c r="D1567" s="2429">
        <v>0</v>
      </c>
      <c r="E1567" s="2430">
        <v>0</v>
      </c>
      <c r="F1567" s="2427">
        <v>0</v>
      </c>
      <c r="G1567" s="2429">
        <v>0</v>
      </c>
      <c r="H1567" s="2430">
        <v>0</v>
      </c>
      <c r="I1567" s="2427">
        <v>0</v>
      </c>
      <c r="J1567" s="2431">
        <v>0</v>
      </c>
    </row>
    <row r="1568" spans="1:10" x14ac:dyDescent="0.2">
      <c r="A1568" s="2426" t="s">
        <v>427</v>
      </c>
      <c r="B1568" s="2427">
        <v>0</v>
      </c>
      <c r="C1568" s="2428">
        <v>2072000</v>
      </c>
      <c r="D1568" s="2429">
        <v>0</v>
      </c>
      <c r="E1568" s="2430">
        <v>0</v>
      </c>
      <c r="F1568" s="2427">
        <v>0</v>
      </c>
      <c r="G1568" s="2429">
        <v>0</v>
      </c>
      <c r="H1568" s="2430">
        <v>0</v>
      </c>
      <c r="I1568" s="2427">
        <v>0</v>
      </c>
      <c r="J1568" s="2431">
        <v>0</v>
      </c>
    </row>
    <row r="1569" spans="1:10" x14ac:dyDescent="0.2">
      <c r="A1569" s="2426" t="s">
        <v>428</v>
      </c>
      <c r="B1569" s="2427">
        <v>0</v>
      </c>
      <c r="C1569" s="2428">
        <v>1326280</v>
      </c>
      <c r="D1569" s="2429">
        <v>0</v>
      </c>
      <c r="E1569" s="2430">
        <v>0</v>
      </c>
      <c r="F1569" s="2427">
        <v>0</v>
      </c>
      <c r="G1569" s="2429">
        <v>0</v>
      </c>
      <c r="H1569" s="2430">
        <v>0</v>
      </c>
      <c r="I1569" s="2427">
        <v>0</v>
      </c>
      <c r="J1569" s="2431">
        <v>0</v>
      </c>
    </row>
    <row r="1570" spans="1:10" x14ac:dyDescent="0.2">
      <c r="A1570" s="2439" t="s">
        <v>92</v>
      </c>
      <c r="B1570" s="2427">
        <v>378</v>
      </c>
      <c r="C1570" s="2428">
        <v>2215500</v>
      </c>
      <c r="D1570" s="2429">
        <v>837.45899999999995</v>
      </c>
      <c r="E1570" s="2430">
        <v>7.6450805726772115</v>
      </c>
      <c r="F1570" s="2427">
        <v>6.3511351057816841</v>
      </c>
      <c r="G1570" s="2429">
        <v>2.7149610595997985E-2</v>
      </c>
      <c r="H1570" s="2430">
        <v>2.3330625805565846</v>
      </c>
      <c r="I1570" s="2427">
        <v>2.1739883204644177</v>
      </c>
      <c r="J1570" s="2431">
        <v>1.2958628252568707E-2</v>
      </c>
    </row>
    <row r="1571" spans="1:10" x14ac:dyDescent="0.2">
      <c r="A1571" s="2433" t="s">
        <v>281</v>
      </c>
      <c r="B1571" s="2434">
        <v>532</v>
      </c>
      <c r="C1571" s="2433"/>
      <c r="D1571" s="2435">
        <v>1278.8879999999999</v>
      </c>
      <c r="E1571" s="2436">
        <v>10.759743028212371</v>
      </c>
      <c r="F1571" s="2434">
        <v>8.9386345933223712</v>
      </c>
      <c r="G1571" s="2435">
        <v>3.8210563061034201E-2</v>
      </c>
      <c r="H1571" s="2436">
        <v>3.5628320162812144</v>
      </c>
      <c r="I1571" s="2434">
        <v>3.3199088853091299</v>
      </c>
      <c r="J1571" s="2437">
        <v>1.9789188687053441E-2</v>
      </c>
    </row>
    <row r="1572" spans="1:10" x14ac:dyDescent="0.2">
      <c r="A1572" s="2440" t="s">
        <v>106</v>
      </c>
      <c r="B1572" s="2441">
        <v>785.65</v>
      </c>
      <c r="C1572" s="2440"/>
      <c r="D1572" s="2442">
        <v>2266.8528785999997</v>
      </c>
      <c r="E1572" s="2443">
        <v>15.889834793449339</v>
      </c>
      <c r="F1572" s="2441">
        <v>13.200447872638572</v>
      </c>
      <c r="G1572" s="2442">
        <v>5.6428813663348724E-2</v>
      </c>
      <c r="H1572" s="2443">
        <v>6.3151863275559021</v>
      </c>
      <c r="I1572" s="2441">
        <v>5.8846005383995452</v>
      </c>
      <c r="J1572" s="2444">
        <v>3.5076706748679826E-2</v>
      </c>
    </row>
    <row r="1573" spans="1:10" x14ac:dyDescent="0.2">
      <c r="A1573" s="2426" t="s">
        <v>905</v>
      </c>
      <c r="B1573" s="2427">
        <v>0</v>
      </c>
      <c r="C1573" s="2428">
        <v>6100000</v>
      </c>
      <c r="D1573" s="2429">
        <v>0</v>
      </c>
      <c r="E1573" s="2430">
        <v>0</v>
      </c>
      <c r="F1573" s="2427">
        <v>0</v>
      </c>
      <c r="G1573" s="2429">
        <v>0</v>
      </c>
      <c r="H1573" s="2430">
        <v>0</v>
      </c>
      <c r="I1573" s="2427">
        <v>0</v>
      </c>
      <c r="J1573" s="2431">
        <v>0</v>
      </c>
    </row>
    <row r="1574" spans="1:10" x14ac:dyDescent="0.2">
      <c r="A1574" s="2426" t="s">
        <v>906</v>
      </c>
      <c r="B1574" s="2427">
        <v>105</v>
      </c>
      <c r="C1574" s="2428">
        <v>3022000.0000000005</v>
      </c>
      <c r="D1574" s="2429">
        <v>317.31000000000006</v>
      </c>
      <c r="E1574" s="2430">
        <v>2.1236334924103364</v>
      </c>
      <c r="F1574" s="2427">
        <v>1.764204196050468</v>
      </c>
      <c r="G1574" s="2429">
        <v>7.5415584988883302E-3</v>
      </c>
      <c r="H1574" s="2430">
        <v>0.88398845488126598</v>
      </c>
      <c r="I1574" s="2427">
        <v>0.82371582843645441</v>
      </c>
      <c r="J1574" s="2431">
        <v>4.9099744952559787E-3</v>
      </c>
    </row>
    <row r="1575" spans="1:10" x14ac:dyDescent="0.2">
      <c r="A1575" s="2426" t="s">
        <v>907</v>
      </c>
      <c r="B1575" s="2427">
        <v>60</v>
      </c>
      <c r="C1575" s="2428">
        <v>2324000</v>
      </c>
      <c r="D1575" s="2429">
        <v>139.44</v>
      </c>
      <c r="E1575" s="2430">
        <v>1.2135048528059065</v>
      </c>
      <c r="F1575" s="2427">
        <v>1.0081166834574102</v>
      </c>
      <c r="G1575" s="2429">
        <v>4.3094619993647599E-3</v>
      </c>
      <c r="H1575" s="2430">
        <v>0.38846349043094675</v>
      </c>
      <c r="I1575" s="2427">
        <v>0.36197704174838224</v>
      </c>
      <c r="J1575" s="2431">
        <v>2.1576592090337323E-3</v>
      </c>
    </row>
    <row r="1576" spans="1:10" x14ac:dyDescent="0.2">
      <c r="A1576" s="2439" t="s">
        <v>908</v>
      </c>
      <c r="B1576" s="2427">
        <v>240</v>
      </c>
      <c r="C1576" s="2428">
        <v>2403999.9999999995</v>
      </c>
      <c r="D1576" s="2429">
        <v>576.95999999999992</v>
      </c>
      <c r="E1576" s="2430">
        <v>4.8540194112236259</v>
      </c>
      <c r="F1576" s="2427">
        <v>4.0324667338296409</v>
      </c>
      <c r="G1576" s="2429">
        <v>1.723784799745904E-2</v>
      </c>
      <c r="H1576" s="2430">
        <v>1.6073429104922474</v>
      </c>
      <c r="I1576" s="2427">
        <v>1.4977501004528584</v>
      </c>
      <c r="J1576" s="2431">
        <v>8.9277327685319992E-3</v>
      </c>
    </row>
    <row r="1577" spans="1:10" x14ac:dyDescent="0.2">
      <c r="A1577" s="2440" t="s">
        <v>282</v>
      </c>
      <c r="B1577" s="2441">
        <v>405</v>
      </c>
      <c r="C1577" s="2440"/>
      <c r="D1577" s="2442">
        <v>1033.71</v>
      </c>
      <c r="E1577" s="2443">
        <v>8.1911577564398677</v>
      </c>
      <c r="F1577" s="2441">
        <v>6.8047876133375196</v>
      </c>
      <c r="G1577" s="2442">
        <v>2.9088868495712128E-2</v>
      </c>
      <c r="H1577" s="2443">
        <v>2.8797948558044606</v>
      </c>
      <c r="I1577" s="2441">
        <v>2.6834429706376954</v>
      </c>
      <c r="J1577" s="2444">
        <v>1.5995366472821709E-2</v>
      </c>
    </row>
    <row r="1578" spans="1:10" x14ac:dyDescent="0.2">
      <c r="A1578" s="2426" t="s">
        <v>955</v>
      </c>
      <c r="B1578" s="2427">
        <v>14.210000000000006</v>
      </c>
      <c r="C1578" s="2428">
        <v>12137000</v>
      </c>
      <c r="D1578" s="2429">
        <v>172.46677000000008</v>
      </c>
      <c r="E1578" s="2430">
        <v>0.28739839930619893</v>
      </c>
      <c r="F1578" s="2427">
        <v>0.23875563453216345</v>
      </c>
      <c r="G1578" s="2429">
        <v>1.0206242501828878E-3</v>
      </c>
      <c r="H1578" s="2430">
        <v>0.48047219920791251</v>
      </c>
      <c r="I1578" s="2427">
        <v>0.44771235803570475</v>
      </c>
      <c r="J1578" s="2431">
        <v>2.6687070750344437E-3</v>
      </c>
    </row>
    <row r="1579" spans="1:10" x14ac:dyDescent="0.2">
      <c r="A1579" s="2426" t="s">
        <v>283</v>
      </c>
      <c r="B1579" s="2427">
        <v>1151.8742710083473</v>
      </c>
      <c r="C1579" s="2428">
        <v>13024549.999999996</v>
      </c>
      <c r="D1579" s="2429">
        <v>15002.644036461765</v>
      </c>
      <c r="E1579" s="2430">
        <v>23.296750294848252</v>
      </c>
      <c r="F1579" s="2427">
        <v>19.353727830814286</v>
      </c>
      <c r="G1579" s="2429">
        <v>8.2732639982607617E-2</v>
      </c>
      <c r="H1579" s="2430">
        <v>41.79560720092487</v>
      </c>
      <c r="I1579" s="2427">
        <v>38.945874259340492</v>
      </c>
      <c r="J1579" s="2431">
        <v>0.23214711033510277</v>
      </c>
    </row>
    <row r="1580" spans="1:10" x14ac:dyDescent="0.2">
      <c r="A1580" s="2426" t="s">
        <v>69</v>
      </c>
      <c r="B1580" s="2427">
        <v>909.82172899165312</v>
      </c>
      <c r="C1580" s="2428">
        <v>14978232.499999994</v>
      </c>
      <c r="D1580" s="2429">
        <v>13627.521390388965</v>
      </c>
      <c r="E1580" s="2430">
        <v>18.401218055327188</v>
      </c>
      <c r="F1580" s="2427">
        <v>15.286774399475867</v>
      </c>
      <c r="G1580" s="2429">
        <v>6.5347369454764534E-2</v>
      </c>
      <c r="H1580" s="2430">
        <v>37.964676744355174</v>
      </c>
      <c r="I1580" s="2427">
        <v>35.376146581008314</v>
      </c>
      <c r="J1580" s="2431">
        <v>0.2108688111322212</v>
      </c>
    </row>
    <row r="1581" spans="1:10" x14ac:dyDescent="0.2">
      <c r="A1581" s="2426" t="s">
        <v>199</v>
      </c>
      <c r="B1581" s="2427">
        <v>112</v>
      </c>
      <c r="C1581" s="2428">
        <v>3000000</v>
      </c>
      <c r="D1581" s="2429">
        <v>336</v>
      </c>
      <c r="E1581" s="2430">
        <v>2.2652090585710254</v>
      </c>
      <c r="F1581" s="2427">
        <v>1.8818178091204993</v>
      </c>
      <c r="G1581" s="2429">
        <v>8.0443290654808857E-3</v>
      </c>
      <c r="H1581" s="2430">
        <v>0.93605660344806429</v>
      </c>
      <c r="I1581" s="2427">
        <v>0.87223383553827061</v>
      </c>
      <c r="J1581" s="2431">
        <v>5.1991788169487522E-3</v>
      </c>
    </row>
    <row r="1582" spans="1:10" x14ac:dyDescent="0.2">
      <c r="A1582" s="2426" t="s">
        <v>86</v>
      </c>
      <c r="B1582" s="2427">
        <v>140</v>
      </c>
      <c r="C1582" s="2428">
        <v>170000</v>
      </c>
      <c r="D1582" s="2429">
        <v>23.8</v>
      </c>
      <c r="E1582" s="2430">
        <v>2.8315113232137814</v>
      </c>
      <c r="F1582" s="2427">
        <v>2.352272261400624</v>
      </c>
      <c r="G1582" s="2429">
        <v>1.0055411331851108E-2</v>
      </c>
      <c r="H1582" s="2430">
        <v>6.6304009410904557E-2</v>
      </c>
      <c r="I1582" s="2427">
        <v>6.1783230017294161E-2</v>
      </c>
      <c r="J1582" s="2431">
        <v>3.6827516620053667E-4</v>
      </c>
    </row>
    <row r="1583" spans="1:10" x14ac:dyDescent="0.2">
      <c r="A1583" s="2439" t="s">
        <v>213</v>
      </c>
      <c r="B1583" s="2427">
        <v>852.59999999999991</v>
      </c>
      <c r="C1583" s="2428">
        <v>1850000.0000000005</v>
      </c>
      <c r="D1583" s="2429">
        <v>1577.3100000000002</v>
      </c>
      <c r="E1583" s="2430">
        <v>17.243903958371927</v>
      </c>
      <c r="F1583" s="2427">
        <v>14.325338071929798</v>
      </c>
      <c r="G1583" s="2429">
        <v>6.1237455010973232E-2</v>
      </c>
      <c r="H1583" s="2430">
        <v>4.3942007178115077</v>
      </c>
      <c r="I1583" s="2427">
        <v>4.0945927117049692</v>
      </c>
      <c r="J1583" s="2431">
        <v>2.4406895058813802E-2</v>
      </c>
    </row>
    <row r="1584" spans="1:10" x14ac:dyDescent="0.2">
      <c r="A1584" s="2433" t="s">
        <v>1834</v>
      </c>
      <c r="B1584" s="2434">
        <v>3180.5060000000003</v>
      </c>
      <c r="C1584" s="2433"/>
      <c r="D1584" s="2435">
        <v>30739.742196850733</v>
      </c>
      <c r="E1584" s="2436">
        <v>64.325991089638379</v>
      </c>
      <c r="F1584" s="2434">
        <v>53.43868600727324</v>
      </c>
      <c r="G1584" s="2435">
        <v>0.22843782909586027</v>
      </c>
      <c r="H1584" s="2436">
        <v>85.637317475158454</v>
      </c>
      <c r="I1584" s="2434">
        <v>79.798342975645056</v>
      </c>
      <c r="J1584" s="2437">
        <v>0.47565897758432157</v>
      </c>
    </row>
    <row r="1585" spans="1:10" x14ac:dyDescent="0.2">
      <c r="A1585" s="2426" t="s">
        <v>961</v>
      </c>
      <c r="B1585" s="2427">
        <v>54.75</v>
      </c>
      <c r="C1585" s="2428">
        <v>3668000</v>
      </c>
      <c r="D1585" s="2429">
        <v>200.82300000000001</v>
      </c>
      <c r="E1585" s="2430">
        <v>1.1073231781853896</v>
      </c>
      <c r="F1585" s="2427">
        <v>0.91990647365488687</v>
      </c>
      <c r="G1585" s="2429">
        <v>3.9323840744203429E-3</v>
      </c>
      <c r="H1585" s="2430">
        <v>0.55946933117336495</v>
      </c>
      <c r="I1585" s="2427">
        <v>0.52132326057828005</v>
      </c>
      <c r="J1585" s="2431">
        <v>3.1074841891550573E-3</v>
      </c>
    </row>
    <row r="1586" spans="1:10" x14ac:dyDescent="0.2">
      <c r="A1586" s="2426" t="s">
        <v>962</v>
      </c>
      <c r="B1586" s="2427">
        <v>12</v>
      </c>
      <c r="C1586" s="2428">
        <v>1999999.9999999998</v>
      </c>
      <c r="D1586" s="2429">
        <v>23.999999999999996</v>
      </c>
      <c r="E1586" s="2430">
        <v>0.24270097056118128</v>
      </c>
      <c r="F1586" s="2427">
        <v>0.20162333669148208</v>
      </c>
      <c r="G1586" s="2429">
        <v>8.6189239987295209E-4</v>
      </c>
      <c r="H1586" s="2430">
        <v>6.6861185960576025E-2</v>
      </c>
      <c r="I1586" s="2427">
        <v>6.2302416824162168E-2</v>
      </c>
      <c r="J1586" s="2431">
        <v>3.7136991549633941E-4</v>
      </c>
    </row>
    <row r="1587" spans="1:10" x14ac:dyDescent="0.2">
      <c r="A1587" s="2426" t="s">
        <v>963</v>
      </c>
      <c r="B1587" s="2427">
        <v>68.7</v>
      </c>
      <c r="C1587" s="2428">
        <v>1347999.9999999998</v>
      </c>
      <c r="D1587" s="2429">
        <v>92.607599999999991</v>
      </c>
      <c r="E1587" s="2430">
        <v>1.389463056462763</v>
      </c>
      <c r="F1587" s="2427">
        <v>1.1542936025587349</v>
      </c>
      <c r="G1587" s="2429">
        <v>4.9343339892726507E-3</v>
      </c>
      <c r="H1587" s="2430">
        <v>0.25799391520677667</v>
      </c>
      <c r="I1587" s="2427">
        <v>0.24040322067855335</v>
      </c>
      <c r="J1587" s="2431">
        <v>1.4329865244299502E-3</v>
      </c>
    </row>
    <row r="1588" spans="1:10" x14ac:dyDescent="0.2">
      <c r="A1588" s="2426" t="s">
        <v>965</v>
      </c>
      <c r="B1588" s="2427">
        <v>42</v>
      </c>
      <c r="C1588" s="2428">
        <v>1599999.9999999995</v>
      </c>
      <c r="D1588" s="2429">
        <v>67.199999999999989</v>
      </c>
      <c r="E1588" s="2430">
        <v>0.84945339696413447</v>
      </c>
      <c r="F1588" s="2427">
        <v>0.70568167842018714</v>
      </c>
      <c r="G1588" s="2429">
        <v>3.0166233995553319E-3</v>
      </c>
      <c r="H1588" s="2430">
        <v>0.18721132068961283</v>
      </c>
      <c r="I1588" s="2427">
        <v>0.17444676710765405</v>
      </c>
      <c r="J1588" s="2431">
        <v>1.0398357633897503E-3</v>
      </c>
    </row>
    <row r="1589" spans="1:10" x14ac:dyDescent="0.2">
      <c r="A1589" s="2426" t="s">
        <v>966</v>
      </c>
      <c r="B1589" s="2427">
        <v>0</v>
      </c>
      <c r="C1589" s="2428">
        <v>2244000</v>
      </c>
      <c r="D1589" s="2429">
        <v>0</v>
      </c>
      <c r="E1589" s="2430">
        <v>0</v>
      </c>
      <c r="F1589" s="2427">
        <v>0</v>
      </c>
      <c r="G1589" s="2429">
        <v>0</v>
      </c>
      <c r="H1589" s="2430">
        <v>0</v>
      </c>
      <c r="I1589" s="2427">
        <v>0</v>
      </c>
      <c r="J1589" s="2431">
        <v>0</v>
      </c>
    </row>
    <row r="1590" spans="1:10" x14ac:dyDescent="0.2">
      <c r="A1590" s="2426" t="s">
        <v>1499</v>
      </c>
      <c r="B1590" s="2427">
        <v>0</v>
      </c>
      <c r="C1590" s="2428">
        <v>4849999.9999999991</v>
      </c>
      <c r="D1590" s="2429">
        <v>0</v>
      </c>
      <c r="E1590" s="2430">
        <v>0</v>
      </c>
      <c r="F1590" s="2427">
        <v>0</v>
      </c>
      <c r="G1590" s="2429">
        <v>0</v>
      </c>
      <c r="H1590" s="2430">
        <v>0</v>
      </c>
      <c r="I1590" s="2427">
        <v>0</v>
      </c>
      <c r="J1590" s="2431">
        <v>0</v>
      </c>
    </row>
    <row r="1591" spans="1:10" x14ac:dyDescent="0.2">
      <c r="A1591" s="2426" t="s">
        <v>1575</v>
      </c>
      <c r="B1591" s="2427">
        <v>0</v>
      </c>
      <c r="C1591" s="2428">
        <v>2250000.0000000005</v>
      </c>
      <c r="D1591" s="2429">
        <v>0</v>
      </c>
      <c r="E1591" s="2430">
        <v>0</v>
      </c>
      <c r="F1591" s="2427">
        <v>0</v>
      </c>
      <c r="G1591" s="2429">
        <v>0</v>
      </c>
      <c r="H1591" s="2430">
        <v>0</v>
      </c>
      <c r="I1591" s="2427">
        <v>0</v>
      </c>
      <c r="J1591" s="2431">
        <v>0</v>
      </c>
    </row>
    <row r="1592" spans="1:10" x14ac:dyDescent="0.2">
      <c r="A1592" s="2426" t="s">
        <v>964</v>
      </c>
      <c r="B1592" s="2427">
        <v>0</v>
      </c>
      <c r="C1592" s="2428">
        <v>1556000</v>
      </c>
      <c r="D1592" s="2429">
        <v>0</v>
      </c>
      <c r="E1592" s="2430">
        <v>0</v>
      </c>
      <c r="F1592" s="2427">
        <v>0</v>
      </c>
      <c r="G1592" s="2429">
        <v>0</v>
      </c>
      <c r="H1592" s="2430">
        <v>0</v>
      </c>
      <c r="I1592" s="2427">
        <v>0</v>
      </c>
      <c r="J1592" s="2431">
        <v>0</v>
      </c>
    </row>
    <row r="1593" spans="1:10" x14ac:dyDescent="0.2">
      <c r="A1593" s="2426" t="s">
        <v>969</v>
      </c>
      <c r="B1593" s="2427">
        <v>75</v>
      </c>
      <c r="C1593" s="2428">
        <v>4800000</v>
      </c>
      <c r="D1593" s="2429">
        <v>360</v>
      </c>
      <c r="E1593" s="2430">
        <v>1.516881066007383</v>
      </c>
      <c r="F1593" s="2427">
        <v>1.2601458543217627</v>
      </c>
      <c r="G1593" s="2429">
        <v>5.3868274992059494E-3</v>
      </c>
      <c r="H1593" s="2430">
        <v>1.0029177894086405</v>
      </c>
      <c r="I1593" s="2427">
        <v>0.93453625236243276</v>
      </c>
      <c r="J1593" s="2431">
        <v>5.5705487324450922E-3</v>
      </c>
    </row>
    <row r="1594" spans="1:10" x14ac:dyDescent="0.2">
      <c r="A1594" s="2426" t="s">
        <v>968</v>
      </c>
      <c r="B1594" s="2427">
        <v>0</v>
      </c>
      <c r="C1594" s="2428">
        <v>3050000.0000000009</v>
      </c>
      <c r="D1594" s="2429">
        <v>0</v>
      </c>
      <c r="E1594" s="2430">
        <v>0</v>
      </c>
      <c r="F1594" s="2427">
        <v>0</v>
      </c>
      <c r="G1594" s="2429">
        <v>0</v>
      </c>
      <c r="H1594" s="2430">
        <v>0</v>
      </c>
      <c r="I1594" s="2427">
        <v>0</v>
      </c>
      <c r="J1594" s="2431">
        <v>0</v>
      </c>
    </row>
    <row r="1595" spans="1:10" x14ac:dyDescent="0.2">
      <c r="A1595" s="2426" t="s">
        <v>1013</v>
      </c>
      <c r="B1595" s="2427">
        <v>16</v>
      </c>
      <c r="C1595" s="2428">
        <v>1799999.9999999998</v>
      </c>
      <c r="D1595" s="2429">
        <v>28.799999999999997</v>
      </c>
      <c r="E1595" s="2430">
        <v>0.32360129408157501</v>
      </c>
      <c r="F1595" s="2427">
        <v>0.2688311155886427</v>
      </c>
      <c r="G1595" s="2429">
        <v>1.1491898664972692E-3</v>
      </c>
      <c r="H1595" s="2430">
        <v>8.0233423152691219E-2</v>
      </c>
      <c r="I1595" s="2427">
        <v>7.4762900188994605E-2</v>
      </c>
      <c r="J1595" s="2431">
        <v>4.4564389859560728E-4</v>
      </c>
    </row>
    <row r="1596" spans="1:10" x14ac:dyDescent="0.2">
      <c r="A1596" s="2426" t="s">
        <v>1014</v>
      </c>
      <c r="B1596" s="2427">
        <v>0</v>
      </c>
      <c r="C1596" s="2428">
        <v>2195000.0000000005</v>
      </c>
      <c r="D1596" s="2429">
        <v>0</v>
      </c>
      <c r="E1596" s="2430">
        <v>0</v>
      </c>
      <c r="F1596" s="2427">
        <v>0</v>
      </c>
      <c r="G1596" s="2429">
        <v>0</v>
      </c>
      <c r="H1596" s="2430">
        <v>0</v>
      </c>
      <c r="I1596" s="2427">
        <v>0</v>
      </c>
      <c r="J1596" s="2431">
        <v>0</v>
      </c>
    </row>
    <row r="1597" spans="1:10" x14ac:dyDescent="0.2">
      <c r="A1597" s="2426" t="s">
        <v>970</v>
      </c>
      <c r="B1597" s="2427">
        <v>117.25</v>
      </c>
      <c r="C1597" s="2428">
        <v>3100000.0000000005</v>
      </c>
      <c r="D1597" s="2429">
        <v>363.47500000000008</v>
      </c>
      <c r="E1597" s="2430">
        <v>2.371390733191542</v>
      </c>
      <c r="F1597" s="2427">
        <v>1.9700280189230226</v>
      </c>
      <c r="G1597" s="2429">
        <v>8.4214069904253019E-3</v>
      </c>
      <c r="H1597" s="2430">
        <v>1.0125987319591823</v>
      </c>
      <c r="I1597" s="2427">
        <v>0.94355712313176476</v>
      </c>
      <c r="J1597" s="2431">
        <v>5.6243200014596669E-3</v>
      </c>
    </row>
    <row r="1598" spans="1:10" x14ac:dyDescent="0.2">
      <c r="A1598" s="2426" t="s">
        <v>971</v>
      </c>
      <c r="B1598" s="2427">
        <v>60</v>
      </c>
      <c r="C1598" s="2428">
        <v>3010000</v>
      </c>
      <c r="D1598" s="2429">
        <v>180.6</v>
      </c>
      <c r="E1598" s="2430">
        <v>1.2135048528059065</v>
      </c>
      <c r="F1598" s="2427">
        <v>1.0081166834574102</v>
      </c>
      <c r="G1598" s="2429">
        <v>4.3094619993647599E-3</v>
      </c>
      <c r="H1598" s="2430">
        <v>0.50313042435333455</v>
      </c>
      <c r="I1598" s="2427">
        <v>0.46882568660182034</v>
      </c>
      <c r="J1598" s="2431">
        <v>2.7945586141099547E-3</v>
      </c>
    </row>
    <row r="1599" spans="1:10" x14ac:dyDescent="0.2">
      <c r="A1599" s="2426" t="s">
        <v>972</v>
      </c>
      <c r="B1599" s="2427">
        <v>0</v>
      </c>
      <c r="C1599" s="2428">
        <v>2744000.0000000005</v>
      </c>
      <c r="D1599" s="2429">
        <v>0</v>
      </c>
      <c r="E1599" s="2430">
        <v>0</v>
      </c>
      <c r="F1599" s="2427">
        <v>0</v>
      </c>
      <c r="G1599" s="2429">
        <v>0</v>
      </c>
      <c r="H1599" s="2430">
        <v>0</v>
      </c>
      <c r="I1599" s="2427">
        <v>0</v>
      </c>
      <c r="J1599" s="2431">
        <v>0</v>
      </c>
    </row>
    <row r="1600" spans="1:10" x14ac:dyDescent="0.2">
      <c r="A1600" s="2426" t="s">
        <v>973</v>
      </c>
      <c r="B1600" s="2427">
        <v>0</v>
      </c>
      <c r="C1600" s="2428">
        <v>2549999.9999999991</v>
      </c>
      <c r="D1600" s="2429">
        <v>0</v>
      </c>
      <c r="E1600" s="2430">
        <v>0</v>
      </c>
      <c r="F1600" s="2427">
        <v>0</v>
      </c>
      <c r="G1600" s="2429">
        <v>0</v>
      </c>
      <c r="H1600" s="2430">
        <v>0</v>
      </c>
      <c r="I1600" s="2427">
        <v>0</v>
      </c>
      <c r="J1600" s="2431">
        <v>0</v>
      </c>
    </row>
    <row r="1601" spans="1:10" x14ac:dyDescent="0.2">
      <c r="A1601" s="2426" t="s">
        <v>974</v>
      </c>
      <c r="B1601" s="2427">
        <v>0</v>
      </c>
      <c r="C1601" s="2428">
        <v>1583999.9999999995</v>
      </c>
      <c r="D1601" s="2429">
        <v>0</v>
      </c>
      <c r="E1601" s="2430">
        <v>0</v>
      </c>
      <c r="F1601" s="2427">
        <v>0</v>
      </c>
      <c r="G1601" s="2429">
        <v>0</v>
      </c>
      <c r="H1601" s="2430">
        <v>0</v>
      </c>
      <c r="I1601" s="2427">
        <v>0</v>
      </c>
      <c r="J1601" s="2431">
        <v>0</v>
      </c>
    </row>
    <row r="1602" spans="1:10" x14ac:dyDescent="0.2">
      <c r="A1602" s="2426" t="s">
        <v>975</v>
      </c>
      <c r="B1602" s="2427">
        <v>55.999999999999943</v>
      </c>
      <c r="C1602" s="2428">
        <v>2532000.0000000009</v>
      </c>
      <c r="D1602" s="2429">
        <v>141.79199999999992</v>
      </c>
      <c r="E1602" s="2430">
        <v>1.1326045292855116</v>
      </c>
      <c r="F1602" s="2427">
        <v>0.94090890456024856</v>
      </c>
      <c r="G1602" s="2429">
        <v>4.0221645327404385E-3</v>
      </c>
      <c r="H1602" s="2430">
        <v>0.39501588665508292</v>
      </c>
      <c r="I1602" s="2427">
        <v>0.36808267859714994</v>
      </c>
      <c r="J1602" s="2431">
        <v>2.1940534607523725E-3</v>
      </c>
    </row>
    <row r="1603" spans="1:10" x14ac:dyDescent="0.2">
      <c r="A1603" s="2426" t="s">
        <v>976</v>
      </c>
      <c r="B1603" s="2427">
        <v>47.5</v>
      </c>
      <c r="C1603" s="2428">
        <v>7394999.9999999991</v>
      </c>
      <c r="D1603" s="2429">
        <v>351.26249999999993</v>
      </c>
      <c r="E1603" s="2430">
        <v>0.96069134180467586</v>
      </c>
      <c r="F1603" s="2427">
        <v>0.798092374403783</v>
      </c>
      <c r="G1603" s="2429">
        <v>3.4116574161637686E-3</v>
      </c>
      <c r="H1603" s="2430">
        <v>0.97857613889486794</v>
      </c>
      <c r="I1603" s="2427">
        <v>0.91185427873738589</v>
      </c>
      <c r="J1603" s="2431">
        <v>5.4353468725847048E-3</v>
      </c>
    </row>
    <row r="1604" spans="1:10" x14ac:dyDescent="0.2">
      <c r="A1604" s="2426" t="s">
        <v>286</v>
      </c>
      <c r="B1604" s="2427">
        <v>0</v>
      </c>
      <c r="C1604" s="2428">
        <v>2445000.0000000005</v>
      </c>
      <c r="D1604" s="2429">
        <v>0</v>
      </c>
      <c r="E1604" s="2430">
        <v>0</v>
      </c>
      <c r="F1604" s="2427">
        <v>0</v>
      </c>
      <c r="G1604" s="2429">
        <v>0</v>
      </c>
      <c r="H1604" s="2430">
        <v>0</v>
      </c>
      <c r="I1604" s="2427">
        <v>0</v>
      </c>
      <c r="J1604" s="2431">
        <v>0</v>
      </c>
    </row>
    <row r="1605" spans="1:10" x14ac:dyDescent="0.2">
      <c r="A1605" s="2439" t="s">
        <v>978</v>
      </c>
      <c r="B1605" s="2427">
        <v>24</v>
      </c>
      <c r="C1605" s="2428">
        <v>1850000.0000000002</v>
      </c>
      <c r="D1605" s="2429">
        <v>44.400000000000006</v>
      </c>
      <c r="E1605" s="2430">
        <v>0.48540194112236257</v>
      </c>
      <c r="F1605" s="2427">
        <v>0.40324667338296416</v>
      </c>
      <c r="G1605" s="2429">
        <v>1.7237847997459042E-3</v>
      </c>
      <c r="H1605" s="2430">
        <v>0.12369319402706566</v>
      </c>
      <c r="I1605" s="2427">
        <v>0.11525947112470003</v>
      </c>
      <c r="J1605" s="2431">
        <v>6.8703434366822809E-4</v>
      </c>
    </row>
    <row r="1606" spans="1:10" x14ac:dyDescent="0.2">
      <c r="A1606" s="2426" t="s">
        <v>1163</v>
      </c>
      <c r="B1606" s="2427">
        <v>0</v>
      </c>
      <c r="C1606" s="2428">
        <v>0</v>
      </c>
      <c r="D1606" s="2429">
        <v>0</v>
      </c>
      <c r="E1606" s="2430">
        <v>0</v>
      </c>
      <c r="F1606" s="2427">
        <v>0</v>
      </c>
      <c r="G1606" s="2429">
        <v>0</v>
      </c>
      <c r="H1606" s="2430">
        <v>0</v>
      </c>
      <c r="I1606" s="2427">
        <v>0</v>
      </c>
      <c r="J1606" s="2431">
        <v>0</v>
      </c>
    </row>
    <row r="1607" spans="1:10" x14ac:dyDescent="0.2">
      <c r="A1607" s="2433" t="s">
        <v>287</v>
      </c>
      <c r="B1607" s="2434">
        <v>573.19999999999993</v>
      </c>
      <c r="C1607" s="2433"/>
      <c r="D1607" s="2435">
        <v>1854.9600999999998</v>
      </c>
      <c r="E1607" s="2436">
        <v>11.593016360472424</v>
      </c>
      <c r="F1607" s="2434">
        <v>9.6308747159631256</v>
      </c>
      <c r="G1607" s="2435">
        <v>4.1169726967264668E-2</v>
      </c>
      <c r="H1607" s="2436">
        <v>5.1677013414811954</v>
      </c>
      <c r="I1607" s="2434">
        <v>4.8153540559328976</v>
      </c>
      <c r="J1607" s="2437">
        <v>2.8703182316086727E-2</v>
      </c>
    </row>
    <row r="1608" spans="1:10" x14ac:dyDescent="0.2">
      <c r="A1608" s="2440" t="s">
        <v>1835</v>
      </c>
      <c r="B1608" s="2441">
        <v>3753.7060000000001</v>
      </c>
      <c r="C1608" s="2440"/>
      <c r="D1608" s="2442">
        <v>32594.702296850734</v>
      </c>
      <c r="E1608" s="2443">
        <v>75.919007450110797</v>
      </c>
      <c r="F1608" s="2441">
        <v>63.069560723236364</v>
      </c>
      <c r="G1608" s="2442">
        <v>0.26960755606312492</v>
      </c>
      <c r="H1608" s="2443">
        <v>90.805018816639631</v>
      </c>
      <c r="I1608" s="2441">
        <v>84.613697031577956</v>
      </c>
      <c r="J1608" s="2444">
        <v>0.50436215990040834</v>
      </c>
    </row>
    <row r="1609" spans="1:10" x14ac:dyDescent="0.2">
      <c r="A1609" s="2445" t="s">
        <v>194</v>
      </c>
      <c r="B1609" s="2446">
        <v>4944.3559999999998</v>
      </c>
      <c r="C1609" s="2447"/>
      <c r="D1609" s="2448">
        <v>35895.265175450731</v>
      </c>
      <c r="E1609" s="2449">
        <v>100</v>
      </c>
      <c r="F1609" s="2427">
        <v>83.074796209212437</v>
      </c>
      <c r="G1609" s="2448">
        <v>0.35512523822218572</v>
      </c>
      <c r="H1609" s="2449">
        <v>100</v>
      </c>
      <c r="I1609" s="2427">
        <v>93.181740540615181</v>
      </c>
      <c r="J1609" s="2450">
        <v>0.55543423312190987</v>
      </c>
    </row>
    <row r="1610" spans="1:10" x14ac:dyDescent="0.2">
      <c r="A1610" s="2451" t="s">
        <v>1852</v>
      </c>
      <c r="B1610" s="2427"/>
      <c r="C1610" s="2452"/>
      <c r="D1610" s="2429"/>
      <c r="E1610" s="2430"/>
      <c r="F1610" s="2427">
        <v>0</v>
      </c>
      <c r="G1610" s="2429"/>
      <c r="H1610" s="2430"/>
      <c r="I1610" s="2427">
        <v>0</v>
      </c>
      <c r="J1610" s="2431">
        <v>0</v>
      </c>
    </row>
    <row r="1611" spans="1:10" x14ac:dyDescent="0.2">
      <c r="A1611" s="2453" t="s">
        <v>1836</v>
      </c>
      <c r="B1611" s="2427">
        <v>0</v>
      </c>
      <c r="C1611" s="2428">
        <v>8033612.4975057133</v>
      </c>
      <c r="D1611" s="2429">
        <v>0</v>
      </c>
      <c r="E1611" s="2430">
        <v>0</v>
      </c>
      <c r="F1611" s="2427">
        <v>0</v>
      </c>
      <c r="G1611" s="2429">
        <v>0</v>
      </c>
      <c r="H1611" s="2430">
        <v>0</v>
      </c>
      <c r="I1611" s="2427">
        <v>0</v>
      </c>
      <c r="J1611" s="2431">
        <v>0</v>
      </c>
    </row>
    <row r="1612" spans="1:10" x14ac:dyDescent="0.2">
      <c r="A1612" s="2453" t="s">
        <v>1837</v>
      </c>
      <c r="B1612" s="2427">
        <v>949</v>
      </c>
      <c r="C1612" s="2428">
        <v>2214764.1578067578</v>
      </c>
      <c r="D1612" s="2429">
        <v>2101.8111857586132</v>
      </c>
      <c r="E1612" s="2430">
        <v>95.115913122788726</v>
      </c>
      <c r="F1612" s="2427">
        <v>15.945045543351371</v>
      </c>
      <c r="G1612" s="2429">
        <v>6.816132395661928E-2</v>
      </c>
      <c r="H1612" s="2430">
        <v>83.962291760414658</v>
      </c>
      <c r="I1612" s="2427">
        <v>5.4561631908674864</v>
      </c>
      <c r="J1612" s="2431">
        <v>3.2522893435184885E-2</v>
      </c>
    </row>
    <row r="1613" spans="1:10" x14ac:dyDescent="0.2">
      <c r="A1613" s="2454" t="s">
        <v>309</v>
      </c>
      <c r="B1613" s="2434">
        <v>949</v>
      </c>
      <c r="C1613" s="2433"/>
      <c r="D1613" s="2435">
        <v>2101.8111857586132</v>
      </c>
      <c r="E1613" s="2436">
        <v>95.115913122788726</v>
      </c>
      <c r="F1613" s="2434">
        <v>15.945045543351371</v>
      </c>
      <c r="G1613" s="2435">
        <v>6.816132395661928E-2</v>
      </c>
      <c r="H1613" s="2436">
        <v>83.962291760414658</v>
      </c>
      <c r="I1613" s="2434">
        <v>5.4561631908674864</v>
      </c>
      <c r="J1613" s="2437">
        <v>3.2522893435184885E-2</v>
      </c>
    </row>
    <row r="1614" spans="1:10" x14ac:dyDescent="0.2">
      <c r="A1614" s="2453" t="s">
        <v>1838</v>
      </c>
      <c r="B1614" s="2427">
        <v>0</v>
      </c>
      <c r="C1614" s="2428">
        <v>10407427.50198495</v>
      </c>
      <c r="D1614" s="2429">
        <v>0</v>
      </c>
      <c r="E1614" s="2430">
        <v>0</v>
      </c>
      <c r="F1614" s="2427">
        <v>0</v>
      </c>
      <c r="G1614" s="2429">
        <v>0</v>
      </c>
      <c r="H1614" s="2430">
        <v>0</v>
      </c>
      <c r="I1614" s="2427">
        <v>0</v>
      </c>
      <c r="J1614" s="2431">
        <v>0</v>
      </c>
    </row>
    <row r="1615" spans="1:10" x14ac:dyDescent="0.2">
      <c r="A1615" s="2454" t="s">
        <v>315</v>
      </c>
      <c r="B1615" s="2434">
        <v>0</v>
      </c>
      <c r="C1615" s="2455"/>
      <c r="D1615" s="2435">
        <v>0</v>
      </c>
      <c r="E1615" s="2436">
        <v>0</v>
      </c>
      <c r="F1615" s="2434">
        <v>0</v>
      </c>
      <c r="G1615" s="2435">
        <v>0</v>
      </c>
      <c r="H1615" s="2436">
        <v>0</v>
      </c>
      <c r="I1615" s="2434">
        <v>0</v>
      </c>
      <c r="J1615" s="2437">
        <v>0</v>
      </c>
    </row>
    <row r="1616" spans="1:10" x14ac:dyDescent="0.2">
      <c r="A1616" s="2453" t="s">
        <v>1541</v>
      </c>
      <c r="B1616" s="2427">
        <v>11.88</v>
      </c>
      <c r="C1616" s="2428">
        <v>10553660</v>
      </c>
      <c r="D1616" s="2429">
        <v>125.37748080000001</v>
      </c>
      <c r="E1616" s="2430">
        <v>1.1907028955729506</v>
      </c>
      <c r="F1616" s="2427">
        <v>0.19960710332456727</v>
      </c>
      <c r="G1616" s="2429">
        <v>8.5327347587422261E-4</v>
      </c>
      <c r="H1616" s="2430">
        <v>5.0085282134017435</v>
      </c>
      <c r="I1616" s="2427">
        <v>0.32547166954854129</v>
      </c>
      <c r="J1616" s="2431">
        <v>1.9400593520766637E-3</v>
      </c>
    </row>
    <row r="1617" spans="1:10" x14ac:dyDescent="0.2">
      <c r="A1617" s="2453" t="s">
        <v>206</v>
      </c>
      <c r="B1617" s="2427">
        <v>36.25</v>
      </c>
      <c r="C1617" s="2428">
        <v>6960000</v>
      </c>
      <c r="D1617" s="2429">
        <v>252.3</v>
      </c>
      <c r="E1617" s="2430">
        <v>3.6332474717608969</v>
      </c>
      <c r="F1617" s="2427">
        <v>0.60907049625551868</v>
      </c>
      <c r="G1617" s="2429">
        <v>2.6036332912828756E-3</v>
      </c>
      <c r="H1617" s="2430">
        <v>10.078776987527888</v>
      </c>
      <c r="I1617" s="2427">
        <v>0.65495415686400493</v>
      </c>
      <c r="J1617" s="2431">
        <v>3.9040262366552688E-3</v>
      </c>
    </row>
    <row r="1618" spans="1:10" x14ac:dyDescent="0.2">
      <c r="A1618" s="2454" t="s">
        <v>310</v>
      </c>
      <c r="B1618" s="2434">
        <v>48.13</v>
      </c>
      <c r="C1618" s="2455"/>
      <c r="D1618" s="2435">
        <v>377.67748080000001</v>
      </c>
      <c r="E1618" s="2436">
        <v>4.8239503673338477</v>
      </c>
      <c r="F1618" s="2434">
        <v>0.80867759958008589</v>
      </c>
      <c r="G1618" s="2435">
        <v>3.4569067671570983E-3</v>
      </c>
      <c r="H1618" s="2436">
        <v>15.087305200929633</v>
      </c>
      <c r="I1618" s="2434">
        <v>0.98042582641254628</v>
      </c>
      <c r="J1618" s="2437">
        <v>5.8440855887319327E-3</v>
      </c>
    </row>
    <row r="1619" spans="1:10" x14ac:dyDescent="0.2">
      <c r="A1619" s="2453" t="s">
        <v>1839</v>
      </c>
      <c r="B1619" s="2427">
        <v>0.6</v>
      </c>
      <c r="C1619" s="2428">
        <v>39652080.629353955</v>
      </c>
      <c r="D1619" s="2429">
        <v>23.791248377612369</v>
      </c>
      <c r="E1619" s="2430">
        <v>6.0136509877421737E-2</v>
      </c>
      <c r="F1619" s="2427">
        <v>1.0081166834574102E-2</v>
      </c>
      <c r="G1619" s="2429">
        <v>4.3094619993647599E-5</v>
      </c>
      <c r="H1619" s="2430">
        <v>0.9504030386557264</v>
      </c>
      <c r="I1619" s="2427">
        <v>6.1760511382882424E-2</v>
      </c>
      <c r="J1619" s="2431">
        <v>3.6813974581443036E-4</v>
      </c>
    </row>
    <row r="1620" spans="1:10" x14ac:dyDescent="0.2">
      <c r="A1620" s="2454" t="s">
        <v>311</v>
      </c>
      <c r="B1620" s="2434">
        <v>0.6</v>
      </c>
      <c r="C1620" s="2433"/>
      <c r="D1620" s="2435">
        <v>23.791248377612369</v>
      </c>
      <c r="E1620" s="2436">
        <v>6.0136509877421737E-2</v>
      </c>
      <c r="F1620" s="2434">
        <v>1.0081166834574102E-2</v>
      </c>
      <c r="G1620" s="2435">
        <v>4.3094619993647599E-5</v>
      </c>
      <c r="H1620" s="2436">
        <v>0.9504030386557264</v>
      </c>
      <c r="I1620" s="2434">
        <v>6.1760511382882424E-2</v>
      </c>
      <c r="J1620" s="2437">
        <v>3.6813974581443036E-4</v>
      </c>
    </row>
    <row r="1621" spans="1:10" x14ac:dyDescent="0.2">
      <c r="A1621" s="2456" t="s">
        <v>129</v>
      </c>
      <c r="B1621" s="2441">
        <v>997.73</v>
      </c>
      <c r="C1621" s="2440"/>
      <c r="D1621" s="2442">
        <v>2503.2799149362254</v>
      </c>
      <c r="E1621" s="2443">
        <v>100</v>
      </c>
      <c r="F1621" s="2441">
        <v>16.76380430976603</v>
      </c>
      <c r="G1621" s="2442">
        <v>7.1661325343770038E-2</v>
      </c>
      <c r="H1621" s="2443">
        <v>100.00000000000001</v>
      </c>
      <c r="I1621" s="2441">
        <v>6.4983495286629154</v>
      </c>
      <c r="J1621" s="2444">
        <v>3.873511876973125E-2</v>
      </c>
    </row>
    <row r="1622" spans="1:10" x14ac:dyDescent="0.2">
      <c r="A1622" s="2451" t="s">
        <v>1853</v>
      </c>
      <c r="B1622" s="2427"/>
      <c r="C1622" s="2452"/>
      <c r="D1622" s="2429"/>
      <c r="E1622" s="2430"/>
      <c r="F1622" s="2427">
        <v>0</v>
      </c>
      <c r="G1622" s="2429"/>
      <c r="H1622" s="2430"/>
      <c r="I1622" s="2427">
        <v>0</v>
      </c>
      <c r="J1622" s="2431">
        <v>0</v>
      </c>
    </row>
    <row r="1623" spans="1:10" x14ac:dyDescent="0.2">
      <c r="A1623" s="2426" t="s">
        <v>1543</v>
      </c>
      <c r="B1623" s="2427">
        <v>6.5</v>
      </c>
      <c r="C1623" s="2428">
        <v>13200000</v>
      </c>
      <c r="D1623" s="2429">
        <v>85.8</v>
      </c>
      <c r="E1623" s="2430">
        <v>67.666042057047676</v>
      </c>
      <c r="F1623" s="2427">
        <v>0.10921264070788612</v>
      </c>
      <c r="G1623" s="2429">
        <v>4.6685838326451567E-4</v>
      </c>
      <c r="H1623" s="2430">
        <v>69.623077859374362</v>
      </c>
      <c r="I1623" s="2427">
        <v>0.22273114014637976</v>
      </c>
      <c r="J1623" s="2431">
        <v>1.3276474478994137E-3</v>
      </c>
    </row>
    <row r="1624" spans="1:10" x14ac:dyDescent="0.2">
      <c r="A1624" s="2426" t="s">
        <v>208</v>
      </c>
      <c r="B1624" s="2427">
        <v>2.3559999999999999</v>
      </c>
      <c r="C1624" s="2428">
        <v>10000000</v>
      </c>
      <c r="D1624" s="2429">
        <v>23.56</v>
      </c>
      <c r="E1624" s="2430">
        <v>24.526337705600664</v>
      </c>
      <c r="F1624" s="2427">
        <v>3.9585381770427641E-2</v>
      </c>
      <c r="G1624" s="2429">
        <v>1.692182078417229E-4</v>
      </c>
      <c r="H1624" s="2430">
        <v>19.11794538889114</v>
      </c>
      <c r="I1624" s="2427">
        <v>6.1160205849052532E-2</v>
      </c>
      <c r="J1624" s="2431">
        <v>3.6456146704557323E-4</v>
      </c>
    </row>
    <row r="1625" spans="1:10" x14ac:dyDescent="0.2">
      <c r="A1625" s="2426" t="s">
        <v>209</v>
      </c>
      <c r="B1625" s="2427">
        <v>0</v>
      </c>
      <c r="C1625" s="2428">
        <v>10000000</v>
      </c>
      <c r="D1625" s="2429">
        <v>0</v>
      </c>
      <c r="E1625" s="2430">
        <v>0</v>
      </c>
      <c r="F1625" s="2427">
        <v>0</v>
      </c>
      <c r="G1625" s="2429">
        <v>0</v>
      </c>
      <c r="H1625" s="2430">
        <v>0</v>
      </c>
      <c r="I1625" s="2427">
        <v>0</v>
      </c>
      <c r="J1625" s="2431">
        <v>0</v>
      </c>
    </row>
    <row r="1626" spans="1:10" x14ac:dyDescent="0.2">
      <c r="A1626" s="2426" t="s">
        <v>210</v>
      </c>
      <c r="B1626" s="2427">
        <v>0.75</v>
      </c>
      <c r="C1626" s="2428">
        <v>18500000</v>
      </c>
      <c r="D1626" s="2429">
        <v>13.875</v>
      </c>
      <c r="E1626" s="2430">
        <v>7.8076202373516548</v>
      </c>
      <c r="F1626" s="2427">
        <v>1.260145854321763E-2</v>
      </c>
      <c r="G1626" s="2429">
        <v>5.3868274992059505E-5</v>
      </c>
      <c r="H1626" s="2430">
        <v>11.25897675173449</v>
      </c>
      <c r="I1626" s="2427">
        <v>3.6018584726468759E-2</v>
      </c>
      <c r="J1626" s="2431">
        <v>2.1469823239632127E-4</v>
      </c>
    </row>
    <row r="1627" spans="1:10" x14ac:dyDescent="0.2">
      <c r="A1627" s="2426" t="s">
        <v>1545</v>
      </c>
      <c r="B1627" s="2427">
        <v>0</v>
      </c>
      <c r="C1627" s="2428">
        <v>14200000</v>
      </c>
      <c r="D1627" s="2429">
        <v>0</v>
      </c>
      <c r="E1627" s="2430">
        <v>0</v>
      </c>
      <c r="F1627" s="2427">
        <v>0</v>
      </c>
      <c r="G1627" s="2429">
        <v>0</v>
      </c>
      <c r="H1627" s="2430">
        <v>0</v>
      </c>
      <c r="I1627" s="2427">
        <v>0</v>
      </c>
      <c r="J1627" s="2431">
        <v>0</v>
      </c>
    </row>
    <row r="1628" spans="1:10" x14ac:dyDescent="0.2">
      <c r="A1628" s="2426" t="s">
        <v>1546</v>
      </c>
      <c r="B1628" s="2427">
        <v>0</v>
      </c>
      <c r="C1628" s="2428">
        <v>10000000</v>
      </c>
      <c r="D1628" s="2429">
        <v>0</v>
      </c>
      <c r="E1628" s="2430">
        <v>0</v>
      </c>
      <c r="F1628" s="2427">
        <v>0</v>
      </c>
      <c r="G1628" s="2429">
        <v>0</v>
      </c>
      <c r="H1628" s="2430">
        <v>0</v>
      </c>
      <c r="I1628" s="2427">
        <v>0</v>
      </c>
      <c r="J1628" s="2431">
        <v>0</v>
      </c>
    </row>
    <row r="1629" spans="1:10" x14ac:dyDescent="0.2">
      <c r="A1629" s="2456" t="s">
        <v>121</v>
      </c>
      <c r="B1629" s="2441">
        <v>9.6059999999999999</v>
      </c>
      <c r="C1629" s="2440"/>
      <c r="D1629" s="2442">
        <v>123.235</v>
      </c>
      <c r="E1629" s="2443">
        <v>100</v>
      </c>
      <c r="F1629" s="2441">
        <v>0.16139948102153137</v>
      </c>
      <c r="G1629" s="2442">
        <v>6.8994486609829807E-4</v>
      </c>
      <c r="H1629" s="2443">
        <v>100</v>
      </c>
      <c r="I1629" s="2441">
        <v>0.31990993072190105</v>
      </c>
      <c r="J1629" s="2444">
        <v>1.9069071473413082E-3</v>
      </c>
    </row>
    <row r="1630" spans="1:10" ht="14.25" thickBot="1" x14ac:dyDescent="0.25">
      <c r="A1630" s="2457" t="s">
        <v>1840</v>
      </c>
      <c r="B1630" s="2446">
        <v>5951.6919999999991</v>
      </c>
      <c r="C1630" s="2458"/>
      <c r="D1630" s="2448">
        <v>38521.780090386957</v>
      </c>
      <c r="E1630" s="2459"/>
      <c r="F1630" s="2460">
        <v>100</v>
      </c>
      <c r="G1630" s="2461">
        <v>0.42747650843205409</v>
      </c>
      <c r="H1630" s="2462"/>
      <c r="I1630" s="2460">
        <v>100</v>
      </c>
      <c r="J1630" s="2463">
        <v>0.59607625903898243</v>
      </c>
    </row>
    <row r="1631" spans="1:10" ht="15" thickBot="1" x14ac:dyDescent="0.25">
      <c r="A1631" s="2464" t="s">
        <v>1841</v>
      </c>
      <c r="B1631" s="2465">
        <v>1392285.1624830281</v>
      </c>
      <c r="C1631" s="2466"/>
      <c r="D1631" s="2467">
        <v>6462559.0276810033</v>
      </c>
      <c r="E1631" s="2468"/>
      <c r="F1631" s="2469"/>
      <c r="G1631" s="2469"/>
      <c r="H1631" s="2469"/>
      <c r="I1631" s="2469"/>
      <c r="J1631" s="2469"/>
    </row>
    <row r="1632" spans="1:10" ht="16.5" thickBot="1" x14ac:dyDescent="0.3">
      <c r="A1632" s="2470" t="s">
        <v>1842</v>
      </c>
      <c r="B1632" s="2471">
        <v>0.42747650843205409</v>
      </c>
      <c r="C1632" s="2472"/>
      <c r="D1632" s="2473">
        <v>0.59607625903898231</v>
      </c>
      <c r="E1632" s="2468"/>
      <c r="F1632" s="2469"/>
      <c r="G1632" s="2469"/>
      <c r="H1632" s="2469"/>
      <c r="I1632" s="2469"/>
      <c r="J1632" s="2469"/>
    </row>
    <row r="1633" spans="1:10" x14ac:dyDescent="0.2">
      <c r="A1633" s="2474" t="s">
        <v>2023</v>
      </c>
      <c r="B1633" s="2474"/>
      <c r="C1633" s="2474"/>
      <c r="D1633" s="2475"/>
      <c r="E1633" s="2474"/>
      <c r="F1633" s="2474"/>
      <c r="H1633" s="2474"/>
      <c r="I1633" s="2474"/>
      <c r="J1633" s="2474"/>
    </row>
    <row r="1634" spans="1:10" x14ac:dyDescent="0.2">
      <c r="A1634" s="2474" t="s">
        <v>1843</v>
      </c>
      <c r="B1634" s="2474"/>
      <c r="C1634" s="2474"/>
      <c r="D1634" s="2474"/>
      <c r="E1634" s="2474"/>
      <c r="F1634" s="2474"/>
      <c r="G1634" s="2474"/>
      <c r="H1634" s="2474"/>
      <c r="I1634" s="2474"/>
      <c r="J1634" s="2474"/>
    </row>
    <row r="1635" spans="1:10" x14ac:dyDescent="0.2">
      <c r="A1635" s="2474" t="s">
        <v>2024</v>
      </c>
      <c r="B1635" s="2474"/>
      <c r="C1635" s="2474"/>
      <c r="D1635" s="2474"/>
      <c r="E1635" s="2474"/>
      <c r="F1635" s="2474"/>
      <c r="G1635" s="2474"/>
      <c r="H1635" s="2474"/>
      <c r="I1635" s="2474"/>
      <c r="J1635" s="2474"/>
    </row>
    <row r="1639" spans="1:10" ht="13.5" thickBot="1" x14ac:dyDescent="0.25">
      <c r="A1639" s="3321" t="s">
        <v>2021</v>
      </c>
      <c r="B1639" s="3321"/>
      <c r="C1639" s="3321"/>
      <c r="D1639" s="3321"/>
      <c r="E1639" s="3321"/>
      <c r="F1639" s="3321"/>
      <c r="G1639" s="3321"/>
      <c r="H1639" s="3321"/>
      <c r="I1639" s="3321"/>
      <c r="J1639" s="3321"/>
    </row>
    <row r="1640" spans="1:10" ht="13.5" customHeight="1" thickBot="1" x14ac:dyDescent="0.25">
      <c r="A1640" s="3322" t="s">
        <v>1856</v>
      </c>
      <c r="B1640" s="3324" t="s">
        <v>1272</v>
      </c>
      <c r="C1640" s="3324" t="s">
        <v>1832</v>
      </c>
      <c r="D1640" s="3326" t="s">
        <v>1844</v>
      </c>
      <c r="E1640" s="3328" t="s">
        <v>1849</v>
      </c>
      <c r="F1640" s="3329"/>
      <c r="G1640" s="3330"/>
      <c r="H1640" s="3328" t="s">
        <v>1850</v>
      </c>
      <c r="I1640" s="3329"/>
      <c r="J1640" s="3331"/>
    </row>
    <row r="1641" spans="1:10" ht="13.5" customHeight="1" thickBot="1" x14ac:dyDescent="0.25">
      <c r="A1641" s="3323"/>
      <c r="B1641" s="3325"/>
      <c r="C1641" s="3325"/>
      <c r="D1641" s="3327"/>
      <c r="E1641" s="2415" t="s">
        <v>1848</v>
      </c>
      <c r="F1641" s="2416" t="s">
        <v>1231</v>
      </c>
      <c r="G1641" s="2417" t="s">
        <v>1833</v>
      </c>
      <c r="H1641" s="2415" t="s">
        <v>1848</v>
      </c>
      <c r="I1641" s="2416" t="s">
        <v>1231</v>
      </c>
      <c r="J1641" s="2418" t="s">
        <v>1833</v>
      </c>
    </row>
    <row r="1642" spans="1:10" x14ac:dyDescent="0.2">
      <c r="A1642" s="2419" t="s">
        <v>1851</v>
      </c>
      <c r="B1642" s="2420"/>
      <c r="C1642" s="2420"/>
      <c r="D1642" s="2421"/>
      <c r="E1642" s="2422"/>
      <c r="F1642" s="2423"/>
      <c r="G1642" s="2424"/>
      <c r="H1642" s="2422"/>
      <c r="I1642" s="2423"/>
      <c r="J1642" s="2425"/>
    </row>
    <row r="1643" spans="1:10" x14ac:dyDescent="0.2">
      <c r="A1643" s="2426" t="s">
        <v>410</v>
      </c>
      <c r="B1643" s="2427">
        <v>0</v>
      </c>
      <c r="C1643" s="2428">
        <v>5667200.0000000009</v>
      </c>
      <c r="D1643" s="2429">
        <v>0</v>
      </c>
      <c r="E1643" s="2430">
        <v>0</v>
      </c>
      <c r="F1643" s="2427">
        <v>0</v>
      </c>
      <c r="G1643" s="2429">
        <v>0</v>
      </c>
      <c r="H1643" s="2430">
        <v>0</v>
      </c>
      <c r="I1643" s="2427">
        <v>0</v>
      </c>
      <c r="J1643" s="2431">
        <v>0</v>
      </c>
    </row>
    <row r="1644" spans="1:10" x14ac:dyDescent="0.2">
      <c r="A1644" s="2426" t="s">
        <v>411</v>
      </c>
      <c r="B1644" s="2427">
        <v>3750</v>
      </c>
      <c r="C1644" s="2428">
        <v>1753716.5000000002</v>
      </c>
      <c r="D1644" s="2429">
        <v>6576.4368750000012</v>
      </c>
      <c r="E1644" s="2430">
        <v>39.7044884918393</v>
      </c>
      <c r="F1644" s="2427">
        <v>28.028880734477763</v>
      </c>
      <c r="G1644" s="2429">
        <v>0.26934137496029747</v>
      </c>
      <c r="H1644" s="2430">
        <v>16.054723682446244</v>
      </c>
      <c r="I1644" s="2427">
        <v>12.325828411080249</v>
      </c>
      <c r="J1644" s="2431">
        <v>0.10176211693899005</v>
      </c>
    </row>
    <row r="1645" spans="1:10" x14ac:dyDescent="0.2">
      <c r="A1645" s="2426" t="s">
        <v>278</v>
      </c>
      <c r="B1645" s="2427">
        <v>261</v>
      </c>
      <c r="C1645" s="2428">
        <v>1637875</v>
      </c>
      <c r="D1645" s="2429">
        <v>427.48537499999998</v>
      </c>
      <c r="E1645" s="2430">
        <v>2.7634323990320153</v>
      </c>
      <c r="F1645" s="2427">
        <v>1.9508100991196522</v>
      </c>
      <c r="G1645" s="2429">
        <v>1.8746159697236708E-2</v>
      </c>
      <c r="H1645" s="2430">
        <v>1.0435984871993336</v>
      </c>
      <c r="I1645" s="2427">
        <v>0.80121066782022332</v>
      </c>
      <c r="J1645" s="2431">
        <v>6.6148003162362912E-3</v>
      </c>
    </row>
    <row r="1646" spans="1:10" x14ac:dyDescent="0.2">
      <c r="A1646" s="2426" t="s">
        <v>200</v>
      </c>
      <c r="B1646" s="2427">
        <v>30.200000000000003</v>
      </c>
      <c r="C1646" s="2428">
        <v>7709114.5</v>
      </c>
      <c r="D1646" s="2429">
        <v>232.81525790000003</v>
      </c>
      <c r="E1646" s="2430">
        <v>0.31975348065427917</v>
      </c>
      <c r="F1646" s="2427">
        <v>0.22572591951499424</v>
      </c>
      <c r="G1646" s="2429">
        <v>2.1690958730135961E-3</v>
      </c>
      <c r="H1646" s="2430">
        <v>0.56836014785619926</v>
      </c>
      <c r="I1646" s="2427">
        <v>0.43635192960881197</v>
      </c>
      <c r="J1646" s="2431">
        <v>3.6025242771908954E-3</v>
      </c>
    </row>
    <row r="1647" spans="1:10" x14ac:dyDescent="0.2">
      <c r="A1647" s="2426" t="s">
        <v>429</v>
      </c>
      <c r="B1647" s="2427">
        <v>0</v>
      </c>
      <c r="C1647" s="2428">
        <v>1255000</v>
      </c>
      <c r="D1647" s="2429">
        <v>0</v>
      </c>
      <c r="E1647" s="2430">
        <v>0</v>
      </c>
      <c r="F1647" s="2427">
        <v>0</v>
      </c>
      <c r="G1647" s="2429">
        <v>0</v>
      </c>
      <c r="H1647" s="2430">
        <v>0</v>
      </c>
      <c r="I1647" s="2427">
        <v>0</v>
      </c>
      <c r="J1647" s="2431">
        <v>0</v>
      </c>
    </row>
    <row r="1648" spans="1:10" x14ac:dyDescent="0.2">
      <c r="A1648" s="2432" t="s">
        <v>431</v>
      </c>
      <c r="B1648" s="2427">
        <v>0</v>
      </c>
      <c r="C1648" s="2428">
        <v>0</v>
      </c>
      <c r="D1648" s="2429">
        <v>0</v>
      </c>
      <c r="E1648" s="2430">
        <v>0</v>
      </c>
      <c r="F1648" s="2427">
        <v>0</v>
      </c>
      <c r="G1648" s="2429">
        <v>0</v>
      </c>
      <c r="H1648" s="2430">
        <v>0</v>
      </c>
      <c r="I1648" s="2427">
        <v>0</v>
      </c>
      <c r="J1648" s="2431">
        <v>0</v>
      </c>
    </row>
    <row r="1649" spans="1:10" x14ac:dyDescent="0.2">
      <c r="A1649" s="2432" t="s">
        <v>430</v>
      </c>
      <c r="B1649" s="2427">
        <v>0</v>
      </c>
      <c r="C1649" s="2428">
        <v>0</v>
      </c>
      <c r="D1649" s="2429">
        <v>0</v>
      </c>
      <c r="E1649" s="2430">
        <v>0</v>
      </c>
      <c r="F1649" s="2427">
        <v>0</v>
      </c>
      <c r="G1649" s="2429">
        <v>0</v>
      </c>
      <c r="H1649" s="2430">
        <v>0</v>
      </c>
      <c r="I1649" s="2427">
        <v>0</v>
      </c>
      <c r="J1649" s="2431">
        <v>0</v>
      </c>
    </row>
    <row r="1650" spans="1:10" x14ac:dyDescent="0.2">
      <c r="A1650" s="2433" t="s">
        <v>279</v>
      </c>
      <c r="B1650" s="2434">
        <v>4041.2</v>
      </c>
      <c r="C1650" s="2433"/>
      <c r="D1650" s="2435">
        <v>7236.7375079000012</v>
      </c>
      <c r="E1650" s="2436">
        <v>42.78767437152559</v>
      </c>
      <c r="F1650" s="2434">
        <v>30.205416753112406</v>
      </c>
      <c r="G1650" s="2435">
        <v>0.29025663053054773</v>
      </c>
      <c r="H1650" s="2436">
        <v>17.666682317501778</v>
      </c>
      <c r="I1650" s="2434">
        <v>13.563391008509285</v>
      </c>
      <c r="J1650" s="2437">
        <v>0.11197944153241723</v>
      </c>
    </row>
    <row r="1651" spans="1:10" x14ac:dyDescent="0.2">
      <c r="A1651" s="2438" t="s">
        <v>412</v>
      </c>
      <c r="B1651" s="2427">
        <v>0</v>
      </c>
      <c r="C1651" s="2428">
        <v>4129499.9999999995</v>
      </c>
      <c r="D1651" s="2429">
        <v>0</v>
      </c>
      <c r="E1651" s="2430">
        <v>0</v>
      </c>
      <c r="F1651" s="2427">
        <v>0</v>
      </c>
      <c r="G1651" s="2429">
        <v>0</v>
      </c>
      <c r="H1651" s="2430">
        <v>0</v>
      </c>
      <c r="I1651" s="2427">
        <v>0</v>
      </c>
      <c r="J1651" s="2431">
        <v>0</v>
      </c>
    </row>
    <row r="1652" spans="1:10" x14ac:dyDescent="0.2">
      <c r="A1652" s="2438" t="s">
        <v>413</v>
      </c>
      <c r="B1652" s="2427">
        <v>28</v>
      </c>
      <c r="C1652" s="2428">
        <v>1200000</v>
      </c>
      <c r="D1652" s="2429">
        <v>33.6</v>
      </c>
      <c r="E1652" s="2430">
        <v>0.29646018073906677</v>
      </c>
      <c r="F1652" s="2427">
        <v>0.20928230948410062</v>
      </c>
      <c r="G1652" s="2429">
        <v>2.0110822663702214E-3</v>
      </c>
      <c r="H1652" s="2430">
        <v>8.2025985496925163E-2</v>
      </c>
      <c r="I1652" s="2427">
        <v>6.2974501616013201E-2</v>
      </c>
      <c r="J1652" s="2431">
        <v>5.1991788169487526E-4</v>
      </c>
    </row>
    <row r="1653" spans="1:10" x14ac:dyDescent="0.2">
      <c r="A1653" s="2426" t="s">
        <v>90</v>
      </c>
      <c r="B1653" s="2427">
        <v>0</v>
      </c>
      <c r="C1653" s="2428">
        <v>1743000</v>
      </c>
      <c r="D1653" s="2429">
        <v>0</v>
      </c>
      <c r="E1653" s="2430">
        <v>0</v>
      </c>
      <c r="F1653" s="2427">
        <v>0</v>
      </c>
      <c r="G1653" s="2429">
        <v>0</v>
      </c>
      <c r="H1653" s="2430">
        <v>0</v>
      </c>
      <c r="I1653" s="2427">
        <v>0</v>
      </c>
      <c r="J1653" s="2431">
        <v>0</v>
      </c>
    </row>
    <row r="1654" spans="1:10" x14ac:dyDescent="0.2">
      <c r="A1654" s="2426" t="s">
        <v>417</v>
      </c>
      <c r="B1654" s="2427">
        <v>20</v>
      </c>
      <c r="C1654" s="2428">
        <v>2563999.9999999995</v>
      </c>
      <c r="D1654" s="2429">
        <v>51.279999999999994</v>
      </c>
      <c r="E1654" s="2430">
        <v>0.21175727195647626</v>
      </c>
      <c r="F1654" s="2427">
        <v>0.14948736391721471</v>
      </c>
      <c r="G1654" s="2429">
        <v>1.4364873331215865E-3</v>
      </c>
      <c r="H1654" s="2430">
        <v>0.12518727786554529</v>
      </c>
      <c r="I1654" s="2427">
        <v>9.6111084609201078E-2</v>
      </c>
      <c r="J1654" s="2431">
        <v>7.9349371944384536E-4</v>
      </c>
    </row>
    <row r="1655" spans="1:10" x14ac:dyDescent="0.2">
      <c r="A1655" s="2426" t="s">
        <v>418</v>
      </c>
      <c r="B1655" s="2427">
        <v>70</v>
      </c>
      <c r="C1655" s="2428">
        <v>2222500</v>
      </c>
      <c r="D1655" s="2429">
        <v>155.57499999999999</v>
      </c>
      <c r="E1655" s="2430">
        <v>0.74115045184766692</v>
      </c>
      <c r="F1655" s="2427">
        <v>0.52320577371025156</v>
      </c>
      <c r="G1655" s="2429">
        <v>5.0277056659255538E-3</v>
      </c>
      <c r="H1655" s="2430">
        <v>0.37979740159774195</v>
      </c>
      <c r="I1655" s="2427">
        <v>0.29158506216997776</v>
      </c>
      <c r="J1655" s="2431">
        <v>2.4073281084726252E-3</v>
      </c>
    </row>
    <row r="1656" spans="1:10" x14ac:dyDescent="0.2">
      <c r="A1656" s="2426" t="s">
        <v>423</v>
      </c>
      <c r="B1656" s="2427">
        <v>0</v>
      </c>
      <c r="C1656" s="2428">
        <v>2531500</v>
      </c>
      <c r="D1656" s="2429">
        <v>0</v>
      </c>
      <c r="E1656" s="2430">
        <v>0</v>
      </c>
      <c r="F1656" s="2427">
        <v>0</v>
      </c>
      <c r="G1656" s="2429">
        <v>0</v>
      </c>
      <c r="H1656" s="2430">
        <v>0</v>
      </c>
      <c r="I1656" s="2427">
        <v>0</v>
      </c>
      <c r="J1656" s="2431">
        <v>0</v>
      </c>
    </row>
    <row r="1657" spans="1:10" x14ac:dyDescent="0.2">
      <c r="A1657" s="2426" t="s">
        <v>424</v>
      </c>
      <c r="B1657" s="2427">
        <v>0</v>
      </c>
      <c r="C1657" s="2428">
        <v>1369000</v>
      </c>
      <c r="D1657" s="2429">
        <v>0</v>
      </c>
      <c r="E1657" s="2430">
        <v>0</v>
      </c>
      <c r="F1657" s="2427">
        <v>0</v>
      </c>
      <c r="G1657" s="2429">
        <v>0</v>
      </c>
      <c r="H1657" s="2430">
        <v>0</v>
      </c>
      <c r="I1657" s="2427">
        <v>0</v>
      </c>
      <c r="J1657" s="2431">
        <v>0</v>
      </c>
    </row>
    <row r="1658" spans="1:10" x14ac:dyDescent="0.2">
      <c r="A1658" s="2426" t="s">
        <v>280</v>
      </c>
      <c r="B1658" s="2427">
        <v>0</v>
      </c>
      <c r="C1658" s="2428">
        <v>1574500</v>
      </c>
      <c r="D1658" s="2429">
        <v>0</v>
      </c>
      <c r="E1658" s="2430">
        <v>0</v>
      </c>
      <c r="F1658" s="2427">
        <v>0</v>
      </c>
      <c r="G1658" s="2429">
        <v>0</v>
      </c>
      <c r="H1658" s="2430">
        <v>0</v>
      </c>
      <c r="I1658" s="2427">
        <v>0</v>
      </c>
      <c r="J1658" s="2431">
        <v>0</v>
      </c>
    </row>
    <row r="1659" spans="1:10" x14ac:dyDescent="0.2">
      <c r="A1659" s="2426" t="s">
        <v>427</v>
      </c>
      <c r="B1659" s="2427">
        <v>0</v>
      </c>
      <c r="C1659" s="2428">
        <v>2072000</v>
      </c>
      <c r="D1659" s="2429">
        <v>0</v>
      </c>
      <c r="E1659" s="2430">
        <v>0</v>
      </c>
      <c r="F1659" s="2427">
        <v>0</v>
      </c>
      <c r="G1659" s="2429">
        <v>0</v>
      </c>
      <c r="H1659" s="2430">
        <v>0</v>
      </c>
      <c r="I1659" s="2427">
        <v>0</v>
      </c>
      <c r="J1659" s="2431">
        <v>0</v>
      </c>
    </row>
    <row r="1660" spans="1:10" x14ac:dyDescent="0.2">
      <c r="A1660" s="2426" t="s">
        <v>428</v>
      </c>
      <c r="B1660" s="2427">
        <v>0</v>
      </c>
      <c r="C1660" s="2428">
        <v>1326280</v>
      </c>
      <c r="D1660" s="2429">
        <v>0</v>
      </c>
      <c r="E1660" s="2430">
        <v>0</v>
      </c>
      <c r="F1660" s="2427">
        <v>0</v>
      </c>
      <c r="G1660" s="2429">
        <v>0</v>
      </c>
      <c r="H1660" s="2430">
        <v>0</v>
      </c>
      <c r="I1660" s="2427">
        <v>0</v>
      </c>
      <c r="J1660" s="2431">
        <v>0</v>
      </c>
    </row>
    <row r="1661" spans="1:10" x14ac:dyDescent="0.2">
      <c r="A1661" s="2439" t="s">
        <v>92</v>
      </c>
      <c r="B1661" s="2427">
        <v>114</v>
      </c>
      <c r="C1661" s="2428">
        <v>2215500</v>
      </c>
      <c r="D1661" s="2429">
        <v>252.56700000000001</v>
      </c>
      <c r="E1661" s="2430">
        <v>1.2070164501519147</v>
      </c>
      <c r="F1661" s="2427">
        <v>0.85207797432812393</v>
      </c>
      <c r="G1661" s="2429">
        <v>8.1879777987930429E-3</v>
      </c>
      <c r="H1661" s="2430">
        <v>0.61657907973219928</v>
      </c>
      <c r="I1661" s="2427">
        <v>0.47337145683486925</v>
      </c>
      <c r="J1661" s="2431">
        <v>3.9081577269651658E-3</v>
      </c>
    </row>
    <row r="1662" spans="1:10" x14ac:dyDescent="0.2">
      <c r="A1662" s="2433" t="s">
        <v>281</v>
      </c>
      <c r="B1662" s="2434">
        <v>232</v>
      </c>
      <c r="C1662" s="2433"/>
      <c r="D1662" s="2435">
        <v>493.02199999999999</v>
      </c>
      <c r="E1662" s="2436">
        <v>2.4563843546951247</v>
      </c>
      <c r="F1662" s="2434">
        <v>1.7340534214396908</v>
      </c>
      <c r="G1662" s="2435">
        <v>1.6663253064210404E-2</v>
      </c>
      <c r="H1662" s="2436">
        <v>1.2035897446924115</v>
      </c>
      <c r="I1662" s="2434">
        <v>0.92404210523006125</v>
      </c>
      <c r="J1662" s="2437">
        <v>7.628897436576511E-3</v>
      </c>
    </row>
    <row r="1663" spans="1:10" x14ac:dyDescent="0.2">
      <c r="A1663" s="2440" t="s">
        <v>106</v>
      </c>
      <c r="B1663" s="2441">
        <v>4273.2</v>
      </c>
      <c r="C1663" s="2440"/>
      <c r="D1663" s="2442">
        <v>7729.7595079000012</v>
      </c>
      <c r="E1663" s="2443">
        <v>45.244058726220715</v>
      </c>
      <c r="F1663" s="2441">
        <v>31.939470174552099</v>
      </c>
      <c r="G1663" s="2442">
        <v>0.30691988359475819</v>
      </c>
      <c r="H1663" s="2443">
        <v>18.870272062194189</v>
      </c>
      <c r="I1663" s="2441">
        <v>14.487433113739346</v>
      </c>
      <c r="J1663" s="2444">
        <v>0.11960833896899375</v>
      </c>
    </row>
    <row r="1664" spans="1:10" x14ac:dyDescent="0.2">
      <c r="A1664" s="2426" t="s">
        <v>905</v>
      </c>
      <c r="B1664" s="2427">
        <v>0</v>
      </c>
      <c r="C1664" s="2428">
        <v>6100000</v>
      </c>
      <c r="D1664" s="2429">
        <v>0</v>
      </c>
      <c r="E1664" s="2430">
        <v>0</v>
      </c>
      <c r="F1664" s="2427">
        <v>0</v>
      </c>
      <c r="G1664" s="2429">
        <v>0</v>
      </c>
      <c r="H1664" s="2430">
        <v>0</v>
      </c>
      <c r="I1664" s="2427">
        <v>0</v>
      </c>
      <c r="J1664" s="2431">
        <v>0</v>
      </c>
    </row>
    <row r="1665" spans="1:10" x14ac:dyDescent="0.2">
      <c r="A1665" s="2426" t="s">
        <v>906</v>
      </c>
      <c r="B1665" s="2427">
        <v>2.1</v>
      </c>
      <c r="C1665" s="2428">
        <v>3022000.0000000005</v>
      </c>
      <c r="D1665" s="2429">
        <v>6.3462000000000005</v>
      </c>
      <c r="E1665" s="2430">
        <v>2.2234513555430008E-2</v>
      </c>
      <c r="F1665" s="2427">
        <v>1.5696173211307545E-2</v>
      </c>
      <c r="G1665" s="2429">
        <v>1.508311699777666E-4</v>
      </c>
      <c r="H1665" s="2430">
        <v>1.5492658010731741E-2</v>
      </c>
      <c r="I1665" s="2427">
        <v>1.1894308992724494E-2</v>
      </c>
      <c r="J1665" s="2431">
        <v>9.8199489905119564E-5</v>
      </c>
    </row>
    <row r="1666" spans="1:10" x14ac:dyDescent="0.2">
      <c r="A1666" s="2426" t="s">
        <v>907</v>
      </c>
      <c r="B1666" s="2427">
        <v>0</v>
      </c>
      <c r="C1666" s="2428">
        <v>2324000</v>
      </c>
      <c r="D1666" s="2429">
        <v>0</v>
      </c>
      <c r="E1666" s="2430">
        <v>0</v>
      </c>
      <c r="F1666" s="2427">
        <v>0</v>
      </c>
      <c r="G1666" s="2429">
        <v>0</v>
      </c>
      <c r="H1666" s="2430">
        <v>0</v>
      </c>
      <c r="I1666" s="2427">
        <v>0</v>
      </c>
      <c r="J1666" s="2431">
        <v>0</v>
      </c>
    </row>
    <row r="1667" spans="1:10" x14ac:dyDescent="0.2">
      <c r="A1667" s="2439" t="s">
        <v>908</v>
      </c>
      <c r="B1667" s="2427">
        <v>276</v>
      </c>
      <c r="C1667" s="2428">
        <v>2403999.9999999995</v>
      </c>
      <c r="D1667" s="2429">
        <v>663.50399999999991</v>
      </c>
      <c r="E1667" s="2430">
        <v>2.9222503529993724</v>
      </c>
      <c r="F1667" s="2427">
        <v>2.0629256220575631</v>
      </c>
      <c r="G1667" s="2429">
        <v>1.9823525197077897E-2</v>
      </c>
      <c r="H1667" s="2430">
        <v>1.6197788536057089</v>
      </c>
      <c r="I1667" s="2427">
        <v>1.2435664797687862</v>
      </c>
      <c r="J1667" s="2431">
        <v>1.02668926838118E-2</v>
      </c>
    </row>
    <row r="1668" spans="1:10" x14ac:dyDescent="0.2">
      <c r="A1668" s="2440" t="s">
        <v>282</v>
      </c>
      <c r="B1668" s="2441">
        <v>278.10000000000002</v>
      </c>
      <c r="C1668" s="2440"/>
      <c r="D1668" s="2442">
        <v>669.85019999999986</v>
      </c>
      <c r="E1668" s="2443">
        <v>2.9444848665548027</v>
      </c>
      <c r="F1668" s="2441">
        <v>2.0786217952688708</v>
      </c>
      <c r="G1668" s="2442">
        <v>1.9974356367055662E-2</v>
      </c>
      <c r="H1668" s="2443">
        <v>1.6352715116164405</v>
      </c>
      <c r="I1668" s="2441">
        <v>1.2554607887615106</v>
      </c>
      <c r="J1668" s="2444">
        <v>1.0365092173716919E-2</v>
      </c>
    </row>
    <row r="1669" spans="1:10" x14ac:dyDescent="0.2">
      <c r="A1669" s="2426" t="s">
        <v>955</v>
      </c>
      <c r="B1669" s="2427">
        <v>182.62999999999997</v>
      </c>
      <c r="C1669" s="2428">
        <v>12137000</v>
      </c>
      <c r="D1669" s="2429">
        <v>2216.5803099999994</v>
      </c>
      <c r="E1669" s="2430">
        <v>1.9336615288705628</v>
      </c>
      <c r="F1669" s="2427">
        <v>1.3650438636100459</v>
      </c>
      <c r="G1669" s="2429">
        <v>1.3117284082399766E-2</v>
      </c>
      <c r="H1669" s="2430">
        <v>5.4112257250246962</v>
      </c>
      <c r="I1669" s="2427">
        <v>4.1544059617297018</v>
      </c>
      <c r="J1669" s="2431">
        <v>3.4298801767314577E-2</v>
      </c>
    </row>
    <row r="1670" spans="1:10" x14ac:dyDescent="0.2">
      <c r="A1670" s="2426" t="s">
        <v>283</v>
      </c>
      <c r="B1670" s="2427">
        <v>1019.3076270764693</v>
      </c>
      <c r="C1670" s="2428">
        <v>13024549.999999996</v>
      </c>
      <c r="D1670" s="2429">
        <v>13276.023154238825</v>
      </c>
      <c r="E1670" s="2430">
        <v>10.79229011970712</v>
      </c>
      <c r="F1670" s="2427">
        <v>7.6186805096186374</v>
      </c>
      <c r="G1670" s="2429">
        <v>7.3211124742478512E-2</v>
      </c>
      <c r="H1670" s="2430">
        <v>32.410085794834416</v>
      </c>
      <c r="I1670" s="2427">
        <v>24.882468499429809</v>
      </c>
      <c r="J1670" s="2431">
        <v>0.20542981653821329</v>
      </c>
    </row>
    <row r="1671" spans="1:10" x14ac:dyDescent="0.2">
      <c r="A1671" s="2426" t="s">
        <v>69</v>
      </c>
      <c r="B1671" s="2427">
        <v>805.11237292353053</v>
      </c>
      <c r="C1671" s="2428">
        <v>14978232.499999994</v>
      </c>
      <c r="D1671" s="2429">
        <v>12059.160310275342</v>
      </c>
      <c r="E1671" s="2430">
        <v>8.5244199854345997</v>
      </c>
      <c r="F1671" s="2427">
        <v>6.0177063142736049</v>
      </c>
      <c r="G1671" s="2429">
        <v>5.7826686272205732E-2</v>
      </c>
      <c r="H1671" s="2430">
        <v>29.439419902254183</v>
      </c>
      <c r="I1671" s="2427">
        <v>22.601774120452284</v>
      </c>
      <c r="J1671" s="2431">
        <v>0.18660038939099019</v>
      </c>
    </row>
    <row r="1672" spans="1:10" x14ac:dyDescent="0.2">
      <c r="A1672" s="2426" t="s">
        <v>199</v>
      </c>
      <c r="B1672" s="2427">
        <v>350</v>
      </c>
      <c r="C1672" s="2428">
        <v>3000000</v>
      </c>
      <c r="D1672" s="2429">
        <v>1050</v>
      </c>
      <c r="E1672" s="2430">
        <v>3.7057522592383347</v>
      </c>
      <c r="F1672" s="2427">
        <v>2.6160288685512576</v>
      </c>
      <c r="G1672" s="2429">
        <v>2.5138528329627766E-2</v>
      </c>
      <c r="H1672" s="2430">
        <v>2.5633120467789112</v>
      </c>
      <c r="I1672" s="2427">
        <v>1.9679531755004125</v>
      </c>
      <c r="J1672" s="2431">
        <v>1.6247433802964853E-2</v>
      </c>
    </row>
    <row r="1673" spans="1:10" x14ac:dyDescent="0.2">
      <c r="A1673" s="2426" t="s">
        <v>86</v>
      </c>
      <c r="B1673" s="2427">
        <v>700</v>
      </c>
      <c r="C1673" s="2428">
        <v>170000</v>
      </c>
      <c r="D1673" s="2429">
        <v>119</v>
      </c>
      <c r="E1673" s="2430">
        <v>7.4115045184766695</v>
      </c>
      <c r="F1673" s="2427">
        <v>5.2320577371025152</v>
      </c>
      <c r="G1673" s="2429">
        <v>5.0277056659255533E-2</v>
      </c>
      <c r="H1673" s="2430">
        <v>0.29050869863494327</v>
      </c>
      <c r="I1673" s="2427">
        <v>0.22303469322338007</v>
      </c>
      <c r="J1673" s="2431">
        <v>1.8413758310026835E-3</v>
      </c>
    </row>
    <row r="1674" spans="1:10" x14ac:dyDescent="0.2">
      <c r="A1674" s="2439" t="s">
        <v>213</v>
      </c>
      <c r="B1674" s="2427">
        <v>437.20000000000005</v>
      </c>
      <c r="C1674" s="2428">
        <v>1850000.0000000005</v>
      </c>
      <c r="D1674" s="2429">
        <v>808.82000000000028</v>
      </c>
      <c r="E1674" s="2430">
        <v>4.6290139649685713</v>
      </c>
      <c r="F1674" s="2427">
        <v>3.2677937752303139</v>
      </c>
      <c r="G1674" s="2429">
        <v>3.1401613102037887E-2</v>
      </c>
      <c r="H1674" s="2430">
        <v>1.9745314758816377</v>
      </c>
      <c r="I1674" s="2427">
        <v>1.5159237022935659</v>
      </c>
      <c r="J1674" s="2431">
        <v>1.2515475627156224E-2</v>
      </c>
    </row>
    <row r="1675" spans="1:10" x14ac:dyDescent="0.2">
      <c r="A1675" s="2433" t="s">
        <v>1834</v>
      </c>
      <c r="B1675" s="2434">
        <v>3494.25</v>
      </c>
      <c r="C1675" s="2433"/>
      <c r="D1675" s="2435">
        <v>29529.583774514165</v>
      </c>
      <c r="E1675" s="2436">
        <v>36.99664237669586</v>
      </c>
      <c r="F1675" s="2434">
        <v>26.117311068386378</v>
      </c>
      <c r="G1675" s="2435">
        <v>0.25097229318800524</v>
      </c>
      <c r="H1675" s="2436">
        <v>72.089083643408784</v>
      </c>
      <c r="I1675" s="2434">
        <v>55.345560152629147</v>
      </c>
      <c r="J1675" s="2437">
        <v>0.45693329295764185</v>
      </c>
    </row>
    <row r="1676" spans="1:10" x14ac:dyDescent="0.2">
      <c r="A1676" s="2426" t="s">
        <v>961</v>
      </c>
      <c r="B1676" s="2427">
        <v>232.02600000000001</v>
      </c>
      <c r="C1676" s="2428">
        <v>3668000</v>
      </c>
      <c r="D1676" s="2429">
        <v>851.07136800000001</v>
      </c>
      <c r="E1676" s="2430">
        <v>2.4566596391486684</v>
      </c>
      <c r="F1676" s="2427">
        <v>1.7342477550127831</v>
      </c>
      <c r="G1676" s="2429">
        <v>1.6665120497743463E-2</v>
      </c>
      <c r="H1676" s="2430">
        <v>2.0776776097742933</v>
      </c>
      <c r="I1676" s="2427">
        <v>1.5951129535553146</v>
      </c>
      <c r="J1676" s="2431">
        <v>1.3169262583979751E-2</v>
      </c>
    </row>
    <row r="1677" spans="1:10" x14ac:dyDescent="0.2">
      <c r="A1677" s="2426" t="s">
        <v>962</v>
      </c>
      <c r="B1677" s="2427">
        <v>144</v>
      </c>
      <c r="C1677" s="2428">
        <v>1999999.9999999998</v>
      </c>
      <c r="D1677" s="2429">
        <v>287.99999999999994</v>
      </c>
      <c r="E1677" s="2430">
        <v>1.5246523580866291</v>
      </c>
      <c r="F1677" s="2427">
        <v>1.076309020203946</v>
      </c>
      <c r="G1677" s="2429">
        <v>1.0342708798475424E-2</v>
      </c>
      <c r="H1677" s="2430">
        <v>0.70307987568792973</v>
      </c>
      <c r="I1677" s="2427">
        <v>0.53978144242297021</v>
      </c>
      <c r="J1677" s="2431">
        <v>4.4564389859560729E-3</v>
      </c>
    </row>
    <row r="1678" spans="1:10" x14ac:dyDescent="0.2">
      <c r="A1678" s="2426" t="s">
        <v>963</v>
      </c>
      <c r="B1678" s="2427">
        <v>36</v>
      </c>
      <c r="C1678" s="2428">
        <v>1347999.9999999998</v>
      </c>
      <c r="D1678" s="2429">
        <v>48.527999999999992</v>
      </c>
      <c r="E1678" s="2430">
        <v>0.38116308952165728</v>
      </c>
      <c r="F1678" s="2427">
        <v>0.26907725505098651</v>
      </c>
      <c r="G1678" s="2429">
        <v>2.5856771996188559E-3</v>
      </c>
      <c r="H1678" s="2430">
        <v>0.11846895905341616</v>
      </c>
      <c r="I1678" s="2427">
        <v>9.0953173048270483E-2</v>
      </c>
      <c r="J1678" s="2431">
        <v>7.5090996913359826E-4</v>
      </c>
    </row>
    <row r="1679" spans="1:10" x14ac:dyDescent="0.2">
      <c r="A1679" s="2426" t="s">
        <v>965</v>
      </c>
      <c r="B1679" s="2427">
        <v>785.69999999999993</v>
      </c>
      <c r="C1679" s="2428">
        <v>1599999.9999999995</v>
      </c>
      <c r="D1679" s="2429">
        <v>1257.1199999999994</v>
      </c>
      <c r="E1679" s="2430">
        <v>8.3188844288101684</v>
      </c>
      <c r="F1679" s="2427">
        <v>5.87261109148778</v>
      </c>
      <c r="G1679" s="2429">
        <v>5.6432404881681525E-2</v>
      </c>
      <c r="H1679" s="2430">
        <v>3.0689436573778126</v>
      </c>
      <c r="I1679" s="2427">
        <v>2.3561459961762643</v>
      </c>
      <c r="J1679" s="2431">
        <v>1.9452356173698254E-2</v>
      </c>
    </row>
    <row r="1680" spans="1:10" x14ac:dyDescent="0.2">
      <c r="A1680" s="2426" t="s">
        <v>966</v>
      </c>
      <c r="B1680" s="2427">
        <v>0</v>
      </c>
      <c r="C1680" s="2428">
        <v>2244000</v>
      </c>
      <c r="D1680" s="2429">
        <v>0</v>
      </c>
      <c r="E1680" s="2430">
        <v>0</v>
      </c>
      <c r="F1680" s="2427">
        <v>0</v>
      </c>
      <c r="G1680" s="2429">
        <v>0</v>
      </c>
      <c r="H1680" s="2430">
        <v>0</v>
      </c>
      <c r="I1680" s="2427">
        <v>0</v>
      </c>
      <c r="J1680" s="2431">
        <v>0</v>
      </c>
    </row>
    <row r="1681" spans="1:10" x14ac:dyDescent="0.2">
      <c r="A1681" s="2426" t="s">
        <v>1499</v>
      </c>
      <c r="B1681" s="2427">
        <v>0</v>
      </c>
      <c r="C1681" s="2428">
        <v>4849999.9999999991</v>
      </c>
      <c r="D1681" s="2429">
        <v>0</v>
      </c>
      <c r="E1681" s="2430">
        <v>0</v>
      </c>
      <c r="F1681" s="2427">
        <v>0</v>
      </c>
      <c r="G1681" s="2429">
        <v>0</v>
      </c>
      <c r="H1681" s="2430">
        <v>0</v>
      </c>
      <c r="I1681" s="2427">
        <v>0</v>
      </c>
      <c r="J1681" s="2431">
        <v>0</v>
      </c>
    </row>
    <row r="1682" spans="1:10" x14ac:dyDescent="0.2">
      <c r="A1682" s="2426" t="s">
        <v>1575</v>
      </c>
      <c r="B1682" s="2427">
        <v>6</v>
      </c>
      <c r="C1682" s="2428">
        <v>2250000.0000000005</v>
      </c>
      <c r="D1682" s="2429">
        <v>13.500000000000004</v>
      </c>
      <c r="E1682" s="2430">
        <v>6.3527181586942871E-2</v>
      </c>
      <c r="F1682" s="2427">
        <v>4.4846209175164416E-2</v>
      </c>
      <c r="G1682" s="2429">
        <v>4.3094619993647604E-4</v>
      </c>
      <c r="H1682" s="2430">
        <v>3.2956869172871724E-2</v>
      </c>
      <c r="I1682" s="2427">
        <v>2.5302255113576737E-2</v>
      </c>
      <c r="J1682" s="2431">
        <v>2.0889557746669101E-4</v>
      </c>
    </row>
    <row r="1683" spans="1:10" x14ac:dyDescent="0.2">
      <c r="A1683" s="2426" t="s">
        <v>964</v>
      </c>
      <c r="B1683" s="2427">
        <v>0</v>
      </c>
      <c r="C1683" s="2428">
        <v>1556000</v>
      </c>
      <c r="D1683" s="2429">
        <v>0</v>
      </c>
      <c r="E1683" s="2430">
        <v>0</v>
      </c>
      <c r="F1683" s="2427">
        <v>0</v>
      </c>
      <c r="G1683" s="2429">
        <v>0</v>
      </c>
      <c r="H1683" s="2430">
        <v>0</v>
      </c>
      <c r="I1683" s="2427">
        <v>0</v>
      </c>
      <c r="J1683" s="2431">
        <v>0</v>
      </c>
    </row>
    <row r="1684" spans="1:10" x14ac:dyDescent="0.2">
      <c r="A1684" s="2426" t="s">
        <v>969</v>
      </c>
      <c r="B1684" s="2427">
        <v>0</v>
      </c>
      <c r="C1684" s="2428">
        <v>4800000</v>
      </c>
      <c r="D1684" s="2429">
        <v>0</v>
      </c>
      <c r="E1684" s="2430">
        <v>0</v>
      </c>
      <c r="F1684" s="2427">
        <v>0</v>
      </c>
      <c r="G1684" s="2429">
        <v>0</v>
      </c>
      <c r="H1684" s="2430">
        <v>0</v>
      </c>
      <c r="I1684" s="2427">
        <v>0</v>
      </c>
      <c r="J1684" s="2431">
        <v>0</v>
      </c>
    </row>
    <row r="1685" spans="1:10" x14ac:dyDescent="0.2">
      <c r="A1685" s="2426" t="s">
        <v>968</v>
      </c>
      <c r="B1685" s="2427">
        <v>7.5</v>
      </c>
      <c r="C1685" s="2428">
        <v>3050000.0000000009</v>
      </c>
      <c r="D1685" s="2429">
        <v>22.875000000000007</v>
      </c>
      <c r="E1685" s="2430">
        <v>7.9408976983678603E-2</v>
      </c>
      <c r="F1685" s="2427">
        <v>5.6057761468955518E-2</v>
      </c>
      <c r="G1685" s="2429">
        <v>5.3868274992059499E-4</v>
      </c>
      <c r="H1685" s="2430">
        <v>5.5843583876254869E-2</v>
      </c>
      <c r="I1685" s="2427">
        <v>4.287326560911614E-2</v>
      </c>
      <c r="J1685" s="2431">
        <v>3.5396195070744871E-4</v>
      </c>
    </row>
    <row r="1686" spans="1:10" x14ac:dyDescent="0.2">
      <c r="A1686" s="2426" t="s">
        <v>1013</v>
      </c>
      <c r="B1686" s="2427">
        <v>2</v>
      </c>
      <c r="C1686" s="2428">
        <v>1799999.9999999998</v>
      </c>
      <c r="D1686" s="2429">
        <v>3.5999999999999996</v>
      </c>
      <c r="E1686" s="2430">
        <v>2.1175727195647628E-2</v>
      </c>
      <c r="F1686" s="2427">
        <v>1.494873639172147E-2</v>
      </c>
      <c r="G1686" s="2429">
        <v>1.4364873331215865E-4</v>
      </c>
      <c r="H1686" s="2430">
        <v>8.7884984460991234E-3</v>
      </c>
      <c r="I1686" s="2427">
        <v>6.7472680302871277E-3</v>
      </c>
      <c r="J1686" s="2431">
        <v>5.570548732445091E-5</v>
      </c>
    </row>
    <row r="1687" spans="1:10" x14ac:dyDescent="0.2">
      <c r="A1687" s="2426" t="s">
        <v>1014</v>
      </c>
      <c r="B1687" s="2427">
        <v>0</v>
      </c>
      <c r="C1687" s="2428">
        <v>2195000.0000000005</v>
      </c>
      <c r="D1687" s="2429">
        <v>0</v>
      </c>
      <c r="E1687" s="2430">
        <v>0</v>
      </c>
      <c r="F1687" s="2427">
        <v>0</v>
      </c>
      <c r="G1687" s="2429">
        <v>0</v>
      </c>
      <c r="H1687" s="2430">
        <v>0</v>
      </c>
      <c r="I1687" s="2427">
        <v>0</v>
      </c>
      <c r="J1687" s="2431">
        <v>0</v>
      </c>
    </row>
    <row r="1688" spans="1:10" x14ac:dyDescent="0.2">
      <c r="A1688" s="2426" t="s">
        <v>970</v>
      </c>
      <c r="B1688" s="2427">
        <v>70</v>
      </c>
      <c r="C1688" s="2428">
        <v>3100000.0000000005</v>
      </c>
      <c r="D1688" s="2429">
        <v>217.00000000000003</v>
      </c>
      <c r="E1688" s="2430">
        <v>0.74115045184766692</v>
      </c>
      <c r="F1688" s="2427">
        <v>0.52320577371025156</v>
      </c>
      <c r="G1688" s="2429">
        <v>5.0277056659255538E-3</v>
      </c>
      <c r="H1688" s="2430">
        <v>0.52975115633430836</v>
      </c>
      <c r="I1688" s="2427">
        <v>0.40671032293675197</v>
      </c>
      <c r="J1688" s="2431">
        <v>3.3578029859460696E-3</v>
      </c>
    </row>
    <row r="1689" spans="1:10" x14ac:dyDescent="0.2">
      <c r="A1689" s="2426" t="s">
        <v>971</v>
      </c>
      <c r="B1689" s="2427">
        <v>3.5</v>
      </c>
      <c r="C1689" s="2428">
        <v>3010000</v>
      </c>
      <c r="D1689" s="2429">
        <v>10.535</v>
      </c>
      <c r="E1689" s="2430">
        <v>3.7057522592383346E-2</v>
      </c>
      <c r="F1689" s="2427">
        <v>2.6160288685512578E-2</v>
      </c>
      <c r="G1689" s="2429">
        <v>2.5138528329627768E-4</v>
      </c>
      <c r="H1689" s="2430">
        <v>2.5718564202681739E-2</v>
      </c>
      <c r="I1689" s="2427">
        <v>1.9745130194187475E-2</v>
      </c>
      <c r="J1689" s="2431">
        <v>1.6301591915641401E-4</v>
      </c>
    </row>
    <row r="1690" spans="1:10" x14ac:dyDescent="0.2">
      <c r="A1690" s="2426" t="s">
        <v>972</v>
      </c>
      <c r="B1690" s="2427">
        <v>19.5</v>
      </c>
      <c r="C1690" s="2428">
        <v>2744000.0000000005</v>
      </c>
      <c r="D1690" s="2429">
        <v>53.50800000000001</v>
      </c>
      <c r="E1690" s="2430">
        <v>0.20646334015756435</v>
      </c>
      <c r="F1690" s="2427">
        <v>0.14575017981928437</v>
      </c>
      <c r="G1690" s="2429">
        <v>1.400575149793547E-3</v>
      </c>
      <c r="H1690" s="2430">
        <v>0.13062638190385334</v>
      </c>
      <c r="I1690" s="2427">
        <v>0.10028689382350103</v>
      </c>
      <c r="J1690" s="2431">
        <v>8.279692265990889E-4</v>
      </c>
    </row>
    <row r="1691" spans="1:10" x14ac:dyDescent="0.2">
      <c r="A1691" s="2426" t="s">
        <v>973</v>
      </c>
      <c r="B1691" s="2427">
        <v>0</v>
      </c>
      <c r="C1691" s="2428">
        <v>2549999.9999999991</v>
      </c>
      <c r="D1691" s="2429">
        <v>0</v>
      </c>
      <c r="E1691" s="2430">
        <v>0</v>
      </c>
      <c r="F1691" s="2427">
        <v>0</v>
      </c>
      <c r="G1691" s="2429">
        <v>0</v>
      </c>
      <c r="H1691" s="2430">
        <v>0</v>
      </c>
      <c r="I1691" s="2427">
        <v>0</v>
      </c>
      <c r="J1691" s="2431">
        <v>0</v>
      </c>
    </row>
    <row r="1692" spans="1:10" x14ac:dyDescent="0.2">
      <c r="A1692" s="2426" t="s">
        <v>974</v>
      </c>
      <c r="B1692" s="2427">
        <v>22</v>
      </c>
      <c r="C1692" s="2428">
        <v>1583999.9999999995</v>
      </c>
      <c r="D1692" s="2429">
        <v>34.847999999999992</v>
      </c>
      <c r="E1692" s="2430">
        <v>0.2329329991521239</v>
      </c>
      <c r="F1692" s="2427">
        <v>0.16443610030893618</v>
      </c>
      <c r="G1692" s="2429">
        <v>1.5801360664337452E-3</v>
      </c>
      <c r="H1692" s="2430">
        <v>8.5072664958239494E-2</v>
      </c>
      <c r="I1692" s="2427">
        <v>6.5313554533179399E-2</v>
      </c>
      <c r="J1692" s="2431">
        <v>5.392291173006848E-4</v>
      </c>
    </row>
    <row r="1693" spans="1:10" x14ac:dyDescent="0.2">
      <c r="A1693" s="2426" t="s">
        <v>975</v>
      </c>
      <c r="B1693" s="2427">
        <v>35</v>
      </c>
      <c r="C1693" s="2428">
        <v>2532000.0000000009</v>
      </c>
      <c r="D1693" s="2429">
        <v>88.620000000000033</v>
      </c>
      <c r="E1693" s="2430">
        <v>0.37057522592383346</v>
      </c>
      <c r="F1693" s="2427">
        <v>0.26160288685512578</v>
      </c>
      <c r="G1693" s="2429">
        <v>2.5138528329627769E-3</v>
      </c>
      <c r="H1693" s="2430">
        <v>0.21634353674814016</v>
      </c>
      <c r="I1693" s="2427">
        <v>0.16609524801223488</v>
      </c>
      <c r="J1693" s="2431">
        <v>1.371283412970234E-3</v>
      </c>
    </row>
    <row r="1694" spans="1:10" x14ac:dyDescent="0.2">
      <c r="A1694" s="2426" t="s">
        <v>976</v>
      </c>
      <c r="B1694" s="2427">
        <v>14</v>
      </c>
      <c r="C1694" s="2428">
        <v>7394999.9999999991</v>
      </c>
      <c r="D1694" s="2429">
        <v>103.52999999999999</v>
      </c>
      <c r="E1694" s="2430">
        <v>0.14823009036953338</v>
      </c>
      <c r="F1694" s="2427">
        <v>0.10464115474205031</v>
      </c>
      <c r="G1694" s="2429">
        <v>1.0055411331851107E-3</v>
      </c>
      <c r="H1694" s="2430">
        <v>0.25274256781240062</v>
      </c>
      <c r="I1694" s="2427">
        <v>0.19404018310434065</v>
      </c>
      <c r="J1694" s="2431">
        <v>1.6019969729723341E-3</v>
      </c>
    </row>
    <row r="1695" spans="1:10" x14ac:dyDescent="0.2">
      <c r="A1695" s="2426" t="s">
        <v>286</v>
      </c>
      <c r="B1695" s="2427">
        <v>0</v>
      </c>
      <c r="C1695" s="2428">
        <v>2445000.0000000005</v>
      </c>
      <c r="D1695" s="2429">
        <v>0</v>
      </c>
      <c r="E1695" s="2430">
        <v>0</v>
      </c>
      <c r="F1695" s="2427">
        <v>0</v>
      </c>
      <c r="G1695" s="2429">
        <v>0</v>
      </c>
      <c r="H1695" s="2430">
        <v>0</v>
      </c>
      <c r="I1695" s="2427">
        <v>0</v>
      </c>
      <c r="J1695" s="2431">
        <v>0</v>
      </c>
    </row>
    <row r="1696" spans="1:10" x14ac:dyDescent="0.2">
      <c r="A1696" s="2439" t="s">
        <v>978</v>
      </c>
      <c r="B1696" s="2427">
        <v>22</v>
      </c>
      <c r="C1696" s="2428">
        <v>1850000.0000000002</v>
      </c>
      <c r="D1696" s="2429">
        <v>40.70000000000001</v>
      </c>
      <c r="E1696" s="2430">
        <v>0.2329329991521239</v>
      </c>
      <c r="F1696" s="2427">
        <v>0.16443610030893618</v>
      </c>
      <c r="G1696" s="2429">
        <v>1.5801360664337452E-3</v>
      </c>
      <c r="H1696" s="2430">
        <v>9.935885743228734E-2</v>
      </c>
      <c r="I1696" s="2427">
        <v>7.6281613564635059E-2</v>
      </c>
      <c r="J1696" s="2431">
        <v>6.2978148169587583E-4</v>
      </c>
    </row>
    <row r="1697" spans="1:10" x14ac:dyDescent="0.2">
      <c r="A1697" s="2426" t="s">
        <v>1163</v>
      </c>
      <c r="B1697" s="2427">
        <v>0</v>
      </c>
      <c r="C1697" s="2428">
        <v>0</v>
      </c>
      <c r="D1697" s="2429">
        <v>0</v>
      </c>
      <c r="E1697" s="2430">
        <v>0</v>
      </c>
      <c r="F1697" s="2427">
        <v>0</v>
      </c>
      <c r="G1697" s="2429">
        <v>0</v>
      </c>
      <c r="H1697" s="2430">
        <v>0</v>
      </c>
      <c r="I1697" s="2427">
        <v>0</v>
      </c>
      <c r="J1697" s="2431">
        <v>0</v>
      </c>
    </row>
    <row r="1698" spans="1:10" x14ac:dyDescent="0.2">
      <c r="A1698" s="2433" t="s">
        <v>287</v>
      </c>
      <c r="B1698" s="2434">
        <v>1399.2259999999999</v>
      </c>
      <c r="C1698" s="2433"/>
      <c r="D1698" s="2435">
        <v>3033.4353679999986</v>
      </c>
      <c r="E1698" s="2436">
        <v>14.814814030528623</v>
      </c>
      <c r="F1698" s="2434">
        <v>10.458330313221435</v>
      </c>
      <c r="G1698" s="2435">
        <v>0.10049852125871925</v>
      </c>
      <c r="H1698" s="2436">
        <v>7.4053727827805869</v>
      </c>
      <c r="I1698" s="2434">
        <v>5.6853893001246281</v>
      </c>
      <c r="J1698" s="2437">
        <v>4.6938609844906956E-2</v>
      </c>
    </row>
    <row r="1699" spans="1:10" x14ac:dyDescent="0.2">
      <c r="A1699" s="2440" t="s">
        <v>1835</v>
      </c>
      <c r="B1699" s="2441">
        <v>4893.4759999999997</v>
      </c>
      <c r="C1699" s="2440"/>
      <c r="D1699" s="2442">
        <v>32563.019142514164</v>
      </c>
      <c r="E1699" s="2443">
        <v>51.811456407224476</v>
      </c>
      <c r="F1699" s="2441">
        <v>36.575641381607809</v>
      </c>
      <c r="G1699" s="2442">
        <v>0.3514708144467244</v>
      </c>
      <c r="H1699" s="2443">
        <v>79.494456426189373</v>
      </c>
      <c r="I1699" s="2441">
        <v>61.030949452753781</v>
      </c>
      <c r="J1699" s="2444">
        <v>0.50387190280254868</v>
      </c>
    </row>
    <row r="1700" spans="1:10" x14ac:dyDescent="0.2">
      <c r="A1700" s="2445" t="s">
        <v>194</v>
      </c>
      <c r="B1700" s="2446">
        <v>9444.7759999999998</v>
      </c>
      <c r="C1700" s="2447"/>
      <c r="D1700" s="2448">
        <v>40962.628850414163</v>
      </c>
      <c r="E1700" s="2449">
        <v>100</v>
      </c>
      <c r="F1700" s="2446">
        <v>70.593733351428781</v>
      </c>
      <c r="G1700" s="2448">
        <v>0.67836505440853834</v>
      </c>
      <c r="H1700" s="2449">
        <v>100</v>
      </c>
      <c r="I1700" s="2446">
        <v>76.773843355254627</v>
      </c>
      <c r="J1700" s="2450">
        <v>0.63384533394525933</v>
      </c>
    </row>
    <row r="1701" spans="1:10" x14ac:dyDescent="0.2">
      <c r="A1701" s="2451" t="s">
        <v>1852</v>
      </c>
      <c r="B1701" s="2427"/>
      <c r="C1701" s="2452"/>
      <c r="D1701" s="2429"/>
      <c r="E1701" s="2430"/>
      <c r="F1701" s="2427">
        <v>0</v>
      </c>
      <c r="G1701" s="2429"/>
      <c r="H1701" s="2430"/>
      <c r="I1701" s="2427">
        <v>0</v>
      </c>
      <c r="J1701" s="2431">
        <v>0</v>
      </c>
    </row>
    <row r="1702" spans="1:10" x14ac:dyDescent="0.2">
      <c r="A1702" s="2453" t="s">
        <v>1836</v>
      </c>
      <c r="B1702" s="2427">
        <v>0</v>
      </c>
      <c r="C1702" s="2428">
        <v>8033612.4975057133</v>
      </c>
      <c r="D1702" s="2429">
        <v>0</v>
      </c>
      <c r="E1702" s="2430">
        <v>0</v>
      </c>
      <c r="F1702" s="2427">
        <v>0</v>
      </c>
      <c r="G1702" s="2429">
        <v>0</v>
      </c>
      <c r="H1702" s="2430">
        <v>0</v>
      </c>
      <c r="I1702" s="2427">
        <v>0</v>
      </c>
      <c r="J1702" s="2431">
        <v>0</v>
      </c>
    </row>
    <row r="1703" spans="1:10" x14ac:dyDescent="0.2">
      <c r="A1703" s="2453" t="s">
        <v>1837</v>
      </c>
      <c r="B1703" s="2427">
        <v>3253.61</v>
      </c>
      <c r="C1703" s="2428">
        <v>2214764.1578067578</v>
      </c>
      <c r="D1703" s="2429">
        <v>7205.9788114816456</v>
      </c>
      <c r="E1703" s="2430">
        <v>83.704133194024109</v>
      </c>
      <c r="F1703" s="2427">
        <v>24.31867910573445</v>
      </c>
      <c r="G1703" s="2429">
        <v>0.23368847759588626</v>
      </c>
      <c r="H1703" s="2430">
        <v>61.10982862639667</v>
      </c>
      <c r="I1703" s="2427">
        <v>13.505741794899039</v>
      </c>
      <c r="J1703" s="2431">
        <v>0.11150348926201464</v>
      </c>
    </row>
    <row r="1704" spans="1:10" x14ac:dyDescent="0.2">
      <c r="A1704" s="2454" t="s">
        <v>309</v>
      </c>
      <c r="B1704" s="2434">
        <v>3253.61</v>
      </c>
      <c r="C1704" s="2433"/>
      <c r="D1704" s="2435">
        <v>7205.9788114816456</v>
      </c>
      <c r="E1704" s="2436">
        <v>83.704133194024109</v>
      </c>
      <c r="F1704" s="2434">
        <v>24.31867910573445</v>
      </c>
      <c r="G1704" s="2435">
        <v>0.23368847759588626</v>
      </c>
      <c r="H1704" s="2436">
        <v>61.10982862639667</v>
      </c>
      <c r="I1704" s="2434">
        <v>13.505741794899039</v>
      </c>
      <c r="J1704" s="2437">
        <v>0.11150348926201464</v>
      </c>
    </row>
    <row r="1705" spans="1:10" x14ac:dyDescent="0.2">
      <c r="A1705" s="2453" t="s">
        <v>1838</v>
      </c>
      <c r="B1705" s="2427">
        <v>0</v>
      </c>
      <c r="C1705" s="2428">
        <v>10407427.50198495</v>
      </c>
      <c r="D1705" s="2429">
        <v>0</v>
      </c>
      <c r="E1705" s="2430">
        <v>0</v>
      </c>
      <c r="F1705" s="2427">
        <v>0</v>
      </c>
      <c r="G1705" s="2429">
        <v>0</v>
      </c>
      <c r="H1705" s="2430">
        <v>0</v>
      </c>
      <c r="I1705" s="2427">
        <v>0</v>
      </c>
      <c r="J1705" s="2431">
        <v>0</v>
      </c>
    </row>
    <row r="1706" spans="1:10" x14ac:dyDescent="0.2">
      <c r="A1706" s="2454" t="s">
        <v>315</v>
      </c>
      <c r="B1706" s="2434">
        <v>0</v>
      </c>
      <c r="C1706" s="2455"/>
      <c r="D1706" s="2435">
        <v>0</v>
      </c>
      <c r="E1706" s="2436">
        <v>0</v>
      </c>
      <c r="F1706" s="2434">
        <v>0</v>
      </c>
      <c r="G1706" s="2435">
        <v>0</v>
      </c>
      <c r="H1706" s="2436">
        <v>0</v>
      </c>
      <c r="I1706" s="2434">
        <v>0</v>
      </c>
      <c r="J1706" s="2437">
        <v>0</v>
      </c>
    </row>
    <row r="1707" spans="1:10" x14ac:dyDescent="0.2">
      <c r="A1707" s="2453" t="s">
        <v>1541</v>
      </c>
      <c r="B1707" s="2427">
        <v>23.388750000000002</v>
      </c>
      <c r="C1707" s="2428">
        <v>10553660</v>
      </c>
      <c r="D1707" s="2429">
        <v>246.83691532500001</v>
      </c>
      <c r="E1707" s="2430">
        <v>0.60171165113265923</v>
      </c>
      <c r="F1707" s="2427">
        <v>0.1748161291409378</v>
      </c>
      <c r="G1707" s="2429">
        <v>1.6798821556273757E-3</v>
      </c>
      <c r="H1707" s="2430">
        <v>2.0932842003566243</v>
      </c>
      <c r="I1707" s="2427">
        <v>0.46263189651862874</v>
      </c>
      <c r="J1707" s="2431">
        <v>3.819491849400931E-3</v>
      </c>
    </row>
    <row r="1708" spans="1:10" x14ac:dyDescent="0.2">
      <c r="A1708" s="2453" t="s">
        <v>206</v>
      </c>
      <c r="B1708" s="2427">
        <v>607.1875</v>
      </c>
      <c r="C1708" s="2428">
        <v>6960000</v>
      </c>
      <c r="D1708" s="2429">
        <v>4226.0249999999996</v>
      </c>
      <c r="E1708" s="2430">
        <v>15.620834511126569</v>
      </c>
      <c r="F1708" s="2427">
        <v>4.5383429389241909</v>
      </c>
      <c r="G1708" s="2429">
        <v>4.361085762898817E-2</v>
      </c>
      <c r="H1708" s="2430">
        <v>35.838526628663224</v>
      </c>
      <c r="I1708" s="2427">
        <v>7.9205898271372668</v>
      </c>
      <c r="J1708" s="2431">
        <v>6.5392439463975743E-2</v>
      </c>
    </row>
    <row r="1709" spans="1:10" x14ac:dyDescent="0.2">
      <c r="A1709" s="2454" t="s">
        <v>310</v>
      </c>
      <c r="B1709" s="2434">
        <v>630.57624999999996</v>
      </c>
      <c r="C1709" s="2455"/>
      <c r="D1709" s="2435">
        <v>4472.8619153249992</v>
      </c>
      <c r="E1709" s="2436">
        <v>16.222546162259228</v>
      </c>
      <c r="F1709" s="2434">
        <v>4.7131590680651279</v>
      </c>
      <c r="G1709" s="2435">
        <v>4.5290739784615543E-2</v>
      </c>
      <c r="H1709" s="2436">
        <v>37.931810829019845</v>
      </c>
      <c r="I1709" s="2434">
        <v>8.3832217236558932</v>
      </c>
      <c r="J1709" s="2437">
        <v>6.9211931313376662E-2</v>
      </c>
    </row>
    <row r="1710" spans="1:10" x14ac:dyDescent="0.2">
      <c r="A1710" s="2453" t="s">
        <v>1839</v>
      </c>
      <c r="B1710" s="2427">
        <v>2.85</v>
      </c>
      <c r="C1710" s="2428">
        <v>39652080.629353955</v>
      </c>
      <c r="D1710" s="2429">
        <v>113.00842979365878</v>
      </c>
      <c r="E1710" s="2430">
        <v>7.3320643716662026E-2</v>
      </c>
      <c r="F1710" s="2427">
        <v>2.13019493582031E-2</v>
      </c>
      <c r="G1710" s="2429">
        <v>2.0469944496982609E-4</v>
      </c>
      <c r="H1710" s="2430">
        <v>0.95836054458349373</v>
      </c>
      <c r="I1710" s="2427">
        <v>0.21180504597213928</v>
      </c>
      <c r="J1710" s="2431">
        <v>1.7486637926185447E-3</v>
      </c>
    </row>
    <row r="1711" spans="1:10" x14ac:dyDescent="0.2">
      <c r="A1711" s="2454" t="s">
        <v>311</v>
      </c>
      <c r="B1711" s="2434">
        <v>2.85</v>
      </c>
      <c r="C1711" s="2433"/>
      <c r="D1711" s="2435">
        <v>113.00842979365878</v>
      </c>
      <c r="E1711" s="2436">
        <v>7.3320643716662026E-2</v>
      </c>
      <c r="F1711" s="2434">
        <v>2.13019493582031E-2</v>
      </c>
      <c r="G1711" s="2435">
        <v>2.0469944496982609E-4</v>
      </c>
      <c r="H1711" s="2436">
        <v>0.95836054458349373</v>
      </c>
      <c r="I1711" s="2434">
        <v>0.21180504597213928</v>
      </c>
      <c r="J1711" s="2437">
        <v>1.7486637926185447E-3</v>
      </c>
    </row>
    <row r="1712" spans="1:10" x14ac:dyDescent="0.2">
      <c r="A1712" s="2445" t="s">
        <v>129</v>
      </c>
      <c r="B1712" s="2446">
        <v>3887.0362500000001</v>
      </c>
      <c r="C1712" s="2447"/>
      <c r="D1712" s="2448">
        <v>11791.849156600303</v>
      </c>
      <c r="E1712" s="2449">
        <v>99.999999999999986</v>
      </c>
      <c r="F1712" s="2446">
        <v>29.053140123157782</v>
      </c>
      <c r="G1712" s="2448">
        <v>0.27918391682547167</v>
      </c>
      <c r="H1712" s="2449">
        <v>100.00000000000001</v>
      </c>
      <c r="I1712" s="2446">
        <v>22.100768564527073</v>
      </c>
      <c r="J1712" s="2450">
        <v>0.18246408436800984</v>
      </c>
    </row>
    <row r="1713" spans="1:10" x14ac:dyDescent="0.2">
      <c r="A1713" s="2451" t="s">
        <v>1853</v>
      </c>
      <c r="B1713" s="2427"/>
      <c r="C1713" s="2452"/>
      <c r="D1713" s="2429"/>
      <c r="E1713" s="2430"/>
      <c r="F1713" s="2427">
        <v>0</v>
      </c>
      <c r="G1713" s="2429"/>
      <c r="H1713" s="2430"/>
      <c r="I1713" s="2427">
        <v>0</v>
      </c>
      <c r="J1713" s="2431">
        <v>0</v>
      </c>
    </row>
    <row r="1714" spans="1:10" x14ac:dyDescent="0.2">
      <c r="A1714" s="2426" t="s">
        <v>1543</v>
      </c>
      <c r="B1714" s="2427">
        <v>40</v>
      </c>
      <c r="C1714" s="2428">
        <v>13200000</v>
      </c>
      <c r="D1714" s="2429">
        <v>528</v>
      </c>
      <c r="E1714" s="2430">
        <v>84.665043919991533</v>
      </c>
      <c r="F1714" s="2427">
        <v>0.29897472783442941</v>
      </c>
      <c r="G1714" s="2429">
        <v>2.872974666243173E-3</v>
      </c>
      <c r="H1714" s="2430">
        <v>87.93404946290282</v>
      </c>
      <c r="I1714" s="2427">
        <v>0.98959931110877886</v>
      </c>
      <c r="J1714" s="2431">
        <v>8.1701381409194675E-3</v>
      </c>
    </row>
    <row r="1715" spans="1:10" x14ac:dyDescent="0.2">
      <c r="A1715" s="2426" t="s">
        <v>208</v>
      </c>
      <c r="B1715" s="2427">
        <v>6.12</v>
      </c>
      <c r="C1715" s="2428">
        <v>10000000</v>
      </c>
      <c r="D1715" s="2429">
        <v>61.2</v>
      </c>
      <c r="E1715" s="2430">
        <v>12.953751719758705</v>
      </c>
      <c r="F1715" s="2427">
        <v>4.5743133358667705E-2</v>
      </c>
      <c r="G1715" s="2429">
        <v>4.3956512393520547E-4</v>
      </c>
      <c r="H1715" s="2430">
        <v>10.192355733200099</v>
      </c>
      <c r="I1715" s="2427">
        <v>0.11470355651488119</v>
      </c>
      <c r="J1715" s="2431">
        <v>9.4699328451566572E-4</v>
      </c>
    </row>
    <row r="1716" spans="1:10" x14ac:dyDescent="0.2">
      <c r="A1716" s="2426" t="s">
        <v>209</v>
      </c>
      <c r="B1716" s="2427">
        <v>0</v>
      </c>
      <c r="C1716" s="2428">
        <v>10000000</v>
      </c>
      <c r="D1716" s="2429">
        <v>0</v>
      </c>
      <c r="E1716" s="2430">
        <v>0</v>
      </c>
      <c r="F1716" s="2427">
        <v>0</v>
      </c>
      <c r="G1716" s="2429">
        <v>0</v>
      </c>
      <c r="H1716" s="2430">
        <v>0</v>
      </c>
      <c r="I1716" s="2427">
        <v>0</v>
      </c>
      <c r="J1716" s="2431">
        <v>0</v>
      </c>
    </row>
    <row r="1717" spans="1:10" x14ac:dyDescent="0.2">
      <c r="A1717" s="2426" t="s">
        <v>210</v>
      </c>
      <c r="B1717" s="2427">
        <v>0</v>
      </c>
      <c r="C1717" s="2428">
        <v>18500000</v>
      </c>
      <c r="D1717" s="2429">
        <v>0</v>
      </c>
      <c r="E1717" s="2430">
        <v>0</v>
      </c>
      <c r="F1717" s="2427">
        <v>0</v>
      </c>
      <c r="G1717" s="2429">
        <v>0</v>
      </c>
      <c r="H1717" s="2430">
        <v>0</v>
      </c>
      <c r="I1717" s="2427">
        <v>0</v>
      </c>
      <c r="J1717" s="2431">
        <v>0</v>
      </c>
    </row>
    <row r="1718" spans="1:10" x14ac:dyDescent="0.2">
      <c r="A1718" s="2426" t="s">
        <v>1545</v>
      </c>
      <c r="B1718" s="2427">
        <v>0</v>
      </c>
      <c r="C1718" s="2428">
        <v>14200000</v>
      </c>
      <c r="D1718" s="2429">
        <v>0</v>
      </c>
      <c r="E1718" s="2430">
        <v>0</v>
      </c>
      <c r="F1718" s="2427">
        <v>0</v>
      </c>
      <c r="G1718" s="2429">
        <v>0</v>
      </c>
      <c r="H1718" s="2430">
        <v>0</v>
      </c>
      <c r="I1718" s="2427">
        <v>0</v>
      </c>
      <c r="J1718" s="2431">
        <v>0</v>
      </c>
    </row>
    <row r="1719" spans="1:10" x14ac:dyDescent="0.2">
      <c r="A1719" s="2426" t="s">
        <v>1546</v>
      </c>
      <c r="B1719" s="2427">
        <v>1.125</v>
      </c>
      <c r="C1719" s="2428">
        <v>10000000</v>
      </c>
      <c r="D1719" s="2429">
        <v>11.25</v>
      </c>
      <c r="E1719" s="2430">
        <v>2.3812043602497619</v>
      </c>
      <c r="F1719" s="2427">
        <v>8.4086642203433284E-3</v>
      </c>
      <c r="G1719" s="2429">
        <v>8.0802412488089248E-5</v>
      </c>
      <c r="H1719" s="2430">
        <v>1.8735948038970769</v>
      </c>
      <c r="I1719" s="2427">
        <v>2.1085212594647278E-2</v>
      </c>
      <c r="J1719" s="2431">
        <v>1.7407964788890913E-4</v>
      </c>
    </row>
    <row r="1720" spans="1:10" x14ac:dyDescent="0.2">
      <c r="A1720" s="2445" t="s">
        <v>121</v>
      </c>
      <c r="B1720" s="2446">
        <v>47.244999999999997</v>
      </c>
      <c r="C1720" s="2447"/>
      <c r="D1720" s="2448">
        <v>600.45000000000005</v>
      </c>
      <c r="E1720" s="2449">
        <v>100</v>
      </c>
      <c r="F1720" s="2446">
        <v>0.35312652541344047</v>
      </c>
      <c r="G1720" s="2448">
        <v>3.393342202666468E-3</v>
      </c>
      <c r="H1720" s="2449">
        <v>100</v>
      </c>
      <c r="I1720" s="2446">
        <v>1.1253880802183074</v>
      </c>
      <c r="J1720" s="2450">
        <v>9.2912110733240436E-3</v>
      </c>
    </row>
    <row r="1721" spans="1:10" ht="14.25" thickBot="1" x14ac:dyDescent="0.25">
      <c r="A1721" s="2457" t="s">
        <v>1840</v>
      </c>
      <c r="B1721" s="2446">
        <v>13379.05725</v>
      </c>
      <c r="C1721" s="2458"/>
      <c r="D1721" s="2448">
        <v>53354.92800701446</v>
      </c>
      <c r="E1721" s="2459"/>
      <c r="F1721" s="2460">
        <v>100</v>
      </c>
      <c r="G1721" s="2461">
        <v>0.96094231343667647</v>
      </c>
      <c r="H1721" s="2462"/>
      <c r="I1721" s="2460">
        <v>100</v>
      </c>
      <c r="J1721" s="2463">
        <v>0.82560062938659329</v>
      </c>
    </row>
    <row r="1722" spans="1:10" ht="15" thickBot="1" x14ac:dyDescent="0.25">
      <c r="A1722" s="2464" t="s">
        <v>1841</v>
      </c>
      <c r="B1722" s="2465">
        <v>1392285.1624830281</v>
      </c>
      <c r="C1722" s="2466"/>
      <c r="D1722" s="2467">
        <v>6462559.0276810033</v>
      </c>
      <c r="E1722" s="2468"/>
      <c r="F1722" s="2469"/>
      <c r="G1722" s="2469"/>
      <c r="H1722" s="2469"/>
      <c r="I1722" s="2469"/>
      <c r="J1722" s="2469"/>
    </row>
    <row r="1723" spans="1:10" ht="16.5" thickBot="1" x14ac:dyDescent="0.3">
      <c r="A1723" s="2470" t="s">
        <v>1842</v>
      </c>
      <c r="B1723" s="2471">
        <v>0.96094231343667647</v>
      </c>
      <c r="C1723" s="2472"/>
      <c r="D1723" s="2473">
        <v>0.82560062938659318</v>
      </c>
      <c r="E1723" s="2468"/>
      <c r="F1723" s="2469"/>
      <c r="G1723" s="2469"/>
      <c r="H1723" s="2469"/>
      <c r="I1723" s="2469"/>
      <c r="J1723" s="2469"/>
    </row>
    <row r="1724" spans="1:10" x14ac:dyDescent="0.2">
      <c r="A1724" s="2474" t="s">
        <v>2023</v>
      </c>
      <c r="B1724" s="2474"/>
      <c r="C1724" s="2474"/>
      <c r="D1724" s="2475"/>
      <c r="E1724" s="2474"/>
      <c r="F1724" s="2474"/>
      <c r="H1724" s="2474"/>
      <c r="I1724" s="2474"/>
      <c r="J1724" s="2474"/>
    </row>
    <row r="1725" spans="1:10" x14ac:dyDescent="0.2">
      <c r="A1725" s="2474" t="s">
        <v>1843</v>
      </c>
      <c r="B1725" s="2474"/>
      <c r="C1725" s="2474"/>
      <c r="D1725" s="2474"/>
      <c r="E1725" s="2474"/>
      <c r="F1725" s="2474"/>
      <c r="G1725" s="2474"/>
      <c r="H1725" s="2474"/>
      <c r="I1725" s="2474"/>
      <c r="J1725" s="2474"/>
    </row>
    <row r="1726" spans="1:10" x14ac:dyDescent="0.2">
      <c r="A1726" s="2474" t="s">
        <v>2024</v>
      </c>
      <c r="B1726" s="2474"/>
      <c r="C1726" s="2474"/>
      <c r="D1726" s="2474"/>
      <c r="E1726" s="2474"/>
      <c r="F1726" s="2474"/>
      <c r="G1726" s="2474"/>
      <c r="H1726" s="2474"/>
      <c r="I1726" s="2474"/>
      <c r="J1726" s="2474"/>
    </row>
    <row r="1730" spans="1:12" ht="13.5" thickBot="1" x14ac:dyDescent="0.25">
      <c r="A1730" s="3321" t="s">
        <v>2021</v>
      </c>
      <c r="B1730" s="3321"/>
      <c r="C1730" s="3321"/>
      <c r="D1730" s="3321"/>
      <c r="E1730" s="3321"/>
      <c r="F1730" s="3321"/>
      <c r="G1730" s="3321"/>
      <c r="H1730" s="3321"/>
      <c r="I1730" s="3321"/>
      <c r="J1730" s="3321"/>
    </row>
    <row r="1731" spans="1:12" ht="13.5" customHeight="1" thickBot="1" x14ac:dyDescent="0.25">
      <c r="A1731" s="3322" t="s">
        <v>373</v>
      </c>
      <c r="B1731" s="3324" t="s">
        <v>1272</v>
      </c>
      <c r="C1731" s="3324" t="s">
        <v>1832</v>
      </c>
      <c r="D1731" s="3326" t="s">
        <v>1844</v>
      </c>
      <c r="E1731" s="3328" t="s">
        <v>1849</v>
      </c>
      <c r="F1731" s="3329"/>
      <c r="G1731" s="3330"/>
      <c r="H1731" s="3328" t="s">
        <v>1850</v>
      </c>
      <c r="I1731" s="3329"/>
      <c r="J1731" s="3331"/>
    </row>
    <row r="1732" spans="1:12" ht="13.5" customHeight="1" thickBot="1" x14ac:dyDescent="0.25">
      <c r="A1732" s="3323"/>
      <c r="B1732" s="3325"/>
      <c r="C1732" s="3325"/>
      <c r="D1732" s="3327"/>
      <c r="E1732" s="2415" t="s">
        <v>1848</v>
      </c>
      <c r="F1732" s="2416" t="s">
        <v>1231</v>
      </c>
      <c r="G1732" s="2417" t="s">
        <v>1833</v>
      </c>
      <c r="H1732" s="2415" t="s">
        <v>1848</v>
      </c>
      <c r="I1732" s="2416" t="s">
        <v>1231</v>
      </c>
      <c r="J1732" s="2418" t="s">
        <v>1833</v>
      </c>
    </row>
    <row r="1733" spans="1:12" x14ac:dyDescent="0.2">
      <c r="A1733" s="2419" t="s">
        <v>1851</v>
      </c>
      <c r="B1733" s="2420"/>
      <c r="C1733" s="2420"/>
      <c r="D1733" s="2421"/>
      <c r="E1733" s="2422"/>
      <c r="F1733" s="2423"/>
      <c r="G1733" s="2424"/>
      <c r="H1733" s="2422"/>
      <c r="I1733" s="2423"/>
      <c r="J1733" s="2425"/>
      <c r="L1733" s="2482"/>
    </row>
    <row r="1734" spans="1:12" x14ac:dyDescent="0.2">
      <c r="A1734" s="2426" t="s">
        <v>410</v>
      </c>
      <c r="B1734" s="2427">
        <v>0</v>
      </c>
      <c r="C1734" s="2428">
        <v>5667200.0000000009</v>
      </c>
      <c r="D1734" s="2429">
        <v>0</v>
      </c>
      <c r="E1734" s="2430">
        <v>0</v>
      </c>
      <c r="F1734" s="2427">
        <v>0</v>
      </c>
      <c r="G1734" s="2429">
        <v>0</v>
      </c>
      <c r="H1734" s="2430">
        <v>0</v>
      </c>
      <c r="I1734" s="2427">
        <v>0</v>
      </c>
      <c r="J1734" s="2431">
        <v>0</v>
      </c>
    </row>
    <row r="1735" spans="1:12" x14ac:dyDescent="0.2">
      <c r="A1735" s="2426" t="s">
        <v>411</v>
      </c>
      <c r="B1735" s="2427">
        <v>9330</v>
      </c>
      <c r="C1735" s="2428">
        <v>1753716.5000000002</v>
      </c>
      <c r="D1735" s="2429">
        <v>16362.174945000002</v>
      </c>
      <c r="E1735" s="2430">
        <v>68.094252078790518</v>
      </c>
      <c r="F1735" s="2427">
        <v>44.93506233307081</v>
      </c>
      <c r="G1735" s="2429">
        <v>0.67012134090122022</v>
      </c>
      <c r="H1735" s="2430">
        <v>43.600709361351484</v>
      </c>
      <c r="I1735" s="2427">
        <v>29.047372793754928</v>
      </c>
      <c r="J1735" s="2431">
        <v>0.25318414694420727</v>
      </c>
    </row>
    <row r="1736" spans="1:12" x14ac:dyDescent="0.2">
      <c r="A1736" s="2426" t="s">
        <v>278</v>
      </c>
      <c r="B1736" s="2427">
        <v>1008.7</v>
      </c>
      <c r="C1736" s="2428">
        <v>1637875</v>
      </c>
      <c r="D1736" s="2429">
        <v>1652.1245125</v>
      </c>
      <c r="E1736" s="2430">
        <v>7.3619155489684882</v>
      </c>
      <c r="F1736" s="2427">
        <v>4.8580918944660807</v>
      </c>
      <c r="G1736" s="2429">
        <v>7.2449238645987221E-2</v>
      </c>
      <c r="H1736" s="2430">
        <v>4.4024587770520878</v>
      </c>
      <c r="I1736" s="2427">
        <v>2.932976623071311</v>
      </c>
      <c r="J1736" s="2431">
        <v>2.5564555858189838E-2</v>
      </c>
    </row>
    <row r="1737" spans="1:12" x14ac:dyDescent="0.2">
      <c r="A1737" s="2426" t="s">
        <v>200</v>
      </c>
      <c r="B1737" s="2427">
        <v>115</v>
      </c>
      <c r="C1737" s="2428">
        <v>7709114.5</v>
      </c>
      <c r="D1737" s="2429">
        <v>886.54816749999998</v>
      </c>
      <c r="E1737" s="2430">
        <v>0.83931821962067621</v>
      </c>
      <c r="F1737" s="2427">
        <v>0.55386196873559956</v>
      </c>
      <c r="G1737" s="2429">
        <v>8.2598021654491233E-3</v>
      </c>
      <c r="H1737" s="2430">
        <v>2.3624077554444121</v>
      </c>
      <c r="I1737" s="2427">
        <v>1.5738674844606841</v>
      </c>
      <c r="J1737" s="2431">
        <v>1.3718221585329567E-2</v>
      </c>
    </row>
    <row r="1738" spans="1:12" x14ac:dyDescent="0.2">
      <c r="A1738" s="2426" t="s">
        <v>429</v>
      </c>
      <c r="B1738" s="2427">
        <v>0</v>
      </c>
      <c r="C1738" s="2428">
        <v>1255000</v>
      </c>
      <c r="D1738" s="2429">
        <v>0</v>
      </c>
      <c r="E1738" s="2430">
        <v>0</v>
      </c>
      <c r="F1738" s="2427">
        <v>0</v>
      </c>
      <c r="G1738" s="2429">
        <v>0</v>
      </c>
      <c r="H1738" s="2430">
        <v>0</v>
      </c>
      <c r="I1738" s="2427">
        <v>0</v>
      </c>
      <c r="J1738" s="2431">
        <v>0</v>
      </c>
    </row>
    <row r="1739" spans="1:12" x14ac:dyDescent="0.2">
      <c r="A1739" s="2432" t="s">
        <v>431</v>
      </c>
      <c r="B1739" s="2427">
        <v>0</v>
      </c>
      <c r="C1739" s="2428">
        <v>0</v>
      </c>
      <c r="D1739" s="2429">
        <v>0</v>
      </c>
      <c r="E1739" s="2430">
        <v>0</v>
      </c>
      <c r="F1739" s="2427">
        <v>0</v>
      </c>
      <c r="G1739" s="2429">
        <v>0</v>
      </c>
      <c r="H1739" s="2430">
        <v>0</v>
      </c>
      <c r="I1739" s="2427">
        <v>0</v>
      </c>
      <c r="J1739" s="2431">
        <v>0</v>
      </c>
    </row>
    <row r="1740" spans="1:12" x14ac:dyDescent="0.2">
      <c r="A1740" s="2432" t="s">
        <v>430</v>
      </c>
      <c r="B1740" s="2427">
        <v>0</v>
      </c>
      <c r="C1740" s="2428">
        <v>0</v>
      </c>
      <c r="D1740" s="2429">
        <v>0</v>
      </c>
      <c r="E1740" s="2430">
        <v>0</v>
      </c>
      <c r="F1740" s="2427">
        <v>0</v>
      </c>
      <c r="G1740" s="2429">
        <v>0</v>
      </c>
      <c r="H1740" s="2430">
        <v>0</v>
      </c>
      <c r="I1740" s="2427">
        <v>0</v>
      </c>
      <c r="J1740" s="2431">
        <v>0</v>
      </c>
    </row>
    <row r="1741" spans="1:12" x14ac:dyDescent="0.2">
      <c r="A1741" s="2433" t="s">
        <v>279</v>
      </c>
      <c r="B1741" s="2434">
        <v>10453.700000000001</v>
      </c>
      <c r="C1741" s="2433"/>
      <c r="D1741" s="2435">
        <v>18900.847625000002</v>
      </c>
      <c r="E1741" s="2436">
        <v>76.29548584737968</v>
      </c>
      <c r="F1741" s="2434">
        <v>50.347016196272499</v>
      </c>
      <c r="G1741" s="2435">
        <v>0.75083038171265648</v>
      </c>
      <c r="H1741" s="2436">
        <v>50.365575893847989</v>
      </c>
      <c r="I1741" s="2434">
        <v>33.554216901286921</v>
      </c>
      <c r="J1741" s="2437">
        <v>0.29246692438772665</v>
      </c>
    </row>
    <row r="1742" spans="1:12" x14ac:dyDescent="0.2">
      <c r="A1742" s="2438" t="s">
        <v>412</v>
      </c>
      <c r="B1742" s="2427">
        <v>0</v>
      </c>
      <c r="C1742" s="2428">
        <v>4129499.9999999995</v>
      </c>
      <c r="D1742" s="2429">
        <v>0</v>
      </c>
      <c r="E1742" s="2430">
        <v>0</v>
      </c>
      <c r="F1742" s="2427">
        <v>0</v>
      </c>
      <c r="G1742" s="2429">
        <v>0</v>
      </c>
      <c r="H1742" s="2430">
        <v>0</v>
      </c>
      <c r="I1742" s="2427">
        <v>0</v>
      </c>
      <c r="J1742" s="2431">
        <v>0</v>
      </c>
    </row>
    <row r="1743" spans="1:12" x14ac:dyDescent="0.2">
      <c r="A1743" s="2438" t="s">
        <v>413</v>
      </c>
      <c r="B1743" s="2427">
        <v>0</v>
      </c>
      <c r="C1743" s="2428">
        <v>1200000</v>
      </c>
      <c r="D1743" s="2429">
        <v>0</v>
      </c>
      <c r="E1743" s="2430">
        <v>0</v>
      </c>
      <c r="F1743" s="2427">
        <v>0</v>
      </c>
      <c r="G1743" s="2429">
        <v>0</v>
      </c>
      <c r="H1743" s="2430">
        <v>0</v>
      </c>
      <c r="I1743" s="2427">
        <v>0</v>
      </c>
      <c r="J1743" s="2431">
        <v>0</v>
      </c>
    </row>
    <row r="1744" spans="1:12" x14ac:dyDescent="0.2">
      <c r="A1744" s="2426" t="s">
        <v>90</v>
      </c>
      <c r="B1744" s="2427">
        <v>0</v>
      </c>
      <c r="C1744" s="2428">
        <v>1743000</v>
      </c>
      <c r="D1744" s="2429">
        <v>0</v>
      </c>
      <c r="E1744" s="2430">
        <v>0</v>
      </c>
      <c r="F1744" s="2427">
        <v>0</v>
      </c>
      <c r="G1744" s="2429">
        <v>0</v>
      </c>
      <c r="H1744" s="2430">
        <v>0</v>
      </c>
      <c r="I1744" s="2427">
        <v>0</v>
      </c>
      <c r="J1744" s="2431">
        <v>0</v>
      </c>
    </row>
    <row r="1745" spans="1:10" x14ac:dyDescent="0.2">
      <c r="A1745" s="2426" t="s">
        <v>417</v>
      </c>
      <c r="B1745" s="2427">
        <v>20</v>
      </c>
      <c r="C1745" s="2428">
        <v>2563999.9999999995</v>
      </c>
      <c r="D1745" s="2429">
        <v>51.279999999999994</v>
      </c>
      <c r="E1745" s="2430">
        <v>0.14596838602098716</v>
      </c>
      <c r="F1745" s="2427">
        <v>9.6323820649669475E-2</v>
      </c>
      <c r="G1745" s="2429">
        <v>1.4364873331215865E-3</v>
      </c>
      <c r="H1745" s="2430">
        <v>0.13664713789980221</v>
      </c>
      <c r="I1745" s="2427">
        <v>9.1036141703088991E-2</v>
      </c>
      <c r="J1745" s="2431">
        <v>7.9349371944384536E-4</v>
      </c>
    </row>
    <row r="1746" spans="1:10" x14ac:dyDescent="0.2">
      <c r="A1746" s="2426" t="s">
        <v>418</v>
      </c>
      <c r="B1746" s="2427">
        <v>29</v>
      </c>
      <c r="C1746" s="2428">
        <v>2222500</v>
      </c>
      <c r="D1746" s="2429">
        <v>64.452500000000001</v>
      </c>
      <c r="E1746" s="2430">
        <v>0.21165415973043142</v>
      </c>
      <c r="F1746" s="2427">
        <v>0.13966953994202075</v>
      </c>
      <c r="G1746" s="2429">
        <v>2.0829066330263005E-3</v>
      </c>
      <c r="H1746" s="2430">
        <v>0.17174823821152502</v>
      </c>
      <c r="I1746" s="2427">
        <v>0.11442096183928128</v>
      </c>
      <c r="J1746" s="2431">
        <v>9.9732164493865913E-4</v>
      </c>
    </row>
    <row r="1747" spans="1:10" x14ac:dyDescent="0.2">
      <c r="A1747" s="2426" t="s">
        <v>423</v>
      </c>
      <c r="B1747" s="2427">
        <v>165</v>
      </c>
      <c r="C1747" s="2428">
        <v>2531500</v>
      </c>
      <c r="D1747" s="2429">
        <v>417.69749999999999</v>
      </c>
      <c r="E1747" s="2430">
        <v>1.2042391846731442</v>
      </c>
      <c r="F1747" s="2427">
        <v>0.79467152035977329</v>
      </c>
      <c r="G1747" s="2429">
        <v>1.185102049825309E-2</v>
      </c>
      <c r="H1747" s="2430">
        <v>1.113049295688429</v>
      </c>
      <c r="I1747" s="2427">
        <v>0.74152825271111578</v>
      </c>
      <c r="J1747" s="2431">
        <v>6.4633452199180106E-3</v>
      </c>
    </row>
    <row r="1748" spans="1:10" x14ac:dyDescent="0.2">
      <c r="A1748" s="2426" t="s">
        <v>424</v>
      </c>
      <c r="B1748" s="2427">
        <v>0</v>
      </c>
      <c r="C1748" s="2428">
        <v>1369000</v>
      </c>
      <c r="D1748" s="2429">
        <v>0</v>
      </c>
      <c r="E1748" s="2430">
        <v>0</v>
      </c>
      <c r="F1748" s="2427">
        <v>0</v>
      </c>
      <c r="G1748" s="2429">
        <v>0</v>
      </c>
      <c r="H1748" s="2430">
        <v>0</v>
      </c>
      <c r="I1748" s="2427">
        <v>0</v>
      </c>
      <c r="J1748" s="2431">
        <v>0</v>
      </c>
    </row>
    <row r="1749" spans="1:10" x14ac:dyDescent="0.2">
      <c r="A1749" s="2426" t="s">
        <v>280</v>
      </c>
      <c r="B1749" s="2427">
        <v>0</v>
      </c>
      <c r="C1749" s="2428">
        <v>1574500</v>
      </c>
      <c r="D1749" s="2429">
        <v>0</v>
      </c>
      <c r="E1749" s="2430">
        <v>0</v>
      </c>
      <c r="F1749" s="2427">
        <v>0</v>
      </c>
      <c r="G1749" s="2429">
        <v>0</v>
      </c>
      <c r="H1749" s="2430">
        <v>0</v>
      </c>
      <c r="I1749" s="2427">
        <v>0</v>
      </c>
      <c r="J1749" s="2431">
        <v>0</v>
      </c>
    </row>
    <row r="1750" spans="1:10" x14ac:dyDescent="0.2">
      <c r="A1750" s="2426" t="s">
        <v>427</v>
      </c>
      <c r="B1750" s="2427">
        <v>0</v>
      </c>
      <c r="C1750" s="2428">
        <v>2072000</v>
      </c>
      <c r="D1750" s="2429">
        <v>0</v>
      </c>
      <c r="E1750" s="2430">
        <v>0</v>
      </c>
      <c r="F1750" s="2427">
        <v>0</v>
      </c>
      <c r="G1750" s="2429">
        <v>0</v>
      </c>
      <c r="H1750" s="2430">
        <v>0</v>
      </c>
      <c r="I1750" s="2427">
        <v>0</v>
      </c>
      <c r="J1750" s="2431">
        <v>0</v>
      </c>
    </row>
    <row r="1751" spans="1:10" x14ac:dyDescent="0.2">
      <c r="A1751" s="2426" t="s">
        <v>428</v>
      </c>
      <c r="B1751" s="2427">
        <v>0</v>
      </c>
      <c r="C1751" s="2428">
        <v>1326280</v>
      </c>
      <c r="D1751" s="2429">
        <v>0</v>
      </c>
      <c r="E1751" s="2430">
        <v>0</v>
      </c>
      <c r="F1751" s="2427">
        <v>0</v>
      </c>
      <c r="G1751" s="2429">
        <v>0</v>
      </c>
      <c r="H1751" s="2430">
        <v>0</v>
      </c>
      <c r="I1751" s="2427">
        <v>0</v>
      </c>
      <c r="J1751" s="2431">
        <v>0</v>
      </c>
    </row>
    <row r="1752" spans="1:10" x14ac:dyDescent="0.2">
      <c r="A1752" s="2439" t="s">
        <v>92</v>
      </c>
      <c r="B1752" s="2427">
        <v>70</v>
      </c>
      <c r="C1752" s="2428">
        <v>2215500</v>
      </c>
      <c r="D1752" s="2429">
        <v>155.08500000000001</v>
      </c>
      <c r="E1752" s="2430">
        <v>0.51088935107345512</v>
      </c>
      <c r="F1752" s="2427">
        <v>0.33713337227384316</v>
      </c>
      <c r="G1752" s="2429">
        <v>5.0277056659255538E-3</v>
      </c>
      <c r="H1752" s="2430">
        <v>0.41325899729311288</v>
      </c>
      <c r="I1752" s="2427">
        <v>0.27531864344819734</v>
      </c>
      <c r="J1752" s="2431">
        <v>2.3997459726979088E-3</v>
      </c>
    </row>
    <row r="1753" spans="1:10" x14ac:dyDescent="0.2">
      <c r="A1753" s="2433" t="s">
        <v>281</v>
      </c>
      <c r="B1753" s="2434">
        <v>284</v>
      </c>
      <c r="C1753" s="2433"/>
      <c r="D1753" s="2435">
        <v>688.51499999999999</v>
      </c>
      <c r="E1753" s="2436">
        <v>2.0727510814980179</v>
      </c>
      <c r="F1753" s="2434">
        <v>1.3677982532253066</v>
      </c>
      <c r="G1753" s="2435">
        <v>2.0398120130326533E-2</v>
      </c>
      <c r="H1753" s="2436">
        <v>1.8347036690928693</v>
      </c>
      <c r="I1753" s="2434">
        <v>1.2223039997016834</v>
      </c>
      <c r="J1753" s="2437">
        <v>1.0653906556998424E-2</v>
      </c>
    </row>
    <row r="1754" spans="1:10" x14ac:dyDescent="0.2">
      <c r="A1754" s="2440" t="s">
        <v>106</v>
      </c>
      <c r="B1754" s="2441">
        <v>10737.7</v>
      </c>
      <c r="C1754" s="2440"/>
      <c r="D1754" s="2442">
        <v>19589.362625000002</v>
      </c>
      <c r="E1754" s="2443">
        <v>78.368236928877693</v>
      </c>
      <c r="F1754" s="2441">
        <v>51.714814449497801</v>
      </c>
      <c r="G1754" s="2442">
        <v>0.77122850184298308</v>
      </c>
      <c r="H1754" s="2443">
        <v>52.200279562940857</v>
      </c>
      <c r="I1754" s="2441">
        <v>34.776520900988608</v>
      </c>
      <c r="J1754" s="2444">
        <v>0.30312083094472503</v>
      </c>
    </row>
    <row r="1755" spans="1:10" x14ac:dyDescent="0.2">
      <c r="A1755" s="2426" t="s">
        <v>905</v>
      </c>
      <c r="B1755" s="2427">
        <v>0</v>
      </c>
      <c r="C1755" s="2428">
        <v>6100000</v>
      </c>
      <c r="D1755" s="2429">
        <v>0</v>
      </c>
      <c r="E1755" s="2430">
        <v>0</v>
      </c>
      <c r="F1755" s="2427">
        <v>0</v>
      </c>
      <c r="G1755" s="2429">
        <v>0</v>
      </c>
      <c r="H1755" s="2430">
        <v>0</v>
      </c>
      <c r="I1755" s="2427">
        <v>0</v>
      </c>
      <c r="J1755" s="2431">
        <v>0</v>
      </c>
    </row>
    <row r="1756" spans="1:10" x14ac:dyDescent="0.2">
      <c r="A1756" s="2426" t="s">
        <v>906</v>
      </c>
      <c r="B1756" s="2427">
        <v>0</v>
      </c>
      <c r="C1756" s="2428">
        <v>3022000.0000000005</v>
      </c>
      <c r="D1756" s="2429">
        <v>0</v>
      </c>
      <c r="E1756" s="2430">
        <v>0</v>
      </c>
      <c r="F1756" s="2427">
        <v>0</v>
      </c>
      <c r="G1756" s="2429">
        <v>0</v>
      </c>
      <c r="H1756" s="2430">
        <v>0</v>
      </c>
      <c r="I1756" s="2427">
        <v>0</v>
      </c>
      <c r="J1756" s="2431">
        <v>0</v>
      </c>
    </row>
    <row r="1757" spans="1:10" x14ac:dyDescent="0.2">
      <c r="A1757" s="2426" t="s">
        <v>907</v>
      </c>
      <c r="B1757" s="2427">
        <v>0</v>
      </c>
      <c r="C1757" s="2428">
        <v>2324000</v>
      </c>
      <c r="D1757" s="2429">
        <v>0</v>
      </c>
      <c r="E1757" s="2430">
        <v>0</v>
      </c>
      <c r="F1757" s="2427">
        <v>0</v>
      </c>
      <c r="G1757" s="2429">
        <v>0</v>
      </c>
      <c r="H1757" s="2430">
        <v>0</v>
      </c>
      <c r="I1757" s="2427">
        <v>0</v>
      </c>
      <c r="J1757" s="2431">
        <v>0</v>
      </c>
    </row>
    <row r="1758" spans="1:10" x14ac:dyDescent="0.2">
      <c r="A1758" s="2439" t="s">
        <v>908</v>
      </c>
      <c r="B1758" s="2427">
        <v>324</v>
      </c>
      <c r="C1758" s="2428">
        <v>2403999.9999999995</v>
      </c>
      <c r="D1758" s="2429">
        <v>778.89599999999984</v>
      </c>
      <c r="E1758" s="2430">
        <v>2.364687853539992</v>
      </c>
      <c r="F1758" s="2427">
        <v>1.5604458945246455</v>
      </c>
      <c r="G1758" s="2429">
        <v>2.3271094796569702E-2</v>
      </c>
      <c r="H1758" s="2430">
        <v>2.0755442496412702</v>
      </c>
      <c r="I1758" s="2427">
        <v>1.3827551994533775</v>
      </c>
      <c r="J1758" s="2431">
        <v>1.2052439237518199E-2</v>
      </c>
    </row>
    <row r="1759" spans="1:10" x14ac:dyDescent="0.2">
      <c r="A1759" s="2440" t="s">
        <v>282</v>
      </c>
      <c r="B1759" s="2441">
        <v>324</v>
      </c>
      <c r="C1759" s="2440"/>
      <c r="D1759" s="2442">
        <v>778.89599999999984</v>
      </c>
      <c r="E1759" s="2443">
        <v>2.364687853539992</v>
      </c>
      <c r="F1759" s="2441">
        <v>1.5604458945246455</v>
      </c>
      <c r="G1759" s="2442">
        <v>2.3271094796569702E-2</v>
      </c>
      <c r="H1759" s="2443">
        <v>2.0755442496412702</v>
      </c>
      <c r="I1759" s="2441">
        <v>1.3827551994533775</v>
      </c>
      <c r="J1759" s="2444">
        <v>1.2052439237518199E-2</v>
      </c>
    </row>
    <row r="1760" spans="1:10" x14ac:dyDescent="0.2">
      <c r="A1760" s="2426" t="s">
        <v>955</v>
      </c>
      <c r="B1760" s="2427">
        <v>158.03199999999998</v>
      </c>
      <c r="C1760" s="2428">
        <v>12137000</v>
      </c>
      <c r="D1760" s="2429">
        <v>1918.0343839999998</v>
      </c>
      <c r="E1760" s="2430">
        <v>1.1533837989834321</v>
      </c>
      <c r="F1760" s="2427">
        <v>0.76111230124542828</v>
      </c>
      <c r="G1760" s="2429">
        <v>1.1350548311393528E-2</v>
      </c>
      <c r="H1760" s="2430">
        <v>5.1110356662833496</v>
      </c>
      <c r="I1760" s="2427">
        <v>3.4050399760768526</v>
      </c>
      <c r="J1760" s="2431">
        <v>2.9679177796048062E-2</v>
      </c>
    </row>
    <row r="1761" spans="1:10" x14ac:dyDescent="0.2">
      <c r="A1761" s="2426" t="s">
        <v>283</v>
      </c>
      <c r="B1761" s="2427">
        <v>489.34777890471042</v>
      </c>
      <c r="C1761" s="2428">
        <v>13024549.999999996</v>
      </c>
      <c r="D1761" s="2429">
        <v>6373.5346137333445</v>
      </c>
      <c r="E1761" s="2430">
        <v>3.5714652744837725</v>
      </c>
      <c r="F1761" s="2427">
        <v>2.3567923845265724</v>
      </c>
      <c r="G1761" s="2429">
        <v>3.5147094294389968E-2</v>
      </c>
      <c r="H1761" s="2430">
        <v>16.98372198268298</v>
      </c>
      <c r="I1761" s="2427">
        <v>11.314781596048585</v>
      </c>
      <c r="J1761" s="2431">
        <v>9.8622458788131112E-2</v>
      </c>
    </row>
    <row r="1762" spans="1:10" x14ac:dyDescent="0.2">
      <c r="A1762" s="2426" t="s">
        <v>69</v>
      </c>
      <c r="B1762" s="2427">
        <v>386.51722109528959</v>
      </c>
      <c r="C1762" s="2428">
        <v>14978232.499999994</v>
      </c>
      <c r="D1762" s="2429">
        <v>5789.3448028191497</v>
      </c>
      <c r="E1762" s="2430">
        <v>2.8209647466298238</v>
      </c>
      <c r="F1762" s="2427">
        <v>1.861540774139566</v>
      </c>
      <c r="G1762" s="2429">
        <v>2.7761354606836961E-2</v>
      </c>
      <c r="H1762" s="2430">
        <v>15.427016334249839</v>
      </c>
      <c r="I1762" s="2427">
        <v>10.277683577174063</v>
      </c>
      <c r="J1762" s="2431">
        <v>8.9582853758421663E-2</v>
      </c>
    </row>
    <row r="1763" spans="1:10" x14ac:dyDescent="0.2">
      <c r="A1763" s="2426" t="s">
        <v>199</v>
      </c>
      <c r="B1763" s="2427">
        <v>155</v>
      </c>
      <c r="C1763" s="2428">
        <v>3000000</v>
      </c>
      <c r="D1763" s="2429">
        <v>465</v>
      </c>
      <c r="E1763" s="2430">
        <v>1.1312549916626506</v>
      </c>
      <c r="F1763" s="2427">
        <v>0.74650961003493854</v>
      </c>
      <c r="G1763" s="2429">
        <v>1.1132776831692297E-2</v>
      </c>
      <c r="H1763" s="2430">
        <v>1.239097486805929</v>
      </c>
      <c r="I1763" s="2427">
        <v>0.82550323502216039</v>
      </c>
      <c r="J1763" s="2431">
        <v>7.1952921127415772E-3</v>
      </c>
    </row>
    <row r="1764" spans="1:10" x14ac:dyDescent="0.2">
      <c r="A1764" s="2426" t="s">
        <v>86</v>
      </c>
      <c r="B1764" s="2427">
        <v>310</v>
      </c>
      <c r="C1764" s="2428">
        <v>170000</v>
      </c>
      <c r="D1764" s="2429">
        <v>52.7</v>
      </c>
      <c r="E1764" s="2430">
        <v>2.2625099833253013</v>
      </c>
      <c r="F1764" s="2427">
        <v>1.4930192200698771</v>
      </c>
      <c r="G1764" s="2429">
        <v>2.2265553663384594E-2</v>
      </c>
      <c r="H1764" s="2430">
        <v>0.14043104850467195</v>
      </c>
      <c r="I1764" s="2427">
        <v>9.3557033302511514E-2</v>
      </c>
      <c r="J1764" s="2431">
        <v>8.1546643944404554E-4</v>
      </c>
    </row>
    <row r="1765" spans="1:10" x14ac:dyDescent="0.2">
      <c r="A1765" s="2439" t="s">
        <v>213</v>
      </c>
      <c r="B1765" s="2427">
        <v>198.10000000000002</v>
      </c>
      <c r="C1765" s="2428">
        <v>1850000.0000000005</v>
      </c>
      <c r="D1765" s="2429">
        <v>366.48500000000013</v>
      </c>
      <c r="E1765" s="2430">
        <v>1.4458168635378781</v>
      </c>
      <c r="F1765" s="2427">
        <v>0.95408744353497632</v>
      </c>
      <c r="G1765" s="2429">
        <v>1.4228407034569318E-2</v>
      </c>
      <c r="H1765" s="2430">
        <v>0.97658202677864736</v>
      </c>
      <c r="I1765" s="2427">
        <v>0.65061194212278828</v>
      </c>
      <c r="J1765" s="2431">
        <v>5.6708959783615008E-3</v>
      </c>
    </row>
    <row r="1766" spans="1:10" x14ac:dyDescent="0.2">
      <c r="A1766" s="2433" t="s">
        <v>1834</v>
      </c>
      <c r="B1766" s="2434">
        <v>1696.9969999999998</v>
      </c>
      <c r="C1766" s="2433"/>
      <c r="D1766" s="2435">
        <v>14965.098800552496</v>
      </c>
      <c r="E1766" s="2436">
        <v>12.385395658622857</v>
      </c>
      <c r="F1766" s="2434">
        <v>8.1730617335513589</v>
      </c>
      <c r="G1766" s="2435">
        <v>0.12188573474226665</v>
      </c>
      <c r="H1766" s="2436">
        <v>39.87788454530542</v>
      </c>
      <c r="I1766" s="2434">
        <v>26.567177359746964</v>
      </c>
      <c r="J1766" s="2437">
        <v>0.231566144873148</v>
      </c>
    </row>
    <row r="1767" spans="1:10" x14ac:dyDescent="0.2">
      <c r="A1767" s="2426" t="s">
        <v>961</v>
      </c>
      <c r="B1767" s="2427">
        <v>50.4</v>
      </c>
      <c r="C1767" s="2428">
        <v>3668000</v>
      </c>
      <c r="D1767" s="2429">
        <v>184.8672</v>
      </c>
      <c r="E1767" s="2430">
        <v>0.36784033277288769</v>
      </c>
      <c r="F1767" s="2427">
        <v>0.24273602803716712</v>
      </c>
      <c r="G1767" s="2429">
        <v>3.6199480794663979E-3</v>
      </c>
      <c r="H1767" s="2430">
        <v>0.49262039336096564</v>
      </c>
      <c r="I1767" s="2427">
        <v>0.3281902616118037</v>
      </c>
      <c r="J1767" s="2431">
        <v>2.8605881850852035E-3</v>
      </c>
    </row>
    <row r="1768" spans="1:10" x14ac:dyDescent="0.2">
      <c r="A1768" s="2426" t="s">
        <v>962</v>
      </c>
      <c r="B1768" s="2427">
        <v>26</v>
      </c>
      <c r="C1768" s="2428">
        <v>1999999.9999999998</v>
      </c>
      <c r="D1768" s="2429">
        <v>51.999999999999993</v>
      </c>
      <c r="E1768" s="2430">
        <v>0.18975890182728333</v>
      </c>
      <c r="F1768" s="2427">
        <v>0.12522096684457032</v>
      </c>
      <c r="G1768" s="2429">
        <v>1.8674335330580627E-3</v>
      </c>
      <c r="H1768" s="2430">
        <v>0.13856574046001785</v>
      </c>
      <c r="I1768" s="2427">
        <v>9.2314340260542652E-2</v>
      </c>
      <c r="J1768" s="2431">
        <v>8.0463481690873535E-4</v>
      </c>
    </row>
    <row r="1769" spans="1:10" x14ac:dyDescent="0.2">
      <c r="A1769" s="2426" t="s">
        <v>963</v>
      </c>
      <c r="B1769" s="2427">
        <v>133</v>
      </c>
      <c r="C1769" s="2428">
        <v>1347999.9999999998</v>
      </c>
      <c r="D1769" s="2429">
        <v>179.28399999999996</v>
      </c>
      <c r="E1769" s="2430">
        <v>0.97068976703956478</v>
      </c>
      <c r="F1769" s="2427">
        <v>0.64055340732030208</v>
      </c>
      <c r="G1769" s="2429">
        <v>9.5526407652585504E-3</v>
      </c>
      <c r="H1769" s="2430">
        <v>0.47774269639680456</v>
      </c>
      <c r="I1769" s="2427">
        <v>0.31827854190906019</v>
      </c>
      <c r="J1769" s="2431">
        <v>2.7741951637435714E-3</v>
      </c>
    </row>
    <row r="1770" spans="1:10" x14ac:dyDescent="0.2">
      <c r="A1770" s="2426" t="s">
        <v>965</v>
      </c>
      <c r="B1770" s="2427">
        <v>33</v>
      </c>
      <c r="C1770" s="2428">
        <v>1599999.9999999995</v>
      </c>
      <c r="D1770" s="2429">
        <v>52.799999999999983</v>
      </c>
      <c r="E1770" s="2430">
        <v>0.24084783693462883</v>
      </c>
      <c r="F1770" s="2427">
        <v>0.15893430407195464</v>
      </c>
      <c r="G1770" s="2429">
        <v>2.3702040996506179E-3</v>
      </c>
      <c r="H1770" s="2430">
        <v>0.14069752108247963</v>
      </c>
      <c r="I1770" s="2427">
        <v>9.3734560879935605E-2</v>
      </c>
      <c r="J1770" s="2431">
        <v>8.1701381409194664E-4</v>
      </c>
    </row>
    <row r="1771" spans="1:10" x14ac:dyDescent="0.2">
      <c r="A1771" s="2426" t="s">
        <v>966</v>
      </c>
      <c r="B1771" s="2427">
        <v>0</v>
      </c>
      <c r="C1771" s="2428">
        <v>2244000</v>
      </c>
      <c r="D1771" s="2429">
        <v>0</v>
      </c>
      <c r="E1771" s="2430">
        <v>0</v>
      </c>
      <c r="F1771" s="2427">
        <v>0</v>
      </c>
      <c r="G1771" s="2429">
        <v>0</v>
      </c>
      <c r="H1771" s="2430">
        <v>0</v>
      </c>
      <c r="I1771" s="2427">
        <v>0</v>
      </c>
      <c r="J1771" s="2431">
        <v>0</v>
      </c>
    </row>
    <row r="1772" spans="1:10" x14ac:dyDescent="0.2">
      <c r="A1772" s="2426" t="s">
        <v>1499</v>
      </c>
      <c r="B1772" s="2427">
        <v>0</v>
      </c>
      <c r="C1772" s="2428">
        <v>4849999.9999999991</v>
      </c>
      <c r="D1772" s="2429">
        <v>0</v>
      </c>
      <c r="E1772" s="2430">
        <v>0</v>
      </c>
      <c r="F1772" s="2427">
        <v>0</v>
      </c>
      <c r="G1772" s="2429">
        <v>0</v>
      </c>
      <c r="H1772" s="2430">
        <v>0</v>
      </c>
      <c r="I1772" s="2427">
        <v>0</v>
      </c>
      <c r="J1772" s="2431">
        <v>0</v>
      </c>
    </row>
    <row r="1773" spans="1:10" x14ac:dyDescent="0.2">
      <c r="A1773" s="2426" t="s">
        <v>1575</v>
      </c>
      <c r="B1773" s="2427">
        <v>0</v>
      </c>
      <c r="C1773" s="2428">
        <v>2250000.0000000005</v>
      </c>
      <c r="D1773" s="2429">
        <v>0</v>
      </c>
      <c r="E1773" s="2430">
        <v>0</v>
      </c>
      <c r="F1773" s="2427">
        <v>0</v>
      </c>
      <c r="G1773" s="2429">
        <v>0</v>
      </c>
      <c r="H1773" s="2430">
        <v>0</v>
      </c>
      <c r="I1773" s="2427">
        <v>0</v>
      </c>
      <c r="J1773" s="2431">
        <v>0</v>
      </c>
    </row>
    <row r="1774" spans="1:10" x14ac:dyDescent="0.2">
      <c r="A1774" s="2426" t="s">
        <v>964</v>
      </c>
      <c r="B1774" s="2427">
        <v>0</v>
      </c>
      <c r="C1774" s="2428">
        <v>1556000</v>
      </c>
      <c r="D1774" s="2429">
        <v>0</v>
      </c>
      <c r="E1774" s="2430">
        <v>0</v>
      </c>
      <c r="F1774" s="2427">
        <v>0</v>
      </c>
      <c r="G1774" s="2429">
        <v>0</v>
      </c>
      <c r="H1774" s="2430">
        <v>0</v>
      </c>
      <c r="I1774" s="2427">
        <v>0</v>
      </c>
      <c r="J1774" s="2431">
        <v>0</v>
      </c>
    </row>
    <row r="1775" spans="1:10" x14ac:dyDescent="0.2">
      <c r="A1775" s="2426" t="s">
        <v>969</v>
      </c>
      <c r="B1775" s="2427">
        <v>36</v>
      </c>
      <c r="C1775" s="2428">
        <v>4800000</v>
      </c>
      <c r="D1775" s="2429">
        <v>172.8</v>
      </c>
      <c r="E1775" s="2430">
        <v>0.26274309483777691</v>
      </c>
      <c r="F1775" s="2427">
        <v>0.17338287716940506</v>
      </c>
      <c r="G1775" s="2429">
        <v>2.5856771996188559E-3</v>
      </c>
      <c r="H1775" s="2430">
        <v>0.46046461445175174</v>
      </c>
      <c r="I1775" s="2427">
        <v>0.30676765378888027</v>
      </c>
      <c r="J1775" s="2431">
        <v>2.673863391573644E-3</v>
      </c>
    </row>
    <row r="1776" spans="1:10" x14ac:dyDescent="0.2">
      <c r="A1776" s="2426" t="s">
        <v>968</v>
      </c>
      <c r="B1776" s="2427">
        <v>22.5</v>
      </c>
      <c r="C1776" s="2428">
        <v>3050000.0000000009</v>
      </c>
      <c r="D1776" s="2429">
        <v>68.625000000000014</v>
      </c>
      <c r="E1776" s="2430">
        <v>0.16421443427361057</v>
      </c>
      <c r="F1776" s="2427">
        <v>0.10836429823087818</v>
      </c>
      <c r="G1776" s="2429">
        <v>1.616048249761785E-3</v>
      </c>
      <c r="H1776" s="2430">
        <v>0.18286680652055246</v>
      </c>
      <c r="I1776" s="2427">
        <v>0.12182830000730271</v>
      </c>
      <c r="J1776" s="2431">
        <v>1.061885852122346E-3</v>
      </c>
    </row>
    <row r="1777" spans="1:10" x14ac:dyDescent="0.2">
      <c r="A1777" s="2426" t="s">
        <v>1013</v>
      </c>
      <c r="B1777" s="2427">
        <v>0</v>
      </c>
      <c r="C1777" s="2428">
        <v>1799999.9999999998</v>
      </c>
      <c r="D1777" s="2429">
        <v>0</v>
      </c>
      <c r="E1777" s="2430">
        <v>0</v>
      </c>
      <c r="F1777" s="2427">
        <v>0</v>
      </c>
      <c r="G1777" s="2429">
        <v>0</v>
      </c>
      <c r="H1777" s="2430">
        <v>0</v>
      </c>
      <c r="I1777" s="2427">
        <v>0</v>
      </c>
      <c r="J1777" s="2431">
        <v>0</v>
      </c>
    </row>
    <row r="1778" spans="1:10" x14ac:dyDescent="0.2">
      <c r="A1778" s="2426" t="s">
        <v>1014</v>
      </c>
      <c r="B1778" s="2427">
        <v>0</v>
      </c>
      <c r="C1778" s="2428">
        <v>2195000.0000000005</v>
      </c>
      <c r="D1778" s="2429">
        <v>0</v>
      </c>
      <c r="E1778" s="2430">
        <v>0</v>
      </c>
      <c r="F1778" s="2427">
        <v>0</v>
      </c>
      <c r="G1778" s="2429">
        <v>0</v>
      </c>
      <c r="H1778" s="2430">
        <v>0</v>
      </c>
      <c r="I1778" s="2427">
        <v>0</v>
      </c>
      <c r="J1778" s="2431">
        <v>0</v>
      </c>
    </row>
    <row r="1779" spans="1:10" x14ac:dyDescent="0.2">
      <c r="A1779" s="2426" t="s">
        <v>970</v>
      </c>
      <c r="B1779" s="2427">
        <v>36</v>
      </c>
      <c r="C1779" s="2428">
        <v>3100000.0000000005</v>
      </c>
      <c r="D1779" s="2429">
        <v>111.60000000000001</v>
      </c>
      <c r="E1779" s="2430">
        <v>0.26274309483777691</v>
      </c>
      <c r="F1779" s="2427">
        <v>0.17338287716940506</v>
      </c>
      <c r="G1779" s="2429">
        <v>2.5856771996188559E-3</v>
      </c>
      <c r="H1779" s="2430">
        <v>0.29738339683342296</v>
      </c>
      <c r="I1779" s="2427">
        <v>0.1981207764053185</v>
      </c>
      <c r="J1779" s="2431">
        <v>1.7268701070579789E-3</v>
      </c>
    </row>
    <row r="1780" spans="1:10" x14ac:dyDescent="0.2">
      <c r="A1780" s="2426" t="s">
        <v>971</v>
      </c>
      <c r="B1780" s="2427">
        <v>0</v>
      </c>
      <c r="C1780" s="2428">
        <v>3010000</v>
      </c>
      <c r="D1780" s="2429">
        <v>0</v>
      </c>
      <c r="E1780" s="2430">
        <v>0</v>
      </c>
      <c r="F1780" s="2427">
        <v>0</v>
      </c>
      <c r="G1780" s="2429">
        <v>0</v>
      </c>
      <c r="H1780" s="2430">
        <v>0</v>
      </c>
      <c r="I1780" s="2427">
        <v>0</v>
      </c>
      <c r="J1780" s="2431">
        <v>0</v>
      </c>
    </row>
    <row r="1781" spans="1:10" x14ac:dyDescent="0.2">
      <c r="A1781" s="2426" t="s">
        <v>972</v>
      </c>
      <c r="B1781" s="2427">
        <v>180</v>
      </c>
      <c r="C1781" s="2428">
        <v>2744000.0000000005</v>
      </c>
      <c r="D1781" s="2429">
        <v>493.92000000000007</v>
      </c>
      <c r="E1781" s="2430">
        <v>1.3137154741888846</v>
      </c>
      <c r="F1781" s="2427">
        <v>0.8669143858470254</v>
      </c>
      <c r="G1781" s="2429">
        <v>1.292838599809428E-2</v>
      </c>
      <c r="H1781" s="2430">
        <v>1.3161613563079237</v>
      </c>
      <c r="I1781" s="2427">
        <v>0.87684421041321625</v>
      </c>
      <c r="J1781" s="2431">
        <v>7.6427928609146666E-3</v>
      </c>
    </row>
    <row r="1782" spans="1:10" x14ac:dyDescent="0.2">
      <c r="A1782" s="2426" t="s">
        <v>973</v>
      </c>
      <c r="B1782" s="2427">
        <v>0</v>
      </c>
      <c r="C1782" s="2428">
        <v>2549999.9999999991</v>
      </c>
      <c r="D1782" s="2429">
        <v>0</v>
      </c>
      <c r="E1782" s="2430">
        <v>0</v>
      </c>
      <c r="F1782" s="2427">
        <v>0</v>
      </c>
      <c r="G1782" s="2429">
        <v>0</v>
      </c>
      <c r="H1782" s="2430">
        <v>0</v>
      </c>
      <c r="I1782" s="2427">
        <v>0</v>
      </c>
      <c r="J1782" s="2431">
        <v>0</v>
      </c>
    </row>
    <row r="1783" spans="1:10" x14ac:dyDescent="0.2">
      <c r="A1783" s="2426" t="s">
        <v>974</v>
      </c>
      <c r="B1783" s="2427">
        <v>240</v>
      </c>
      <c r="C1783" s="2428">
        <v>1583999.9999999995</v>
      </c>
      <c r="D1783" s="2429">
        <v>380.15999999999985</v>
      </c>
      <c r="E1783" s="2430">
        <v>1.7516206322518459</v>
      </c>
      <c r="F1783" s="2427">
        <v>1.1558858477960339</v>
      </c>
      <c r="G1783" s="2429">
        <v>1.723784799745904E-2</v>
      </c>
      <c r="H1783" s="2430">
        <v>1.0130221517938531</v>
      </c>
      <c r="I1783" s="2427">
        <v>0.67488883833553626</v>
      </c>
      <c r="J1783" s="2431">
        <v>5.8824994614620147E-3</v>
      </c>
    </row>
    <row r="1784" spans="1:10" x14ac:dyDescent="0.2">
      <c r="A1784" s="2426" t="s">
        <v>975</v>
      </c>
      <c r="B1784" s="2427">
        <v>150</v>
      </c>
      <c r="C1784" s="2428">
        <v>2532000.0000000009</v>
      </c>
      <c r="D1784" s="2429">
        <v>379.80000000000013</v>
      </c>
      <c r="E1784" s="2430">
        <v>1.0947628951574038</v>
      </c>
      <c r="F1784" s="2427">
        <v>0.72242865487252106</v>
      </c>
      <c r="G1784" s="2429">
        <v>1.0773654998411899E-2</v>
      </c>
      <c r="H1784" s="2430">
        <v>1.0120628505137463</v>
      </c>
      <c r="I1784" s="2427">
        <v>0.67424973905680996</v>
      </c>
      <c r="J1784" s="2431">
        <v>5.8769289127295742E-3</v>
      </c>
    </row>
    <row r="1785" spans="1:10" x14ac:dyDescent="0.2">
      <c r="A1785" s="2426" t="s">
        <v>976</v>
      </c>
      <c r="B1785" s="2427">
        <v>8</v>
      </c>
      <c r="C1785" s="2428">
        <v>7394999.9999999991</v>
      </c>
      <c r="D1785" s="2429">
        <v>59.159999999999989</v>
      </c>
      <c r="E1785" s="2430">
        <v>5.8387354408394876E-2</v>
      </c>
      <c r="F1785" s="2427">
        <v>3.8529528259867794E-2</v>
      </c>
      <c r="G1785" s="2429">
        <v>5.7459493324863462E-4</v>
      </c>
      <c r="H1785" s="2430">
        <v>0.15764517703105108</v>
      </c>
      <c r="I1785" s="2427">
        <v>0.10502531480410969</v>
      </c>
      <c r="J1785" s="2431">
        <v>9.1542684169847654E-4</v>
      </c>
    </row>
    <row r="1786" spans="1:10" x14ac:dyDescent="0.2">
      <c r="A1786" s="2426" t="s">
        <v>286</v>
      </c>
      <c r="B1786" s="2427">
        <v>12</v>
      </c>
      <c r="C1786" s="2428">
        <v>2445000.0000000005</v>
      </c>
      <c r="D1786" s="2429">
        <v>29.340000000000007</v>
      </c>
      <c r="E1786" s="2430">
        <v>8.75810316125923E-2</v>
      </c>
      <c r="F1786" s="2427">
        <v>5.7794292389801695E-2</v>
      </c>
      <c r="G1786" s="2429">
        <v>8.6189239987295209E-4</v>
      </c>
      <c r="H1786" s="2430">
        <v>7.8183054328787013E-2</v>
      </c>
      <c r="I1786" s="2427">
        <v>5.2086591216236974E-2</v>
      </c>
      <c r="J1786" s="2431">
        <v>4.539997216942751E-4</v>
      </c>
    </row>
    <row r="1787" spans="1:10" x14ac:dyDescent="0.2">
      <c r="A1787" s="2439" t="s">
        <v>978</v>
      </c>
      <c r="B1787" s="2427">
        <v>16</v>
      </c>
      <c r="C1787" s="2428">
        <v>1850000.0000000002</v>
      </c>
      <c r="D1787" s="2429">
        <v>29.600000000000005</v>
      </c>
      <c r="E1787" s="2430">
        <v>0.11677470881678975</v>
      </c>
      <c r="F1787" s="2427">
        <v>7.7059056519735589E-2</v>
      </c>
      <c r="G1787" s="2429">
        <v>1.1491898664972692E-3</v>
      </c>
      <c r="H1787" s="2430">
        <v>7.8875883031087099E-2</v>
      </c>
      <c r="I1787" s="2427">
        <v>5.2548162917539686E-2</v>
      </c>
      <c r="J1787" s="2431">
        <v>4.5802289577881873E-4</v>
      </c>
    </row>
    <row r="1788" spans="1:10" x14ac:dyDescent="0.2">
      <c r="A1788" s="2426" t="s">
        <v>1163</v>
      </c>
      <c r="B1788" s="2427">
        <v>0</v>
      </c>
      <c r="C1788" s="2428">
        <v>0</v>
      </c>
      <c r="D1788" s="2429">
        <v>0</v>
      </c>
      <c r="E1788" s="2430">
        <v>0</v>
      </c>
      <c r="F1788" s="2427">
        <v>0</v>
      </c>
      <c r="G1788" s="2429">
        <v>0</v>
      </c>
      <c r="H1788" s="2430">
        <v>0</v>
      </c>
      <c r="I1788" s="2427">
        <v>0</v>
      </c>
      <c r="J1788" s="2431">
        <v>0</v>
      </c>
    </row>
    <row r="1789" spans="1:10" x14ac:dyDescent="0.2">
      <c r="A1789" s="2433" t="s">
        <v>287</v>
      </c>
      <c r="B1789" s="2434">
        <v>942.9</v>
      </c>
      <c r="C1789" s="2433"/>
      <c r="D1789" s="2435">
        <v>2193.9562000000001</v>
      </c>
      <c r="E1789" s="2436">
        <v>6.8816795589594397</v>
      </c>
      <c r="F1789" s="2434">
        <v>4.5411865245286673</v>
      </c>
      <c r="G1789" s="2435">
        <v>6.7723195320017207E-2</v>
      </c>
      <c r="H1789" s="2436">
        <v>5.8462916421124431</v>
      </c>
      <c r="I1789" s="2434">
        <v>3.8948772916062926</v>
      </c>
      <c r="J1789" s="2437">
        <v>3.3948722024861253E-2</v>
      </c>
    </row>
    <row r="1790" spans="1:10" x14ac:dyDescent="0.2">
      <c r="A1790" s="2447" t="s">
        <v>1835</v>
      </c>
      <c r="B1790" s="2446">
        <v>2639.8969999999999</v>
      </c>
      <c r="C1790" s="2447"/>
      <c r="D1790" s="2448">
        <v>17159.055000552496</v>
      </c>
      <c r="E1790" s="2449">
        <v>19.267075217582295</v>
      </c>
      <c r="F1790" s="2446">
        <v>12.714248258080026</v>
      </c>
      <c r="G1790" s="2448">
        <v>0.18960893006228385</v>
      </c>
      <c r="H1790" s="2449">
        <v>45.724176187417868</v>
      </c>
      <c r="I1790" s="2446">
        <v>30.462054651353256</v>
      </c>
      <c r="J1790" s="2450">
        <v>0.26551486689800924</v>
      </c>
    </row>
    <row r="1791" spans="1:10" x14ac:dyDescent="0.2">
      <c r="A1791" s="2445" t="s">
        <v>194</v>
      </c>
      <c r="B1791" s="2446">
        <v>13701.597000000002</v>
      </c>
      <c r="C1791" s="2447"/>
      <c r="D1791" s="2448">
        <v>37527.313625552502</v>
      </c>
      <c r="E1791" s="2449">
        <v>99.999999999999972</v>
      </c>
      <c r="F1791" s="2446">
        <v>65.989508602102475</v>
      </c>
      <c r="G1791" s="2448">
        <v>0.98410852670183668</v>
      </c>
      <c r="H1791" s="2449">
        <v>100</v>
      </c>
      <c r="I1791" s="2446">
        <v>66.621330751795256</v>
      </c>
      <c r="J1791" s="2450">
        <v>0.58068813708025258</v>
      </c>
    </row>
    <row r="1792" spans="1:10" x14ac:dyDescent="0.2">
      <c r="A1792" s="2451" t="s">
        <v>1852</v>
      </c>
      <c r="B1792" s="2427"/>
      <c r="C1792" s="2452"/>
      <c r="D1792" s="2429"/>
      <c r="E1792" s="2430"/>
      <c r="F1792" s="2427">
        <v>0</v>
      </c>
      <c r="G1792" s="2429"/>
      <c r="H1792" s="2430"/>
      <c r="I1792" s="2427">
        <v>0</v>
      </c>
      <c r="J1792" s="2431">
        <v>0</v>
      </c>
    </row>
    <row r="1793" spans="1:10" x14ac:dyDescent="0.2">
      <c r="A1793" s="2453" t="s">
        <v>1836</v>
      </c>
      <c r="B1793" s="2427">
        <v>0</v>
      </c>
      <c r="C1793" s="2428">
        <v>8033612.4975057133</v>
      </c>
      <c r="D1793" s="2429">
        <v>0</v>
      </c>
      <c r="E1793" s="2430">
        <v>0</v>
      </c>
      <c r="F1793" s="2427">
        <v>0</v>
      </c>
      <c r="G1793" s="2429">
        <v>0</v>
      </c>
      <c r="H1793" s="2430">
        <v>0</v>
      </c>
      <c r="I1793" s="2427">
        <v>0</v>
      </c>
      <c r="J1793" s="2431">
        <v>0</v>
      </c>
    </row>
    <row r="1794" spans="1:10" x14ac:dyDescent="0.2">
      <c r="A1794" s="2453" t="s">
        <v>1837</v>
      </c>
      <c r="B1794" s="2427">
        <v>6621.1</v>
      </c>
      <c r="C1794" s="2428">
        <v>2214764.1578067578</v>
      </c>
      <c r="D1794" s="2429">
        <v>14664.174965254326</v>
      </c>
      <c r="E1794" s="2430">
        <v>95.552895976780178</v>
      </c>
      <c r="F1794" s="2427">
        <v>31.888482445176329</v>
      </c>
      <c r="G1794" s="2429">
        <v>0.4755563140665669</v>
      </c>
      <c r="H1794" s="2430">
        <v>85.949006012166919</v>
      </c>
      <c r="I1794" s="2427">
        <v>26.032954565050371</v>
      </c>
      <c r="J1794" s="2431">
        <v>0.22690972573625148</v>
      </c>
    </row>
    <row r="1795" spans="1:10" x14ac:dyDescent="0.2">
      <c r="A1795" s="2454" t="s">
        <v>309</v>
      </c>
      <c r="B1795" s="2434">
        <v>6621.1</v>
      </c>
      <c r="C1795" s="2433"/>
      <c r="D1795" s="2435">
        <v>14664.174965254326</v>
      </c>
      <c r="E1795" s="2436">
        <v>95.552895976780178</v>
      </c>
      <c r="F1795" s="2434">
        <v>31.888482445176329</v>
      </c>
      <c r="G1795" s="2435">
        <v>0.4755563140665669</v>
      </c>
      <c r="H1795" s="2436">
        <v>85.949006012166919</v>
      </c>
      <c r="I1795" s="2434">
        <v>26.032954565050371</v>
      </c>
      <c r="J1795" s="2437">
        <v>0.22690972573625148</v>
      </c>
    </row>
    <row r="1796" spans="1:10" x14ac:dyDescent="0.2">
      <c r="A1796" s="2453" t="s">
        <v>1838</v>
      </c>
      <c r="B1796" s="2427">
        <v>0</v>
      </c>
      <c r="C1796" s="2428">
        <v>10407427.50198495</v>
      </c>
      <c r="D1796" s="2429">
        <v>0</v>
      </c>
      <c r="E1796" s="2430">
        <v>0</v>
      </c>
      <c r="F1796" s="2427">
        <v>0</v>
      </c>
      <c r="G1796" s="2429">
        <v>0</v>
      </c>
      <c r="H1796" s="2430">
        <v>0</v>
      </c>
      <c r="I1796" s="2427">
        <v>0</v>
      </c>
      <c r="J1796" s="2431">
        <v>0</v>
      </c>
    </row>
    <row r="1797" spans="1:10" x14ac:dyDescent="0.2">
      <c r="A1797" s="2454" t="s">
        <v>315</v>
      </c>
      <c r="B1797" s="2434">
        <v>0</v>
      </c>
      <c r="C1797" s="2455"/>
      <c r="D1797" s="2435">
        <v>0</v>
      </c>
      <c r="E1797" s="2436">
        <v>0</v>
      </c>
      <c r="F1797" s="2434">
        <v>0</v>
      </c>
      <c r="G1797" s="2435">
        <v>0</v>
      </c>
      <c r="H1797" s="2436">
        <v>0</v>
      </c>
      <c r="I1797" s="2434">
        <v>0</v>
      </c>
      <c r="J1797" s="2437">
        <v>0</v>
      </c>
    </row>
    <row r="1798" spans="1:10" x14ac:dyDescent="0.2">
      <c r="A1798" s="2453" t="s">
        <v>1541</v>
      </c>
      <c r="B1798" s="2427">
        <v>32.076000000000001</v>
      </c>
      <c r="C1798" s="2428">
        <v>10553660</v>
      </c>
      <c r="D1798" s="2429">
        <v>338.51919816000003</v>
      </c>
      <c r="E1798" s="2430">
        <v>0.46290717423860095</v>
      </c>
      <c r="F1798" s="2427">
        <v>0.15448414355793993</v>
      </c>
      <c r="G1798" s="2429">
        <v>2.3038383848604008E-3</v>
      </c>
      <c r="H1798" s="2430">
        <v>1.9841135738510436</v>
      </c>
      <c r="I1798" s="2427">
        <v>0.60096493160900599</v>
      </c>
      <c r="J1798" s="2431">
        <v>5.2381602506069921E-3</v>
      </c>
    </row>
    <row r="1799" spans="1:10" x14ac:dyDescent="0.2">
      <c r="A1799" s="2453" t="s">
        <v>206</v>
      </c>
      <c r="B1799" s="2427">
        <v>271.875</v>
      </c>
      <c r="C1799" s="2428">
        <v>6960000</v>
      </c>
      <c r="D1799" s="2429">
        <v>1892.25</v>
      </c>
      <c r="E1799" s="2430">
        <v>3.9235842373151151</v>
      </c>
      <c r="F1799" s="2427">
        <v>1.3094019369564445</v>
      </c>
      <c r="G1799" s="2429">
        <v>1.9527249684621568E-2</v>
      </c>
      <c r="H1799" s="2430">
        <v>11.090771012476267</v>
      </c>
      <c r="I1799" s="2427">
        <v>3.3592655838079204</v>
      </c>
      <c r="J1799" s="2431">
        <v>2.9280196774914516E-2</v>
      </c>
    </row>
    <row r="1800" spans="1:10" x14ac:dyDescent="0.2">
      <c r="A1800" s="2454" t="s">
        <v>310</v>
      </c>
      <c r="B1800" s="2434">
        <v>303.95100000000002</v>
      </c>
      <c r="C1800" s="2455"/>
      <c r="D1800" s="2435">
        <v>2230.7691981600001</v>
      </c>
      <c r="E1800" s="2436">
        <v>4.3864914115537159</v>
      </c>
      <c r="F1800" s="2434">
        <v>1.4638860805143845</v>
      </c>
      <c r="G1800" s="2435">
        <v>2.1831088069481971E-2</v>
      </c>
      <c r="H1800" s="2436">
        <v>13.074884586327309</v>
      </c>
      <c r="I1800" s="2434">
        <v>3.9602305154169266</v>
      </c>
      <c r="J1800" s="2437">
        <v>3.4518357025521508E-2</v>
      </c>
    </row>
    <row r="1801" spans="1:10" x14ac:dyDescent="0.2">
      <c r="A1801" s="2453" t="s">
        <v>1839</v>
      </c>
      <c r="B1801" s="2427">
        <v>4.2</v>
      </c>
      <c r="C1801" s="2428">
        <v>39652080.629353955</v>
      </c>
      <c r="D1801" s="2429">
        <v>166.53873864328662</v>
      </c>
      <c r="E1801" s="2430">
        <v>6.0612611666109366E-2</v>
      </c>
      <c r="F1801" s="2427">
        <v>2.0228002336430594E-2</v>
      </c>
      <c r="G1801" s="2429">
        <v>3.0166233995553319E-4</v>
      </c>
      <c r="H1801" s="2430">
        <v>0.9761094015057864</v>
      </c>
      <c r="I1801" s="2427">
        <v>0.29565218818611438</v>
      </c>
      <c r="J1801" s="2431">
        <v>2.5769782207010132E-3</v>
      </c>
    </row>
    <row r="1802" spans="1:10" x14ac:dyDescent="0.2">
      <c r="A1802" s="2454" t="s">
        <v>311</v>
      </c>
      <c r="B1802" s="2434">
        <v>4.2</v>
      </c>
      <c r="C1802" s="2433"/>
      <c r="D1802" s="2435">
        <v>166.53873864328662</v>
      </c>
      <c r="E1802" s="2436">
        <v>6.0612611666109366E-2</v>
      </c>
      <c r="F1802" s="2434">
        <v>2.0228002336430594E-2</v>
      </c>
      <c r="G1802" s="2435">
        <v>3.0166233995553319E-4</v>
      </c>
      <c r="H1802" s="2436">
        <v>0.9761094015057864</v>
      </c>
      <c r="I1802" s="2434">
        <v>0.29565218818611438</v>
      </c>
      <c r="J1802" s="2437">
        <v>2.5769782207010132E-3</v>
      </c>
    </row>
    <row r="1803" spans="1:10" x14ac:dyDescent="0.2">
      <c r="A1803" s="2445" t="s">
        <v>129</v>
      </c>
      <c r="B1803" s="2446">
        <v>6929.2510000000002</v>
      </c>
      <c r="C1803" s="2447"/>
      <c r="D1803" s="2448">
        <v>17061.482902057611</v>
      </c>
      <c r="E1803" s="2449">
        <v>100.00000000000001</v>
      </c>
      <c r="F1803" s="2446">
        <v>33.372596528027145</v>
      </c>
      <c r="G1803" s="2448">
        <v>0.49768906447600436</v>
      </c>
      <c r="H1803" s="2449">
        <v>100.00000000000001</v>
      </c>
      <c r="I1803" s="2446">
        <v>30.288837268653406</v>
      </c>
      <c r="J1803" s="2450">
        <v>0.264005060982474</v>
      </c>
    </row>
    <row r="1804" spans="1:10" x14ac:dyDescent="0.2">
      <c r="A1804" s="2451" t="s">
        <v>1853</v>
      </c>
      <c r="B1804" s="2427"/>
      <c r="C1804" s="2452"/>
      <c r="D1804" s="2429"/>
      <c r="E1804" s="2430"/>
      <c r="F1804" s="2427">
        <v>0</v>
      </c>
      <c r="G1804" s="2429"/>
      <c r="H1804" s="2430"/>
      <c r="I1804" s="2427">
        <v>0</v>
      </c>
      <c r="J1804" s="2431">
        <v>0</v>
      </c>
    </row>
    <row r="1805" spans="1:10" x14ac:dyDescent="0.2">
      <c r="A1805" s="2426" t="s">
        <v>1543</v>
      </c>
      <c r="B1805" s="2427">
        <v>130</v>
      </c>
      <c r="C1805" s="2428">
        <v>13200000</v>
      </c>
      <c r="D1805" s="2429">
        <v>1716</v>
      </c>
      <c r="E1805" s="2430">
        <v>98.151727470403472</v>
      </c>
      <c r="F1805" s="2427">
        <v>0.62610483422285168</v>
      </c>
      <c r="G1805" s="2429">
        <v>9.3371676652903128E-3</v>
      </c>
      <c r="H1805" s="2430">
        <v>98.593491450634303</v>
      </c>
      <c r="I1805" s="2427">
        <v>3.0463732285979082</v>
      </c>
      <c r="J1805" s="2431">
        <v>2.6552948957988272E-2</v>
      </c>
    </row>
    <row r="1806" spans="1:10" x14ac:dyDescent="0.2">
      <c r="A1806" s="2426" t="s">
        <v>208</v>
      </c>
      <c r="B1806" s="2427">
        <v>2.448</v>
      </c>
      <c r="C1806" s="2428">
        <v>10000000</v>
      </c>
      <c r="D1806" s="2429">
        <v>24.48</v>
      </c>
      <c r="E1806" s="2430">
        <v>1.848272529596521</v>
      </c>
      <c r="F1806" s="2427">
        <v>1.1790035647519546E-2</v>
      </c>
      <c r="G1806" s="2429">
        <v>1.7582604957408219E-4</v>
      </c>
      <c r="H1806" s="2430">
        <v>1.4065085493656921</v>
      </c>
      <c r="I1806" s="2427">
        <v>4.3458750953424705E-2</v>
      </c>
      <c r="J1806" s="2431">
        <v>3.7879731380626629E-4</v>
      </c>
    </row>
    <row r="1807" spans="1:10" x14ac:dyDescent="0.2">
      <c r="A1807" s="2426" t="s">
        <v>209</v>
      </c>
      <c r="B1807" s="2427">
        <v>0</v>
      </c>
      <c r="C1807" s="2428">
        <v>10000000</v>
      </c>
      <c r="D1807" s="2429">
        <v>0</v>
      </c>
      <c r="E1807" s="2430">
        <v>0</v>
      </c>
      <c r="F1807" s="2427">
        <v>0</v>
      </c>
      <c r="G1807" s="2429">
        <v>0</v>
      </c>
      <c r="H1807" s="2430">
        <v>0</v>
      </c>
      <c r="I1807" s="2427">
        <v>0</v>
      </c>
      <c r="J1807" s="2431">
        <v>0</v>
      </c>
    </row>
    <row r="1808" spans="1:10" x14ac:dyDescent="0.2">
      <c r="A1808" s="2426" t="s">
        <v>210</v>
      </c>
      <c r="B1808" s="2427">
        <v>0</v>
      </c>
      <c r="C1808" s="2428">
        <v>18500000</v>
      </c>
      <c r="D1808" s="2429">
        <v>0</v>
      </c>
      <c r="E1808" s="2430">
        <v>0</v>
      </c>
      <c r="F1808" s="2427">
        <v>0</v>
      </c>
      <c r="G1808" s="2429">
        <v>0</v>
      </c>
      <c r="H1808" s="2430">
        <v>0</v>
      </c>
      <c r="I1808" s="2427">
        <v>0</v>
      </c>
      <c r="J1808" s="2431">
        <v>0</v>
      </c>
    </row>
    <row r="1809" spans="1:10" x14ac:dyDescent="0.2">
      <c r="A1809" s="2426" t="s">
        <v>1545</v>
      </c>
      <c r="B1809" s="2427">
        <v>0</v>
      </c>
      <c r="C1809" s="2428">
        <v>14200000</v>
      </c>
      <c r="D1809" s="2429">
        <v>0</v>
      </c>
      <c r="E1809" s="2430">
        <v>0</v>
      </c>
      <c r="F1809" s="2427">
        <v>0</v>
      </c>
      <c r="G1809" s="2429">
        <v>0</v>
      </c>
      <c r="H1809" s="2430">
        <v>0</v>
      </c>
      <c r="I1809" s="2427">
        <v>0</v>
      </c>
      <c r="J1809" s="2431">
        <v>0</v>
      </c>
    </row>
    <row r="1810" spans="1:10" x14ac:dyDescent="0.2">
      <c r="A1810" s="2426" t="s">
        <v>1546</v>
      </c>
      <c r="B1810" s="2427">
        <v>0</v>
      </c>
      <c r="C1810" s="2428">
        <v>10000000</v>
      </c>
      <c r="D1810" s="2429">
        <v>0</v>
      </c>
      <c r="E1810" s="2430">
        <v>0</v>
      </c>
      <c r="F1810" s="2427">
        <v>0</v>
      </c>
      <c r="G1810" s="2429">
        <v>0</v>
      </c>
      <c r="H1810" s="2430">
        <v>0</v>
      </c>
      <c r="I1810" s="2427">
        <v>0</v>
      </c>
      <c r="J1810" s="2431">
        <v>0</v>
      </c>
    </row>
    <row r="1811" spans="1:10" x14ac:dyDescent="0.2">
      <c r="A1811" s="2445" t="s">
        <v>121</v>
      </c>
      <c r="B1811" s="2446">
        <v>132.44800000000001</v>
      </c>
      <c r="C1811" s="2447"/>
      <c r="D1811" s="2448">
        <v>1740.48</v>
      </c>
      <c r="E1811" s="2449">
        <v>100</v>
      </c>
      <c r="F1811" s="2446">
        <v>0.63789486987037125</v>
      </c>
      <c r="G1811" s="2448">
        <v>9.5129937148643959E-3</v>
      </c>
      <c r="H1811" s="2449">
        <v>100</v>
      </c>
      <c r="I1811" s="2446">
        <v>3.0898319795513327</v>
      </c>
      <c r="J1811" s="2450">
        <v>2.6931746271794538E-2</v>
      </c>
    </row>
    <row r="1812" spans="1:10" ht="14.25" thickBot="1" x14ac:dyDescent="0.25">
      <c r="A1812" s="2457" t="s">
        <v>1840</v>
      </c>
      <c r="B1812" s="2446">
        <v>20763.296000000002</v>
      </c>
      <c r="C1812" s="2458"/>
      <c r="D1812" s="2448">
        <v>56329.27652761012</v>
      </c>
      <c r="E1812" s="2459"/>
      <c r="F1812" s="2460">
        <v>99.999999999999986</v>
      </c>
      <c r="G1812" s="2461">
        <v>1.4913105848927055</v>
      </c>
      <c r="H1812" s="2462"/>
      <c r="I1812" s="2460">
        <v>100</v>
      </c>
      <c r="J1812" s="2463">
        <v>0.87162494433452109</v>
      </c>
    </row>
    <row r="1813" spans="1:10" ht="15" thickBot="1" x14ac:dyDescent="0.25">
      <c r="A1813" s="2464" t="s">
        <v>1841</v>
      </c>
      <c r="B1813" s="2465">
        <v>1392285.1624830281</v>
      </c>
      <c r="C1813" s="2466"/>
      <c r="D1813" s="2467">
        <v>6462559.0276810033</v>
      </c>
      <c r="E1813" s="2468"/>
      <c r="F1813" s="2469"/>
      <c r="G1813" s="2469"/>
      <c r="H1813" s="2469"/>
      <c r="I1813" s="2469"/>
      <c r="J1813" s="2469"/>
    </row>
    <row r="1814" spans="1:10" ht="16.5" thickBot="1" x14ac:dyDescent="0.3">
      <c r="A1814" s="2470" t="s">
        <v>1842</v>
      </c>
      <c r="B1814" s="2471">
        <v>1.4913105848927055</v>
      </c>
      <c r="C1814" s="2472"/>
      <c r="D1814" s="2473">
        <v>0.8716249443345212</v>
      </c>
      <c r="E1814" s="2468"/>
      <c r="F1814" s="2469"/>
      <c r="G1814" s="2469"/>
      <c r="H1814" s="2469"/>
      <c r="I1814" s="2469"/>
      <c r="J1814" s="2469"/>
    </row>
    <row r="1815" spans="1:10" x14ac:dyDescent="0.2">
      <c r="A1815" s="2474" t="s">
        <v>2023</v>
      </c>
      <c r="B1815" s="2474"/>
      <c r="C1815" s="2474"/>
      <c r="D1815" s="2475"/>
      <c r="E1815" s="2474"/>
      <c r="F1815" s="2474"/>
      <c r="H1815" s="2474"/>
      <c r="I1815" s="2474"/>
      <c r="J1815" s="2474"/>
    </row>
    <row r="1816" spans="1:10" x14ac:dyDescent="0.2">
      <c r="A1816" s="2474" t="s">
        <v>1843</v>
      </c>
      <c r="B1816" s="2474"/>
      <c r="C1816" s="2474"/>
      <c r="D1816" s="2474"/>
      <c r="E1816" s="2474"/>
      <c r="F1816" s="2474"/>
      <c r="G1816" s="2474"/>
      <c r="H1816" s="2474"/>
      <c r="I1816" s="2474"/>
      <c r="J1816" s="2474"/>
    </row>
    <row r="1817" spans="1:10" x14ac:dyDescent="0.2">
      <c r="A1817" s="2474" t="s">
        <v>2024</v>
      </c>
      <c r="B1817" s="2474"/>
      <c r="C1817" s="2474"/>
      <c r="D1817" s="2474"/>
      <c r="E1817" s="2474"/>
      <c r="F1817" s="2474"/>
      <c r="G1817" s="2474"/>
      <c r="H1817" s="2474"/>
      <c r="I1817" s="2474"/>
      <c r="J1817" s="2474"/>
    </row>
    <row r="1821" spans="1:10" ht="13.5" thickBot="1" x14ac:dyDescent="0.25">
      <c r="A1821" s="3321" t="s">
        <v>2021</v>
      </c>
      <c r="B1821" s="3321"/>
      <c r="C1821" s="3321"/>
      <c r="D1821" s="3321"/>
      <c r="E1821" s="3321"/>
      <c r="F1821" s="3321"/>
      <c r="G1821" s="3321"/>
      <c r="H1821" s="3321"/>
      <c r="I1821" s="3321"/>
      <c r="J1821" s="3321"/>
    </row>
    <row r="1822" spans="1:10" ht="13.5" customHeight="1" thickBot="1" x14ac:dyDescent="0.25">
      <c r="A1822" s="3322" t="s">
        <v>375</v>
      </c>
      <c r="B1822" s="3324" t="s">
        <v>1272</v>
      </c>
      <c r="C1822" s="3324" t="s">
        <v>1832</v>
      </c>
      <c r="D1822" s="3326" t="s">
        <v>1844</v>
      </c>
      <c r="E1822" s="3328" t="s">
        <v>1849</v>
      </c>
      <c r="F1822" s="3329"/>
      <c r="G1822" s="3330"/>
      <c r="H1822" s="3328" t="s">
        <v>1850</v>
      </c>
      <c r="I1822" s="3329"/>
      <c r="J1822" s="3331"/>
    </row>
    <row r="1823" spans="1:10" ht="13.5" customHeight="1" thickBot="1" x14ac:dyDescent="0.25">
      <c r="A1823" s="3323"/>
      <c r="B1823" s="3325"/>
      <c r="C1823" s="3325"/>
      <c r="D1823" s="3327"/>
      <c r="E1823" s="2415" t="s">
        <v>1848</v>
      </c>
      <c r="F1823" s="2416" t="s">
        <v>1231</v>
      </c>
      <c r="G1823" s="2417" t="s">
        <v>1833</v>
      </c>
      <c r="H1823" s="2415" t="s">
        <v>1848</v>
      </c>
      <c r="I1823" s="2416" t="s">
        <v>1231</v>
      </c>
      <c r="J1823" s="2418" t="s">
        <v>1833</v>
      </c>
    </row>
    <row r="1824" spans="1:10" x14ac:dyDescent="0.2">
      <c r="A1824" s="2419" t="s">
        <v>1851</v>
      </c>
      <c r="B1824" s="2420"/>
      <c r="C1824" s="2420"/>
      <c r="D1824" s="2421"/>
      <c r="E1824" s="2422"/>
      <c r="F1824" s="2423"/>
      <c r="G1824" s="2424"/>
      <c r="H1824" s="2422"/>
      <c r="I1824" s="2423"/>
      <c r="J1824" s="2425"/>
    </row>
    <row r="1825" spans="1:10" x14ac:dyDescent="0.2">
      <c r="A1825" s="2426" t="s">
        <v>410</v>
      </c>
      <c r="B1825" s="2427">
        <v>0</v>
      </c>
      <c r="C1825" s="2428">
        <v>5667200.0000000009</v>
      </c>
      <c r="D1825" s="2429">
        <v>0</v>
      </c>
      <c r="E1825" s="2430">
        <v>0</v>
      </c>
      <c r="F1825" s="2427">
        <v>0</v>
      </c>
      <c r="G1825" s="2429">
        <v>0</v>
      </c>
      <c r="H1825" s="2430">
        <v>0</v>
      </c>
      <c r="I1825" s="2427">
        <v>0</v>
      </c>
      <c r="J1825" s="2431">
        <v>0</v>
      </c>
    </row>
    <row r="1826" spans="1:10" x14ac:dyDescent="0.2">
      <c r="A1826" s="2426" t="s">
        <v>411</v>
      </c>
      <c r="B1826" s="2427">
        <v>980</v>
      </c>
      <c r="C1826" s="2428">
        <v>1753716.5000000002</v>
      </c>
      <c r="D1826" s="2429">
        <v>1718.6421700000003</v>
      </c>
      <c r="E1826" s="2430">
        <v>1.878654342131864</v>
      </c>
      <c r="F1826" s="2427">
        <v>1.3751269396516281</v>
      </c>
      <c r="G1826" s="2429">
        <v>7.0387879322957744E-2</v>
      </c>
      <c r="H1826" s="2430">
        <v>0.65662915175064995</v>
      </c>
      <c r="I1826" s="2427">
        <v>0.40232498951672541</v>
      </c>
      <c r="J1826" s="2431">
        <v>2.6593833226722735E-2</v>
      </c>
    </row>
    <row r="1827" spans="1:10" x14ac:dyDescent="0.2">
      <c r="A1827" s="2426" t="s">
        <v>278</v>
      </c>
      <c r="B1827" s="2427">
        <v>7084.2</v>
      </c>
      <c r="C1827" s="2428">
        <v>1637875</v>
      </c>
      <c r="D1827" s="2429">
        <v>11603.034075</v>
      </c>
      <c r="E1827" s="2430">
        <v>13.580370500541378</v>
      </c>
      <c r="F1827" s="2427">
        <v>9.9404839447755755</v>
      </c>
      <c r="G1827" s="2429">
        <v>0.5088181782649972</v>
      </c>
      <c r="H1827" s="2430">
        <v>4.4330870936334215</v>
      </c>
      <c r="I1827" s="2427">
        <v>2.7162085535155827</v>
      </c>
      <c r="J1827" s="2431">
        <v>0.17954240766391238</v>
      </c>
    </row>
    <row r="1828" spans="1:10" x14ac:dyDescent="0.2">
      <c r="A1828" s="2426" t="s">
        <v>200</v>
      </c>
      <c r="B1828" s="2427">
        <v>458.6</v>
      </c>
      <c r="C1828" s="2428">
        <v>7709114.5</v>
      </c>
      <c r="D1828" s="2429">
        <v>3535.3999097000001</v>
      </c>
      <c r="E1828" s="2430">
        <v>0.87913355234864576</v>
      </c>
      <c r="F1828" s="2427">
        <v>0.64350328012677216</v>
      </c>
      <c r="G1828" s="2429">
        <v>3.2938654548477983E-2</v>
      </c>
      <c r="H1828" s="2430">
        <v>1.3507446077653471</v>
      </c>
      <c r="I1828" s="2427">
        <v>0.82761831196512781</v>
      </c>
      <c r="J1828" s="2431">
        <v>5.4705881904627295E-2</v>
      </c>
    </row>
    <row r="1829" spans="1:10" x14ac:dyDescent="0.2">
      <c r="A1829" s="2426" t="s">
        <v>429</v>
      </c>
      <c r="B1829" s="2427">
        <v>0</v>
      </c>
      <c r="C1829" s="2428">
        <v>1255000</v>
      </c>
      <c r="D1829" s="2429">
        <v>0</v>
      </c>
      <c r="E1829" s="2430">
        <v>0</v>
      </c>
      <c r="F1829" s="2427">
        <v>0</v>
      </c>
      <c r="G1829" s="2429">
        <v>0</v>
      </c>
      <c r="H1829" s="2430">
        <v>0</v>
      </c>
      <c r="I1829" s="2427">
        <v>0</v>
      </c>
      <c r="J1829" s="2431">
        <v>0</v>
      </c>
    </row>
    <row r="1830" spans="1:10" x14ac:dyDescent="0.2">
      <c r="A1830" s="2432" t="s">
        <v>431</v>
      </c>
      <c r="B1830" s="2427">
        <v>0</v>
      </c>
      <c r="C1830" s="2428">
        <v>0</v>
      </c>
      <c r="D1830" s="2429">
        <v>0</v>
      </c>
      <c r="E1830" s="2430">
        <v>0</v>
      </c>
      <c r="F1830" s="2427">
        <v>0</v>
      </c>
      <c r="G1830" s="2429">
        <v>0</v>
      </c>
      <c r="H1830" s="2430">
        <v>0</v>
      </c>
      <c r="I1830" s="2427">
        <v>0</v>
      </c>
      <c r="J1830" s="2431">
        <v>0</v>
      </c>
    </row>
    <row r="1831" spans="1:10" x14ac:dyDescent="0.2">
      <c r="A1831" s="2432" t="s">
        <v>430</v>
      </c>
      <c r="B1831" s="2427">
        <v>0</v>
      </c>
      <c r="C1831" s="2428">
        <v>0</v>
      </c>
      <c r="D1831" s="2429">
        <v>0</v>
      </c>
      <c r="E1831" s="2430">
        <v>0</v>
      </c>
      <c r="F1831" s="2427">
        <v>0</v>
      </c>
      <c r="G1831" s="2429">
        <v>0</v>
      </c>
      <c r="H1831" s="2430">
        <v>0</v>
      </c>
      <c r="I1831" s="2427">
        <v>0</v>
      </c>
      <c r="J1831" s="2431">
        <v>0</v>
      </c>
    </row>
    <row r="1832" spans="1:10" x14ac:dyDescent="0.2">
      <c r="A1832" s="2433" t="s">
        <v>279</v>
      </c>
      <c r="B1832" s="2434">
        <v>8522.7999999999993</v>
      </c>
      <c r="C1832" s="2433"/>
      <c r="D1832" s="2435">
        <v>16857.0761547</v>
      </c>
      <c r="E1832" s="2436">
        <v>16.338158395021889</v>
      </c>
      <c r="F1832" s="2434">
        <v>11.959114164553974</v>
      </c>
      <c r="G1832" s="2435">
        <v>0.61214471213643284</v>
      </c>
      <c r="H1832" s="2436">
        <v>6.4404608531494185</v>
      </c>
      <c r="I1832" s="2434">
        <v>3.9461518549974359</v>
      </c>
      <c r="J1832" s="2437">
        <v>0.26084212279526242</v>
      </c>
    </row>
    <row r="1833" spans="1:10" x14ac:dyDescent="0.2">
      <c r="A1833" s="2438" t="s">
        <v>412</v>
      </c>
      <c r="B1833" s="2427">
        <v>254.8</v>
      </c>
      <c r="C1833" s="2428">
        <v>4129499.9999999995</v>
      </c>
      <c r="D1833" s="2429">
        <v>1052.1966</v>
      </c>
      <c r="E1833" s="2430">
        <v>0.48845012895428463</v>
      </c>
      <c r="F1833" s="2427">
        <v>0.35753300430942331</v>
      </c>
      <c r="G1833" s="2429">
        <v>1.8300848623969013E-2</v>
      </c>
      <c r="H1833" s="2430">
        <v>0.40200512532106542</v>
      </c>
      <c r="I1833" s="2427">
        <v>0.24631362680023966</v>
      </c>
      <c r="J1833" s="2431">
        <v>1.6281423434480653E-2</v>
      </c>
    </row>
    <row r="1834" spans="1:10" x14ac:dyDescent="0.2">
      <c r="A1834" s="2438" t="s">
        <v>413</v>
      </c>
      <c r="B1834" s="2427">
        <v>557.5</v>
      </c>
      <c r="C1834" s="2428">
        <v>1200000</v>
      </c>
      <c r="D1834" s="2429">
        <v>669</v>
      </c>
      <c r="E1834" s="2430">
        <v>1.0687242813658309</v>
      </c>
      <c r="F1834" s="2427">
        <v>0.78227884577120688</v>
      </c>
      <c r="G1834" s="2429">
        <v>4.0042084410764227E-2</v>
      </c>
      <c r="H1834" s="2430">
        <v>0.25559997897711584</v>
      </c>
      <c r="I1834" s="2427">
        <v>0.15660934119095266</v>
      </c>
      <c r="J1834" s="2431">
        <v>1.0351936394460463E-2</v>
      </c>
    </row>
    <row r="1835" spans="1:10" x14ac:dyDescent="0.2">
      <c r="A1835" s="2426" t="s">
        <v>90</v>
      </c>
      <c r="B1835" s="2427">
        <v>65</v>
      </c>
      <c r="C1835" s="2428">
        <v>1743000</v>
      </c>
      <c r="D1835" s="2429">
        <v>113.295</v>
      </c>
      <c r="E1835" s="2430">
        <v>0.12460462473323589</v>
      </c>
      <c r="F1835" s="2427">
        <v>9.1207399058526359E-2</v>
      </c>
      <c r="G1835" s="2429">
        <v>4.6685838326451564E-3</v>
      </c>
      <c r="H1835" s="2430">
        <v>4.3285799130362242E-2</v>
      </c>
      <c r="I1835" s="2427">
        <v>2.6521756816485772E-2</v>
      </c>
      <c r="J1835" s="2431">
        <v>1.7530981073399074E-3</v>
      </c>
    </row>
    <row r="1836" spans="1:10" x14ac:dyDescent="0.2">
      <c r="A1836" s="2426" t="s">
        <v>417</v>
      </c>
      <c r="B1836" s="2427">
        <v>497.5</v>
      </c>
      <c r="C1836" s="2428">
        <v>2563999.9999999995</v>
      </c>
      <c r="D1836" s="2429">
        <v>1275.5899999999997</v>
      </c>
      <c r="E1836" s="2430">
        <v>0.95370462776592069</v>
      </c>
      <c r="F1836" s="2427">
        <v>0.69808740048641327</v>
      </c>
      <c r="G1836" s="2429">
        <v>3.5732622411399469E-2</v>
      </c>
      <c r="H1836" s="2430">
        <v>0.48735542179883273</v>
      </c>
      <c r="I1836" s="2427">
        <v>0.29860883337782851</v>
      </c>
      <c r="J1836" s="2431">
        <v>1.9738156271165649E-2</v>
      </c>
    </row>
    <row r="1837" spans="1:10" x14ac:dyDescent="0.2">
      <c r="A1837" s="2426" t="s">
        <v>418</v>
      </c>
      <c r="B1837" s="2427">
        <v>266</v>
      </c>
      <c r="C1837" s="2428">
        <v>2222500</v>
      </c>
      <c r="D1837" s="2429">
        <v>591.18499999999995</v>
      </c>
      <c r="E1837" s="2430">
        <v>0.50992046429293447</v>
      </c>
      <c r="F1837" s="2427">
        <v>0.37324874076258474</v>
      </c>
      <c r="G1837" s="2429">
        <v>1.9105281530517101E-2</v>
      </c>
      <c r="H1837" s="2430">
        <v>0.22586976617576413</v>
      </c>
      <c r="I1837" s="2427">
        <v>0.13839326363523669</v>
      </c>
      <c r="J1837" s="2431">
        <v>9.1478468121959765E-3</v>
      </c>
    </row>
    <row r="1838" spans="1:10" x14ac:dyDescent="0.2">
      <c r="A1838" s="2426" t="s">
        <v>423</v>
      </c>
      <c r="B1838" s="2427">
        <v>1148</v>
      </c>
      <c r="C1838" s="2428">
        <v>2531500</v>
      </c>
      <c r="D1838" s="2429">
        <v>2906.1619999999998</v>
      </c>
      <c r="E1838" s="2430">
        <v>2.2007093722116124</v>
      </c>
      <c r="F1838" s="2427">
        <v>1.61086298644905</v>
      </c>
      <c r="G1838" s="2429">
        <v>8.2454372921179075E-2</v>
      </c>
      <c r="H1838" s="2430">
        <v>1.1103362423080612</v>
      </c>
      <c r="I1838" s="2427">
        <v>0.68031706459518881</v>
      </c>
      <c r="J1838" s="2431">
        <v>4.4969214014944706E-2</v>
      </c>
    </row>
    <row r="1839" spans="1:10" x14ac:dyDescent="0.2">
      <c r="A1839" s="2426" t="s">
        <v>424</v>
      </c>
      <c r="B1839" s="2427">
        <v>0</v>
      </c>
      <c r="C1839" s="2428">
        <v>1369000</v>
      </c>
      <c r="D1839" s="2429">
        <v>0</v>
      </c>
      <c r="E1839" s="2430">
        <v>0</v>
      </c>
      <c r="F1839" s="2427">
        <v>0</v>
      </c>
      <c r="G1839" s="2429">
        <v>0</v>
      </c>
      <c r="H1839" s="2430">
        <v>0</v>
      </c>
      <c r="I1839" s="2427">
        <v>0</v>
      </c>
      <c r="J1839" s="2431">
        <v>0</v>
      </c>
    </row>
    <row r="1840" spans="1:10" x14ac:dyDescent="0.2">
      <c r="A1840" s="2426" t="s">
        <v>280</v>
      </c>
      <c r="B1840" s="2427">
        <v>101</v>
      </c>
      <c r="C1840" s="2428">
        <v>1574500</v>
      </c>
      <c r="D1840" s="2429">
        <v>159.02449999999999</v>
      </c>
      <c r="E1840" s="2430">
        <v>0.1936164168931819</v>
      </c>
      <c r="F1840" s="2427">
        <v>0.14172226622940248</v>
      </c>
      <c r="G1840" s="2429">
        <v>7.2542610322640123E-3</v>
      </c>
      <c r="H1840" s="2430">
        <v>6.0757337603656737E-2</v>
      </c>
      <c r="I1840" s="2427">
        <v>3.7226789504066743E-2</v>
      </c>
      <c r="J1840" s="2431">
        <v>2.4607047969519846E-3</v>
      </c>
    </row>
    <row r="1841" spans="1:10" x14ac:dyDescent="0.2">
      <c r="A1841" s="2426" t="s">
        <v>427</v>
      </c>
      <c r="B1841" s="2427">
        <v>420</v>
      </c>
      <c r="C1841" s="2428">
        <v>2072000</v>
      </c>
      <c r="D1841" s="2429">
        <v>870.24</v>
      </c>
      <c r="E1841" s="2430">
        <v>0.80513757519937035</v>
      </c>
      <c r="F1841" s="2427">
        <v>0.58934011699355493</v>
      </c>
      <c r="G1841" s="2429">
        <v>3.0166233995553321E-2</v>
      </c>
      <c r="H1841" s="2430">
        <v>0.33248628655462675</v>
      </c>
      <c r="I1841" s="2427">
        <v>0.20371855467565719</v>
      </c>
      <c r="J1841" s="2431">
        <v>1.3465873135897269E-2</v>
      </c>
    </row>
    <row r="1842" spans="1:10" x14ac:dyDescent="0.2">
      <c r="A1842" s="2426" t="s">
        <v>428</v>
      </c>
      <c r="B1842" s="2427">
        <v>427</v>
      </c>
      <c r="C1842" s="2428">
        <v>1326280</v>
      </c>
      <c r="D1842" s="2429">
        <v>566.32155999999998</v>
      </c>
      <c r="E1842" s="2430">
        <v>0.81855653478602641</v>
      </c>
      <c r="F1842" s="2427">
        <v>0.59916245227678078</v>
      </c>
      <c r="G1842" s="2429">
        <v>3.0669004562145875E-2</v>
      </c>
      <c r="H1842" s="2430">
        <v>0.21637037194362849</v>
      </c>
      <c r="I1842" s="2427">
        <v>0.13257286459466749</v>
      </c>
      <c r="J1842" s="2431">
        <v>8.7631162450397971E-3</v>
      </c>
    </row>
    <row r="1843" spans="1:10" x14ac:dyDescent="0.2">
      <c r="A1843" s="2439" t="s">
        <v>92</v>
      </c>
      <c r="B1843" s="2427">
        <v>1488</v>
      </c>
      <c r="C1843" s="2428">
        <v>2215500</v>
      </c>
      <c r="D1843" s="2429">
        <v>3296.6640000000002</v>
      </c>
      <c r="E1843" s="2430">
        <v>2.852487409277769</v>
      </c>
      <c r="F1843" s="2427">
        <v>2.0879478430628802</v>
      </c>
      <c r="G1843" s="2429">
        <v>0.10687465758424605</v>
      </c>
      <c r="H1843" s="2430">
        <v>1.259532509857421</v>
      </c>
      <c r="I1843" s="2427">
        <v>0.77173150548270675</v>
      </c>
      <c r="J1843" s="2431">
        <v>5.1011742962492695E-2</v>
      </c>
    </row>
    <row r="1844" spans="1:10" x14ac:dyDescent="0.2">
      <c r="A1844" s="2433" t="s">
        <v>281</v>
      </c>
      <c r="B1844" s="2434">
        <v>5224.8</v>
      </c>
      <c r="C1844" s="2433"/>
      <c r="D1844" s="2435">
        <v>11499.67866</v>
      </c>
      <c r="E1844" s="2436">
        <v>10.015911435480167</v>
      </c>
      <c r="F1844" s="2434">
        <v>7.3313910553998234</v>
      </c>
      <c r="G1844" s="2435">
        <v>0.37526795090468329</v>
      </c>
      <c r="H1844" s="2436">
        <v>4.3935988396705348</v>
      </c>
      <c r="I1844" s="2434">
        <v>2.6920136006730302</v>
      </c>
      <c r="J1844" s="2437">
        <v>0.17794311217496911</v>
      </c>
    </row>
    <row r="1845" spans="1:10" x14ac:dyDescent="0.2">
      <c r="A1845" s="2440" t="s">
        <v>106</v>
      </c>
      <c r="B1845" s="2441">
        <v>13747.599999999999</v>
      </c>
      <c r="C1845" s="2440"/>
      <c r="D1845" s="2442">
        <v>28356.754814699998</v>
      </c>
      <c r="E1845" s="2443">
        <v>26.354069830502052</v>
      </c>
      <c r="F1845" s="2441">
        <v>19.290505219953797</v>
      </c>
      <c r="G1845" s="2442">
        <v>0.98741266304111608</v>
      </c>
      <c r="H1845" s="2443">
        <v>10.834059692819951</v>
      </c>
      <c r="I1845" s="2441">
        <v>6.6381654556704657</v>
      </c>
      <c r="J1845" s="2444">
        <v>0.43878523497023153</v>
      </c>
    </row>
    <row r="1846" spans="1:10" x14ac:dyDescent="0.2">
      <c r="A1846" s="2426" t="s">
        <v>905</v>
      </c>
      <c r="B1846" s="2427">
        <v>0</v>
      </c>
      <c r="C1846" s="2428">
        <v>6100000</v>
      </c>
      <c r="D1846" s="2429">
        <v>0</v>
      </c>
      <c r="E1846" s="2430">
        <v>0</v>
      </c>
      <c r="F1846" s="2427">
        <v>0</v>
      </c>
      <c r="G1846" s="2429">
        <v>0</v>
      </c>
      <c r="H1846" s="2430">
        <v>0</v>
      </c>
      <c r="I1846" s="2427">
        <v>0</v>
      </c>
      <c r="J1846" s="2431">
        <v>0</v>
      </c>
    </row>
    <row r="1847" spans="1:10" x14ac:dyDescent="0.2">
      <c r="A1847" s="2426" t="s">
        <v>906</v>
      </c>
      <c r="B1847" s="2427">
        <v>60</v>
      </c>
      <c r="C1847" s="2428">
        <v>3022000.0000000005</v>
      </c>
      <c r="D1847" s="2429">
        <v>181.32000000000002</v>
      </c>
      <c r="E1847" s="2430">
        <v>0.11501965359991004</v>
      </c>
      <c r="F1847" s="2427">
        <v>8.4191445284793567E-2</v>
      </c>
      <c r="G1847" s="2429">
        <v>4.3094619993647599E-3</v>
      </c>
      <c r="H1847" s="2430">
        <v>6.927561762052413E-2</v>
      </c>
      <c r="I1847" s="2427">
        <v>4.2446047451036681E-2</v>
      </c>
      <c r="J1847" s="2431">
        <v>2.8056997115748451E-3</v>
      </c>
    </row>
    <row r="1848" spans="1:10" x14ac:dyDescent="0.2">
      <c r="A1848" s="2426" t="s">
        <v>907</v>
      </c>
      <c r="B1848" s="2427">
        <v>612</v>
      </c>
      <c r="C1848" s="2428">
        <v>2324000</v>
      </c>
      <c r="D1848" s="2429">
        <v>1422.288</v>
      </c>
      <c r="E1848" s="2430">
        <v>1.1732004667190825</v>
      </c>
      <c r="F1848" s="2427">
        <v>0.85875274190489426</v>
      </c>
      <c r="G1848" s="2429">
        <v>4.3956512393520553E-2</v>
      </c>
      <c r="H1848" s="2430">
        <v>0.54340326292885521</v>
      </c>
      <c r="I1848" s="2427">
        <v>0.3329500548038829</v>
      </c>
      <c r="J1848" s="2431">
        <v>2.2008123932144071E-2</v>
      </c>
    </row>
    <row r="1849" spans="1:10" x14ac:dyDescent="0.2">
      <c r="A1849" s="2439" t="s">
        <v>908</v>
      </c>
      <c r="B1849" s="2427">
        <v>336</v>
      </c>
      <c r="C1849" s="2428">
        <v>2403999.9999999995</v>
      </c>
      <c r="D1849" s="2429">
        <v>807.74399999999991</v>
      </c>
      <c r="E1849" s="2430">
        <v>0.64411006015949623</v>
      </c>
      <c r="F1849" s="2427">
        <v>0.47147209359484388</v>
      </c>
      <c r="G1849" s="2429">
        <v>2.4132987196442655E-2</v>
      </c>
      <c r="H1849" s="2430">
        <v>0.30860889300282723</v>
      </c>
      <c r="I1849" s="2427">
        <v>0.18908857352906555</v>
      </c>
      <c r="J1849" s="2431">
        <v>1.2498825875944801E-2</v>
      </c>
    </row>
    <row r="1850" spans="1:10" x14ac:dyDescent="0.2">
      <c r="A1850" s="2440" t="s">
        <v>282</v>
      </c>
      <c r="B1850" s="2441">
        <v>1008</v>
      </c>
      <c r="C1850" s="2440"/>
      <c r="D1850" s="2442">
        <v>2411.3519999999999</v>
      </c>
      <c r="E1850" s="2443">
        <v>1.9323301804784885</v>
      </c>
      <c r="F1850" s="2441">
        <v>1.4144162807845317</v>
      </c>
      <c r="G1850" s="2442">
        <v>7.2398961589327973E-2</v>
      </c>
      <c r="H1850" s="2443">
        <v>0.92128777355220659</v>
      </c>
      <c r="I1850" s="2441">
        <v>0.56448467578398509</v>
      </c>
      <c r="J1850" s="2444">
        <v>3.7312649519663718E-2</v>
      </c>
    </row>
    <row r="1851" spans="1:10" x14ac:dyDescent="0.2">
      <c r="A1851" s="2426" t="s">
        <v>955</v>
      </c>
      <c r="B1851" s="2427">
        <v>129.6</v>
      </c>
      <c r="C1851" s="2428">
        <v>12137000</v>
      </c>
      <c r="D1851" s="2429">
        <v>1572.9552000000001</v>
      </c>
      <c r="E1851" s="2430">
        <v>0.24844245177580568</v>
      </c>
      <c r="F1851" s="2427">
        <v>0.18185352181515407</v>
      </c>
      <c r="G1851" s="2429">
        <v>9.3084379186278796E-3</v>
      </c>
      <c r="H1851" s="2430">
        <v>0.60096758752159207</v>
      </c>
      <c r="I1851" s="2427">
        <v>0.3682204448354009</v>
      </c>
      <c r="J1851" s="2431">
        <v>2.4339509987646994E-2</v>
      </c>
    </row>
    <row r="1852" spans="1:10" x14ac:dyDescent="0.2">
      <c r="A1852" s="2426" t="s">
        <v>283</v>
      </c>
      <c r="B1852" s="2427">
        <v>6915.5543380900799</v>
      </c>
      <c r="C1852" s="2428">
        <v>13024549.999999996</v>
      </c>
      <c r="D1852" s="2429">
        <v>90071.983254171122</v>
      </c>
      <c r="E1852" s="2430">
        <v>13.257077740307935</v>
      </c>
      <c r="F1852" s="2427">
        <v>9.703841911155461</v>
      </c>
      <c r="G1852" s="2429">
        <v>0.49670531040902188</v>
      </c>
      <c r="H1852" s="2430">
        <v>34.41314951598396</v>
      </c>
      <c r="I1852" s="2427">
        <v>21.085372133330733</v>
      </c>
      <c r="J1852" s="2431">
        <v>1.3937510337370513</v>
      </c>
    </row>
    <row r="1853" spans="1:10" x14ac:dyDescent="0.2">
      <c r="A1853" s="2426" t="s">
        <v>69</v>
      </c>
      <c r="B1853" s="2427">
        <v>5462.3336619099191</v>
      </c>
      <c r="C1853" s="2428">
        <v>14978232.499999994</v>
      </c>
      <c r="D1853" s="2429">
        <v>81816.103580663126</v>
      </c>
      <c r="E1853" s="2430">
        <v>10.471262094000117</v>
      </c>
      <c r="F1853" s="2427">
        <v>7.6646960937329158</v>
      </c>
      <c r="G1853" s="2429">
        <v>0.39232865573086251</v>
      </c>
      <c r="H1853" s="2430">
        <v>31.258885433792265</v>
      </c>
      <c r="I1853" s="2427">
        <v>19.152714619698646</v>
      </c>
      <c r="J1853" s="2431">
        <v>1.2660016447079427</v>
      </c>
    </row>
    <row r="1854" spans="1:10" x14ac:dyDescent="0.2">
      <c r="A1854" s="2426" t="s">
        <v>199</v>
      </c>
      <c r="B1854" s="2427">
        <v>580</v>
      </c>
      <c r="C1854" s="2428">
        <v>3000000</v>
      </c>
      <c r="D1854" s="2429">
        <v>1740</v>
      </c>
      <c r="E1854" s="2430">
        <v>1.111856651465797</v>
      </c>
      <c r="F1854" s="2427">
        <v>0.81385063775300437</v>
      </c>
      <c r="G1854" s="2429">
        <v>4.1658132660526009E-2</v>
      </c>
      <c r="H1854" s="2430">
        <v>0.66478918298980805</v>
      </c>
      <c r="I1854" s="2427">
        <v>0.4073247439047199</v>
      </c>
      <c r="J1854" s="2431">
        <v>2.6924318873484614E-2</v>
      </c>
    </row>
    <row r="1855" spans="1:10" x14ac:dyDescent="0.2">
      <c r="A1855" s="2426" t="s">
        <v>86</v>
      </c>
      <c r="B1855" s="2427">
        <v>580</v>
      </c>
      <c r="C1855" s="2428">
        <v>170000</v>
      </c>
      <c r="D1855" s="2429">
        <v>98.6</v>
      </c>
      <c r="E1855" s="2430">
        <v>1.111856651465797</v>
      </c>
      <c r="F1855" s="2427">
        <v>0.81385063775300437</v>
      </c>
      <c r="G1855" s="2429">
        <v>4.1658132660526009E-2</v>
      </c>
      <c r="H1855" s="2430">
        <v>3.7671387036089118E-2</v>
      </c>
      <c r="I1855" s="2427">
        <v>2.3081735487934126E-2</v>
      </c>
      <c r="J1855" s="2431">
        <v>1.5257114028307947E-3</v>
      </c>
    </row>
    <row r="1856" spans="1:10" x14ac:dyDescent="0.2">
      <c r="A1856" s="2439" t="s">
        <v>213</v>
      </c>
      <c r="B1856" s="2427">
        <v>11991</v>
      </c>
      <c r="C1856" s="2428">
        <v>1850000.0000000005</v>
      </c>
      <c r="D1856" s="2429">
        <v>22183.350000000002</v>
      </c>
      <c r="E1856" s="2430">
        <v>22.98667777194202</v>
      </c>
      <c r="F1856" s="2427">
        <v>16.825660340165992</v>
      </c>
      <c r="G1856" s="2429">
        <v>0.86124598057304735</v>
      </c>
      <c r="H1856" s="2430">
        <v>8.4754316795844602</v>
      </c>
      <c r="I1856" s="2427">
        <v>5.1930042285625113</v>
      </c>
      <c r="J1856" s="2431">
        <v>0.34325953395523845</v>
      </c>
    </row>
    <row r="1857" spans="1:10" x14ac:dyDescent="0.2">
      <c r="A1857" s="2433" t="s">
        <v>1834</v>
      </c>
      <c r="B1857" s="2434">
        <v>25658.487999999998</v>
      </c>
      <c r="C1857" s="2433"/>
      <c r="D1857" s="2435">
        <v>197482.99203483426</v>
      </c>
      <c r="E1857" s="2436">
        <v>49.187173360957473</v>
      </c>
      <c r="F1857" s="2434">
        <v>36.00375314237553</v>
      </c>
      <c r="G1857" s="2435">
        <v>1.8429046499526116</v>
      </c>
      <c r="H1857" s="2436">
        <v>75.450894786908179</v>
      </c>
      <c r="I1857" s="2434">
        <v>46.229717905819946</v>
      </c>
      <c r="J1857" s="2437">
        <v>3.0558017526641947</v>
      </c>
    </row>
    <row r="1858" spans="1:10" x14ac:dyDescent="0.2">
      <c r="A1858" s="2426" t="s">
        <v>961</v>
      </c>
      <c r="B1858" s="2427">
        <v>2063.91</v>
      </c>
      <c r="C1858" s="2428">
        <v>3668000</v>
      </c>
      <c r="D1858" s="2429">
        <v>7570.421879999999</v>
      </c>
      <c r="E1858" s="2430">
        <v>3.9565035543565052</v>
      </c>
      <c r="F1858" s="2427">
        <v>2.8960594306289713</v>
      </c>
      <c r="G1858" s="2429">
        <v>0.1482390285851487</v>
      </c>
      <c r="H1858" s="2430">
        <v>2.8923761933869918</v>
      </c>
      <c r="I1858" s="2427">
        <v>1.7721954905297057</v>
      </c>
      <c r="J1858" s="2431">
        <v>0.11714278891030164</v>
      </c>
    </row>
    <row r="1859" spans="1:10" x14ac:dyDescent="0.2">
      <c r="A1859" s="2426" t="s">
        <v>962</v>
      </c>
      <c r="B1859" s="2427">
        <v>222</v>
      </c>
      <c r="C1859" s="2428">
        <v>1999999.9999999998</v>
      </c>
      <c r="D1859" s="2429">
        <v>443.99999999999994</v>
      </c>
      <c r="E1859" s="2430">
        <v>0.42557271831966714</v>
      </c>
      <c r="F1859" s="2427">
        <v>0.31150834755373613</v>
      </c>
      <c r="G1859" s="2429">
        <v>1.5945009397649614E-2</v>
      </c>
      <c r="H1859" s="2430">
        <v>0.16963586048705442</v>
      </c>
      <c r="I1859" s="2427">
        <v>0.10393803809982506</v>
      </c>
      <c r="J1859" s="2431">
        <v>6.870343436682279E-3</v>
      </c>
    </row>
    <row r="1860" spans="1:10" x14ac:dyDescent="0.2">
      <c r="A1860" s="2426" t="s">
        <v>963</v>
      </c>
      <c r="B1860" s="2427">
        <v>240</v>
      </c>
      <c r="C1860" s="2428">
        <v>1347999.9999999998</v>
      </c>
      <c r="D1860" s="2429">
        <v>323.51999999999992</v>
      </c>
      <c r="E1860" s="2430">
        <v>0.46007861439964015</v>
      </c>
      <c r="F1860" s="2427">
        <v>0.33676578113917427</v>
      </c>
      <c r="G1860" s="2429">
        <v>1.723784799745904E-2</v>
      </c>
      <c r="H1860" s="2430">
        <v>0.12360494050624291</v>
      </c>
      <c r="I1860" s="2427">
        <v>7.5734311004629282E-2</v>
      </c>
      <c r="J1860" s="2431">
        <v>5.0060664608906546E-3</v>
      </c>
    </row>
    <row r="1861" spans="1:10" x14ac:dyDescent="0.2">
      <c r="A1861" s="2426" t="s">
        <v>965</v>
      </c>
      <c r="B1861" s="2427">
        <v>2430</v>
      </c>
      <c r="C1861" s="2428">
        <v>1599999.9999999995</v>
      </c>
      <c r="D1861" s="2429">
        <v>3887.9999999999991</v>
      </c>
      <c r="E1861" s="2430">
        <v>4.658295970796356</v>
      </c>
      <c r="F1861" s="2427">
        <v>3.4097535340341394</v>
      </c>
      <c r="G1861" s="2429">
        <v>0.17453321097427277</v>
      </c>
      <c r="H1861" s="2430">
        <v>1.4854599675082605</v>
      </c>
      <c r="I1861" s="2427">
        <v>0.91016011741468439</v>
      </c>
      <c r="J1861" s="2431">
        <v>6.0161926310406982E-2</v>
      </c>
    </row>
    <row r="1862" spans="1:10" x14ac:dyDescent="0.2">
      <c r="A1862" s="2426" t="s">
        <v>966</v>
      </c>
      <c r="B1862" s="2427">
        <v>20</v>
      </c>
      <c r="C1862" s="2428">
        <v>2244000</v>
      </c>
      <c r="D1862" s="2429">
        <v>44.88</v>
      </c>
      <c r="E1862" s="2430">
        <v>3.8339884533303344E-2</v>
      </c>
      <c r="F1862" s="2427">
        <v>2.8063815094931187E-2</v>
      </c>
      <c r="G1862" s="2429">
        <v>1.4364873331215865E-3</v>
      </c>
      <c r="H1862" s="2430">
        <v>1.7146976168150911E-2</v>
      </c>
      <c r="I1862" s="2427">
        <v>1.0506169256576913E-2</v>
      </c>
      <c r="J1862" s="2431">
        <v>6.9446174197815486E-4</v>
      </c>
    </row>
    <row r="1863" spans="1:10" x14ac:dyDescent="0.2">
      <c r="A1863" s="2426" t="s">
        <v>1499</v>
      </c>
      <c r="B1863" s="2427">
        <v>180</v>
      </c>
      <c r="C1863" s="2428">
        <v>4849999.9999999991</v>
      </c>
      <c r="D1863" s="2429">
        <v>872.99999999999989</v>
      </c>
      <c r="E1863" s="2430">
        <v>0.34505896079973014</v>
      </c>
      <c r="F1863" s="2427">
        <v>0.25257433585438066</v>
      </c>
      <c r="G1863" s="2429">
        <v>1.292838599809428E-2</v>
      </c>
      <c r="H1863" s="2430">
        <v>0.33354077974143814</v>
      </c>
      <c r="I1863" s="2427">
        <v>0.20436465599357498</v>
      </c>
      <c r="J1863" s="2431">
        <v>1.3508580676179348E-2</v>
      </c>
    </row>
    <row r="1864" spans="1:10" x14ac:dyDescent="0.2">
      <c r="A1864" s="2426" t="s">
        <v>1575</v>
      </c>
      <c r="B1864" s="2427">
        <v>0</v>
      </c>
      <c r="C1864" s="2428">
        <v>2250000.0000000005</v>
      </c>
      <c r="D1864" s="2429">
        <v>0</v>
      </c>
      <c r="E1864" s="2430">
        <v>0</v>
      </c>
      <c r="F1864" s="2427">
        <v>0</v>
      </c>
      <c r="G1864" s="2429">
        <v>0</v>
      </c>
      <c r="H1864" s="2430">
        <v>0</v>
      </c>
      <c r="I1864" s="2427">
        <v>0</v>
      </c>
      <c r="J1864" s="2431">
        <v>0</v>
      </c>
    </row>
    <row r="1865" spans="1:10" x14ac:dyDescent="0.2">
      <c r="A1865" s="2426" t="s">
        <v>964</v>
      </c>
      <c r="B1865" s="2427">
        <v>48</v>
      </c>
      <c r="C1865" s="2428">
        <v>1556000</v>
      </c>
      <c r="D1865" s="2429">
        <v>74.688000000000002</v>
      </c>
      <c r="E1865" s="2430">
        <v>9.2015722879928027E-2</v>
      </c>
      <c r="F1865" s="2427">
        <v>6.7353156227834846E-2</v>
      </c>
      <c r="G1865" s="2429">
        <v>3.4475695994918083E-3</v>
      </c>
      <c r="H1865" s="2430">
        <v>2.8535502585714242E-2</v>
      </c>
      <c r="I1865" s="2427">
        <v>1.7484063490089494E-2</v>
      </c>
      <c r="J1865" s="2431">
        <v>1.1557031770246084E-3</v>
      </c>
    </row>
    <row r="1866" spans="1:10" x14ac:dyDescent="0.2">
      <c r="A1866" s="2426" t="s">
        <v>969</v>
      </c>
      <c r="B1866" s="2427">
        <v>896</v>
      </c>
      <c r="C1866" s="2428">
        <v>4800000</v>
      </c>
      <c r="D1866" s="2429">
        <v>4300.8</v>
      </c>
      <c r="E1866" s="2430">
        <v>1.7176268270919899</v>
      </c>
      <c r="F1866" s="2427">
        <v>1.2572589162529171</v>
      </c>
      <c r="G1866" s="2429">
        <v>6.4354632523847086E-2</v>
      </c>
      <c r="H1866" s="2430">
        <v>1.6431754702313599</v>
      </c>
      <c r="I1866" s="2427">
        <v>1.0067944014858732</v>
      </c>
      <c r="J1866" s="2431">
        <v>6.6549488856944033E-2</v>
      </c>
    </row>
    <row r="1867" spans="1:10" x14ac:dyDescent="0.2">
      <c r="A1867" s="2426" t="s">
        <v>968</v>
      </c>
      <c r="B1867" s="2427">
        <v>171.5</v>
      </c>
      <c r="C1867" s="2428">
        <v>3050000.0000000009</v>
      </c>
      <c r="D1867" s="2429">
        <v>523.07500000000016</v>
      </c>
      <c r="E1867" s="2430">
        <v>0.3287645098730762</v>
      </c>
      <c r="F1867" s="2427">
        <v>0.24064721443903492</v>
      </c>
      <c r="G1867" s="2429">
        <v>1.2317878881517606E-2</v>
      </c>
      <c r="H1867" s="2430">
        <v>0.19984747235195052</v>
      </c>
      <c r="I1867" s="2427">
        <v>0.12244907495285141</v>
      </c>
      <c r="J1867" s="2431">
        <v>8.0939299395103269E-3</v>
      </c>
    </row>
    <row r="1868" spans="1:10" x14ac:dyDescent="0.2">
      <c r="A1868" s="2426" t="s">
        <v>1013</v>
      </c>
      <c r="B1868" s="2427">
        <v>120</v>
      </c>
      <c r="C1868" s="2428">
        <v>1799999.9999999998</v>
      </c>
      <c r="D1868" s="2429">
        <v>215.99999999999997</v>
      </c>
      <c r="E1868" s="2430">
        <v>0.23003930719982008</v>
      </c>
      <c r="F1868" s="2427">
        <v>0.16838289056958713</v>
      </c>
      <c r="G1868" s="2429">
        <v>8.6189239987295198E-3</v>
      </c>
      <c r="H1868" s="2430">
        <v>8.2525553750458919E-2</v>
      </c>
      <c r="I1868" s="2427">
        <v>5.0564450967482466E-2</v>
      </c>
      <c r="J1868" s="2431">
        <v>3.3423292394670549E-3</v>
      </c>
    </row>
    <row r="1869" spans="1:10" x14ac:dyDescent="0.2">
      <c r="A1869" s="2426" t="s">
        <v>1014</v>
      </c>
      <c r="B1869" s="2427">
        <v>45</v>
      </c>
      <c r="C1869" s="2428">
        <v>2195000.0000000005</v>
      </c>
      <c r="D1869" s="2429">
        <v>98.77500000000002</v>
      </c>
      <c r="E1869" s="2430">
        <v>8.6264740199932535E-2</v>
      </c>
      <c r="F1869" s="2427">
        <v>6.3143583963595165E-2</v>
      </c>
      <c r="G1869" s="2429">
        <v>3.2320964995235699E-3</v>
      </c>
      <c r="H1869" s="2430">
        <v>3.7738248017136961E-2</v>
      </c>
      <c r="I1869" s="2427">
        <v>2.312270205700501E-2</v>
      </c>
      <c r="J1869" s="2431">
        <v>1.5284193084646224E-3</v>
      </c>
    </row>
    <row r="1870" spans="1:10" x14ac:dyDescent="0.2">
      <c r="A1870" s="2426" t="s">
        <v>970</v>
      </c>
      <c r="B1870" s="2427">
        <v>1940</v>
      </c>
      <c r="C1870" s="2428">
        <v>3100000.0000000005</v>
      </c>
      <c r="D1870" s="2429">
        <v>6014.0000000000009</v>
      </c>
      <c r="E1870" s="2430">
        <v>3.7189687997304244</v>
      </c>
      <c r="F1870" s="2427">
        <v>2.7221900642083252</v>
      </c>
      <c r="G1870" s="2429">
        <v>0.13933927131279392</v>
      </c>
      <c r="H1870" s="2430">
        <v>2.2977253715521297</v>
      </c>
      <c r="I1870" s="2427">
        <v>1.407845407955739</v>
      </c>
      <c r="J1870" s="2431">
        <v>9.3059111324791083E-2</v>
      </c>
    </row>
    <row r="1871" spans="1:10" x14ac:dyDescent="0.2">
      <c r="A1871" s="2426" t="s">
        <v>971</v>
      </c>
      <c r="B1871" s="2427">
        <v>66</v>
      </c>
      <c r="C1871" s="2428">
        <v>3010000</v>
      </c>
      <c r="D1871" s="2429">
        <v>198.66</v>
      </c>
      <c r="E1871" s="2430">
        <v>0.12652161895990105</v>
      </c>
      <c r="F1871" s="2427">
        <v>9.2610589813272914E-2</v>
      </c>
      <c r="G1871" s="2429">
        <v>4.7404081993012359E-3</v>
      </c>
      <c r="H1871" s="2430">
        <v>7.5900585685491517E-2</v>
      </c>
      <c r="I1871" s="2427">
        <v>4.6505249209259573E-2</v>
      </c>
      <c r="J1871" s="2431">
        <v>3.0740144755209502E-3</v>
      </c>
    </row>
    <row r="1872" spans="1:10" x14ac:dyDescent="0.2">
      <c r="A1872" s="2426" t="s">
        <v>972</v>
      </c>
      <c r="B1872" s="2427">
        <v>360</v>
      </c>
      <c r="C1872" s="2428">
        <v>2744000.0000000005</v>
      </c>
      <c r="D1872" s="2429">
        <v>987.84000000000015</v>
      </c>
      <c r="E1872" s="2430">
        <v>0.69011792159946028</v>
      </c>
      <c r="F1872" s="2427">
        <v>0.50514867170876132</v>
      </c>
      <c r="G1872" s="2429">
        <v>2.5856771996188559E-2</v>
      </c>
      <c r="H1872" s="2430">
        <v>0.37741686581876555</v>
      </c>
      <c r="I1872" s="2427">
        <v>0.23124808909128655</v>
      </c>
      <c r="J1872" s="2431">
        <v>1.5285585721829333E-2</v>
      </c>
    </row>
    <row r="1873" spans="1:10" x14ac:dyDescent="0.2">
      <c r="A1873" s="2426" t="s">
        <v>973</v>
      </c>
      <c r="B1873" s="2427">
        <v>33</v>
      </c>
      <c r="C1873" s="2428">
        <v>2549999.9999999991</v>
      </c>
      <c r="D1873" s="2429">
        <v>84.149999999999977</v>
      </c>
      <c r="E1873" s="2430">
        <v>6.3260809479950525E-2</v>
      </c>
      <c r="F1873" s="2427">
        <v>4.6305294906636457E-2</v>
      </c>
      <c r="G1873" s="2429">
        <v>2.3702040996506179E-3</v>
      </c>
      <c r="H1873" s="2430">
        <v>3.2150580315282951E-2</v>
      </c>
      <c r="I1873" s="2427">
        <v>1.969906735608171E-2</v>
      </c>
      <c r="J1873" s="2431">
        <v>1.30211576620904E-3</v>
      </c>
    </row>
    <row r="1874" spans="1:10" x14ac:dyDescent="0.2">
      <c r="A1874" s="2426" t="s">
        <v>974</v>
      </c>
      <c r="B1874" s="2427">
        <v>513</v>
      </c>
      <c r="C1874" s="2428">
        <v>1583999.9999999995</v>
      </c>
      <c r="D1874" s="2429">
        <v>812.59199999999976</v>
      </c>
      <c r="E1874" s="2430">
        <v>0.9834180382792308</v>
      </c>
      <c r="F1874" s="2427">
        <v>0.71983685718498491</v>
      </c>
      <c r="G1874" s="2429">
        <v>3.6845900094568694E-2</v>
      </c>
      <c r="H1874" s="2430">
        <v>0.31046113320922641</v>
      </c>
      <c r="I1874" s="2427">
        <v>0.19022346453966901</v>
      </c>
      <c r="J1874" s="2431">
        <v>1.2573842598875059E-2</v>
      </c>
    </row>
    <row r="1875" spans="1:10" x14ac:dyDescent="0.2">
      <c r="A1875" s="2426" t="s">
        <v>975</v>
      </c>
      <c r="B1875" s="2427">
        <v>1550</v>
      </c>
      <c r="C1875" s="2428">
        <v>2532000.0000000009</v>
      </c>
      <c r="D1875" s="2429">
        <v>3924.6000000000013</v>
      </c>
      <c r="E1875" s="2430">
        <v>2.9713410513310095</v>
      </c>
      <c r="F1875" s="2427">
        <v>2.1749456698571668</v>
      </c>
      <c r="G1875" s="2429">
        <v>0.11132776831692297</v>
      </c>
      <c r="H1875" s="2430">
        <v>1.499443464115978</v>
      </c>
      <c r="I1875" s="2427">
        <v>0.91872798271750811</v>
      </c>
      <c r="J1875" s="2431">
        <v>6.0728265431538933E-2</v>
      </c>
    </row>
    <row r="1876" spans="1:10" x14ac:dyDescent="0.2">
      <c r="A1876" s="2426" t="s">
        <v>976</v>
      </c>
      <c r="B1876" s="2427">
        <v>245</v>
      </c>
      <c r="C1876" s="2428">
        <v>7394999.9999999991</v>
      </c>
      <c r="D1876" s="2429">
        <v>1811.7749999999999</v>
      </c>
      <c r="E1876" s="2430">
        <v>0.469663585532966</v>
      </c>
      <c r="F1876" s="2427">
        <v>0.34378173491290703</v>
      </c>
      <c r="G1876" s="2429">
        <v>1.7596969830739436E-2</v>
      </c>
      <c r="H1876" s="2430">
        <v>0.69221173678813752</v>
      </c>
      <c r="I1876" s="2427">
        <v>0.42412688959078959</v>
      </c>
      <c r="J1876" s="2431">
        <v>2.8034947027015849E-2</v>
      </c>
    </row>
    <row r="1877" spans="1:10" x14ac:dyDescent="0.2">
      <c r="A1877" s="2426" t="s">
        <v>286</v>
      </c>
      <c r="B1877" s="2427">
        <v>288</v>
      </c>
      <c r="C1877" s="2428">
        <v>2445000.0000000005</v>
      </c>
      <c r="D1877" s="2429">
        <v>704.16000000000008</v>
      </c>
      <c r="E1877" s="2430">
        <v>0.55209433727956814</v>
      </c>
      <c r="F1877" s="2427">
        <v>0.4041189373670091</v>
      </c>
      <c r="G1877" s="2429">
        <v>2.0685417596950847E-2</v>
      </c>
      <c r="H1877" s="2430">
        <v>0.26903330522649616</v>
      </c>
      <c r="I1877" s="2427">
        <v>0.16484011015399289</v>
      </c>
      <c r="J1877" s="2431">
        <v>1.0895993320662602E-2</v>
      </c>
    </row>
    <row r="1878" spans="1:10" x14ac:dyDescent="0.2">
      <c r="A1878" s="2439" t="s">
        <v>978</v>
      </c>
      <c r="B1878" s="2427">
        <v>319.5</v>
      </c>
      <c r="C1878" s="2428">
        <v>1850000.0000000002</v>
      </c>
      <c r="D1878" s="2429">
        <v>591.07500000000016</v>
      </c>
      <c r="E1878" s="2430">
        <v>0.61247965541952099</v>
      </c>
      <c r="F1878" s="2427">
        <v>0.44831944614152569</v>
      </c>
      <c r="G1878" s="2429">
        <v>2.2947885146617348E-2</v>
      </c>
      <c r="H1878" s="2430">
        <v>0.22582773927339131</v>
      </c>
      <c r="I1878" s="2427">
        <v>0.13836751322039217</v>
      </c>
      <c r="J1878" s="2431">
        <v>9.1461447000832884E-3</v>
      </c>
    </row>
    <row r="1879" spans="1:10" x14ac:dyDescent="0.2">
      <c r="A1879" s="2426" t="s">
        <v>1163</v>
      </c>
      <c r="B1879" s="2427">
        <v>0</v>
      </c>
      <c r="C1879" s="2428">
        <v>0</v>
      </c>
      <c r="D1879" s="2429">
        <v>0</v>
      </c>
      <c r="E1879" s="2430">
        <v>0</v>
      </c>
      <c r="F1879" s="2427">
        <v>0</v>
      </c>
      <c r="G1879" s="2429">
        <v>0</v>
      </c>
      <c r="H1879" s="2430">
        <v>0</v>
      </c>
      <c r="I1879" s="2427">
        <v>0</v>
      </c>
      <c r="J1879" s="2431">
        <v>0</v>
      </c>
    </row>
    <row r="1880" spans="1:10" x14ac:dyDescent="0.2">
      <c r="A1880" s="2433" t="s">
        <v>287</v>
      </c>
      <c r="B1880" s="2434">
        <v>11750.91</v>
      </c>
      <c r="C1880" s="2433"/>
      <c r="D1880" s="2435">
        <v>33486.011880000005</v>
      </c>
      <c r="E1880" s="2436">
        <v>22.526426628061984</v>
      </c>
      <c r="F1880" s="2434">
        <v>16.488768271858891</v>
      </c>
      <c r="G1880" s="2435">
        <v>0.84400166838258917</v>
      </c>
      <c r="H1880" s="2436">
        <v>12.793757746719661</v>
      </c>
      <c r="I1880" s="2434">
        <v>7.8388972490870179</v>
      </c>
      <c r="J1880" s="2437">
        <v>0.5181540584243759</v>
      </c>
    </row>
    <row r="1881" spans="1:10" x14ac:dyDescent="0.2">
      <c r="A1881" s="2440" t="s">
        <v>1835</v>
      </c>
      <c r="B1881" s="2441">
        <v>37409.398000000001</v>
      </c>
      <c r="C1881" s="2440"/>
      <c r="D1881" s="2442">
        <v>230969.00391483426</v>
      </c>
      <c r="E1881" s="2443">
        <v>71.713599989019457</v>
      </c>
      <c r="F1881" s="2441">
        <v>52.492521414234425</v>
      </c>
      <c r="G1881" s="2442">
        <v>2.6869063183352009</v>
      </c>
      <c r="H1881" s="2443">
        <v>88.244652533627843</v>
      </c>
      <c r="I1881" s="2441">
        <v>54.068615154906965</v>
      </c>
      <c r="J1881" s="2444">
        <v>3.5739558110885707</v>
      </c>
    </row>
    <row r="1882" spans="1:10" x14ac:dyDescent="0.2">
      <c r="A1882" s="2445" t="s">
        <v>194</v>
      </c>
      <c r="B1882" s="2446">
        <v>52164.998</v>
      </c>
      <c r="C1882" s="2447"/>
      <c r="D1882" s="2448">
        <v>261737.11072953427</v>
      </c>
      <c r="E1882" s="2449">
        <v>100</v>
      </c>
      <c r="F1882" s="2427">
        <v>73.197442914972754</v>
      </c>
      <c r="G1882" s="2448">
        <v>3.7467179429656454</v>
      </c>
      <c r="H1882" s="2449">
        <v>100</v>
      </c>
      <c r="I1882" s="2427">
        <v>61.27126528636142</v>
      </c>
      <c r="J1882" s="2450">
        <v>4.0500536955784661</v>
      </c>
    </row>
    <row r="1883" spans="1:10" x14ac:dyDescent="0.2">
      <c r="A1883" s="2451" t="s">
        <v>1852</v>
      </c>
      <c r="B1883" s="2427"/>
      <c r="C1883" s="2452"/>
      <c r="D1883" s="2429"/>
      <c r="E1883" s="2430"/>
      <c r="F1883" s="2427">
        <v>0</v>
      </c>
      <c r="G1883" s="2429"/>
      <c r="H1883" s="2430"/>
      <c r="I1883" s="2427">
        <v>0</v>
      </c>
      <c r="J1883" s="2431">
        <v>0</v>
      </c>
    </row>
    <row r="1884" spans="1:10" x14ac:dyDescent="0.2">
      <c r="A1884" s="2453" t="s">
        <v>1836</v>
      </c>
      <c r="B1884" s="2427">
        <v>4176</v>
      </c>
      <c r="C1884" s="2428">
        <v>8033612.4975057133</v>
      </c>
      <c r="D1884" s="2429">
        <v>33548.365789583855</v>
      </c>
      <c r="E1884" s="2430">
        <v>36.211807858898823</v>
      </c>
      <c r="F1884" s="2427">
        <v>5.8597245918216316</v>
      </c>
      <c r="G1884" s="2429">
        <v>0.29993855515578732</v>
      </c>
      <c r="H1884" s="2430">
        <v>49.343470660147538</v>
      </c>
      <c r="I1884" s="2427">
        <v>7.8534939676230513</v>
      </c>
      <c r="J1884" s="2431">
        <v>0.51911890701325181</v>
      </c>
    </row>
    <row r="1885" spans="1:10" x14ac:dyDescent="0.2">
      <c r="A1885" s="2453" t="s">
        <v>1837</v>
      </c>
      <c r="B1885" s="2427">
        <v>4708.5</v>
      </c>
      <c r="C1885" s="2428">
        <v>2214764.1578067578</v>
      </c>
      <c r="D1885" s="2429">
        <v>10428.217037033119</v>
      </c>
      <c r="E1885" s="2430">
        <v>40.829333645504093</v>
      </c>
      <c r="F1885" s="2427">
        <v>6.6069236687241739</v>
      </c>
      <c r="G1885" s="2429">
        <v>0.33818503040014952</v>
      </c>
      <c r="H1885" s="2430">
        <v>15.337987687145615</v>
      </c>
      <c r="I1885" s="2427">
        <v>2.4411901344783633</v>
      </c>
      <c r="J1885" s="2431">
        <v>0.16136358665918654</v>
      </c>
    </row>
    <row r="1886" spans="1:10" x14ac:dyDescent="0.2">
      <c r="A1886" s="2454" t="s">
        <v>309</v>
      </c>
      <c r="B1886" s="2434">
        <v>8884.5</v>
      </c>
      <c r="C1886" s="2433"/>
      <c r="D1886" s="2435">
        <v>43976.58282661697</v>
      </c>
      <c r="E1886" s="2436">
        <v>77.041141504402916</v>
      </c>
      <c r="F1886" s="2434">
        <v>12.466648260545806</v>
      </c>
      <c r="G1886" s="2435">
        <v>0.63812358555593685</v>
      </c>
      <c r="H1886" s="2436">
        <v>64.681458347293145</v>
      </c>
      <c r="I1886" s="2434">
        <v>10.294684102101414</v>
      </c>
      <c r="J1886" s="2437">
        <v>0.68048249367243818</v>
      </c>
    </row>
    <row r="1887" spans="1:10" x14ac:dyDescent="0.2">
      <c r="A1887" s="2453" t="s">
        <v>1838</v>
      </c>
      <c r="B1887" s="2427">
        <v>342.35</v>
      </c>
      <c r="C1887" s="2428">
        <v>10407427.50198495</v>
      </c>
      <c r="D1887" s="2429">
        <v>3562.9828053045476</v>
      </c>
      <c r="E1887" s="2430">
        <v>2.9686571888156159</v>
      </c>
      <c r="F1887" s="2427">
        <v>0.4803823548874846</v>
      </c>
      <c r="G1887" s="2429">
        <v>2.4589071924708758E-2</v>
      </c>
      <c r="H1887" s="2430">
        <v>5.2404918504477749</v>
      </c>
      <c r="I1887" s="2427">
        <v>0.83407532109631921</v>
      </c>
      <c r="J1887" s="2431">
        <v>5.5132692638369188E-2</v>
      </c>
    </row>
    <row r="1888" spans="1:10" x14ac:dyDescent="0.2">
      <c r="A1888" s="2454" t="s">
        <v>315</v>
      </c>
      <c r="B1888" s="2434">
        <v>342.35</v>
      </c>
      <c r="C1888" s="2455"/>
      <c r="D1888" s="2435">
        <v>3562.9828053045476</v>
      </c>
      <c r="E1888" s="2436">
        <v>2.9686571888156159</v>
      </c>
      <c r="F1888" s="2434">
        <v>0.4803823548874846</v>
      </c>
      <c r="G1888" s="2435">
        <v>2.4589071924708758E-2</v>
      </c>
      <c r="H1888" s="2436">
        <v>5.2404918504477749</v>
      </c>
      <c r="I1888" s="2434">
        <v>0.83407532109631921</v>
      </c>
      <c r="J1888" s="2437">
        <v>5.5132692638369188E-2</v>
      </c>
    </row>
    <row r="1889" spans="1:10" x14ac:dyDescent="0.2">
      <c r="A1889" s="2453" t="s">
        <v>1541</v>
      </c>
      <c r="B1889" s="2427">
        <v>891</v>
      </c>
      <c r="C1889" s="2428">
        <v>10553660</v>
      </c>
      <c r="D1889" s="2429">
        <v>9403.31106</v>
      </c>
      <c r="E1889" s="2430">
        <v>7.726226245756429</v>
      </c>
      <c r="F1889" s="2427">
        <v>1.2502429624791844</v>
      </c>
      <c r="G1889" s="2429">
        <v>6.3995510690566679E-2</v>
      </c>
      <c r="H1889" s="2430">
        <v>13.830539654525042</v>
      </c>
      <c r="I1889" s="2427">
        <v>2.2012650973396095</v>
      </c>
      <c r="J1889" s="2431">
        <v>0.14550445140574977</v>
      </c>
    </row>
    <row r="1890" spans="1:10" x14ac:dyDescent="0.2">
      <c r="A1890" s="2453" t="s">
        <v>206</v>
      </c>
      <c r="B1890" s="2427">
        <v>1377.5</v>
      </c>
      <c r="C1890" s="2428">
        <v>6960000</v>
      </c>
      <c r="D1890" s="2429">
        <v>9587.4</v>
      </c>
      <c r="E1890" s="2430">
        <v>11.944867175678429</v>
      </c>
      <c r="F1890" s="2427">
        <v>1.9328952646633855</v>
      </c>
      <c r="G1890" s="2429">
        <v>9.8938065068749276E-2</v>
      </c>
      <c r="H1890" s="2430">
        <v>14.101300599088484</v>
      </c>
      <c r="I1890" s="2427">
        <v>2.2443593389150069</v>
      </c>
      <c r="J1890" s="2431">
        <v>0.14835299699290019</v>
      </c>
    </row>
    <row r="1891" spans="1:10" x14ac:dyDescent="0.2">
      <c r="A1891" s="2454" t="s">
        <v>310</v>
      </c>
      <c r="B1891" s="2434">
        <v>2268.5</v>
      </c>
      <c r="C1891" s="2455"/>
      <c r="D1891" s="2435">
        <v>18990.711060000001</v>
      </c>
      <c r="E1891" s="2436">
        <v>19.671093421434861</v>
      </c>
      <c r="F1891" s="2434">
        <v>3.1831382271425701</v>
      </c>
      <c r="G1891" s="2435">
        <v>0.16293357575931597</v>
      </c>
      <c r="H1891" s="2436">
        <v>27.931840253613533</v>
      </c>
      <c r="I1891" s="2434">
        <v>4.4456244362546169</v>
      </c>
      <c r="J1891" s="2437">
        <v>0.29385744839865002</v>
      </c>
    </row>
    <row r="1892" spans="1:10" x14ac:dyDescent="0.2">
      <c r="A1892" s="2453" t="s">
        <v>1839</v>
      </c>
      <c r="B1892" s="2427">
        <v>36.799999999999997</v>
      </c>
      <c r="C1892" s="2428">
        <v>39652080.629353955</v>
      </c>
      <c r="D1892" s="2429">
        <v>1459.1965671602254</v>
      </c>
      <c r="E1892" s="2430">
        <v>0.31910788534661794</v>
      </c>
      <c r="F1892" s="2427">
        <v>5.1637419774673378E-2</v>
      </c>
      <c r="G1892" s="2429">
        <v>2.6431366929437193E-3</v>
      </c>
      <c r="H1892" s="2430">
        <v>2.1462095486455501</v>
      </c>
      <c r="I1892" s="2427">
        <v>0.34159015403746279</v>
      </c>
      <c r="J1892" s="2431">
        <v>2.2579237743285064E-2</v>
      </c>
    </row>
    <row r="1893" spans="1:10" x14ac:dyDescent="0.2">
      <c r="A1893" s="2454" t="s">
        <v>311</v>
      </c>
      <c r="B1893" s="2434">
        <v>36.799999999999997</v>
      </c>
      <c r="C1893" s="2433"/>
      <c r="D1893" s="2435">
        <v>1459.1965671602254</v>
      </c>
      <c r="E1893" s="2436">
        <v>0.31910788534661794</v>
      </c>
      <c r="F1893" s="2434">
        <v>5.1637419774673378E-2</v>
      </c>
      <c r="G1893" s="2435">
        <v>2.6431366929437193E-3</v>
      </c>
      <c r="H1893" s="2436">
        <v>2.1462095486455501</v>
      </c>
      <c r="I1893" s="2434">
        <v>0.34159015403746279</v>
      </c>
      <c r="J1893" s="2437">
        <v>2.2579237743285064E-2</v>
      </c>
    </row>
    <row r="1894" spans="1:10" x14ac:dyDescent="0.2">
      <c r="A1894" s="2456" t="s">
        <v>129</v>
      </c>
      <c r="B1894" s="2441">
        <v>11532.15</v>
      </c>
      <c r="C1894" s="2440"/>
      <c r="D1894" s="2442">
        <v>67989.473259081744</v>
      </c>
      <c r="E1894" s="2443">
        <v>100</v>
      </c>
      <c r="F1894" s="2427">
        <v>16.181806262350534</v>
      </c>
      <c r="G1894" s="2442">
        <v>0.82828936993290525</v>
      </c>
      <c r="H1894" s="2443">
        <v>100</v>
      </c>
      <c r="I1894" s="2427">
        <v>15.915974013489814</v>
      </c>
      <c r="J1894" s="2444">
        <v>1.0520518724527426</v>
      </c>
    </row>
    <row r="1895" spans="1:10" x14ac:dyDescent="0.2">
      <c r="A1895" s="2451" t="s">
        <v>1853</v>
      </c>
      <c r="B1895" s="2427"/>
      <c r="C1895" s="2452"/>
      <c r="D1895" s="2429"/>
      <c r="E1895" s="2430"/>
      <c r="F1895" s="2427">
        <v>0</v>
      </c>
      <c r="G1895" s="2429"/>
      <c r="H1895" s="2430"/>
      <c r="I1895" s="2427">
        <v>0</v>
      </c>
      <c r="J1895" s="2431">
        <v>0</v>
      </c>
    </row>
    <row r="1896" spans="1:10" x14ac:dyDescent="0.2">
      <c r="A1896" s="2426" t="s">
        <v>1543</v>
      </c>
      <c r="B1896" s="2427">
        <v>5430</v>
      </c>
      <c r="C1896" s="2428">
        <v>13200000</v>
      </c>
      <c r="D1896" s="2429">
        <v>71676</v>
      </c>
      <c r="E1896" s="2430">
        <v>71.739992072929056</v>
      </c>
      <c r="F1896" s="2427">
        <v>7.6193257982738167</v>
      </c>
      <c r="G1896" s="2429">
        <v>0.39000631094251076</v>
      </c>
      <c r="H1896" s="2430">
        <v>73.550810150742436</v>
      </c>
      <c r="I1896" s="2427">
        <v>16.7789703127096</v>
      </c>
      <c r="J1896" s="2431">
        <v>1.1090962526298178</v>
      </c>
    </row>
    <row r="1897" spans="1:10" x14ac:dyDescent="0.2">
      <c r="A1897" s="2426" t="s">
        <v>208</v>
      </c>
      <c r="B1897" s="2427">
        <v>535</v>
      </c>
      <c r="C1897" s="2428">
        <v>10000000</v>
      </c>
      <c r="D1897" s="2429">
        <v>5350</v>
      </c>
      <c r="E1897" s="2430">
        <v>7.0683049279957721</v>
      </c>
      <c r="F1897" s="2427">
        <v>0.75070705378940927</v>
      </c>
      <c r="G1897" s="2429">
        <v>3.8426036161002437E-2</v>
      </c>
      <c r="H1897" s="2430">
        <v>5.4899385332115624</v>
      </c>
      <c r="I1897" s="2427">
        <v>1.2524065401668112</v>
      </c>
      <c r="J1897" s="2431">
        <v>8.2784543662725668E-2</v>
      </c>
    </row>
    <row r="1898" spans="1:10" x14ac:dyDescent="0.2">
      <c r="A1898" s="2426" t="s">
        <v>209</v>
      </c>
      <c r="B1898" s="2427">
        <v>485</v>
      </c>
      <c r="C1898" s="2428">
        <v>10000000</v>
      </c>
      <c r="D1898" s="2429">
        <v>4850</v>
      </c>
      <c r="E1898" s="2430">
        <v>6.4077156823886909</v>
      </c>
      <c r="F1898" s="2427">
        <v>0.6805475160520813</v>
      </c>
      <c r="G1898" s="2429">
        <v>3.4834817828198479E-2</v>
      </c>
      <c r="H1898" s="2430">
        <v>4.9768601656216971</v>
      </c>
      <c r="I1898" s="2427">
        <v>1.1353591999643056</v>
      </c>
      <c r="J1898" s="2431">
        <v>7.504767042321861E-2</v>
      </c>
    </row>
    <row r="1899" spans="1:10" x14ac:dyDescent="0.2">
      <c r="A1899" s="2426" t="s">
        <v>210</v>
      </c>
      <c r="B1899" s="2427">
        <v>380</v>
      </c>
      <c r="C1899" s="2428">
        <v>18500000</v>
      </c>
      <c r="D1899" s="2429">
        <v>7030</v>
      </c>
      <c r="E1899" s="2430">
        <v>5.0204782666138197</v>
      </c>
      <c r="F1899" s="2427">
        <v>0.53321248680369249</v>
      </c>
      <c r="G1899" s="2429">
        <v>2.7293259329310149E-2</v>
      </c>
      <c r="H1899" s="2430">
        <v>7.2138818483135108</v>
      </c>
      <c r="I1899" s="2427">
        <v>1.6456856032472305</v>
      </c>
      <c r="J1899" s="2431">
        <v>0.10878043774746944</v>
      </c>
    </row>
    <row r="1900" spans="1:10" x14ac:dyDescent="0.2">
      <c r="A1900" s="2426" t="s">
        <v>1545</v>
      </c>
      <c r="B1900" s="2427">
        <v>275</v>
      </c>
      <c r="C1900" s="2428">
        <v>14200000</v>
      </c>
      <c r="D1900" s="2429">
        <v>3905</v>
      </c>
      <c r="E1900" s="2430">
        <v>3.6332408508389489</v>
      </c>
      <c r="F1900" s="2427">
        <v>0.38587745755530378</v>
      </c>
      <c r="G1900" s="2429">
        <v>1.9751700830421815E-2</v>
      </c>
      <c r="H1900" s="2430">
        <v>4.0071420508768512</v>
      </c>
      <c r="I1900" s="2427">
        <v>0.91413972698156964</v>
      </c>
      <c r="J1900" s="2431">
        <v>6.0424980000550237E-2</v>
      </c>
    </row>
    <row r="1901" spans="1:10" x14ac:dyDescent="0.2">
      <c r="A1901" s="2426" t="s">
        <v>1546</v>
      </c>
      <c r="B1901" s="2427">
        <v>464</v>
      </c>
      <c r="C1901" s="2428">
        <v>10000000</v>
      </c>
      <c r="D1901" s="2429">
        <v>4640</v>
      </c>
      <c r="E1901" s="2430">
        <v>6.1302681992337158</v>
      </c>
      <c r="F1901" s="2427">
        <v>0.65108051020240354</v>
      </c>
      <c r="G1901" s="2429">
        <v>3.3326506128420808E-2</v>
      </c>
      <c r="H1901" s="2430">
        <v>4.7613672512339535</v>
      </c>
      <c r="I1901" s="2427">
        <v>1.0861993170792532</v>
      </c>
      <c r="J1901" s="2431">
        <v>7.1798183662625636E-2</v>
      </c>
    </row>
    <row r="1902" spans="1:10" x14ac:dyDescent="0.2">
      <c r="A1902" s="2445" t="s">
        <v>121</v>
      </c>
      <c r="B1902" s="2446">
        <v>7569</v>
      </c>
      <c r="C1902" s="2447"/>
      <c r="D1902" s="2448">
        <v>97451</v>
      </c>
      <c r="E1902" s="2449">
        <v>100</v>
      </c>
      <c r="F1902" s="2446">
        <v>10.620750822676706</v>
      </c>
      <c r="G1902" s="2448">
        <v>0.54363863121986444</v>
      </c>
      <c r="H1902" s="2449">
        <v>100</v>
      </c>
      <c r="I1902" s="2446">
        <v>22.812760700148772</v>
      </c>
      <c r="J1902" s="2450">
        <v>1.5079320681264075</v>
      </c>
    </row>
    <row r="1903" spans="1:10" ht="14.25" thickBot="1" x14ac:dyDescent="0.25">
      <c r="A1903" s="2457" t="s">
        <v>1840</v>
      </c>
      <c r="B1903" s="2446">
        <v>71266.148000000001</v>
      </c>
      <c r="C1903" s="2458"/>
      <c r="D1903" s="2448">
        <v>427177.58398861601</v>
      </c>
      <c r="E1903" s="2459"/>
      <c r="F1903" s="2460">
        <v>100</v>
      </c>
      <c r="G1903" s="2461">
        <v>5.1186459441184153</v>
      </c>
      <c r="H1903" s="2462"/>
      <c r="I1903" s="2460">
        <v>100</v>
      </c>
      <c r="J1903" s="2463">
        <v>6.6100376361576156</v>
      </c>
    </row>
    <row r="1904" spans="1:10" ht="15" thickBot="1" x14ac:dyDescent="0.25">
      <c r="A1904" s="2464" t="s">
        <v>1841</v>
      </c>
      <c r="B1904" s="2465">
        <v>1392285.1624830281</v>
      </c>
      <c r="C1904" s="2466"/>
      <c r="D1904" s="2467">
        <v>6462559.0276810033</v>
      </c>
      <c r="E1904" s="2468"/>
      <c r="F1904" s="2469"/>
      <c r="G1904" s="2469"/>
      <c r="H1904" s="2469"/>
      <c r="I1904" s="2469"/>
      <c r="J1904" s="2469"/>
    </row>
    <row r="1905" spans="1:10" ht="16.5" thickBot="1" x14ac:dyDescent="0.3">
      <c r="A1905" s="2470" t="s">
        <v>1842</v>
      </c>
      <c r="B1905" s="2471">
        <v>5.1186459441184144</v>
      </c>
      <c r="C1905" s="2472"/>
      <c r="D1905" s="2473">
        <v>6.6100376361576156</v>
      </c>
      <c r="E1905" s="2468"/>
      <c r="F1905" s="2469"/>
      <c r="G1905" s="2469"/>
      <c r="H1905" s="2469"/>
      <c r="I1905" s="2469"/>
      <c r="J1905" s="2469"/>
    </row>
    <row r="1906" spans="1:10" x14ac:dyDescent="0.2">
      <c r="A1906" s="2474" t="s">
        <v>2023</v>
      </c>
      <c r="B1906" s="2474"/>
      <c r="C1906" s="2474"/>
      <c r="D1906" s="2475"/>
      <c r="E1906" s="2474"/>
      <c r="F1906" s="2474"/>
      <c r="H1906" s="2474"/>
      <c r="I1906" s="2474"/>
      <c r="J1906" s="2474"/>
    </row>
    <row r="1907" spans="1:10" x14ac:dyDescent="0.2">
      <c r="A1907" s="2474" t="s">
        <v>1843</v>
      </c>
      <c r="B1907" s="2474"/>
      <c r="C1907" s="2474"/>
      <c r="D1907" s="2474"/>
      <c r="E1907" s="2474"/>
      <c r="F1907" s="2474"/>
      <c r="G1907" s="2474"/>
      <c r="H1907" s="2474"/>
      <c r="I1907" s="2474"/>
      <c r="J1907" s="2474"/>
    </row>
    <row r="1908" spans="1:10" x14ac:dyDescent="0.2">
      <c r="A1908" s="2474" t="s">
        <v>2024</v>
      </c>
      <c r="B1908" s="2474"/>
      <c r="C1908" s="2474"/>
      <c r="D1908" s="2474"/>
      <c r="E1908" s="2474"/>
      <c r="F1908" s="2474"/>
      <c r="G1908" s="2474"/>
      <c r="H1908" s="2474"/>
      <c r="I1908" s="2474"/>
      <c r="J1908" s="2474"/>
    </row>
    <row r="1912" spans="1:10" ht="13.5" thickBot="1" x14ac:dyDescent="0.25">
      <c r="A1912" s="3321" t="s">
        <v>2021</v>
      </c>
      <c r="B1912" s="3321"/>
      <c r="C1912" s="3321"/>
      <c r="D1912" s="3321"/>
      <c r="E1912" s="3321"/>
      <c r="F1912" s="3321"/>
      <c r="G1912" s="3321"/>
      <c r="H1912" s="3321"/>
      <c r="I1912" s="3321"/>
      <c r="J1912" s="3321"/>
    </row>
    <row r="1913" spans="1:10" ht="13.5" customHeight="1" thickBot="1" x14ac:dyDescent="0.25">
      <c r="A1913" s="3322" t="s">
        <v>376</v>
      </c>
      <c r="B1913" s="3324" t="s">
        <v>1272</v>
      </c>
      <c r="C1913" s="3324" t="s">
        <v>1832</v>
      </c>
      <c r="D1913" s="3326" t="s">
        <v>1844</v>
      </c>
      <c r="E1913" s="3328" t="s">
        <v>1849</v>
      </c>
      <c r="F1913" s="3329"/>
      <c r="G1913" s="3330"/>
      <c r="H1913" s="3328" t="s">
        <v>1850</v>
      </c>
      <c r="I1913" s="3329"/>
      <c r="J1913" s="3331"/>
    </row>
    <row r="1914" spans="1:10" ht="13.5" customHeight="1" thickBot="1" x14ac:dyDescent="0.25">
      <c r="A1914" s="3323"/>
      <c r="B1914" s="3325"/>
      <c r="C1914" s="3325"/>
      <c r="D1914" s="3327"/>
      <c r="E1914" s="2415" t="s">
        <v>1848</v>
      </c>
      <c r="F1914" s="2416" t="s">
        <v>1231</v>
      </c>
      <c r="G1914" s="2417" t="s">
        <v>1833</v>
      </c>
      <c r="H1914" s="2415" t="s">
        <v>1848</v>
      </c>
      <c r="I1914" s="2416" t="s">
        <v>1231</v>
      </c>
      <c r="J1914" s="2418" t="s">
        <v>1833</v>
      </c>
    </row>
    <row r="1915" spans="1:10" x14ac:dyDescent="0.2">
      <c r="A1915" s="2419" t="s">
        <v>1851</v>
      </c>
      <c r="B1915" s="2420"/>
      <c r="C1915" s="2420"/>
      <c r="D1915" s="2421"/>
      <c r="E1915" s="2422"/>
      <c r="F1915" s="2423"/>
      <c r="G1915" s="2424"/>
      <c r="H1915" s="2422"/>
      <c r="I1915" s="2423"/>
      <c r="J1915" s="2425"/>
    </row>
    <row r="1916" spans="1:10" x14ac:dyDescent="0.2">
      <c r="A1916" s="2426" t="s">
        <v>410</v>
      </c>
      <c r="B1916" s="2427">
        <v>0</v>
      </c>
      <c r="C1916" s="2428">
        <v>5667200.0000000009</v>
      </c>
      <c r="D1916" s="2429">
        <v>0</v>
      </c>
      <c r="E1916" s="2430">
        <v>0</v>
      </c>
      <c r="F1916" s="2427">
        <v>0</v>
      </c>
      <c r="G1916" s="2429">
        <v>0</v>
      </c>
      <c r="H1916" s="2430">
        <v>0</v>
      </c>
      <c r="I1916" s="2427">
        <v>0</v>
      </c>
      <c r="J1916" s="2431">
        <v>0</v>
      </c>
    </row>
    <row r="1917" spans="1:10" x14ac:dyDescent="0.2">
      <c r="A1917" s="2426" t="s">
        <v>411</v>
      </c>
      <c r="B1917" s="2427">
        <v>0</v>
      </c>
      <c r="C1917" s="2428">
        <v>1753716.5000000002</v>
      </c>
      <c r="D1917" s="2429">
        <v>0</v>
      </c>
      <c r="E1917" s="2430">
        <v>0</v>
      </c>
      <c r="F1917" s="2427">
        <v>0</v>
      </c>
      <c r="G1917" s="2429">
        <v>0</v>
      </c>
      <c r="H1917" s="2430">
        <v>0</v>
      </c>
      <c r="I1917" s="2427">
        <v>0</v>
      </c>
      <c r="J1917" s="2431">
        <v>0</v>
      </c>
    </row>
    <row r="1918" spans="1:10" x14ac:dyDescent="0.2">
      <c r="A1918" s="2426" t="s">
        <v>278</v>
      </c>
      <c r="B1918" s="2427">
        <v>342.5</v>
      </c>
      <c r="C1918" s="2428">
        <v>1637875</v>
      </c>
      <c r="D1918" s="2429">
        <v>560.97218750000002</v>
      </c>
      <c r="E1918" s="2430">
        <v>3.7402163039708851</v>
      </c>
      <c r="F1918" s="2427">
        <v>2.641035253741491</v>
      </c>
      <c r="G1918" s="2429">
        <v>2.4599845579707173E-2</v>
      </c>
      <c r="H1918" s="2430">
        <v>1.5128127353146468</v>
      </c>
      <c r="I1918" s="2427">
        <v>1.133119151419161</v>
      </c>
      <c r="J1918" s="2431">
        <v>8.6803414111529878E-3</v>
      </c>
    </row>
    <row r="1919" spans="1:10" x14ac:dyDescent="0.2">
      <c r="A1919" s="2426" t="s">
        <v>200</v>
      </c>
      <c r="B1919" s="2427">
        <v>45</v>
      </c>
      <c r="C1919" s="2428">
        <v>7709114.5</v>
      </c>
      <c r="D1919" s="2429">
        <v>346.91015249999998</v>
      </c>
      <c r="E1919" s="2430">
        <v>0.49141528081369285</v>
      </c>
      <c r="F1919" s="2427">
        <v>0.34699733260837107</v>
      </c>
      <c r="G1919" s="2429">
        <v>3.2320964995235699E-3</v>
      </c>
      <c r="H1919" s="2430">
        <v>0.93553674924738794</v>
      </c>
      <c r="I1919" s="2427">
        <v>0.70073088537832673</v>
      </c>
      <c r="J1919" s="2431">
        <v>5.3679997507811352E-3</v>
      </c>
    </row>
    <row r="1920" spans="1:10" x14ac:dyDescent="0.2">
      <c r="A1920" s="2426" t="s">
        <v>429</v>
      </c>
      <c r="B1920" s="2427">
        <v>0</v>
      </c>
      <c r="C1920" s="2428">
        <v>1255000</v>
      </c>
      <c r="D1920" s="2429">
        <v>0</v>
      </c>
      <c r="E1920" s="2430">
        <v>0</v>
      </c>
      <c r="F1920" s="2427">
        <v>0</v>
      </c>
      <c r="G1920" s="2429">
        <v>0</v>
      </c>
      <c r="H1920" s="2430">
        <v>0</v>
      </c>
      <c r="I1920" s="2427">
        <v>0</v>
      </c>
      <c r="J1920" s="2431">
        <v>0</v>
      </c>
    </row>
    <row r="1921" spans="1:10" x14ac:dyDescent="0.2">
      <c r="A1921" s="2432" t="s">
        <v>431</v>
      </c>
      <c r="B1921" s="2427">
        <v>0</v>
      </c>
      <c r="C1921" s="2428">
        <v>0</v>
      </c>
      <c r="D1921" s="2429">
        <v>0</v>
      </c>
      <c r="E1921" s="2430">
        <v>0</v>
      </c>
      <c r="F1921" s="2427">
        <v>0</v>
      </c>
      <c r="G1921" s="2429">
        <v>0</v>
      </c>
      <c r="H1921" s="2430">
        <v>0</v>
      </c>
      <c r="I1921" s="2427">
        <v>0</v>
      </c>
      <c r="J1921" s="2431">
        <v>0</v>
      </c>
    </row>
    <row r="1922" spans="1:10" x14ac:dyDescent="0.2">
      <c r="A1922" s="2432" t="s">
        <v>430</v>
      </c>
      <c r="B1922" s="2427">
        <v>0</v>
      </c>
      <c r="C1922" s="2428">
        <v>0</v>
      </c>
      <c r="D1922" s="2429">
        <v>0</v>
      </c>
      <c r="E1922" s="2430">
        <v>0</v>
      </c>
      <c r="F1922" s="2427">
        <v>0</v>
      </c>
      <c r="G1922" s="2429">
        <v>0</v>
      </c>
      <c r="H1922" s="2430">
        <v>0</v>
      </c>
      <c r="I1922" s="2427">
        <v>0</v>
      </c>
      <c r="J1922" s="2431">
        <v>0</v>
      </c>
    </row>
    <row r="1923" spans="1:10" x14ac:dyDescent="0.2">
      <c r="A1923" s="2433" t="s">
        <v>279</v>
      </c>
      <c r="B1923" s="2434">
        <v>387.5</v>
      </c>
      <c r="C1923" s="2433"/>
      <c r="D1923" s="2435">
        <v>907.88234</v>
      </c>
      <c r="E1923" s="2436">
        <v>4.2316315847845782</v>
      </c>
      <c r="F1923" s="2434">
        <v>2.988032586349862</v>
      </c>
      <c r="G1923" s="2435">
        <v>2.7831942079230742E-2</v>
      </c>
      <c r="H1923" s="2436">
        <v>2.4483494845620344</v>
      </c>
      <c r="I1923" s="2434">
        <v>1.8338500367974877</v>
      </c>
      <c r="J1923" s="2437">
        <v>1.4048341161934123E-2</v>
      </c>
    </row>
    <row r="1924" spans="1:10" x14ac:dyDescent="0.2">
      <c r="A1924" s="2438" t="s">
        <v>412</v>
      </c>
      <c r="B1924" s="2427">
        <v>32</v>
      </c>
      <c r="C1924" s="2428">
        <v>4129499.9999999995</v>
      </c>
      <c r="D1924" s="2429">
        <v>132.14399999999998</v>
      </c>
      <c r="E1924" s="2430">
        <v>0.34945086635640382</v>
      </c>
      <c r="F1924" s="2427">
        <v>0.24675365874373056</v>
      </c>
      <c r="G1924" s="2429">
        <v>2.2983797329945385E-3</v>
      </c>
      <c r="H1924" s="2430">
        <v>0.35636192051931032</v>
      </c>
      <c r="I1924" s="2427">
        <v>0.2669203580527485</v>
      </c>
      <c r="J1924" s="2431">
        <v>2.0447627547228449E-3</v>
      </c>
    </row>
    <row r="1925" spans="1:10" x14ac:dyDescent="0.2">
      <c r="A1925" s="2438" t="s">
        <v>413</v>
      </c>
      <c r="B1925" s="2427">
        <v>846</v>
      </c>
      <c r="C1925" s="2428">
        <v>1200000</v>
      </c>
      <c r="D1925" s="2429">
        <v>1015.2</v>
      </c>
      <c r="E1925" s="2430">
        <v>9.2386072792974261</v>
      </c>
      <c r="F1925" s="2427">
        <v>6.5235498530373759</v>
      </c>
      <c r="G1925" s="2429">
        <v>6.0763414191043114E-2</v>
      </c>
      <c r="H1925" s="2430">
        <v>2.7377604863724718</v>
      </c>
      <c r="I1925" s="2427">
        <v>2.0506231648440365</v>
      </c>
      <c r="J1925" s="2431">
        <v>1.5708947425495161E-2</v>
      </c>
    </row>
    <row r="1926" spans="1:10" x14ac:dyDescent="0.2">
      <c r="A1926" s="2426" t="s">
        <v>90</v>
      </c>
      <c r="B1926" s="2427">
        <v>24</v>
      </c>
      <c r="C1926" s="2428">
        <v>1743000</v>
      </c>
      <c r="D1926" s="2429">
        <v>41.832000000000001</v>
      </c>
      <c r="E1926" s="2430">
        <v>0.26208814976730288</v>
      </c>
      <c r="F1926" s="2427">
        <v>0.1850652440577979</v>
      </c>
      <c r="G1926" s="2429">
        <v>1.7237847997459042E-3</v>
      </c>
      <c r="H1926" s="2430">
        <v>0.1128112654313763</v>
      </c>
      <c r="I1926" s="2427">
        <v>8.4497309132935128E-2</v>
      </c>
      <c r="J1926" s="2431">
        <v>6.472977627101198E-4</v>
      </c>
    </row>
    <row r="1927" spans="1:10" x14ac:dyDescent="0.2">
      <c r="A1927" s="2426" t="s">
        <v>417</v>
      </c>
      <c r="B1927" s="2427">
        <v>40</v>
      </c>
      <c r="C1927" s="2428">
        <v>2563999.9999999995</v>
      </c>
      <c r="D1927" s="2429">
        <v>102.55999999999999</v>
      </c>
      <c r="E1927" s="2430">
        <v>0.43681358294550476</v>
      </c>
      <c r="F1927" s="2427">
        <v>0.30844207342966318</v>
      </c>
      <c r="G1927" s="2429">
        <v>2.872974666243173E-3</v>
      </c>
      <c r="H1927" s="2430">
        <v>0.27658068900941751</v>
      </c>
      <c r="I1927" s="2427">
        <v>0.20716303367455119</v>
      </c>
      <c r="J1927" s="2431">
        <v>1.5869874388876907E-3</v>
      </c>
    </row>
    <row r="1928" spans="1:10" x14ac:dyDescent="0.2">
      <c r="A1928" s="2426" t="s">
        <v>418</v>
      </c>
      <c r="B1928" s="2427">
        <v>76.5</v>
      </c>
      <c r="C1928" s="2428">
        <v>2222500</v>
      </c>
      <c r="D1928" s="2429">
        <v>170.02125000000001</v>
      </c>
      <c r="E1928" s="2430">
        <v>0.83540597738327793</v>
      </c>
      <c r="F1928" s="2427">
        <v>0.58989546543423088</v>
      </c>
      <c r="G1928" s="2429">
        <v>5.4945640491900691E-3</v>
      </c>
      <c r="H1928" s="2430">
        <v>0.45850813642007054</v>
      </c>
      <c r="I1928" s="2427">
        <v>0.34342938708209136</v>
      </c>
      <c r="J1928" s="2431">
        <v>2.6308657185450837E-3</v>
      </c>
    </row>
    <row r="1929" spans="1:10" x14ac:dyDescent="0.2">
      <c r="A1929" s="2426" t="s">
        <v>423</v>
      </c>
      <c r="B1929" s="2427">
        <v>594</v>
      </c>
      <c r="C1929" s="2428">
        <v>2531500</v>
      </c>
      <c r="D1929" s="2429">
        <v>1503.711</v>
      </c>
      <c r="E1929" s="2430">
        <v>6.4866817067407458</v>
      </c>
      <c r="F1929" s="2427">
        <v>4.5803647904304983</v>
      </c>
      <c r="G1929" s="2429">
        <v>4.2663673793711124E-2</v>
      </c>
      <c r="H1929" s="2430">
        <v>4.055162094881438</v>
      </c>
      <c r="I1929" s="2427">
        <v>3.0373764872249716</v>
      </c>
      <c r="J1929" s="2431">
        <v>2.326804279170484E-2</v>
      </c>
    </row>
    <row r="1930" spans="1:10" x14ac:dyDescent="0.2">
      <c r="A1930" s="2426" t="s">
        <v>424</v>
      </c>
      <c r="B1930" s="2427">
        <v>0</v>
      </c>
      <c r="C1930" s="2428">
        <v>1369000</v>
      </c>
      <c r="D1930" s="2429">
        <v>0</v>
      </c>
      <c r="E1930" s="2430">
        <v>0</v>
      </c>
      <c r="F1930" s="2427">
        <v>0</v>
      </c>
      <c r="G1930" s="2429">
        <v>0</v>
      </c>
      <c r="H1930" s="2430">
        <v>0</v>
      </c>
      <c r="I1930" s="2427">
        <v>0</v>
      </c>
      <c r="J1930" s="2431">
        <v>0</v>
      </c>
    </row>
    <row r="1931" spans="1:10" x14ac:dyDescent="0.2">
      <c r="A1931" s="2426" t="s">
        <v>280</v>
      </c>
      <c r="B1931" s="2427">
        <v>45</v>
      </c>
      <c r="C1931" s="2428">
        <v>1574500</v>
      </c>
      <c r="D1931" s="2429">
        <v>70.852500000000006</v>
      </c>
      <c r="E1931" s="2430">
        <v>0.49141528081369285</v>
      </c>
      <c r="F1931" s="2427">
        <v>0.34699733260837107</v>
      </c>
      <c r="G1931" s="2429">
        <v>3.2320964995235699E-3</v>
      </c>
      <c r="H1931" s="2430">
        <v>0.19107286727807876</v>
      </c>
      <c r="I1931" s="2427">
        <v>0.14311640837974007</v>
      </c>
      <c r="J1931" s="2431">
        <v>1.0963536224043496E-3</v>
      </c>
    </row>
    <row r="1932" spans="1:10" x14ac:dyDescent="0.2">
      <c r="A1932" s="2426" t="s">
        <v>427</v>
      </c>
      <c r="B1932" s="2427">
        <v>168</v>
      </c>
      <c r="C1932" s="2428">
        <v>2072000</v>
      </c>
      <c r="D1932" s="2429">
        <v>348.096</v>
      </c>
      <c r="E1932" s="2430">
        <v>1.8346170483711202</v>
      </c>
      <c r="F1932" s="2427">
        <v>1.2954567084045854</v>
      </c>
      <c r="G1932" s="2429">
        <v>1.2066493598221328E-2</v>
      </c>
      <c r="H1932" s="2430">
        <v>0.93873470672213544</v>
      </c>
      <c r="I1932" s="2427">
        <v>0.70312620290538785</v>
      </c>
      <c r="J1932" s="2431">
        <v>5.3863492543589084E-3</v>
      </c>
    </row>
    <row r="1933" spans="1:10" x14ac:dyDescent="0.2">
      <c r="A1933" s="2426" t="s">
        <v>428</v>
      </c>
      <c r="B1933" s="2427">
        <v>72</v>
      </c>
      <c r="C1933" s="2428">
        <v>1326280</v>
      </c>
      <c r="D1933" s="2429">
        <v>95.492159999999998</v>
      </c>
      <c r="E1933" s="2430">
        <v>0.78626444930190864</v>
      </c>
      <c r="F1933" s="2427">
        <v>0.55519573217339369</v>
      </c>
      <c r="G1933" s="2429">
        <v>5.1713543992377119E-3</v>
      </c>
      <c r="H1933" s="2430">
        <v>0.25752035304014759</v>
      </c>
      <c r="I1933" s="2427">
        <v>0.19288655965030843</v>
      </c>
      <c r="J1933" s="2431">
        <v>1.4776214745734553E-3</v>
      </c>
    </row>
    <row r="1934" spans="1:10" x14ac:dyDescent="0.2">
      <c r="A1934" s="2439" t="s">
        <v>92</v>
      </c>
      <c r="B1934" s="2427">
        <v>306</v>
      </c>
      <c r="C1934" s="2428">
        <v>2215500</v>
      </c>
      <c r="D1934" s="2429">
        <v>677.94299999999998</v>
      </c>
      <c r="E1934" s="2430">
        <v>3.3416239095331117</v>
      </c>
      <c r="F1934" s="2427">
        <v>2.3595818617369235</v>
      </c>
      <c r="G1934" s="2429">
        <v>2.1978256196760276E-2</v>
      </c>
      <c r="H1934" s="2430">
        <v>1.8282560652214463</v>
      </c>
      <c r="I1934" s="2427">
        <v>1.3693908788848115</v>
      </c>
      <c r="J1934" s="2431">
        <v>1.0490318109222286E-2</v>
      </c>
    </row>
    <row r="1935" spans="1:10" x14ac:dyDescent="0.2">
      <c r="A1935" s="2433" t="s">
        <v>281</v>
      </c>
      <c r="B1935" s="2434">
        <v>2203.5</v>
      </c>
      <c r="C1935" s="2433"/>
      <c r="D1935" s="2435">
        <v>4157.8519099999994</v>
      </c>
      <c r="E1935" s="2436">
        <v>24.062968250510494</v>
      </c>
      <c r="F1935" s="2434">
        <v>16.99130272005657</v>
      </c>
      <c r="G1935" s="2435">
        <v>0.15826499192667082</v>
      </c>
      <c r="H1935" s="2436">
        <v>11.21276858489589</v>
      </c>
      <c r="I1935" s="2434">
        <v>8.3985297898315814</v>
      </c>
      <c r="J1935" s="2437">
        <v>6.433754635262473E-2</v>
      </c>
    </row>
    <row r="1936" spans="1:10" x14ac:dyDescent="0.2">
      <c r="A1936" s="2440" t="s">
        <v>106</v>
      </c>
      <c r="B1936" s="2441">
        <v>2591</v>
      </c>
      <c r="C1936" s="2440"/>
      <c r="D1936" s="2442">
        <v>5065.7342499999995</v>
      </c>
      <c r="E1936" s="2443">
        <v>28.294599835295074</v>
      </c>
      <c r="F1936" s="2441">
        <v>19.979335306406433</v>
      </c>
      <c r="G1936" s="2442">
        <v>0.18609693400590155</v>
      </c>
      <c r="H1936" s="2443">
        <v>13.661118069457926</v>
      </c>
      <c r="I1936" s="2441">
        <v>10.232379826629069</v>
      </c>
      <c r="J1936" s="2444">
        <v>7.8385887514558855E-2</v>
      </c>
    </row>
    <row r="1937" spans="1:10" x14ac:dyDescent="0.2">
      <c r="A1937" s="2426" t="s">
        <v>905</v>
      </c>
      <c r="B1937" s="2427">
        <v>0</v>
      </c>
      <c r="C1937" s="2428">
        <v>6100000</v>
      </c>
      <c r="D1937" s="2429">
        <v>0</v>
      </c>
      <c r="E1937" s="2430">
        <v>0</v>
      </c>
      <c r="F1937" s="2427">
        <v>0</v>
      </c>
      <c r="G1937" s="2429">
        <v>0</v>
      </c>
      <c r="H1937" s="2430">
        <v>0</v>
      </c>
      <c r="I1937" s="2427">
        <v>0</v>
      </c>
      <c r="J1937" s="2431">
        <v>0</v>
      </c>
    </row>
    <row r="1938" spans="1:10" x14ac:dyDescent="0.2">
      <c r="A1938" s="2426" t="s">
        <v>906</v>
      </c>
      <c r="B1938" s="2427">
        <v>75</v>
      </c>
      <c r="C1938" s="2428">
        <v>3022000.0000000005</v>
      </c>
      <c r="D1938" s="2429">
        <v>226.65000000000003</v>
      </c>
      <c r="E1938" s="2430">
        <v>0.8190254680228215</v>
      </c>
      <c r="F1938" s="2427">
        <v>0.57832888768061841</v>
      </c>
      <c r="G1938" s="2429">
        <v>5.3868274992059494E-3</v>
      </c>
      <c r="H1938" s="2430">
        <v>0.61122282726193933</v>
      </c>
      <c r="I1938" s="2427">
        <v>0.45781495302590719</v>
      </c>
      <c r="J1938" s="2431">
        <v>3.5071246394685562E-3</v>
      </c>
    </row>
    <row r="1939" spans="1:10" x14ac:dyDescent="0.2">
      <c r="A1939" s="2426" t="s">
        <v>907</v>
      </c>
      <c r="B1939" s="2427">
        <v>48</v>
      </c>
      <c r="C1939" s="2428">
        <v>2324000</v>
      </c>
      <c r="D1939" s="2429">
        <v>111.55200000000001</v>
      </c>
      <c r="E1939" s="2430">
        <v>0.52417629953460576</v>
      </c>
      <c r="F1939" s="2427">
        <v>0.37013048811559579</v>
      </c>
      <c r="G1939" s="2429">
        <v>3.4475695994918083E-3</v>
      </c>
      <c r="H1939" s="2430">
        <v>0.30083004115033685</v>
      </c>
      <c r="I1939" s="2427">
        <v>0.22532615768782704</v>
      </c>
      <c r="J1939" s="2431">
        <v>1.7261273672269861E-3</v>
      </c>
    </row>
    <row r="1940" spans="1:10" x14ac:dyDescent="0.2">
      <c r="A1940" s="2439" t="s">
        <v>908</v>
      </c>
      <c r="B1940" s="2427">
        <v>462</v>
      </c>
      <c r="C1940" s="2428">
        <v>2403999.9999999995</v>
      </c>
      <c r="D1940" s="2429">
        <v>1110.6479999999997</v>
      </c>
      <c r="E1940" s="2430">
        <v>5.0451968830205809</v>
      </c>
      <c r="F1940" s="2427">
        <v>3.5625059481126096</v>
      </c>
      <c r="G1940" s="2429">
        <v>3.318285739510865E-2</v>
      </c>
      <c r="H1940" s="2430">
        <v>2.9951617500675844</v>
      </c>
      <c r="I1940" s="2427">
        <v>2.2434205248105781</v>
      </c>
      <c r="J1940" s="2431">
        <v>1.7185885579424097E-2</v>
      </c>
    </row>
    <row r="1941" spans="1:10" x14ac:dyDescent="0.2">
      <c r="A1941" s="2440" t="s">
        <v>282</v>
      </c>
      <c r="B1941" s="2441">
        <v>585</v>
      </c>
      <c r="C1941" s="2440"/>
      <c r="D1941" s="2442">
        <v>1448.8499999999997</v>
      </c>
      <c r="E1941" s="2443">
        <v>6.388398650578007</v>
      </c>
      <c r="F1941" s="2441">
        <v>4.5109653239088239</v>
      </c>
      <c r="G1941" s="2442">
        <v>4.2017254493806409E-2</v>
      </c>
      <c r="H1941" s="2443">
        <v>3.9072146184798608</v>
      </c>
      <c r="I1941" s="2441">
        <v>2.9265616355243123</v>
      </c>
      <c r="J1941" s="2444">
        <v>2.2419137586119638E-2</v>
      </c>
    </row>
    <row r="1942" spans="1:10" x14ac:dyDescent="0.2">
      <c r="A1942" s="2426" t="s">
        <v>955</v>
      </c>
      <c r="B1942" s="2427">
        <v>155.13100000000003</v>
      </c>
      <c r="C1942" s="2428">
        <v>12137000</v>
      </c>
      <c r="D1942" s="2429">
        <v>1882.8249470000003</v>
      </c>
      <c r="E1942" s="2430">
        <v>1.6940831983979781</v>
      </c>
      <c r="F1942" s="2427">
        <v>1.1962231823304272</v>
      </c>
      <c r="G1942" s="2429">
        <v>1.1142185823724246E-2</v>
      </c>
      <c r="H1942" s="2430">
        <v>5.0775450577747678</v>
      </c>
      <c r="I1942" s="2427">
        <v>3.803156473270731</v>
      </c>
      <c r="J1942" s="2431">
        <v>2.9134355894241248E-2</v>
      </c>
    </row>
    <row r="1943" spans="1:10" x14ac:dyDescent="0.2">
      <c r="A1943" s="2426" t="s">
        <v>283</v>
      </c>
      <c r="B1943" s="2427">
        <v>756.90527599325242</v>
      </c>
      <c r="C1943" s="2428">
        <v>13024549.999999996</v>
      </c>
      <c r="D1943" s="2429">
        <v>9858.3506124379146</v>
      </c>
      <c r="E1943" s="2430">
        <v>8.2656626389242192</v>
      </c>
      <c r="F1943" s="2427">
        <v>5.8365358179302556</v>
      </c>
      <c r="G1943" s="2429">
        <v>5.4364242066860281E-2</v>
      </c>
      <c r="H1943" s="2430">
        <v>26.585700125628819</v>
      </c>
      <c r="I1943" s="2427">
        <v>19.913083267355773</v>
      </c>
      <c r="J1943" s="2431">
        <v>0.15254561807809813</v>
      </c>
    </row>
    <row r="1944" spans="1:10" x14ac:dyDescent="0.2">
      <c r="A1944" s="2426" t="s">
        <v>69</v>
      </c>
      <c r="B1944" s="2427">
        <v>597.8507240067479</v>
      </c>
      <c r="C1944" s="2428">
        <v>14978232.499999994</v>
      </c>
      <c r="D1944" s="2429">
        <v>8954.7471444663988</v>
      </c>
      <c r="E1944" s="2430">
        <v>6.5287329204987916</v>
      </c>
      <c r="F1944" s="2427">
        <v>4.6100579228516656</v>
      </c>
      <c r="G1944" s="2429">
        <v>4.294024960666315E-2</v>
      </c>
      <c r="H1944" s="2430">
        <v>24.14888977302682</v>
      </c>
      <c r="I1944" s="2427">
        <v>18.087876211351247</v>
      </c>
      <c r="J1944" s="2431">
        <v>0.13856348709714891</v>
      </c>
    </row>
    <row r="1945" spans="1:10" x14ac:dyDescent="0.2">
      <c r="A1945" s="2426" t="s">
        <v>199</v>
      </c>
      <c r="B1945" s="2427">
        <v>135</v>
      </c>
      <c r="C1945" s="2428">
        <v>3000000</v>
      </c>
      <c r="D1945" s="2429">
        <v>405</v>
      </c>
      <c r="E1945" s="2430">
        <v>1.4742458424410787</v>
      </c>
      <c r="F1945" s="2427">
        <v>1.0409919978251132</v>
      </c>
      <c r="G1945" s="2429">
        <v>9.6962894985707093E-3</v>
      </c>
      <c r="H1945" s="2430">
        <v>1.0921916833932732</v>
      </c>
      <c r="I1945" s="2427">
        <v>0.8180677519324614</v>
      </c>
      <c r="J1945" s="2431">
        <v>6.2668673240007288E-3</v>
      </c>
    </row>
    <row r="1946" spans="1:10" x14ac:dyDescent="0.2">
      <c r="A1946" s="2426" t="s">
        <v>86</v>
      </c>
      <c r="B1946" s="2427">
        <v>150</v>
      </c>
      <c r="C1946" s="2428">
        <v>170000</v>
      </c>
      <c r="D1946" s="2429">
        <v>25.5</v>
      </c>
      <c r="E1946" s="2430">
        <v>1.638050936045643</v>
      </c>
      <c r="F1946" s="2427">
        <v>1.1566577753612368</v>
      </c>
      <c r="G1946" s="2429">
        <v>1.0773654998411899E-2</v>
      </c>
      <c r="H1946" s="2430">
        <v>6.8767624509946834E-2</v>
      </c>
      <c r="I1946" s="2427">
        <v>5.1507969566117938E-2</v>
      </c>
      <c r="J1946" s="2431">
        <v>3.9458053521486072E-4</v>
      </c>
    </row>
    <row r="1947" spans="1:10" x14ac:dyDescent="0.2">
      <c r="A1947" s="2439" t="s">
        <v>213</v>
      </c>
      <c r="B1947" s="2427">
        <v>1287.9264000000001</v>
      </c>
      <c r="C1947" s="2428">
        <v>1850000.0000000005</v>
      </c>
      <c r="D1947" s="2429">
        <v>2382.6638400000006</v>
      </c>
      <c r="E1947" s="2430">
        <v>14.064593633852635</v>
      </c>
      <c r="F1947" s="2427">
        <v>9.9312672310200441</v>
      </c>
      <c r="G1947" s="2429">
        <v>9.2504497979644301E-2</v>
      </c>
      <c r="H1947" s="2430">
        <v>6.4254953836293369</v>
      </c>
      <c r="I1947" s="2427">
        <v>4.812791237529793</v>
      </c>
      <c r="J1947" s="2431">
        <v>3.6868736204874332E-2</v>
      </c>
    </row>
    <row r="1948" spans="1:10" x14ac:dyDescent="0.2">
      <c r="A1948" s="2433" t="s">
        <v>1834</v>
      </c>
      <c r="B1948" s="2434">
        <v>3082.8134000000005</v>
      </c>
      <c r="C1948" s="2433"/>
      <c r="D1948" s="2435">
        <v>23509.086543904315</v>
      </c>
      <c r="E1948" s="2436">
        <v>33.665369170160346</v>
      </c>
      <c r="F1948" s="2434">
        <v>23.771733927318746</v>
      </c>
      <c r="G1948" s="2435">
        <v>0.22142111997387456</v>
      </c>
      <c r="H1948" s="2436">
        <v>63.398589647962964</v>
      </c>
      <c r="I1948" s="2434">
        <v>47.486482911006128</v>
      </c>
      <c r="J1948" s="2437">
        <v>0.36377364513357818</v>
      </c>
    </row>
    <row r="1949" spans="1:10" x14ac:dyDescent="0.2">
      <c r="A1949" s="2426" t="s">
        <v>961</v>
      </c>
      <c r="B1949" s="2427">
        <v>252.75600000000003</v>
      </c>
      <c r="C1949" s="2428">
        <v>3668000</v>
      </c>
      <c r="D1949" s="2429">
        <v>927.10900800000013</v>
      </c>
      <c r="E1949" s="2430">
        <v>2.7601813492743505</v>
      </c>
      <c r="F1949" s="2427">
        <v>1.949014617794699</v>
      </c>
      <c r="G1949" s="2429">
        <v>1.8154039618523989E-2</v>
      </c>
      <c r="H1949" s="2430">
        <v>2.5001993781150316</v>
      </c>
      <c r="I1949" s="2427">
        <v>1.8726863752367766</v>
      </c>
      <c r="J1949" s="2431">
        <v>1.4345849748202298E-2</v>
      </c>
    </row>
    <row r="1950" spans="1:10" x14ac:dyDescent="0.2">
      <c r="A1950" s="2426" t="s">
        <v>962</v>
      </c>
      <c r="B1950" s="2427">
        <v>156.82499999999999</v>
      </c>
      <c r="C1950" s="2428">
        <v>1999999.9999999998</v>
      </c>
      <c r="D1950" s="2429">
        <v>313.64999999999992</v>
      </c>
      <c r="E1950" s="2430">
        <v>1.7125822536357198</v>
      </c>
      <c r="F1950" s="2427">
        <v>1.2092857041401732</v>
      </c>
      <c r="G1950" s="2429">
        <v>1.1263856300839641E-2</v>
      </c>
      <c r="H1950" s="2430">
        <v>0.84584178147234579</v>
      </c>
      <c r="I1950" s="2427">
        <v>0.63354802566325052</v>
      </c>
      <c r="J1950" s="2431">
        <v>4.8533405831427852E-3</v>
      </c>
    </row>
    <row r="1951" spans="1:10" x14ac:dyDescent="0.2">
      <c r="A1951" s="2426" t="s">
        <v>963</v>
      </c>
      <c r="B1951" s="2427">
        <v>0</v>
      </c>
      <c r="C1951" s="2428">
        <v>1347999.9999999998</v>
      </c>
      <c r="D1951" s="2429">
        <v>0</v>
      </c>
      <c r="E1951" s="2430">
        <v>0</v>
      </c>
      <c r="F1951" s="2427">
        <v>0</v>
      </c>
      <c r="G1951" s="2429">
        <v>0</v>
      </c>
      <c r="H1951" s="2430">
        <v>0</v>
      </c>
      <c r="I1951" s="2427">
        <v>0</v>
      </c>
      <c r="J1951" s="2431">
        <v>0</v>
      </c>
    </row>
    <row r="1952" spans="1:10" x14ac:dyDescent="0.2">
      <c r="A1952" s="2426" t="s">
        <v>965</v>
      </c>
      <c r="B1952" s="2427">
        <v>947.06999999999994</v>
      </c>
      <c r="C1952" s="2428">
        <v>1599999.9999999995</v>
      </c>
      <c r="D1952" s="2429">
        <v>1515.3119999999994</v>
      </c>
      <c r="E1952" s="2430">
        <v>10.342326000004979</v>
      </c>
      <c r="F1952" s="2427">
        <v>7.302905862075777</v>
      </c>
      <c r="G1952" s="2429">
        <v>6.8022702928973056E-2</v>
      </c>
      <c r="H1952" s="2430">
        <v>4.0864473188790793</v>
      </c>
      <c r="I1952" s="2427">
        <v>3.0608095834969915</v>
      </c>
      <c r="J1952" s="2431">
        <v>2.3447553724607873E-2</v>
      </c>
    </row>
    <row r="1953" spans="1:10" x14ac:dyDescent="0.2">
      <c r="A1953" s="2426" t="s">
        <v>966</v>
      </c>
      <c r="B1953" s="2427">
        <v>0</v>
      </c>
      <c r="C1953" s="2428">
        <v>2244000</v>
      </c>
      <c r="D1953" s="2429">
        <v>0</v>
      </c>
      <c r="E1953" s="2430">
        <v>0</v>
      </c>
      <c r="F1953" s="2427">
        <v>0</v>
      </c>
      <c r="G1953" s="2429">
        <v>0</v>
      </c>
      <c r="H1953" s="2430">
        <v>0</v>
      </c>
      <c r="I1953" s="2427">
        <v>0</v>
      </c>
      <c r="J1953" s="2431">
        <v>0</v>
      </c>
    </row>
    <row r="1954" spans="1:10" x14ac:dyDescent="0.2">
      <c r="A1954" s="2426" t="s">
        <v>1499</v>
      </c>
      <c r="B1954" s="2427">
        <v>0</v>
      </c>
      <c r="C1954" s="2428">
        <v>4849999.9999999991</v>
      </c>
      <c r="D1954" s="2429">
        <v>0</v>
      </c>
      <c r="E1954" s="2430">
        <v>0</v>
      </c>
      <c r="F1954" s="2427">
        <v>0</v>
      </c>
      <c r="G1954" s="2429">
        <v>0</v>
      </c>
      <c r="H1954" s="2430">
        <v>0</v>
      </c>
      <c r="I1954" s="2427">
        <v>0</v>
      </c>
      <c r="J1954" s="2431">
        <v>0</v>
      </c>
    </row>
    <row r="1955" spans="1:10" x14ac:dyDescent="0.2">
      <c r="A1955" s="2426" t="s">
        <v>1575</v>
      </c>
      <c r="B1955" s="2427">
        <v>0</v>
      </c>
      <c r="C1955" s="2428">
        <v>2250000.0000000005</v>
      </c>
      <c r="D1955" s="2429">
        <v>0</v>
      </c>
      <c r="E1955" s="2430">
        <v>0</v>
      </c>
      <c r="F1955" s="2427">
        <v>0</v>
      </c>
      <c r="G1955" s="2429">
        <v>0</v>
      </c>
      <c r="H1955" s="2430">
        <v>0</v>
      </c>
      <c r="I1955" s="2427">
        <v>0</v>
      </c>
      <c r="J1955" s="2431">
        <v>0</v>
      </c>
    </row>
    <row r="1956" spans="1:10" x14ac:dyDescent="0.2">
      <c r="A1956" s="2426" t="s">
        <v>964</v>
      </c>
      <c r="B1956" s="2427">
        <v>0</v>
      </c>
      <c r="C1956" s="2428">
        <v>1556000</v>
      </c>
      <c r="D1956" s="2429">
        <v>0</v>
      </c>
      <c r="E1956" s="2430">
        <v>0</v>
      </c>
      <c r="F1956" s="2427">
        <v>0</v>
      </c>
      <c r="G1956" s="2429">
        <v>0</v>
      </c>
      <c r="H1956" s="2430">
        <v>0</v>
      </c>
      <c r="I1956" s="2427">
        <v>0</v>
      </c>
      <c r="J1956" s="2431">
        <v>0</v>
      </c>
    </row>
    <row r="1957" spans="1:10" x14ac:dyDescent="0.2">
      <c r="A1957" s="2426" t="s">
        <v>969</v>
      </c>
      <c r="B1957" s="2427">
        <v>55.100000000000016</v>
      </c>
      <c r="C1957" s="2428">
        <v>4800000</v>
      </c>
      <c r="D1957" s="2429">
        <v>264.48000000000008</v>
      </c>
      <c r="E1957" s="2430">
        <v>0.60171071050743297</v>
      </c>
      <c r="F1957" s="2427">
        <v>0.42487895614936111</v>
      </c>
      <c r="G1957" s="2429">
        <v>3.9575226027499721E-3</v>
      </c>
      <c r="H1957" s="2430">
        <v>0.71324162079963704</v>
      </c>
      <c r="I1957" s="2427">
        <v>0.53422854081752458</v>
      </c>
      <c r="J1957" s="2431">
        <v>4.0924964687696621E-3</v>
      </c>
    </row>
    <row r="1958" spans="1:10" x14ac:dyDescent="0.2">
      <c r="A1958" s="2426" t="s">
        <v>968</v>
      </c>
      <c r="B1958" s="2427">
        <v>62.37</v>
      </c>
      <c r="C1958" s="2428">
        <v>3050000.0000000009</v>
      </c>
      <c r="D1958" s="2429">
        <v>190.22850000000005</v>
      </c>
      <c r="E1958" s="2430">
        <v>0.68110157920777825</v>
      </c>
      <c r="F1958" s="2427">
        <v>0.48093830299520229</v>
      </c>
      <c r="G1958" s="2429">
        <v>4.4796857483396678E-3</v>
      </c>
      <c r="H1958" s="2430">
        <v>0.51300243368982057</v>
      </c>
      <c r="I1958" s="2427">
        <v>0.38424642308267726</v>
      </c>
      <c r="J1958" s="2431">
        <v>2.9435475820831433E-3</v>
      </c>
    </row>
    <row r="1959" spans="1:10" x14ac:dyDescent="0.2">
      <c r="A1959" s="2426" t="s">
        <v>1013</v>
      </c>
      <c r="B1959" s="2427">
        <v>0</v>
      </c>
      <c r="C1959" s="2428">
        <v>1799999.9999999998</v>
      </c>
      <c r="D1959" s="2429">
        <v>0</v>
      </c>
      <c r="E1959" s="2430">
        <v>0</v>
      </c>
      <c r="F1959" s="2427">
        <v>0</v>
      </c>
      <c r="G1959" s="2429">
        <v>0</v>
      </c>
      <c r="H1959" s="2430">
        <v>0</v>
      </c>
      <c r="I1959" s="2427">
        <v>0</v>
      </c>
      <c r="J1959" s="2431">
        <v>0</v>
      </c>
    </row>
    <row r="1960" spans="1:10" x14ac:dyDescent="0.2">
      <c r="A1960" s="2426" t="s">
        <v>1014</v>
      </c>
      <c r="B1960" s="2427">
        <v>32.06</v>
      </c>
      <c r="C1960" s="2428">
        <v>2195000.0000000005</v>
      </c>
      <c r="D1960" s="2429">
        <v>70.371700000000018</v>
      </c>
      <c r="E1960" s="2430">
        <v>0.35010608673082211</v>
      </c>
      <c r="F1960" s="2427">
        <v>0.24721632185387507</v>
      </c>
      <c r="G1960" s="2429">
        <v>2.3026891949939035E-3</v>
      </c>
      <c r="H1960" s="2430">
        <v>0.18977626045986773</v>
      </c>
      <c r="I1960" s="2427">
        <v>0.14214523066337187</v>
      </c>
      <c r="J1960" s="2431">
        <v>1.08891384509724E-3</v>
      </c>
    </row>
    <row r="1961" spans="1:10" x14ac:dyDescent="0.2">
      <c r="A1961" s="2426" t="s">
        <v>970</v>
      </c>
      <c r="B1961" s="2427">
        <v>146.88</v>
      </c>
      <c r="C1961" s="2428">
        <v>3100000.0000000005</v>
      </c>
      <c r="D1961" s="2429">
        <v>455.32800000000003</v>
      </c>
      <c r="E1961" s="2430">
        <v>1.6039794765758935</v>
      </c>
      <c r="F1961" s="2427">
        <v>1.1325992936337232</v>
      </c>
      <c r="G1961" s="2429">
        <v>1.0549562974444931E-2</v>
      </c>
      <c r="H1961" s="2430">
        <v>1.2279147032496107</v>
      </c>
      <c r="I1961" s="2427">
        <v>0.91972630457260207</v>
      </c>
      <c r="J1961" s="2431">
        <v>7.0456300367965534E-3</v>
      </c>
    </row>
    <row r="1962" spans="1:10" x14ac:dyDescent="0.2">
      <c r="A1962" s="2426" t="s">
        <v>971</v>
      </c>
      <c r="B1962" s="2427">
        <v>0</v>
      </c>
      <c r="C1962" s="2428">
        <v>3010000</v>
      </c>
      <c r="D1962" s="2429">
        <v>0</v>
      </c>
      <c r="E1962" s="2430">
        <v>0</v>
      </c>
      <c r="F1962" s="2427">
        <v>0</v>
      </c>
      <c r="G1962" s="2429">
        <v>0</v>
      </c>
      <c r="H1962" s="2430">
        <v>0</v>
      </c>
      <c r="I1962" s="2427">
        <v>0</v>
      </c>
      <c r="J1962" s="2431">
        <v>0</v>
      </c>
    </row>
    <row r="1963" spans="1:10" x14ac:dyDescent="0.2">
      <c r="A1963" s="2426" t="s">
        <v>972</v>
      </c>
      <c r="B1963" s="2427">
        <v>377.1</v>
      </c>
      <c r="C1963" s="2428">
        <v>2744000.0000000005</v>
      </c>
      <c r="D1963" s="2429">
        <v>1034.7624000000003</v>
      </c>
      <c r="E1963" s="2430">
        <v>4.1180600532187466</v>
      </c>
      <c r="F1963" s="2427">
        <v>2.90783764725815</v>
      </c>
      <c r="G1963" s="2429">
        <v>2.7084968666007517E-2</v>
      </c>
      <c r="H1963" s="2430">
        <v>2.7905157717729971</v>
      </c>
      <c r="I1963" s="2427">
        <v>2.0901376551907127</v>
      </c>
      <c r="J1963" s="2431">
        <v>1.601165104361623E-2</v>
      </c>
    </row>
    <row r="1964" spans="1:10" x14ac:dyDescent="0.2">
      <c r="A1964" s="2426" t="s">
        <v>973</v>
      </c>
      <c r="B1964" s="2427">
        <v>24.72</v>
      </c>
      <c r="C1964" s="2428">
        <v>2549999.9999999991</v>
      </c>
      <c r="D1964" s="2429">
        <v>63.03599999999998</v>
      </c>
      <c r="E1964" s="2430">
        <v>0.26995079426032192</v>
      </c>
      <c r="F1964" s="2427">
        <v>0.19061720137953184</v>
      </c>
      <c r="G1964" s="2429">
        <v>1.7754983437382808E-3</v>
      </c>
      <c r="H1964" s="2430">
        <v>0.16999356778858851</v>
      </c>
      <c r="I1964" s="2427">
        <v>0.12732770076744351</v>
      </c>
      <c r="J1964" s="2431">
        <v>9.7540308305113532E-4</v>
      </c>
    </row>
    <row r="1965" spans="1:10" x14ac:dyDescent="0.2">
      <c r="A1965" s="2426" t="s">
        <v>974</v>
      </c>
      <c r="B1965" s="2427">
        <v>111.42000000000002</v>
      </c>
      <c r="C1965" s="2428">
        <v>1583999.9999999995</v>
      </c>
      <c r="D1965" s="2429">
        <v>176.48927999999998</v>
      </c>
      <c r="E1965" s="2430">
        <v>1.2167442352947038</v>
      </c>
      <c r="F1965" s="2427">
        <v>0.85916539553832683</v>
      </c>
      <c r="G1965" s="2429">
        <v>8.0026709328203608E-3</v>
      </c>
      <c r="H1965" s="2430">
        <v>0.47595092302238695</v>
      </c>
      <c r="I1965" s="2427">
        <v>0.35649429266612026</v>
      </c>
      <c r="J1965" s="2431">
        <v>2.7309503749837413E-3</v>
      </c>
    </row>
    <row r="1966" spans="1:10" x14ac:dyDescent="0.2">
      <c r="A1966" s="2426" t="s">
        <v>975</v>
      </c>
      <c r="B1966" s="2427">
        <v>619.19999999999993</v>
      </c>
      <c r="C1966" s="2428">
        <v>2532000.0000000009</v>
      </c>
      <c r="D1966" s="2429">
        <v>1567.8144000000004</v>
      </c>
      <c r="E1966" s="2430">
        <v>6.7618742639964129</v>
      </c>
      <c r="F1966" s="2427">
        <v>4.774683296691185</v>
      </c>
      <c r="G1966" s="2429">
        <v>4.4473647833444319E-2</v>
      </c>
      <c r="H1966" s="2430">
        <v>4.2280341945289264</v>
      </c>
      <c r="I1966" s="2427">
        <v>3.1668602510008421</v>
      </c>
      <c r="J1966" s="2431">
        <v>2.4259962551747682E-2</v>
      </c>
    </row>
    <row r="1967" spans="1:10" x14ac:dyDescent="0.2">
      <c r="A1967" s="2426" t="s">
        <v>976</v>
      </c>
      <c r="B1967" s="2427">
        <v>44.910000000000004</v>
      </c>
      <c r="C1967" s="2428">
        <v>7394999.9999999991</v>
      </c>
      <c r="D1967" s="2429">
        <v>332.10944999999998</v>
      </c>
      <c r="E1967" s="2430">
        <v>0.4904324502520655</v>
      </c>
      <c r="F1967" s="2427">
        <v>0.34630333794315438</v>
      </c>
      <c r="G1967" s="2429">
        <v>3.2256323065245228E-3</v>
      </c>
      <c r="H1967" s="2430">
        <v>0.89562266485509645</v>
      </c>
      <c r="I1967" s="2427">
        <v>0.67083464483216337</v>
      </c>
      <c r="J1967" s="2431">
        <v>5.1389774325848242E-3</v>
      </c>
    </row>
    <row r="1968" spans="1:10" x14ac:dyDescent="0.2">
      <c r="A1968" s="2426" t="s">
        <v>286</v>
      </c>
      <c r="B1968" s="2427">
        <v>35.699999999999996</v>
      </c>
      <c r="C1968" s="2428">
        <v>2445000.0000000005</v>
      </c>
      <c r="D1968" s="2429">
        <v>87.286500000000004</v>
      </c>
      <c r="E1968" s="2430">
        <v>0.389856122778863</v>
      </c>
      <c r="F1968" s="2427">
        <v>0.27528455053597434</v>
      </c>
      <c r="G1968" s="2429">
        <v>2.5641298896220319E-3</v>
      </c>
      <c r="H1968" s="2430">
        <v>0.23539157869754804</v>
      </c>
      <c r="I1968" s="2427">
        <v>0.17631177982482171</v>
      </c>
      <c r="J1968" s="2431">
        <v>1.3506491720404682E-3</v>
      </c>
    </row>
    <row r="1969" spans="1:10" x14ac:dyDescent="0.2">
      <c r="A1969" s="2439" t="s">
        <v>978</v>
      </c>
      <c r="B1969" s="2427">
        <v>32.299999999999997</v>
      </c>
      <c r="C1969" s="2428">
        <v>1850000.0000000002</v>
      </c>
      <c r="D1969" s="2429">
        <v>59.755000000000003</v>
      </c>
      <c r="E1969" s="2430">
        <v>0.35272696822849509</v>
      </c>
      <c r="F1969" s="2427">
        <v>0.24906697429445301</v>
      </c>
      <c r="G1969" s="2429">
        <v>2.3199270429913625E-3</v>
      </c>
      <c r="H1969" s="2430">
        <v>0.16114546676830874</v>
      </c>
      <c r="I1969" s="2427">
        <v>0.12070034201660304</v>
      </c>
      <c r="J1969" s="2431">
        <v>9.246337208534903E-4</v>
      </c>
    </row>
    <row r="1970" spans="1:10" x14ac:dyDescent="0.2">
      <c r="A1970" s="2426" t="s">
        <v>1163</v>
      </c>
      <c r="B1970" s="2427">
        <v>0</v>
      </c>
      <c r="C1970" s="2428">
        <v>0</v>
      </c>
      <c r="D1970" s="2429">
        <v>0</v>
      </c>
      <c r="E1970" s="2430">
        <v>0</v>
      </c>
      <c r="F1970" s="2427">
        <v>0</v>
      </c>
      <c r="G1970" s="2429">
        <v>0</v>
      </c>
      <c r="H1970" s="2430">
        <v>0</v>
      </c>
      <c r="I1970" s="2427">
        <v>0</v>
      </c>
      <c r="J1970" s="2431">
        <v>0</v>
      </c>
    </row>
    <row r="1971" spans="1:10" x14ac:dyDescent="0.2">
      <c r="A1971" s="2433" t="s">
        <v>287</v>
      </c>
      <c r="B1971" s="2434">
        <v>2898.4109999999991</v>
      </c>
      <c r="C1971" s="2433"/>
      <c r="D1971" s="2435">
        <v>7057.7322380000005</v>
      </c>
      <c r="E1971" s="2436">
        <v>31.651632343966579</v>
      </c>
      <c r="F1971" s="2434">
        <v>22.349797462283579</v>
      </c>
      <c r="G1971" s="2435">
        <v>0.20817653438401348</v>
      </c>
      <c r="H1971" s="2436">
        <v>19.033077664099245</v>
      </c>
      <c r="I1971" s="2434">
        <v>14.256057149831902</v>
      </c>
      <c r="J1971" s="2437">
        <v>0.10920955936757712</v>
      </c>
    </row>
    <row r="1972" spans="1:10" x14ac:dyDescent="0.2">
      <c r="A1972" s="2440" t="s">
        <v>1835</v>
      </c>
      <c r="B1972" s="2441">
        <v>5981.2243999999992</v>
      </c>
      <c r="C1972" s="2440"/>
      <c r="D1972" s="2442">
        <v>30566.818781904316</v>
      </c>
      <c r="E1972" s="2443">
        <v>65.317001514126915</v>
      </c>
      <c r="F1972" s="2441">
        <v>46.121531389602325</v>
      </c>
      <c r="G1972" s="2442">
        <v>0.42959765435788805</v>
      </c>
      <c r="H1972" s="2443">
        <v>82.431667312062203</v>
      </c>
      <c r="I1972" s="2441">
        <v>61.742540060838024</v>
      </c>
      <c r="J1972" s="2444">
        <v>0.47298320450115533</v>
      </c>
    </row>
    <row r="1973" spans="1:10" x14ac:dyDescent="0.2">
      <c r="A1973" s="2445" t="s">
        <v>194</v>
      </c>
      <c r="B1973" s="2446">
        <v>9157.2243999999992</v>
      </c>
      <c r="C1973" s="2447"/>
      <c r="D1973" s="2448">
        <v>37081.403031904316</v>
      </c>
      <c r="E1973" s="2449">
        <v>100</v>
      </c>
      <c r="F1973" s="2446">
        <v>70.611832019917571</v>
      </c>
      <c r="G1973" s="2448">
        <v>0.65771184285759599</v>
      </c>
      <c r="H1973" s="2449">
        <v>99.999999999999986</v>
      </c>
      <c r="I1973" s="2446">
        <v>74.901481522991403</v>
      </c>
      <c r="J1973" s="2450">
        <v>0.57378822960183384</v>
      </c>
    </row>
    <row r="1974" spans="1:10" x14ac:dyDescent="0.2">
      <c r="A1974" s="2451" t="s">
        <v>1852</v>
      </c>
      <c r="B1974" s="2427"/>
      <c r="C1974" s="2452"/>
      <c r="D1974" s="2429"/>
      <c r="E1974" s="2430"/>
      <c r="F1974" s="2427">
        <v>0</v>
      </c>
      <c r="G1974" s="2429"/>
      <c r="H1974" s="2430"/>
      <c r="I1974" s="2427">
        <v>0</v>
      </c>
      <c r="J1974" s="2431">
        <v>0</v>
      </c>
    </row>
    <row r="1975" spans="1:10" x14ac:dyDescent="0.2">
      <c r="A1975" s="2453" t="s">
        <v>1836</v>
      </c>
      <c r="B1975" s="2427">
        <v>0</v>
      </c>
      <c r="C1975" s="2428">
        <v>8033612.4975057133</v>
      </c>
      <c r="D1975" s="2429">
        <v>0</v>
      </c>
      <c r="E1975" s="2430">
        <v>0</v>
      </c>
      <c r="F1975" s="2427">
        <v>0</v>
      </c>
      <c r="G1975" s="2429">
        <v>0</v>
      </c>
      <c r="H1975" s="2430">
        <v>0</v>
      </c>
      <c r="I1975" s="2427">
        <v>0</v>
      </c>
      <c r="J1975" s="2431">
        <v>0</v>
      </c>
    </row>
    <row r="1976" spans="1:10" x14ac:dyDescent="0.2">
      <c r="A1976" s="2453" t="s">
        <v>1837</v>
      </c>
      <c r="B1976" s="2427">
        <v>3345.2249999999999</v>
      </c>
      <c r="C1976" s="2428">
        <v>2214764.1578067578</v>
      </c>
      <c r="D1976" s="2429">
        <v>7408.8844297991118</v>
      </c>
      <c r="E1976" s="2430">
        <v>92.938535503883287</v>
      </c>
      <c r="F1976" s="2427">
        <v>25.795203377218623</v>
      </c>
      <c r="G1976" s="2429">
        <v>0.24026866694708296</v>
      </c>
      <c r="H1976" s="2430">
        <v>76.889953465251125</v>
      </c>
      <c r="I1976" s="2427">
        <v>14.965356616822657</v>
      </c>
      <c r="J1976" s="2431">
        <v>0.11464319935902673</v>
      </c>
    </row>
    <row r="1977" spans="1:10" x14ac:dyDescent="0.2">
      <c r="A1977" s="2454" t="s">
        <v>309</v>
      </c>
      <c r="B1977" s="2434">
        <v>3345.2249999999999</v>
      </c>
      <c r="C1977" s="2433"/>
      <c r="D1977" s="2435">
        <v>7408.8844297991118</v>
      </c>
      <c r="E1977" s="2436">
        <v>92.938535503883287</v>
      </c>
      <c r="F1977" s="2434">
        <v>25.795203377218623</v>
      </c>
      <c r="G1977" s="2435">
        <v>0.24026866694708296</v>
      </c>
      <c r="H1977" s="2436">
        <v>76.889953465251125</v>
      </c>
      <c r="I1977" s="2434">
        <v>14.965356616822657</v>
      </c>
      <c r="J1977" s="2437">
        <v>0.11464319935902673</v>
      </c>
    </row>
    <row r="1978" spans="1:10" x14ac:dyDescent="0.2">
      <c r="A1978" s="2453" t="s">
        <v>1838</v>
      </c>
      <c r="B1978" s="2427">
        <v>0</v>
      </c>
      <c r="C1978" s="2428">
        <v>10407427.50198495</v>
      </c>
      <c r="D1978" s="2429">
        <v>0</v>
      </c>
      <c r="E1978" s="2430">
        <v>0</v>
      </c>
      <c r="F1978" s="2427">
        <v>0</v>
      </c>
      <c r="G1978" s="2429">
        <v>0</v>
      </c>
      <c r="H1978" s="2430">
        <v>0</v>
      </c>
      <c r="I1978" s="2427">
        <v>0</v>
      </c>
      <c r="J1978" s="2431">
        <v>0</v>
      </c>
    </row>
    <row r="1979" spans="1:10" x14ac:dyDescent="0.2">
      <c r="A1979" s="2454" t="s">
        <v>315</v>
      </c>
      <c r="B1979" s="2434">
        <v>0</v>
      </c>
      <c r="C1979" s="2455"/>
      <c r="D1979" s="2435">
        <v>0</v>
      </c>
      <c r="E1979" s="2436">
        <v>0</v>
      </c>
      <c r="F1979" s="2434">
        <v>0</v>
      </c>
      <c r="G1979" s="2435">
        <v>0</v>
      </c>
      <c r="H1979" s="2436">
        <v>0</v>
      </c>
      <c r="I1979" s="2434">
        <v>0</v>
      </c>
      <c r="J1979" s="2437">
        <v>0</v>
      </c>
    </row>
    <row r="1980" spans="1:10" x14ac:dyDescent="0.2">
      <c r="A1980" s="2453" t="s">
        <v>1541</v>
      </c>
      <c r="B1980" s="2427">
        <v>106.92</v>
      </c>
      <c r="C1980" s="2428">
        <v>10553660</v>
      </c>
      <c r="D1980" s="2429">
        <v>1128.3973272000001</v>
      </c>
      <c r="E1980" s="2430">
        <v>2.9704992088948283</v>
      </c>
      <c r="F1980" s="2427">
        <v>0.82446566227748974</v>
      </c>
      <c r="G1980" s="2429">
        <v>7.6794612828680027E-3</v>
      </c>
      <c r="H1980" s="2430">
        <v>11.710591358363821</v>
      </c>
      <c r="I1980" s="2427">
        <v>2.2792727524669187</v>
      </c>
      <c r="J1980" s="2431">
        <v>1.7460534168689975E-2</v>
      </c>
    </row>
    <row r="1981" spans="1:10" x14ac:dyDescent="0.2">
      <c r="A1981" s="2453" t="s">
        <v>206</v>
      </c>
      <c r="B1981" s="2427">
        <v>145</v>
      </c>
      <c r="C1981" s="2428">
        <v>6960000</v>
      </c>
      <c r="D1981" s="2429">
        <v>1009.2</v>
      </c>
      <c r="E1981" s="2430">
        <v>4.0284547819841947</v>
      </c>
      <c r="F1981" s="2427">
        <v>1.1181025161825291</v>
      </c>
      <c r="G1981" s="2429">
        <v>1.0414533165131502E-2</v>
      </c>
      <c r="H1981" s="2430">
        <v>10.473552634324928</v>
      </c>
      <c r="I1981" s="2427">
        <v>2.0385036425931853</v>
      </c>
      <c r="J1981" s="2431">
        <v>1.5616104946621075E-2</v>
      </c>
    </row>
    <row r="1982" spans="1:10" x14ac:dyDescent="0.2">
      <c r="A1982" s="2454" t="s">
        <v>310</v>
      </c>
      <c r="B1982" s="2434">
        <v>251.92000000000002</v>
      </c>
      <c r="C1982" s="2455"/>
      <c r="D1982" s="2435">
        <v>2137.5973272000001</v>
      </c>
      <c r="E1982" s="2436">
        <v>6.9989539908790226</v>
      </c>
      <c r="F1982" s="2434">
        <v>1.9425681784600186</v>
      </c>
      <c r="G1982" s="2435">
        <v>1.8093994447999504E-2</v>
      </c>
      <c r="H1982" s="2436">
        <v>22.18414399268875</v>
      </c>
      <c r="I1982" s="2434">
        <v>4.317776395060104</v>
      </c>
      <c r="J1982" s="2437">
        <v>3.3076639115311043E-2</v>
      </c>
    </row>
    <row r="1983" spans="1:10" x14ac:dyDescent="0.2">
      <c r="A1983" s="2453" t="s">
        <v>1839</v>
      </c>
      <c r="B1983" s="2427">
        <v>2.25</v>
      </c>
      <c r="C1983" s="2428">
        <v>39652080.629353955</v>
      </c>
      <c r="D1983" s="2429">
        <v>89.217181416046401</v>
      </c>
      <c r="E1983" s="2430">
        <v>6.2510505237685782E-2</v>
      </c>
      <c r="F1983" s="2427">
        <v>1.7349866630418553E-2</v>
      </c>
      <c r="G1983" s="2429">
        <v>1.616048249761785E-4</v>
      </c>
      <c r="H1983" s="2430">
        <v>0.92590254206012468</v>
      </c>
      <c r="I1983" s="2427">
        <v>0.18021160255500163</v>
      </c>
      <c r="J1983" s="2431">
        <v>1.3805240468041141E-3</v>
      </c>
    </row>
    <row r="1984" spans="1:10" x14ac:dyDescent="0.2">
      <c r="A1984" s="2454" t="s">
        <v>311</v>
      </c>
      <c r="B1984" s="2434">
        <v>2.25</v>
      </c>
      <c r="C1984" s="2433"/>
      <c r="D1984" s="2435">
        <v>89.217181416046401</v>
      </c>
      <c r="E1984" s="2436">
        <v>6.2510505237685782E-2</v>
      </c>
      <c r="F1984" s="2434">
        <v>1.7349866630418553E-2</v>
      </c>
      <c r="G1984" s="2435">
        <v>1.616048249761785E-4</v>
      </c>
      <c r="H1984" s="2436">
        <v>0.92590254206012468</v>
      </c>
      <c r="I1984" s="2434">
        <v>0.18021160255500163</v>
      </c>
      <c r="J1984" s="2437">
        <v>1.3805240468041141E-3</v>
      </c>
    </row>
    <row r="1985" spans="1:10" x14ac:dyDescent="0.2">
      <c r="A1985" s="2445" t="s">
        <v>129</v>
      </c>
      <c r="B1985" s="2446">
        <v>3599.395</v>
      </c>
      <c r="C1985" s="2447"/>
      <c r="D1985" s="2448">
        <v>9635.6989384151584</v>
      </c>
      <c r="E1985" s="2449">
        <v>99.999999999999986</v>
      </c>
      <c r="F1985" s="2446">
        <v>27.755121422309063</v>
      </c>
      <c r="G1985" s="2448">
        <v>0.25852426622005864</v>
      </c>
      <c r="H1985" s="2449">
        <v>100</v>
      </c>
      <c r="I1985" s="2446">
        <v>19.463344614437762</v>
      </c>
      <c r="J1985" s="2450">
        <v>0.14910036252114189</v>
      </c>
    </row>
    <row r="1986" spans="1:10" x14ac:dyDescent="0.2">
      <c r="A1986" s="2451" t="s">
        <v>1853</v>
      </c>
      <c r="B1986" s="2427"/>
      <c r="C1986" s="2452"/>
      <c r="D1986" s="2429"/>
      <c r="E1986" s="2430"/>
      <c r="F1986" s="2427">
        <v>0</v>
      </c>
      <c r="G1986" s="2429"/>
      <c r="H1986" s="2430"/>
      <c r="I1986" s="2427">
        <v>0</v>
      </c>
      <c r="J1986" s="2431">
        <v>0</v>
      </c>
    </row>
    <row r="1987" spans="1:10" x14ac:dyDescent="0.2">
      <c r="A1987" s="2426" t="s">
        <v>1543</v>
      </c>
      <c r="B1987" s="2427">
        <v>210</v>
      </c>
      <c r="C1987" s="2428">
        <v>13200000</v>
      </c>
      <c r="D1987" s="2429">
        <v>2772</v>
      </c>
      <c r="E1987" s="2430">
        <v>99.159505146850506</v>
      </c>
      <c r="F1987" s="2427">
        <v>1.6193208855057317</v>
      </c>
      <c r="G1987" s="2429">
        <v>1.508311699777666E-2</v>
      </c>
      <c r="H1987" s="2430">
        <v>99.361961430926939</v>
      </c>
      <c r="I1987" s="2427">
        <v>5.5992192798932914</v>
      </c>
      <c r="J1987" s="2431">
        <v>4.2893225239827207E-2</v>
      </c>
    </row>
    <row r="1988" spans="1:10" x14ac:dyDescent="0.2">
      <c r="A1988" s="2426" t="s">
        <v>208</v>
      </c>
      <c r="B1988" s="2427">
        <v>1.78</v>
      </c>
      <c r="C1988" s="2428">
        <v>10000000</v>
      </c>
      <c r="D1988" s="2429">
        <v>17.8</v>
      </c>
      <c r="E1988" s="2430">
        <v>0.84049485314949479</v>
      </c>
      <c r="F1988" s="2427">
        <v>1.3725672267620012E-2</v>
      </c>
      <c r="G1988" s="2429">
        <v>1.2784737264782121E-4</v>
      </c>
      <c r="H1988" s="2430">
        <v>0.6380385690730519</v>
      </c>
      <c r="I1988" s="2427">
        <v>3.5954582677525465E-2</v>
      </c>
      <c r="J1988" s="2431">
        <v>2.7543268732645176E-4</v>
      </c>
    </row>
    <row r="1989" spans="1:10" x14ac:dyDescent="0.2">
      <c r="A1989" s="2426" t="s">
        <v>209</v>
      </c>
      <c r="B1989" s="2427">
        <v>0</v>
      </c>
      <c r="C1989" s="2428">
        <v>10000000</v>
      </c>
      <c r="D1989" s="2429">
        <v>0</v>
      </c>
      <c r="E1989" s="2430">
        <v>0</v>
      </c>
      <c r="F1989" s="2427">
        <v>0</v>
      </c>
      <c r="G1989" s="2429">
        <v>0</v>
      </c>
      <c r="H1989" s="2430">
        <v>0</v>
      </c>
      <c r="I1989" s="2427">
        <v>0</v>
      </c>
      <c r="J1989" s="2431">
        <v>0</v>
      </c>
    </row>
    <row r="1990" spans="1:10" x14ac:dyDescent="0.2">
      <c r="A1990" s="2426" t="s">
        <v>210</v>
      </c>
      <c r="B1990" s="2427">
        <v>0</v>
      </c>
      <c r="C1990" s="2428">
        <v>18500000</v>
      </c>
      <c r="D1990" s="2429">
        <v>0</v>
      </c>
      <c r="E1990" s="2430">
        <v>0</v>
      </c>
      <c r="F1990" s="2427">
        <v>0</v>
      </c>
      <c r="G1990" s="2429">
        <v>0</v>
      </c>
      <c r="H1990" s="2430">
        <v>0</v>
      </c>
      <c r="I1990" s="2427">
        <v>0</v>
      </c>
      <c r="J1990" s="2431">
        <v>0</v>
      </c>
    </row>
    <row r="1991" spans="1:10" x14ac:dyDescent="0.2">
      <c r="A1991" s="2426" t="s">
        <v>1545</v>
      </c>
      <c r="B1991" s="2427">
        <v>0</v>
      </c>
      <c r="C1991" s="2428">
        <v>14200000</v>
      </c>
      <c r="D1991" s="2429">
        <v>0</v>
      </c>
      <c r="E1991" s="2430">
        <v>0</v>
      </c>
      <c r="F1991" s="2427">
        <v>0</v>
      </c>
      <c r="G1991" s="2429">
        <v>0</v>
      </c>
      <c r="H1991" s="2430">
        <v>0</v>
      </c>
      <c r="I1991" s="2427">
        <v>0</v>
      </c>
      <c r="J1991" s="2431">
        <v>0</v>
      </c>
    </row>
    <row r="1992" spans="1:10" x14ac:dyDescent="0.2">
      <c r="A1992" s="2426" t="s">
        <v>1546</v>
      </c>
      <c r="B1992" s="2427">
        <v>0</v>
      </c>
      <c r="C1992" s="2428">
        <v>10000000</v>
      </c>
      <c r="D1992" s="2429">
        <v>0</v>
      </c>
      <c r="E1992" s="2430">
        <v>0</v>
      </c>
      <c r="F1992" s="2427">
        <v>0</v>
      </c>
      <c r="G1992" s="2429">
        <v>0</v>
      </c>
      <c r="H1992" s="2430">
        <v>0</v>
      </c>
      <c r="I1992" s="2427">
        <v>0</v>
      </c>
      <c r="J1992" s="2431">
        <v>0</v>
      </c>
    </row>
    <row r="1993" spans="1:10" x14ac:dyDescent="0.2">
      <c r="A1993" s="2445" t="s">
        <v>121</v>
      </c>
      <c r="B1993" s="2446">
        <v>211.78</v>
      </c>
      <c r="C1993" s="2447"/>
      <c r="D1993" s="2448">
        <v>2789.8</v>
      </c>
      <c r="E1993" s="2449">
        <v>100</v>
      </c>
      <c r="F1993" s="2446">
        <v>1.6330465577733517</v>
      </c>
      <c r="G1993" s="2448">
        <v>1.5210964370424481E-2</v>
      </c>
      <c r="H1993" s="2449">
        <v>99.999999999999986</v>
      </c>
      <c r="I1993" s="2446">
        <v>5.6351738625708174</v>
      </c>
      <c r="J1993" s="2450">
        <v>4.3168657927153666E-2</v>
      </c>
    </row>
    <row r="1994" spans="1:10" ht="14.25" thickBot="1" x14ac:dyDescent="0.25">
      <c r="A1994" s="2457" t="s">
        <v>1840</v>
      </c>
      <c r="B1994" s="2446">
        <v>12968.3994</v>
      </c>
      <c r="C1994" s="2458"/>
      <c r="D1994" s="2448">
        <v>49506.901970319479</v>
      </c>
      <c r="E1994" s="2459"/>
      <c r="F1994" s="2460">
        <v>99.999999999999986</v>
      </c>
      <c r="G1994" s="2461">
        <v>0.93144707344807909</v>
      </c>
      <c r="H1994" s="2462"/>
      <c r="I1994" s="2460">
        <v>99.999999999999986</v>
      </c>
      <c r="J1994" s="2463">
        <v>0.76605725005012937</v>
      </c>
    </row>
    <row r="1995" spans="1:10" ht="15" thickBot="1" x14ac:dyDescent="0.25">
      <c r="A1995" s="2464" t="s">
        <v>1841</v>
      </c>
      <c r="B1995" s="2465">
        <v>1392285.1624830281</v>
      </c>
      <c r="C1995" s="2466"/>
      <c r="D1995" s="2467">
        <v>6462559.0276810033</v>
      </c>
      <c r="E1995" s="2468"/>
      <c r="F1995" s="2469"/>
      <c r="G1995" s="2469"/>
      <c r="H1995" s="2469"/>
      <c r="I1995" s="2469"/>
      <c r="J1995" s="2469"/>
    </row>
    <row r="1996" spans="1:10" ht="16.5" thickBot="1" x14ac:dyDescent="0.3">
      <c r="A1996" s="2470" t="s">
        <v>1842</v>
      </c>
      <c r="B1996" s="2471">
        <v>0.9314470734480792</v>
      </c>
      <c r="C1996" s="2472"/>
      <c r="D1996" s="2473">
        <v>0.76605725005012948</v>
      </c>
      <c r="E1996" s="2468"/>
      <c r="F1996" s="2469"/>
      <c r="G1996" s="2469"/>
      <c r="H1996" s="2469"/>
      <c r="I1996" s="2469"/>
      <c r="J1996" s="2469"/>
    </row>
    <row r="1997" spans="1:10" x14ac:dyDescent="0.2">
      <c r="A1997" s="2474" t="s">
        <v>2023</v>
      </c>
      <c r="B1997" s="2474"/>
      <c r="C1997" s="2474"/>
      <c r="D1997" s="2475"/>
      <c r="E1997" s="2474"/>
      <c r="F1997" s="2474"/>
      <c r="H1997" s="2474"/>
      <c r="I1997" s="2474"/>
      <c r="J1997" s="2474"/>
    </row>
    <row r="1998" spans="1:10" x14ac:dyDescent="0.2">
      <c r="A1998" s="2474" t="s">
        <v>1843</v>
      </c>
      <c r="B1998" s="2474"/>
      <c r="C1998" s="2474"/>
      <c r="D1998" s="2474"/>
      <c r="E1998" s="2474"/>
      <c r="F1998" s="2474"/>
      <c r="G1998" s="2474"/>
      <c r="H1998" s="2474"/>
      <c r="I1998" s="2474"/>
      <c r="J1998" s="2474"/>
    </row>
    <row r="1999" spans="1:10" x14ac:dyDescent="0.2">
      <c r="A1999" s="2474" t="s">
        <v>2024</v>
      </c>
      <c r="B1999" s="2474"/>
      <c r="C1999" s="2474"/>
      <c r="D1999" s="2474"/>
      <c r="E1999" s="2474"/>
      <c r="F1999" s="2474"/>
      <c r="G1999" s="2474"/>
      <c r="H1999" s="2474"/>
      <c r="I1999" s="2474"/>
      <c r="J1999" s="2474"/>
    </row>
    <row r="2003" spans="1:10" ht="13.5" thickBot="1" x14ac:dyDescent="0.25">
      <c r="A2003" s="3321" t="s">
        <v>2021</v>
      </c>
      <c r="B2003" s="3321"/>
      <c r="C2003" s="3321"/>
      <c r="D2003" s="3321"/>
      <c r="E2003" s="3321"/>
      <c r="F2003" s="3321"/>
      <c r="G2003" s="3321"/>
      <c r="H2003" s="3321"/>
      <c r="I2003" s="3321"/>
      <c r="J2003" s="3321"/>
    </row>
    <row r="2004" spans="1:10" ht="13.5" customHeight="1" thickBot="1" x14ac:dyDescent="0.25">
      <c r="A2004" s="3322" t="s">
        <v>377</v>
      </c>
      <c r="B2004" s="3324" t="s">
        <v>1272</v>
      </c>
      <c r="C2004" s="3324" t="s">
        <v>1832</v>
      </c>
      <c r="D2004" s="3326" t="s">
        <v>1844</v>
      </c>
      <c r="E2004" s="3328" t="s">
        <v>1849</v>
      </c>
      <c r="F2004" s="3329"/>
      <c r="G2004" s="3330"/>
      <c r="H2004" s="3328" t="s">
        <v>1850</v>
      </c>
      <c r="I2004" s="3329"/>
      <c r="J2004" s="3331"/>
    </row>
    <row r="2005" spans="1:10" ht="13.5" customHeight="1" thickBot="1" x14ac:dyDescent="0.25">
      <c r="A2005" s="3323"/>
      <c r="B2005" s="3325"/>
      <c r="C2005" s="3325"/>
      <c r="D2005" s="3327"/>
      <c r="E2005" s="2415" t="s">
        <v>1848</v>
      </c>
      <c r="F2005" s="2416" t="s">
        <v>1231</v>
      </c>
      <c r="G2005" s="2417" t="s">
        <v>1833</v>
      </c>
      <c r="H2005" s="2415" t="s">
        <v>1848</v>
      </c>
      <c r="I2005" s="2416" t="s">
        <v>1231</v>
      </c>
      <c r="J2005" s="2418" t="s">
        <v>1833</v>
      </c>
    </row>
    <row r="2006" spans="1:10" x14ac:dyDescent="0.2">
      <c r="A2006" s="2419" t="s">
        <v>1851</v>
      </c>
      <c r="B2006" s="2420"/>
      <c r="C2006" s="2420"/>
      <c r="D2006" s="2421"/>
      <c r="E2006" s="2422"/>
      <c r="F2006" s="2423"/>
      <c r="G2006" s="2424"/>
      <c r="H2006" s="2422"/>
      <c r="I2006" s="2423"/>
      <c r="J2006" s="2425"/>
    </row>
    <row r="2007" spans="1:10" x14ac:dyDescent="0.2">
      <c r="A2007" s="2426" t="s">
        <v>410</v>
      </c>
      <c r="B2007" s="2427">
        <v>0</v>
      </c>
      <c r="C2007" s="2428">
        <v>5667200.0000000009</v>
      </c>
      <c r="D2007" s="2429">
        <v>0</v>
      </c>
      <c r="E2007" s="2430">
        <v>0</v>
      </c>
      <c r="F2007" s="2427">
        <v>0</v>
      </c>
      <c r="G2007" s="2429">
        <v>0</v>
      </c>
      <c r="H2007" s="2430">
        <v>0</v>
      </c>
      <c r="I2007" s="2427">
        <v>0</v>
      </c>
      <c r="J2007" s="2431">
        <v>0</v>
      </c>
    </row>
    <row r="2008" spans="1:10" x14ac:dyDescent="0.2">
      <c r="A2008" s="2426" t="s">
        <v>411</v>
      </c>
      <c r="B2008" s="2427">
        <v>650</v>
      </c>
      <c r="C2008" s="2428">
        <v>1753716.5000000002</v>
      </c>
      <c r="D2008" s="2429">
        <v>1139.9157250000003</v>
      </c>
      <c r="E2008" s="2430">
        <v>4.5702129550490733</v>
      </c>
      <c r="F2008" s="2427">
        <v>3.7836603153174448</v>
      </c>
      <c r="G2008" s="2429">
        <v>4.6685838326451568E-2</v>
      </c>
      <c r="H2008" s="2430">
        <v>3.8366740360936258</v>
      </c>
      <c r="I2008" s="2427">
        <v>2.918115498655681</v>
      </c>
      <c r="J2008" s="2431">
        <v>1.7638766936091611E-2</v>
      </c>
    </row>
    <row r="2009" spans="1:10" x14ac:dyDescent="0.2">
      <c r="A2009" s="2426" t="s">
        <v>278</v>
      </c>
      <c r="B2009" s="2427">
        <v>356</v>
      </c>
      <c r="C2009" s="2428">
        <v>1637875</v>
      </c>
      <c r="D2009" s="2429">
        <v>583.08349999999996</v>
      </c>
      <c r="E2009" s="2430">
        <v>2.5030704799961079</v>
      </c>
      <c r="F2009" s="2427">
        <v>2.0722816496200158</v>
      </c>
      <c r="G2009" s="2429">
        <v>2.5569474529564241E-2</v>
      </c>
      <c r="H2009" s="2430">
        <v>1.9625146633753094</v>
      </c>
      <c r="I2009" s="2427">
        <v>1.4926585896167011</v>
      </c>
      <c r="J2009" s="2431">
        <v>9.0224862550962442E-3</v>
      </c>
    </row>
    <row r="2010" spans="1:10" x14ac:dyDescent="0.2">
      <c r="A2010" s="2426" t="s">
        <v>200</v>
      </c>
      <c r="B2010" s="2427">
        <v>0</v>
      </c>
      <c r="C2010" s="2428">
        <v>7709114.5</v>
      </c>
      <c r="D2010" s="2429">
        <v>0</v>
      </c>
      <c r="E2010" s="2430">
        <v>0</v>
      </c>
      <c r="F2010" s="2427">
        <v>0</v>
      </c>
      <c r="G2010" s="2429">
        <v>0</v>
      </c>
      <c r="H2010" s="2430">
        <v>0</v>
      </c>
      <c r="I2010" s="2427">
        <v>0</v>
      </c>
      <c r="J2010" s="2431">
        <v>0</v>
      </c>
    </row>
    <row r="2011" spans="1:10" x14ac:dyDescent="0.2">
      <c r="A2011" s="2426" t="s">
        <v>429</v>
      </c>
      <c r="B2011" s="2427">
        <v>73.5</v>
      </c>
      <c r="C2011" s="2428">
        <v>1255000</v>
      </c>
      <c r="D2011" s="2429">
        <v>92.242500000000007</v>
      </c>
      <c r="E2011" s="2430">
        <v>0.51678561876324136</v>
      </c>
      <c r="F2011" s="2427">
        <v>0.42784466642435726</v>
      </c>
      <c r="G2011" s="2429">
        <v>5.2790909492218306E-3</v>
      </c>
      <c r="H2011" s="2430">
        <v>0.31046541162011448</v>
      </c>
      <c r="I2011" s="2427">
        <v>0.23613523612436049</v>
      </c>
      <c r="J2011" s="2431">
        <v>1.4273370595904624E-3</v>
      </c>
    </row>
    <row r="2012" spans="1:10" x14ac:dyDescent="0.2">
      <c r="A2012" s="2432" t="s">
        <v>431</v>
      </c>
      <c r="B2012" s="2427">
        <v>0</v>
      </c>
      <c r="C2012" s="2428">
        <v>0</v>
      </c>
      <c r="D2012" s="2429">
        <v>0</v>
      </c>
      <c r="E2012" s="2430">
        <v>0</v>
      </c>
      <c r="F2012" s="2427">
        <v>0</v>
      </c>
      <c r="G2012" s="2429">
        <v>0</v>
      </c>
      <c r="H2012" s="2430">
        <v>0</v>
      </c>
      <c r="I2012" s="2427">
        <v>0</v>
      </c>
      <c r="J2012" s="2431">
        <v>0</v>
      </c>
    </row>
    <row r="2013" spans="1:10" x14ac:dyDescent="0.2">
      <c r="A2013" s="2432" t="s">
        <v>430</v>
      </c>
      <c r="B2013" s="2427">
        <v>0</v>
      </c>
      <c r="C2013" s="2428">
        <v>0</v>
      </c>
      <c r="D2013" s="2429">
        <v>0</v>
      </c>
      <c r="E2013" s="2430">
        <v>0</v>
      </c>
      <c r="F2013" s="2427">
        <v>0</v>
      </c>
      <c r="G2013" s="2429">
        <v>0</v>
      </c>
      <c r="H2013" s="2430">
        <v>0</v>
      </c>
      <c r="I2013" s="2427">
        <v>0</v>
      </c>
      <c r="J2013" s="2431">
        <v>0</v>
      </c>
    </row>
    <row r="2014" spans="1:10" x14ac:dyDescent="0.2">
      <c r="A2014" s="2433" t="s">
        <v>279</v>
      </c>
      <c r="B2014" s="2434">
        <v>1079.5</v>
      </c>
      <c r="C2014" s="2433"/>
      <c r="D2014" s="2435">
        <v>1815.2417250000003</v>
      </c>
      <c r="E2014" s="2436">
        <v>7.5900690538084223</v>
      </c>
      <c r="F2014" s="2434">
        <v>6.283786631361818</v>
      </c>
      <c r="G2014" s="2435">
        <v>7.7534403805237642E-2</v>
      </c>
      <c r="H2014" s="2436">
        <v>6.1096541110890499</v>
      </c>
      <c r="I2014" s="2434">
        <v>4.6469093243967423</v>
      </c>
      <c r="J2014" s="2437">
        <v>2.8088590250778318E-2</v>
      </c>
    </row>
    <row r="2015" spans="1:10" x14ac:dyDescent="0.2">
      <c r="A2015" s="2438" t="s">
        <v>412</v>
      </c>
      <c r="B2015" s="2427">
        <v>0</v>
      </c>
      <c r="C2015" s="2428">
        <v>4129499.9999999995</v>
      </c>
      <c r="D2015" s="2429">
        <v>0</v>
      </c>
      <c r="E2015" s="2430">
        <v>0</v>
      </c>
      <c r="F2015" s="2427">
        <v>0</v>
      </c>
      <c r="G2015" s="2429">
        <v>0</v>
      </c>
      <c r="H2015" s="2430">
        <v>0</v>
      </c>
      <c r="I2015" s="2427">
        <v>0</v>
      </c>
      <c r="J2015" s="2431">
        <v>0</v>
      </c>
    </row>
    <row r="2016" spans="1:10" x14ac:dyDescent="0.2">
      <c r="A2016" s="2438" t="s">
        <v>413</v>
      </c>
      <c r="B2016" s="2427">
        <v>192</v>
      </c>
      <c r="C2016" s="2428">
        <v>1200000</v>
      </c>
      <c r="D2016" s="2429">
        <v>230.4</v>
      </c>
      <c r="E2016" s="2430">
        <v>1.3499705959529569</v>
      </c>
      <c r="F2016" s="2427">
        <v>1.1176350469860761</v>
      </c>
      <c r="G2016" s="2429">
        <v>1.3790278397967233E-2</v>
      </c>
      <c r="H2016" s="2430">
        <v>0.77546934262703604</v>
      </c>
      <c r="I2016" s="2427">
        <v>0.58981010275147194</v>
      </c>
      <c r="J2016" s="2431">
        <v>3.5651511887648591E-3</v>
      </c>
    </row>
    <row r="2017" spans="1:10" x14ac:dyDescent="0.2">
      <c r="A2017" s="2426" t="s">
        <v>90</v>
      </c>
      <c r="B2017" s="2427">
        <v>0</v>
      </c>
      <c r="C2017" s="2428">
        <v>1743000</v>
      </c>
      <c r="D2017" s="2429">
        <v>0</v>
      </c>
      <c r="E2017" s="2430">
        <v>0</v>
      </c>
      <c r="F2017" s="2427">
        <v>0</v>
      </c>
      <c r="G2017" s="2429">
        <v>0</v>
      </c>
      <c r="H2017" s="2430">
        <v>0</v>
      </c>
      <c r="I2017" s="2427">
        <v>0</v>
      </c>
      <c r="J2017" s="2431">
        <v>0</v>
      </c>
    </row>
    <row r="2018" spans="1:10" x14ac:dyDescent="0.2">
      <c r="A2018" s="2426" t="s">
        <v>417</v>
      </c>
      <c r="B2018" s="2427">
        <v>0</v>
      </c>
      <c r="C2018" s="2428">
        <v>2563999.9999999995</v>
      </c>
      <c r="D2018" s="2429">
        <v>0</v>
      </c>
      <c r="E2018" s="2430">
        <v>0</v>
      </c>
      <c r="F2018" s="2427">
        <v>0</v>
      </c>
      <c r="G2018" s="2429">
        <v>0</v>
      </c>
      <c r="H2018" s="2430">
        <v>0</v>
      </c>
      <c r="I2018" s="2427">
        <v>0</v>
      </c>
      <c r="J2018" s="2431">
        <v>0</v>
      </c>
    </row>
    <row r="2019" spans="1:10" x14ac:dyDescent="0.2">
      <c r="A2019" s="2426" t="s">
        <v>418</v>
      </c>
      <c r="B2019" s="2427">
        <v>14.25</v>
      </c>
      <c r="C2019" s="2428">
        <v>2222500</v>
      </c>
      <c r="D2019" s="2429">
        <v>31.670625000000001</v>
      </c>
      <c r="E2019" s="2430">
        <v>0.10019313016838352</v>
      </c>
      <c r="F2019" s="2427">
        <v>8.2949476143497833E-2</v>
      </c>
      <c r="G2019" s="2429">
        <v>1.0234972248491304E-3</v>
      </c>
      <c r="H2019" s="2430">
        <v>0.10659548068288792</v>
      </c>
      <c r="I2019" s="2427">
        <v>8.1074889693807897E-2</v>
      </c>
      <c r="J2019" s="2431">
        <v>4.9006322208192739E-4</v>
      </c>
    </row>
    <row r="2020" spans="1:10" x14ac:dyDescent="0.2">
      <c r="A2020" s="2426" t="s">
        <v>423</v>
      </c>
      <c r="B2020" s="2427">
        <v>168</v>
      </c>
      <c r="C2020" s="2428">
        <v>2531500</v>
      </c>
      <c r="D2020" s="2429">
        <v>425.29199999999997</v>
      </c>
      <c r="E2020" s="2430">
        <v>1.1812242714588372</v>
      </c>
      <c r="F2020" s="2427">
        <v>0.97793066611281654</v>
      </c>
      <c r="G2020" s="2429">
        <v>1.2066493598221328E-2</v>
      </c>
      <c r="H2020" s="2430">
        <v>1.4314275506273324</v>
      </c>
      <c r="I2020" s="2427">
        <v>1.0887218672716104</v>
      </c>
      <c r="J2020" s="2431">
        <v>6.5808605875528831E-3</v>
      </c>
    </row>
    <row r="2021" spans="1:10" x14ac:dyDescent="0.2">
      <c r="A2021" s="2426" t="s">
        <v>424</v>
      </c>
      <c r="B2021" s="2427">
        <v>0</v>
      </c>
      <c r="C2021" s="2428">
        <v>1369000</v>
      </c>
      <c r="D2021" s="2429">
        <v>0</v>
      </c>
      <c r="E2021" s="2430">
        <v>0</v>
      </c>
      <c r="F2021" s="2427">
        <v>0</v>
      </c>
      <c r="G2021" s="2429">
        <v>0</v>
      </c>
      <c r="H2021" s="2430">
        <v>0</v>
      </c>
      <c r="I2021" s="2427">
        <v>0</v>
      </c>
      <c r="J2021" s="2431">
        <v>0</v>
      </c>
    </row>
    <row r="2022" spans="1:10" x14ac:dyDescent="0.2">
      <c r="A2022" s="2426" t="s">
        <v>280</v>
      </c>
      <c r="B2022" s="2427">
        <v>0</v>
      </c>
      <c r="C2022" s="2428">
        <v>1574500</v>
      </c>
      <c r="D2022" s="2429">
        <v>0</v>
      </c>
      <c r="E2022" s="2430">
        <v>0</v>
      </c>
      <c r="F2022" s="2427">
        <v>0</v>
      </c>
      <c r="G2022" s="2429">
        <v>0</v>
      </c>
      <c r="H2022" s="2430">
        <v>0</v>
      </c>
      <c r="I2022" s="2427">
        <v>0</v>
      </c>
      <c r="J2022" s="2431">
        <v>0</v>
      </c>
    </row>
    <row r="2023" spans="1:10" x14ac:dyDescent="0.2">
      <c r="A2023" s="2426" t="s">
        <v>427</v>
      </c>
      <c r="B2023" s="2427">
        <v>390</v>
      </c>
      <c r="C2023" s="2428">
        <v>2072000</v>
      </c>
      <c r="D2023" s="2429">
        <v>808.08</v>
      </c>
      <c r="E2023" s="2430">
        <v>2.7421277730294435</v>
      </c>
      <c r="F2023" s="2427">
        <v>2.2701961891904672</v>
      </c>
      <c r="G2023" s="2429">
        <v>2.8011502995870938E-2</v>
      </c>
      <c r="H2023" s="2430">
        <v>2.7197971631512816</v>
      </c>
      <c r="I2023" s="2427">
        <v>2.0686360582960481</v>
      </c>
      <c r="J2023" s="2431">
        <v>1.2504025054761753E-2</v>
      </c>
    </row>
    <row r="2024" spans="1:10" x14ac:dyDescent="0.2">
      <c r="A2024" s="2426" t="s">
        <v>428</v>
      </c>
      <c r="B2024" s="2427">
        <v>116</v>
      </c>
      <c r="C2024" s="2428">
        <v>1326280</v>
      </c>
      <c r="D2024" s="2429">
        <v>153.84848</v>
      </c>
      <c r="E2024" s="2430">
        <v>0.81560723505491139</v>
      </c>
      <c r="F2024" s="2427">
        <v>0.675237840887421</v>
      </c>
      <c r="G2024" s="2429">
        <v>8.3316265321052019E-3</v>
      </c>
      <c r="H2024" s="2430">
        <v>0.51781588389656552</v>
      </c>
      <c r="I2024" s="2427">
        <v>0.39384282897985151</v>
      </c>
      <c r="J2024" s="2431">
        <v>2.3806123757016779E-3</v>
      </c>
    </row>
    <row r="2025" spans="1:10" x14ac:dyDescent="0.2">
      <c r="A2025" s="2439" t="s">
        <v>92</v>
      </c>
      <c r="B2025" s="2427">
        <v>500</v>
      </c>
      <c r="C2025" s="2428">
        <v>2215500</v>
      </c>
      <c r="D2025" s="2429">
        <v>1107.75</v>
      </c>
      <c r="E2025" s="2430">
        <v>3.5155484269608253</v>
      </c>
      <c r="F2025" s="2427">
        <v>2.9105079348595733</v>
      </c>
      <c r="G2025" s="2429">
        <v>3.5912183328039665E-2</v>
      </c>
      <c r="H2025" s="2430">
        <v>3.7284121714197012</v>
      </c>
      <c r="I2025" s="2427">
        <v>2.8357731828252737</v>
      </c>
      <c r="J2025" s="2431">
        <v>1.7141042662127921E-2</v>
      </c>
    </row>
    <row r="2026" spans="1:10" x14ac:dyDescent="0.2">
      <c r="A2026" s="2433" t="s">
        <v>281</v>
      </c>
      <c r="B2026" s="2434">
        <v>1380.25</v>
      </c>
      <c r="C2026" s="2433"/>
      <c r="D2026" s="2435">
        <v>2757.0411050000002</v>
      </c>
      <c r="E2026" s="2436">
        <v>9.7046714326253589</v>
      </c>
      <c r="F2026" s="2434">
        <v>8.0344571541798508</v>
      </c>
      <c r="G2026" s="2435">
        <v>9.9135582077053502E-2</v>
      </c>
      <c r="H2026" s="2436">
        <v>9.2795175924048046</v>
      </c>
      <c r="I2026" s="2434">
        <v>7.0578589298180647</v>
      </c>
      <c r="J2026" s="2437">
        <v>4.2661755090991023E-2</v>
      </c>
    </row>
    <row r="2027" spans="1:10" x14ac:dyDescent="0.2">
      <c r="A2027" s="2440" t="s">
        <v>106</v>
      </c>
      <c r="B2027" s="2441">
        <v>2459.75</v>
      </c>
      <c r="C2027" s="2440"/>
      <c r="D2027" s="2442">
        <v>4572.2828300000001</v>
      </c>
      <c r="E2027" s="2443">
        <v>17.294740486433781</v>
      </c>
      <c r="F2027" s="2441">
        <v>14.31824378554167</v>
      </c>
      <c r="G2027" s="2442">
        <v>0.17666998588229113</v>
      </c>
      <c r="H2027" s="2443">
        <v>15.389171703493854</v>
      </c>
      <c r="I2027" s="2441">
        <v>11.704768254214807</v>
      </c>
      <c r="J2027" s="2444">
        <v>7.0750345341769327E-2</v>
      </c>
    </row>
    <row r="2028" spans="1:10" x14ac:dyDescent="0.2">
      <c r="A2028" s="2426" t="s">
        <v>905</v>
      </c>
      <c r="B2028" s="2427">
        <v>0</v>
      </c>
      <c r="C2028" s="2428">
        <v>6100000</v>
      </c>
      <c r="D2028" s="2429">
        <v>0</v>
      </c>
      <c r="E2028" s="2430">
        <v>0</v>
      </c>
      <c r="F2028" s="2427">
        <v>0</v>
      </c>
      <c r="G2028" s="2429">
        <v>0</v>
      </c>
      <c r="H2028" s="2430">
        <v>0</v>
      </c>
      <c r="I2028" s="2427">
        <v>0</v>
      </c>
      <c r="J2028" s="2431">
        <v>0</v>
      </c>
    </row>
    <row r="2029" spans="1:10" x14ac:dyDescent="0.2">
      <c r="A2029" s="2426" t="s">
        <v>906</v>
      </c>
      <c r="B2029" s="2427">
        <v>0</v>
      </c>
      <c r="C2029" s="2428">
        <v>3022000.0000000005</v>
      </c>
      <c r="D2029" s="2429">
        <v>0</v>
      </c>
      <c r="E2029" s="2430">
        <v>0</v>
      </c>
      <c r="F2029" s="2427">
        <v>0</v>
      </c>
      <c r="G2029" s="2429">
        <v>0</v>
      </c>
      <c r="H2029" s="2430">
        <v>0</v>
      </c>
      <c r="I2029" s="2427">
        <v>0</v>
      </c>
      <c r="J2029" s="2431">
        <v>0</v>
      </c>
    </row>
    <row r="2030" spans="1:10" x14ac:dyDescent="0.2">
      <c r="A2030" s="2426" t="s">
        <v>907</v>
      </c>
      <c r="B2030" s="2427">
        <v>0</v>
      </c>
      <c r="C2030" s="2428">
        <v>2324000</v>
      </c>
      <c r="D2030" s="2429">
        <v>0</v>
      </c>
      <c r="E2030" s="2430">
        <v>0</v>
      </c>
      <c r="F2030" s="2427">
        <v>0</v>
      </c>
      <c r="G2030" s="2429">
        <v>0</v>
      </c>
      <c r="H2030" s="2430">
        <v>0</v>
      </c>
      <c r="I2030" s="2427">
        <v>0</v>
      </c>
      <c r="J2030" s="2431">
        <v>0</v>
      </c>
    </row>
    <row r="2031" spans="1:10" x14ac:dyDescent="0.2">
      <c r="A2031" s="2439" t="s">
        <v>908</v>
      </c>
      <c r="B2031" s="2427">
        <v>96</v>
      </c>
      <c r="C2031" s="2428">
        <v>2403999.9999999995</v>
      </c>
      <c r="D2031" s="2429">
        <v>230.78399999999993</v>
      </c>
      <c r="E2031" s="2430">
        <v>0.67498529797647844</v>
      </c>
      <c r="F2031" s="2427">
        <v>0.55881752349303804</v>
      </c>
      <c r="G2031" s="2429">
        <v>6.8951391989836167E-3</v>
      </c>
      <c r="H2031" s="2430">
        <v>0.77676179153141423</v>
      </c>
      <c r="I2031" s="2427">
        <v>0.59079311958939096</v>
      </c>
      <c r="J2031" s="2431">
        <v>3.5710931074127996E-3</v>
      </c>
    </row>
    <row r="2032" spans="1:10" x14ac:dyDescent="0.2">
      <c r="A2032" s="2440" t="s">
        <v>282</v>
      </c>
      <c r="B2032" s="2441">
        <v>96</v>
      </c>
      <c r="C2032" s="2440"/>
      <c r="D2032" s="2442">
        <v>230.78399999999993</v>
      </c>
      <c r="E2032" s="2443">
        <v>0.67498529797647844</v>
      </c>
      <c r="F2032" s="2441">
        <v>0.55881752349303804</v>
      </c>
      <c r="G2032" s="2442">
        <v>6.8951391989836167E-3</v>
      </c>
      <c r="H2032" s="2443">
        <v>0.77676179153141423</v>
      </c>
      <c r="I2032" s="2441">
        <v>0.59079311958939096</v>
      </c>
      <c r="J2032" s="2444">
        <v>3.5710931074127996E-3</v>
      </c>
    </row>
    <row r="2033" spans="1:10" x14ac:dyDescent="0.2">
      <c r="A2033" s="2426" t="s">
        <v>955</v>
      </c>
      <c r="B2033" s="2427">
        <v>3.5999999999999996</v>
      </c>
      <c r="C2033" s="2428">
        <v>12137000</v>
      </c>
      <c r="D2033" s="2429">
        <v>43.69319999999999</v>
      </c>
      <c r="E2033" s="2430">
        <v>2.5311948674117943E-2</v>
      </c>
      <c r="F2033" s="2427">
        <v>2.0955657130988924E-2</v>
      </c>
      <c r="G2033" s="2429">
        <v>2.5856771996188554E-4</v>
      </c>
      <c r="H2033" s="2430">
        <v>0.14706049080413022</v>
      </c>
      <c r="I2033" s="2427">
        <v>0.11185195651710336</v>
      </c>
      <c r="J2033" s="2431">
        <v>6.7609749965686066E-4</v>
      </c>
    </row>
    <row r="2034" spans="1:10" x14ac:dyDescent="0.2">
      <c r="A2034" s="2426" t="s">
        <v>283</v>
      </c>
      <c r="B2034" s="2427">
        <v>48.988133958912407</v>
      </c>
      <c r="C2034" s="2428">
        <v>13024549.999999996</v>
      </c>
      <c r="D2034" s="2429">
        <v>638.0484001545525</v>
      </c>
      <c r="E2034" s="2430">
        <v>0.34444031455800139</v>
      </c>
      <c r="F2034" s="2427">
        <v>0.28516070520275655</v>
      </c>
      <c r="G2034" s="2429">
        <v>3.5185416952620559E-3</v>
      </c>
      <c r="H2034" s="2430">
        <v>2.147512905521193</v>
      </c>
      <c r="I2034" s="2427">
        <v>1.6333654186439623</v>
      </c>
      <c r="J2034" s="2431">
        <v>9.8729991853321146E-3</v>
      </c>
    </row>
    <row r="2035" spans="1:10" x14ac:dyDescent="0.2">
      <c r="A2035" s="2426" t="s">
        <v>69</v>
      </c>
      <c r="B2035" s="2427">
        <v>38.693866041087581</v>
      </c>
      <c r="C2035" s="2428">
        <v>14978232.499999994</v>
      </c>
      <c r="D2035" s="2429">
        <v>579.56572188726409</v>
      </c>
      <c r="E2035" s="2430">
        <v>0.27206031978755668</v>
      </c>
      <c r="F2035" s="2427">
        <v>0.22523760828595754</v>
      </c>
      <c r="G2035" s="2429">
        <v>2.7791624218762912E-3</v>
      </c>
      <c r="H2035" s="2430">
        <v>1.9506746934074664</v>
      </c>
      <c r="I2035" s="2427">
        <v>1.4836532898331523</v>
      </c>
      <c r="J2035" s="2431">
        <v>8.9680530484103436E-3</v>
      </c>
    </row>
    <row r="2036" spans="1:10" x14ac:dyDescent="0.2">
      <c r="A2036" s="2426" t="s">
        <v>199</v>
      </c>
      <c r="B2036" s="2427">
        <v>184</v>
      </c>
      <c r="C2036" s="2428">
        <v>3000000</v>
      </c>
      <c r="D2036" s="2429">
        <v>552</v>
      </c>
      <c r="E2036" s="2430">
        <v>1.2937218211215837</v>
      </c>
      <c r="F2036" s="2427">
        <v>1.0710669200283229</v>
      </c>
      <c r="G2036" s="2429">
        <v>1.3215683464718598E-2</v>
      </c>
      <c r="H2036" s="2430">
        <v>1.8578953000439404</v>
      </c>
      <c r="I2036" s="2427">
        <v>1.413086704508735</v>
      </c>
      <c r="J2036" s="2431">
        <v>8.5415080564158075E-3</v>
      </c>
    </row>
    <row r="2037" spans="1:10" x14ac:dyDescent="0.2">
      <c r="A2037" s="2426" t="s">
        <v>86</v>
      </c>
      <c r="B2037" s="2427">
        <v>230</v>
      </c>
      <c r="C2037" s="2428">
        <v>170000</v>
      </c>
      <c r="D2037" s="2429">
        <v>39.1</v>
      </c>
      <c r="E2037" s="2430">
        <v>1.6171522764019797</v>
      </c>
      <c r="F2037" s="2427">
        <v>1.3388336500354037</v>
      </c>
      <c r="G2037" s="2429">
        <v>1.6519604330898247E-2</v>
      </c>
      <c r="H2037" s="2430">
        <v>0.13160091708644578</v>
      </c>
      <c r="I2037" s="2427">
        <v>0.10009364156936874</v>
      </c>
      <c r="J2037" s="2431">
        <v>6.0502348732945316E-4</v>
      </c>
    </row>
    <row r="2038" spans="1:10" x14ac:dyDescent="0.2">
      <c r="A2038" s="2439" t="s">
        <v>213</v>
      </c>
      <c r="B2038" s="2427">
        <v>1247.5</v>
      </c>
      <c r="C2038" s="2428">
        <v>1850000.0000000005</v>
      </c>
      <c r="D2038" s="2429">
        <v>2307.8750000000005</v>
      </c>
      <c r="E2038" s="2430">
        <v>8.7712933252672602</v>
      </c>
      <c r="F2038" s="2427">
        <v>7.2617172974746342</v>
      </c>
      <c r="G2038" s="2429">
        <v>8.9600897403458959E-2</v>
      </c>
      <c r="H2038" s="2430">
        <v>7.7677357166465759</v>
      </c>
      <c r="I2038" s="2427">
        <v>5.9080207937827849</v>
      </c>
      <c r="J2038" s="2431">
        <v>3.5711472655254782E-2</v>
      </c>
    </row>
    <row r="2039" spans="1:10" x14ac:dyDescent="0.2">
      <c r="A2039" s="2433" t="s">
        <v>1834</v>
      </c>
      <c r="B2039" s="2434">
        <v>1752.7819999999999</v>
      </c>
      <c r="C2039" s="2433"/>
      <c r="D2039" s="2435">
        <v>4160.2823220418168</v>
      </c>
      <c r="E2039" s="2436">
        <v>12.323980005810499</v>
      </c>
      <c r="F2039" s="2434">
        <v>10.202971838158064</v>
      </c>
      <c r="G2039" s="2435">
        <v>0.12589245703617605</v>
      </c>
      <c r="H2039" s="2436">
        <v>14.002480023509751</v>
      </c>
      <c r="I2039" s="2434">
        <v>10.650071804855106</v>
      </c>
      <c r="J2039" s="2437">
        <v>6.4375153932399343E-2</v>
      </c>
    </row>
    <row r="2040" spans="1:10" x14ac:dyDescent="0.2">
      <c r="A2040" s="2426" t="s">
        <v>961</v>
      </c>
      <c r="B2040" s="2427">
        <v>182</v>
      </c>
      <c r="C2040" s="2428">
        <v>3668000</v>
      </c>
      <c r="D2040" s="2429">
        <v>667.57600000000002</v>
      </c>
      <c r="E2040" s="2430">
        <v>1.2796596274137404</v>
      </c>
      <c r="F2040" s="2427">
        <v>1.0594248882888846</v>
      </c>
      <c r="G2040" s="2429">
        <v>1.3072034731406439E-2</v>
      </c>
      <c r="H2040" s="2430">
        <v>2.2468954942429957</v>
      </c>
      <c r="I2040" s="2427">
        <v>1.7089542932049335</v>
      </c>
      <c r="J2040" s="2431">
        <v>1.0329901779474347E-2</v>
      </c>
    </row>
    <row r="2041" spans="1:10" x14ac:dyDescent="0.2">
      <c r="A2041" s="2426" t="s">
        <v>962</v>
      </c>
      <c r="B2041" s="2427">
        <v>196</v>
      </c>
      <c r="C2041" s="2428">
        <v>1999999.9999999998</v>
      </c>
      <c r="D2041" s="2429">
        <v>391.99999999999994</v>
      </c>
      <c r="E2041" s="2430">
        <v>1.3780949833686436</v>
      </c>
      <c r="F2041" s="2427">
        <v>1.1409191104649525</v>
      </c>
      <c r="G2041" s="2429">
        <v>1.4077575864591548E-2</v>
      </c>
      <c r="H2041" s="2430">
        <v>1.3193749232196097</v>
      </c>
      <c r="I2041" s="2427">
        <v>1.0034963553757681</v>
      </c>
      <c r="J2041" s="2431">
        <v>6.0657086197735436E-3</v>
      </c>
    </row>
    <row r="2042" spans="1:10" x14ac:dyDescent="0.2">
      <c r="A2042" s="2426" t="s">
        <v>963</v>
      </c>
      <c r="B2042" s="2427">
        <v>0</v>
      </c>
      <c r="C2042" s="2428">
        <v>1347999.9999999998</v>
      </c>
      <c r="D2042" s="2429">
        <v>0</v>
      </c>
      <c r="E2042" s="2430">
        <v>0</v>
      </c>
      <c r="F2042" s="2427">
        <v>0</v>
      </c>
      <c r="G2042" s="2429">
        <v>0</v>
      </c>
      <c r="H2042" s="2430">
        <v>0</v>
      </c>
      <c r="I2042" s="2427">
        <v>0</v>
      </c>
      <c r="J2042" s="2431">
        <v>0</v>
      </c>
    </row>
    <row r="2043" spans="1:10" x14ac:dyDescent="0.2">
      <c r="A2043" s="2426" t="s">
        <v>965</v>
      </c>
      <c r="B2043" s="2427">
        <v>2238</v>
      </c>
      <c r="C2043" s="2428">
        <v>1599999.9999999995</v>
      </c>
      <c r="D2043" s="2429">
        <v>3580.7999999999993</v>
      </c>
      <c r="E2043" s="2430">
        <v>15.735594759076655</v>
      </c>
      <c r="F2043" s="2427">
        <v>13.027433516431449</v>
      </c>
      <c r="G2043" s="2429">
        <v>0.16074293257630554</v>
      </c>
      <c r="H2043" s="2430">
        <v>12.052086033328516</v>
      </c>
      <c r="I2043" s="2427">
        <v>9.1666320135957928</v>
      </c>
      <c r="J2043" s="2431">
        <v>5.5408391392053835E-2</v>
      </c>
    </row>
    <row r="2044" spans="1:10" x14ac:dyDescent="0.2">
      <c r="A2044" s="2426" t="s">
        <v>966</v>
      </c>
      <c r="B2044" s="2427">
        <v>35</v>
      </c>
      <c r="C2044" s="2428">
        <v>2244000</v>
      </c>
      <c r="D2044" s="2429">
        <v>78.540000000000006</v>
      </c>
      <c r="E2044" s="2430">
        <v>0.24608838988725781</v>
      </c>
      <c r="F2044" s="2427">
        <v>0.20373555544017011</v>
      </c>
      <c r="G2044" s="2429">
        <v>2.5138528329627769E-3</v>
      </c>
      <c r="H2044" s="2430">
        <v>0.26434618997364329</v>
      </c>
      <c r="I2044" s="2427">
        <v>0.20105766263064503</v>
      </c>
      <c r="J2044" s="2431">
        <v>1.2153080484617709E-3</v>
      </c>
    </row>
    <row r="2045" spans="1:10" x14ac:dyDescent="0.2">
      <c r="A2045" s="2426" t="s">
        <v>1499</v>
      </c>
      <c r="B2045" s="2427">
        <v>0</v>
      </c>
      <c r="C2045" s="2428">
        <v>4849999.9999999991</v>
      </c>
      <c r="D2045" s="2429">
        <v>0</v>
      </c>
      <c r="E2045" s="2430">
        <v>0</v>
      </c>
      <c r="F2045" s="2427">
        <v>0</v>
      </c>
      <c r="G2045" s="2429">
        <v>0</v>
      </c>
      <c r="H2045" s="2430">
        <v>0</v>
      </c>
      <c r="I2045" s="2427">
        <v>0</v>
      </c>
      <c r="J2045" s="2431">
        <v>0</v>
      </c>
    </row>
    <row r="2046" spans="1:10" x14ac:dyDescent="0.2">
      <c r="A2046" s="2426" t="s">
        <v>1575</v>
      </c>
      <c r="B2046" s="2427">
        <v>0</v>
      </c>
      <c r="C2046" s="2428">
        <v>2250000.0000000005</v>
      </c>
      <c r="D2046" s="2429">
        <v>0</v>
      </c>
      <c r="E2046" s="2430">
        <v>0</v>
      </c>
      <c r="F2046" s="2427">
        <v>0</v>
      </c>
      <c r="G2046" s="2429">
        <v>0</v>
      </c>
      <c r="H2046" s="2430">
        <v>0</v>
      </c>
      <c r="I2046" s="2427">
        <v>0</v>
      </c>
      <c r="J2046" s="2431">
        <v>0</v>
      </c>
    </row>
    <row r="2047" spans="1:10" x14ac:dyDescent="0.2">
      <c r="A2047" s="2426" t="s">
        <v>964</v>
      </c>
      <c r="B2047" s="2427">
        <v>0</v>
      </c>
      <c r="C2047" s="2428">
        <v>1556000</v>
      </c>
      <c r="D2047" s="2429">
        <v>0</v>
      </c>
      <c r="E2047" s="2430">
        <v>0</v>
      </c>
      <c r="F2047" s="2427">
        <v>0</v>
      </c>
      <c r="G2047" s="2429">
        <v>0</v>
      </c>
      <c r="H2047" s="2430">
        <v>0</v>
      </c>
      <c r="I2047" s="2427">
        <v>0</v>
      </c>
      <c r="J2047" s="2431">
        <v>0</v>
      </c>
    </row>
    <row r="2048" spans="1:10" x14ac:dyDescent="0.2">
      <c r="A2048" s="2426" t="s">
        <v>969</v>
      </c>
      <c r="B2048" s="2427">
        <v>30</v>
      </c>
      <c r="C2048" s="2428">
        <v>4800000</v>
      </c>
      <c r="D2048" s="2429">
        <v>144</v>
      </c>
      <c r="E2048" s="2430">
        <v>0.21093290561764955</v>
      </c>
      <c r="F2048" s="2427">
        <v>0.17463047609157437</v>
      </c>
      <c r="G2048" s="2429">
        <v>2.1547309996823799E-3</v>
      </c>
      <c r="H2048" s="2430">
        <v>0.48466833914189755</v>
      </c>
      <c r="I2048" s="2427">
        <v>0.36863131421966999</v>
      </c>
      <c r="J2048" s="2431">
        <v>2.2282194929780369E-3</v>
      </c>
    </row>
    <row r="2049" spans="1:10" x14ac:dyDescent="0.2">
      <c r="A2049" s="2426" t="s">
        <v>968</v>
      </c>
      <c r="B2049" s="2427">
        <v>529</v>
      </c>
      <c r="C2049" s="2428">
        <v>3050000.0000000009</v>
      </c>
      <c r="D2049" s="2429">
        <v>1613.4500000000005</v>
      </c>
      <c r="E2049" s="2430">
        <v>3.7194502357245538</v>
      </c>
      <c r="F2049" s="2427">
        <v>3.0793173950814281</v>
      </c>
      <c r="G2049" s="2429">
        <v>3.7995089961065966E-2</v>
      </c>
      <c r="H2049" s="2430">
        <v>5.430473137420103</v>
      </c>
      <c r="I2049" s="2427">
        <v>4.1303346800536582</v>
      </c>
      <c r="J2049" s="2431">
        <v>2.496611625656538E-2</v>
      </c>
    </row>
    <row r="2050" spans="1:10" x14ac:dyDescent="0.2">
      <c r="A2050" s="2426" t="s">
        <v>1013</v>
      </c>
      <c r="B2050" s="2427">
        <v>0</v>
      </c>
      <c r="C2050" s="2428">
        <v>1799999.9999999998</v>
      </c>
      <c r="D2050" s="2429">
        <v>0</v>
      </c>
      <c r="E2050" s="2430">
        <v>0</v>
      </c>
      <c r="F2050" s="2427">
        <v>0</v>
      </c>
      <c r="G2050" s="2429">
        <v>0</v>
      </c>
      <c r="H2050" s="2430">
        <v>0</v>
      </c>
      <c r="I2050" s="2427">
        <v>0</v>
      </c>
      <c r="J2050" s="2431">
        <v>0</v>
      </c>
    </row>
    <row r="2051" spans="1:10" x14ac:dyDescent="0.2">
      <c r="A2051" s="2426" t="s">
        <v>1014</v>
      </c>
      <c r="B2051" s="2427">
        <v>0</v>
      </c>
      <c r="C2051" s="2428">
        <v>2195000.0000000005</v>
      </c>
      <c r="D2051" s="2429">
        <v>0</v>
      </c>
      <c r="E2051" s="2430">
        <v>0</v>
      </c>
      <c r="F2051" s="2427">
        <v>0</v>
      </c>
      <c r="G2051" s="2429">
        <v>0</v>
      </c>
      <c r="H2051" s="2430">
        <v>0</v>
      </c>
      <c r="I2051" s="2427">
        <v>0</v>
      </c>
      <c r="J2051" s="2431">
        <v>0</v>
      </c>
    </row>
    <row r="2052" spans="1:10" x14ac:dyDescent="0.2">
      <c r="A2052" s="2426" t="s">
        <v>970</v>
      </c>
      <c r="B2052" s="2427">
        <v>60</v>
      </c>
      <c r="C2052" s="2428">
        <v>3100000.0000000005</v>
      </c>
      <c r="D2052" s="2429">
        <v>186.00000000000003</v>
      </c>
      <c r="E2052" s="2430">
        <v>0.42186581123529909</v>
      </c>
      <c r="F2052" s="2427">
        <v>0.34926095218314873</v>
      </c>
      <c r="G2052" s="2429">
        <v>4.3094619993647599E-3</v>
      </c>
      <c r="H2052" s="2430">
        <v>0.62602993805828444</v>
      </c>
      <c r="I2052" s="2427">
        <v>0.4761487808670738</v>
      </c>
      <c r="J2052" s="2431">
        <v>2.8781168450966316E-3</v>
      </c>
    </row>
    <row r="2053" spans="1:10" x14ac:dyDescent="0.2">
      <c r="A2053" s="2426" t="s">
        <v>971</v>
      </c>
      <c r="B2053" s="2427">
        <v>288</v>
      </c>
      <c r="C2053" s="2428">
        <v>3010000</v>
      </c>
      <c r="D2053" s="2429">
        <v>866.88</v>
      </c>
      <c r="E2053" s="2430">
        <v>2.0249558939294356</v>
      </c>
      <c r="F2053" s="2427">
        <v>1.676452570479114</v>
      </c>
      <c r="G2053" s="2429">
        <v>2.0685417596950847E-2</v>
      </c>
      <c r="H2053" s="2430">
        <v>2.9177034016342231</v>
      </c>
      <c r="I2053" s="2427">
        <v>2.2191605116024133</v>
      </c>
      <c r="J2053" s="2431">
        <v>1.3413881347727781E-2</v>
      </c>
    </row>
    <row r="2054" spans="1:10" x14ac:dyDescent="0.2">
      <c r="A2054" s="2426" t="s">
        <v>972</v>
      </c>
      <c r="B2054" s="2427">
        <v>1275</v>
      </c>
      <c r="C2054" s="2428">
        <v>2744000.0000000005</v>
      </c>
      <c r="D2054" s="2429">
        <v>3498.6000000000004</v>
      </c>
      <c r="E2054" s="2430">
        <v>8.9646484887501039</v>
      </c>
      <c r="F2054" s="2427">
        <v>7.4217952338919115</v>
      </c>
      <c r="G2054" s="2429">
        <v>9.1576067486501142E-2</v>
      </c>
      <c r="H2054" s="2430">
        <v>11.775421189735019</v>
      </c>
      <c r="I2054" s="2427">
        <v>8.9562049717287326</v>
      </c>
      <c r="J2054" s="2431">
        <v>5.413644943147889E-2</v>
      </c>
    </row>
    <row r="2055" spans="1:10" x14ac:dyDescent="0.2">
      <c r="A2055" s="2426" t="s">
        <v>973</v>
      </c>
      <c r="B2055" s="2427">
        <v>15</v>
      </c>
      <c r="C2055" s="2428">
        <v>2549999.9999999991</v>
      </c>
      <c r="D2055" s="2429">
        <v>38.249999999999986</v>
      </c>
      <c r="E2055" s="2430">
        <v>0.10546645280882477</v>
      </c>
      <c r="F2055" s="2427">
        <v>8.7315238045787183E-2</v>
      </c>
      <c r="G2055" s="2429">
        <v>1.07736549984119E-3</v>
      </c>
      <c r="H2055" s="2430">
        <v>0.12874002758456649</v>
      </c>
      <c r="I2055" s="2427">
        <v>9.7917692839599807E-2</v>
      </c>
      <c r="J2055" s="2431">
        <v>5.9187080282229083E-4</v>
      </c>
    </row>
    <row r="2056" spans="1:10" x14ac:dyDescent="0.2">
      <c r="A2056" s="2426" t="s">
        <v>974</v>
      </c>
      <c r="B2056" s="2427">
        <v>221</v>
      </c>
      <c r="C2056" s="2428">
        <v>1583999.9999999995</v>
      </c>
      <c r="D2056" s="2429">
        <v>350.06399999999991</v>
      </c>
      <c r="E2056" s="2430">
        <v>1.553872404716685</v>
      </c>
      <c r="F2056" s="2427">
        <v>1.2864445072079314</v>
      </c>
      <c r="G2056" s="2429">
        <v>1.5873185030993532E-2</v>
      </c>
      <c r="H2056" s="2430">
        <v>1.1782287324539527</v>
      </c>
      <c r="I2056" s="2427">
        <v>0.89614272486801749</v>
      </c>
      <c r="J2056" s="2431">
        <v>5.4168015874296056E-3</v>
      </c>
    </row>
    <row r="2057" spans="1:10" x14ac:dyDescent="0.2">
      <c r="A2057" s="2426" t="s">
        <v>975</v>
      </c>
      <c r="B2057" s="2427">
        <v>540</v>
      </c>
      <c r="C2057" s="2428">
        <v>2532000.0000000009</v>
      </c>
      <c r="D2057" s="2429">
        <v>1367.2800000000004</v>
      </c>
      <c r="E2057" s="2430">
        <v>3.7967923011176916</v>
      </c>
      <c r="F2057" s="2427">
        <v>3.1433485696483388</v>
      </c>
      <c r="G2057" s="2429">
        <v>3.8785157994282837E-2</v>
      </c>
      <c r="H2057" s="2430">
        <v>4.6019258801523177</v>
      </c>
      <c r="I2057" s="2427">
        <v>3.5001543285157677</v>
      </c>
      <c r="J2057" s="2431">
        <v>2.1156944085826464E-2</v>
      </c>
    </row>
    <row r="2058" spans="1:10" x14ac:dyDescent="0.2">
      <c r="A2058" s="2426" t="s">
        <v>976</v>
      </c>
      <c r="B2058" s="2427">
        <v>0</v>
      </c>
      <c r="C2058" s="2428">
        <v>7394999.9999999991</v>
      </c>
      <c r="D2058" s="2429">
        <v>0</v>
      </c>
      <c r="E2058" s="2430">
        <v>0</v>
      </c>
      <c r="F2058" s="2427">
        <v>0</v>
      </c>
      <c r="G2058" s="2429">
        <v>0</v>
      </c>
      <c r="H2058" s="2430">
        <v>0</v>
      </c>
      <c r="I2058" s="2427">
        <v>0</v>
      </c>
      <c r="J2058" s="2431">
        <v>0</v>
      </c>
    </row>
    <row r="2059" spans="1:10" x14ac:dyDescent="0.2">
      <c r="A2059" s="2426" t="s">
        <v>286</v>
      </c>
      <c r="B2059" s="2427">
        <v>0</v>
      </c>
      <c r="C2059" s="2428">
        <v>2445000.0000000005</v>
      </c>
      <c r="D2059" s="2429">
        <v>0</v>
      </c>
      <c r="E2059" s="2430">
        <v>0</v>
      </c>
      <c r="F2059" s="2427">
        <v>0</v>
      </c>
      <c r="G2059" s="2429">
        <v>0</v>
      </c>
      <c r="H2059" s="2430">
        <v>0</v>
      </c>
      <c r="I2059" s="2427">
        <v>0</v>
      </c>
      <c r="J2059" s="2431">
        <v>0</v>
      </c>
    </row>
    <row r="2060" spans="1:10" x14ac:dyDescent="0.2">
      <c r="A2060" s="2439" t="s">
        <v>978</v>
      </c>
      <c r="B2060" s="2427">
        <v>4305</v>
      </c>
      <c r="C2060" s="2428">
        <v>1850000.0000000002</v>
      </c>
      <c r="D2060" s="2429">
        <v>7964.2500000000009</v>
      </c>
      <c r="E2060" s="2430">
        <v>30.26887195613271</v>
      </c>
      <c r="F2060" s="2427">
        <v>25.059473319140924</v>
      </c>
      <c r="G2060" s="2429">
        <v>0.30920389845442153</v>
      </c>
      <c r="H2060" s="2430">
        <v>26.805693194519847</v>
      </c>
      <c r="I2060" s="2427">
        <v>20.387999613013939</v>
      </c>
      <c r="J2060" s="2431">
        <v>0.12323678539548841</v>
      </c>
    </row>
    <row r="2061" spans="1:10" x14ac:dyDescent="0.2">
      <c r="A2061" s="2426" t="s">
        <v>1163</v>
      </c>
      <c r="B2061" s="2427">
        <v>0</v>
      </c>
      <c r="C2061" s="2428">
        <v>0</v>
      </c>
      <c r="D2061" s="2429">
        <v>0</v>
      </c>
      <c r="E2061" s="2430">
        <v>0</v>
      </c>
      <c r="F2061" s="2427">
        <v>0</v>
      </c>
      <c r="G2061" s="2429">
        <v>0</v>
      </c>
      <c r="H2061" s="2430">
        <v>0</v>
      </c>
      <c r="I2061" s="2427">
        <v>0</v>
      </c>
      <c r="J2061" s="2431">
        <v>0</v>
      </c>
    </row>
    <row r="2062" spans="1:10" x14ac:dyDescent="0.2">
      <c r="A2062" s="2433" t="s">
        <v>287</v>
      </c>
      <c r="B2062" s="2434">
        <v>9914</v>
      </c>
      <c r="C2062" s="2433"/>
      <c r="D2062" s="2435">
        <v>20747.690000000002</v>
      </c>
      <c r="E2062" s="2436">
        <v>69.706294209779259</v>
      </c>
      <c r="F2062" s="2434">
        <v>57.709551332395613</v>
      </c>
      <c r="G2062" s="2435">
        <v>0.71206677102837046</v>
      </c>
      <c r="H2062" s="2436">
        <v>69.831586481464981</v>
      </c>
      <c r="I2062" s="2434">
        <v>53.112834942516017</v>
      </c>
      <c r="J2062" s="2437">
        <v>0.32104449508517702</v>
      </c>
    </row>
    <row r="2063" spans="1:10" x14ac:dyDescent="0.2">
      <c r="A2063" s="2440" t="s">
        <v>1835</v>
      </c>
      <c r="B2063" s="2441">
        <v>11666.781999999999</v>
      </c>
      <c r="C2063" s="2440"/>
      <c r="D2063" s="2442">
        <v>24907.97232204182</v>
      </c>
      <c r="E2063" s="2443">
        <v>82.030274215589742</v>
      </c>
      <c r="F2063" s="2441">
        <v>67.912523170553669</v>
      </c>
      <c r="G2063" s="2442">
        <v>0.83795922806454648</v>
      </c>
      <c r="H2063" s="2443">
        <v>83.834066504974743</v>
      </c>
      <c r="I2063" s="2441">
        <v>63.762906747371119</v>
      </c>
      <c r="J2063" s="2444">
        <v>0.38541964901757642</v>
      </c>
    </row>
    <row r="2064" spans="1:10" x14ac:dyDescent="0.2">
      <c r="A2064" s="2445" t="s">
        <v>194</v>
      </c>
      <c r="B2064" s="2446">
        <v>14222.531999999999</v>
      </c>
      <c r="C2064" s="2447"/>
      <c r="D2064" s="2448">
        <v>29711.03915204182</v>
      </c>
      <c r="E2064" s="2449">
        <v>100</v>
      </c>
      <c r="F2064" s="2446">
        <v>82.789584479588385</v>
      </c>
      <c r="G2064" s="2448">
        <v>1.0215243531458214</v>
      </c>
      <c r="H2064" s="2449">
        <v>100.00000000000001</v>
      </c>
      <c r="I2064" s="2446">
        <v>76.058468121175309</v>
      </c>
      <c r="J2064" s="2450">
        <v>0.45974108746675857</v>
      </c>
    </row>
    <row r="2065" spans="1:10" x14ac:dyDescent="0.2">
      <c r="A2065" s="2451" t="s">
        <v>1852</v>
      </c>
      <c r="B2065" s="2427"/>
      <c r="C2065" s="2452"/>
      <c r="D2065" s="2429"/>
      <c r="E2065" s="2430"/>
      <c r="F2065" s="2427">
        <v>0</v>
      </c>
      <c r="G2065" s="2429"/>
      <c r="H2065" s="2430"/>
      <c r="I2065" s="2427">
        <v>0</v>
      </c>
      <c r="J2065" s="2431">
        <v>0</v>
      </c>
    </row>
    <row r="2066" spans="1:10" x14ac:dyDescent="0.2">
      <c r="A2066" s="2453" t="s">
        <v>1836</v>
      </c>
      <c r="B2066" s="2427">
        <v>0</v>
      </c>
      <c r="C2066" s="2428">
        <v>8033612.4975057133</v>
      </c>
      <c r="D2066" s="2429">
        <v>0</v>
      </c>
      <c r="E2066" s="2430">
        <v>0</v>
      </c>
      <c r="F2066" s="2427">
        <v>0</v>
      </c>
      <c r="G2066" s="2429">
        <v>0</v>
      </c>
      <c r="H2066" s="2430">
        <v>0</v>
      </c>
      <c r="I2066" s="2427">
        <v>0</v>
      </c>
      <c r="J2066" s="2431">
        <v>0</v>
      </c>
    </row>
    <row r="2067" spans="1:10" x14ac:dyDescent="0.2">
      <c r="A2067" s="2453" t="s">
        <v>1837</v>
      </c>
      <c r="B2067" s="2427">
        <v>2611.21</v>
      </c>
      <c r="C2067" s="2428">
        <v>2214764.1578067578</v>
      </c>
      <c r="D2067" s="2429">
        <v>5783.2143165065845</v>
      </c>
      <c r="E2067" s="2430">
        <v>92.4387567261399</v>
      </c>
      <c r="F2067" s="2427">
        <v>15.199894849169333</v>
      </c>
      <c r="G2067" s="2429">
        <v>0.18754850445602092</v>
      </c>
      <c r="H2067" s="2430">
        <v>74.966664604126308</v>
      </c>
      <c r="I2067" s="2427">
        <v>14.804679818804395</v>
      </c>
      <c r="J2067" s="2431">
        <v>8.9487992167427949E-2</v>
      </c>
    </row>
    <row r="2068" spans="1:10" x14ac:dyDescent="0.2">
      <c r="A2068" s="2454" t="s">
        <v>309</v>
      </c>
      <c r="B2068" s="2434">
        <v>2611.21</v>
      </c>
      <c r="C2068" s="2433"/>
      <c r="D2068" s="2435">
        <v>5783.2143165065845</v>
      </c>
      <c r="E2068" s="2436">
        <v>92.4387567261399</v>
      </c>
      <c r="F2068" s="2434">
        <v>15.199894849169333</v>
      </c>
      <c r="G2068" s="2435">
        <v>0.18754850445602092</v>
      </c>
      <c r="H2068" s="2436">
        <v>74.966664604126308</v>
      </c>
      <c r="I2068" s="2434">
        <v>14.804679818804395</v>
      </c>
      <c r="J2068" s="2437">
        <v>8.9487992167427949E-2</v>
      </c>
    </row>
    <row r="2069" spans="1:10" x14ac:dyDescent="0.2">
      <c r="A2069" s="2453" t="s">
        <v>1838</v>
      </c>
      <c r="B2069" s="2427">
        <v>0</v>
      </c>
      <c r="C2069" s="2428">
        <v>10407427.50198495</v>
      </c>
      <c r="D2069" s="2429">
        <v>0</v>
      </c>
      <c r="E2069" s="2430">
        <v>0</v>
      </c>
      <c r="F2069" s="2427">
        <v>0</v>
      </c>
      <c r="G2069" s="2429">
        <v>0</v>
      </c>
      <c r="H2069" s="2430">
        <v>0</v>
      </c>
      <c r="I2069" s="2427">
        <v>0</v>
      </c>
      <c r="J2069" s="2431">
        <v>0</v>
      </c>
    </row>
    <row r="2070" spans="1:10" x14ac:dyDescent="0.2">
      <c r="A2070" s="2454" t="s">
        <v>315</v>
      </c>
      <c r="B2070" s="2434">
        <v>0</v>
      </c>
      <c r="C2070" s="2455"/>
      <c r="D2070" s="2435">
        <v>0</v>
      </c>
      <c r="E2070" s="2436">
        <v>0</v>
      </c>
      <c r="F2070" s="2434">
        <v>0</v>
      </c>
      <c r="G2070" s="2435">
        <v>0</v>
      </c>
      <c r="H2070" s="2436">
        <v>0</v>
      </c>
      <c r="I2070" s="2434">
        <v>0</v>
      </c>
      <c r="J2070" s="2437">
        <v>0</v>
      </c>
    </row>
    <row r="2071" spans="1:10" x14ac:dyDescent="0.2">
      <c r="A2071" s="2453" t="s">
        <v>1541</v>
      </c>
      <c r="B2071" s="2427">
        <v>118.8</v>
      </c>
      <c r="C2071" s="2428">
        <v>10553660</v>
      </c>
      <c r="D2071" s="2429">
        <v>1253.7748079999999</v>
      </c>
      <c r="E2071" s="2430">
        <v>4.2056074766355138</v>
      </c>
      <c r="F2071" s="2427">
        <v>0.69153668532263457</v>
      </c>
      <c r="G2071" s="2429">
        <v>8.5327347587422237E-3</v>
      </c>
      <c r="H2071" s="2430">
        <v>16.252435129745521</v>
      </c>
      <c r="I2071" s="2427">
        <v>3.2095878833927385</v>
      </c>
      <c r="J2071" s="2431">
        <v>1.9400593520766635E-2</v>
      </c>
    </row>
    <row r="2072" spans="1:10" x14ac:dyDescent="0.2">
      <c r="A2072" s="2453" t="s">
        <v>206</v>
      </c>
      <c r="B2072" s="2427">
        <v>94.25</v>
      </c>
      <c r="C2072" s="2428">
        <v>6960000</v>
      </c>
      <c r="D2072" s="2429">
        <v>655.98</v>
      </c>
      <c r="E2072" s="2430">
        <v>3.3365193996035116</v>
      </c>
      <c r="F2072" s="2427">
        <v>0.54863074572102954</v>
      </c>
      <c r="G2072" s="2429">
        <v>6.7694465573354765E-3</v>
      </c>
      <c r="H2072" s="2430">
        <v>8.503339139041362</v>
      </c>
      <c r="I2072" s="2427">
        <v>1.6792692326515219</v>
      </c>
      <c r="J2072" s="2431">
        <v>1.01504682153037E-2</v>
      </c>
    </row>
    <row r="2073" spans="1:10" x14ac:dyDescent="0.2">
      <c r="A2073" s="2454" t="s">
        <v>310</v>
      </c>
      <c r="B2073" s="2434">
        <v>213.05</v>
      </c>
      <c r="C2073" s="2455"/>
      <c r="D2073" s="2435">
        <v>1909.7548079999999</v>
      </c>
      <c r="E2073" s="2436">
        <v>7.5421268762390259</v>
      </c>
      <c r="F2073" s="2434">
        <v>1.2401674310436641</v>
      </c>
      <c r="G2073" s="2435">
        <v>1.5302181316077704E-2</v>
      </c>
      <c r="H2073" s="2436">
        <v>24.755774268786883</v>
      </c>
      <c r="I2073" s="2434">
        <v>4.8888571160442602</v>
      </c>
      <c r="J2073" s="2437">
        <v>2.9551061736070333E-2</v>
      </c>
    </row>
    <row r="2074" spans="1:10" x14ac:dyDescent="0.2">
      <c r="A2074" s="2453" t="s">
        <v>1839</v>
      </c>
      <c r="B2074" s="2427">
        <v>0.54</v>
      </c>
      <c r="C2074" s="2428">
        <v>39652080.629353955</v>
      </c>
      <c r="D2074" s="2429">
        <v>21.412123539851137</v>
      </c>
      <c r="E2074" s="2430">
        <v>1.9116397621070518E-2</v>
      </c>
      <c r="F2074" s="2427">
        <v>3.1433485696483396E-3</v>
      </c>
      <c r="G2074" s="2429">
        <v>3.878515799428284E-5</v>
      </c>
      <c r="H2074" s="2430">
        <v>0.27756112708680908</v>
      </c>
      <c r="I2074" s="2427">
        <v>5.4813744727286506E-2</v>
      </c>
      <c r="J2074" s="2431">
        <v>3.313257712329874E-4</v>
      </c>
    </row>
    <row r="2075" spans="1:10" x14ac:dyDescent="0.2">
      <c r="A2075" s="2454" t="s">
        <v>311</v>
      </c>
      <c r="B2075" s="2434">
        <v>0.54</v>
      </c>
      <c r="C2075" s="2433"/>
      <c r="D2075" s="2435">
        <v>21.412123539851137</v>
      </c>
      <c r="E2075" s="2436">
        <v>1.9116397621070518E-2</v>
      </c>
      <c r="F2075" s="2434">
        <v>3.1433485696483396E-3</v>
      </c>
      <c r="G2075" s="2435">
        <v>3.878515799428284E-5</v>
      </c>
      <c r="H2075" s="2436">
        <v>0.27756112708680908</v>
      </c>
      <c r="I2075" s="2434">
        <v>5.4813744727286506E-2</v>
      </c>
      <c r="J2075" s="2437">
        <v>3.313257712329874E-4</v>
      </c>
    </row>
    <row r="2076" spans="1:10" x14ac:dyDescent="0.2">
      <c r="A2076" s="2445" t="s">
        <v>129</v>
      </c>
      <c r="B2076" s="2446">
        <v>2824.8</v>
      </c>
      <c r="C2076" s="2447"/>
      <c r="D2076" s="2448">
        <v>7714.3812480464358</v>
      </c>
      <c r="E2076" s="2449">
        <v>100</v>
      </c>
      <c r="F2076" s="2446">
        <v>16.443205628782646</v>
      </c>
      <c r="G2076" s="2448">
        <v>0.20288947093009291</v>
      </c>
      <c r="H2076" s="2449">
        <v>100</v>
      </c>
      <c r="I2076" s="2446">
        <v>19.748350679575942</v>
      </c>
      <c r="J2076" s="2450">
        <v>0.11937037967473128</v>
      </c>
    </row>
    <row r="2077" spans="1:10" x14ac:dyDescent="0.2">
      <c r="A2077" s="2451" t="s">
        <v>1853</v>
      </c>
      <c r="B2077" s="2427"/>
      <c r="C2077" s="2452"/>
      <c r="D2077" s="2429"/>
      <c r="E2077" s="2430"/>
      <c r="F2077" s="2427">
        <v>0</v>
      </c>
      <c r="G2077" s="2429"/>
      <c r="H2077" s="2430"/>
      <c r="I2077" s="2427">
        <v>0</v>
      </c>
      <c r="J2077" s="2431">
        <v>0</v>
      </c>
    </row>
    <row r="2078" spans="1:10" x14ac:dyDescent="0.2">
      <c r="A2078" s="2426" t="s">
        <v>1543</v>
      </c>
      <c r="B2078" s="2427">
        <v>100</v>
      </c>
      <c r="C2078" s="2428">
        <v>13200000</v>
      </c>
      <c r="D2078" s="2429">
        <v>1320</v>
      </c>
      <c r="E2078" s="2430">
        <v>75.872534142640362</v>
      </c>
      <c r="F2078" s="2427">
        <v>0.58210158697191461</v>
      </c>
      <c r="G2078" s="2429">
        <v>7.1824366656079329E-3</v>
      </c>
      <c r="H2078" s="2430">
        <v>80.586080586080584</v>
      </c>
      <c r="I2078" s="2427">
        <v>3.3791203803469747</v>
      </c>
      <c r="J2078" s="2431">
        <v>2.042534535229867E-2</v>
      </c>
    </row>
    <row r="2079" spans="1:10" x14ac:dyDescent="0.2">
      <c r="A2079" s="2426" t="s">
        <v>208</v>
      </c>
      <c r="B2079" s="2427">
        <v>31.8</v>
      </c>
      <c r="C2079" s="2428">
        <v>10000000</v>
      </c>
      <c r="D2079" s="2429">
        <v>318</v>
      </c>
      <c r="E2079" s="2430">
        <v>24.127465857359635</v>
      </c>
      <c r="F2079" s="2427">
        <v>0.18510830465706885</v>
      </c>
      <c r="G2079" s="2429">
        <v>2.2840148596633227E-3</v>
      </c>
      <c r="H2079" s="2430">
        <v>19.413919413919416</v>
      </c>
      <c r="I2079" s="2427">
        <v>0.81406081890177118</v>
      </c>
      <c r="J2079" s="2431">
        <v>4.9206513803264976E-3</v>
      </c>
    </row>
    <row r="2080" spans="1:10" x14ac:dyDescent="0.2">
      <c r="A2080" s="2426" t="s">
        <v>209</v>
      </c>
      <c r="B2080" s="2427">
        <v>0</v>
      </c>
      <c r="C2080" s="2428">
        <v>10000000</v>
      </c>
      <c r="D2080" s="2429">
        <v>0</v>
      </c>
      <c r="E2080" s="2430">
        <v>0</v>
      </c>
      <c r="F2080" s="2427">
        <v>0</v>
      </c>
      <c r="G2080" s="2429">
        <v>0</v>
      </c>
      <c r="H2080" s="2430">
        <v>0</v>
      </c>
      <c r="I2080" s="2427">
        <v>0</v>
      </c>
      <c r="J2080" s="2431">
        <v>0</v>
      </c>
    </row>
    <row r="2081" spans="1:10" x14ac:dyDescent="0.2">
      <c r="A2081" s="2426" t="s">
        <v>210</v>
      </c>
      <c r="B2081" s="2427">
        <v>0</v>
      </c>
      <c r="C2081" s="2428">
        <v>18500000</v>
      </c>
      <c r="D2081" s="2429">
        <v>0</v>
      </c>
      <c r="E2081" s="2430">
        <v>0</v>
      </c>
      <c r="F2081" s="2427">
        <v>0</v>
      </c>
      <c r="G2081" s="2429">
        <v>0</v>
      </c>
      <c r="H2081" s="2430">
        <v>0</v>
      </c>
      <c r="I2081" s="2427">
        <v>0</v>
      </c>
      <c r="J2081" s="2431">
        <v>0</v>
      </c>
    </row>
    <row r="2082" spans="1:10" x14ac:dyDescent="0.2">
      <c r="A2082" s="2426" t="s">
        <v>1545</v>
      </c>
      <c r="B2082" s="2427">
        <v>0</v>
      </c>
      <c r="C2082" s="2428">
        <v>14200000</v>
      </c>
      <c r="D2082" s="2429">
        <v>0</v>
      </c>
      <c r="E2082" s="2430">
        <v>0</v>
      </c>
      <c r="F2082" s="2427">
        <v>0</v>
      </c>
      <c r="G2082" s="2429">
        <v>0</v>
      </c>
      <c r="H2082" s="2430">
        <v>0</v>
      </c>
      <c r="I2082" s="2427">
        <v>0</v>
      </c>
      <c r="J2082" s="2431">
        <v>0</v>
      </c>
    </row>
    <row r="2083" spans="1:10" x14ac:dyDescent="0.2">
      <c r="A2083" s="2426" t="s">
        <v>1546</v>
      </c>
      <c r="B2083" s="2427">
        <v>0</v>
      </c>
      <c r="C2083" s="2428">
        <v>10000000</v>
      </c>
      <c r="D2083" s="2429">
        <v>0</v>
      </c>
      <c r="E2083" s="2430">
        <v>0</v>
      </c>
      <c r="F2083" s="2427">
        <v>0</v>
      </c>
      <c r="G2083" s="2429">
        <v>0</v>
      </c>
      <c r="H2083" s="2430">
        <v>0</v>
      </c>
      <c r="I2083" s="2427">
        <v>0</v>
      </c>
      <c r="J2083" s="2431">
        <v>0</v>
      </c>
    </row>
    <row r="2084" spans="1:10" x14ac:dyDescent="0.2">
      <c r="A2084" s="2445" t="s">
        <v>121</v>
      </c>
      <c r="B2084" s="2446">
        <v>131.80000000000001</v>
      </c>
      <c r="C2084" s="2447"/>
      <c r="D2084" s="2448">
        <v>1638</v>
      </c>
      <c r="E2084" s="2449">
        <v>100</v>
      </c>
      <c r="F2084" s="2446">
        <v>0.76720989162898356</v>
      </c>
      <c r="G2084" s="2448">
        <v>9.466451525271256E-3</v>
      </c>
      <c r="H2084" s="2449">
        <v>100</v>
      </c>
      <c r="I2084" s="2446">
        <v>4.1931811992487455</v>
      </c>
      <c r="J2084" s="2450">
        <v>2.5345996732625168E-2</v>
      </c>
    </row>
    <row r="2085" spans="1:10" ht="14.25" thickBot="1" x14ac:dyDescent="0.25">
      <c r="A2085" s="2457" t="s">
        <v>1840</v>
      </c>
      <c r="B2085" s="2446">
        <v>17179.131999999998</v>
      </c>
      <c r="C2085" s="2458"/>
      <c r="D2085" s="2448">
        <v>39063.420400088253</v>
      </c>
      <c r="E2085" s="2459"/>
      <c r="F2085" s="2460">
        <v>100.00000000000001</v>
      </c>
      <c r="G2085" s="2461">
        <v>1.2338802756011855</v>
      </c>
      <c r="H2085" s="2462"/>
      <c r="I2085" s="2460">
        <v>99.999999999999986</v>
      </c>
      <c r="J2085" s="2463">
        <v>0.60445746387411503</v>
      </c>
    </row>
    <row r="2086" spans="1:10" ht="15" thickBot="1" x14ac:dyDescent="0.25">
      <c r="A2086" s="2464" t="s">
        <v>1841</v>
      </c>
      <c r="B2086" s="2465">
        <v>1392285.1624830281</v>
      </c>
      <c r="C2086" s="2466"/>
      <c r="D2086" s="2467">
        <v>6462559.0276810033</v>
      </c>
      <c r="E2086" s="2468"/>
      <c r="F2086" s="2469"/>
      <c r="G2086" s="2469"/>
      <c r="H2086" s="2469"/>
      <c r="I2086" s="2469"/>
      <c r="J2086" s="2469"/>
    </row>
    <row r="2087" spans="1:10" ht="16.5" thickBot="1" x14ac:dyDescent="0.3">
      <c r="A2087" s="2470" t="s">
        <v>1842</v>
      </c>
      <c r="B2087" s="2471">
        <v>1.2338802756011853</v>
      </c>
      <c r="C2087" s="2472"/>
      <c r="D2087" s="2473">
        <v>0.60445746387411492</v>
      </c>
      <c r="E2087" s="2468"/>
      <c r="F2087" s="2469"/>
      <c r="G2087" s="2469"/>
      <c r="H2087" s="2469"/>
      <c r="I2087" s="2469"/>
      <c r="J2087" s="2469"/>
    </row>
    <row r="2088" spans="1:10" x14ac:dyDescent="0.2">
      <c r="A2088" s="2474" t="s">
        <v>2023</v>
      </c>
      <c r="B2088" s="2474"/>
      <c r="C2088" s="2474"/>
      <c r="D2088" s="2475"/>
      <c r="E2088" s="2474"/>
      <c r="F2088" s="2474"/>
      <c r="H2088" s="2474"/>
      <c r="I2088" s="2474"/>
      <c r="J2088" s="2474"/>
    </row>
    <row r="2089" spans="1:10" x14ac:dyDescent="0.2">
      <c r="A2089" s="2474" t="s">
        <v>1843</v>
      </c>
      <c r="B2089" s="2474"/>
      <c r="C2089" s="2474"/>
      <c r="D2089" s="2474"/>
      <c r="E2089" s="2474"/>
      <c r="F2089" s="2474"/>
      <c r="G2089" s="2474"/>
      <c r="H2089" s="2474"/>
      <c r="I2089" s="2474"/>
      <c r="J2089" s="2474"/>
    </row>
    <row r="2090" spans="1:10" x14ac:dyDescent="0.2">
      <c r="A2090" s="2474" t="s">
        <v>2024</v>
      </c>
      <c r="B2090" s="2474"/>
      <c r="C2090" s="2474"/>
      <c r="D2090" s="2474"/>
      <c r="E2090" s="2474"/>
      <c r="F2090" s="2474"/>
      <c r="G2090" s="2474"/>
      <c r="H2090" s="2474"/>
      <c r="I2090" s="2474"/>
      <c r="J2090" s="2474"/>
    </row>
    <row r="2094" spans="1:10" ht="13.5" thickBot="1" x14ac:dyDescent="0.25">
      <c r="A2094" s="3321" t="s">
        <v>2021</v>
      </c>
      <c r="B2094" s="3321"/>
      <c r="C2094" s="3321"/>
      <c r="D2094" s="3321"/>
      <c r="E2094" s="3321"/>
      <c r="F2094" s="3321"/>
      <c r="G2094" s="3321"/>
      <c r="H2094" s="3321"/>
      <c r="I2094" s="3321"/>
      <c r="J2094" s="3321"/>
    </row>
    <row r="2095" spans="1:10" ht="13.5" customHeight="1" thickBot="1" x14ac:dyDescent="0.25">
      <c r="A2095" s="3322" t="s">
        <v>378</v>
      </c>
      <c r="B2095" s="3324" t="s">
        <v>1272</v>
      </c>
      <c r="C2095" s="3324" t="s">
        <v>1832</v>
      </c>
      <c r="D2095" s="3326" t="s">
        <v>1844</v>
      </c>
      <c r="E2095" s="3328" t="s">
        <v>1849</v>
      </c>
      <c r="F2095" s="3329"/>
      <c r="G2095" s="3330"/>
      <c r="H2095" s="3328" t="s">
        <v>1850</v>
      </c>
      <c r="I2095" s="3329"/>
      <c r="J2095" s="3331"/>
    </row>
    <row r="2096" spans="1:10" ht="13.5" customHeight="1" thickBot="1" x14ac:dyDescent="0.25">
      <c r="A2096" s="3323"/>
      <c r="B2096" s="3325"/>
      <c r="C2096" s="3325"/>
      <c r="D2096" s="3327"/>
      <c r="E2096" s="2415" t="s">
        <v>1848</v>
      </c>
      <c r="F2096" s="2416" t="s">
        <v>1231</v>
      </c>
      <c r="G2096" s="2417" t="s">
        <v>1833</v>
      </c>
      <c r="H2096" s="2415" t="s">
        <v>1848</v>
      </c>
      <c r="I2096" s="2416" t="s">
        <v>1231</v>
      </c>
      <c r="J2096" s="2418" t="s">
        <v>1833</v>
      </c>
    </row>
    <row r="2097" spans="1:10" x14ac:dyDescent="0.2">
      <c r="A2097" s="2419" t="s">
        <v>1851</v>
      </c>
      <c r="B2097" s="2420"/>
      <c r="C2097" s="2420"/>
      <c r="D2097" s="2421"/>
      <c r="E2097" s="2422"/>
      <c r="F2097" s="2423"/>
      <c r="G2097" s="2424"/>
      <c r="H2097" s="2422"/>
      <c r="I2097" s="2423"/>
      <c r="J2097" s="2425"/>
    </row>
    <row r="2098" spans="1:10" x14ac:dyDescent="0.2">
      <c r="A2098" s="2426" t="s">
        <v>410</v>
      </c>
      <c r="B2098" s="2427">
        <v>0</v>
      </c>
      <c r="C2098" s="2428">
        <v>5667200.0000000009</v>
      </c>
      <c r="D2098" s="2429">
        <v>0</v>
      </c>
      <c r="E2098" s="2430">
        <v>0</v>
      </c>
      <c r="F2098" s="2427">
        <v>0</v>
      </c>
      <c r="G2098" s="2429">
        <v>0</v>
      </c>
      <c r="H2098" s="2430">
        <v>0</v>
      </c>
      <c r="I2098" s="2427">
        <v>0</v>
      </c>
      <c r="J2098" s="2431">
        <v>0</v>
      </c>
    </row>
    <row r="2099" spans="1:10" x14ac:dyDescent="0.2">
      <c r="A2099" s="2426" t="s">
        <v>411</v>
      </c>
      <c r="B2099" s="2427">
        <v>119.2</v>
      </c>
      <c r="C2099" s="2428">
        <v>1753716.5000000002</v>
      </c>
      <c r="D2099" s="2429">
        <v>209.04300680000003</v>
      </c>
      <c r="E2099" s="2430">
        <v>0.3866216330307467</v>
      </c>
      <c r="F2099" s="2427">
        <v>0.29867862022605013</v>
      </c>
      <c r="G2099" s="2429">
        <v>8.5614645054046569E-3</v>
      </c>
      <c r="H2099" s="2430">
        <v>0.14684688675354299</v>
      </c>
      <c r="I2099" s="2427">
        <v>9.9702515672359271E-2</v>
      </c>
      <c r="J2099" s="2431">
        <v>3.2346784904340306E-3</v>
      </c>
    </row>
    <row r="2100" spans="1:10" x14ac:dyDescent="0.2">
      <c r="A2100" s="2426" t="s">
        <v>278</v>
      </c>
      <c r="B2100" s="2427">
        <v>1392.9499999999998</v>
      </c>
      <c r="C2100" s="2428">
        <v>1637875</v>
      </c>
      <c r="D2100" s="2429">
        <v>2281.4779812499996</v>
      </c>
      <c r="E2100" s="2430">
        <v>4.5179916420317001</v>
      </c>
      <c r="F2100" s="2427">
        <v>3.49030523526742</v>
      </c>
      <c r="G2100" s="2429">
        <v>0.10004775153358569</v>
      </c>
      <c r="H2100" s="2430">
        <v>1.6026747025498702</v>
      </c>
      <c r="I2100" s="2427">
        <v>1.0881449595649457</v>
      </c>
      <c r="J2100" s="2431">
        <v>3.5303011879315477E-2</v>
      </c>
    </row>
    <row r="2101" spans="1:10" x14ac:dyDescent="0.2">
      <c r="A2101" s="2426" t="s">
        <v>200</v>
      </c>
      <c r="B2101" s="2427">
        <v>1040</v>
      </c>
      <c r="C2101" s="2428">
        <v>7709114.5</v>
      </c>
      <c r="D2101" s="2429">
        <v>8017.4790800000001</v>
      </c>
      <c r="E2101" s="2430">
        <v>3.3732088787917505</v>
      </c>
      <c r="F2101" s="2427">
        <v>2.6059208476098332</v>
      </c>
      <c r="G2101" s="2429">
        <v>7.4697341322322502E-2</v>
      </c>
      <c r="H2101" s="2430">
        <v>5.6320556259318968</v>
      </c>
      <c r="I2101" s="2427">
        <v>3.8239156901875972</v>
      </c>
      <c r="J2101" s="2431">
        <v>0.12406043868471957</v>
      </c>
    </row>
    <row r="2102" spans="1:10" x14ac:dyDescent="0.2">
      <c r="A2102" s="2426" t="s">
        <v>429</v>
      </c>
      <c r="B2102" s="2427">
        <v>0</v>
      </c>
      <c r="C2102" s="2428">
        <v>1255000</v>
      </c>
      <c r="D2102" s="2429">
        <v>0</v>
      </c>
      <c r="E2102" s="2430">
        <v>0</v>
      </c>
      <c r="F2102" s="2427">
        <v>0</v>
      </c>
      <c r="G2102" s="2429">
        <v>0</v>
      </c>
      <c r="H2102" s="2430">
        <v>0</v>
      </c>
      <c r="I2102" s="2427">
        <v>0</v>
      </c>
      <c r="J2102" s="2431">
        <v>0</v>
      </c>
    </row>
    <row r="2103" spans="1:10" x14ac:dyDescent="0.2">
      <c r="A2103" s="2432" t="s">
        <v>431</v>
      </c>
      <c r="B2103" s="2427">
        <v>0</v>
      </c>
      <c r="C2103" s="2428">
        <v>0</v>
      </c>
      <c r="D2103" s="2429">
        <v>0</v>
      </c>
      <c r="E2103" s="2430">
        <v>0</v>
      </c>
      <c r="F2103" s="2427">
        <v>0</v>
      </c>
      <c r="G2103" s="2429">
        <v>0</v>
      </c>
      <c r="H2103" s="2430">
        <v>0</v>
      </c>
      <c r="I2103" s="2427">
        <v>0</v>
      </c>
      <c r="J2103" s="2431">
        <v>0</v>
      </c>
    </row>
    <row r="2104" spans="1:10" x14ac:dyDescent="0.2">
      <c r="A2104" s="2432" t="s">
        <v>430</v>
      </c>
      <c r="B2104" s="2427">
        <v>0</v>
      </c>
      <c r="C2104" s="2428">
        <v>0</v>
      </c>
      <c r="D2104" s="2429">
        <v>0</v>
      </c>
      <c r="E2104" s="2430">
        <v>0</v>
      </c>
      <c r="F2104" s="2427">
        <v>0</v>
      </c>
      <c r="G2104" s="2429">
        <v>0</v>
      </c>
      <c r="H2104" s="2430">
        <v>0</v>
      </c>
      <c r="I2104" s="2427">
        <v>0</v>
      </c>
      <c r="J2104" s="2431">
        <v>0</v>
      </c>
    </row>
    <row r="2105" spans="1:10" x14ac:dyDescent="0.2">
      <c r="A2105" s="2433" t="s">
        <v>279</v>
      </c>
      <c r="B2105" s="2434">
        <v>2552.1499999999996</v>
      </c>
      <c r="C2105" s="2433"/>
      <c r="D2105" s="2435">
        <v>10508.00006805</v>
      </c>
      <c r="E2105" s="2436">
        <v>8.2778221538541956</v>
      </c>
      <c r="F2105" s="2434">
        <v>6.3949047031033031</v>
      </c>
      <c r="G2105" s="2435">
        <v>0.18330655736131285</v>
      </c>
      <c r="H2105" s="2436">
        <v>7.3815772152353105</v>
      </c>
      <c r="I2105" s="2434">
        <v>5.0117631654249024</v>
      </c>
      <c r="J2105" s="2437">
        <v>0.16259812905446908</v>
      </c>
    </row>
    <row r="2106" spans="1:10" x14ac:dyDescent="0.2">
      <c r="A2106" s="2438" t="s">
        <v>412</v>
      </c>
      <c r="B2106" s="2427">
        <v>157.5</v>
      </c>
      <c r="C2106" s="2428">
        <v>4129499.9999999995</v>
      </c>
      <c r="D2106" s="2429">
        <v>650.3962499999999</v>
      </c>
      <c r="E2106" s="2430">
        <v>0.51084653693240445</v>
      </c>
      <c r="F2106" s="2427">
        <v>0.39464666682552768</v>
      </c>
      <c r="G2106" s="2429">
        <v>1.1312337748332495E-2</v>
      </c>
      <c r="H2106" s="2430">
        <v>0.45688524065316399</v>
      </c>
      <c r="I2106" s="2427">
        <v>0.31020479135620949</v>
      </c>
      <c r="J2106" s="2431">
        <v>1.0064066683401502E-2</v>
      </c>
    </row>
    <row r="2107" spans="1:10" x14ac:dyDescent="0.2">
      <c r="A2107" s="2438" t="s">
        <v>413</v>
      </c>
      <c r="B2107" s="2427">
        <v>130</v>
      </c>
      <c r="C2107" s="2428">
        <v>1200000</v>
      </c>
      <c r="D2107" s="2429">
        <v>156</v>
      </c>
      <c r="E2107" s="2430">
        <v>0.42165110984896881</v>
      </c>
      <c r="F2107" s="2427">
        <v>0.32574010595122915</v>
      </c>
      <c r="G2107" s="2429">
        <v>9.3371676652903128E-3</v>
      </c>
      <c r="H2107" s="2430">
        <v>0.10958565265696658</v>
      </c>
      <c r="I2107" s="2427">
        <v>7.4403792229073729E-2</v>
      </c>
      <c r="J2107" s="2431">
        <v>2.4139044507262065E-3</v>
      </c>
    </row>
    <row r="2108" spans="1:10" x14ac:dyDescent="0.2">
      <c r="A2108" s="2426" t="s">
        <v>90</v>
      </c>
      <c r="B2108" s="2427">
        <v>0</v>
      </c>
      <c r="C2108" s="2428">
        <v>1743000</v>
      </c>
      <c r="D2108" s="2429">
        <v>0</v>
      </c>
      <c r="E2108" s="2430">
        <v>0</v>
      </c>
      <c r="F2108" s="2427">
        <v>0</v>
      </c>
      <c r="G2108" s="2429">
        <v>0</v>
      </c>
      <c r="H2108" s="2430">
        <v>0</v>
      </c>
      <c r="I2108" s="2427">
        <v>0</v>
      </c>
      <c r="J2108" s="2431">
        <v>0</v>
      </c>
    </row>
    <row r="2109" spans="1:10" x14ac:dyDescent="0.2">
      <c r="A2109" s="2426" t="s">
        <v>417</v>
      </c>
      <c r="B2109" s="2427">
        <v>202</v>
      </c>
      <c r="C2109" s="2428">
        <v>2563999.9999999995</v>
      </c>
      <c r="D2109" s="2429">
        <v>517.92799999999988</v>
      </c>
      <c r="E2109" s="2430">
        <v>0.65518095530378218</v>
      </c>
      <c r="F2109" s="2427">
        <v>0.50615001078575605</v>
      </c>
      <c r="G2109" s="2429">
        <v>1.4508522064528025E-2</v>
      </c>
      <c r="H2109" s="2430">
        <v>0.36382998659818827</v>
      </c>
      <c r="I2109" s="2427">
        <v>0.24702440577961338</v>
      </c>
      <c r="J2109" s="2431">
        <v>8.0142865663828354E-3</v>
      </c>
    </row>
    <row r="2110" spans="1:10" x14ac:dyDescent="0.2">
      <c r="A2110" s="2426" t="s">
        <v>418</v>
      </c>
      <c r="B2110" s="2427">
        <v>154</v>
      </c>
      <c r="C2110" s="2428">
        <v>2222500</v>
      </c>
      <c r="D2110" s="2429">
        <v>342.26499999999999</v>
      </c>
      <c r="E2110" s="2430">
        <v>0.49949439166723986</v>
      </c>
      <c r="F2110" s="2427">
        <v>0.38587674089607144</v>
      </c>
      <c r="G2110" s="2429">
        <v>1.1060952465036217E-2</v>
      </c>
      <c r="H2110" s="2430">
        <v>0.24043162440151705</v>
      </c>
      <c r="I2110" s="2427">
        <v>0.16324239709797383</v>
      </c>
      <c r="J2110" s="2431">
        <v>5.2961218386397765E-3</v>
      </c>
    </row>
    <row r="2111" spans="1:10" x14ac:dyDescent="0.2">
      <c r="A2111" s="2426" t="s">
        <v>423</v>
      </c>
      <c r="B2111" s="2427">
        <v>365</v>
      </c>
      <c r="C2111" s="2428">
        <v>2531500</v>
      </c>
      <c r="D2111" s="2429">
        <v>923.99749999999995</v>
      </c>
      <c r="E2111" s="2430">
        <v>1.1838665776528736</v>
      </c>
      <c r="F2111" s="2427">
        <v>0.91457798978614346</v>
      </c>
      <c r="G2111" s="2429">
        <v>2.6215893829468959E-2</v>
      </c>
      <c r="H2111" s="2430">
        <v>0.64908249417247099</v>
      </c>
      <c r="I2111" s="2427">
        <v>0.44069819237297142</v>
      </c>
      <c r="J2111" s="2431">
        <v>1.4297703062242872E-2</v>
      </c>
    </row>
    <row r="2112" spans="1:10" x14ac:dyDescent="0.2">
      <c r="A2112" s="2426" t="s">
        <v>424</v>
      </c>
      <c r="B2112" s="2427">
        <v>0</v>
      </c>
      <c r="C2112" s="2428">
        <v>1369000</v>
      </c>
      <c r="D2112" s="2429">
        <v>0</v>
      </c>
      <c r="E2112" s="2430">
        <v>0</v>
      </c>
      <c r="F2112" s="2427">
        <v>0</v>
      </c>
      <c r="G2112" s="2429">
        <v>0</v>
      </c>
      <c r="H2112" s="2430">
        <v>0</v>
      </c>
      <c r="I2112" s="2427">
        <v>0</v>
      </c>
      <c r="J2112" s="2431">
        <v>0</v>
      </c>
    </row>
    <row r="2113" spans="1:10" x14ac:dyDescent="0.2">
      <c r="A2113" s="2426" t="s">
        <v>280</v>
      </c>
      <c r="B2113" s="2427">
        <v>52.5</v>
      </c>
      <c r="C2113" s="2428">
        <v>1574500</v>
      </c>
      <c r="D2113" s="2429">
        <v>82.661249999999995</v>
      </c>
      <c r="E2113" s="2430">
        <v>0.17028217897746814</v>
      </c>
      <c r="F2113" s="2427">
        <v>0.13154888894184255</v>
      </c>
      <c r="G2113" s="2429">
        <v>3.7707792494441651E-3</v>
      </c>
      <c r="H2113" s="2430">
        <v>5.8067224555709472E-2</v>
      </c>
      <c r="I2113" s="2427">
        <v>3.9425067117920001E-2</v>
      </c>
      <c r="J2113" s="2431">
        <v>1.2790792261384079E-3</v>
      </c>
    </row>
    <row r="2114" spans="1:10" x14ac:dyDescent="0.2">
      <c r="A2114" s="2426" t="s">
        <v>427</v>
      </c>
      <c r="B2114" s="2427">
        <v>99</v>
      </c>
      <c r="C2114" s="2428">
        <v>2072000</v>
      </c>
      <c r="D2114" s="2429">
        <v>205.12799999999999</v>
      </c>
      <c r="E2114" s="2430">
        <v>0.32110353750036846</v>
      </c>
      <c r="F2114" s="2427">
        <v>0.24806361914747449</v>
      </c>
      <c r="G2114" s="2429">
        <v>7.1106122989518534E-3</v>
      </c>
      <c r="H2114" s="2430">
        <v>0.14409670357832205</v>
      </c>
      <c r="I2114" s="2427">
        <v>9.7835263412598933E-2</v>
      </c>
      <c r="J2114" s="2431">
        <v>3.1740986677472132E-3</v>
      </c>
    </row>
    <row r="2115" spans="1:10" x14ac:dyDescent="0.2">
      <c r="A2115" s="2426" t="s">
        <v>428</v>
      </c>
      <c r="B2115" s="2427">
        <v>108.5</v>
      </c>
      <c r="C2115" s="2428">
        <v>1326280</v>
      </c>
      <c r="D2115" s="2429">
        <v>143.90137999999999</v>
      </c>
      <c r="E2115" s="2430">
        <v>0.35191650322010082</v>
      </c>
      <c r="F2115" s="2427">
        <v>0.27186770381314124</v>
      </c>
      <c r="G2115" s="2429">
        <v>7.7929437821846071E-3</v>
      </c>
      <c r="H2115" s="2430">
        <v>0.10108670926627022</v>
      </c>
      <c r="I2115" s="2427">
        <v>6.8633387044852473E-2</v>
      </c>
      <c r="J2115" s="2431">
        <v>2.2266934721002765E-3</v>
      </c>
    </row>
    <row r="2116" spans="1:10" x14ac:dyDescent="0.2">
      <c r="A2116" s="2439" t="s">
        <v>92</v>
      </c>
      <c r="B2116" s="2427">
        <v>582.75</v>
      </c>
      <c r="C2116" s="2428">
        <v>2215500</v>
      </c>
      <c r="D2116" s="2429">
        <v>1291.082625</v>
      </c>
      <c r="E2116" s="2430">
        <v>1.8901321866498966</v>
      </c>
      <c r="F2116" s="2427">
        <v>1.4601926672544523</v>
      </c>
      <c r="G2116" s="2429">
        <v>4.1855649668830229E-2</v>
      </c>
      <c r="H2116" s="2430">
        <v>0.90694956470958099</v>
      </c>
      <c r="I2116" s="2427">
        <v>0.61577848321196871</v>
      </c>
      <c r="J2116" s="2431">
        <v>1.9977885222710087E-2</v>
      </c>
    </row>
    <row r="2117" spans="1:10" x14ac:dyDescent="0.2">
      <c r="A2117" s="2433" t="s">
        <v>281</v>
      </c>
      <c r="B2117" s="2434">
        <v>1851.25</v>
      </c>
      <c r="C2117" s="2433"/>
      <c r="D2117" s="2435">
        <v>4313.3600049999995</v>
      </c>
      <c r="E2117" s="2436">
        <v>6.0044739777531033</v>
      </c>
      <c r="F2117" s="2434">
        <v>4.6386643934016387</v>
      </c>
      <c r="G2117" s="2435">
        <v>0.13296485877206687</v>
      </c>
      <c r="H2117" s="2436">
        <v>3.0300152005921897</v>
      </c>
      <c r="I2117" s="2434">
        <v>2.057245779623182</v>
      </c>
      <c r="J2117" s="2437">
        <v>6.674383919008918E-2</v>
      </c>
    </row>
    <row r="2118" spans="1:10" x14ac:dyDescent="0.2">
      <c r="A2118" s="2440" t="s">
        <v>106</v>
      </c>
      <c r="B2118" s="2441">
        <v>4403.3999999999996</v>
      </c>
      <c r="C2118" s="2440"/>
      <c r="D2118" s="2442">
        <v>14821.36007305</v>
      </c>
      <c r="E2118" s="2443">
        <v>14.2822961316073</v>
      </c>
      <c r="F2118" s="2441">
        <v>11.033569096504941</v>
      </c>
      <c r="G2118" s="2442">
        <v>0.31627141613337972</v>
      </c>
      <c r="H2118" s="2443">
        <v>10.411592415827501</v>
      </c>
      <c r="I2118" s="2441">
        <v>7.0690089450480844</v>
      </c>
      <c r="J2118" s="2444">
        <v>0.22934196824455827</v>
      </c>
    </row>
    <row r="2119" spans="1:10" x14ac:dyDescent="0.2">
      <c r="A2119" s="2426" t="s">
        <v>905</v>
      </c>
      <c r="B2119" s="2427">
        <v>56</v>
      </c>
      <c r="C2119" s="2428">
        <v>6100000</v>
      </c>
      <c r="D2119" s="2429">
        <v>341.6</v>
      </c>
      <c r="E2119" s="2430">
        <v>0.18163432424263268</v>
      </c>
      <c r="F2119" s="2427">
        <v>0.14031881487129871</v>
      </c>
      <c r="G2119" s="2429">
        <v>4.0221645327404429E-3</v>
      </c>
      <c r="H2119" s="2430">
        <v>0.23996448043346019</v>
      </c>
      <c r="I2119" s="2427">
        <v>0.16292522708622811</v>
      </c>
      <c r="J2119" s="2431">
        <v>5.2858317972312319E-3</v>
      </c>
    </row>
    <row r="2120" spans="1:10" x14ac:dyDescent="0.2">
      <c r="A2120" s="2426" t="s">
        <v>906</v>
      </c>
      <c r="B2120" s="2427">
        <v>154</v>
      </c>
      <c r="C2120" s="2428">
        <v>3022000.0000000005</v>
      </c>
      <c r="D2120" s="2429">
        <v>465.38800000000003</v>
      </c>
      <c r="E2120" s="2430">
        <v>0.49949439166723986</v>
      </c>
      <c r="F2120" s="2427">
        <v>0.38587674089607144</v>
      </c>
      <c r="G2120" s="2429">
        <v>1.1060952465036217E-2</v>
      </c>
      <c r="H2120" s="2430">
        <v>0.32692210076102796</v>
      </c>
      <c r="I2120" s="2427">
        <v>0.22196559011477029</v>
      </c>
      <c r="J2120" s="2431">
        <v>7.2012959263754355E-3</v>
      </c>
    </row>
    <row r="2121" spans="1:10" x14ac:dyDescent="0.2">
      <c r="A2121" s="2426" t="s">
        <v>907</v>
      </c>
      <c r="B2121" s="2427">
        <v>40</v>
      </c>
      <c r="C2121" s="2428">
        <v>2324000</v>
      </c>
      <c r="D2121" s="2429">
        <v>92.96</v>
      </c>
      <c r="E2121" s="2430">
        <v>0.1297388030304519</v>
      </c>
      <c r="F2121" s="2427">
        <v>0.1002277249080705</v>
      </c>
      <c r="G2121" s="2429">
        <v>2.872974666243173E-3</v>
      </c>
      <c r="H2121" s="2430">
        <v>6.5301809429433422E-2</v>
      </c>
      <c r="I2121" s="2427">
        <v>4.4337029010350595E-2</v>
      </c>
      <c r="J2121" s="2431">
        <v>1.4384394726891549E-3</v>
      </c>
    </row>
    <row r="2122" spans="1:10" x14ac:dyDescent="0.2">
      <c r="A2122" s="2439" t="s">
        <v>908</v>
      </c>
      <c r="B2122" s="2427">
        <v>2250</v>
      </c>
      <c r="C2122" s="2428">
        <v>2403999.9999999995</v>
      </c>
      <c r="D2122" s="2429">
        <v>5408.9999999999991</v>
      </c>
      <c r="E2122" s="2430">
        <v>7.2978076704629204</v>
      </c>
      <c r="F2122" s="2427">
        <v>5.637809526078966</v>
      </c>
      <c r="G2122" s="2429">
        <v>0.16160482497617851</v>
      </c>
      <c r="H2122" s="2430">
        <v>3.7996717642405904</v>
      </c>
      <c r="I2122" s="2427">
        <v>2.5798084113273059</v>
      </c>
      <c r="J2122" s="2431">
        <v>8.3697494704987496E-2</v>
      </c>
    </row>
    <row r="2123" spans="1:10" x14ac:dyDescent="0.2">
      <c r="A2123" s="2440" t="s">
        <v>282</v>
      </c>
      <c r="B2123" s="2441">
        <v>2500</v>
      </c>
      <c r="C2123" s="2440"/>
      <c r="D2123" s="2442">
        <v>6308.9479999999994</v>
      </c>
      <c r="E2123" s="2443">
        <v>8.1086751894032449</v>
      </c>
      <c r="F2123" s="2441">
        <v>6.2642328067544062</v>
      </c>
      <c r="G2123" s="2442">
        <v>0.17956091664019833</v>
      </c>
      <c r="H2123" s="2443">
        <v>4.4318601548645118</v>
      </c>
      <c r="I2123" s="2441">
        <v>3.0090362575386549</v>
      </c>
      <c r="J2123" s="2444">
        <v>9.7623061901283323E-2</v>
      </c>
    </row>
    <row r="2124" spans="1:10" x14ac:dyDescent="0.2">
      <c r="A2124" s="2426" t="s">
        <v>955</v>
      </c>
      <c r="B2124" s="2427">
        <v>328.96499999999992</v>
      </c>
      <c r="C2124" s="2428">
        <v>12137000</v>
      </c>
      <c r="D2124" s="2429">
        <v>3992.6482049999991</v>
      </c>
      <c r="E2124" s="2430">
        <v>1.0669881334728151</v>
      </c>
      <c r="F2124" s="2427">
        <v>0.82428533810958526</v>
      </c>
      <c r="G2124" s="2429">
        <v>2.3627702777017132E-2</v>
      </c>
      <c r="H2124" s="2430">
        <v>2.8047240985550705</v>
      </c>
      <c r="I2124" s="2427">
        <v>1.9042831249269494</v>
      </c>
      <c r="J2124" s="2431">
        <v>6.1781226104060873E-2</v>
      </c>
    </row>
    <row r="2125" spans="1:10" x14ac:dyDescent="0.2">
      <c r="A2125" s="2426" t="s">
        <v>283</v>
      </c>
      <c r="B2125" s="2427">
        <v>3134.0203675748344</v>
      </c>
      <c r="C2125" s="2428">
        <v>13024549.999999996</v>
      </c>
      <c r="D2125" s="2429">
        <v>40819.204978496797</v>
      </c>
      <c r="E2125" s="2430">
        <v>10.165101279055399</v>
      </c>
      <c r="F2125" s="2427">
        <v>7.8528932814395134</v>
      </c>
      <c r="G2125" s="2429">
        <v>0.22509902798831544</v>
      </c>
      <c r="H2125" s="2430">
        <v>28.674353964788917</v>
      </c>
      <c r="I2125" s="2427">
        <v>19.468613116513126</v>
      </c>
      <c r="J2125" s="2431">
        <v>0.63162602931217138</v>
      </c>
    </row>
    <row r="2126" spans="1:10" x14ac:dyDescent="0.2">
      <c r="A2126" s="2426" t="s">
        <v>69</v>
      </c>
      <c r="B2126" s="2427">
        <v>2475.4436324251647</v>
      </c>
      <c r="C2126" s="2428">
        <v>14978232.499999994</v>
      </c>
      <c r="D2126" s="2429">
        <v>37077.770267108644</v>
      </c>
      <c r="E2126" s="2430">
        <v>8.029027346004872</v>
      </c>
      <c r="F2126" s="2427">
        <v>6.2027020854036055</v>
      </c>
      <c r="G2126" s="2429">
        <v>0.17779717109176191</v>
      </c>
      <c r="H2126" s="2430">
        <v>26.046100344783145</v>
      </c>
      <c r="I2126" s="2427">
        <v>17.68414561071333</v>
      </c>
      <c r="J2126" s="2431">
        <v>0.57373201712036781</v>
      </c>
    </row>
    <row r="2127" spans="1:10" x14ac:dyDescent="0.2">
      <c r="A2127" s="2426" t="s">
        <v>199</v>
      </c>
      <c r="B2127" s="2427">
        <v>575.52</v>
      </c>
      <c r="C2127" s="2428">
        <v>3000000</v>
      </c>
      <c r="D2127" s="2429">
        <v>1726.56</v>
      </c>
      <c r="E2127" s="2430">
        <v>1.8666818980021422</v>
      </c>
      <c r="F2127" s="2427">
        <v>1.4420765059773184</v>
      </c>
      <c r="G2127" s="2429">
        <v>4.1336359497906774E-2</v>
      </c>
      <c r="H2127" s="2430">
        <v>1.2128602849449501</v>
      </c>
      <c r="I2127" s="2427">
        <v>0.82347827891685599</v>
      </c>
      <c r="J2127" s="2431">
        <v>2.6716351720806664E-2</v>
      </c>
    </row>
    <row r="2128" spans="1:10" x14ac:dyDescent="0.2">
      <c r="A2128" s="2426" t="s">
        <v>86</v>
      </c>
      <c r="B2128" s="2427">
        <v>1090</v>
      </c>
      <c r="C2128" s="2428">
        <v>170000</v>
      </c>
      <c r="D2128" s="2429">
        <v>185.3</v>
      </c>
      <c r="E2128" s="2430">
        <v>3.5353823825798152</v>
      </c>
      <c r="F2128" s="2427">
        <v>2.7312055037449214</v>
      </c>
      <c r="G2128" s="2429">
        <v>7.8288559655126475E-2</v>
      </c>
      <c r="H2128" s="2430">
        <v>0.13016808613676864</v>
      </c>
      <c r="I2128" s="2427">
        <v>8.8378350641329248E-2</v>
      </c>
      <c r="J2128" s="2431">
        <v>2.8672852225613212E-3</v>
      </c>
    </row>
    <row r="2129" spans="1:10" x14ac:dyDescent="0.2">
      <c r="A2129" s="2439" t="s">
        <v>213</v>
      </c>
      <c r="B2129" s="2427">
        <v>7431.8</v>
      </c>
      <c r="C2129" s="2428">
        <v>1850000.0000000005</v>
      </c>
      <c r="D2129" s="2429">
        <v>13748.830000000004</v>
      </c>
      <c r="E2129" s="2430">
        <v>24.104820909042814</v>
      </c>
      <c r="F2129" s="2427">
        <v>18.621810149294959</v>
      </c>
      <c r="G2129" s="2429">
        <v>0.53378432811465037</v>
      </c>
      <c r="H2129" s="2430">
        <v>9.6581699283312972</v>
      </c>
      <c r="I2129" s="2427">
        <v>6.557468530210615</v>
      </c>
      <c r="J2129" s="2431">
        <v>0.21274590980306407</v>
      </c>
    </row>
    <row r="2130" spans="1:10" x14ac:dyDescent="0.2">
      <c r="A2130" s="2433" t="s">
        <v>1834</v>
      </c>
      <c r="B2130" s="2434">
        <v>15035.749</v>
      </c>
      <c r="C2130" s="2433"/>
      <c r="D2130" s="2435">
        <v>97550.313450605434</v>
      </c>
      <c r="E2130" s="2436">
        <v>48.76800194815786</v>
      </c>
      <c r="F2130" s="2434">
        <v>37.674972863969906</v>
      </c>
      <c r="G2130" s="2435">
        <v>1.0799331491247781</v>
      </c>
      <c r="H2130" s="2436">
        <v>68.526376707540138</v>
      </c>
      <c r="I2130" s="2434">
        <v>46.526367011922197</v>
      </c>
      <c r="J2130" s="2437">
        <v>1.5094688192830319</v>
      </c>
    </row>
    <row r="2131" spans="1:10" x14ac:dyDescent="0.2">
      <c r="A2131" s="2426" t="s">
        <v>961</v>
      </c>
      <c r="B2131" s="2427">
        <v>1492.3280000000002</v>
      </c>
      <c r="C2131" s="2428">
        <v>3668000</v>
      </c>
      <c r="D2131" s="2429">
        <v>5473.859104000001</v>
      </c>
      <c r="E2131" s="2430">
        <v>4.840321211220707</v>
      </c>
      <c r="F2131" s="2427">
        <v>3.7393160064152768</v>
      </c>
      <c r="G2131" s="2429">
        <v>0.10718551344313357</v>
      </c>
      <c r="H2131" s="2430">
        <v>3.8452334773340926</v>
      </c>
      <c r="I2131" s="2427">
        <v>2.6107427914438444</v>
      </c>
      <c r="J2131" s="2431">
        <v>8.4701108037139539E-2</v>
      </c>
    </row>
    <row r="2132" spans="1:10" x14ac:dyDescent="0.2">
      <c r="A2132" s="2426" t="s">
        <v>962</v>
      </c>
      <c r="B2132" s="2427">
        <v>126</v>
      </c>
      <c r="C2132" s="2428">
        <v>1999999.9999999998</v>
      </c>
      <c r="D2132" s="2429">
        <v>251.99999999999997</v>
      </c>
      <c r="E2132" s="2430">
        <v>0.40867722954592356</v>
      </c>
      <c r="F2132" s="2427">
        <v>0.31571733346042213</v>
      </c>
      <c r="G2132" s="2429">
        <v>9.0498701986659966E-3</v>
      </c>
      <c r="H2132" s="2430">
        <v>0.17702297736894598</v>
      </c>
      <c r="I2132" s="2427">
        <v>0.12019074129311909</v>
      </c>
      <c r="J2132" s="2431">
        <v>3.8993841127115641E-3</v>
      </c>
    </row>
    <row r="2133" spans="1:10" x14ac:dyDescent="0.2">
      <c r="A2133" s="2426" t="s">
        <v>963</v>
      </c>
      <c r="B2133" s="2427">
        <v>850</v>
      </c>
      <c r="C2133" s="2428">
        <v>1347999.9999999998</v>
      </c>
      <c r="D2133" s="2429">
        <v>1145.7999999999997</v>
      </c>
      <c r="E2133" s="2430">
        <v>2.7569495643971034</v>
      </c>
      <c r="F2133" s="2427">
        <v>2.1298391542964983</v>
      </c>
      <c r="G2133" s="2429">
        <v>6.1050711657667435E-2</v>
      </c>
      <c r="H2133" s="2430">
        <v>0.80489256932277098</v>
      </c>
      <c r="I2133" s="2427">
        <v>0.54648631497482469</v>
      </c>
      <c r="J2133" s="2431">
        <v>1.7729818715654402E-2</v>
      </c>
    </row>
    <row r="2134" spans="1:10" x14ac:dyDescent="0.2">
      <c r="A2134" s="2426" t="s">
        <v>965</v>
      </c>
      <c r="B2134" s="2427">
        <v>1665</v>
      </c>
      <c r="C2134" s="2428">
        <v>1599999.9999999995</v>
      </c>
      <c r="D2134" s="2429">
        <v>2663.9999999999991</v>
      </c>
      <c r="E2134" s="2430">
        <v>5.4003776761425613</v>
      </c>
      <c r="F2134" s="2427">
        <v>4.171979049298435</v>
      </c>
      <c r="G2134" s="2429">
        <v>0.11958757048237208</v>
      </c>
      <c r="H2134" s="2430">
        <v>1.8713857607574287</v>
      </c>
      <c r="I2134" s="2427">
        <v>1.2705878365272585</v>
      </c>
      <c r="J2134" s="2431">
        <v>4.1222060620093662E-2</v>
      </c>
    </row>
    <row r="2135" spans="1:10" x14ac:dyDescent="0.2">
      <c r="A2135" s="2426" t="s">
        <v>966</v>
      </c>
      <c r="B2135" s="2427">
        <v>38.5</v>
      </c>
      <c r="C2135" s="2428">
        <v>2244000</v>
      </c>
      <c r="D2135" s="2429">
        <v>86.394000000000005</v>
      </c>
      <c r="E2135" s="2430">
        <v>0.12487359791680996</v>
      </c>
      <c r="F2135" s="2427">
        <v>9.6469185224017859E-2</v>
      </c>
      <c r="G2135" s="2429">
        <v>2.7652381162590542E-3</v>
      </c>
      <c r="H2135" s="2430">
        <v>6.0689377407986994E-2</v>
      </c>
      <c r="I2135" s="2427">
        <v>4.1205392473324332E-2</v>
      </c>
      <c r="J2135" s="2431">
        <v>1.3368388533079481E-3</v>
      </c>
    </row>
    <row r="2136" spans="1:10" x14ac:dyDescent="0.2">
      <c r="A2136" s="2426" t="s">
        <v>1499</v>
      </c>
      <c r="B2136" s="2427">
        <v>0</v>
      </c>
      <c r="C2136" s="2428">
        <v>4849999.9999999991</v>
      </c>
      <c r="D2136" s="2429">
        <v>0</v>
      </c>
      <c r="E2136" s="2430">
        <v>0</v>
      </c>
      <c r="F2136" s="2427">
        <v>0</v>
      </c>
      <c r="G2136" s="2429">
        <v>0</v>
      </c>
      <c r="H2136" s="2430">
        <v>0</v>
      </c>
      <c r="I2136" s="2427">
        <v>0</v>
      </c>
      <c r="J2136" s="2431">
        <v>0</v>
      </c>
    </row>
    <row r="2137" spans="1:10" x14ac:dyDescent="0.2">
      <c r="A2137" s="2426" t="s">
        <v>1575</v>
      </c>
      <c r="B2137" s="2427">
        <v>43.2</v>
      </c>
      <c r="C2137" s="2428">
        <v>2250000.0000000005</v>
      </c>
      <c r="D2137" s="2429">
        <v>97.200000000000031</v>
      </c>
      <c r="E2137" s="2430">
        <v>0.14011790727288809</v>
      </c>
      <c r="F2137" s="2427">
        <v>0.10824594290071617</v>
      </c>
      <c r="G2137" s="2429">
        <v>3.1028126395426271E-3</v>
      </c>
      <c r="H2137" s="2430">
        <v>6.8280291270879201E-2</v>
      </c>
      <c r="I2137" s="2427">
        <v>4.6359285927345957E-2</v>
      </c>
      <c r="J2137" s="2431">
        <v>1.5040481577601754E-3</v>
      </c>
    </row>
    <row r="2138" spans="1:10" x14ac:dyDescent="0.2">
      <c r="A2138" s="2426" t="s">
        <v>964</v>
      </c>
      <c r="B2138" s="2427">
        <v>0</v>
      </c>
      <c r="C2138" s="2428">
        <v>1556000</v>
      </c>
      <c r="D2138" s="2429">
        <v>0</v>
      </c>
      <c r="E2138" s="2430">
        <v>0</v>
      </c>
      <c r="F2138" s="2427">
        <v>0</v>
      </c>
      <c r="G2138" s="2429">
        <v>0</v>
      </c>
      <c r="H2138" s="2430">
        <v>0</v>
      </c>
      <c r="I2138" s="2427">
        <v>0</v>
      </c>
      <c r="J2138" s="2431">
        <v>0</v>
      </c>
    </row>
    <row r="2139" spans="1:10" x14ac:dyDescent="0.2">
      <c r="A2139" s="2426" t="s">
        <v>969</v>
      </c>
      <c r="B2139" s="2427">
        <v>449.9</v>
      </c>
      <c r="C2139" s="2428">
        <v>4800000</v>
      </c>
      <c r="D2139" s="2429">
        <v>2159.52</v>
      </c>
      <c r="E2139" s="2430">
        <v>1.4592371870850078</v>
      </c>
      <c r="F2139" s="2427">
        <v>1.1273113359035229</v>
      </c>
      <c r="G2139" s="2429">
        <v>3.2313782558570092E-2</v>
      </c>
      <c r="H2139" s="2430">
        <v>1.5170026193959774</v>
      </c>
      <c r="I2139" s="2427">
        <v>1.0299774191957005</v>
      </c>
      <c r="J2139" s="2431">
        <v>3.3415864996360622E-2</v>
      </c>
    </row>
    <row r="2140" spans="1:10" x14ac:dyDescent="0.2">
      <c r="A2140" s="2426" t="s">
        <v>968</v>
      </c>
      <c r="B2140" s="2427">
        <v>341</v>
      </c>
      <c r="C2140" s="2428">
        <v>3050000.0000000009</v>
      </c>
      <c r="D2140" s="2429">
        <v>1040.0500000000004</v>
      </c>
      <c r="E2140" s="2430">
        <v>1.1060232958346026</v>
      </c>
      <c r="F2140" s="2427">
        <v>0.85444135484130102</v>
      </c>
      <c r="G2140" s="2429">
        <v>2.4492109029723052E-2</v>
      </c>
      <c r="H2140" s="2430">
        <v>0.73060614131973167</v>
      </c>
      <c r="I2140" s="2427">
        <v>0.49604912889646258</v>
      </c>
      <c r="J2140" s="2431">
        <v>1.6093470025498668E-2</v>
      </c>
    </row>
    <row r="2141" spans="1:10" x14ac:dyDescent="0.2">
      <c r="A2141" s="2426" t="s">
        <v>1013</v>
      </c>
      <c r="B2141" s="2427">
        <v>0</v>
      </c>
      <c r="C2141" s="2428">
        <v>1799999.9999999998</v>
      </c>
      <c r="D2141" s="2429">
        <v>0</v>
      </c>
      <c r="E2141" s="2430">
        <v>0</v>
      </c>
      <c r="F2141" s="2427">
        <v>0</v>
      </c>
      <c r="G2141" s="2429">
        <v>0</v>
      </c>
      <c r="H2141" s="2430">
        <v>0</v>
      </c>
      <c r="I2141" s="2427">
        <v>0</v>
      </c>
      <c r="J2141" s="2431">
        <v>0</v>
      </c>
    </row>
    <row r="2142" spans="1:10" x14ac:dyDescent="0.2">
      <c r="A2142" s="2426" t="s">
        <v>1014</v>
      </c>
      <c r="B2142" s="2427">
        <v>0</v>
      </c>
      <c r="C2142" s="2428">
        <v>2195000.0000000005</v>
      </c>
      <c r="D2142" s="2429">
        <v>0</v>
      </c>
      <c r="E2142" s="2430">
        <v>0</v>
      </c>
      <c r="F2142" s="2427">
        <v>0</v>
      </c>
      <c r="G2142" s="2429">
        <v>0</v>
      </c>
      <c r="H2142" s="2430">
        <v>0</v>
      </c>
      <c r="I2142" s="2427">
        <v>0</v>
      </c>
      <c r="J2142" s="2431">
        <v>0</v>
      </c>
    </row>
    <row r="2143" spans="1:10" x14ac:dyDescent="0.2">
      <c r="A2143" s="2426" t="s">
        <v>970</v>
      </c>
      <c r="B2143" s="2427">
        <v>992</v>
      </c>
      <c r="C2143" s="2428">
        <v>3100000.0000000005</v>
      </c>
      <c r="D2143" s="2429">
        <v>3075.2000000000003</v>
      </c>
      <c r="E2143" s="2430">
        <v>3.2175223151552079</v>
      </c>
      <c r="F2143" s="2427">
        <v>2.4856475777201488</v>
      </c>
      <c r="G2143" s="2429">
        <v>7.1249771722830701E-2</v>
      </c>
      <c r="H2143" s="2430">
        <v>2.1602423016070746</v>
      </c>
      <c r="I2143" s="2427">
        <v>1.4667086016849202</v>
      </c>
      <c r="J2143" s="2431">
        <v>4.7584865172264304E-2</v>
      </c>
    </row>
    <row r="2144" spans="1:10" x14ac:dyDescent="0.2">
      <c r="A2144" s="2426" t="s">
        <v>971</v>
      </c>
      <c r="B2144" s="2427">
        <v>473</v>
      </c>
      <c r="C2144" s="2428">
        <v>3010000</v>
      </c>
      <c r="D2144" s="2429">
        <v>1423.73</v>
      </c>
      <c r="E2144" s="2430">
        <v>1.534161345835094</v>
      </c>
      <c r="F2144" s="2427">
        <v>1.1851928470379338</v>
      </c>
      <c r="G2144" s="2429">
        <v>3.3972925428325522E-2</v>
      </c>
      <c r="H2144" s="2430">
        <v>1.0001306490852757</v>
      </c>
      <c r="I2144" s="2427">
        <v>0.67904430198909704</v>
      </c>
      <c r="J2144" s="2431">
        <v>2.2030437074566808E-2</v>
      </c>
    </row>
    <row r="2145" spans="1:10" x14ac:dyDescent="0.2">
      <c r="A2145" s="2426" t="s">
        <v>972</v>
      </c>
      <c r="B2145" s="2427">
        <v>1002.6</v>
      </c>
      <c r="C2145" s="2428">
        <v>2744000.0000000005</v>
      </c>
      <c r="D2145" s="2429">
        <v>2751.1344000000004</v>
      </c>
      <c r="E2145" s="2430">
        <v>3.2519030979582775</v>
      </c>
      <c r="F2145" s="2427">
        <v>2.5122079248207871</v>
      </c>
      <c r="G2145" s="2429">
        <v>7.2011110009385135E-2</v>
      </c>
      <c r="H2145" s="2430">
        <v>1.9325952485322577</v>
      </c>
      <c r="I2145" s="2427">
        <v>1.3121463608452399</v>
      </c>
      <c r="J2145" s="2431">
        <v>4.2570356235294697E-2</v>
      </c>
    </row>
    <row r="2146" spans="1:10" x14ac:dyDescent="0.2">
      <c r="A2146" s="2426" t="s">
        <v>973</v>
      </c>
      <c r="B2146" s="2427">
        <v>140</v>
      </c>
      <c r="C2146" s="2428">
        <v>2549999.9999999991</v>
      </c>
      <c r="D2146" s="2429">
        <v>356.99999999999989</v>
      </c>
      <c r="E2146" s="2430">
        <v>0.45408581060658176</v>
      </c>
      <c r="F2146" s="2427">
        <v>0.35079703717824678</v>
      </c>
      <c r="G2146" s="2429">
        <v>1.0055411331851108E-2</v>
      </c>
      <c r="H2146" s="2430">
        <v>0.25078255127267346</v>
      </c>
      <c r="I2146" s="2427">
        <v>0.17027021683191867</v>
      </c>
      <c r="J2146" s="2431">
        <v>5.5241274930080478E-3</v>
      </c>
    </row>
    <row r="2147" spans="1:10" x14ac:dyDescent="0.2">
      <c r="A2147" s="2426" t="s">
        <v>974</v>
      </c>
      <c r="B2147" s="2427">
        <v>225</v>
      </c>
      <c r="C2147" s="2428">
        <v>1583999.9999999995</v>
      </c>
      <c r="D2147" s="2429">
        <v>356.39999999999986</v>
      </c>
      <c r="E2147" s="2430">
        <v>0.72978076704629202</v>
      </c>
      <c r="F2147" s="2427">
        <v>0.56378095260789651</v>
      </c>
      <c r="G2147" s="2429">
        <v>1.616048249761785E-2</v>
      </c>
      <c r="H2147" s="2430">
        <v>0.25036106799322355</v>
      </c>
      <c r="I2147" s="2427">
        <v>0.16998404840026837</v>
      </c>
      <c r="J2147" s="2431">
        <v>5.5148432451206392E-3</v>
      </c>
    </row>
    <row r="2148" spans="1:10" x14ac:dyDescent="0.2">
      <c r="A2148" s="2426" t="s">
        <v>975</v>
      </c>
      <c r="B2148" s="2427">
        <v>80</v>
      </c>
      <c r="C2148" s="2428">
        <v>2532000.0000000009</v>
      </c>
      <c r="D2148" s="2429">
        <v>202.56000000000006</v>
      </c>
      <c r="E2148" s="2430">
        <v>0.25947760606090381</v>
      </c>
      <c r="F2148" s="2427">
        <v>0.200455449816141</v>
      </c>
      <c r="G2148" s="2429">
        <v>5.7459493324863459E-3</v>
      </c>
      <c r="H2148" s="2430">
        <v>0.14229275514227666</v>
      </c>
      <c r="I2148" s="2427">
        <v>9.6610462525135762E-2</v>
      </c>
      <c r="J2148" s="2431">
        <v>3.1343620867891062E-3</v>
      </c>
    </row>
    <row r="2149" spans="1:10" x14ac:dyDescent="0.2">
      <c r="A2149" s="2426" t="s">
        <v>976</v>
      </c>
      <c r="B2149" s="2427">
        <v>121.5</v>
      </c>
      <c r="C2149" s="2428">
        <v>7394999.9999999991</v>
      </c>
      <c r="D2149" s="2429">
        <v>898.49249999999984</v>
      </c>
      <c r="E2149" s="2430">
        <v>0.39408161420499777</v>
      </c>
      <c r="F2149" s="2427">
        <v>0.30444171440826417</v>
      </c>
      <c r="G2149" s="2429">
        <v>8.7266605487136377E-3</v>
      </c>
      <c r="H2149" s="2430">
        <v>0.63116594243518931</v>
      </c>
      <c r="I2149" s="2427">
        <v>0.42853364929090387</v>
      </c>
      <c r="J2149" s="2431">
        <v>1.3903045158295614E-2</v>
      </c>
    </row>
    <row r="2150" spans="1:10" x14ac:dyDescent="0.2">
      <c r="A2150" s="2426" t="s">
        <v>286</v>
      </c>
      <c r="B2150" s="2427">
        <v>192</v>
      </c>
      <c r="C2150" s="2428">
        <v>2445000.0000000005</v>
      </c>
      <c r="D2150" s="2429">
        <v>469.44000000000011</v>
      </c>
      <c r="E2150" s="2430">
        <v>0.62274625454616916</v>
      </c>
      <c r="F2150" s="2427">
        <v>0.48109307955873848</v>
      </c>
      <c r="G2150" s="2429">
        <v>1.3790278397967233E-2</v>
      </c>
      <c r="H2150" s="2430">
        <v>0.32976851784157951</v>
      </c>
      <c r="I2150" s="2427">
        <v>0.22389818092318192</v>
      </c>
      <c r="J2150" s="2431">
        <v>7.2639955471084016E-3</v>
      </c>
    </row>
    <row r="2151" spans="1:10" x14ac:dyDescent="0.2">
      <c r="A2151" s="2439" t="s">
        <v>978</v>
      </c>
      <c r="B2151" s="2427">
        <v>660</v>
      </c>
      <c r="C2151" s="2428">
        <v>1850000.0000000002</v>
      </c>
      <c r="D2151" s="2429">
        <v>1221.0000000000002</v>
      </c>
      <c r="E2151" s="2430">
        <v>2.1406902500024567</v>
      </c>
      <c r="F2151" s="2427">
        <v>1.6537574609831633</v>
      </c>
      <c r="G2151" s="2429">
        <v>4.7404081993012361E-2</v>
      </c>
      <c r="H2151" s="2430">
        <v>0.85771847368048859</v>
      </c>
      <c r="I2151" s="2427">
        <v>0.58235275840832712</v>
      </c>
      <c r="J2151" s="2431">
        <v>1.8893444450876276E-2</v>
      </c>
    </row>
    <row r="2152" spans="1:10" x14ac:dyDescent="0.2">
      <c r="A2152" s="2426" t="s">
        <v>1163</v>
      </c>
      <c r="B2152" s="2427">
        <v>0</v>
      </c>
      <c r="C2152" s="2428">
        <v>0</v>
      </c>
      <c r="D2152" s="2429">
        <v>0</v>
      </c>
      <c r="E2152" s="2430">
        <v>0</v>
      </c>
      <c r="F2152" s="2427">
        <v>0</v>
      </c>
      <c r="G2152" s="2429">
        <v>0</v>
      </c>
      <c r="H2152" s="2430">
        <v>0</v>
      </c>
      <c r="I2152" s="2427">
        <v>0</v>
      </c>
      <c r="J2152" s="2431">
        <v>0</v>
      </c>
    </row>
    <row r="2153" spans="1:10" x14ac:dyDescent="0.2">
      <c r="A2153" s="2433" t="s">
        <v>287</v>
      </c>
      <c r="B2153" s="2434">
        <v>8892.0280000000002</v>
      </c>
      <c r="C2153" s="2433"/>
      <c r="D2153" s="2435">
        <v>23673.780004000004</v>
      </c>
      <c r="E2153" s="2436">
        <v>28.841026730831583</v>
      </c>
      <c r="F2153" s="2434">
        <v>22.28069340647151</v>
      </c>
      <c r="G2153" s="2435">
        <v>0.63866427938812387</v>
      </c>
      <c r="H2153" s="2436">
        <v>16.630170721767854</v>
      </c>
      <c r="I2153" s="2434">
        <v>11.291147491630875</v>
      </c>
      <c r="J2153" s="2437">
        <v>0.36632206998185052</v>
      </c>
    </row>
    <row r="2154" spans="1:10" x14ac:dyDescent="0.2">
      <c r="A2154" s="2440" t="s">
        <v>1835</v>
      </c>
      <c r="B2154" s="2441">
        <v>23927.777000000002</v>
      </c>
      <c r="C2154" s="2440"/>
      <c r="D2154" s="2442">
        <v>121224.09345460543</v>
      </c>
      <c r="E2154" s="2443">
        <v>77.609028678989461</v>
      </c>
      <c r="F2154" s="2441">
        <v>59.955666270441419</v>
      </c>
      <c r="G2154" s="2442">
        <v>1.718597428512902</v>
      </c>
      <c r="H2154" s="2443">
        <v>85.156547429307992</v>
      </c>
      <c r="I2154" s="2441">
        <v>57.81751450355307</v>
      </c>
      <c r="J2154" s="2444">
        <v>1.8757908892648822</v>
      </c>
    </row>
    <row r="2155" spans="1:10" x14ac:dyDescent="0.2">
      <c r="A2155" s="2445" t="s">
        <v>194</v>
      </c>
      <c r="B2155" s="2446">
        <v>30831.177000000003</v>
      </c>
      <c r="C2155" s="2447"/>
      <c r="D2155" s="2448">
        <v>142354.40152765543</v>
      </c>
      <c r="E2155" s="2449">
        <v>100</v>
      </c>
      <c r="F2155" s="2446">
        <v>77.253468173700767</v>
      </c>
      <c r="G2155" s="2448">
        <v>2.2144297612864801</v>
      </c>
      <c r="H2155" s="2449">
        <v>100</v>
      </c>
      <c r="I2155" s="2446">
        <v>67.895559706139807</v>
      </c>
      <c r="J2155" s="2450">
        <v>2.2027559194107238</v>
      </c>
    </row>
    <row r="2156" spans="1:10" x14ac:dyDescent="0.2">
      <c r="A2156" s="2451" t="s">
        <v>1852</v>
      </c>
      <c r="B2156" s="2427"/>
      <c r="C2156" s="2452"/>
      <c r="D2156" s="2429"/>
      <c r="E2156" s="2430"/>
      <c r="F2156" s="2427">
        <v>0</v>
      </c>
      <c r="G2156" s="2429"/>
      <c r="H2156" s="2430"/>
      <c r="I2156" s="2427">
        <v>0</v>
      </c>
      <c r="J2156" s="2431">
        <v>0</v>
      </c>
    </row>
    <row r="2157" spans="1:10" x14ac:dyDescent="0.2">
      <c r="A2157" s="2453" t="s">
        <v>1836</v>
      </c>
      <c r="B2157" s="2427">
        <v>0</v>
      </c>
      <c r="C2157" s="2428">
        <v>8033612.4975057133</v>
      </c>
      <c r="D2157" s="2429">
        <v>0</v>
      </c>
      <c r="E2157" s="2430">
        <v>0</v>
      </c>
      <c r="F2157" s="2427">
        <v>0</v>
      </c>
      <c r="G2157" s="2429">
        <v>0</v>
      </c>
      <c r="H2157" s="2430">
        <v>0</v>
      </c>
      <c r="I2157" s="2427">
        <v>0</v>
      </c>
      <c r="J2157" s="2431">
        <v>0</v>
      </c>
    </row>
    <row r="2158" spans="1:10" x14ac:dyDescent="0.2">
      <c r="A2158" s="2453" t="s">
        <v>1837</v>
      </c>
      <c r="B2158" s="2427">
        <v>4155.8900000000003</v>
      </c>
      <c r="C2158" s="2428">
        <v>2214764.1578067578</v>
      </c>
      <c r="D2158" s="2429">
        <v>9204.3162157875267</v>
      </c>
      <c r="E2158" s="2430">
        <v>78.476095880840063</v>
      </c>
      <c r="F2158" s="2427">
        <v>10.41338499170503</v>
      </c>
      <c r="G2158" s="2429">
        <v>0.29849416714233357</v>
      </c>
      <c r="H2158" s="2430">
        <v>50.899676421309358</v>
      </c>
      <c r="I2158" s="2427">
        <v>4.3899745598086497</v>
      </c>
      <c r="J2158" s="2431">
        <v>0.14242525563577504</v>
      </c>
    </row>
    <row r="2159" spans="1:10" x14ac:dyDescent="0.2">
      <c r="A2159" s="2454" t="s">
        <v>309</v>
      </c>
      <c r="B2159" s="2434">
        <v>4155.8900000000003</v>
      </c>
      <c r="C2159" s="2433"/>
      <c r="D2159" s="2435">
        <v>9204.3162157875267</v>
      </c>
      <c r="E2159" s="2436">
        <v>78.476095880840063</v>
      </c>
      <c r="F2159" s="2434">
        <v>10.41338499170503</v>
      </c>
      <c r="G2159" s="2435">
        <v>0.29849416714233357</v>
      </c>
      <c r="H2159" s="2436">
        <v>50.899676421309358</v>
      </c>
      <c r="I2159" s="2434">
        <v>4.3899745598086497</v>
      </c>
      <c r="J2159" s="2437">
        <v>0.14242525563577504</v>
      </c>
    </row>
    <row r="2160" spans="1:10" x14ac:dyDescent="0.2">
      <c r="A2160" s="2453" t="s">
        <v>1838</v>
      </c>
      <c r="B2160" s="2427">
        <v>0</v>
      </c>
      <c r="C2160" s="2428">
        <v>10407427.50198495</v>
      </c>
      <c r="D2160" s="2429">
        <v>0</v>
      </c>
      <c r="E2160" s="2430">
        <v>0</v>
      </c>
      <c r="F2160" s="2427">
        <v>0</v>
      </c>
      <c r="G2160" s="2429">
        <v>0</v>
      </c>
      <c r="H2160" s="2430">
        <v>0</v>
      </c>
      <c r="I2160" s="2427">
        <v>0</v>
      </c>
      <c r="J2160" s="2431">
        <v>0</v>
      </c>
    </row>
    <row r="2161" spans="1:10" x14ac:dyDescent="0.2">
      <c r="A2161" s="2454" t="s">
        <v>315</v>
      </c>
      <c r="B2161" s="2434">
        <v>0</v>
      </c>
      <c r="C2161" s="2455"/>
      <c r="D2161" s="2435">
        <v>0</v>
      </c>
      <c r="E2161" s="2436">
        <v>0</v>
      </c>
      <c r="F2161" s="2434">
        <v>0</v>
      </c>
      <c r="G2161" s="2435">
        <v>0</v>
      </c>
      <c r="H2161" s="2436">
        <v>0</v>
      </c>
      <c r="I2161" s="2434">
        <v>0</v>
      </c>
      <c r="J2161" s="2437">
        <v>0</v>
      </c>
    </row>
    <row r="2162" spans="1:10" x14ac:dyDescent="0.2">
      <c r="A2162" s="2453" t="s">
        <v>1541</v>
      </c>
      <c r="B2162" s="2427">
        <v>148.5</v>
      </c>
      <c r="C2162" s="2428">
        <v>10553660</v>
      </c>
      <c r="D2162" s="2429">
        <v>1567.2185099999999</v>
      </c>
      <c r="E2162" s="2430">
        <v>2.8041406866651304</v>
      </c>
      <c r="F2162" s="2427">
        <v>0.37209542872121176</v>
      </c>
      <c r="G2162" s="2429">
        <v>1.0665918448427781E-2</v>
      </c>
      <c r="H2162" s="2430">
        <v>8.6666856255613052</v>
      </c>
      <c r="I2162" s="2427">
        <v>0.74748077176665706</v>
      </c>
      <c r="J2162" s="2431">
        <v>2.4250741900958293E-2</v>
      </c>
    </row>
    <row r="2163" spans="1:10" x14ac:dyDescent="0.2">
      <c r="A2163" s="2453" t="s">
        <v>206</v>
      </c>
      <c r="B2163" s="2427">
        <v>978.75</v>
      </c>
      <c r="C2163" s="2428">
        <v>6960000</v>
      </c>
      <c r="D2163" s="2429">
        <v>6812.1</v>
      </c>
      <c r="E2163" s="2430">
        <v>18.48183634392927</v>
      </c>
      <c r="F2163" s="2427">
        <v>2.4524471438443505</v>
      </c>
      <c r="G2163" s="2429">
        <v>7.0298098864637643E-2</v>
      </c>
      <c r="H2163" s="2430">
        <v>37.670770714599442</v>
      </c>
      <c r="I2163" s="2427">
        <v>3.2490132887414944</v>
      </c>
      <c r="J2163" s="2431">
        <v>0.10540870838969225</v>
      </c>
    </row>
    <row r="2164" spans="1:10" x14ac:dyDescent="0.2">
      <c r="A2164" s="2454" t="s">
        <v>310</v>
      </c>
      <c r="B2164" s="2434">
        <v>1127.25</v>
      </c>
      <c r="C2164" s="2455"/>
      <c r="D2164" s="2435">
        <v>8379.318510000001</v>
      </c>
      <c r="E2164" s="2436">
        <v>21.285977030594399</v>
      </c>
      <c r="F2164" s="2434">
        <v>2.8245425725655622</v>
      </c>
      <c r="G2164" s="2435">
        <v>8.0964017313065434E-2</v>
      </c>
      <c r="H2164" s="2436">
        <v>46.337456340160749</v>
      </c>
      <c r="I2164" s="2434">
        <v>3.9964940605081516</v>
      </c>
      <c r="J2164" s="2437">
        <v>0.12965945029065057</v>
      </c>
    </row>
    <row r="2165" spans="1:10" x14ac:dyDescent="0.2">
      <c r="A2165" s="2453" t="s">
        <v>1839</v>
      </c>
      <c r="B2165" s="2427">
        <v>12.6</v>
      </c>
      <c r="C2165" s="2428">
        <v>39652080.629353955</v>
      </c>
      <c r="D2165" s="2429">
        <v>499.61621592985983</v>
      </c>
      <c r="E2165" s="2430">
        <v>0.23792708856552619</v>
      </c>
      <c r="F2165" s="2427">
        <v>3.1571733346042213E-2</v>
      </c>
      <c r="G2165" s="2429">
        <v>9.0498701986659947E-4</v>
      </c>
      <c r="H2165" s="2430">
        <v>2.7628672385299033</v>
      </c>
      <c r="I2165" s="2427">
        <v>0.23829064823282903</v>
      </c>
      <c r="J2165" s="2431">
        <v>7.7309346621030391E-3</v>
      </c>
    </row>
    <row r="2166" spans="1:10" x14ac:dyDescent="0.2">
      <c r="A2166" s="2454" t="s">
        <v>311</v>
      </c>
      <c r="B2166" s="2434">
        <v>12.6</v>
      </c>
      <c r="C2166" s="2433"/>
      <c r="D2166" s="2435">
        <v>499.61621592985983</v>
      </c>
      <c r="E2166" s="2436">
        <v>0.23792708856552619</v>
      </c>
      <c r="F2166" s="2434">
        <v>3.1571733346042213E-2</v>
      </c>
      <c r="G2166" s="2435">
        <v>9.0498701986659947E-4</v>
      </c>
      <c r="H2166" s="2436">
        <v>2.7628672385299033</v>
      </c>
      <c r="I2166" s="2434">
        <v>0.23829064823282903</v>
      </c>
      <c r="J2166" s="2437">
        <v>7.7309346621030391E-3</v>
      </c>
    </row>
    <row r="2167" spans="1:10" x14ac:dyDescent="0.2">
      <c r="A2167" s="2445" t="s">
        <v>129</v>
      </c>
      <c r="B2167" s="2446">
        <v>5295.7400000000007</v>
      </c>
      <c r="C2167" s="2447"/>
      <c r="D2167" s="2448">
        <v>18083.250941717386</v>
      </c>
      <c r="E2167" s="2449">
        <v>99.999999999999986</v>
      </c>
      <c r="F2167" s="2446">
        <v>13.269499297616635</v>
      </c>
      <c r="G2167" s="2448">
        <v>0.3803631714752656</v>
      </c>
      <c r="H2167" s="2449">
        <v>100.00000000000001</v>
      </c>
      <c r="I2167" s="2446">
        <v>8.6247592685496297</v>
      </c>
      <c r="J2167" s="2450">
        <v>0.27981564058852865</v>
      </c>
    </row>
    <row r="2168" spans="1:10" x14ac:dyDescent="0.2">
      <c r="A2168" s="2451" t="s">
        <v>1853</v>
      </c>
      <c r="B2168" s="2427"/>
      <c r="C2168" s="2452"/>
      <c r="D2168" s="2429"/>
      <c r="E2168" s="2430"/>
      <c r="F2168" s="2427">
        <v>0</v>
      </c>
      <c r="G2168" s="2429"/>
      <c r="H2168" s="2430"/>
      <c r="I2168" s="2427">
        <v>0</v>
      </c>
      <c r="J2168" s="2431">
        <v>0</v>
      </c>
    </row>
    <row r="2169" spans="1:10" x14ac:dyDescent="0.2">
      <c r="A2169" s="2426" t="s">
        <v>1543</v>
      </c>
      <c r="B2169" s="2427">
        <v>3450</v>
      </c>
      <c r="C2169" s="2428">
        <v>13200000</v>
      </c>
      <c r="D2169" s="2429">
        <v>45540</v>
      </c>
      <c r="E2169" s="2430">
        <v>91.216752154830516</v>
      </c>
      <c r="F2169" s="2427">
        <v>8.6446412733210813</v>
      </c>
      <c r="G2169" s="2429">
        <v>0.24779406496347367</v>
      </c>
      <c r="H2169" s="2430">
        <v>92.50629912238864</v>
      </c>
      <c r="I2169" s="2427">
        <v>21.720183962256524</v>
      </c>
      <c r="J2169" s="2431">
        <v>0.70467441465430414</v>
      </c>
    </row>
    <row r="2170" spans="1:10" x14ac:dyDescent="0.2">
      <c r="A2170" s="2426" t="s">
        <v>208</v>
      </c>
      <c r="B2170" s="2427">
        <v>244.8</v>
      </c>
      <c r="C2170" s="2428">
        <v>10000000</v>
      </c>
      <c r="D2170" s="2429">
        <v>2448</v>
      </c>
      <c r="E2170" s="2430">
        <v>6.4724234572471051</v>
      </c>
      <c r="F2170" s="2427">
        <v>0.61339367643739151</v>
      </c>
      <c r="G2170" s="2429">
        <v>1.758260495740822E-2</v>
      </c>
      <c r="H2170" s="2430">
        <v>4.9726706247608119</v>
      </c>
      <c r="I2170" s="2427">
        <v>1.1675672011331568</v>
      </c>
      <c r="J2170" s="2431">
        <v>3.7879731380626627E-2</v>
      </c>
    </row>
    <row r="2171" spans="1:10" x14ac:dyDescent="0.2">
      <c r="A2171" s="2426" t="s">
        <v>209</v>
      </c>
      <c r="B2171" s="2427">
        <v>0</v>
      </c>
      <c r="C2171" s="2428">
        <v>10000000</v>
      </c>
      <c r="D2171" s="2429">
        <v>0</v>
      </c>
      <c r="E2171" s="2430">
        <v>0</v>
      </c>
      <c r="F2171" s="2427">
        <v>0</v>
      </c>
      <c r="G2171" s="2429">
        <v>0</v>
      </c>
      <c r="H2171" s="2430">
        <v>0</v>
      </c>
      <c r="I2171" s="2427">
        <v>0</v>
      </c>
      <c r="J2171" s="2431">
        <v>0</v>
      </c>
    </row>
    <row r="2172" spans="1:10" x14ac:dyDescent="0.2">
      <c r="A2172" s="2426" t="s">
        <v>210</v>
      </c>
      <c r="B2172" s="2427">
        <v>0</v>
      </c>
      <c r="C2172" s="2428">
        <v>18500000</v>
      </c>
      <c r="D2172" s="2429">
        <v>0</v>
      </c>
      <c r="E2172" s="2430">
        <v>0</v>
      </c>
      <c r="F2172" s="2427">
        <v>0</v>
      </c>
      <c r="G2172" s="2429">
        <v>0</v>
      </c>
      <c r="H2172" s="2430">
        <v>0</v>
      </c>
      <c r="I2172" s="2427">
        <v>0</v>
      </c>
      <c r="J2172" s="2431">
        <v>0</v>
      </c>
    </row>
    <row r="2173" spans="1:10" x14ac:dyDescent="0.2">
      <c r="A2173" s="2426" t="s">
        <v>1545</v>
      </c>
      <c r="B2173" s="2427">
        <v>87.4</v>
      </c>
      <c r="C2173" s="2428">
        <v>14200000</v>
      </c>
      <c r="D2173" s="2429">
        <v>1241.08</v>
      </c>
      <c r="E2173" s="2430">
        <v>2.3108243879223731</v>
      </c>
      <c r="F2173" s="2427">
        <v>0.2189975789241341</v>
      </c>
      <c r="G2173" s="2429">
        <v>6.2774496457413337E-3</v>
      </c>
      <c r="H2173" s="2430">
        <v>2.5210302528505508</v>
      </c>
      <c r="I2173" s="2427">
        <v>0.59192986192088981</v>
      </c>
      <c r="J2173" s="2431">
        <v>1.9204157280174876E-2</v>
      </c>
    </row>
    <row r="2174" spans="1:10" x14ac:dyDescent="0.2">
      <c r="A2174" s="2426" t="s">
        <v>1546</v>
      </c>
      <c r="B2174" s="2427">
        <v>0</v>
      </c>
      <c r="C2174" s="2428">
        <v>10000000</v>
      </c>
      <c r="D2174" s="2429">
        <v>0</v>
      </c>
      <c r="E2174" s="2430">
        <v>0</v>
      </c>
      <c r="F2174" s="2427">
        <v>0</v>
      </c>
      <c r="G2174" s="2429">
        <v>0</v>
      </c>
      <c r="H2174" s="2430">
        <v>0</v>
      </c>
      <c r="I2174" s="2427">
        <v>0</v>
      </c>
      <c r="J2174" s="2431">
        <v>0</v>
      </c>
    </row>
    <row r="2175" spans="1:10" x14ac:dyDescent="0.2">
      <c r="A2175" s="2445" t="s">
        <v>121</v>
      </c>
      <c r="B2175" s="2446">
        <v>3782.2000000000003</v>
      </c>
      <c r="C2175" s="2447"/>
      <c r="D2175" s="2448">
        <v>49229.08</v>
      </c>
      <c r="E2175" s="2449">
        <v>99.999999999999986</v>
      </c>
      <c r="F2175" s="2446">
        <v>9.4770325286826083</v>
      </c>
      <c r="G2175" s="2448">
        <v>0.27165411956662328</v>
      </c>
      <c r="H2175" s="2449">
        <v>100</v>
      </c>
      <c r="I2175" s="2446">
        <v>23.479681025310569</v>
      </c>
      <c r="J2175" s="2450">
        <v>0.76175830331510563</v>
      </c>
    </row>
    <row r="2176" spans="1:10" ht="14.25" thickBot="1" x14ac:dyDescent="0.25">
      <c r="A2176" s="2457" t="s">
        <v>1840</v>
      </c>
      <c r="B2176" s="2446">
        <v>39909.116999999998</v>
      </c>
      <c r="C2176" s="2458"/>
      <c r="D2176" s="2448">
        <v>209666.7324693728</v>
      </c>
      <c r="E2176" s="2459"/>
      <c r="F2176" s="2460">
        <v>100.00000000000001</v>
      </c>
      <c r="G2176" s="2461">
        <v>2.8664470523283687</v>
      </c>
      <c r="H2176" s="2462"/>
      <c r="I2176" s="2460">
        <v>100</v>
      </c>
      <c r="J2176" s="2463">
        <v>3.2443298633143582</v>
      </c>
    </row>
    <row r="2177" spans="1:10" ht="15" thickBot="1" x14ac:dyDescent="0.25">
      <c r="A2177" s="2464" t="s">
        <v>1841</v>
      </c>
      <c r="B2177" s="2465">
        <v>1392285.1624830281</v>
      </c>
      <c r="C2177" s="2466"/>
      <c r="D2177" s="2467">
        <v>6462559.0276810033</v>
      </c>
      <c r="E2177" s="2468"/>
      <c r="F2177" s="2469"/>
      <c r="G2177" s="2469"/>
      <c r="H2177" s="2469"/>
      <c r="I2177" s="2469"/>
      <c r="J2177" s="2469"/>
    </row>
    <row r="2178" spans="1:10" ht="16.5" thickBot="1" x14ac:dyDescent="0.3">
      <c r="A2178" s="2470" t="s">
        <v>1842</v>
      </c>
      <c r="B2178" s="2471">
        <v>2.8664470523283687</v>
      </c>
      <c r="C2178" s="2472"/>
      <c r="D2178" s="2473">
        <v>3.2443298633143582</v>
      </c>
      <c r="E2178" s="2468"/>
      <c r="F2178" s="2469"/>
      <c r="G2178" s="2469"/>
      <c r="H2178" s="2469"/>
      <c r="I2178" s="2469"/>
      <c r="J2178" s="2469"/>
    </row>
    <row r="2179" spans="1:10" x14ac:dyDescent="0.2">
      <c r="A2179" s="2474" t="s">
        <v>2023</v>
      </c>
      <c r="B2179" s="2474"/>
      <c r="C2179" s="2474"/>
      <c r="D2179" s="2475"/>
      <c r="E2179" s="2474"/>
      <c r="F2179" s="2474"/>
      <c r="H2179" s="2474"/>
      <c r="I2179" s="2474"/>
      <c r="J2179" s="2474"/>
    </row>
    <row r="2180" spans="1:10" x14ac:dyDescent="0.2">
      <c r="A2180" s="2474" t="s">
        <v>1843</v>
      </c>
      <c r="B2180" s="2474"/>
      <c r="C2180" s="2474"/>
      <c r="D2180" s="2474"/>
      <c r="E2180" s="2474"/>
      <c r="F2180" s="2474"/>
      <c r="G2180" s="2474"/>
      <c r="H2180" s="2474"/>
      <c r="I2180" s="2474"/>
      <c r="J2180" s="2474"/>
    </row>
    <row r="2181" spans="1:10" x14ac:dyDescent="0.2">
      <c r="A2181" s="2474" t="s">
        <v>2024</v>
      </c>
      <c r="B2181" s="2474"/>
      <c r="C2181" s="2474"/>
      <c r="D2181" s="2474"/>
      <c r="E2181" s="2474"/>
      <c r="F2181" s="2474"/>
      <c r="G2181" s="2474"/>
      <c r="H2181" s="2474"/>
      <c r="I2181" s="2474"/>
      <c r="J2181" s="2474"/>
    </row>
    <row r="2185" spans="1:10" ht="13.5" thickBot="1" x14ac:dyDescent="0.25">
      <c r="A2185" s="3321" t="s">
        <v>2021</v>
      </c>
      <c r="B2185" s="3321"/>
      <c r="C2185" s="3321"/>
      <c r="D2185" s="3321"/>
      <c r="E2185" s="3321"/>
      <c r="F2185" s="3321"/>
      <c r="G2185" s="3321"/>
      <c r="H2185" s="3321"/>
      <c r="I2185" s="3321"/>
      <c r="J2185" s="3321"/>
    </row>
    <row r="2186" spans="1:10" ht="13.5" customHeight="1" thickBot="1" x14ac:dyDescent="0.25">
      <c r="A2186" s="3322" t="s">
        <v>379</v>
      </c>
      <c r="B2186" s="3324" t="s">
        <v>1272</v>
      </c>
      <c r="C2186" s="3324" t="s">
        <v>1832</v>
      </c>
      <c r="D2186" s="3326" t="s">
        <v>1844</v>
      </c>
      <c r="E2186" s="3328" t="s">
        <v>1849</v>
      </c>
      <c r="F2186" s="3329"/>
      <c r="G2186" s="3330"/>
      <c r="H2186" s="3328" t="s">
        <v>1850</v>
      </c>
      <c r="I2186" s="3329"/>
      <c r="J2186" s="3331"/>
    </row>
    <row r="2187" spans="1:10" ht="13.5" customHeight="1" thickBot="1" x14ac:dyDescent="0.25">
      <c r="A2187" s="3323"/>
      <c r="B2187" s="3325"/>
      <c r="C2187" s="3325"/>
      <c r="D2187" s="3327"/>
      <c r="E2187" s="2415" t="s">
        <v>1848</v>
      </c>
      <c r="F2187" s="2416" t="s">
        <v>1231</v>
      </c>
      <c r="G2187" s="2417" t="s">
        <v>1833</v>
      </c>
      <c r="H2187" s="2415" t="s">
        <v>1848</v>
      </c>
      <c r="I2187" s="2416" t="s">
        <v>1231</v>
      </c>
      <c r="J2187" s="2418" t="s">
        <v>1833</v>
      </c>
    </row>
    <row r="2188" spans="1:10" x14ac:dyDescent="0.2">
      <c r="A2188" s="2419" t="s">
        <v>1851</v>
      </c>
      <c r="B2188" s="2420"/>
      <c r="C2188" s="2420"/>
      <c r="D2188" s="2421"/>
      <c r="E2188" s="2422"/>
      <c r="F2188" s="2423"/>
      <c r="G2188" s="2424"/>
      <c r="H2188" s="2422"/>
      <c r="I2188" s="2423"/>
      <c r="J2188" s="2425"/>
    </row>
    <row r="2189" spans="1:10" x14ac:dyDescent="0.2">
      <c r="A2189" s="2426" t="s">
        <v>410</v>
      </c>
      <c r="B2189" s="2427">
        <v>0</v>
      </c>
      <c r="C2189" s="2428">
        <v>5667200.0000000009</v>
      </c>
      <c r="D2189" s="2429">
        <v>0</v>
      </c>
      <c r="E2189" s="2430">
        <v>0</v>
      </c>
      <c r="F2189" s="2427">
        <v>0</v>
      </c>
      <c r="G2189" s="2429">
        <v>0</v>
      </c>
      <c r="H2189" s="2430">
        <v>0</v>
      </c>
      <c r="I2189" s="2427">
        <v>0</v>
      </c>
      <c r="J2189" s="2431">
        <v>0</v>
      </c>
    </row>
    <row r="2190" spans="1:10" x14ac:dyDescent="0.2">
      <c r="A2190" s="2426" t="s">
        <v>411</v>
      </c>
      <c r="B2190" s="2427">
        <v>0</v>
      </c>
      <c r="C2190" s="2428">
        <v>1753716.5000000002</v>
      </c>
      <c r="D2190" s="2429">
        <v>0</v>
      </c>
      <c r="E2190" s="2430">
        <v>0</v>
      </c>
      <c r="F2190" s="2427">
        <v>0</v>
      </c>
      <c r="G2190" s="2429">
        <v>0</v>
      </c>
      <c r="H2190" s="2430">
        <v>0</v>
      </c>
      <c r="I2190" s="2427">
        <v>0</v>
      </c>
      <c r="J2190" s="2431">
        <v>0</v>
      </c>
    </row>
    <row r="2191" spans="1:10" x14ac:dyDescent="0.2">
      <c r="A2191" s="2426" t="s">
        <v>278</v>
      </c>
      <c r="B2191" s="2427">
        <v>1793.5</v>
      </c>
      <c r="C2191" s="2428">
        <v>1637875</v>
      </c>
      <c r="D2191" s="2429">
        <v>2937.5288125000002</v>
      </c>
      <c r="E2191" s="2430">
        <v>10.984012581364219</v>
      </c>
      <c r="F2191" s="2427">
        <v>9.4058892142010198</v>
      </c>
      <c r="G2191" s="2429">
        <v>0.12881700159767828</v>
      </c>
      <c r="H2191" s="2430">
        <v>3.041583701099686</v>
      </c>
      <c r="I2191" s="2427">
        <v>2.7276684614278972</v>
      </c>
      <c r="J2191" s="2431">
        <v>4.5454576119424481E-2</v>
      </c>
    </row>
    <row r="2192" spans="1:10" x14ac:dyDescent="0.2">
      <c r="A2192" s="2426" t="s">
        <v>200</v>
      </c>
      <c r="B2192" s="2427">
        <v>136.5</v>
      </c>
      <c r="C2192" s="2428">
        <v>7709114.5</v>
      </c>
      <c r="D2192" s="2429">
        <v>1052.29412925</v>
      </c>
      <c r="E2192" s="2430">
        <v>0.83597307909462837</v>
      </c>
      <c r="F2192" s="2427">
        <v>0.71586500013294629</v>
      </c>
      <c r="G2192" s="2429">
        <v>9.804026048554829E-3</v>
      </c>
      <c r="H2192" s="2430">
        <v>1.0895691162823911</v>
      </c>
      <c r="I2192" s="2427">
        <v>0.97711705712876495</v>
      </c>
      <c r="J2192" s="2431">
        <v>1.628293257736944E-2</v>
      </c>
    </row>
    <row r="2193" spans="1:10" x14ac:dyDescent="0.2">
      <c r="A2193" s="2426" t="s">
        <v>429</v>
      </c>
      <c r="B2193" s="2427">
        <v>0</v>
      </c>
      <c r="C2193" s="2428">
        <v>1255000</v>
      </c>
      <c r="D2193" s="2429">
        <v>0</v>
      </c>
      <c r="E2193" s="2430">
        <v>0</v>
      </c>
      <c r="F2193" s="2427">
        <v>0</v>
      </c>
      <c r="G2193" s="2429">
        <v>0</v>
      </c>
      <c r="H2193" s="2430">
        <v>0</v>
      </c>
      <c r="I2193" s="2427">
        <v>0</v>
      </c>
      <c r="J2193" s="2431">
        <v>0</v>
      </c>
    </row>
    <row r="2194" spans="1:10" x14ac:dyDescent="0.2">
      <c r="A2194" s="2432" t="s">
        <v>431</v>
      </c>
      <c r="B2194" s="2427">
        <v>0</v>
      </c>
      <c r="C2194" s="2428">
        <v>0</v>
      </c>
      <c r="D2194" s="2429">
        <v>0</v>
      </c>
      <c r="E2194" s="2430">
        <v>0</v>
      </c>
      <c r="F2194" s="2427">
        <v>0</v>
      </c>
      <c r="G2194" s="2429">
        <v>0</v>
      </c>
      <c r="H2194" s="2430">
        <v>0</v>
      </c>
      <c r="I2194" s="2427">
        <v>0</v>
      </c>
      <c r="J2194" s="2431">
        <v>0</v>
      </c>
    </row>
    <row r="2195" spans="1:10" x14ac:dyDescent="0.2">
      <c r="A2195" s="2432" t="s">
        <v>430</v>
      </c>
      <c r="B2195" s="2427">
        <v>0</v>
      </c>
      <c r="C2195" s="2428">
        <v>0</v>
      </c>
      <c r="D2195" s="2429">
        <v>0</v>
      </c>
      <c r="E2195" s="2430">
        <v>0</v>
      </c>
      <c r="F2195" s="2427">
        <v>0</v>
      </c>
      <c r="G2195" s="2429">
        <v>0</v>
      </c>
      <c r="H2195" s="2430">
        <v>0</v>
      </c>
      <c r="I2195" s="2427">
        <v>0</v>
      </c>
      <c r="J2195" s="2431">
        <v>0</v>
      </c>
    </row>
    <row r="2196" spans="1:10" x14ac:dyDescent="0.2">
      <c r="A2196" s="2433" t="s">
        <v>279</v>
      </c>
      <c r="B2196" s="2434">
        <v>1930</v>
      </c>
      <c r="C2196" s="2433"/>
      <c r="D2196" s="2435">
        <v>3989.8229417500002</v>
      </c>
      <c r="E2196" s="2436">
        <v>11.819985660458848</v>
      </c>
      <c r="F2196" s="2434">
        <v>10.121754214333967</v>
      </c>
      <c r="G2196" s="2435">
        <v>0.1386210276462331</v>
      </c>
      <c r="H2196" s="2436">
        <v>4.1311528173820768</v>
      </c>
      <c r="I2196" s="2434">
        <v>3.7047855185566623</v>
      </c>
      <c r="J2196" s="2437">
        <v>6.1737508696793925E-2</v>
      </c>
    </row>
    <row r="2197" spans="1:10" x14ac:dyDescent="0.2">
      <c r="A2197" s="2438" t="s">
        <v>412</v>
      </c>
      <c r="B2197" s="2427">
        <v>55.5</v>
      </c>
      <c r="C2197" s="2428">
        <v>4129499.9999999995</v>
      </c>
      <c r="D2197" s="2429">
        <v>229.18724999999998</v>
      </c>
      <c r="E2197" s="2430">
        <v>0.33990114204946426</v>
      </c>
      <c r="F2197" s="2427">
        <v>0.29106598906504411</v>
      </c>
      <c r="G2197" s="2429">
        <v>3.9862523494124035E-3</v>
      </c>
      <c r="H2197" s="2430">
        <v>0.23730565675936119</v>
      </c>
      <c r="I2197" s="2427">
        <v>0.21281385596158836</v>
      </c>
      <c r="J2197" s="2431">
        <v>3.5463854027224344E-3</v>
      </c>
    </row>
    <row r="2198" spans="1:10" x14ac:dyDescent="0.2">
      <c r="A2198" s="2438" t="s">
        <v>413</v>
      </c>
      <c r="B2198" s="2427">
        <v>528</v>
      </c>
      <c r="C2198" s="2428">
        <v>1200000</v>
      </c>
      <c r="D2198" s="2429">
        <v>633.6</v>
      </c>
      <c r="E2198" s="2430">
        <v>3.2336541081462542</v>
      </c>
      <c r="F2198" s="2427">
        <v>2.7690602202944739</v>
      </c>
      <c r="G2198" s="2429">
        <v>3.7923265594409887E-2</v>
      </c>
      <c r="H2198" s="2430">
        <v>0.65604375515100111</v>
      </c>
      <c r="I2198" s="2427">
        <v>0.58833490579106129</v>
      </c>
      <c r="J2198" s="2431">
        <v>9.8041657691033627E-3</v>
      </c>
    </row>
    <row r="2199" spans="1:10" x14ac:dyDescent="0.2">
      <c r="A2199" s="2426" t="s">
        <v>90</v>
      </c>
      <c r="B2199" s="2427">
        <v>0</v>
      </c>
      <c r="C2199" s="2428">
        <v>1743000</v>
      </c>
      <c r="D2199" s="2429">
        <v>0</v>
      </c>
      <c r="E2199" s="2430">
        <v>0</v>
      </c>
      <c r="F2199" s="2427">
        <v>0</v>
      </c>
      <c r="G2199" s="2429">
        <v>0</v>
      </c>
      <c r="H2199" s="2430">
        <v>0</v>
      </c>
      <c r="I2199" s="2427">
        <v>0</v>
      </c>
      <c r="J2199" s="2431">
        <v>0</v>
      </c>
    </row>
    <row r="2200" spans="1:10" x14ac:dyDescent="0.2">
      <c r="A2200" s="2426" t="s">
        <v>417</v>
      </c>
      <c r="B2200" s="2427">
        <v>149.5</v>
      </c>
      <c r="C2200" s="2428">
        <v>2563999.9999999995</v>
      </c>
      <c r="D2200" s="2429">
        <v>383.31799999999993</v>
      </c>
      <c r="E2200" s="2430">
        <v>0.91558956281792625</v>
      </c>
      <c r="F2200" s="2427">
        <v>0.78404261919322693</v>
      </c>
      <c r="G2200" s="2429">
        <v>1.0737742815083861E-2</v>
      </c>
      <c r="H2200" s="2430">
        <v>0.39689611764042204</v>
      </c>
      <c r="I2200" s="2427">
        <v>0.35593333241480107</v>
      </c>
      <c r="J2200" s="2431">
        <v>5.931365552842743E-3</v>
      </c>
    </row>
    <row r="2201" spans="1:10" x14ac:dyDescent="0.2">
      <c r="A2201" s="2426" t="s">
        <v>418</v>
      </c>
      <c r="B2201" s="2427">
        <v>104</v>
      </c>
      <c r="C2201" s="2428">
        <v>2222500</v>
      </c>
      <c r="D2201" s="2429">
        <v>231.14</v>
      </c>
      <c r="E2201" s="2430">
        <v>0.6369318697863835</v>
      </c>
      <c r="F2201" s="2427">
        <v>0.54542095248224487</v>
      </c>
      <c r="G2201" s="2429">
        <v>7.4697341322322508E-3</v>
      </c>
      <c r="H2201" s="2430">
        <v>0.23932757822853912</v>
      </c>
      <c r="I2201" s="2427">
        <v>0.21462709931273022</v>
      </c>
      <c r="J2201" s="2431">
        <v>3.5766017611593291E-3</v>
      </c>
    </row>
    <row r="2202" spans="1:10" x14ac:dyDescent="0.2">
      <c r="A2202" s="2426" t="s">
        <v>423</v>
      </c>
      <c r="B2202" s="2427">
        <v>0</v>
      </c>
      <c r="C2202" s="2428">
        <v>2531500</v>
      </c>
      <c r="D2202" s="2429">
        <v>0</v>
      </c>
      <c r="E2202" s="2430">
        <v>0</v>
      </c>
      <c r="F2202" s="2427">
        <v>0</v>
      </c>
      <c r="G2202" s="2429">
        <v>0</v>
      </c>
      <c r="H2202" s="2430">
        <v>0</v>
      </c>
      <c r="I2202" s="2427">
        <v>0</v>
      </c>
      <c r="J2202" s="2431">
        <v>0</v>
      </c>
    </row>
    <row r="2203" spans="1:10" x14ac:dyDescent="0.2">
      <c r="A2203" s="2426" t="s">
        <v>424</v>
      </c>
      <c r="B2203" s="2427">
        <v>0</v>
      </c>
      <c r="C2203" s="2428">
        <v>1369000</v>
      </c>
      <c r="D2203" s="2429">
        <v>0</v>
      </c>
      <c r="E2203" s="2430">
        <v>0</v>
      </c>
      <c r="F2203" s="2427">
        <v>0</v>
      </c>
      <c r="G2203" s="2429">
        <v>0</v>
      </c>
      <c r="H2203" s="2430">
        <v>0</v>
      </c>
      <c r="I2203" s="2427">
        <v>0</v>
      </c>
      <c r="J2203" s="2431">
        <v>0</v>
      </c>
    </row>
    <row r="2204" spans="1:10" x14ac:dyDescent="0.2">
      <c r="A2204" s="2426" t="s">
        <v>280</v>
      </c>
      <c r="B2204" s="2427">
        <v>0</v>
      </c>
      <c r="C2204" s="2428">
        <v>1574500</v>
      </c>
      <c r="D2204" s="2429">
        <v>0</v>
      </c>
      <c r="E2204" s="2430">
        <v>0</v>
      </c>
      <c r="F2204" s="2427">
        <v>0</v>
      </c>
      <c r="G2204" s="2429">
        <v>0</v>
      </c>
      <c r="H2204" s="2430">
        <v>0</v>
      </c>
      <c r="I2204" s="2427">
        <v>0</v>
      </c>
      <c r="J2204" s="2431">
        <v>0</v>
      </c>
    </row>
    <row r="2205" spans="1:10" x14ac:dyDescent="0.2">
      <c r="A2205" s="2426" t="s">
        <v>427</v>
      </c>
      <c r="B2205" s="2427">
        <v>0</v>
      </c>
      <c r="C2205" s="2428">
        <v>2072000</v>
      </c>
      <c r="D2205" s="2429">
        <v>0</v>
      </c>
      <c r="E2205" s="2430">
        <v>0</v>
      </c>
      <c r="F2205" s="2427">
        <v>0</v>
      </c>
      <c r="G2205" s="2429">
        <v>0</v>
      </c>
      <c r="H2205" s="2430">
        <v>0</v>
      </c>
      <c r="I2205" s="2427">
        <v>0</v>
      </c>
      <c r="J2205" s="2431">
        <v>0</v>
      </c>
    </row>
    <row r="2206" spans="1:10" x14ac:dyDescent="0.2">
      <c r="A2206" s="2426" t="s">
        <v>428</v>
      </c>
      <c r="B2206" s="2427">
        <v>0</v>
      </c>
      <c r="C2206" s="2428">
        <v>1326280</v>
      </c>
      <c r="D2206" s="2429">
        <v>0</v>
      </c>
      <c r="E2206" s="2430">
        <v>0</v>
      </c>
      <c r="F2206" s="2427">
        <v>0</v>
      </c>
      <c r="G2206" s="2429">
        <v>0</v>
      </c>
      <c r="H2206" s="2430">
        <v>0</v>
      </c>
      <c r="I2206" s="2427">
        <v>0</v>
      </c>
      <c r="J2206" s="2431">
        <v>0</v>
      </c>
    </row>
    <row r="2207" spans="1:10" x14ac:dyDescent="0.2">
      <c r="A2207" s="2439" t="s">
        <v>92</v>
      </c>
      <c r="B2207" s="2427">
        <v>162</v>
      </c>
      <c r="C2207" s="2428">
        <v>2215500</v>
      </c>
      <c r="D2207" s="2429">
        <v>358.911</v>
      </c>
      <c r="E2207" s="2430">
        <v>0.99214387409032812</v>
      </c>
      <c r="F2207" s="2427">
        <v>0.84959802213580449</v>
      </c>
      <c r="G2207" s="2429">
        <v>1.1635547398284851E-2</v>
      </c>
      <c r="H2207" s="2430">
        <v>0.37162455840435754</v>
      </c>
      <c r="I2207" s="2427">
        <v>0.33326999585286549</v>
      </c>
      <c r="J2207" s="2431">
        <v>5.5536978225294463E-3</v>
      </c>
    </row>
    <row r="2208" spans="1:10" x14ac:dyDescent="0.2">
      <c r="A2208" s="2433" t="s">
        <v>281</v>
      </c>
      <c r="B2208" s="2434">
        <v>999</v>
      </c>
      <c r="C2208" s="2433"/>
      <c r="D2208" s="2435">
        <v>1836.15625</v>
      </c>
      <c r="E2208" s="2436">
        <v>6.1182205568903569</v>
      </c>
      <c r="F2208" s="2434">
        <v>5.2391878031707941</v>
      </c>
      <c r="G2208" s="2435">
        <v>7.1752542289423252E-2</v>
      </c>
      <c r="H2208" s="2436">
        <v>1.9011976661836811</v>
      </c>
      <c r="I2208" s="2434">
        <v>1.7049791893330464</v>
      </c>
      <c r="J2208" s="2437">
        <v>2.8412216308357316E-2</v>
      </c>
    </row>
    <row r="2209" spans="1:10" x14ac:dyDescent="0.2">
      <c r="A2209" s="2440" t="s">
        <v>106</v>
      </c>
      <c r="B2209" s="2441">
        <v>2929</v>
      </c>
      <c r="C2209" s="2440"/>
      <c r="D2209" s="2442">
        <v>5825.9791917500006</v>
      </c>
      <c r="E2209" s="2443">
        <v>17.938206217349205</v>
      </c>
      <c r="F2209" s="2441">
        <v>15.360942017504762</v>
      </c>
      <c r="G2209" s="2442">
        <v>0.21037356993565637</v>
      </c>
      <c r="H2209" s="2443">
        <v>6.0323504835657582</v>
      </c>
      <c r="I2209" s="2441">
        <v>5.4097647078897086</v>
      </c>
      <c r="J2209" s="2444">
        <v>9.0149725005151254E-2</v>
      </c>
    </row>
    <row r="2210" spans="1:10" x14ac:dyDescent="0.2">
      <c r="A2210" s="2426" t="s">
        <v>905</v>
      </c>
      <c r="B2210" s="2427">
        <v>0</v>
      </c>
      <c r="C2210" s="2428">
        <v>6100000</v>
      </c>
      <c r="D2210" s="2429">
        <v>0</v>
      </c>
      <c r="E2210" s="2430">
        <v>0</v>
      </c>
      <c r="F2210" s="2427">
        <v>0</v>
      </c>
      <c r="G2210" s="2429">
        <v>0</v>
      </c>
      <c r="H2210" s="2430">
        <v>0</v>
      </c>
      <c r="I2210" s="2427">
        <v>0</v>
      </c>
      <c r="J2210" s="2431">
        <v>0</v>
      </c>
    </row>
    <row r="2211" spans="1:10" x14ac:dyDescent="0.2">
      <c r="A2211" s="2426" t="s">
        <v>906</v>
      </c>
      <c r="B2211" s="2427">
        <v>336</v>
      </c>
      <c r="C2211" s="2428">
        <v>3022000.0000000005</v>
      </c>
      <c r="D2211" s="2429">
        <v>1015.3920000000002</v>
      </c>
      <c r="E2211" s="2430">
        <v>2.057779887002162</v>
      </c>
      <c r="F2211" s="2427">
        <v>1.7621292310964833</v>
      </c>
      <c r="G2211" s="2429">
        <v>2.4132987196442655E-2</v>
      </c>
      <c r="H2211" s="2430">
        <v>1.0513598179139607</v>
      </c>
      <c r="I2211" s="2427">
        <v>0.9428512573563721</v>
      </c>
      <c r="J2211" s="2431">
        <v>1.5711918384819133E-2</v>
      </c>
    </row>
    <row r="2212" spans="1:10" x14ac:dyDescent="0.2">
      <c r="A2212" s="2426" t="s">
        <v>907</v>
      </c>
      <c r="B2212" s="2427">
        <v>140</v>
      </c>
      <c r="C2212" s="2428">
        <v>2324000</v>
      </c>
      <c r="D2212" s="2429">
        <v>325.36</v>
      </c>
      <c r="E2212" s="2430">
        <v>0.85740828625090093</v>
      </c>
      <c r="F2212" s="2427">
        <v>0.73422051295686808</v>
      </c>
      <c r="G2212" s="2429">
        <v>1.0055411331851108E-2</v>
      </c>
      <c r="H2212" s="2430">
        <v>0.33688509497463659</v>
      </c>
      <c r="I2212" s="2427">
        <v>0.30211591690053613</v>
      </c>
      <c r="J2212" s="2431">
        <v>5.034538154412042E-3</v>
      </c>
    </row>
    <row r="2213" spans="1:10" x14ac:dyDescent="0.2">
      <c r="A2213" s="2439" t="s">
        <v>908</v>
      </c>
      <c r="B2213" s="2427">
        <v>741</v>
      </c>
      <c r="C2213" s="2428">
        <v>2403999.9999999995</v>
      </c>
      <c r="D2213" s="2429">
        <v>1781.3639999999998</v>
      </c>
      <c r="E2213" s="2430">
        <v>4.5381395722279825</v>
      </c>
      <c r="F2213" s="2427">
        <v>3.8861242864359942</v>
      </c>
      <c r="G2213" s="2429">
        <v>5.3221855692154783E-2</v>
      </c>
      <c r="H2213" s="2430">
        <v>1.8444645325928155</v>
      </c>
      <c r="I2213" s="2427">
        <v>1.6541013590902585</v>
      </c>
      <c r="J2213" s="2431">
        <v>2.7564374922842552E-2</v>
      </c>
    </row>
    <row r="2214" spans="1:10" x14ac:dyDescent="0.2">
      <c r="A2214" s="2440" t="s">
        <v>282</v>
      </c>
      <c r="B2214" s="2441">
        <v>1217</v>
      </c>
      <c r="C2214" s="2440"/>
      <c r="D2214" s="2442">
        <v>3122.116</v>
      </c>
      <c r="E2214" s="2443">
        <v>7.4533277454810447</v>
      </c>
      <c r="F2214" s="2441">
        <v>6.3824740304893464</v>
      </c>
      <c r="G2214" s="2442">
        <v>8.7410254220448555E-2</v>
      </c>
      <c r="H2214" s="2443">
        <v>3.2327094454814125</v>
      </c>
      <c r="I2214" s="2441">
        <v>2.8990685333471666</v>
      </c>
      <c r="J2214" s="2444">
        <v>4.8310831462073725E-2</v>
      </c>
    </row>
    <row r="2215" spans="1:10" x14ac:dyDescent="0.2">
      <c r="A2215" s="2426" t="s">
        <v>955</v>
      </c>
      <c r="B2215" s="2427">
        <v>78.695999999999998</v>
      </c>
      <c r="C2215" s="2428">
        <v>12137000</v>
      </c>
      <c r="D2215" s="2429">
        <v>955.13335199999995</v>
      </c>
      <c r="E2215" s="2430">
        <v>0.48196144639143496</v>
      </c>
      <c r="F2215" s="2427">
        <v>0.41271583919752636</v>
      </c>
      <c r="G2215" s="2429">
        <v>5.6522903583668188E-3</v>
      </c>
      <c r="H2215" s="2430">
        <v>0.98896665232961323</v>
      </c>
      <c r="I2215" s="2427">
        <v>0.88689755471404752</v>
      </c>
      <c r="J2215" s="2431">
        <v>1.4779491342498978E-2</v>
      </c>
    </row>
    <row r="2216" spans="1:10" x14ac:dyDescent="0.2">
      <c r="A2216" s="2426" t="s">
        <v>283</v>
      </c>
      <c r="B2216" s="2427">
        <v>2808.1946915345939</v>
      </c>
      <c r="C2216" s="2428">
        <v>13024549.999999996</v>
      </c>
      <c r="D2216" s="2429">
        <v>36575.472169626883</v>
      </c>
      <c r="E2216" s="2430">
        <v>17.198352842339666</v>
      </c>
      <c r="F2216" s="2427">
        <v>14.727386763580597</v>
      </c>
      <c r="G2216" s="2429">
        <v>0.20169680516643626</v>
      </c>
      <c r="H2216" s="2430">
        <v>37.871070247132188</v>
      </c>
      <c r="I2216" s="2427">
        <v>33.962479439995285</v>
      </c>
      <c r="J2216" s="2431">
        <v>0.56595958370304378</v>
      </c>
    </row>
    <row r="2217" spans="1:10" x14ac:dyDescent="0.2">
      <c r="A2217" s="2426" t="s">
        <v>69</v>
      </c>
      <c r="B2217" s="2427">
        <v>2218.0863084654061</v>
      </c>
      <c r="C2217" s="2428">
        <v>14978232.499999994</v>
      </c>
      <c r="D2217" s="2429">
        <v>33223.01243326156</v>
      </c>
      <c r="E2217" s="2430">
        <v>13.584325574985076</v>
      </c>
      <c r="F2217" s="2427">
        <v>11.632603337029117</v>
      </c>
      <c r="G2217" s="2429">
        <v>0.15931264429404882</v>
      </c>
      <c r="H2217" s="2430">
        <v>34.399857692779854</v>
      </c>
      <c r="I2217" s="2427">
        <v>30.849523185003463</v>
      </c>
      <c r="J2217" s="2431">
        <v>0.51408447166142424</v>
      </c>
    </row>
    <row r="2218" spans="1:10" x14ac:dyDescent="0.2">
      <c r="A2218" s="2426" t="s">
        <v>199</v>
      </c>
      <c r="B2218" s="2427">
        <v>250</v>
      </c>
      <c r="C2218" s="2428">
        <v>3000000</v>
      </c>
      <c r="D2218" s="2429">
        <v>750</v>
      </c>
      <c r="E2218" s="2430">
        <v>1.5310862254480373</v>
      </c>
      <c r="F2218" s="2427">
        <v>1.31110805885155</v>
      </c>
      <c r="G2218" s="2429">
        <v>1.7956091664019833E-2</v>
      </c>
      <c r="H2218" s="2430">
        <v>0.77656694501775703</v>
      </c>
      <c r="I2218" s="2427">
        <v>0.69641915931707055</v>
      </c>
      <c r="J2218" s="2431">
        <v>1.1605309859260608E-2</v>
      </c>
    </row>
    <row r="2219" spans="1:10" x14ac:dyDescent="0.2">
      <c r="A2219" s="2426" t="s">
        <v>86</v>
      </c>
      <c r="B2219" s="2427">
        <v>250</v>
      </c>
      <c r="C2219" s="2428">
        <v>170000</v>
      </c>
      <c r="D2219" s="2429">
        <v>42.5</v>
      </c>
      <c r="E2219" s="2430">
        <v>1.5310862254480373</v>
      </c>
      <c r="F2219" s="2427">
        <v>1.31110805885155</v>
      </c>
      <c r="G2219" s="2429">
        <v>1.7956091664019833E-2</v>
      </c>
      <c r="H2219" s="2430">
        <v>4.4005460217672897E-2</v>
      </c>
      <c r="I2219" s="2427">
        <v>3.9463752361300668E-2</v>
      </c>
      <c r="J2219" s="2431">
        <v>6.5763422535810114E-4</v>
      </c>
    </row>
    <row r="2220" spans="1:10" x14ac:dyDescent="0.2">
      <c r="A2220" s="2439" t="s">
        <v>213</v>
      </c>
      <c r="B2220" s="2427">
        <v>2414.5</v>
      </c>
      <c r="C2220" s="2428">
        <v>1850000.0000000005</v>
      </c>
      <c r="D2220" s="2429">
        <v>4466.8250000000007</v>
      </c>
      <c r="E2220" s="2430">
        <v>14.787230765377144</v>
      </c>
      <c r="F2220" s="2427">
        <v>12.662681632388271</v>
      </c>
      <c r="G2220" s="2429">
        <v>0.17341993329110353</v>
      </c>
      <c r="H2220" s="2430">
        <v>4.6250515255719238</v>
      </c>
      <c r="I2220" s="2427">
        <v>4.1477100150886317</v>
      </c>
      <c r="J2220" s="2431">
        <v>6.9118517616122366E-2</v>
      </c>
    </row>
    <row r="2221" spans="1:10" x14ac:dyDescent="0.2">
      <c r="A2221" s="2433" t="s">
        <v>1834</v>
      </c>
      <c r="B2221" s="2434">
        <v>8019.4769999999999</v>
      </c>
      <c r="C2221" s="2433"/>
      <c r="D2221" s="2435">
        <v>76012.942954888436</v>
      </c>
      <c r="E2221" s="2436">
        <v>49.114043079989393</v>
      </c>
      <c r="F2221" s="2434">
        <v>42.057603689898606</v>
      </c>
      <c r="G2221" s="2435">
        <v>0.57599385643799506</v>
      </c>
      <c r="H2221" s="2436">
        <v>78.705518523048994</v>
      </c>
      <c r="I2221" s="2434">
        <v>70.582493106479788</v>
      </c>
      <c r="J2221" s="2437">
        <v>1.176205008407708</v>
      </c>
    </row>
    <row r="2222" spans="1:10" x14ac:dyDescent="0.2">
      <c r="A2222" s="2426" t="s">
        <v>961</v>
      </c>
      <c r="B2222" s="2427">
        <v>903.8</v>
      </c>
      <c r="C2222" s="2428">
        <v>3668000</v>
      </c>
      <c r="D2222" s="2429">
        <v>3315.1383999999998</v>
      </c>
      <c r="E2222" s="2430">
        <v>5.535182922239744</v>
      </c>
      <c r="F2222" s="2427">
        <v>4.7399178543601233</v>
      </c>
      <c r="G2222" s="2429">
        <v>6.4914862583764499E-2</v>
      </c>
      <c r="H2222" s="2430">
        <v>3.4325691994654064</v>
      </c>
      <c r="I2222" s="2427">
        <v>3.0783011967303175</v>
      </c>
      <c r="J2222" s="2431">
        <v>5.1297611144444588E-2</v>
      </c>
    </row>
    <row r="2223" spans="1:10" x14ac:dyDescent="0.2">
      <c r="A2223" s="2426" t="s">
        <v>962</v>
      </c>
      <c r="B2223" s="2427">
        <v>72</v>
      </c>
      <c r="C2223" s="2428">
        <v>1999999.9999999998</v>
      </c>
      <c r="D2223" s="2429">
        <v>143.99999999999997</v>
      </c>
      <c r="E2223" s="2430">
        <v>0.4409528329290347</v>
      </c>
      <c r="F2223" s="2427">
        <v>0.37759912094924641</v>
      </c>
      <c r="G2223" s="2429">
        <v>5.1713543992377119E-3</v>
      </c>
      <c r="H2223" s="2430">
        <v>0.14910085344340931</v>
      </c>
      <c r="I2223" s="2427">
        <v>0.13371247858887753</v>
      </c>
      <c r="J2223" s="2431">
        <v>2.2282194929780365E-3</v>
      </c>
    </row>
    <row r="2224" spans="1:10" x14ac:dyDescent="0.2">
      <c r="A2224" s="2426" t="s">
        <v>963</v>
      </c>
      <c r="B2224" s="2427">
        <v>174</v>
      </c>
      <c r="C2224" s="2428">
        <v>1347999.9999999998</v>
      </c>
      <c r="D2224" s="2429">
        <v>234.55199999999996</v>
      </c>
      <c r="E2224" s="2430">
        <v>1.0656360129118339</v>
      </c>
      <c r="F2224" s="2427">
        <v>0.91253120896067885</v>
      </c>
      <c r="G2224" s="2429">
        <v>1.2497439798157803E-2</v>
      </c>
      <c r="H2224" s="2430">
        <v>0.2428604401170732</v>
      </c>
      <c r="I2224" s="2427">
        <v>0.21779534220818333</v>
      </c>
      <c r="J2224" s="2431">
        <v>3.629398184145725E-3</v>
      </c>
    </row>
    <row r="2225" spans="1:10" x14ac:dyDescent="0.2">
      <c r="A2225" s="2426" t="s">
        <v>965</v>
      </c>
      <c r="B2225" s="2427">
        <v>690</v>
      </c>
      <c r="C2225" s="2428">
        <v>1599999.9999999995</v>
      </c>
      <c r="D2225" s="2429">
        <v>1103.9999999999998</v>
      </c>
      <c r="E2225" s="2430">
        <v>4.2257979822365819</v>
      </c>
      <c r="F2225" s="2427">
        <v>3.6186582424302784</v>
      </c>
      <c r="G2225" s="2429">
        <v>4.955881299269474E-2</v>
      </c>
      <c r="H2225" s="2430">
        <v>1.143106543066138</v>
      </c>
      <c r="I2225" s="2427">
        <v>1.0251290025147277</v>
      </c>
      <c r="J2225" s="2431">
        <v>1.7083016112831612E-2</v>
      </c>
    </row>
    <row r="2226" spans="1:10" x14ac:dyDescent="0.2">
      <c r="A2226" s="2426" t="s">
        <v>966</v>
      </c>
      <c r="B2226" s="2427">
        <v>49</v>
      </c>
      <c r="C2226" s="2428">
        <v>2244000</v>
      </c>
      <c r="D2226" s="2429">
        <v>109.956</v>
      </c>
      <c r="E2226" s="2430">
        <v>0.30009290018781526</v>
      </c>
      <c r="F2226" s="2427">
        <v>0.25697717953490379</v>
      </c>
      <c r="G2226" s="2429">
        <v>3.519393966147887E-3</v>
      </c>
      <c r="H2226" s="2430">
        <v>0.11385092667516332</v>
      </c>
      <c r="I2226" s="2427">
        <v>0.10210062010915708</v>
      </c>
      <c r="J2226" s="2431">
        <v>1.7014312678464791E-3</v>
      </c>
    </row>
    <row r="2227" spans="1:10" x14ac:dyDescent="0.2">
      <c r="A2227" s="2426" t="s">
        <v>1499</v>
      </c>
      <c r="B2227" s="2427">
        <v>42</v>
      </c>
      <c r="C2227" s="2428">
        <v>4849999.9999999991</v>
      </c>
      <c r="D2227" s="2429">
        <v>203.69999999999996</v>
      </c>
      <c r="E2227" s="2430">
        <v>0.25722248587527025</v>
      </c>
      <c r="F2227" s="2427">
        <v>0.22026615388706042</v>
      </c>
      <c r="G2227" s="2429">
        <v>3.0166233995553319E-3</v>
      </c>
      <c r="H2227" s="2430">
        <v>0.21091558226682275</v>
      </c>
      <c r="I2227" s="2427">
        <v>0.18914744367051634</v>
      </c>
      <c r="J2227" s="2431">
        <v>3.152002157775181E-3</v>
      </c>
    </row>
    <row r="2228" spans="1:10" x14ac:dyDescent="0.2">
      <c r="A2228" s="2426" t="s">
        <v>1575</v>
      </c>
      <c r="B2228" s="2427">
        <v>49</v>
      </c>
      <c r="C2228" s="2428">
        <v>2250000.0000000005</v>
      </c>
      <c r="D2228" s="2429">
        <v>110.25000000000003</v>
      </c>
      <c r="E2228" s="2430">
        <v>0.30009290018781526</v>
      </c>
      <c r="F2228" s="2427">
        <v>0.25697717953490379</v>
      </c>
      <c r="G2228" s="2429">
        <v>3.519393966147887E-3</v>
      </c>
      <c r="H2228" s="2430">
        <v>0.11415534091761032</v>
      </c>
      <c r="I2228" s="2427">
        <v>0.10237361641960939</v>
      </c>
      <c r="J2228" s="2431">
        <v>1.7059805493113097E-3</v>
      </c>
    </row>
    <row r="2229" spans="1:10" x14ac:dyDescent="0.2">
      <c r="A2229" s="2426" t="s">
        <v>964</v>
      </c>
      <c r="B2229" s="2427">
        <v>80.5</v>
      </c>
      <c r="C2229" s="2428">
        <v>1556000</v>
      </c>
      <c r="D2229" s="2429">
        <v>125.258</v>
      </c>
      <c r="E2229" s="2430">
        <v>0.49300976459426799</v>
      </c>
      <c r="F2229" s="2427">
        <v>0.42217679495019911</v>
      </c>
      <c r="G2229" s="2429">
        <v>5.7818615158143861E-3</v>
      </c>
      <c r="H2229" s="2430">
        <v>0.12969496319871227</v>
      </c>
      <c r="I2229" s="2427">
        <v>0.11630942807698348</v>
      </c>
      <c r="J2229" s="2431">
        <v>1.9382105364683536E-3</v>
      </c>
    </row>
    <row r="2230" spans="1:10" x14ac:dyDescent="0.2">
      <c r="A2230" s="2426" t="s">
        <v>969</v>
      </c>
      <c r="B2230" s="2427">
        <v>276</v>
      </c>
      <c r="C2230" s="2428">
        <v>4800000</v>
      </c>
      <c r="D2230" s="2429">
        <v>1324.8</v>
      </c>
      <c r="E2230" s="2430">
        <v>1.6903191928946331</v>
      </c>
      <c r="F2230" s="2427">
        <v>1.4474632969721113</v>
      </c>
      <c r="G2230" s="2429">
        <v>1.9823525197077897E-2</v>
      </c>
      <c r="H2230" s="2430">
        <v>1.3717278516793658</v>
      </c>
      <c r="I2230" s="2427">
        <v>1.2301548030176734</v>
      </c>
      <c r="J2230" s="2431">
        <v>2.0499619335397939E-2</v>
      </c>
    </row>
    <row r="2231" spans="1:10" x14ac:dyDescent="0.2">
      <c r="A2231" s="2426" t="s">
        <v>968</v>
      </c>
      <c r="B2231" s="2427">
        <v>44</v>
      </c>
      <c r="C2231" s="2428">
        <v>3050000.0000000009</v>
      </c>
      <c r="D2231" s="2429">
        <v>134.20000000000005</v>
      </c>
      <c r="E2231" s="2430">
        <v>0.26947117567885454</v>
      </c>
      <c r="F2231" s="2427">
        <v>0.23075501835787279</v>
      </c>
      <c r="G2231" s="2429">
        <v>3.1602721328674904E-3</v>
      </c>
      <c r="H2231" s="2430">
        <v>0.1389537120285107</v>
      </c>
      <c r="I2231" s="2427">
        <v>0.1246126015738012</v>
      </c>
      <c r="J2231" s="2431">
        <v>2.0765767774836991E-3</v>
      </c>
    </row>
    <row r="2232" spans="1:10" x14ac:dyDescent="0.2">
      <c r="A2232" s="2426" t="s">
        <v>1013</v>
      </c>
      <c r="B2232" s="2427">
        <v>0</v>
      </c>
      <c r="C2232" s="2428">
        <v>1799999.9999999998</v>
      </c>
      <c r="D2232" s="2429">
        <v>0</v>
      </c>
      <c r="E2232" s="2430">
        <v>0</v>
      </c>
      <c r="F2232" s="2427">
        <v>0</v>
      </c>
      <c r="G2232" s="2429">
        <v>0</v>
      </c>
      <c r="H2232" s="2430">
        <v>0</v>
      </c>
      <c r="I2232" s="2427">
        <v>0</v>
      </c>
      <c r="J2232" s="2431">
        <v>0</v>
      </c>
    </row>
    <row r="2233" spans="1:10" x14ac:dyDescent="0.2">
      <c r="A2233" s="2426" t="s">
        <v>1014</v>
      </c>
      <c r="B2233" s="2427">
        <v>0</v>
      </c>
      <c r="C2233" s="2428">
        <v>2195000.0000000005</v>
      </c>
      <c r="D2233" s="2429">
        <v>0</v>
      </c>
      <c r="E2233" s="2430">
        <v>0</v>
      </c>
      <c r="F2233" s="2427">
        <v>0</v>
      </c>
      <c r="G2233" s="2429">
        <v>0</v>
      </c>
      <c r="H2233" s="2430">
        <v>0</v>
      </c>
      <c r="I2233" s="2427">
        <v>0</v>
      </c>
      <c r="J2233" s="2431">
        <v>0</v>
      </c>
    </row>
    <row r="2234" spans="1:10" x14ac:dyDescent="0.2">
      <c r="A2234" s="2426" t="s">
        <v>970</v>
      </c>
      <c r="B2234" s="2427">
        <v>144</v>
      </c>
      <c r="C2234" s="2428">
        <v>3100000.0000000005</v>
      </c>
      <c r="D2234" s="2429">
        <v>446.40000000000003</v>
      </c>
      <c r="E2234" s="2430">
        <v>0.8819056658580694</v>
      </c>
      <c r="F2234" s="2427">
        <v>0.75519824189849283</v>
      </c>
      <c r="G2234" s="2429">
        <v>1.0342708798475424E-2</v>
      </c>
      <c r="H2234" s="2430">
        <v>0.46221264567456899</v>
      </c>
      <c r="I2234" s="2427">
        <v>0.4145086836255204</v>
      </c>
      <c r="J2234" s="2431">
        <v>6.9074804282319158E-3</v>
      </c>
    </row>
    <row r="2235" spans="1:10" x14ac:dyDescent="0.2">
      <c r="A2235" s="2426" t="s">
        <v>971</v>
      </c>
      <c r="B2235" s="2427">
        <v>77</v>
      </c>
      <c r="C2235" s="2428">
        <v>3010000</v>
      </c>
      <c r="D2235" s="2429">
        <v>231.77</v>
      </c>
      <c r="E2235" s="2430">
        <v>0.47157455743799548</v>
      </c>
      <c r="F2235" s="2427">
        <v>0.40382128212627744</v>
      </c>
      <c r="G2235" s="2429">
        <v>5.5304762325181084E-3</v>
      </c>
      <c r="H2235" s="2430">
        <v>0.23997989446235407</v>
      </c>
      <c r="I2235" s="2427">
        <v>0.21521209140655659</v>
      </c>
      <c r="J2235" s="2431">
        <v>3.5863502214411079E-3</v>
      </c>
    </row>
    <row r="2236" spans="1:10" x14ac:dyDescent="0.2">
      <c r="A2236" s="2426" t="s">
        <v>972</v>
      </c>
      <c r="B2236" s="2427">
        <v>770</v>
      </c>
      <c r="C2236" s="2428">
        <v>2744000.0000000005</v>
      </c>
      <c r="D2236" s="2429">
        <v>2112.8800000000006</v>
      </c>
      <c r="E2236" s="2430">
        <v>4.7157455743799543</v>
      </c>
      <c r="F2236" s="2427">
        <v>4.0382128212627748</v>
      </c>
      <c r="G2236" s="2429">
        <v>5.5304762325181084E-2</v>
      </c>
      <c r="H2236" s="2430">
        <v>2.1877236890521585</v>
      </c>
      <c r="I2236" s="2427">
        <v>1.9619334844504697</v>
      </c>
      <c r="J2236" s="2431">
        <v>3.269416946057941E-2</v>
      </c>
    </row>
    <row r="2237" spans="1:10" x14ac:dyDescent="0.2">
      <c r="A2237" s="2426" t="s">
        <v>973</v>
      </c>
      <c r="B2237" s="2427">
        <v>94.5</v>
      </c>
      <c r="C2237" s="2428">
        <v>2549999.9999999991</v>
      </c>
      <c r="D2237" s="2429">
        <v>240.97499999999991</v>
      </c>
      <c r="E2237" s="2430">
        <v>0.57875059321935807</v>
      </c>
      <c r="F2237" s="2427">
        <v>0.4955988462458859</v>
      </c>
      <c r="G2237" s="2429">
        <v>6.7874026489994962E-3</v>
      </c>
      <c r="H2237" s="2430">
        <v>0.24951095943420523</v>
      </c>
      <c r="I2237" s="2427">
        <v>0.22375947588857467</v>
      </c>
      <c r="J2237" s="2431">
        <v>3.7287860577804319E-3</v>
      </c>
    </row>
    <row r="2238" spans="1:10" x14ac:dyDescent="0.2">
      <c r="A2238" s="2426" t="s">
        <v>974</v>
      </c>
      <c r="B2238" s="2427">
        <v>196</v>
      </c>
      <c r="C2238" s="2428">
        <v>1583999.9999999995</v>
      </c>
      <c r="D2238" s="2429">
        <v>310.46399999999988</v>
      </c>
      <c r="E2238" s="2430">
        <v>1.200371600751261</v>
      </c>
      <c r="F2238" s="2427">
        <v>1.0279087181396152</v>
      </c>
      <c r="G2238" s="2429">
        <v>1.4077575864591548E-2</v>
      </c>
      <c r="H2238" s="2430">
        <v>0.32146144002399041</v>
      </c>
      <c r="I2238" s="2427">
        <v>0.28828410383761988</v>
      </c>
      <c r="J2238" s="2431">
        <v>4.8040412268606451E-3</v>
      </c>
    </row>
    <row r="2239" spans="1:10" x14ac:dyDescent="0.2">
      <c r="A2239" s="2426" t="s">
        <v>975</v>
      </c>
      <c r="B2239" s="2427">
        <v>90</v>
      </c>
      <c r="C2239" s="2428">
        <v>2532000.0000000009</v>
      </c>
      <c r="D2239" s="2429">
        <v>227.88000000000008</v>
      </c>
      <c r="E2239" s="2430">
        <v>0.55119104116129336</v>
      </c>
      <c r="F2239" s="2427">
        <v>0.47199890118655807</v>
      </c>
      <c r="G2239" s="2429">
        <v>6.4641929990471398E-3</v>
      </c>
      <c r="H2239" s="2430">
        <v>0.23595210057419536</v>
      </c>
      <c r="I2239" s="2427">
        <v>0.21159999736689877</v>
      </c>
      <c r="J2239" s="2431">
        <v>3.5261573476377444E-3</v>
      </c>
    </row>
    <row r="2240" spans="1:10" x14ac:dyDescent="0.2">
      <c r="A2240" s="2426" t="s">
        <v>976</v>
      </c>
      <c r="B2240" s="2427">
        <v>76.5</v>
      </c>
      <c r="C2240" s="2428">
        <v>7394999.9999999991</v>
      </c>
      <c r="D2240" s="2429">
        <v>565.71749999999986</v>
      </c>
      <c r="E2240" s="2430">
        <v>0.46851238498709941</v>
      </c>
      <c r="F2240" s="2427">
        <v>0.4011990660085743</v>
      </c>
      <c r="G2240" s="2429">
        <v>5.4945640491900691E-3</v>
      </c>
      <c r="H2240" s="2430">
        <v>0.58575668095744382</v>
      </c>
      <c r="I2240" s="2427">
        <v>0.525302007681273</v>
      </c>
      <c r="J2240" s="2431">
        <v>8.7537691737416823E-3</v>
      </c>
    </row>
    <row r="2241" spans="1:10" x14ac:dyDescent="0.2">
      <c r="A2241" s="2426" t="s">
        <v>286</v>
      </c>
      <c r="B2241" s="2427">
        <v>96</v>
      </c>
      <c r="C2241" s="2428">
        <v>2445000.0000000005</v>
      </c>
      <c r="D2241" s="2429">
        <v>234.72000000000006</v>
      </c>
      <c r="E2241" s="2430">
        <v>0.58793711057204623</v>
      </c>
      <c r="F2241" s="2427">
        <v>0.50346549459899526</v>
      </c>
      <c r="G2241" s="2429">
        <v>6.8951391989836167E-3</v>
      </c>
      <c r="H2241" s="2430">
        <v>0.24303439111275729</v>
      </c>
      <c r="I2241" s="2427">
        <v>0.21795134009987044</v>
      </c>
      <c r="J2241" s="2431">
        <v>3.6319977735542008E-3</v>
      </c>
    </row>
    <row r="2242" spans="1:10" x14ac:dyDescent="0.2">
      <c r="A2242" s="2439" t="s">
        <v>978</v>
      </c>
      <c r="B2242" s="2427">
        <v>238.5</v>
      </c>
      <c r="C2242" s="2428">
        <v>1850000.0000000002</v>
      </c>
      <c r="D2242" s="2429">
        <v>441.22500000000008</v>
      </c>
      <c r="E2242" s="2430">
        <v>1.4606562590774275</v>
      </c>
      <c r="F2242" s="2427">
        <v>1.2507970881443788</v>
      </c>
      <c r="G2242" s="2429">
        <v>1.7130111447474922E-2</v>
      </c>
      <c r="H2242" s="2430">
        <v>0.45685433375394657</v>
      </c>
      <c r="I2242" s="2427">
        <v>0.40970339142623263</v>
      </c>
      <c r="J2242" s="2431">
        <v>6.8274037902030177E-3</v>
      </c>
    </row>
    <row r="2243" spans="1:10" x14ac:dyDescent="0.2">
      <c r="A2243" s="2426" t="s">
        <v>1163</v>
      </c>
      <c r="B2243" s="2427">
        <v>0</v>
      </c>
      <c r="C2243" s="2428">
        <v>0</v>
      </c>
      <c r="D2243" s="2429">
        <v>0</v>
      </c>
      <c r="E2243" s="2430">
        <v>0</v>
      </c>
      <c r="F2243" s="2427">
        <v>0</v>
      </c>
      <c r="G2243" s="2429">
        <v>0</v>
      </c>
      <c r="H2243" s="2430">
        <v>0</v>
      </c>
      <c r="I2243" s="2427">
        <v>0</v>
      </c>
      <c r="J2243" s="2431">
        <v>0</v>
      </c>
    </row>
    <row r="2244" spans="1:10" x14ac:dyDescent="0.2">
      <c r="A2244" s="2433" t="s">
        <v>287</v>
      </c>
      <c r="B2244" s="2434">
        <v>4162.8</v>
      </c>
      <c r="C2244" s="2433"/>
      <c r="D2244" s="2435">
        <v>11617.885899999999</v>
      </c>
      <c r="E2244" s="2436">
        <v>25.494422957180358</v>
      </c>
      <c r="F2244" s="2434">
        <v>21.831522509548932</v>
      </c>
      <c r="G2244" s="2435">
        <v>0.29899047351592706</v>
      </c>
      <c r="H2244" s="2436">
        <v>12.029421547903832</v>
      </c>
      <c r="I2244" s="2434">
        <v>10.787891108692863</v>
      </c>
      <c r="J2244" s="2437">
        <v>0.17977222103871307</v>
      </c>
    </row>
    <row r="2245" spans="1:10" x14ac:dyDescent="0.2">
      <c r="A2245" s="2440" t="s">
        <v>1835</v>
      </c>
      <c r="B2245" s="2441">
        <v>12182.277</v>
      </c>
      <c r="C2245" s="2440"/>
      <c r="D2245" s="2442">
        <v>87630.82885488843</v>
      </c>
      <c r="E2245" s="2443">
        <v>74.608466037169748</v>
      </c>
      <c r="F2245" s="2441">
        <v>63.889126199447546</v>
      </c>
      <c r="G2245" s="2442">
        <v>0.87498432995392217</v>
      </c>
      <c r="H2245" s="2443">
        <v>90.734940070952817</v>
      </c>
      <c r="I2245" s="2441">
        <v>81.370384215172649</v>
      </c>
      <c r="J2245" s="2444">
        <v>1.355977229446421</v>
      </c>
    </row>
    <row r="2246" spans="1:10" x14ac:dyDescent="0.2">
      <c r="A2246" s="2445" t="s">
        <v>194</v>
      </c>
      <c r="B2246" s="2446">
        <v>16328.277</v>
      </c>
      <c r="C2246" s="2447"/>
      <c r="D2246" s="2448">
        <v>96578.924046638436</v>
      </c>
      <c r="E2246" s="2449">
        <v>100</v>
      </c>
      <c r="F2246" s="2446">
        <v>85.632542247441648</v>
      </c>
      <c r="G2246" s="2448">
        <v>1.172768154110027</v>
      </c>
      <c r="H2246" s="2449">
        <v>99.999999999999986</v>
      </c>
      <c r="I2246" s="2446">
        <v>89.679217456409532</v>
      </c>
      <c r="J2246" s="2450">
        <v>1.494437785913646</v>
      </c>
    </row>
    <row r="2247" spans="1:10" x14ac:dyDescent="0.2">
      <c r="A2247" s="2451" t="s">
        <v>1852</v>
      </c>
      <c r="B2247" s="2427"/>
      <c r="C2247" s="2452"/>
      <c r="D2247" s="2429"/>
      <c r="E2247" s="2430"/>
      <c r="F2247" s="2427">
        <v>0</v>
      </c>
      <c r="G2247" s="2429"/>
      <c r="H2247" s="2430"/>
      <c r="I2247" s="2427">
        <v>0</v>
      </c>
      <c r="J2247" s="2431">
        <v>0</v>
      </c>
    </row>
    <row r="2248" spans="1:10" x14ac:dyDescent="0.2">
      <c r="A2248" s="2453" t="s">
        <v>1836</v>
      </c>
      <c r="B2248" s="2427">
        <v>0</v>
      </c>
      <c r="C2248" s="2428">
        <v>8033612.4975057133</v>
      </c>
      <c r="D2248" s="2429">
        <v>0</v>
      </c>
      <c r="E2248" s="2430">
        <v>0</v>
      </c>
      <c r="F2248" s="2427">
        <v>0</v>
      </c>
      <c r="G2248" s="2429">
        <v>0</v>
      </c>
      <c r="H2248" s="2430">
        <v>0</v>
      </c>
      <c r="I2248" s="2427">
        <v>0</v>
      </c>
      <c r="J2248" s="2431">
        <v>0</v>
      </c>
    </row>
    <row r="2249" spans="1:10" x14ac:dyDescent="0.2">
      <c r="A2249" s="2453" t="s">
        <v>1837</v>
      </c>
      <c r="B2249" s="2427">
        <v>2113.35</v>
      </c>
      <c r="C2249" s="2428">
        <v>2214764.1578067578</v>
      </c>
      <c r="D2249" s="2429">
        <v>4680.5718329009114</v>
      </c>
      <c r="E2249" s="2430">
        <v>87.254598377407575</v>
      </c>
      <c r="F2249" s="2427">
        <v>11.083320864695693</v>
      </c>
      <c r="G2249" s="2429">
        <v>0.15179002527262525</v>
      </c>
      <c r="H2249" s="2430">
        <v>64.84607633599407</v>
      </c>
      <c r="I2249" s="2427">
        <v>4.3461865346560176</v>
      </c>
      <c r="J2249" s="2431">
        <v>7.2425981919123264E-2</v>
      </c>
    </row>
    <row r="2250" spans="1:10" x14ac:dyDescent="0.2">
      <c r="A2250" s="2454" t="s">
        <v>309</v>
      </c>
      <c r="B2250" s="2434">
        <v>2113.35</v>
      </c>
      <c r="C2250" s="2433"/>
      <c r="D2250" s="2435">
        <v>4680.5718329009114</v>
      </c>
      <c r="E2250" s="2436">
        <v>87.254598377407575</v>
      </c>
      <c r="F2250" s="2434">
        <v>11.083320864695693</v>
      </c>
      <c r="G2250" s="2435">
        <v>0.15179002527262525</v>
      </c>
      <c r="H2250" s="2436">
        <v>64.84607633599407</v>
      </c>
      <c r="I2250" s="2434">
        <v>4.3461865346560176</v>
      </c>
      <c r="J2250" s="2437">
        <v>7.2425981919123264E-2</v>
      </c>
    </row>
    <row r="2251" spans="1:10" x14ac:dyDescent="0.2">
      <c r="A2251" s="2453" t="s">
        <v>1838</v>
      </c>
      <c r="B2251" s="2427">
        <v>0</v>
      </c>
      <c r="C2251" s="2428">
        <v>10407427.50198495</v>
      </c>
      <c r="D2251" s="2429">
        <v>0</v>
      </c>
      <c r="E2251" s="2430">
        <v>0</v>
      </c>
      <c r="F2251" s="2427">
        <v>0</v>
      </c>
      <c r="G2251" s="2429">
        <v>0</v>
      </c>
      <c r="H2251" s="2430">
        <v>0</v>
      </c>
      <c r="I2251" s="2427">
        <v>0</v>
      </c>
      <c r="J2251" s="2431">
        <v>0</v>
      </c>
    </row>
    <row r="2252" spans="1:10" x14ac:dyDescent="0.2">
      <c r="A2252" s="2454" t="s">
        <v>315</v>
      </c>
      <c r="B2252" s="2434">
        <v>0</v>
      </c>
      <c r="C2252" s="2455"/>
      <c r="D2252" s="2435">
        <v>0</v>
      </c>
      <c r="E2252" s="2436">
        <v>0</v>
      </c>
      <c r="F2252" s="2434">
        <v>0</v>
      </c>
      <c r="G2252" s="2435">
        <v>0</v>
      </c>
      <c r="H2252" s="2436">
        <v>0</v>
      </c>
      <c r="I2252" s="2434">
        <v>0</v>
      </c>
      <c r="J2252" s="2437">
        <v>0</v>
      </c>
    </row>
    <row r="2253" spans="1:10" x14ac:dyDescent="0.2">
      <c r="A2253" s="2453" t="s">
        <v>1541</v>
      </c>
      <c r="B2253" s="2427">
        <v>89.1</v>
      </c>
      <c r="C2253" s="2428">
        <v>10553660</v>
      </c>
      <c r="D2253" s="2429">
        <v>940.33110599999986</v>
      </c>
      <c r="E2253" s="2430">
        <v>3.6787019260543756</v>
      </c>
      <c r="F2253" s="2427">
        <v>0.46727891217469242</v>
      </c>
      <c r="G2253" s="2429">
        <v>6.3995510690566682E-3</v>
      </c>
      <c r="H2253" s="2430">
        <v>13.027635267162157</v>
      </c>
      <c r="I2253" s="2427">
        <v>0.87315279776028143</v>
      </c>
      <c r="J2253" s="2431">
        <v>1.4550445140574974E-2</v>
      </c>
    </row>
    <row r="2254" spans="1:10" x14ac:dyDescent="0.2">
      <c r="A2254" s="2453" t="s">
        <v>206</v>
      </c>
      <c r="B2254" s="2427">
        <v>217.5</v>
      </c>
      <c r="C2254" s="2428">
        <v>6960000</v>
      </c>
      <c r="D2254" s="2429">
        <v>1513.8</v>
      </c>
      <c r="E2254" s="2430">
        <v>8.9799962841394709</v>
      </c>
      <c r="F2254" s="2427">
        <v>1.1406640112008486</v>
      </c>
      <c r="G2254" s="2429">
        <v>1.5621799747697255E-2</v>
      </c>
      <c r="H2254" s="2430">
        <v>20.972649039890502</v>
      </c>
      <c r="I2254" s="2427">
        <v>1.4056524311655751</v>
      </c>
      <c r="J2254" s="2431">
        <v>2.3424157419931611E-2</v>
      </c>
    </row>
    <row r="2255" spans="1:10" x14ac:dyDescent="0.2">
      <c r="A2255" s="2454" t="s">
        <v>310</v>
      </c>
      <c r="B2255" s="2434">
        <v>306.60000000000002</v>
      </c>
      <c r="C2255" s="2455"/>
      <c r="D2255" s="2435">
        <v>2454.1311059999998</v>
      </c>
      <c r="E2255" s="2436">
        <v>12.658698210193847</v>
      </c>
      <c r="F2255" s="2434">
        <v>1.6079429233755409</v>
      </c>
      <c r="G2255" s="2435">
        <v>2.2021350816753923E-2</v>
      </c>
      <c r="H2255" s="2436">
        <v>34.000284307052659</v>
      </c>
      <c r="I2255" s="2434">
        <v>2.2788052289258562</v>
      </c>
      <c r="J2255" s="2437">
        <v>3.7974602560506582E-2</v>
      </c>
    </row>
    <row r="2256" spans="1:10" x14ac:dyDescent="0.2">
      <c r="A2256" s="2453" t="s">
        <v>1839</v>
      </c>
      <c r="B2256" s="2427">
        <v>2.1</v>
      </c>
      <c r="C2256" s="2428">
        <v>39652080.629353955</v>
      </c>
      <c r="D2256" s="2429">
        <v>83.26936932164331</v>
      </c>
      <c r="E2256" s="2430">
        <v>8.670341239858799E-2</v>
      </c>
      <c r="F2256" s="2427">
        <v>1.1013307694353021E-2</v>
      </c>
      <c r="G2256" s="2429">
        <v>1.508311699777666E-4</v>
      </c>
      <c r="H2256" s="2430">
        <v>1.1536393569532635</v>
      </c>
      <c r="I2256" s="2427">
        <v>7.7320512239788669E-2</v>
      </c>
      <c r="J2256" s="2431">
        <v>1.2884891103505066E-3</v>
      </c>
    </row>
    <row r="2257" spans="1:10" x14ac:dyDescent="0.2">
      <c r="A2257" s="2454" t="s">
        <v>311</v>
      </c>
      <c r="B2257" s="2434">
        <v>2.1</v>
      </c>
      <c r="C2257" s="2433"/>
      <c r="D2257" s="2435">
        <v>83.26936932164331</v>
      </c>
      <c r="E2257" s="2436">
        <v>8.670341239858799E-2</v>
      </c>
      <c r="F2257" s="2434">
        <v>1.1013307694353021E-2</v>
      </c>
      <c r="G2257" s="2435">
        <v>1.508311699777666E-4</v>
      </c>
      <c r="H2257" s="2436">
        <v>1.1536393569532635</v>
      </c>
      <c r="I2257" s="2434">
        <v>7.7320512239788669E-2</v>
      </c>
      <c r="J2257" s="2437">
        <v>1.2884891103505066E-3</v>
      </c>
    </row>
    <row r="2258" spans="1:10" x14ac:dyDescent="0.2">
      <c r="A2258" s="2445" t="s">
        <v>129</v>
      </c>
      <c r="B2258" s="2446">
        <v>2422.0499999999997</v>
      </c>
      <c r="C2258" s="2447"/>
      <c r="D2258" s="2448">
        <v>7217.9723082225546</v>
      </c>
      <c r="E2258" s="2449">
        <v>100.00000000000001</v>
      </c>
      <c r="F2258" s="2446">
        <v>12.702277095765584</v>
      </c>
      <c r="G2258" s="2448">
        <v>0.17396220725935693</v>
      </c>
      <c r="H2258" s="2449">
        <v>99.999999999999986</v>
      </c>
      <c r="I2258" s="2446">
        <v>6.7023122758216616</v>
      </c>
      <c r="J2258" s="2450">
        <v>0.11168907358998034</v>
      </c>
    </row>
    <row r="2259" spans="1:10" x14ac:dyDescent="0.2">
      <c r="A2259" s="2451" t="s">
        <v>1853</v>
      </c>
      <c r="B2259" s="2427"/>
      <c r="C2259" s="2452"/>
      <c r="D2259" s="2429"/>
      <c r="E2259" s="2430"/>
      <c r="F2259" s="2427">
        <v>0</v>
      </c>
      <c r="G2259" s="2429"/>
      <c r="H2259" s="2430"/>
      <c r="I2259" s="2427">
        <v>0</v>
      </c>
      <c r="J2259" s="2431">
        <v>0</v>
      </c>
    </row>
    <row r="2260" spans="1:10" x14ac:dyDescent="0.2">
      <c r="A2260" s="2426" t="s">
        <v>1543</v>
      </c>
      <c r="B2260" s="2427">
        <v>210</v>
      </c>
      <c r="C2260" s="2428">
        <v>13200000</v>
      </c>
      <c r="D2260" s="2429">
        <v>2772</v>
      </c>
      <c r="E2260" s="2430">
        <v>66.138815926226883</v>
      </c>
      <c r="F2260" s="2427">
        <v>1.1013307694353021</v>
      </c>
      <c r="G2260" s="2429">
        <v>1.508311699777666E-2</v>
      </c>
      <c r="H2260" s="2430">
        <v>71.134071095270698</v>
      </c>
      <c r="I2260" s="2427">
        <v>2.5739652128358927</v>
      </c>
      <c r="J2260" s="2431">
        <v>4.2893225239827207E-2</v>
      </c>
    </row>
    <row r="2261" spans="1:10" x14ac:dyDescent="0.2">
      <c r="A2261" s="2426" t="s">
        <v>208</v>
      </c>
      <c r="B2261" s="2427">
        <v>101</v>
      </c>
      <c r="C2261" s="2428">
        <v>10000000</v>
      </c>
      <c r="D2261" s="2429">
        <v>1010</v>
      </c>
      <c r="E2261" s="2430">
        <v>31.809620993090071</v>
      </c>
      <c r="F2261" s="2427">
        <v>0.52968765577602628</v>
      </c>
      <c r="G2261" s="2429">
        <v>7.2542610322640123E-3</v>
      </c>
      <c r="H2261" s="2430">
        <v>25.91825822735332</v>
      </c>
      <c r="I2261" s="2427">
        <v>0.93784446788032161</v>
      </c>
      <c r="J2261" s="2431">
        <v>1.5628483943804287E-2</v>
      </c>
    </row>
    <row r="2262" spans="1:10" x14ac:dyDescent="0.2">
      <c r="A2262" s="2426" t="s">
        <v>209</v>
      </c>
      <c r="B2262" s="2427">
        <v>0.51</v>
      </c>
      <c r="C2262" s="2428">
        <v>10000000</v>
      </c>
      <c r="D2262" s="2429">
        <v>5.0999999999999996</v>
      </c>
      <c r="E2262" s="2430">
        <v>0.16062283867797958</v>
      </c>
      <c r="F2262" s="2427">
        <v>2.6746604400571623E-3</v>
      </c>
      <c r="G2262" s="2429">
        <v>3.6630426994600458E-5</v>
      </c>
      <c r="H2262" s="2430">
        <v>0.13087437322722961</v>
      </c>
      <c r="I2262" s="2427">
        <v>4.7356502833560792E-3</v>
      </c>
      <c r="J2262" s="2431">
        <v>7.891610704297213E-5</v>
      </c>
    </row>
    <row r="2263" spans="1:10" x14ac:dyDescent="0.2">
      <c r="A2263" s="2426" t="s">
        <v>210</v>
      </c>
      <c r="B2263" s="2427">
        <v>5.7</v>
      </c>
      <c r="C2263" s="2428">
        <v>18500000</v>
      </c>
      <c r="D2263" s="2429">
        <v>105.45</v>
      </c>
      <c r="E2263" s="2430">
        <v>1.7951964322833012</v>
      </c>
      <c r="F2263" s="2427">
        <v>2.9893263741815342E-2</v>
      </c>
      <c r="G2263" s="2429">
        <v>4.0939888993965219E-4</v>
      </c>
      <c r="H2263" s="2430">
        <v>2.706020128786542</v>
      </c>
      <c r="I2263" s="2427">
        <v>9.7916533799980124E-2</v>
      </c>
      <c r="J2263" s="2431">
        <v>1.6317065662120414E-3</v>
      </c>
    </row>
    <row r="2264" spans="1:10" x14ac:dyDescent="0.2">
      <c r="A2264" s="2426" t="s">
        <v>1545</v>
      </c>
      <c r="B2264" s="2427">
        <v>0.30399999999999999</v>
      </c>
      <c r="C2264" s="2428">
        <v>14200000</v>
      </c>
      <c r="D2264" s="2429">
        <v>4.3167999999999997</v>
      </c>
      <c r="E2264" s="2430">
        <v>9.5743809721776055E-2</v>
      </c>
      <c r="F2264" s="2427">
        <v>1.5943073995634848E-3</v>
      </c>
      <c r="G2264" s="2429">
        <v>2.1834607463448116E-5</v>
      </c>
      <c r="H2264" s="2430">
        <v>0.11077617536221665</v>
      </c>
      <c r="I2264" s="2427">
        <v>4.0084029692532396E-3</v>
      </c>
      <c r="J2264" s="2431">
        <v>6.6797068800608254E-5</v>
      </c>
    </row>
    <row r="2265" spans="1:10" x14ac:dyDescent="0.2">
      <c r="A2265" s="2426" t="s">
        <v>1546</v>
      </c>
      <c r="B2265" s="2427">
        <v>0</v>
      </c>
      <c r="C2265" s="2428">
        <v>10000000</v>
      </c>
      <c r="D2265" s="2429">
        <v>0</v>
      </c>
      <c r="E2265" s="2430">
        <v>0</v>
      </c>
      <c r="F2265" s="2427">
        <v>0</v>
      </c>
      <c r="G2265" s="2429">
        <v>0</v>
      </c>
      <c r="H2265" s="2430">
        <v>0</v>
      </c>
      <c r="I2265" s="2427">
        <v>0</v>
      </c>
      <c r="J2265" s="2431">
        <v>0</v>
      </c>
    </row>
    <row r="2266" spans="1:10" x14ac:dyDescent="0.2">
      <c r="A2266" s="2445" t="s">
        <v>121</v>
      </c>
      <c r="B2266" s="2446">
        <v>317.51399999999995</v>
      </c>
      <c r="C2266" s="2447"/>
      <c r="D2266" s="2448">
        <v>3896.8667999999998</v>
      </c>
      <c r="E2266" s="2449">
        <v>100.00000000000001</v>
      </c>
      <c r="F2266" s="2446">
        <v>1.6651806567927641</v>
      </c>
      <c r="G2266" s="2448">
        <v>2.2805241954438369E-2</v>
      </c>
      <c r="H2266" s="2449">
        <v>100.00000000000001</v>
      </c>
      <c r="I2266" s="2446">
        <v>3.6184702677688039</v>
      </c>
      <c r="J2266" s="2450">
        <v>6.0299128925687118E-2</v>
      </c>
    </row>
    <row r="2267" spans="1:10" ht="14.25" thickBot="1" x14ac:dyDescent="0.25">
      <c r="A2267" s="2457" t="s">
        <v>1840</v>
      </c>
      <c r="B2267" s="2446">
        <v>19067.841</v>
      </c>
      <c r="C2267" s="2458"/>
      <c r="D2267" s="2448">
        <v>107693.76315486099</v>
      </c>
      <c r="E2267" s="2459"/>
      <c r="F2267" s="2460">
        <v>100</v>
      </c>
      <c r="G2267" s="2461">
        <v>1.3695356033238224</v>
      </c>
      <c r="H2267" s="2462"/>
      <c r="I2267" s="2460">
        <v>100</v>
      </c>
      <c r="J2267" s="2463">
        <v>1.6664259884293133</v>
      </c>
    </row>
    <row r="2268" spans="1:10" ht="15" thickBot="1" x14ac:dyDescent="0.25">
      <c r="A2268" s="2464" t="s">
        <v>1841</v>
      </c>
      <c r="B2268" s="2465">
        <v>1392285.1624830281</v>
      </c>
      <c r="C2268" s="2466"/>
      <c r="D2268" s="2467">
        <v>6462559.0276810033</v>
      </c>
      <c r="E2268" s="2468"/>
      <c r="F2268" s="2469"/>
      <c r="G2268" s="2469"/>
      <c r="H2268" s="2469"/>
      <c r="I2268" s="2469"/>
      <c r="J2268" s="2469"/>
    </row>
    <row r="2269" spans="1:10" ht="16.5" thickBot="1" x14ac:dyDescent="0.3">
      <c r="A2269" s="2470" t="s">
        <v>1842</v>
      </c>
      <c r="B2269" s="2471">
        <v>1.3695356033238224</v>
      </c>
      <c r="C2269" s="2472"/>
      <c r="D2269" s="2473">
        <v>1.6664259884293136</v>
      </c>
      <c r="E2269" s="2468"/>
      <c r="F2269" s="2469"/>
      <c r="G2269" s="2469"/>
      <c r="H2269" s="2469"/>
      <c r="I2269" s="2469"/>
      <c r="J2269" s="2469"/>
    </row>
    <row r="2270" spans="1:10" x14ac:dyDescent="0.2">
      <c r="A2270" s="2474" t="s">
        <v>2023</v>
      </c>
      <c r="B2270" s="2474"/>
      <c r="C2270" s="2474"/>
      <c r="D2270" s="2475"/>
      <c r="E2270" s="2474"/>
      <c r="F2270" s="2474"/>
      <c r="H2270" s="2474"/>
      <c r="I2270" s="2474"/>
      <c r="J2270" s="2474"/>
    </row>
    <row r="2271" spans="1:10" x14ac:dyDescent="0.2">
      <c r="A2271" s="2474" t="s">
        <v>1843</v>
      </c>
      <c r="B2271" s="2474"/>
      <c r="C2271" s="2474"/>
      <c r="D2271" s="2474"/>
      <c r="E2271" s="2474"/>
      <c r="F2271" s="2474"/>
      <c r="G2271" s="2474"/>
      <c r="H2271" s="2474"/>
      <c r="I2271" s="2474"/>
      <c r="J2271" s="2474"/>
    </row>
    <row r="2272" spans="1:10" x14ac:dyDescent="0.2">
      <c r="A2272" s="2474" t="s">
        <v>2024</v>
      </c>
      <c r="B2272" s="2474"/>
      <c r="C2272" s="2474"/>
      <c r="D2272" s="2474"/>
      <c r="E2272" s="2474"/>
      <c r="F2272" s="2474"/>
      <c r="G2272" s="2474"/>
      <c r="H2272" s="2474"/>
      <c r="I2272" s="2474"/>
      <c r="J2272" s="2474"/>
    </row>
    <row r="2276" spans="1:10" ht="13.5" thickBot="1" x14ac:dyDescent="0.25">
      <c r="A2276" s="3321" t="s">
        <v>2021</v>
      </c>
      <c r="B2276" s="3321"/>
      <c r="C2276" s="3321"/>
      <c r="D2276" s="3321"/>
      <c r="E2276" s="3321"/>
      <c r="F2276" s="3321"/>
      <c r="G2276" s="3321"/>
      <c r="H2276" s="3321"/>
      <c r="I2276" s="3321"/>
      <c r="J2276" s="3321"/>
    </row>
    <row r="2277" spans="1:10" ht="13.5" customHeight="1" thickBot="1" x14ac:dyDescent="0.25">
      <c r="A2277" s="3322" t="s">
        <v>380</v>
      </c>
      <c r="B2277" s="3324" t="s">
        <v>1272</v>
      </c>
      <c r="C2277" s="3324" t="s">
        <v>1832</v>
      </c>
      <c r="D2277" s="3326" t="s">
        <v>1844</v>
      </c>
      <c r="E2277" s="3328" t="s">
        <v>1849</v>
      </c>
      <c r="F2277" s="3329"/>
      <c r="G2277" s="3330"/>
      <c r="H2277" s="3328" t="s">
        <v>1850</v>
      </c>
      <c r="I2277" s="3329"/>
      <c r="J2277" s="3331"/>
    </row>
    <row r="2278" spans="1:10" ht="13.5" customHeight="1" thickBot="1" x14ac:dyDescent="0.25">
      <c r="A2278" s="3323"/>
      <c r="B2278" s="3325"/>
      <c r="C2278" s="3325"/>
      <c r="D2278" s="3327"/>
      <c r="E2278" s="2415" t="s">
        <v>1848</v>
      </c>
      <c r="F2278" s="2416" t="s">
        <v>1231</v>
      </c>
      <c r="G2278" s="2417" t="s">
        <v>1833</v>
      </c>
      <c r="H2278" s="2415" t="s">
        <v>1848</v>
      </c>
      <c r="I2278" s="2416" t="s">
        <v>1231</v>
      </c>
      <c r="J2278" s="2418" t="s">
        <v>1833</v>
      </c>
    </row>
    <row r="2279" spans="1:10" x14ac:dyDescent="0.2">
      <c r="A2279" s="2419" t="s">
        <v>1851</v>
      </c>
      <c r="B2279" s="2420"/>
      <c r="C2279" s="2420"/>
      <c r="D2279" s="2421"/>
      <c r="E2279" s="2422"/>
      <c r="F2279" s="2423"/>
      <c r="G2279" s="2424"/>
      <c r="H2279" s="2422"/>
      <c r="I2279" s="2423"/>
      <c r="J2279" s="2425"/>
    </row>
    <row r="2280" spans="1:10" x14ac:dyDescent="0.2">
      <c r="A2280" s="2426" t="s">
        <v>410</v>
      </c>
      <c r="B2280" s="2427">
        <v>0</v>
      </c>
      <c r="C2280" s="2428">
        <v>5667200.0000000009</v>
      </c>
      <c r="D2280" s="2429">
        <v>0</v>
      </c>
      <c r="E2280" s="2430">
        <v>0</v>
      </c>
      <c r="F2280" s="2427">
        <v>0</v>
      </c>
      <c r="G2280" s="2429">
        <v>0</v>
      </c>
      <c r="H2280" s="2430">
        <v>0</v>
      </c>
      <c r="I2280" s="2427">
        <v>0</v>
      </c>
      <c r="J2280" s="2431">
        <v>0</v>
      </c>
    </row>
    <row r="2281" spans="1:10" x14ac:dyDescent="0.2">
      <c r="A2281" s="2426" t="s">
        <v>411</v>
      </c>
      <c r="B2281" s="2427">
        <v>0</v>
      </c>
      <c r="C2281" s="2428">
        <v>1753716.5000000002</v>
      </c>
      <c r="D2281" s="2429">
        <v>0</v>
      </c>
      <c r="E2281" s="2430">
        <v>0</v>
      </c>
      <c r="F2281" s="2427">
        <v>0</v>
      </c>
      <c r="G2281" s="2429">
        <v>0</v>
      </c>
      <c r="H2281" s="2430">
        <v>0</v>
      </c>
      <c r="I2281" s="2427">
        <v>0</v>
      </c>
      <c r="J2281" s="2431">
        <v>0</v>
      </c>
    </row>
    <row r="2282" spans="1:10" x14ac:dyDescent="0.2">
      <c r="A2282" s="2426" t="s">
        <v>278</v>
      </c>
      <c r="B2282" s="2427">
        <v>1031.9000000000001</v>
      </c>
      <c r="C2282" s="2428">
        <v>1637875</v>
      </c>
      <c r="D2282" s="2429">
        <v>1690.1232125000001</v>
      </c>
      <c r="E2282" s="2430">
        <v>5.5271551693777923</v>
      </c>
      <c r="F2282" s="2427">
        <v>4.6266840133316114</v>
      </c>
      <c r="G2282" s="2429">
        <v>7.4115563952408259E-2</v>
      </c>
      <c r="H2282" s="2430">
        <v>1.5207282993444557</v>
      </c>
      <c r="I2282" s="2427">
        <v>1.3379047813749678</v>
      </c>
      <c r="J2282" s="2431">
        <v>2.6152538108521951E-2</v>
      </c>
    </row>
    <row r="2283" spans="1:10" x14ac:dyDescent="0.2">
      <c r="A2283" s="2426" t="s">
        <v>200</v>
      </c>
      <c r="B2283" s="2427">
        <v>1182</v>
      </c>
      <c r="C2283" s="2428">
        <v>7709114.5</v>
      </c>
      <c r="D2283" s="2429">
        <v>9112.1733390000009</v>
      </c>
      <c r="E2283" s="2430">
        <v>6.3311342283211074</v>
      </c>
      <c r="F2283" s="2427">
        <v>5.2996806897547861</v>
      </c>
      <c r="G2283" s="2429">
        <v>8.4896401387485762E-2</v>
      </c>
      <c r="H2283" s="2430">
        <v>8.1988932893549986</v>
      </c>
      <c r="I2283" s="2427">
        <v>7.2132139176602212</v>
      </c>
      <c r="J2283" s="2431">
        <v>0.14099946012051781</v>
      </c>
    </row>
    <row r="2284" spans="1:10" x14ac:dyDescent="0.2">
      <c r="A2284" s="2426" t="s">
        <v>429</v>
      </c>
      <c r="B2284" s="2427">
        <v>0</v>
      </c>
      <c r="C2284" s="2428">
        <v>1255000</v>
      </c>
      <c r="D2284" s="2429">
        <v>0</v>
      </c>
      <c r="E2284" s="2430">
        <v>0</v>
      </c>
      <c r="F2284" s="2427">
        <v>0</v>
      </c>
      <c r="G2284" s="2429">
        <v>0</v>
      </c>
      <c r="H2284" s="2430">
        <v>0</v>
      </c>
      <c r="I2284" s="2427">
        <v>0</v>
      </c>
      <c r="J2284" s="2431">
        <v>0</v>
      </c>
    </row>
    <row r="2285" spans="1:10" x14ac:dyDescent="0.2">
      <c r="A2285" s="2432" t="s">
        <v>431</v>
      </c>
      <c r="B2285" s="2427">
        <v>0</v>
      </c>
      <c r="C2285" s="2428">
        <v>0</v>
      </c>
      <c r="D2285" s="2429">
        <v>0</v>
      </c>
      <c r="E2285" s="2430">
        <v>0</v>
      </c>
      <c r="F2285" s="2427">
        <v>0</v>
      </c>
      <c r="G2285" s="2429">
        <v>0</v>
      </c>
      <c r="H2285" s="2430">
        <v>0</v>
      </c>
      <c r="I2285" s="2427">
        <v>0</v>
      </c>
      <c r="J2285" s="2431">
        <v>0</v>
      </c>
    </row>
    <row r="2286" spans="1:10" x14ac:dyDescent="0.2">
      <c r="A2286" s="2432" t="s">
        <v>430</v>
      </c>
      <c r="B2286" s="2427">
        <v>0</v>
      </c>
      <c r="C2286" s="2428">
        <v>0</v>
      </c>
      <c r="D2286" s="2429">
        <v>0</v>
      </c>
      <c r="E2286" s="2430">
        <v>0</v>
      </c>
      <c r="F2286" s="2427">
        <v>0</v>
      </c>
      <c r="G2286" s="2429">
        <v>0</v>
      </c>
      <c r="H2286" s="2430">
        <v>0</v>
      </c>
      <c r="I2286" s="2427">
        <v>0</v>
      </c>
      <c r="J2286" s="2431">
        <v>0</v>
      </c>
    </row>
    <row r="2287" spans="1:10" x14ac:dyDescent="0.2">
      <c r="A2287" s="2433" t="s">
        <v>279</v>
      </c>
      <c r="B2287" s="2434">
        <v>2213.9</v>
      </c>
      <c r="C2287" s="2433"/>
      <c r="D2287" s="2435">
        <v>10802.296551500001</v>
      </c>
      <c r="E2287" s="2436">
        <v>11.858289397698901</v>
      </c>
      <c r="F2287" s="2434">
        <v>9.9263647030863975</v>
      </c>
      <c r="G2287" s="2435">
        <v>0.15901196533989403</v>
      </c>
      <c r="H2287" s="2436">
        <v>9.7196215886994555</v>
      </c>
      <c r="I2287" s="2434">
        <v>8.5511186990351895</v>
      </c>
      <c r="J2287" s="2437">
        <v>0.16715199822903978</v>
      </c>
    </row>
    <row r="2288" spans="1:10" x14ac:dyDescent="0.2">
      <c r="A2288" s="2438" t="s">
        <v>412</v>
      </c>
      <c r="B2288" s="2427">
        <v>40</v>
      </c>
      <c r="C2288" s="2428">
        <v>4129499.9999999995</v>
      </c>
      <c r="D2288" s="2429">
        <v>165.17999999999998</v>
      </c>
      <c r="E2288" s="2430">
        <v>0.21425158133066355</v>
      </c>
      <c r="F2288" s="2427">
        <v>0.17934621623535657</v>
      </c>
      <c r="G2288" s="2429">
        <v>2.872974666243173E-3</v>
      </c>
      <c r="H2288" s="2430">
        <v>0.1486246083290908</v>
      </c>
      <c r="I2288" s="2427">
        <v>0.13075680527493916</v>
      </c>
      <c r="J2288" s="2431">
        <v>2.5559534434035562E-3</v>
      </c>
    </row>
    <row r="2289" spans="1:10" x14ac:dyDescent="0.2">
      <c r="A2289" s="2438" t="s">
        <v>413</v>
      </c>
      <c r="B2289" s="2427">
        <v>348</v>
      </c>
      <c r="C2289" s="2428">
        <v>1200000</v>
      </c>
      <c r="D2289" s="2429">
        <v>417.6</v>
      </c>
      <c r="E2289" s="2430">
        <v>1.8639887575767726</v>
      </c>
      <c r="F2289" s="2427">
        <v>1.5603120812476021</v>
      </c>
      <c r="G2289" s="2429">
        <v>2.4994879596315606E-2</v>
      </c>
      <c r="H2289" s="2430">
        <v>0.37574546820576538</v>
      </c>
      <c r="I2289" s="2427">
        <v>0.33057296211898901</v>
      </c>
      <c r="J2289" s="2431">
        <v>6.4618365296363073E-3</v>
      </c>
    </row>
    <row r="2290" spans="1:10" x14ac:dyDescent="0.2">
      <c r="A2290" s="2426" t="s">
        <v>90</v>
      </c>
      <c r="B2290" s="2427">
        <v>0</v>
      </c>
      <c r="C2290" s="2428">
        <v>1743000</v>
      </c>
      <c r="D2290" s="2429">
        <v>0</v>
      </c>
      <c r="E2290" s="2430">
        <v>0</v>
      </c>
      <c r="F2290" s="2427">
        <v>0</v>
      </c>
      <c r="G2290" s="2429">
        <v>0</v>
      </c>
      <c r="H2290" s="2430">
        <v>0</v>
      </c>
      <c r="I2290" s="2427">
        <v>0</v>
      </c>
      <c r="J2290" s="2431">
        <v>0</v>
      </c>
    </row>
    <row r="2291" spans="1:10" x14ac:dyDescent="0.2">
      <c r="A2291" s="2426" t="s">
        <v>417</v>
      </c>
      <c r="B2291" s="2427">
        <v>75.5</v>
      </c>
      <c r="C2291" s="2428">
        <v>2563999.9999999995</v>
      </c>
      <c r="D2291" s="2429">
        <v>193.58199999999997</v>
      </c>
      <c r="E2291" s="2430">
        <v>0.4043998597616274</v>
      </c>
      <c r="F2291" s="2427">
        <v>0.33851598314423553</v>
      </c>
      <c r="G2291" s="2429">
        <v>5.4227396825339896E-3</v>
      </c>
      <c r="H2291" s="2430">
        <v>0.17417997898996276</v>
      </c>
      <c r="I2291" s="2427">
        <v>0.15323988302901848</v>
      </c>
      <c r="J2291" s="2431">
        <v>2.9954387909005157E-3</v>
      </c>
    </row>
    <row r="2292" spans="1:10" x14ac:dyDescent="0.2">
      <c r="A2292" s="2426" t="s">
        <v>418</v>
      </c>
      <c r="B2292" s="2427">
        <v>196</v>
      </c>
      <c r="C2292" s="2428">
        <v>2222500</v>
      </c>
      <c r="D2292" s="2429">
        <v>435.61</v>
      </c>
      <c r="E2292" s="2430">
        <v>1.0498327485202514</v>
      </c>
      <c r="F2292" s="2427">
        <v>0.87879645955324714</v>
      </c>
      <c r="G2292" s="2429">
        <v>1.4077575864591548E-2</v>
      </c>
      <c r="H2292" s="2430">
        <v>0.39195039129576975</v>
      </c>
      <c r="I2292" s="2427">
        <v>0.34482971271229118</v>
      </c>
      <c r="J2292" s="2431">
        <v>6.7405187037233513E-3</v>
      </c>
    </row>
    <row r="2293" spans="1:10" x14ac:dyDescent="0.2">
      <c r="A2293" s="2426" t="s">
        <v>423</v>
      </c>
      <c r="B2293" s="2427">
        <v>672</v>
      </c>
      <c r="C2293" s="2428">
        <v>2531500</v>
      </c>
      <c r="D2293" s="2429">
        <v>1701.1679999999999</v>
      </c>
      <c r="E2293" s="2430">
        <v>3.5994265663551475</v>
      </c>
      <c r="F2293" s="2427">
        <v>3.0130164327539903</v>
      </c>
      <c r="G2293" s="2429">
        <v>4.8265974392885311E-2</v>
      </c>
      <c r="H2293" s="2430">
        <v>1.5306661078943136</v>
      </c>
      <c r="I2293" s="2427">
        <v>1.3466478563746078</v>
      </c>
      <c r="J2293" s="2431">
        <v>2.6323442350211532E-2</v>
      </c>
    </row>
    <row r="2294" spans="1:10" x14ac:dyDescent="0.2">
      <c r="A2294" s="2426" t="s">
        <v>424</v>
      </c>
      <c r="B2294" s="2427">
        <v>0</v>
      </c>
      <c r="C2294" s="2428">
        <v>1369000</v>
      </c>
      <c r="D2294" s="2429">
        <v>0</v>
      </c>
      <c r="E2294" s="2430">
        <v>0</v>
      </c>
      <c r="F2294" s="2427">
        <v>0</v>
      </c>
      <c r="G2294" s="2429">
        <v>0</v>
      </c>
      <c r="H2294" s="2430">
        <v>0</v>
      </c>
      <c r="I2294" s="2427">
        <v>0</v>
      </c>
      <c r="J2294" s="2431">
        <v>0</v>
      </c>
    </row>
    <row r="2295" spans="1:10" x14ac:dyDescent="0.2">
      <c r="A2295" s="2426" t="s">
        <v>280</v>
      </c>
      <c r="B2295" s="2427">
        <v>64</v>
      </c>
      <c r="C2295" s="2428">
        <v>1574500</v>
      </c>
      <c r="D2295" s="2429">
        <v>100.768</v>
      </c>
      <c r="E2295" s="2430">
        <v>0.34280253012906164</v>
      </c>
      <c r="F2295" s="2427">
        <v>0.28695394597657048</v>
      </c>
      <c r="G2295" s="2429">
        <v>4.5967594659890769E-3</v>
      </c>
      <c r="H2295" s="2430">
        <v>9.0668389224517629E-2</v>
      </c>
      <c r="I2295" s="2427">
        <v>7.9768142353463314E-2</v>
      </c>
      <c r="J2295" s="2431">
        <v>1.5592584851972973E-3</v>
      </c>
    </row>
    <row r="2296" spans="1:10" x14ac:dyDescent="0.2">
      <c r="A2296" s="2426" t="s">
        <v>427</v>
      </c>
      <c r="B2296" s="2427">
        <v>150</v>
      </c>
      <c r="C2296" s="2428">
        <v>2072000</v>
      </c>
      <c r="D2296" s="2429">
        <v>310.8</v>
      </c>
      <c r="E2296" s="2430">
        <v>0.8034434299899883</v>
      </c>
      <c r="F2296" s="2427">
        <v>0.67254831088258715</v>
      </c>
      <c r="G2296" s="2429">
        <v>1.0773654998411899E-2</v>
      </c>
      <c r="H2296" s="2430">
        <v>0.27964964444049778</v>
      </c>
      <c r="I2296" s="2427">
        <v>0.24602987697936252</v>
      </c>
      <c r="J2296" s="2431">
        <v>4.8092404056775968E-3</v>
      </c>
    </row>
    <row r="2297" spans="1:10" x14ac:dyDescent="0.2">
      <c r="A2297" s="2426" t="s">
        <v>428</v>
      </c>
      <c r="B2297" s="2427">
        <v>60</v>
      </c>
      <c r="C2297" s="2428">
        <v>1326280</v>
      </c>
      <c r="D2297" s="2429">
        <v>79.576800000000006</v>
      </c>
      <c r="E2297" s="2430">
        <v>0.32137737199599531</v>
      </c>
      <c r="F2297" s="2427">
        <v>0.26901932435303488</v>
      </c>
      <c r="G2297" s="2429">
        <v>4.3094619993647599E-3</v>
      </c>
      <c r="H2297" s="2430">
        <v>7.1601106260336569E-2</v>
      </c>
      <c r="I2297" s="2427">
        <v>6.2993147729766205E-2</v>
      </c>
      <c r="J2297" s="2431">
        <v>1.2313512288112129E-3</v>
      </c>
    </row>
    <row r="2298" spans="1:10" x14ac:dyDescent="0.2">
      <c r="A2298" s="2439" t="s">
        <v>92</v>
      </c>
      <c r="B2298" s="2427">
        <v>405</v>
      </c>
      <c r="C2298" s="2428">
        <v>2215500</v>
      </c>
      <c r="D2298" s="2429">
        <v>897.27750000000003</v>
      </c>
      <c r="E2298" s="2430">
        <v>2.1692972609729679</v>
      </c>
      <c r="F2298" s="2427">
        <v>1.815880439382985</v>
      </c>
      <c r="G2298" s="2429">
        <v>2.9088868495712128E-2</v>
      </c>
      <c r="H2298" s="2430">
        <v>0.80734663397509254</v>
      </c>
      <c r="I2298" s="2427">
        <v>0.71028659247538595</v>
      </c>
      <c r="J2298" s="2431">
        <v>1.3884244556323614E-2</v>
      </c>
    </row>
    <row r="2299" spans="1:10" x14ac:dyDescent="0.2">
      <c r="A2299" s="2433" t="s">
        <v>281</v>
      </c>
      <c r="B2299" s="2434">
        <v>2010.5</v>
      </c>
      <c r="C2299" s="2433"/>
      <c r="D2299" s="2435">
        <v>4301.5622999999996</v>
      </c>
      <c r="E2299" s="2436">
        <v>10.768820106632477</v>
      </c>
      <c r="F2299" s="2434">
        <v>9.0143891935296097</v>
      </c>
      <c r="G2299" s="2435">
        <v>0.14440288916204749</v>
      </c>
      <c r="H2299" s="2436">
        <v>3.8704323286153461</v>
      </c>
      <c r="I2299" s="2434">
        <v>3.4051249790478235</v>
      </c>
      <c r="J2299" s="2437">
        <v>6.6561284493884973E-2</v>
      </c>
    </row>
    <row r="2300" spans="1:10" x14ac:dyDescent="0.2">
      <c r="A2300" s="2440" t="s">
        <v>106</v>
      </c>
      <c r="B2300" s="2441">
        <v>4224.3999999999996</v>
      </c>
      <c r="C2300" s="2440"/>
      <c r="D2300" s="2442">
        <v>15103.858851500001</v>
      </c>
      <c r="E2300" s="2443">
        <v>22.627109504331376</v>
      </c>
      <c r="F2300" s="2441">
        <v>18.940753896616005</v>
      </c>
      <c r="G2300" s="2442">
        <v>0.3034148545019415</v>
      </c>
      <c r="H2300" s="2443">
        <v>13.590053917314801</v>
      </c>
      <c r="I2300" s="2441">
        <v>11.956243678083014</v>
      </c>
      <c r="J2300" s="2444">
        <v>0.23371328272292477</v>
      </c>
    </row>
    <row r="2301" spans="1:10" x14ac:dyDescent="0.2">
      <c r="A2301" s="2426" t="s">
        <v>905</v>
      </c>
      <c r="B2301" s="2427">
        <v>14</v>
      </c>
      <c r="C2301" s="2428">
        <v>6100000</v>
      </c>
      <c r="D2301" s="2429">
        <v>85.4</v>
      </c>
      <c r="E2301" s="2430">
        <v>7.4988053465732243E-2</v>
      </c>
      <c r="F2301" s="2427">
        <v>6.2771175682374794E-2</v>
      </c>
      <c r="G2301" s="2429">
        <v>1.0055411331851107E-3</v>
      </c>
      <c r="H2301" s="2430">
        <v>7.6840668066983628E-2</v>
      </c>
      <c r="I2301" s="2427">
        <v>6.7602804034869887E-2</v>
      </c>
      <c r="J2301" s="2431">
        <v>1.321457949307808E-3</v>
      </c>
    </row>
    <row r="2302" spans="1:10" x14ac:dyDescent="0.2">
      <c r="A2302" s="2426" t="s">
        <v>906</v>
      </c>
      <c r="B2302" s="2427">
        <v>81</v>
      </c>
      <c r="C2302" s="2428">
        <v>3022000.0000000005</v>
      </c>
      <c r="D2302" s="2429">
        <v>244.78200000000004</v>
      </c>
      <c r="E2302" s="2430">
        <v>0.43385945219459365</v>
      </c>
      <c r="F2302" s="2427">
        <v>0.36317608787659705</v>
      </c>
      <c r="G2302" s="2429">
        <v>5.8177736991424254E-3</v>
      </c>
      <c r="H2302" s="2430">
        <v>0.2202483888849226</v>
      </c>
      <c r="I2302" s="2427">
        <v>0.19376990137310915</v>
      </c>
      <c r="J2302" s="2431">
        <v>3.7876946106260409E-3</v>
      </c>
    </row>
    <row r="2303" spans="1:10" x14ac:dyDescent="0.2">
      <c r="A2303" s="2426" t="s">
        <v>907</v>
      </c>
      <c r="B2303" s="2427">
        <v>170</v>
      </c>
      <c r="C2303" s="2428">
        <v>2324000</v>
      </c>
      <c r="D2303" s="2429">
        <v>395.08</v>
      </c>
      <c r="E2303" s="2430">
        <v>0.91056922065531998</v>
      </c>
      <c r="F2303" s="2427">
        <v>0.76222141900026541</v>
      </c>
      <c r="G2303" s="2429">
        <v>1.2210142331533485E-2</v>
      </c>
      <c r="H2303" s="2430">
        <v>0.35548256604102912</v>
      </c>
      <c r="I2303" s="2427">
        <v>0.31274608686295541</v>
      </c>
      <c r="J2303" s="2431">
        <v>6.1133677589289082E-3</v>
      </c>
    </row>
    <row r="2304" spans="1:10" x14ac:dyDescent="0.2">
      <c r="A2304" s="2439" t="s">
        <v>908</v>
      </c>
      <c r="B2304" s="2427">
        <v>312</v>
      </c>
      <c r="C2304" s="2428">
        <v>2403999.9999999995</v>
      </c>
      <c r="D2304" s="2429">
        <v>750.04799999999989</v>
      </c>
      <c r="E2304" s="2430">
        <v>1.6711623343791753</v>
      </c>
      <c r="F2304" s="2427">
        <v>1.3989004866357813</v>
      </c>
      <c r="G2304" s="2429">
        <v>2.2409202396696751E-2</v>
      </c>
      <c r="H2304" s="2430">
        <v>0.67487341220497565</v>
      </c>
      <c r="I2304" s="2427">
        <v>0.59373943747946223</v>
      </c>
      <c r="J2304" s="2431">
        <v>1.16060525990916E-2</v>
      </c>
    </row>
    <row r="2305" spans="1:10" x14ac:dyDescent="0.2">
      <c r="A2305" s="2440" t="s">
        <v>282</v>
      </c>
      <c r="B2305" s="2441">
        <v>577</v>
      </c>
      <c r="C2305" s="2440"/>
      <c r="D2305" s="2442">
        <v>1475.31</v>
      </c>
      <c r="E2305" s="2443">
        <v>3.0905790606948211</v>
      </c>
      <c r="F2305" s="2441">
        <v>2.5870691691950185</v>
      </c>
      <c r="G2305" s="2442">
        <v>4.1442659560557774E-2</v>
      </c>
      <c r="H2305" s="2443">
        <v>1.327445035197911</v>
      </c>
      <c r="I2305" s="2441">
        <v>1.1678582297503968</v>
      </c>
      <c r="J2305" s="2444">
        <v>2.2828572917954357E-2</v>
      </c>
    </row>
    <row r="2306" spans="1:10" x14ac:dyDescent="0.2">
      <c r="A2306" s="2426" t="s">
        <v>955</v>
      </c>
      <c r="B2306" s="2427">
        <v>108.6525</v>
      </c>
      <c r="C2306" s="2428">
        <v>12137000</v>
      </c>
      <c r="D2306" s="2429">
        <v>1318.7153925</v>
      </c>
      <c r="E2306" s="2430">
        <v>0.58197424851324808</v>
      </c>
      <c r="F2306" s="2427">
        <v>0.48716036898780196</v>
      </c>
      <c r="G2306" s="2429">
        <v>7.8038969980996596E-3</v>
      </c>
      <c r="H2306" s="2430">
        <v>1.1865453366500529</v>
      </c>
      <c r="I2306" s="2427">
        <v>1.0438976376691338</v>
      </c>
      <c r="J2306" s="2431">
        <v>2.0405467661518632E-2</v>
      </c>
    </row>
    <row r="2307" spans="1:10" x14ac:dyDescent="0.2">
      <c r="A2307" s="2426" t="s">
        <v>283</v>
      </c>
      <c r="B2307" s="2427">
        <v>3000.7050625779152</v>
      </c>
      <c r="C2307" s="2428">
        <v>13024549.999999996</v>
      </c>
      <c r="D2307" s="2429">
        <v>39082.833122799173</v>
      </c>
      <c r="E2307" s="2430">
        <v>16.072645119106149</v>
      </c>
      <c r="F2307" s="2427">
        <v>13.454127475290697</v>
      </c>
      <c r="G2307" s="2429">
        <v>0.21552374064134966</v>
      </c>
      <c r="H2307" s="2430">
        <v>35.165702659324637</v>
      </c>
      <c r="I2307" s="2427">
        <v>30.938045769650046</v>
      </c>
      <c r="J2307" s="2431">
        <v>0.60475785142381111</v>
      </c>
    </row>
    <row r="2308" spans="1:10" x14ac:dyDescent="0.2">
      <c r="A2308" s="2426" t="s">
        <v>69</v>
      </c>
      <c r="B2308" s="2427">
        <v>2370.1429374220838</v>
      </c>
      <c r="C2308" s="2428">
        <v>14978232.499999994</v>
      </c>
      <c r="D2308" s="2429">
        <v>35500.551974940907</v>
      </c>
      <c r="E2308" s="2430">
        <v>12.695171808059632</v>
      </c>
      <c r="F2308" s="2427">
        <v>10.626904194090105</v>
      </c>
      <c r="G2308" s="2429">
        <v>0.17023401536472063</v>
      </c>
      <c r="H2308" s="2430">
        <v>31.942460544509764</v>
      </c>
      <c r="I2308" s="2427">
        <v>28.102305132220646</v>
      </c>
      <c r="J2308" s="2431">
        <v>0.54932654112530055</v>
      </c>
    </row>
    <row r="2309" spans="1:10" x14ac:dyDescent="0.2">
      <c r="A2309" s="2426" t="s">
        <v>199</v>
      </c>
      <c r="B2309" s="2427">
        <v>455</v>
      </c>
      <c r="C2309" s="2428">
        <v>3000000</v>
      </c>
      <c r="D2309" s="2429">
        <v>1365</v>
      </c>
      <c r="E2309" s="2430">
        <v>2.4371117376362976</v>
      </c>
      <c r="F2309" s="2427">
        <v>2.0400632096771809</v>
      </c>
      <c r="G2309" s="2429">
        <v>3.26800868285161E-2</v>
      </c>
      <c r="H2309" s="2430">
        <v>1.2281910059886725</v>
      </c>
      <c r="I2309" s="2427">
        <v>1.0805366218688219</v>
      </c>
      <c r="J2309" s="2431">
        <v>2.1121663943854306E-2</v>
      </c>
    </row>
    <row r="2310" spans="1:10" x14ac:dyDescent="0.2">
      <c r="A2310" s="2426" t="s">
        <v>86</v>
      </c>
      <c r="B2310" s="2427">
        <v>700</v>
      </c>
      <c r="C2310" s="2428">
        <v>170000</v>
      </c>
      <c r="D2310" s="2429">
        <v>119</v>
      </c>
      <c r="E2310" s="2430">
        <v>3.7494026732866113</v>
      </c>
      <c r="F2310" s="2427">
        <v>3.1385587841187399</v>
      </c>
      <c r="G2310" s="2429">
        <v>5.0277056659255533E-2</v>
      </c>
      <c r="H2310" s="2430">
        <v>0.10707306206055095</v>
      </c>
      <c r="I2310" s="2427">
        <v>9.4200628573179332E-2</v>
      </c>
      <c r="J2310" s="2431">
        <v>1.8413758310026835E-3</v>
      </c>
    </row>
    <row r="2311" spans="1:10" x14ac:dyDescent="0.2">
      <c r="A2311" s="2439" t="s">
        <v>213</v>
      </c>
      <c r="B2311" s="2427">
        <v>2652.3999999999996</v>
      </c>
      <c r="C2311" s="2428">
        <v>1850000.0000000005</v>
      </c>
      <c r="D2311" s="2429">
        <v>4906.9400000000005</v>
      </c>
      <c r="E2311" s="2430">
        <v>14.207022358036298</v>
      </c>
      <c r="F2311" s="2427">
        <v>11.892447598566493</v>
      </c>
      <c r="G2311" s="2429">
        <v>0.19050695011858479</v>
      </c>
      <c r="H2311" s="2430">
        <v>4.4151352197260501</v>
      </c>
      <c r="I2311" s="2427">
        <v>3.8843431291670312</v>
      </c>
      <c r="J2311" s="2431">
        <v>7.592874554773367E-2</v>
      </c>
    </row>
    <row r="2312" spans="1:10" x14ac:dyDescent="0.2">
      <c r="A2312" s="2433" t="s">
        <v>1834</v>
      </c>
      <c r="B2312" s="2434">
        <v>9286.9004999999997</v>
      </c>
      <c r="C2312" s="2433"/>
      <c r="D2312" s="2435">
        <v>82293.040490240091</v>
      </c>
      <c r="E2312" s="2436">
        <v>49.743327944638246</v>
      </c>
      <c r="F2312" s="2434">
        <v>41.639261630731021</v>
      </c>
      <c r="G2312" s="2435">
        <v>0.66702574661052649</v>
      </c>
      <c r="H2312" s="2436">
        <v>74.045107828259731</v>
      </c>
      <c r="I2312" s="2434">
        <v>65.143328919148871</v>
      </c>
      <c r="J2312" s="2437">
        <v>1.2733816455332212</v>
      </c>
    </row>
    <row r="2313" spans="1:10" x14ac:dyDescent="0.2">
      <c r="A2313" s="2426" t="s">
        <v>961</v>
      </c>
      <c r="B2313" s="2427">
        <v>1389.3400000000001</v>
      </c>
      <c r="C2313" s="2428">
        <v>3668000</v>
      </c>
      <c r="D2313" s="2429">
        <v>5096.0991200000008</v>
      </c>
      <c r="E2313" s="2430">
        <v>7.441707300148602</v>
      </c>
      <c r="F2313" s="2427">
        <v>6.2293218016107579</v>
      </c>
      <c r="G2313" s="2429">
        <v>9.9788465569957269E-2</v>
      </c>
      <c r="H2313" s="2430">
        <v>4.5853356079199932</v>
      </c>
      <c r="I2313" s="2427">
        <v>4.0340818518926564</v>
      </c>
      <c r="J2313" s="2431">
        <v>7.8855745814807102E-2</v>
      </c>
    </row>
    <row r="2314" spans="1:10" x14ac:dyDescent="0.2">
      <c r="A2314" s="2426" t="s">
        <v>962</v>
      </c>
      <c r="B2314" s="2427">
        <v>60</v>
      </c>
      <c r="C2314" s="2428">
        <v>1999999.9999999998</v>
      </c>
      <c r="D2314" s="2429">
        <v>119.99999999999999</v>
      </c>
      <c r="E2314" s="2430">
        <v>0.32137737199599531</v>
      </c>
      <c r="F2314" s="2427">
        <v>0.26901932435303488</v>
      </c>
      <c r="G2314" s="2429">
        <v>4.3094619993647599E-3</v>
      </c>
      <c r="H2314" s="2430">
        <v>0.10797283569131187</v>
      </c>
      <c r="I2314" s="2427">
        <v>9.499223049396234E-2</v>
      </c>
      <c r="J2314" s="2431">
        <v>1.8568495774816971E-3</v>
      </c>
    </row>
    <row r="2315" spans="1:10" x14ac:dyDescent="0.2">
      <c r="A2315" s="2426" t="s">
        <v>963</v>
      </c>
      <c r="B2315" s="2427">
        <v>42.5</v>
      </c>
      <c r="C2315" s="2428">
        <v>1347999.9999999998</v>
      </c>
      <c r="D2315" s="2429">
        <v>57.289999999999992</v>
      </c>
      <c r="E2315" s="2430">
        <v>0.22764230516382999</v>
      </c>
      <c r="F2315" s="2427">
        <v>0.19055535475006635</v>
      </c>
      <c r="G2315" s="2429">
        <v>3.0525355828833712E-3</v>
      </c>
      <c r="H2315" s="2430">
        <v>5.1548031306293804E-2</v>
      </c>
      <c r="I2315" s="2427">
        <v>4.5350874041659189E-2</v>
      </c>
      <c r="J2315" s="2431">
        <v>8.8649093578272017E-4</v>
      </c>
    </row>
    <row r="2316" spans="1:10" x14ac:dyDescent="0.2">
      <c r="A2316" s="2426" t="s">
        <v>965</v>
      </c>
      <c r="B2316" s="2427">
        <v>1694</v>
      </c>
      <c r="C2316" s="2428">
        <v>1599999.9999999995</v>
      </c>
      <c r="D2316" s="2429">
        <v>2710.3999999999992</v>
      </c>
      <c r="E2316" s="2430">
        <v>9.073554469353601</v>
      </c>
      <c r="F2316" s="2427">
        <v>7.5953122575673504</v>
      </c>
      <c r="G2316" s="2429">
        <v>0.12167047711539838</v>
      </c>
      <c r="H2316" s="2430">
        <v>2.4387464488144306</v>
      </c>
      <c r="I2316" s="2427">
        <v>2.1455578460902958</v>
      </c>
      <c r="J2316" s="2431">
        <v>4.194004245671993E-2</v>
      </c>
    </row>
    <row r="2317" spans="1:10" x14ac:dyDescent="0.2">
      <c r="A2317" s="2426" t="s">
        <v>966</v>
      </c>
      <c r="B2317" s="2427">
        <v>30</v>
      </c>
      <c r="C2317" s="2428">
        <v>2244000</v>
      </c>
      <c r="D2317" s="2429">
        <v>67.319999999999993</v>
      </c>
      <c r="E2317" s="2430">
        <v>0.16068868599799765</v>
      </c>
      <c r="F2317" s="2427">
        <v>0.13450966217651744</v>
      </c>
      <c r="G2317" s="2429">
        <v>2.1547309996823799E-3</v>
      </c>
      <c r="H2317" s="2430">
        <v>6.0572760822825956E-2</v>
      </c>
      <c r="I2317" s="2427">
        <v>5.329064130711287E-2</v>
      </c>
      <c r="J2317" s="2431">
        <v>1.0416926129672322E-3</v>
      </c>
    </row>
    <row r="2318" spans="1:10" x14ac:dyDescent="0.2">
      <c r="A2318" s="2426" t="s">
        <v>1499</v>
      </c>
      <c r="B2318" s="2427">
        <v>168</v>
      </c>
      <c r="C2318" s="2428">
        <v>4849999.9999999991</v>
      </c>
      <c r="D2318" s="2429">
        <v>814.79999999999984</v>
      </c>
      <c r="E2318" s="2430">
        <v>0.89985664158878687</v>
      </c>
      <c r="F2318" s="2427">
        <v>0.75325410818849758</v>
      </c>
      <c r="G2318" s="2429">
        <v>1.2066493598221328E-2</v>
      </c>
      <c r="H2318" s="2430">
        <v>0.73313555434400757</v>
      </c>
      <c r="I2318" s="2427">
        <v>0.64499724505400424</v>
      </c>
      <c r="J2318" s="2431">
        <v>1.2608008631100724E-2</v>
      </c>
    </row>
    <row r="2319" spans="1:10" x14ac:dyDescent="0.2">
      <c r="A2319" s="2426" t="s">
        <v>1575</v>
      </c>
      <c r="B2319" s="2427">
        <v>0</v>
      </c>
      <c r="C2319" s="2428">
        <v>2250000.0000000005</v>
      </c>
      <c r="D2319" s="2429">
        <v>0</v>
      </c>
      <c r="E2319" s="2430">
        <v>0</v>
      </c>
      <c r="F2319" s="2427">
        <v>0</v>
      </c>
      <c r="G2319" s="2429">
        <v>0</v>
      </c>
      <c r="H2319" s="2430">
        <v>0</v>
      </c>
      <c r="I2319" s="2427">
        <v>0</v>
      </c>
      <c r="J2319" s="2431">
        <v>0</v>
      </c>
    </row>
    <row r="2320" spans="1:10" x14ac:dyDescent="0.2">
      <c r="A2320" s="2426" t="s">
        <v>964</v>
      </c>
      <c r="B2320" s="2427">
        <v>24</v>
      </c>
      <c r="C2320" s="2428">
        <v>1556000</v>
      </c>
      <c r="D2320" s="2429">
        <v>37.344000000000001</v>
      </c>
      <c r="E2320" s="2430">
        <v>0.12855094879839812</v>
      </c>
      <c r="F2320" s="2427">
        <v>0.10760772974121394</v>
      </c>
      <c r="G2320" s="2429">
        <v>1.7237847997459042E-3</v>
      </c>
      <c r="H2320" s="2430">
        <v>3.3601146467136259E-2</v>
      </c>
      <c r="I2320" s="2427">
        <v>2.9561582129721084E-2</v>
      </c>
      <c r="J2320" s="2431">
        <v>5.778515885123042E-4</v>
      </c>
    </row>
    <row r="2321" spans="1:10" x14ac:dyDescent="0.2">
      <c r="A2321" s="2426" t="s">
        <v>969</v>
      </c>
      <c r="B2321" s="2427">
        <v>102</v>
      </c>
      <c r="C2321" s="2428">
        <v>4800000</v>
      </c>
      <c r="D2321" s="2429">
        <v>489.6</v>
      </c>
      <c r="E2321" s="2430">
        <v>0.54634153239319194</v>
      </c>
      <c r="F2321" s="2427">
        <v>0.45733285140015928</v>
      </c>
      <c r="G2321" s="2429">
        <v>7.3260853989200918E-3</v>
      </c>
      <c r="H2321" s="2430">
        <v>0.4405291696205525</v>
      </c>
      <c r="I2321" s="2427">
        <v>0.38756830041536644</v>
      </c>
      <c r="J2321" s="2431">
        <v>7.5759462761253258E-3</v>
      </c>
    </row>
    <row r="2322" spans="1:10" x14ac:dyDescent="0.2">
      <c r="A2322" s="2426" t="s">
        <v>968</v>
      </c>
      <c r="B2322" s="2427">
        <v>153</v>
      </c>
      <c r="C2322" s="2428">
        <v>3050000.0000000009</v>
      </c>
      <c r="D2322" s="2429">
        <v>466.65000000000009</v>
      </c>
      <c r="E2322" s="2430">
        <v>0.81951229858978802</v>
      </c>
      <c r="F2322" s="2427">
        <v>0.68599927710023878</v>
      </c>
      <c r="G2322" s="2429">
        <v>1.0989128098380138E-2</v>
      </c>
      <c r="H2322" s="2430">
        <v>0.41987936479458915</v>
      </c>
      <c r="I2322" s="2427">
        <v>0.36940103633339622</v>
      </c>
      <c r="J2322" s="2431">
        <v>7.220823794431952E-3</v>
      </c>
    </row>
    <row r="2323" spans="1:10" x14ac:dyDescent="0.2">
      <c r="A2323" s="2426" t="s">
        <v>1013</v>
      </c>
      <c r="B2323" s="2427">
        <v>50</v>
      </c>
      <c r="C2323" s="2428">
        <v>1799999.9999999998</v>
      </c>
      <c r="D2323" s="2429">
        <v>89.999999999999986</v>
      </c>
      <c r="E2323" s="2430">
        <v>0.26781447666332941</v>
      </c>
      <c r="F2323" s="2427">
        <v>0.2241827702941957</v>
      </c>
      <c r="G2323" s="2429">
        <v>3.5912183328039664E-3</v>
      </c>
      <c r="H2323" s="2430">
        <v>8.0979626768483887E-2</v>
      </c>
      <c r="I2323" s="2427">
        <v>7.1244172870471745E-2</v>
      </c>
      <c r="J2323" s="2431">
        <v>1.3926371831112728E-3</v>
      </c>
    </row>
    <row r="2324" spans="1:10" x14ac:dyDescent="0.2">
      <c r="A2324" s="2426" t="s">
        <v>1014</v>
      </c>
      <c r="B2324" s="2427">
        <v>0</v>
      </c>
      <c r="C2324" s="2428">
        <v>2195000.0000000005</v>
      </c>
      <c r="D2324" s="2429">
        <v>0</v>
      </c>
      <c r="E2324" s="2430">
        <v>0</v>
      </c>
      <c r="F2324" s="2427">
        <v>0</v>
      </c>
      <c r="G2324" s="2429">
        <v>0</v>
      </c>
      <c r="H2324" s="2430">
        <v>0</v>
      </c>
      <c r="I2324" s="2427">
        <v>0</v>
      </c>
      <c r="J2324" s="2431">
        <v>0</v>
      </c>
    </row>
    <row r="2325" spans="1:10" x14ac:dyDescent="0.2">
      <c r="A2325" s="2426" t="s">
        <v>970</v>
      </c>
      <c r="B2325" s="2427">
        <v>240</v>
      </c>
      <c r="C2325" s="2428">
        <v>3100000.0000000005</v>
      </c>
      <c r="D2325" s="2429">
        <v>744.00000000000011</v>
      </c>
      <c r="E2325" s="2430">
        <v>1.2855094879839812</v>
      </c>
      <c r="F2325" s="2427">
        <v>1.0760772974121395</v>
      </c>
      <c r="G2325" s="2429">
        <v>1.723784799745904E-2</v>
      </c>
      <c r="H2325" s="2430">
        <v>0.66943158128613378</v>
      </c>
      <c r="I2325" s="2427">
        <v>0.58895182906256671</v>
      </c>
      <c r="J2325" s="2431">
        <v>1.1512467380386526E-2</v>
      </c>
    </row>
    <row r="2326" spans="1:10" x14ac:dyDescent="0.2">
      <c r="A2326" s="2426" t="s">
        <v>971</v>
      </c>
      <c r="B2326" s="2427">
        <v>0</v>
      </c>
      <c r="C2326" s="2428">
        <v>3010000</v>
      </c>
      <c r="D2326" s="2429">
        <v>0</v>
      </c>
      <c r="E2326" s="2430">
        <v>0</v>
      </c>
      <c r="F2326" s="2427">
        <v>0</v>
      </c>
      <c r="G2326" s="2429">
        <v>0</v>
      </c>
      <c r="H2326" s="2430">
        <v>0</v>
      </c>
      <c r="I2326" s="2427">
        <v>0</v>
      </c>
      <c r="J2326" s="2431">
        <v>0</v>
      </c>
    </row>
    <row r="2327" spans="1:10" x14ac:dyDescent="0.2">
      <c r="A2327" s="2426" t="s">
        <v>972</v>
      </c>
      <c r="B2327" s="2427">
        <v>144</v>
      </c>
      <c r="C2327" s="2428">
        <v>2744000.0000000005</v>
      </c>
      <c r="D2327" s="2429">
        <v>395.13600000000008</v>
      </c>
      <c r="E2327" s="2430">
        <v>0.77130569279038863</v>
      </c>
      <c r="F2327" s="2427">
        <v>0.64564637844728368</v>
      </c>
      <c r="G2327" s="2429">
        <v>1.0342708798475424E-2</v>
      </c>
      <c r="H2327" s="2430">
        <v>0.35553295336435181</v>
      </c>
      <c r="I2327" s="2427">
        <v>0.31279041657051931</v>
      </c>
      <c r="J2327" s="2431">
        <v>6.1142342887317343E-3</v>
      </c>
    </row>
    <row r="2328" spans="1:10" x14ac:dyDescent="0.2">
      <c r="A2328" s="2426" t="s">
        <v>973</v>
      </c>
      <c r="B2328" s="2427">
        <v>98</v>
      </c>
      <c r="C2328" s="2428">
        <v>2549999.9999999991</v>
      </c>
      <c r="D2328" s="2429">
        <v>249.89999999999992</v>
      </c>
      <c r="E2328" s="2430">
        <v>0.52491637426012572</v>
      </c>
      <c r="F2328" s="2427">
        <v>0.43939822977662357</v>
      </c>
      <c r="G2328" s="2429">
        <v>7.0387879322957739E-3</v>
      </c>
      <c r="H2328" s="2430">
        <v>0.22485343032715693</v>
      </c>
      <c r="I2328" s="2427">
        <v>0.19782132000367653</v>
      </c>
      <c r="J2328" s="2431">
        <v>3.8668892451056338E-3</v>
      </c>
    </row>
    <row r="2329" spans="1:10" x14ac:dyDescent="0.2">
      <c r="A2329" s="2426" t="s">
        <v>974</v>
      </c>
      <c r="B2329" s="2427">
        <v>110</v>
      </c>
      <c r="C2329" s="2428">
        <v>1583999.9999999995</v>
      </c>
      <c r="D2329" s="2429">
        <v>174.23999999999995</v>
      </c>
      <c r="E2329" s="2430">
        <v>0.58919184865932472</v>
      </c>
      <c r="F2329" s="2427">
        <v>0.49320209464723053</v>
      </c>
      <c r="G2329" s="2429">
        <v>7.9006803321687268E-3</v>
      </c>
      <c r="H2329" s="2430">
        <v>0.1567765574237848</v>
      </c>
      <c r="I2329" s="2427">
        <v>0.1379287186772333</v>
      </c>
      <c r="J2329" s="2431">
        <v>2.696145586503424E-3</v>
      </c>
    </row>
    <row r="2330" spans="1:10" x14ac:dyDescent="0.2">
      <c r="A2330" s="2426" t="s">
        <v>975</v>
      </c>
      <c r="B2330" s="2427">
        <v>72</v>
      </c>
      <c r="C2330" s="2428">
        <v>2532000.0000000009</v>
      </c>
      <c r="D2330" s="2429">
        <v>182.30400000000006</v>
      </c>
      <c r="E2330" s="2430">
        <v>0.38565284639519432</v>
      </c>
      <c r="F2330" s="2427">
        <v>0.32282318922364184</v>
      </c>
      <c r="G2330" s="2429">
        <v>5.1713543992377119E-3</v>
      </c>
      <c r="H2330" s="2430">
        <v>0.16403233198224104</v>
      </c>
      <c r="I2330" s="2427">
        <v>0.14431219656642766</v>
      </c>
      <c r="J2330" s="2431">
        <v>2.8209258781101954E-3</v>
      </c>
    </row>
    <row r="2331" spans="1:10" x14ac:dyDescent="0.2">
      <c r="A2331" s="2426" t="s">
        <v>976</v>
      </c>
      <c r="B2331" s="2427">
        <v>27</v>
      </c>
      <c r="C2331" s="2428">
        <v>7394999.9999999991</v>
      </c>
      <c r="D2331" s="2429">
        <v>199.66499999999996</v>
      </c>
      <c r="E2331" s="2430">
        <v>0.14461981739819788</v>
      </c>
      <c r="F2331" s="2427">
        <v>0.12105869595886569</v>
      </c>
      <c r="G2331" s="2429">
        <v>1.939257899714142E-3</v>
      </c>
      <c r="H2331" s="2430">
        <v>0.17965330198588153</v>
      </c>
      <c r="I2331" s="2427">
        <v>0.15805519751314159</v>
      </c>
      <c r="J2331" s="2431">
        <v>3.0895655907323587E-3</v>
      </c>
    </row>
    <row r="2332" spans="1:10" x14ac:dyDescent="0.2">
      <c r="A2332" s="2426" t="s">
        <v>286</v>
      </c>
      <c r="B2332" s="2427">
        <v>73.5</v>
      </c>
      <c r="C2332" s="2428">
        <v>2445000.0000000005</v>
      </c>
      <c r="D2332" s="2429">
        <v>179.70750000000004</v>
      </c>
      <c r="E2332" s="2430">
        <v>0.39368728069509418</v>
      </c>
      <c r="F2332" s="2427">
        <v>0.32954867233246771</v>
      </c>
      <c r="G2332" s="2429">
        <v>5.2790909492218306E-3</v>
      </c>
      <c r="H2332" s="2430">
        <v>0.16169606974997028</v>
      </c>
      <c r="I2332" s="2427">
        <v>0.14225680217911454</v>
      </c>
      <c r="J2332" s="2431">
        <v>2.7807482953774352E-3</v>
      </c>
    </row>
    <row r="2333" spans="1:10" x14ac:dyDescent="0.2">
      <c r="A2333" s="2439" t="s">
        <v>978</v>
      </c>
      <c r="B2333" s="2427">
        <v>104</v>
      </c>
      <c r="C2333" s="2428">
        <v>1850000.0000000002</v>
      </c>
      <c r="D2333" s="2429">
        <v>192.40000000000003</v>
      </c>
      <c r="E2333" s="2430">
        <v>0.55705411145972517</v>
      </c>
      <c r="F2333" s="2427">
        <v>0.46630016221192711</v>
      </c>
      <c r="G2333" s="2429">
        <v>7.4697341322322508E-3</v>
      </c>
      <c r="H2333" s="2430">
        <v>0.17311644655840341</v>
      </c>
      <c r="I2333" s="2427">
        <v>0.15230420955865301</v>
      </c>
      <c r="J2333" s="2431">
        <v>2.9771488225623218E-3</v>
      </c>
    </row>
    <row r="2334" spans="1:10" x14ac:dyDescent="0.2">
      <c r="A2334" s="2426" t="s">
        <v>1163</v>
      </c>
      <c r="B2334" s="2427">
        <v>0</v>
      </c>
      <c r="C2334" s="2428">
        <v>0</v>
      </c>
      <c r="D2334" s="2429">
        <v>0</v>
      </c>
      <c r="E2334" s="2430">
        <v>0</v>
      </c>
      <c r="F2334" s="2427">
        <v>0</v>
      </c>
      <c r="G2334" s="2429">
        <v>0</v>
      </c>
      <c r="H2334" s="2430">
        <v>0</v>
      </c>
      <c r="I2334" s="2427">
        <v>0</v>
      </c>
      <c r="J2334" s="2431">
        <v>0</v>
      </c>
    </row>
    <row r="2335" spans="1:10" x14ac:dyDescent="0.2">
      <c r="A2335" s="2433" t="s">
        <v>287</v>
      </c>
      <c r="B2335" s="2434">
        <v>4581.34</v>
      </c>
      <c r="C2335" s="2433"/>
      <c r="D2335" s="2435">
        <v>12266.855619999997</v>
      </c>
      <c r="E2335" s="2436">
        <v>24.538983490335553</v>
      </c>
      <c r="F2335" s="2434">
        <v>20.541149857192213</v>
      </c>
      <c r="G2335" s="2435">
        <v>0.32905184393616249</v>
      </c>
      <c r="H2335" s="2436">
        <v>11.037393219227544</v>
      </c>
      <c r="I2335" s="2434">
        <v>9.710466470759977</v>
      </c>
      <c r="J2335" s="2437">
        <v>0.1898142139585498</v>
      </c>
    </row>
    <row r="2336" spans="1:10" x14ac:dyDescent="0.2">
      <c r="A2336" s="2440" t="s">
        <v>1835</v>
      </c>
      <c r="B2336" s="2441">
        <v>13868.2405</v>
      </c>
      <c r="C2336" s="2440"/>
      <c r="D2336" s="2442">
        <v>94559.896110240094</v>
      </c>
      <c r="E2336" s="2443">
        <v>74.282311434973792</v>
      </c>
      <c r="F2336" s="2441">
        <v>62.180411487923237</v>
      </c>
      <c r="G2336" s="2442">
        <v>0.99607759054668887</v>
      </c>
      <c r="H2336" s="2443">
        <v>85.082501047487284</v>
      </c>
      <c r="I2336" s="2441">
        <v>74.853795389908854</v>
      </c>
      <c r="J2336" s="2444">
        <v>1.4631958594917709</v>
      </c>
    </row>
    <row r="2337" spans="1:10" x14ac:dyDescent="0.2">
      <c r="A2337" s="2445" t="s">
        <v>194</v>
      </c>
      <c r="B2337" s="2446">
        <v>18669.640500000001</v>
      </c>
      <c r="C2337" s="2447"/>
      <c r="D2337" s="2448">
        <v>111139.06496174009</v>
      </c>
      <c r="E2337" s="2449">
        <v>99.999999999999986</v>
      </c>
      <c r="F2337" s="2446">
        <v>83.708234553734272</v>
      </c>
      <c r="G2337" s="2448">
        <v>1.3409351046091884</v>
      </c>
      <c r="H2337" s="2449">
        <v>100</v>
      </c>
      <c r="I2337" s="2446">
        <v>87.97789729774226</v>
      </c>
      <c r="J2337" s="2450">
        <v>1.7197377151326501</v>
      </c>
    </row>
    <row r="2338" spans="1:10" x14ac:dyDescent="0.2">
      <c r="A2338" s="2451" t="s">
        <v>1852</v>
      </c>
      <c r="B2338" s="2427"/>
      <c r="C2338" s="2452"/>
      <c r="D2338" s="2429"/>
      <c r="E2338" s="2430"/>
      <c r="F2338" s="2427">
        <v>0</v>
      </c>
      <c r="G2338" s="2429"/>
      <c r="H2338" s="2430"/>
      <c r="I2338" s="2427">
        <v>0</v>
      </c>
      <c r="J2338" s="2431">
        <v>0</v>
      </c>
    </row>
    <row r="2339" spans="1:10" x14ac:dyDescent="0.2">
      <c r="A2339" s="2453" t="s">
        <v>1836</v>
      </c>
      <c r="B2339" s="2427">
        <v>0</v>
      </c>
      <c r="C2339" s="2428">
        <v>8033612.4975057133</v>
      </c>
      <c r="D2339" s="2429">
        <v>0</v>
      </c>
      <c r="E2339" s="2430">
        <v>0</v>
      </c>
      <c r="F2339" s="2427">
        <v>0</v>
      </c>
      <c r="G2339" s="2429">
        <v>0</v>
      </c>
      <c r="H2339" s="2430">
        <v>0</v>
      </c>
      <c r="I2339" s="2427">
        <v>0</v>
      </c>
      <c r="J2339" s="2431">
        <v>0</v>
      </c>
    </row>
    <row r="2340" spans="1:10" x14ac:dyDescent="0.2">
      <c r="A2340" s="2453" t="s">
        <v>1837</v>
      </c>
      <c r="B2340" s="2427">
        <v>2470.3200000000002</v>
      </c>
      <c r="C2340" s="2428">
        <v>2214764.1578067578</v>
      </c>
      <c r="D2340" s="2429">
        <v>5471.1761943131905</v>
      </c>
      <c r="E2340" s="2430">
        <v>71.138193237563598</v>
      </c>
      <c r="F2340" s="2427">
        <v>11.076063622263153</v>
      </c>
      <c r="G2340" s="2429">
        <v>0.17742916943784592</v>
      </c>
      <c r="H2340" s="2430">
        <v>41.872041626839824</v>
      </c>
      <c r="I2340" s="2427">
        <v>4.3309935843606535</v>
      </c>
      <c r="J2340" s="2431">
        <v>8.4659593372819739E-2</v>
      </c>
    </row>
    <row r="2341" spans="1:10" x14ac:dyDescent="0.2">
      <c r="A2341" s="2454" t="s">
        <v>309</v>
      </c>
      <c r="B2341" s="2434">
        <v>2470.3200000000002</v>
      </c>
      <c r="C2341" s="2433"/>
      <c r="D2341" s="2435">
        <v>5471.1761943131905</v>
      </c>
      <c r="E2341" s="2430">
        <v>71.138193237563598</v>
      </c>
      <c r="F2341" s="2427">
        <v>11.076063622263153</v>
      </c>
      <c r="G2341" s="2435">
        <v>0.17742916943784592</v>
      </c>
      <c r="H2341" s="2430">
        <v>41.872041626839824</v>
      </c>
      <c r="I2341" s="2427">
        <v>4.3309935843606535</v>
      </c>
      <c r="J2341" s="2437">
        <v>8.4659593372819739E-2</v>
      </c>
    </row>
    <row r="2342" spans="1:10" x14ac:dyDescent="0.2">
      <c r="A2342" s="2453" t="s">
        <v>1838</v>
      </c>
      <c r="B2342" s="2427">
        <v>0</v>
      </c>
      <c r="C2342" s="2428">
        <v>10407427.50198495</v>
      </c>
      <c r="D2342" s="2429">
        <v>0</v>
      </c>
      <c r="E2342" s="2430">
        <v>0</v>
      </c>
      <c r="F2342" s="2427">
        <v>0</v>
      </c>
      <c r="G2342" s="2429">
        <v>0</v>
      </c>
      <c r="H2342" s="2430">
        <v>0</v>
      </c>
      <c r="I2342" s="2427">
        <v>0</v>
      </c>
      <c r="J2342" s="2431">
        <v>0</v>
      </c>
    </row>
    <row r="2343" spans="1:10" x14ac:dyDescent="0.2">
      <c r="A2343" s="2454" t="s">
        <v>315</v>
      </c>
      <c r="B2343" s="2434">
        <v>0</v>
      </c>
      <c r="C2343" s="2455"/>
      <c r="D2343" s="2435">
        <v>0</v>
      </c>
      <c r="E2343" s="2430">
        <v>0</v>
      </c>
      <c r="F2343" s="2427">
        <v>0</v>
      </c>
      <c r="G2343" s="2435">
        <v>0</v>
      </c>
      <c r="H2343" s="2430">
        <v>0</v>
      </c>
      <c r="I2343" s="2427">
        <v>0</v>
      </c>
      <c r="J2343" s="2437">
        <v>0</v>
      </c>
    </row>
    <row r="2344" spans="1:10" x14ac:dyDescent="0.2">
      <c r="A2344" s="2453" t="s">
        <v>1541</v>
      </c>
      <c r="B2344" s="2427">
        <v>106.92</v>
      </c>
      <c r="C2344" s="2428">
        <v>10553660</v>
      </c>
      <c r="D2344" s="2429">
        <v>1128.3973272000001</v>
      </c>
      <c r="E2344" s="2430">
        <v>3.0789920419056229</v>
      </c>
      <c r="F2344" s="2427">
        <v>0.47939243599710812</v>
      </c>
      <c r="G2344" s="2429">
        <v>7.6794612828680027E-3</v>
      </c>
      <c r="H2344" s="2430">
        <v>8.6358578444692906</v>
      </c>
      <c r="I2344" s="2427">
        <v>0.89324149161794553</v>
      </c>
      <c r="J2344" s="2431">
        <v>1.7460534168689975E-2</v>
      </c>
    </row>
    <row r="2345" spans="1:10" x14ac:dyDescent="0.2">
      <c r="A2345" s="2453" t="s">
        <v>206</v>
      </c>
      <c r="B2345" s="2427">
        <v>888.125</v>
      </c>
      <c r="C2345" s="2428">
        <v>6960000</v>
      </c>
      <c r="D2345" s="2429">
        <v>6181.35</v>
      </c>
      <c r="E2345" s="2430">
        <v>25.575475189089332</v>
      </c>
      <c r="F2345" s="2427">
        <v>3.9820464573506511</v>
      </c>
      <c r="G2345" s="2429">
        <v>6.3789015636430454E-2</v>
      </c>
      <c r="H2345" s="2430">
        <v>47.307148466374215</v>
      </c>
      <c r="I2345" s="2427">
        <v>4.8931685330321191</v>
      </c>
      <c r="J2345" s="2431">
        <v>9.5648642798054087E-2</v>
      </c>
    </row>
    <row r="2346" spans="1:10" x14ac:dyDescent="0.2">
      <c r="A2346" s="2454" t="s">
        <v>310</v>
      </c>
      <c r="B2346" s="2434">
        <v>995.04499999999996</v>
      </c>
      <c r="C2346" s="2455"/>
      <c r="D2346" s="2435">
        <v>7309.7473272000007</v>
      </c>
      <c r="E2346" s="2430">
        <v>28.654467230994957</v>
      </c>
      <c r="F2346" s="2427">
        <v>4.4614388933477596</v>
      </c>
      <c r="G2346" s="2435">
        <v>7.1468476919298446E-2</v>
      </c>
      <c r="H2346" s="2430">
        <v>55.943006310843501</v>
      </c>
      <c r="I2346" s="2427">
        <v>5.7864100246500652</v>
      </c>
      <c r="J2346" s="2437">
        <v>0.11310917696674408</v>
      </c>
    </row>
    <row r="2347" spans="1:10" x14ac:dyDescent="0.2">
      <c r="A2347" s="2453" t="s">
        <v>1839</v>
      </c>
      <c r="B2347" s="2427">
        <v>7.2</v>
      </c>
      <c r="C2347" s="2428">
        <v>39652080.629353955</v>
      </c>
      <c r="D2347" s="2429">
        <v>285.49498053134846</v>
      </c>
      <c r="E2347" s="2430">
        <v>0.20733953144145609</v>
      </c>
      <c r="F2347" s="2427">
        <v>3.2282318922364182E-2</v>
      </c>
      <c r="G2347" s="2429">
        <v>5.1713543992377119E-4</v>
      </c>
      <c r="H2347" s="2430">
        <v>2.1849520623166652</v>
      </c>
      <c r="I2347" s="2427">
        <v>0.22599837496252623</v>
      </c>
      <c r="J2347" s="2431">
        <v>4.4176769497731652E-3</v>
      </c>
    </row>
    <row r="2348" spans="1:10" x14ac:dyDescent="0.2">
      <c r="A2348" s="2454" t="s">
        <v>311</v>
      </c>
      <c r="B2348" s="2434">
        <v>7.2</v>
      </c>
      <c r="C2348" s="2433"/>
      <c r="D2348" s="2435">
        <v>285.49498053134846</v>
      </c>
      <c r="E2348" s="2430">
        <v>0.20733953144145609</v>
      </c>
      <c r="F2348" s="2427">
        <v>3.2282318922364182E-2</v>
      </c>
      <c r="G2348" s="2435">
        <v>5.1713543992377119E-4</v>
      </c>
      <c r="H2348" s="2430">
        <v>2.1849520623166652</v>
      </c>
      <c r="I2348" s="2427">
        <v>0.22599837496252623</v>
      </c>
      <c r="J2348" s="2437">
        <v>4.4176769497731652E-3</v>
      </c>
    </row>
    <row r="2349" spans="1:10" x14ac:dyDescent="0.2">
      <c r="A2349" s="2445" t="s">
        <v>129</v>
      </c>
      <c r="B2349" s="2446">
        <v>3472.5650000000001</v>
      </c>
      <c r="C2349" s="2447"/>
      <c r="D2349" s="2448">
        <v>13066.41850204454</v>
      </c>
      <c r="E2349" s="2449">
        <v>100.00000000000001</v>
      </c>
      <c r="F2349" s="2446">
        <v>15.569784834533273</v>
      </c>
      <c r="G2349" s="2448">
        <v>0.24941478179706811</v>
      </c>
      <c r="H2349" s="2449">
        <v>99.999999999999986</v>
      </c>
      <c r="I2349" s="2446">
        <v>10.343401983973244</v>
      </c>
      <c r="J2349" s="2450">
        <v>0.20218644728933699</v>
      </c>
    </row>
    <row r="2350" spans="1:10" x14ac:dyDescent="0.2">
      <c r="A2350" s="2451" t="s">
        <v>1853</v>
      </c>
      <c r="B2350" s="2427"/>
      <c r="C2350" s="2452"/>
      <c r="D2350" s="2429"/>
      <c r="E2350" s="2430"/>
      <c r="F2350" s="2427">
        <v>0</v>
      </c>
      <c r="G2350" s="2429"/>
      <c r="H2350" s="2430"/>
      <c r="I2350" s="2427">
        <v>0</v>
      </c>
      <c r="J2350" s="2431">
        <v>0</v>
      </c>
    </row>
    <row r="2351" spans="1:10" x14ac:dyDescent="0.2">
      <c r="A2351" s="2426" t="s">
        <v>1543</v>
      </c>
      <c r="B2351" s="2427">
        <v>150</v>
      </c>
      <c r="C2351" s="2428">
        <v>13200000</v>
      </c>
      <c r="D2351" s="2429">
        <v>1980</v>
      </c>
      <c r="E2351" s="2430">
        <v>93.153237074988368</v>
      </c>
      <c r="F2351" s="2427">
        <v>0.67254831088258715</v>
      </c>
      <c r="G2351" s="2429">
        <v>1.0773654998411899E-2</v>
      </c>
      <c r="H2351" s="2430">
        <v>93.368149907751814</v>
      </c>
      <c r="I2351" s="2427">
        <v>1.5673718031503789</v>
      </c>
      <c r="J2351" s="2431">
        <v>3.0638018028448007E-2</v>
      </c>
    </row>
    <row r="2352" spans="1:10" x14ac:dyDescent="0.2">
      <c r="A2352" s="2426" t="s">
        <v>208</v>
      </c>
      <c r="B2352" s="2427">
        <v>7.45</v>
      </c>
      <c r="C2352" s="2428">
        <v>10000000</v>
      </c>
      <c r="D2352" s="2429">
        <v>74.5</v>
      </c>
      <c r="E2352" s="2430">
        <v>4.6266107747244227</v>
      </c>
      <c r="F2352" s="2427">
        <v>3.3403232773835161E-2</v>
      </c>
      <c r="G2352" s="2429">
        <v>5.3509153158779106E-4</v>
      </c>
      <c r="H2352" s="2430">
        <v>3.5130945293573279</v>
      </c>
      <c r="I2352" s="2427">
        <v>5.8974343098334957E-2</v>
      </c>
      <c r="J2352" s="2431">
        <v>1.1527941126865538E-3</v>
      </c>
    </row>
    <row r="2353" spans="1:10" x14ac:dyDescent="0.2">
      <c r="A2353" s="2426" t="s">
        <v>209</v>
      </c>
      <c r="B2353" s="2427">
        <v>0</v>
      </c>
      <c r="C2353" s="2428">
        <v>10000000</v>
      </c>
      <c r="D2353" s="2429">
        <v>0</v>
      </c>
      <c r="E2353" s="2430">
        <v>0</v>
      </c>
      <c r="F2353" s="2427">
        <v>0</v>
      </c>
      <c r="G2353" s="2429">
        <v>0</v>
      </c>
      <c r="H2353" s="2430">
        <v>0</v>
      </c>
      <c r="I2353" s="2427">
        <v>0</v>
      </c>
      <c r="J2353" s="2431">
        <v>0</v>
      </c>
    </row>
    <row r="2354" spans="1:10" x14ac:dyDescent="0.2">
      <c r="A2354" s="2426" t="s">
        <v>210</v>
      </c>
      <c r="B2354" s="2427">
        <v>3.5750000000000002</v>
      </c>
      <c r="C2354" s="2428">
        <v>18500000</v>
      </c>
      <c r="D2354" s="2429">
        <v>66.137500000000003</v>
      </c>
      <c r="E2354" s="2430">
        <v>2.2201521502872228</v>
      </c>
      <c r="F2354" s="2427">
        <v>1.6029068076034995E-2</v>
      </c>
      <c r="G2354" s="2429">
        <v>2.5677211079548363E-4</v>
      </c>
      <c r="H2354" s="2430">
        <v>3.1187555628908763</v>
      </c>
      <c r="I2354" s="2427">
        <v>5.2354572035786966E-2</v>
      </c>
      <c r="J2354" s="2431">
        <v>1.023394907755798E-3</v>
      </c>
    </row>
    <row r="2355" spans="1:10" x14ac:dyDescent="0.2">
      <c r="A2355" s="2426" t="s">
        <v>1545</v>
      </c>
      <c r="B2355" s="2427">
        <v>0</v>
      </c>
      <c r="C2355" s="2428">
        <v>14200000</v>
      </c>
      <c r="D2355" s="2429">
        <v>0</v>
      </c>
      <c r="E2355" s="2430">
        <v>0</v>
      </c>
      <c r="F2355" s="2427">
        <v>0</v>
      </c>
      <c r="G2355" s="2429">
        <v>0</v>
      </c>
      <c r="H2355" s="2430">
        <v>0</v>
      </c>
      <c r="I2355" s="2427">
        <v>0</v>
      </c>
      <c r="J2355" s="2431">
        <v>0</v>
      </c>
    </row>
    <row r="2356" spans="1:10" x14ac:dyDescent="0.2">
      <c r="A2356" s="2426" t="s">
        <v>1546</v>
      </c>
      <c r="B2356" s="2427">
        <v>0</v>
      </c>
      <c r="C2356" s="2428">
        <v>10000000</v>
      </c>
      <c r="D2356" s="2429">
        <v>0</v>
      </c>
      <c r="E2356" s="2430">
        <v>0</v>
      </c>
      <c r="F2356" s="2427">
        <v>0</v>
      </c>
      <c r="G2356" s="2429">
        <v>0</v>
      </c>
      <c r="H2356" s="2430">
        <v>0</v>
      </c>
      <c r="I2356" s="2427">
        <v>0</v>
      </c>
      <c r="J2356" s="2431">
        <v>0</v>
      </c>
    </row>
    <row r="2357" spans="1:10" x14ac:dyDescent="0.2">
      <c r="A2357" s="2445" t="s">
        <v>121</v>
      </c>
      <c r="B2357" s="2446">
        <v>161.02499999999998</v>
      </c>
      <c r="C2357" s="2447"/>
      <c r="D2357" s="2448">
        <v>2120.6374999999998</v>
      </c>
      <c r="E2357" s="2449">
        <v>100.00000000000001</v>
      </c>
      <c r="F2357" s="2446">
        <v>0.7219806117324572</v>
      </c>
      <c r="G2357" s="2448">
        <v>1.1565518640795172E-2</v>
      </c>
      <c r="H2357" s="2449">
        <v>100.00000000000003</v>
      </c>
      <c r="I2357" s="2446">
        <v>1.6787007182845006</v>
      </c>
      <c r="J2357" s="2450">
        <v>3.2814207048890355E-2</v>
      </c>
    </row>
    <row r="2358" spans="1:10" ht="14.25" thickBot="1" x14ac:dyDescent="0.25">
      <c r="A2358" s="2457" t="s">
        <v>1840</v>
      </c>
      <c r="B2358" s="2446">
        <v>22303.230500000001</v>
      </c>
      <c r="C2358" s="2458"/>
      <c r="D2358" s="2448">
        <v>126326.12096378463</v>
      </c>
      <c r="E2358" s="2459"/>
      <c r="F2358" s="2460">
        <v>100.00000000000001</v>
      </c>
      <c r="G2358" s="2461">
        <v>1.6019154050470519</v>
      </c>
      <c r="H2358" s="2462"/>
      <c r="I2358" s="2460">
        <v>100.00000000000001</v>
      </c>
      <c r="J2358" s="2463">
        <v>1.9547383694708775</v>
      </c>
    </row>
    <row r="2359" spans="1:10" ht="15" thickBot="1" x14ac:dyDescent="0.25">
      <c r="A2359" s="2464" t="s">
        <v>1841</v>
      </c>
      <c r="B2359" s="2465">
        <v>1392285.1624830281</v>
      </c>
      <c r="C2359" s="2466"/>
      <c r="D2359" s="2467">
        <v>6462559.0276810033</v>
      </c>
      <c r="E2359" s="2468"/>
      <c r="F2359" s="2469"/>
      <c r="G2359" s="2469"/>
      <c r="H2359" s="2469"/>
      <c r="I2359" s="2469"/>
      <c r="J2359" s="2469"/>
    </row>
    <row r="2360" spans="1:10" ht="16.5" thickBot="1" x14ac:dyDescent="0.3">
      <c r="A2360" s="2470" t="s">
        <v>1842</v>
      </c>
      <c r="B2360" s="2471">
        <v>1.6019154050470517</v>
      </c>
      <c r="C2360" s="2472"/>
      <c r="D2360" s="2473">
        <v>1.9547383694708775</v>
      </c>
      <c r="E2360" s="2468"/>
      <c r="F2360" s="2469"/>
      <c r="G2360" s="2469"/>
      <c r="H2360" s="2469"/>
      <c r="I2360" s="2469"/>
      <c r="J2360" s="2469"/>
    </row>
    <row r="2361" spans="1:10" x14ac:dyDescent="0.2">
      <c r="A2361" s="2474" t="s">
        <v>2023</v>
      </c>
      <c r="B2361" s="2474"/>
      <c r="C2361" s="2474"/>
      <c r="D2361" s="2475"/>
      <c r="E2361" s="2474"/>
      <c r="F2361" s="2474"/>
      <c r="H2361" s="2474"/>
      <c r="I2361" s="2474"/>
      <c r="J2361" s="2474"/>
    </row>
    <row r="2362" spans="1:10" x14ac:dyDescent="0.2">
      <c r="A2362" s="2474" t="s">
        <v>1843</v>
      </c>
      <c r="B2362" s="2474"/>
      <c r="C2362" s="2474"/>
      <c r="D2362" s="2474"/>
      <c r="E2362" s="2474"/>
      <c r="F2362" s="2474"/>
      <c r="G2362" s="2474"/>
      <c r="H2362" s="2474"/>
      <c r="I2362" s="2474"/>
      <c r="J2362" s="2474"/>
    </row>
    <row r="2363" spans="1:10" x14ac:dyDescent="0.2">
      <c r="A2363" s="2474" t="s">
        <v>2024</v>
      </c>
      <c r="B2363" s="2474"/>
      <c r="C2363" s="2474"/>
      <c r="D2363" s="2474"/>
      <c r="E2363" s="2474"/>
      <c r="F2363" s="2474"/>
      <c r="G2363" s="2474"/>
      <c r="H2363" s="2474"/>
      <c r="I2363" s="2474"/>
      <c r="J2363" s="2474"/>
    </row>
    <row r="2367" spans="1:10" ht="13.5" thickBot="1" x14ac:dyDescent="0.25">
      <c r="A2367" s="3321" t="s">
        <v>2021</v>
      </c>
      <c r="B2367" s="3321"/>
      <c r="C2367" s="3321"/>
      <c r="D2367" s="3321"/>
      <c r="E2367" s="3321"/>
      <c r="F2367" s="3321"/>
      <c r="G2367" s="3321"/>
      <c r="H2367" s="3321"/>
      <c r="I2367" s="3321"/>
      <c r="J2367" s="3321"/>
    </row>
    <row r="2368" spans="1:10" ht="13.5" customHeight="1" thickBot="1" x14ac:dyDescent="0.25">
      <c r="A2368" s="3322" t="s">
        <v>381</v>
      </c>
      <c r="B2368" s="3324" t="s">
        <v>1272</v>
      </c>
      <c r="C2368" s="3324" t="s">
        <v>1832</v>
      </c>
      <c r="D2368" s="3326" t="s">
        <v>1844</v>
      </c>
      <c r="E2368" s="3328" t="s">
        <v>1849</v>
      </c>
      <c r="F2368" s="3329"/>
      <c r="G2368" s="3330"/>
      <c r="H2368" s="3328" t="s">
        <v>1850</v>
      </c>
      <c r="I2368" s="3329"/>
      <c r="J2368" s="3331"/>
    </row>
    <row r="2369" spans="1:10" ht="13.5" customHeight="1" thickBot="1" x14ac:dyDescent="0.25">
      <c r="A2369" s="3323"/>
      <c r="B2369" s="3325"/>
      <c r="C2369" s="3325"/>
      <c r="D2369" s="3327"/>
      <c r="E2369" s="2415" t="s">
        <v>1848</v>
      </c>
      <c r="F2369" s="2416" t="s">
        <v>1231</v>
      </c>
      <c r="G2369" s="2417" t="s">
        <v>1833</v>
      </c>
      <c r="H2369" s="2415" t="s">
        <v>1848</v>
      </c>
      <c r="I2369" s="2416" t="s">
        <v>1231</v>
      </c>
      <c r="J2369" s="2418" t="s">
        <v>1833</v>
      </c>
    </row>
    <row r="2370" spans="1:10" x14ac:dyDescent="0.2">
      <c r="A2370" s="2419" t="s">
        <v>1851</v>
      </c>
      <c r="B2370" s="2420"/>
      <c r="C2370" s="2420"/>
      <c r="D2370" s="2421"/>
      <c r="E2370" s="2422"/>
      <c r="F2370" s="2423"/>
      <c r="G2370" s="2424"/>
      <c r="H2370" s="2422"/>
      <c r="I2370" s="2423"/>
      <c r="J2370" s="2425"/>
    </row>
    <row r="2371" spans="1:10" x14ac:dyDescent="0.2">
      <c r="A2371" s="2426" t="s">
        <v>410</v>
      </c>
      <c r="B2371" s="2427">
        <v>0</v>
      </c>
      <c r="C2371" s="2428">
        <v>5667200.0000000009</v>
      </c>
      <c r="D2371" s="2429">
        <v>0</v>
      </c>
      <c r="E2371" s="2430">
        <v>0</v>
      </c>
      <c r="F2371" s="2427">
        <v>0</v>
      </c>
      <c r="G2371" s="2429">
        <v>0</v>
      </c>
      <c r="H2371" s="2430">
        <v>0</v>
      </c>
      <c r="I2371" s="2427">
        <v>0</v>
      </c>
      <c r="J2371" s="2431">
        <v>0</v>
      </c>
    </row>
    <row r="2372" spans="1:10" x14ac:dyDescent="0.2">
      <c r="A2372" s="2426" t="s">
        <v>411</v>
      </c>
      <c r="B2372" s="2427">
        <v>0</v>
      </c>
      <c r="C2372" s="2428">
        <v>1753716.5000000002</v>
      </c>
      <c r="D2372" s="2429">
        <v>0</v>
      </c>
      <c r="E2372" s="2430">
        <v>0</v>
      </c>
      <c r="F2372" s="2427">
        <v>0</v>
      </c>
      <c r="G2372" s="2429">
        <v>0</v>
      </c>
      <c r="H2372" s="2430">
        <v>0</v>
      </c>
      <c r="I2372" s="2427">
        <v>0</v>
      </c>
      <c r="J2372" s="2431">
        <v>0</v>
      </c>
    </row>
    <row r="2373" spans="1:10" x14ac:dyDescent="0.2">
      <c r="A2373" s="2426" t="s">
        <v>278</v>
      </c>
      <c r="B2373" s="2427">
        <v>436.1</v>
      </c>
      <c r="C2373" s="2428">
        <v>1637875</v>
      </c>
      <c r="D2373" s="2429">
        <v>714.27728750000006</v>
      </c>
      <c r="E2373" s="2430">
        <v>1.8076410450163141</v>
      </c>
      <c r="F2373" s="2427">
        <v>1.5209766253340717</v>
      </c>
      <c r="G2373" s="2429">
        <v>3.13226062987162E-2</v>
      </c>
      <c r="H2373" s="2430">
        <v>0.43735805123680421</v>
      </c>
      <c r="I2373" s="2427">
        <v>0.3843838559341059</v>
      </c>
      <c r="J2373" s="2431">
        <v>1.10525456624929E-2</v>
      </c>
    </row>
    <row r="2374" spans="1:10" x14ac:dyDescent="0.2">
      <c r="A2374" s="2426" t="s">
        <v>200</v>
      </c>
      <c r="B2374" s="2427">
        <v>73</v>
      </c>
      <c r="C2374" s="2428">
        <v>7709114.5</v>
      </c>
      <c r="D2374" s="2429">
        <v>562.76535850000005</v>
      </c>
      <c r="E2374" s="2430">
        <v>0.30258609558860561</v>
      </c>
      <c r="F2374" s="2427">
        <v>0.25460053577020691</v>
      </c>
      <c r="G2374" s="2429">
        <v>5.2431787658937913E-3</v>
      </c>
      <c r="H2374" s="2430">
        <v>0.34458600994945049</v>
      </c>
      <c r="I2374" s="2427">
        <v>0.30284865873796868</v>
      </c>
      <c r="J2374" s="2431">
        <v>8.7080884846005083E-3</v>
      </c>
    </row>
    <row r="2375" spans="1:10" x14ac:dyDescent="0.2">
      <c r="A2375" s="2426" t="s">
        <v>429</v>
      </c>
      <c r="B2375" s="2427">
        <v>0</v>
      </c>
      <c r="C2375" s="2428">
        <v>1255000</v>
      </c>
      <c r="D2375" s="2429">
        <v>0</v>
      </c>
      <c r="E2375" s="2430">
        <v>0</v>
      </c>
      <c r="F2375" s="2427">
        <v>0</v>
      </c>
      <c r="G2375" s="2429">
        <v>0</v>
      </c>
      <c r="H2375" s="2430">
        <v>0</v>
      </c>
      <c r="I2375" s="2427">
        <v>0</v>
      </c>
      <c r="J2375" s="2431">
        <v>0</v>
      </c>
    </row>
    <row r="2376" spans="1:10" x14ac:dyDescent="0.2">
      <c r="A2376" s="2432" t="s">
        <v>431</v>
      </c>
      <c r="B2376" s="2427">
        <v>0</v>
      </c>
      <c r="C2376" s="2428">
        <v>0</v>
      </c>
      <c r="D2376" s="2429">
        <v>0</v>
      </c>
      <c r="E2376" s="2430">
        <v>0</v>
      </c>
      <c r="F2376" s="2427">
        <v>0</v>
      </c>
      <c r="G2376" s="2429">
        <v>0</v>
      </c>
      <c r="H2376" s="2430">
        <v>0</v>
      </c>
      <c r="I2376" s="2427">
        <v>0</v>
      </c>
      <c r="J2376" s="2431">
        <v>0</v>
      </c>
    </row>
    <row r="2377" spans="1:10" x14ac:dyDescent="0.2">
      <c r="A2377" s="2432" t="s">
        <v>430</v>
      </c>
      <c r="B2377" s="2427">
        <v>0</v>
      </c>
      <c r="C2377" s="2428">
        <v>0</v>
      </c>
      <c r="D2377" s="2429">
        <v>0</v>
      </c>
      <c r="E2377" s="2430">
        <v>0</v>
      </c>
      <c r="F2377" s="2427">
        <v>0</v>
      </c>
      <c r="G2377" s="2429">
        <v>0</v>
      </c>
      <c r="H2377" s="2430">
        <v>0</v>
      </c>
      <c r="I2377" s="2427">
        <v>0</v>
      </c>
      <c r="J2377" s="2431">
        <v>0</v>
      </c>
    </row>
    <row r="2378" spans="1:10" x14ac:dyDescent="0.2">
      <c r="A2378" s="2433" t="s">
        <v>279</v>
      </c>
      <c r="B2378" s="2434">
        <v>509.1</v>
      </c>
      <c r="C2378" s="2433"/>
      <c r="D2378" s="2435">
        <v>1277.0426460000001</v>
      </c>
      <c r="E2378" s="2436">
        <v>2.1102271406049198</v>
      </c>
      <c r="F2378" s="2434">
        <v>1.7755771611042785</v>
      </c>
      <c r="G2378" s="2435">
        <v>3.6565785064609994E-2</v>
      </c>
      <c r="H2378" s="2436">
        <v>0.7819440611862547</v>
      </c>
      <c r="I2378" s="2434">
        <v>0.68723251467207458</v>
      </c>
      <c r="J2378" s="2437">
        <v>1.976063414709341E-2</v>
      </c>
    </row>
    <row r="2379" spans="1:10" x14ac:dyDescent="0.2">
      <c r="A2379" s="2438" t="s">
        <v>412</v>
      </c>
      <c r="B2379" s="2427">
        <v>22.5</v>
      </c>
      <c r="C2379" s="2428">
        <v>4129499.9999999995</v>
      </c>
      <c r="D2379" s="2429">
        <v>92.913749999999979</v>
      </c>
      <c r="E2379" s="2430">
        <v>9.3262837681419547E-2</v>
      </c>
      <c r="F2379" s="2427">
        <v>7.8472767874378846E-2</v>
      </c>
      <c r="G2379" s="2429">
        <v>1.616048249761785E-3</v>
      </c>
      <c r="H2379" s="2430">
        <v>5.6891878468281282E-2</v>
      </c>
      <c r="I2379" s="2427">
        <v>5.0000953578266359E-2</v>
      </c>
      <c r="J2379" s="2431">
        <v>1.4377238119145002E-3</v>
      </c>
    </row>
    <row r="2380" spans="1:10" x14ac:dyDescent="0.2">
      <c r="A2380" s="2438" t="s">
        <v>413</v>
      </c>
      <c r="B2380" s="2427">
        <v>984</v>
      </c>
      <c r="C2380" s="2428">
        <v>1200000</v>
      </c>
      <c r="D2380" s="2429">
        <v>1180.8</v>
      </c>
      <c r="E2380" s="2430">
        <v>4.0786947679340813</v>
      </c>
      <c r="F2380" s="2427">
        <v>3.4318757150395016</v>
      </c>
      <c r="G2380" s="2429">
        <v>7.0675176789582059E-2</v>
      </c>
      <c r="H2380" s="2430">
        <v>0.72301387141673379</v>
      </c>
      <c r="I2380" s="2427">
        <v>0.63544013652679976</v>
      </c>
      <c r="J2380" s="2431">
        <v>1.8271399842419902E-2</v>
      </c>
    </row>
    <row r="2381" spans="1:10" x14ac:dyDescent="0.2">
      <c r="A2381" s="2426" t="s">
        <v>90</v>
      </c>
      <c r="B2381" s="2427">
        <v>0</v>
      </c>
      <c r="C2381" s="2428">
        <v>1743000</v>
      </c>
      <c r="D2381" s="2429">
        <v>0</v>
      </c>
      <c r="E2381" s="2430">
        <v>0</v>
      </c>
      <c r="F2381" s="2427">
        <v>0</v>
      </c>
      <c r="G2381" s="2429">
        <v>0</v>
      </c>
      <c r="H2381" s="2430">
        <v>0</v>
      </c>
      <c r="I2381" s="2427">
        <v>0</v>
      </c>
      <c r="J2381" s="2431">
        <v>0</v>
      </c>
    </row>
    <row r="2382" spans="1:10" x14ac:dyDescent="0.2">
      <c r="A2382" s="2426" t="s">
        <v>417</v>
      </c>
      <c r="B2382" s="2427">
        <v>67.5</v>
      </c>
      <c r="C2382" s="2428">
        <v>2563999.9999999995</v>
      </c>
      <c r="D2382" s="2429">
        <v>173.06999999999996</v>
      </c>
      <c r="E2382" s="2430">
        <v>0.27978851304425861</v>
      </c>
      <c r="F2382" s="2427">
        <v>0.23541830362313654</v>
      </c>
      <c r="G2382" s="2429">
        <v>4.8481447492853547E-3</v>
      </c>
      <c r="H2382" s="2430">
        <v>0.105972231305974</v>
      </c>
      <c r="I2382" s="2427">
        <v>9.3136538303432589E-2</v>
      </c>
      <c r="J2382" s="2431">
        <v>2.6780413031229772E-3</v>
      </c>
    </row>
    <row r="2383" spans="1:10" x14ac:dyDescent="0.2">
      <c r="A2383" s="2426" t="s">
        <v>418</v>
      </c>
      <c r="B2383" s="2427">
        <v>96</v>
      </c>
      <c r="C2383" s="2428">
        <v>2222500</v>
      </c>
      <c r="D2383" s="2429">
        <v>213.36</v>
      </c>
      <c r="E2383" s="2430">
        <v>0.39792144077405672</v>
      </c>
      <c r="F2383" s="2427">
        <v>0.33481714293068304</v>
      </c>
      <c r="G2383" s="2429">
        <v>6.8951391989836167E-3</v>
      </c>
      <c r="H2383" s="2430">
        <v>0.13064214058729196</v>
      </c>
      <c r="I2383" s="2427">
        <v>0.11481834987242379</v>
      </c>
      <c r="J2383" s="2431">
        <v>3.3014785487624583E-3</v>
      </c>
    </row>
    <row r="2384" spans="1:10" x14ac:dyDescent="0.2">
      <c r="A2384" s="2426" t="s">
        <v>423</v>
      </c>
      <c r="B2384" s="2427">
        <v>0</v>
      </c>
      <c r="C2384" s="2428">
        <v>2531500</v>
      </c>
      <c r="D2384" s="2429">
        <v>0</v>
      </c>
      <c r="E2384" s="2430">
        <v>0</v>
      </c>
      <c r="F2384" s="2427">
        <v>0</v>
      </c>
      <c r="G2384" s="2429">
        <v>0</v>
      </c>
      <c r="H2384" s="2430">
        <v>0</v>
      </c>
      <c r="I2384" s="2427">
        <v>0</v>
      </c>
      <c r="J2384" s="2431">
        <v>0</v>
      </c>
    </row>
    <row r="2385" spans="1:10" x14ac:dyDescent="0.2">
      <c r="A2385" s="2426" t="s">
        <v>424</v>
      </c>
      <c r="B2385" s="2427">
        <v>0</v>
      </c>
      <c r="C2385" s="2428">
        <v>1369000</v>
      </c>
      <c r="D2385" s="2429">
        <v>0</v>
      </c>
      <c r="E2385" s="2430">
        <v>0</v>
      </c>
      <c r="F2385" s="2427">
        <v>0</v>
      </c>
      <c r="G2385" s="2429">
        <v>0</v>
      </c>
      <c r="H2385" s="2430">
        <v>0</v>
      </c>
      <c r="I2385" s="2427">
        <v>0</v>
      </c>
      <c r="J2385" s="2431">
        <v>0</v>
      </c>
    </row>
    <row r="2386" spans="1:10" x14ac:dyDescent="0.2">
      <c r="A2386" s="2426" t="s">
        <v>280</v>
      </c>
      <c r="B2386" s="2427">
        <v>0</v>
      </c>
      <c r="C2386" s="2428">
        <v>1574500</v>
      </c>
      <c r="D2386" s="2429">
        <v>0</v>
      </c>
      <c r="E2386" s="2430">
        <v>0</v>
      </c>
      <c r="F2386" s="2427">
        <v>0</v>
      </c>
      <c r="G2386" s="2429">
        <v>0</v>
      </c>
      <c r="H2386" s="2430">
        <v>0</v>
      </c>
      <c r="I2386" s="2427">
        <v>0</v>
      </c>
      <c r="J2386" s="2431">
        <v>0</v>
      </c>
    </row>
    <row r="2387" spans="1:10" x14ac:dyDescent="0.2">
      <c r="A2387" s="2426" t="s">
        <v>427</v>
      </c>
      <c r="B2387" s="2427">
        <v>0</v>
      </c>
      <c r="C2387" s="2428">
        <v>2072000</v>
      </c>
      <c r="D2387" s="2429">
        <v>0</v>
      </c>
      <c r="E2387" s="2430">
        <v>0</v>
      </c>
      <c r="F2387" s="2427">
        <v>0</v>
      </c>
      <c r="G2387" s="2429">
        <v>0</v>
      </c>
      <c r="H2387" s="2430">
        <v>0</v>
      </c>
      <c r="I2387" s="2427">
        <v>0</v>
      </c>
      <c r="J2387" s="2431">
        <v>0</v>
      </c>
    </row>
    <row r="2388" spans="1:10" x14ac:dyDescent="0.2">
      <c r="A2388" s="2426" t="s">
        <v>428</v>
      </c>
      <c r="B2388" s="2427">
        <v>0</v>
      </c>
      <c r="C2388" s="2428">
        <v>1326280</v>
      </c>
      <c r="D2388" s="2429">
        <v>0</v>
      </c>
      <c r="E2388" s="2430">
        <v>0</v>
      </c>
      <c r="F2388" s="2427">
        <v>0</v>
      </c>
      <c r="G2388" s="2429">
        <v>0</v>
      </c>
      <c r="H2388" s="2430">
        <v>0</v>
      </c>
      <c r="I2388" s="2427">
        <v>0</v>
      </c>
      <c r="J2388" s="2431">
        <v>0</v>
      </c>
    </row>
    <row r="2389" spans="1:10" x14ac:dyDescent="0.2">
      <c r="A2389" s="2439" t="s">
        <v>92</v>
      </c>
      <c r="B2389" s="2427">
        <v>195</v>
      </c>
      <c r="C2389" s="2428">
        <v>2215500</v>
      </c>
      <c r="D2389" s="2429">
        <v>432.02249999999998</v>
      </c>
      <c r="E2389" s="2430">
        <v>0.80827792657230269</v>
      </c>
      <c r="F2389" s="2427">
        <v>0.68009732157795</v>
      </c>
      <c r="G2389" s="2429">
        <v>1.4005751497935469E-2</v>
      </c>
      <c r="H2389" s="2430">
        <v>0.2645310469716598</v>
      </c>
      <c r="I2389" s="2427">
        <v>0.2324902069636258</v>
      </c>
      <c r="J2389" s="2431">
        <v>6.6850066382298876E-3</v>
      </c>
    </row>
    <row r="2390" spans="1:10" x14ac:dyDescent="0.2">
      <c r="A2390" s="2433" t="s">
        <v>281</v>
      </c>
      <c r="B2390" s="2434">
        <v>1365</v>
      </c>
      <c r="C2390" s="2433"/>
      <c r="D2390" s="2435">
        <v>2092.1662499999998</v>
      </c>
      <c r="E2390" s="2436">
        <v>5.6579454860061187</v>
      </c>
      <c r="F2390" s="2434">
        <v>4.76068125104565</v>
      </c>
      <c r="G2390" s="2435">
        <v>9.8040260485548272E-2</v>
      </c>
      <c r="H2390" s="2436">
        <v>1.2810511687499408</v>
      </c>
      <c r="I2390" s="2434">
        <v>1.1258861852445483</v>
      </c>
      <c r="J2390" s="2437">
        <v>3.237365014444972E-2</v>
      </c>
    </row>
    <row r="2391" spans="1:10" x14ac:dyDescent="0.2">
      <c r="A2391" s="2440" t="s">
        <v>106</v>
      </c>
      <c r="B2391" s="2441">
        <v>1874.1</v>
      </c>
      <c r="C2391" s="2440"/>
      <c r="D2391" s="2442">
        <v>3369.2088960000001</v>
      </c>
      <c r="E2391" s="2443">
        <v>7.7681726266110376</v>
      </c>
      <c r="F2391" s="2441">
        <v>6.5362584121499285</v>
      </c>
      <c r="G2391" s="2442">
        <v>0.13460604555015826</v>
      </c>
      <c r="H2391" s="2443">
        <v>2.0629952299361953</v>
      </c>
      <c r="I2391" s="2441">
        <v>1.8131186999166229</v>
      </c>
      <c r="J2391" s="2444">
        <v>5.213428429154314E-2</v>
      </c>
    </row>
    <row r="2392" spans="1:10" x14ac:dyDescent="0.2">
      <c r="A2392" s="2426" t="s">
        <v>905</v>
      </c>
      <c r="B2392" s="2427">
        <v>0</v>
      </c>
      <c r="C2392" s="2428">
        <v>6100000</v>
      </c>
      <c r="D2392" s="2429">
        <v>0</v>
      </c>
      <c r="E2392" s="2430">
        <v>0</v>
      </c>
      <c r="F2392" s="2427">
        <v>0</v>
      </c>
      <c r="G2392" s="2429">
        <v>0</v>
      </c>
      <c r="H2392" s="2430">
        <v>0</v>
      </c>
      <c r="I2392" s="2427">
        <v>0</v>
      </c>
      <c r="J2392" s="2431">
        <v>0</v>
      </c>
    </row>
    <row r="2393" spans="1:10" x14ac:dyDescent="0.2">
      <c r="A2393" s="2426" t="s">
        <v>906</v>
      </c>
      <c r="B2393" s="2427">
        <v>96</v>
      </c>
      <c r="C2393" s="2428">
        <v>3022000.0000000005</v>
      </c>
      <c r="D2393" s="2429">
        <v>290.11200000000008</v>
      </c>
      <c r="E2393" s="2430">
        <v>0.39792144077405672</v>
      </c>
      <c r="F2393" s="2427">
        <v>0.33481714293068304</v>
      </c>
      <c r="G2393" s="2429">
        <v>6.8951391989836167E-3</v>
      </c>
      <c r="H2393" s="2430">
        <v>0.17763804222937968</v>
      </c>
      <c r="I2393" s="2427">
        <v>0.15612195874666579</v>
      </c>
      <c r="J2393" s="2431">
        <v>4.4891195385197528E-3</v>
      </c>
    </row>
    <row r="2394" spans="1:10" x14ac:dyDescent="0.2">
      <c r="A2394" s="2426" t="s">
        <v>907</v>
      </c>
      <c r="B2394" s="2427">
        <v>0</v>
      </c>
      <c r="C2394" s="2428">
        <v>2324000</v>
      </c>
      <c r="D2394" s="2429">
        <v>0</v>
      </c>
      <c r="E2394" s="2430">
        <v>0</v>
      </c>
      <c r="F2394" s="2427">
        <v>0</v>
      </c>
      <c r="G2394" s="2429">
        <v>0</v>
      </c>
      <c r="H2394" s="2430">
        <v>0</v>
      </c>
      <c r="I2394" s="2427">
        <v>0</v>
      </c>
      <c r="J2394" s="2431">
        <v>0</v>
      </c>
    </row>
    <row r="2395" spans="1:10" x14ac:dyDescent="0.2">
      <c r="A2395" s="2439" t="s">
        <v>908</v>
      </c>
      <c r="B2395" s="2427">
        <v>630</v>
      </c>
      <c r="C2395" s="2428">
        <v>2403999.9999999995</v>
      </c>
      <c r="D2395" s="2429">
        <v>1514.5199999999998</v>
      </c>
      <c r="E2395" s="2430">
        <v>2.611359455079747</v>
      </c>
      <c r="F2395" s="2427">
        <v>2.1972375004826077</v>
      </c>
      <c r="G2395" s="2429">
        <v>4.5249350993329981E-2</v>
      </c>
      <c r="H2395" s="2430">
        <v>0.92735346251530459</v>
      </c>
      <c r="I2395" s="2427">
        <v>0.81502946779519692</v>
      </c>
      <c r="J2395" s="2431">
        <v>2.3435298517396497E-2</v>
      </c>
    </row>
    <row r="2396" spans="1:10" x14ac:dyDescent="0.2">
      <c r="A2396" s="2440" t="s">
        <v>282</v>
      </c>
      <c r="B2396" s="2441">
        <v>726</v>
      </c>
      <c r="C2396" s="2440"/>
      <c r="D2396" s="2442">
        <v>1804.6319999999998</v>
      </c>
      <c r="E2396" s="2443">
        <v>3.009280895853804</v>
      </c>
      <c r="F2396" s="2441">
        <v>2.5320546434132907</v>
      </c>
      <c r="G2396" s="2442">
        <v>5.214449019231359E-2</v>
      </c>
      <c r="H2396" s="2443">
        <v>1.1049915047446841</v>
      </c>
      <c r="I2396" s="2441">
        <v>0.97115142654186271</v>
      </c>
      <c r="J2396" s="2444">
        <v>2.792441805591625E-2</v>
      </c>
    </row>
    <row r="2397" spans="1:10" x14ac:dyDescent="0.2">
      <c r="A2397" s="2426" t="s">
        <v>955</v>
      </c>
      <c r="B2397" s="2427">
        <v>63.050000000000004</v>
      </c>
      <c r="C2397" s="2428">
        <v>12137000</v>
      </c>
      <c r="D2397" s="2429">
        <v>765.23784999999998</v>
      </c>
      <c r="E2397" s="2430">
        <v>0.26134319625837787</v>
      </c>
      <c r="F2397" s="2427">
        <v>0.2198981339768705</v>
      </c>
      <c r="G2397" s="2429">
        <v>4.5285263176658022E-3</v>
      </c>
      <c r="H2397" s="2430">
        <v>0.46856163658800631</v>
      </c>
      <c r="I2397" s="2427">
        <v>0.41180796399007003</v>
      </c>
      <c r="J2397" s="2431">
        <v>1.1841096487045854E-2</v>
      </c>
    </row>
    <row r="2398" spans="1:10" x14ac:dyDescent="0.2">
      <c r="A2398" s="2426" t="s">
        <v>283</v>
      </c>
      <c r="B2398" s="2427">
        <v>5019.831104841428</v>
      </c>
      <c r="C2398" s="2428">
        <v>13024549.999999996</v>
      </c>
      <c r="D2398" s="2429">
        <v>65381.0412165624</v>
      </c>
      <c r="E2398" s="2430">
        <v>20.807275267509645</v>
      </c>
      <c r="F2398" s="2427">
        <v>17.507557380391468</v>
      </c>
      <c r="G2398" s="2429">
        <v>0.36054618982572256</v>
      </c>
      <c r="H2398" s="2430">
        <v>40.033366977679393</v>
      </c>
      <c r="I2398" s="2427">
        <v>35.184398506873926</v>
      </c>
      <c r="J2398" s="2431">
        <v>1.0116896563190612</v>
      </c>
    </row>
    <row r="2399" spans="1:10" x14ac:dyDescent="0.2">
      <c r="A2399" s="2426" t="s">
        <v>69</v>
      </c>
      <c r="B2399" s="2427">
        <v>3964.9738951585723</v>
      </c>
      <c r="C2399" s="2428">
        <v>14978232.499999994</v>
      </c>
      <c r="D2399" s="2429">
        <v>59388.300858115697</v>
      </c>
      <c r="E2399" s="2430">
        <v>16.434876302010654</v>
      </c>
      <c r="F2399" s="2427">
        <v>13.828554493455572</v>
      </c>
      <c r="G2399" s="2429">
        <v>0.28478173882765234</v>
      </c>
      <c r="H2399" s="2430">
        <v>36.36396114523032</v>
      </c>
      <c r="I2399" s="2427">
        <v>31.959442755230093</v>
      </c>
      <c r="J2399" s="2431">
        <v>0.91895951129790043</v>
      </c>
    </row>
    <row r="2400" spans="1:10" x14ac:dyDescent="0.2">
      <c r="A2400" s="2426" t="s">
        <v>199</v>
      </c>
      <c r="B2400" s="2427">
        <v>330</v>
      </c>
      <c r="C2400" s="2428">
        <v>3000000</v>
      </c>
      <c r="D2400" s="2429">
        <v>990</v>
      </c>
      <c r="E2400" s="2430">
        <v>1.3678549526608199</v>
      </c>
      <c r="F2400" s="2427">
        <v>1.1509339288242231</v>
      </c>
      <c r="G2400" s="2429">
        <v>2.370204099650618E-2</v>
      </c>
      <c r="H2400" s="2430">
        <v>0.60618541048659091</v>
      </c>
      <c r="I2400" s="2427">
        <v>0.53276230958801807</v>
      </c>
      <c r="J2400" s="2431">
        <v>1.5319009014224004E-2</v>
      </c>
    </row>
    <row r="2401" spans="1:10" x14ac:dyDescent="0.2">
      <c r="A2401" s="2426" t="s">
        <v>86</v>
      </c>
      <c r="B2401" s="2427">
        <v>550</v>
      </c>
      <c r="C2401" s="2428">
        <v>170000</v>
      </c>
      <c r="D2401" s="2429">
        <v>93.5</v>
      </c>
      <c r="E2401" s="2430">
        <v>2.2797582544346997</v>
      </c>
      <c r="F2401" s="2427">
        <v>1.9182232147070384</v>
      </c>
      <c r="G2401" s="2429">
        <v>3.950340166084363E-2</v>
      </c>
      <c r="H2401" s="2430">
        <v>5.7250844323733584E-2</v>
      </c>
      <c r="I2401" s="2427">
        <v>5.0316440349979487E-2</v>
      </c>
      <c r="J2401" s="2431">
        <v>1.4467952957878225E-3</v>
      </c>
    </row>
    <row r="2402" spans="1:10" x14ac:dyDescent="0.2">
      <c r="A2402" s="2439" t="s">
        <v>213</v>
      </c>
      <c r="B2402" s="2427">
        <v>1788.5</v>
      </c>
      <c r="C2402" s="2428">
        <v>1850000.0000000005</v>
      </c>
      <c r="D2402" s="2429">
        <v>3308.7250000000008</v>
      </c>
      <c r="E2402" s="2430">
        <v>7.4133593419208372</v>
      </c>
      <c r="F2402" s="2427">
        <v>6.2377131263700694</v>
      </c>
      <c r="G2402" s="2429">
        <v>0.12845787976439788</v>
      </c>
      <c r="H2402" s="2430">
        <v>2.0259604265780262</v>
      </c>
      <c r="I2402" s="2427">
        <v>1.7805696694864803</v>
      </c>
      <c r="J2402" s="2431">
        <v>5.1198371818776095E-2</v>
      </c>
    </row>
    <row r="2403" spans="1:10" x14ac:dyDescent="0.2">
      <c r="A2403" s="2433" t="s">
        <v>1834</v>
      </c>
      <c r="B2403" s="2434">
        <v>11716.355</v>
      </c>
      <c r="C2403" s="2433"/>
      <c r="D2403" s="2435">
        <v>129926.80492467812</v>
      </c>
      <c r="E2403" s="2436">
        <v>48.564467314795031</v>
      </c>
      <c r="F2403" s="2434">
        <v>40.862880277725239</v>
      </c>
      <c r="G2403" s="2435">
        <v>0.84151977739278827</v>
      </c>
      <c r="H2403" s="2436">
        <v>79.555286440886093</v>
      </c>
      <c r="I2403" s="2434">
        <v>69.919297645518569</v>
      </c>
      <c r="J2403" s="2437">
        <v>2.0104544402327957</v>
      </c>
    </row>
    <row r="2404" spans="1:10" x14ac:dyDescent="0.2">
      <c r="A2404" s="2426" t="s">
        <v>961</v>
      </c>
      <c r="B2404" s="2427">
        <v>2055.41</v>
      </c>
      <c r="C2404" s="2428">
        <v>3668000</v>
      </c>
      <c r="D2404" s="2429">
        <v>7539.2438799999991</v>
      </c>
      <c r="E2404" s="2430">
        <v>8.5197052977229575</v>
      </c>
      <c r="F2404" s="2427">
        <v>7.1686094140745338</v>
      </c>
      <c r="G2404" s="2429">
        <v>0.147628521468572</v>
      </c>
      <c r="H2404" s="2430">
        <v>4.6163430769255731</v>
      </c>
      <c r="I2404" s="2427">
        <v>4.0571969515718491</v>
      </c>
      <c r="J2404" s="2431">
        <v>0.11666034844257892</v>
      </c>
    </row>
    <row r="2405" spans="1:10" x14ac:dyDescent="0.2">
      <c r="A2405" s="2426" t="s">
        <v>962</v>
      </c>
      <c r="B2405" s="2427">
        <v>0</v>
      </c>
      <c r="C2405" s="2428">
        <v>1999999.9999999998</v>
      </c>
      <c r="D2405" s="2429">
        <v>0</v>
      </c>
      <c r="E2405" s="2430">
        <v>0</v>
      </c>
      <c r="F2405" s="2427">
        <v>0</v>
      </c>
      <c r="G2405" s="2429">
        <v>0</v>
      </c>
      <c r="H2405" s="2430">
        <v>0</v>
      </c>
      <c r="I2405" s="2427">
        <v>0</v>
      </c>
      <c r="J2405" s="2431">
        <v>0</v>
      </c>
    </row>
    <row r="2406" spans="1:10" x14ac:dyDescent="0.2">
      <c r="A2406" s="2426" t="s">
        <v>963</v>
      </c>
      <c r="B2406" s="2427">
        <v>240.5</v>
      </c>
      <c r="C2406" s="2428">
        <v>1347999.9999999998</v>
      </c>
      <c r="D2406" s="2429">
        <v>324.19399999999996</v>
      </c>
      <c r="E2406" s="2430">
        <v>0.99687610943917337</v>
      </c>
      <c r="F2406" s="2427">
        <v>0.83878669661280503</v>
      </c>
      <c r="G2406" s="2429">
        <v>1.7273760180787079E-2</v>
      </c>
      <c r="H2406" s="2430">
        <v>0.19850674037099983</v>
      </c>
      <c r="I2406" s="2427">
        <v>0.17446297393391708</v>
      </c>
      <c r="J2406" s="2431">
        <v>5.0164957660175109E-3</v>
      </c>
    </row>
    <row r="2407" spans="1:10" x14ac:dyDescent="0.2">
      <c r="A2407" s="2426" t="s">
        <v>965</v>
      </c>
      <c r="B2407" s="2427">
        <v>960</v>
      </c>
      <c r="C2407" s="2428">
        <v>1599999.9999999995</v>
      </c>
      <c r="D2407" s="2429">
        <v>1535.9999999999995</v>
      </c>
      <c r="E2407" s="2430">
        <v>3.9792144077405673</v>
      </c>
      <c r="F2407" s="2427">
        <v>3.3481714293068308</v>
      </c>
      <c r="G2407" s="2429">
        <v>6.8951391989836158E-2</v>
      </c>
      <c r="H2407" s="2430">
        <v>0.9405058489973771</v>
      </c>
      <c r="I2407" s="2427">
        <v>0.82658879548201569</v>
      </c>
      <c r="J2407" s="2431">
        <v>2.3767674591765719E-2</v>
      </c>
    </row>
    <row r="2408" spans="1:10" x14ac:dyDescent="0.2">
      <c r="A2408" s="2426" t="s">
        <v>966</v>
      </c>
      <c r="B2408" s="2427">
        <v>0</v>
      </c>
      <c r="C2408" s="2428">
        <v>2244000</v>
      </c>
      <c r="D2408" s="2429">
        <v>0</v>
      </c>
      <c r="E2408" s="2430">
        <v>0</v>
      </c>
      <c r="F2408" s="2427">
        <v>0</v>
      </c>
      <c r="G2408" s="2429">
        <v>0</v>
      </c>
      <c r="H2408" s="2430">
        <v>0</v>
      </c>
      <c r="I2408" s="2427">
        <v>0</v>
      </c>
      <c r="J2408" s="2431">
        <v>0</v>
      </c>
    </row>
    <row r="2409" spans="1:10" x14ac:dyDescent="0.2">
      <c r="A2409" s="2426" t="s">
        <v>1499</v>
      </c>
      <c r="B2409" s="2427">
        <v>0</v>
      </c>
      <c r="C2409" s="2428">
        <v>4849999.9999999991</v>
      </c>
      <c r="D2409" s="2429">
        <v>0</v>
      </c>
      <c r="E2409" s="2430">
        <v>0</v>
      </c>
      <c r="F2409" s="2427">
        <v>0</v>
      </c>
      <c r="G2409" s="2429">
        <v>0</v>
      </c>
      <c r="H2409" s="2430">
        <v>0</v>
      </c>
      <c r="I2409" s="2427">
        <v>0</v>
      </c>
      <c r="J2409" s="2431">
        <v>0</v>
      </c>
    </row>
    <row r="2410" spans="1:10" x14ac:dyDescent="0.2">
      <c r="A2410" s="2426" t="s">
        <v>1575</v>
      </c>
      <c r="B2410" s="2427">
        <v>59.5</v>
      </c>
      <c r="C2410" s="2428">
        <v>2250000.0000000005</v>
      </c>
      <c r="D2410" s="2429">
        <v>133.87500000000003</v>
      </c>
      <c r="E2410" s="2430">
        <v>0.24662839297975389</v>
      </c>
      <c r="F2410" s="2427">
        <v>0.20751687504557961</v>
      </c>
      <c r="G2410" s="2429">
        <v>4.2735498160367206E-3</v>
      </c>
      <c r="H2410" s="2430">
        <v>8.1972799827164003E-2</v>
      </c>
      <c r="I2410" s="2427">
        <v>7.2043994137470646E-2</v>
      </c>
      <c r="J2410" s="2431">
        <v>2.0715478098780192E-3</v>
      </c>
    </row>
    <row r="2411" spans="1:10" x14ac:dyDescent="0.2">
      <c r="A2411" s="2426" t="s">
        <v>964</v>
      </c>
      <c r="B2411" s="2427">
        <v>0</v>
      </c>
      <c r="C2411" s="2428">
        <v>1556000</v>
      </c>
      <c r="D2411" s="2429">
        <v>0</v>
      </c>
      <c r="E2411" s="2430">
        <v>0</v>
      </c>
      <c r="F2411" s="2427">
        <v>0</v>
      </c>
      <c r="G2411" s="2429">
        <v>0</v>
      </c>
      <c r="H2411" s="2430">
        <v>0</v>
      </c>
      <c r="I2411" s="2427">
        <v>0</v>
      </c>
      <c r="J2411" s="2431">
        <v>0</v>
      </c>
    </row>
    <row r="2412" spans="1:10" x14ac:dyDescent="0.2">
      <c r="A2412" s="2426" t="s">
        <v>969</v>
      </c>
      <c r="B2412" s="2427">
        <v>279</v>
      </c>
      <c r="C2412" s="2428">
        <v>4800000</v>
      </c>
      <c r="D2412" s="2429">
        <v>1339.2</v>
      </c>
      <c r="E2412" s="2430">
        <v>1.1564591872496024</v>
      </c>
      <c r="F2412" s="2427">
        <v>0.97306232164229778</v>
      </c>
      <c r="G2412" s="2429">
        <v>2.0038998297046133E-2</v>
      </c>
      <c r="H2412" s="2430">
        <v>0.82000353709458851</v>
      </c>
      <c r="I2412" s="2427">
        <v>0.72068210606088268</v>
      </c>
      <c r="J2412" s="2431">
        <v>2.0722441284695744E-2</v>
      </c>
    </row>
    <row r="2413" spans="1:10" x14ac:dyDescent="0.2">
      <c r="A2413" s="2426" t="s">
        <v>968</v>
      </c>
      <c r="B2413" s="2427">
        <v>340</v>
      </c>
      <c r="C2413" s="2428">
        <v>3050000.0000000009</v>
      </c>
      <c r="D2413" s="2429">
        <v>1037.0000000000005</v>
      </c>
      <c r="E2413" s="2430">
        <v>1.4093051027414509</v>
      </c>
      <c r="F2413" s="2427">
        <v>1.1858107145461694</v>
      </c>
      <c r="G2413" s="2429">
        <v>2.442028466306697E-2</v>
      </c>
      <c r="H2413" s="2430">
        <v>0.6349639097723182</v>
      </c>
      <c r="I2413" s="2427">
        <v>0.5580550656997727</v>
      </c>
      <c r="J2413" s="2431">
        <v>1.6046275098737673E-2</v>
      </c>
    </row>
    <row r="2414" spans="1:10" x14ac:dyDescent="0.2">
      <c r="A2414" s="2426" t="s">
        <v>1013</v>
      </c>
      <c r="B2414" s="2427">
        <v>0</v>
      </c>
      <c r="C2414" s="2428">
        <v>1799999.9999999998</v>
      </c>
      <c r="D2414" s="2429">
        <v>0</v>
      </c>
      <c r="E2414" s="2430">
        <v>0</v>
      </c>
      <c r="F2414" s="2427">
        <v>0</v>
      </c>
      <c r="G2414" s="2429">
        <v>0</v>
      </c>
      <c r="H2414" s="2430">
        <v>0</v>
      </c>
      <c r="I2414" s="2427">
        <v>0</v>
      </c>
      <c r="J2414" s="2431">
        <v>0</v>
      </c>
    </row>
    <row r="2415" spans="1:10" x14ac:dyDescent="0.2">
      <c r="A2415" s="2426" t="s">
        <v>1014</v>
      </c>
      <c r="B2415" s="2427">
        <v>0</v>
      </c>
      <c r="C2415" s="2428">
        <v>2195000.0000000005</v>
      </c>
      <c r="D2415" s="2429">
        <v>0</v>
      </c>
      <c r="E2415" s="2430">
        <v>0</v>
      </c>
      <c r="F2415" s="2427">
        <v>0</v>
      </c>
      <c r="G2415" s="2429">
        <v>0</v>
      </c>
      <c r="H2415" s="2430">
        <v>0</v>
      </c>
      <c r="I2415" s="2427">
        <v>0</v>
      </c>
      <c r="J2415" s="2431">
        <v>0</v>
      </c>
    </row>
    <row r="2416" spans="1:10" x14ac:dyDescent="0.2">
      <c r="A2416" s="2426" t="s">
        <v>970</v>
      </c>
      <c r="B2416" s="2427">
        <v>927</v>
      </c>
      <c r="C2416" s="2428">
        <v>3100000.0000000005</v>
      </c>
      <c r="D2416" s="2429">
        <v>2873.7000000000003</v>
      </c>
      <c r="E2416" s="2430">
        <v>3.8424289124744853</v>
      </c>
      <c r="F2416" s="2427">
        <v>3.2330780364244083</v>
      </c>
      <c r="G2416" s="2429">
        <v>6.6581187890185536E-2</v>
      </c>
      <c r="H2416" s="2430">
        <v>1.7595909233488045</v>
      </c>
      <c r="I2416" s="2427">
        <v>1.5464636859223109</v>
      </c>
      <c r="J2416" s="2431">
        <v>4.4466905256742954E-2</v>
      </c>
    </row>
    <row r="2417" spans="1:10" x14ac:dyDescent="0.2">
      <c r="A2417" s="2426" t="s">
        <v>971</v>
      </c>
      <c r="B2417" s="2427">
        <v>0</v>
      </c>
      <c r="C2417" s="2428">
        <v>3010000</v>
      </c>
      <c r="D2417" s="2429">
        <v>0</v>
      </c>
      <c r="E2417" s="2430">
        <v>0</v>
      </c>
      <c r="F2417" s="2427">
        <v>0</v>
      </c>
      <c r="G2417" s="2429">
        <v>0</v>
      </c>
      <c r="H2417" s="2430">
        <v>0</v>
      </c>
      <c r="I2417" s="2427">
        <v>0</v>
      </c>
      <c r="J2417" s="2431">
        <v>0</v>
      </c>
    </row>
    <row r="2418" spans="1:10" x14ac:dyDescent="0.2">
      <c r="A2418" s="2426" t="s">
        <v>972</v>
      </c>
      <c r="B2418" s="2427">
        <v>3380</v>
      </c>
      <c r="C2418" s="2428">
        <v>2744000.0000000005</v>
      </c>
      <c r="D2418" s="2429">
        <v>9274.7200000000012</v>
      </c>
      <c r="E2418" s="2430">
        <v>14.010150727253246</v>
      </c>
      <c r="F2418" s="2427">
        <v>11.788353574017799</v>
      </c>
      <c r="G2418" s="2429">
        <v>0.24276635929754814</v>
      </c>
      <c r="H2418" s="2430">
        <v>5.6789898488365607</v>
      </c>
      <c r="I2418" s="2427">
        <v>4.9911325737193772</v>
      </c>
      <c r="J2418" s="2431">
        <v>0.1435146659438421</v>
      </c>
    </row>
    <row r="2419" spans="1:10" x14ac:dyDescent="0.2">
      <c r="A2419" s="2426" t="s">
        <v>973</v>
      </c>
      <c r="B2419" s="2427">
        <v>384</v>
      </c>
      <c r="C2419" s="2428">
        <v>2549999.9999999991</v>
      </c>
      <c r="D2419" s="2429">
        <v>979.19999999999959</v>
      </c>
      <c r="E2419" s="2430">
        <v>1.5916857630962269</v>
      </c>
      <c r="F2419" s="2427">
        <v>1.3392685717227322</v>
      </c>
      <c r="G2419" s="2429">
        <v>2.7580556795934467E-2</v>
      </c>
      <c r="H2419" s="2430">
        <v>0.59957247873582786</v>
      </c>
      <c r="I2419" s="2427">
        <v>0.526950357119785</v>
      </c>
      <c r="J2419" s="2431">
        <v>1.5151892552250643E-2</v>
      </c>
    </row>
    <row r="2420" spans="1:10" x14ac:dyDescent="0.2">
      <c r="A2420" s="2426" t="s">
        <v>974</v>
      </c>
      <c r="B2420" s="2427">
        <v>715</v>
      </c>
      <c r="C2420" s="2428">
        <v>1583999.9999999995</v>
      </c>
      <c r="D2420" s="2429">
        <v>1132.5599999999997</v>
      </c>
      <c r="E2420" s="2430">
        <v>2.9636857307651097</v>
      </c>
      <c r="F2420" s="2427">
        <v>2.4936901791191497</v>
      </c>
      <c r="G2420" s="2429">
        <v>5.1354422159096726E-2</v>
      </c>
      <c r="H2420" s="2430">
        <v>0.69347610959665973</v>
      </c>
      <c r="I2420" s="2427">
        <v>0.60948008216869254</v>
      </c>
      <c r="J2420" s="2431">
        <v>1.7524946312272256E-2</v>
      </c>
    </row>
    <row r="2421" spans="1:10" x14ac:dyDescent="0.2">
      <c r="A2421" s="2426" t="s">
        <v>975</v>
      </c>
      <c r="B2421" s="2427">
        <v>105</v>
      </c>
      <c r="C2421" s="2428">
        <v>2532000.0000000009</v>
      </c>
      <c r="D2421" s="2429">
        <v>265.86000000000007</v>
      </c>
      <c r="E2421" s="2430">
        <v>0.43522657584662455</v>
      </c>
      <c r="F2421" s="2427">
        <v>0.36620625008043461</v>
      </c>
      <c r="G2421" s="2429">
        <v>7.5415584988883302E-3</v>
      </c>
      <c r="H2421" s="2430">
        <v>0.16278833659794453</v>
      </c>
      <c r="I2421" s="2427">
        <v>0.14307089659300051</v>
      </c>
      <c r="J2421" s="2431">
        <v>4.1138502389107016E-3</v>
      </c>
    </row>
    <row r="2422" spans="1:10" x14ac:dyDescent="0.2">
      <c r="A2422" s="2426" t="s">
        <v>976</v>
      </c>
      <c r="B2422" s="2427">
        <v>190</v>
      </c>
      <c r="C2422" s="2428">
        <v>7394999.9999999991</v>
      </c>
      <c r="D2422" s="2429">
        <v>1405.0499999999997</v>
      </c>
      <c r="E2422" s="2430">
        <v>0.78755285153198729</v>
      </c>
      <c r="F2422" s="2427">
        <v>0.66265892871697696</v>
      </c>
      <c r="G2422" s="2429">
        <v>1.3646629664655074E-2</v>
      </c>
      <c r="H2422" s="2430">
        <v>0.86032405151937819</v>
      </c>
      <c r="I2422" s="2427">
        <v>0.75611887180469151</v>
      </c>
      <c r="J2422" s="2431">
        <v>2.1741387490338819E-2</v>
      </c>
    </row>
    <row r="2423" spans="1:10" x14ac:dyDescent="0.2">
      <c r="A2423" s="2426" t="s">
        <v>286</v>
      </c>
      <c r="B2423" s="2427">
        <v>91</v>
      </c>
      <c r="C2423" s="2428">
        <v>2445000.0000000005</v>
      </c>
      <c r="D2423" s="2429">
        <v>222.49500000000003</v>
      </c>
      <c r="E2423" s="2430">
        <v>0.37719636573374127</v>
      </c>
      <c r="F2423" s="2427">
        <v>0.31737875006971</v>
      </c>
      <c r="G2423" s="2429">
        <v>6.5360173657032193E-3</v>
      </c>
      <c r="H2423" s="2430">
        <v>0.13623557869314551</v>
      </c>
      <c r="I2423" s="2427">
        <v>0.11973429300180415</v>
      </c>
      <c r="J2423" s="2431">
        <v>3.4428312228482528E-3</v>
      </c>
    </row>
    <row r="2424" spans="1:10" x14ac:dyDescent="0.2">
      <c r="A2424" s="2439" t="s">
        <v>978</v>
      </c>
      <c r="B2424" s="2427">
        <v>82.5</v>
      </c>
      <c r="C2424" s="2428">
        <v>1850000.0000000002</v>
      </c>
      <c r="D2424" s="2429">
        <v>152.62500000000003</v>
      </c>
      <c r="E2424" s="2430">
        <v>0.34196373816520498</v>
      </c>
      <c r="F2424" s="2427">
        <v>0.28773348220605577</v>
      </c>
      <c r="G2424" s="2429">
        <v>5.9255102491265451E-3</v>
      </c>
      <c r="H2424" s="2430">
        <v>9.3453584116682767E-2</v>
      </c>
      <c r="I2424" s="2427">
        <v>8.2134189394819479E-2</v>
      </c>
      <c r="J2424" s="2431">
        <v>2.3616805563595345E-3</v>
      </c>
    </row>
    <row r="2425" spans="1:10" x14ac:dyDescent="0.2">
      <c r="A2425" s="2426" t="s">
        <v>1163</v>
      </c>
      <c r="B2425" s="2427">
        <v>0</v>
      </c>
      <c r="C2425" s="2428">
        <v>0</v>
      </c>
      <c r="D2425" s="2429">
        <v>0</v>
      </c>
      <c r="E2425" s="2430">
        <v>0</v>
      </c>
      <c r="F2425" s="2427">
        <v>0</v>
      </c>
      <c r="G2425" s="2429">
        <v>0</v>
      </c>
      <c r="H2425" s="2430">
        <v>0</v>
      </c>
      <c r="I2425" s="2427">
        <v>0</v>
      </c>
      <c r="J2425" s="2431">
        <v>0</v>
      </c>
    </row>
    <row r="2426" spans="1:10" x14ac:dyDescent="0.2">
      <c r="A2426" s="2433" t="s">
        <v>287</v>
      </c>
      <c r="B2426" s="2434">
        <v>9808.91</v>
      </c>
      <c r="C2426" s="2433"/>
      <c r="D2426" s="2435">
        <v>28215.722880000001</v>
      </c>
      <c r="E2426" s="2436">
        <v>40.65807916274013</v>
      </c>
      <c r="F2426" s="2434">
        <v>34.210325223585485</v>
      </c>
      <c r="G2426" s="2435">
        <v>0.70451874833648309</v>
      </c>
      <c r="H2426" s="2436">
        <v>17.276726824433027</v>
      </c>
      <c r="I2426" s="2434">
        <v>15.184114836610391</v>
      </c>
      <c r="J2426" s="2437">
        <v>0.43660294256723886</v>
      </c>
    </row>
    <row r="2427" spans="1:10" x14ac:dyDescent="0.2">
      <c r="A2427" s="2440" t="s">
        <v>1835</v>
      </c>
      <c r="B2427" s="2441">
        <v>21525.264999999999</v>
      </c>
      <c r="C2427" s="2440"/>
      <c r="D2427" s="2442">
        <v>158142.52780467813</v>
      </c>
      <c r="E2427" s="2443">
        <v>89.222546477535161</v>
      </c>
      <c r="F2427" s="2441">
        <v>75.073205501310724</v>
      </c>
      <c r="G2427" s="2442">
        <v>1.5460385257292715</v>
      </c>
      <c r="H2427" s="2443">
        <v>96.832013265319119</v>
      </c>
      <c r="I2427" s="2441">
        <v>85.103412482128988</v>
      </c>
      <c r="J2427" s="2444">
        <v>2.4470573828000348</v>
      </c>
    </row>
    <row r="2428" spans="1:10" x14ac:dyDescent="0.2">
      <c r="A2428" s="2445" t="s">
        <v>194</v>
      </c>
      <c r="B2428" s="2446">
        <v>24125.364999999998</v>
      </c>
      <c r="C2428" s="2447"/>
      <c r="D2428" s="2448">
        <v>163316.36870067814</v>
      </c>
      <c r="E2428" s="2449">
        <v>100</v>
      </c>
      <c r="F2428" s="2446">
        <v>84.141518556873933</v>
      </c>
      <c r="G2428" s="2448">
        <v>1.7327890614717432</v>
      </c>
      <c r="H2428" s="2449">
        <v>100</v>
      </c>
      <c r="I2428" s="2446">
        <v>87.887682608587468</v>
      </c>
      <c r="J2428" s="2450">
        <v>2.5271160851474943</v>
      </c>
    </row>
    <row r="2429" spans="1:10" x14ac:dyDescent="0.2">
      <c r="A2429" s="2451" t="s">
        <v>1852</v>
      </c>
      <c r="B2429" s="2427"/>
      <c r="C2429" s="2452"/>
      <c r="D2429" s="2429"/>
      <c r="E2429" s="2430"/>
      <c r="F2429" s="2427">
        <v>0</v>
      </c>
      <c r="G2429" s="2429"/>
      <c r="H2429" s="2430"/>
      <c r="I2429" s="2427">
        <v>0</v>
      </c>
      <c r="J2429" s="2431">
        <v>0</v>
      </c>
    </row>
    <row r="2430" spans="1:10" x14ac:dyDescent="0.2">
      <c r="A2430" s="2453" t="s">
        <v>1836</v>
      </c>
      <c r="B2430" s="2427">
        <v>1287.9299999999998</v>
      </c>
      <c r="C2430" s="2428">
        <v>8033612.4975057133</v>
      </c>
      <c r="D2430" s="2429">
        <v>10346.730543912532</v>
      </c>
      <c r="E2430" s="2430">
        <v>29.1779658137085</v>
      </c>
      <c r="F2430" s="2427">
        <v>4.4918858634866101</v>
      </c>
      <c r="G2430" s="2429">
        <v>9.2504756547364245E-2</v>
      </c>
      <c r="H2430" s="2430">
        <v>49.916282377498817</v>
      </c>
      <c r="I2430" s="2427">
        <v>5.5680283447067991</v>
      </c>
      <c r="J2430" s="2431">
        <v>0.16010268532317465</v>
      </c>
    </row>
    <row r="2431" spans="1:10" x14ac:dyDescent="0.2">
      <c r="A2431" s="2453" t="s">
        <v>1837</v>
      </c>
      <c r="B2431" s="2427">
        <v>2496.6</v>
      </c>
      <c r="C2431" s="2428">
        <v>2214764.1578067578</v>
      </c>
      <c r="D2431" s="2429">
        <v>5529.3801963803508</v>
      </c>
      <c r="E2431" s="2430">
        <v>56.560301763686418</v>
      </c>
      <c r="F2431" s="2427">
        <v>8.7073383233410766</v>
      </c>
      <c r="G2431" s="2429">
        <v>0.17931671379356764</v>
      </c>
      <c r="H2431" s="2430">
        <v>26.675682920674763</v>
      </c>
      <c r="I2431" s="2427">
        <v>2.975601377791762</v>
      </c>
      <c r="J2431" s="2431">
        <v>8.5560227344870995E-2</v>
      </c>
    </row>
    <row r="2432" spans="1:10" x14ac:dyDescent="0.2">
      <c r="A2432" s="2454" t="s">
        <v>309</v>
      </c>
      <c r="B2432" s="2434">
        <v>3784.5299999999997</v>
      </c>
      <c r="C2432" s="2433"/>
      <c r="D2432" s="2435">
        <v>15876.110740292883</v>
      </c>
      <c r="E2432" s="2436">
        <v>85.738267577394922</v>
      </c>
      <c r="F2432" s="2434">
        <v>13.199224186827688</v>
      </c>
      <c r="G2432" s="2435">
        <v>0.2718214703409319</v>
      </c>
      <c r="H2432" s="2436">
        <v>76.591965298173577</v>
      </c>
      <c r="I2432" s="2434">
        <v>8.5436297224985616</v>
      </c>
      <c r="J2432" s="2437">
        <v>0.24566291266804566</v>
      </c>
    </row>
    <row r="2433" spans="1:10" x14ac:dyDescent="0.2">
      <c r="A2433" s="2453" t="s">
        <v>1838</v>
      </c>
      <c r="B2433" s="2427">
        <v>0</v>
      </c>
      <c r="C2433" s="2428">
        <v>10407427.50198495</v>
      </c>
      <c r="D2433" s="2429">
        <v>0</v>
      </c>
      <c r="E2433" s="2430">
        <v>0</v>
      </c>
      <c r="F2433" s="2427">
        <v>0</v>
      </c>
      <c r="G2433" s="2429">
        <v>0</v>
      </c>
      <c r="H2433" s="2430">
        <v>0</v>
      </c>
      <c r="I2433" s="2427">
        <v>0</v>
      </c>
      <c r="J2433" s="2431">
        <v>0</v>
      </c>
    </row>
    <row r="2434" spans="1:10" x14ac:dyDescent="0.2">
      <c r="A2434" s="2454" t="s">
        <v>315</v>
      </c>
      <c r="B2434" s="2434">
        <v>0</v>
      </c>
      <c r="C2434" s="2455"/>
      <c r="D2434" s="2435">
        <v>0</v>
      </c>
      <c r="E2434" s="2436">
        <v>0</v>
      </c>
      <c r="F2434" s="2434">
        <v>0</v>
      </c>
      <c r="G2434" s="2435">
        <v>0</v>
      </c>
      <c r="H2434" s="2436">
        <v>0</v>
      </c>
      <c r="I2434" s="2434">
        <v>0</v>
      </c>
      <c r="J2434" s="2437">
        <v>0</v>
      </c>
    </row>
    <row r="2435" spans="1:10" x14ac:dyDescent="0.2">
      <c r="A2435" s="2453" t="s">
        <v>1541</v>
      </c>
      <c r="B2435" s="2427">
        <v>80.19</v>
      </c>
      <c r="C2435" s="2428">
        <v>10553660</v>
      </c>
      <c r="D2435" s="2429">
        <v>846.29799539999999</v>
      </c>
      <c r="E2435" s="2430">
        <v>1.8166989499439294</v>
      </c>
      <c r="F2435" s="2427">
        <v>0.27967694470428622</v>
      </c>
      <c r="G2435" s="2429">
        <v>5.7595959621510014E-3</v>
      </c>
      <c r="H2435" s="2430">
        <v>4.0828404233211391</v>
      </c>
      <c r="I2435" s="2427">
        <v>0.45542997437274135</v>
      </c>
      <c r="J2435" s="2431">
        <v>1.3095400626517479E-2</v>
      </c>
    </row>
    <row r="2436" spans="1:10" x14ac:dyDescent="0.2">
      <c r="A2436" s="2453" t="s">
        <v>206</v>
      </c>
      <c r="B2436" s="2427">
        <v>543.75</v>
      </c>
      <c r="C2436" s="2428">
        <v>6960000</v>
      </c>
      <c r="D2436" s="2429">
        <v>3784.5</v>
      </c>
      <c r="E2436" s="2430">
        <v>12.318618955381115</v>
      </c>
      <c r="F2436" s="2427">
        <v>1.8964252236308221</v>
      </c>
      <c r="G2436" s="2429">
        <v>3.9054499369243136E-2</v>
      </c>
      <c r="H2436" s="2430">
        <v>18.257764600701602</v>
      </c>
      <c r="I2436" s="2427">
        <v>2.0366050107432874</v>
      </c>
      <c r="J2436" s="2431">
        <v>5.8560393549829032E-2</v>
      </c>
    </row>
    <row r="2437" spans="1:10" x14ac:dyDescent="0.2">
      <c r="A2437" s="2454" t="s">
        <v>310</v>
      </c>
      <c r="B2437" s="2434">
        <v>623.94000000000005</v>
      </c>
      <c r="C2437" s="2455"/>
      <c r="D2437" s="2435">
        <v>4630.7979954000002</v>
      </c>
      <c r="E2437" s="2436">
        <v>14.135317905325046</v>
      </c>
      <c r="F2437" s="2434">
        <v>2.1761021683351087</v>
      </c>
      <c r="G2437" s="2435">
        <v>4.4814095331394146E-2</v>
      </c>
      <c r="H2437" s="2436">
        <v>22.340605024022743</v>
      </c>
      <c r="I2437" s="2434">
        <v>2.4920349851160286</v>
      </c>
      <c r="J2437" s="2437">
        <v>7.1655794176346516E-2</v>
      </c>
    </row>
    <row r="2438" spans="1:10" x14ac:dyDescent="0.2">
      <c r="A2438" s="2453" t="s">
        <v>1839</v>
      </c>
      <c r="B2438" s="2427">
        <v>5.58</v>
      </c>
      <c r="C2438" s="2428">
        <v>39652080.629353955</v>
      </c>
      <c r="D2438" s="2429">
        <v>221.25860991179508</v>
      </c>
      <c r="E2438" s="2430">
        <v>0.12641451728004896</v>
      </c>
      <c r="F2438" s="2427">
        <v>1.9461246432845955E-2</v>
      </c>
      <c r="G2438" s="2429">
        <v>4.0077996594092266E-4</v>
      </c>
      <c r="H2438" s="2430">
        <v>1.0674296778036774</v>
      </c>
      <c r="I2438" s="2427">
        <v>0.11906893740691139</v>
      </c>
      <c r="J2438" s="2431">
        <v>3.4236996360742034E-3</v>
      </c>
    </row>
    <row r="2439" spans="1:10" x14ac:dyDescent="0.2">
      <c r="A2439" s="2454" t="s">
        <v>311</v>
      </c>
      <c r="B2439" s="2434">
        <v>5.58</v>
      </c>
      <c r="C2439" s="2433"/>
      <c r="D2439" s="2435">
        <v>221.25860991179508</v>
      </c>
      <c r="E2439" s="2436">
        <v>0.12641451728004896</v>
      </c>
      <c r="F2439" s="2434">
        <v>1.9461246432845955E-2</v>
      </c>
      <c r="G2439" s="2435">
        <v>4.0077996594092266E-4</v>
      </c>
      <c r="H2439" s="2436">
        <v>1.0674296778036774</v>
      </c>
      <c r="I2439" s="2434">
        <v>0.11906893740691139</v>
      </c>
      <c r="J2439" s="2437">
        <v>3.4236996360742034E-3</v>
      </c>
    </row>
    <row r="2440" spans="1:10" x14ac:dyDescent="0.2">
      <c r="A2440" s="2445" t="s">
        <v>129</v>
      </c>
      <c r="B2440" s="2446">
        <v>4414.0499999999993</v>
      </c>
      <c r="C2440" s="2447"/>
      <c r="D2440" s="2448">
        <v>20728.167345604677</v>
      </c>
      <c r="E2440" s="2449">
        <v>100.00000000000001</v>
      </c>
      <c r="F2440" s="2446">
        <v>15.394787601595638</v>
      </c>
      <c r="G2440" s="2448">
        <v>0.31703634563826694</v>
      </c>
      <c r="H2440" s="2449">
        <v>99.999999999999986</v>
      </c>
      <c r="I2440" s="2446">
        <v>11.154733645021501</v>
      </c>
      <c r="J2440" s="2450">
        <v>0.32074240648046631</v>
      </c>
    </row>
    <row r="2441" spans="1:10" x14ac:dyDescent="0.2">
      <c r="A2441" s="2451" t="s">
        <v>1853</v>
      </c>
      <c r="B2441" s="2427"/>
      <c r="C2441" s="2452"/>
      <c r="D2441" s="2429"/>
      <c r="E2441" s="2430"/>
      <c r="F2441" s="2427">
        <v>0</v>
      </c>
      <c r="G2441" s="2429"/>
      <c r="H2441" s="2430"/>
      <c r="I2441" s="2427">
        <v>0</v>
      </c>
      <c r="J2441" s="2431">
        <v>0</v>
      </c>
    </row>
    <row r="2442" spans="1:10" x14ac:dyDescent="0.2">
      <c r="A2442" s="2426" t="s">
        <v>1543</v>
      </c>
      <c r="B2442" s="2427">
        <v>122</v>
      </c>
      <c r="C2442" s="2428">
        <v>13200000</v>
      </c>
      <c r="D2442" s="2429">
        <v>1610.4</v>
      </c>
      <c r="E2442" s="2430">
        <v>91.762440580058964</v>
      </c>
      <c r="F2442" s="2427">
        <v>0.42549678580774303</v>
      </c>
      <c r="G2442" s="2429">
        <v>8.7625727320416787E-3</v>
      </c>
      <c r="H2442" s="2430">
        <v>90.501399332366731</v>
      </c>
      <c r="I2442" s="2427">
        <v>0.86662669026317618</v>
      </c>
      <c r="J2442" s="2431">
        <v>2.4918921329804382E-2</v>
      </c>
    </row>
    <row r="2443" spans="1:10" x14ac:dyDescent="0.2">
      <c r="A2443" s="2426" t="s">
        <v>208</v>
      </c>
      <c r="B2443" s="2427">
        <v>0</v>
      </c>
      <c r="C2443" s="2428">
        <v>10000000</v>
      </c>
      <c r="D2443" s="2429">
        <v>0</v>
      </c>
      <c r="E2443" s="2430">
        <v>0</v>
      </c>
      <c r="F2443" s="2427">
        <v>0</v>
      </c>
      <c r="G2443" s="2429">
        <v>0</v>
      </c>
      <c r="H2443" s="2430">
        <v>0</v>
      </c>
      <c r="I2443" s="2427">
        <v>0</v>
      </c>
      <c r="J2443" s="2431">
        <v>0</v>
      </c>
    </row>
    <row r="2444" spans="1:10" x14ac:dyDescent="0.2">
      <c r="A2444" s="2426" t="s">
        <v>209</v>
      </c>
      <c r="B2444" s="2427">
        <v>1</v>
      </c>
      <c r="C2444" s="2428">
        <v>10000000</v>
      </c>
      <c r="D2444" s="2429">
        <v>10</v>
      </c>
      <c r="E2444" s="2430">
        <v>0.7521511522955654</v>
      </c>
      <c r="F2444" s="2427">
        <v>3.4876785721946156E-3</v>
      </c>
      <c r="G2444" s="2429">
        <v>7.1824366656079327E-5</v>
      </c>
      <c r="H2444" s="2430">
        <v>0.56198087017117937</v>
      </c>
      <c r="I2444" s="2427">
        <v>5.3814374705860408E-3</v>
      </c>
      <c r="J2444" s="2431">
        <v>1.5473746479014144E-4</v>
      </c>
    </row>
    <row r="2445" spans="1:10" x14ac:dyDescent="0.2">
      <c r="A2445" s="2426" t="s">
        <v>210</v>
      </c>
      <c r="B2445" s="2427">
        <v>7</v>
      </c>
      <c r="C2445" s="2428">
        <v>18500000</v>
      </c>
      <c r="D2445" s="2429">
        <v>129.5</v>
      </c>
      <c r="E2445" s="2430">
        <v>5.2650580660689572</v>
      </c>
      <c r="F2445" s="2427">
        <v>2.4413750005362306E-2</v>
      </c>
      <c r="G2445" s="2429">
        <v>5.0277056659255536E-4</v>
      </c>
      <c r="H2445" s="2430">
        <v>7.2776522687167722</v>
      </c>
      <c r="I2445" s="2427">
        <v>6.9689615244089231E-2</v>
      </c>
      <c r="J2445" s="2431">
        <v>2.0038501690323317E-3</v>
      </c>
    </row>
    <row r="2446" spans="1:10" x14ac:dyDescent="0.2">
      <c r="A2446" s="2426" t="s">
        <v>1545</v>
      </c>
      <c r="B2446" s="2427">
        <v>0</v>
      </c>
      <c r="C2446" s="2428">
        <v>14200000</v>
      </c>
      <c r="D2446" s="2429">
        <v>0</v>
      </c>
      <c r="E2446" s="2430">
        <v>0</v>
      </c>
      <c r="F2446" s="2427">
        <v>0</v>
      </c>
      <c r="G2446" s="2429">
        <v>0</v>
      </c>
      <c r="H2446" s="2430">
        <v>0</v>
      </c>
      <c r="I2446" s="2427">
        <v>0</v>
      </c>
      <c r="J2446" s="2431">
        <v>0</v>
      </c>
    </row>
    <row r="2447" spans="1:10" x14ac:dyDescent="0.2">
      <c r="A2447" s="2426" t="s">
        <v>1546</v>
      </c>
      <c r="B2447" s="2427">
        <v>2.952</v>
      </c>
      <c r="C2447" s="2428">
        <v>10000000</v>
      </c>
      <c r="D2447" s="2429">
        <v>29.52</v>
      </c>
      <c r="E2447" s="2430">
        <v>2.2203502015765086</v>
      </c>
      <c r="F2447" s="2427">
        <v>1.0295627145118504E-2</v>
      </c>
      <c r="G2447" s="2429">
        <v>2.1202553036874617E-4</v>
      </c>
      <c r="H2447" s="2430">
        <v>1.6589675287453216</v>
      </c>
      <c r="I2447" s="2427">
        <v>1.5886003413169994E-2</v>
      </c>
      <c r="J2447" s="2431">
        <v>4.5678499606049749E-4</v>
      </c>
    </row>
    <row r="2448" spans="1:10" x14ac:dyDescent="0.2">
      <c r="A2448" s="2445" t="s">
        <v>121</v>
      </c>
      <c r="B2448" s="2446">
        <v>132.952</v>
      </c>
      <c r="C2448" s="2447"/>
      <c r="D2448" s="2448">
        <v>1779.42</v>
      </c>
      <c r="E2448" s="2449">
        <v>100</v>
      </c>
      <c r="F2448" s="2446">
        <v>0.46369384153041854</v>
      </c>
      <c r="G2448" s="2448">
        <v>9.5491931956590594E-3</v>
      </c>
      <c r="H2448" s="2449">
        <v>100.00000000000001</v>
      </c>
      <c r="I2448" s="2446">
        <v>0.9575837463910214</v>
      </c>
      <c r="J2448" s="2450">
        <v>2.7534293959687348E-2</v>
      </c>
    </row>
    <row r="2449" spans="1:12" ht="14.25" thickBot="1" x14ac:dyDescent="0.25">
      <c r="A2449" s="2457" t="s">
        <v>1840</v>
      </c>
      <c r="B2449" s="2446">
        <v>28672.366999999998</v>
      </c>
      <c r="C2449" s="2458"/>
      <c r="D2449" s="2448">
        <v>185823.95604628284</v>
      </c>
      <c r="E2449" s="2459"/>
      <c r="F2449" s="2460">
        <v>99.999999999999986</v>
      </c>
      <c r="G2449" s="2461">
        <v>2.0593746003056692</v>
      </c>
      <c r="H2449" s="2462"/>
      <c r="I2449" s="2460">
        <v>99.999999999999986</v>
      </c>
      <c r="J2449" s="2463">
        <v>2.875392785587648</v>
      </c>
    </row>
    <row r="2450" spans="1:12" ht="15" thickBot="1" x14ac:dyDescent="0.25">
      <c r="A2450" s="2464" t="s">
        <v>1841</v>
      </c>
      <c r="B2450" s="2465">
        <v>1392285.1624830281</v>
      </c>
      <c r="C2450" s="2466"/>
      <c r="D2450" s="2467">
        <v>6462559.0276810033</v>
      </c>
      <c r="E2450" s="2468"/>
      <c r="F2450" s="2469"/>
      <c r="G2450" s="2469"/>
      <c r="H2450" s="2469"/>
      <c r="I2450" s="2469"/>
      <c r="J2450" s="2469"/>
    </row>
    <row r="2451" spans="1:12" ht="16.5" thickBot="1" x14ac:dyDescent="0.3">
      <c r="A2451" s="2470" t="s">
        <v>1842</v>
      </c>
      <c r="B2451" s="2471">
        <v>2.0593746003056692</v>
      </c>
      <c r="C2451" s="2472"/>
      <c r="D2451" s="2473">
        <v>2.8753927855876484</v>
      </c>
      <c r="E2451" s="2468"/>
      <c r="F2451" s="2469"/>
      <c r="G2451" s="2469"/>
      <c r="H2451" s="2469"/>
      <c r="I2451" s="2469"/>
      <c r="J2451" s="2469"/>
    </row>
    <row r="2452" spans="1:12" x14ac:dyDescent="0.2">
      <c r="A2452" s="2474" t="s">
        <v>2023</v>
      </c>
      <c r="B2452" s="2474"/>
      <c r="C2452" s="2474"/>
      <c r="D2452" s="2475"/>
      <c r="E2452" s="2474"/>
      <c r="F2452" s="2474"/>
      <c r="H2452" s="2474"/>
      <c r="I2452" s="2474"/>
      <c r="J2452" s="2474"/>
    </row>
    <row r="2453" spans="1:12" x14ac:dyDescent="0.2">
      <c r="A2453" s="2474" t="s">
        <v>1843</v>
      </c>
      <c r="B2453" s="2474"/>
      <c r="C2453" s="2474"/>
      <c r="D2453" s="2474"/>
      <c r="E2453" s="2474"/>
      <c r="F2453" s="2474"/>
      <c r="G2453" s="2474"/>
      <c r="H2453" s="2474"/>
      <c r="I2453" s="2474"/>
      <c r="J2453" s="2474"/>
    </row>
    <row r="2454" spans="1:12" x14ac:dyDescent="0.2">
      <c r="A2454" s="2474" t="s">
        <v>2024</v>
      </c>
      <c r="B2454" s="2474"/>
      <c r="C2454" s="2474"/>
      <c r="D2454" s="2474"/>
      <c r="E2454" s="2474"/>
      <c r="F2454" s="2474"/>
      <c r="G2454" s="2474"/>
      <c r="H2454" s="2474"/>
      <c r="I2454" s="2474"/>
      <c r="J2454" s="2474"/>
    </row>
    <row r="2458" spans="1:12" ht="13.5" thickBot="1" x14ac:dyDescent="0.25">
      <c r="A2458" s="3321" t="s">
        <v>2021</v>
      </c>
      <c r="B2458" s="3321"/>
      <c r="C2458" s="3321"/>
      <c r="D2458" s="3321"/>
      <c r="E2458" s="3321"/>
      <c r="F2458" s="3321"/>
      <c r="G2458" s="3321"/>
      <c r="H2458" s="3321"/>
      <c r="I2458" s="3321"/>
      <c r="J2458" s="3321"/>
    </row>
    <row r="2459" spans="1:12" ht="13.5" customHeight="1" thickBot="1" x14ac:dyDescent="0.25">
      <c r="A2459" s="3322" t="s">
        <v>382</v>
      </c>
      <c r="B2459" s="3324" t="s">
        <v>1272</v>
      </c>
      <c r="C2459" s="3324" t="s">
        <v>1832</v>
      </c>
      <c r="D2459" s="3326" t="s">
        <v>1844</v>
      </c>
      <c r="E2459" s="3328" t="s">
        <v>1849</v>
      </c>
      <c r="F2459" s="3329"/>
      <c r="G2459" s="3330"/>
      <c r="H2459" s="3328" t="s">
        <v>1850</v>
      </c>
      <c r="I2459" s="3329"/>
      <c r="J2459" s="3331"/>
    </row>
    <row r="2460" spans="1:12" ht="13.5" customHeight="1" thickBot="1" x14ac:dyDescent="0.25">
      <c r="A2460" s="3323"/>
      <c r="B2460" s="3325"/>
      <c r="C2460" s="3325"/>
      <c r="D2460" s="3327"/>
      <c r="E2460" s="2415" t="s">
        <v>1848</v>
      </c>
      <c r="F2460" s="2416" t="s">
        <v>1231</v>
      </c>
      <c r="G2460" s="2417" t="s">
        <v>1833</v>
      </c>
      <c r="H2460" s="2415" t="s">
        <v>1848</v>
      </c>
      <c r="I2460" s="2416" t="s">
        <v>1231</v>
      </c>
      <c r="J2460" s="2418" t="s">
        <v>1833</v>
      </c>
      <c r="L2460" s="2482"/>
    </row>
    <row r="2461" spans="1:12" x14ac:dyDescent="0.2">
      <c r="A2461" s="2419" t="s">
        <v>1851</v>
      </c>
      <c r="B2461" s="2420"/>
      <c r="C2461" s="2420"/>
      <c r="D2461" s="2421"/>
      <c r="E2461" s="2422"/>
      <c r="F2461" s="2423"/>
      <c r="G2461" s="2424"/>
      <c r="H2461" s="2422"/>
      <c r="I2461" s="2423"/>
      <c r="J2461" s="2425"/>
      <c r="L2461" s="2480"/>
    </row>
    <row r="2462" spans="1:12" x14ac:dyDescent="0.2">
      <c r="A2462" s="2426" t="s">
        <v>410</v>
      </c>
      <c r="B2462" s="2427">
        <v>0</v>
      </c>
      <c r="C2462" s="2428">
        <v>5667200.0000000009</v>
      </c>
      <c r="D2462" s="2429">
        <v>0</v>
      </c>
      <c r="E2462" s="2430">
        <v>0</v>
      </c>
      <c r="F2462" s="2427">
        <v>0</v>
      </c>
      <c r="G2462" s="2429">
        <v>0</v>
      </c>
      <c r="H2462" s="2430">
        <v>0</v>
      </c>
      <c r="I2462" s="2427">
        <v>0</v>
      </c>
      <c r="J2462" s="2431">
        <v>0</v>
      </c>
    </row>
    <row r="2463" spans="1:12" x14ac:dyDescent="0.2">
      <c r="A2463" s="2426" t="s">
        <v>411</v>
      </c>
      <c r="B2463" s="2427">
        <v>0</v>
      </c>
      <c r="C2463" s="2428">
        <v>1753716.5000000002</v>
      </c>
      <c r="D2463" s="2429">
        <v>0</v>
      </c>
      <c r="E2463" s="2430">
        <v>0</v>
      </c>
      <c r="F2463" s="2427">
        <v>0</v>
      </c>
      <c r="G2463" s="2429">
        <v>0</v>
      </c>
      <c r="H2463" s="2430">
        <v>0</v>
      </c>
      <c r="I2463" s="2427">
        <v>0</v>
      </c>
      <c r="J2463" s="2431">
        <v>0</v>
      </c>
    </row>
    <row r="2464" spans="1:12" x14ac:dyDescent="0.2">
      <c r="A2464" s="2426" t="s">
        <v>278</v>
      </c>
      <c r="B2464" s="2427">
        <v>379.8</v>
      </c>
      <c r="C2464" s="2428">
        <v>1637875</v>
      </c>
      <c r="D2464" s="2429">
        <v>622.06492500000002</v>
      </c>
      <c r="E2464" s="2430">
        <v>2.3169619151062837</v>
      </c>
      <c r="F2464" s="2427">
        <v>1.7234583947137654</v>
      </c>
      <c r="G2464" s="2429">
        <v>2.7278894455978933E-2</v>
      </c>
      <c r="H2464" s="2430">
        <v>0.73015639118261066</v>
      </c>
      <c r="I2464" s="2427">
        <v>0.61481941061568313</v>
      </c>
      <c r="J2464" s="2431">
        <v>9.625674942936948E-3</v>
      </c>
      <c r="L2464" s="2480"/>
    </row>
    <row r="2465" spans="1:10" x14ac:dyDescent="0.2">
      <c r="A2465" s="2426" t="s">
        <v>200</v>
      </c>
      <c r="B2465" s="2427">
        <v>117</v>
      </c>
      <c r="C2465" s="2428">
        <v>7709114.5</v>
      </c>
      <c r="D2465" s="2429">
        <v>901.96639649999997</v>
      </c>
      <c r="E2465" s="2430">
        <v>0.71375604019861816</v>
      </c>
      <c r="F2465" s="2427">
        <v>0.53092320216300837</v>
      </c>
      <c r="G2465" s="2429">
        <v>8.4034508987612822E-3</v>
      </c>
      <c r="H2465" s="2430">
        <v>1.0586942014716931</v>
      </c>
      <c r="I2465" s="2427">
        <v>0.8914607238003035</v>
      </c>
      <c r="J2465" s="2431">
        <v>1.395679935203095E-2</v>
      </c>
    </row>
    <row r="2466" spans="1:10" x14ac:dyDescent="0.2">
      <c r="A2466" s="2426" t="s">
        <v>429</v>
      </c>
      <c r="B2466" s="2427">
        <v>0</v>
      </c>
      <c r="C2466" s="2428">
        <v>1255000</v>
      </c>
      <c r="D2466" s="2429">
        <v>0</v>
      </c>
      <c r="E2466" s="2430">
        <v>0</v>
      </c>
      <c r="F2466" s="2427">
        <v>0</v>
      </c>
      <c r="G2466" s="2429">
        <v>0</v>
      </c>
      <c r="H2466" s="2430">
        <v>0</v>
      </c>
      <c r="I2466" s="2427">
        <v>0</v>
      </c>
      <c r="J2466" s="2431">
        <v>0</v>
      </c>
    </row>
    <row r="2467" spans="1:10" x14ac:dyDescent="0.2">
      <c r="A2467" s="2432" t="s">
        <v>431</v>
      </c>
      <c r="B2467" s="2427">
        <v>0</v>
      </c>
      <c r="C2467" s="2428">
        <v>0</v>
      </c>
      <c r="D2467" s="2429">
        <v>0</v>
      </c>
      <c r="E2467" s="2430">
        <v>0</v>
      </c>
      <c r="F2467" s="2427">
        <v>0</v>
      </c>
      <c r="G2467" s="2429">
        <v>0</v>
      </c>
      <c r="H2467" s="2430">
        <v>0</v>
      </c>
      <c r="I2467" s="2427">
        <v>0</v>
      </c>
      <c r="J2467" s="2431">
        <v>0</v>
      </c>
    </row>
    <row r="2468" spans="1:10" x14ac:dyDescent="0.2">
      <c r="A2468" s="2432" t="s">
        <v>430</v>
      </c>
      <c r="B2468" s="2427">
        <v>0</v>
      </c>
      <c r="C2468" s="2428">
        <v>0</v>
      </c>
      <c r="D2468" s="2429">
        <v>0</v>
      </c>
      <c r="E2468" s="2430">
        <v>0</v>
      </c>
      <c r="F2468" s="2427">
        <v>0</v>
      </c>
      <c r="G2468" s="2429">
        <v>0</v>
      </c>
      <c r="H2468" s="2430">
        <v>0</v>
      </c>
      <c r="I2468" s="2427">
        <v>0</v>
      </c>
      <c r="J2468" s="2431">
        <v>0</v>
      </c>
    </row>
    <row r="2469" spans="1:10" x14ac:dyDescent="0.2">
      <c r="A2469" s="2433" t="s">
        <v>279</v>
      </c>
      <c r="B2469" s="2434">
        <v>496.8</v>
      </c>
      <c r="C2469" s="2433"/>
      <c r="D2469" s="2435">
        <v>1524.0313215000001</v>
      </c>
      <c r="E2469" s="2436">
        <v>3.0307179553049015</v>
      </c>
      <c r="F2469" s="2434">
        <v>2.2543815968767738</v>
      </c>
      <c r="G2469" s="2435">
        <v>3.5682345354740214E-2</v>
      </c>
      <c r="H2469" s="2436">
        <v>1.7888505926543039</v>
      </c>
      <c r="I2469" s="2434">
        <v>1.5062801344159871</v>
      </c>
      <c r="J2469" s="2437">
        <v>2.35824742949679E-2</v>
      </c>
    </row>
    <row r="2470" spans="1:10" x14ac:dyDescent="0.2">
      <c r="A2470" s="2438" t="s">
        <v>412</v>
      </c>
      <c r="B2470" s="2427">
        <v>78</v>
      </c>
      <c r="C2470" s="2428">
        <v>4129499.9999999995</v>
      </c>
      <c r="D2470" s="2429">
        <v>322.10099999999994</v>
      </c>
      <c r="E2470" s="2430">
        <v>0.47583736013241212</v>
      </c>
      <c r="F2470" s="2427">
        <v>0.35394880144200552</v>
      </c>
      <c r="G2470" s="2429">
        <v>5.6023005991741879E-3</v>
      </c>
      <c r="H2470" s="2430">
        <v>0.37807002823107255</v>
      </c>
      <c r="I2470" s="2427">
        <v>0.31834932178296682</v>
      </c>
      <c r="J2470" s="2431">
        <v>4.9841092146369345E-3</v>
      </c>
    </row>
    <row r="2471" spans="1:10" x14ac:dyDescent="0.2">
      <c r="A2471" s="2438" t="s">
        <v>413</v>
      </c>
      <c r="B2471" s="2427">
        <v>308</v>
      </c>
      <c r="C2471" s="2428">
        <v>1200000</v>
      </c>
      <c r="D2471" s="2429">
        <v>369.6</v>
      </c>
      <c r="E2471" s="2430">
        <v>1.8789475246254221</v>
      </c>
      <c r="F2471" s="2427">
        <v>1.3976439851812528</v>
      </c>
      <c r="G2471" s="2429">
        <v>2.2121904930072434E-2</v>
      </c>
      <c r="H2471" s="2430">
        <v>0.4338225663198948</v>
      </c>
      <c r="I2471" s="2427">
        <v>0.36529507617481655</v>
      </c>
      <c r="J2471" s="2431">
        <v>5.7190966986436281E-3</v>
      </c>
    </row>
    <row r="2472" spans="1:10" x14ac:dyDescent="0.2">
      <c r="A2472" s="2426" t="s">
        <v>90</v>
      </c>
      <c r="B2472" s="2427">
        <v>0</v>
      </c>
      <c r="C2472" s="2428">
        <v>1743000</v>
      </c>
      <c r="D2472" s="2429">
        <v>0</v>
      </c>
      <c r="E2472" s="2430">
        <v>0</v>
      </c>
      <c r="F2472" s="2427">
        <v>0</v>
      </c>
      <c r="G2472" s="2429">
        <v>0</v>
      </c>
      <c r="H2472" s="2430">
        <v>0</v>
      </c>
      <c r="I2472" s="2427">
        <v>0</v>
      </c>
      <c r="J2472" s="2431">
        <v>0</v>
      </c>
    </row>
    <row r="2473" spans="1:10" x14ac:dyDescent="0.2">
      <c r="A2473" s="2426" t="s">
        <v>417</v>
      </c>
      <c r="B2473" s="2427">
        <v>112</v>
      </c>
      <c r="C2473" s="2428">
        <v>2563999.9999999995</v>
      </c>
      <c r="D2473" s="2429">
        <v>287.16799999999995</v>
      </c>
      <c r="E2473" s="2430">
        <v>0.68325364531833532</v>
      </c>
      <c r="F2473" s="2427">
        <v>0.50823417642954638</v>
      </c>
      <c r="G2473" s="2429">
        <v>8.0443290654808857E-3</v>
      </c>
      <c r="H2473" s="2430">
        <v>0.33706698789218487</v>
      </c>
      <c r="I2473" s="2427">
        <v>0.28382320464006949</v>
      </c>
      <c r="J2473" s="2431">
        <v>4.4435648288855328E-3</v>
      </c>
    </row>
    <row r="2474" spans="1:10" x14ac:dyDescent="0.2">
      <c r="A2474" s="2426" t="s">
        <v>418</v>
      </c>
      <c r="B2474" s="2427">
        <v>32</v>
      </c>
      <c r="C2474" s="2428">
        <v>2222500</v>
      </c>
      <c r="D2474" s="2429">
        <v>71.12</v>
      </c>
      <c r="E2474" s="2430">
        <v>0.1952153272338101</v>
      </c>
      <c r="F2474" s="2427">
        <v>0.14520976469415611</v>
      </c>
      <c r="G2474" s="2429">
        <v>2.2983797329945385E-3</v>
      </c>
      <c r="H2474" s="2430">
        <v>8.3477978670646436E-2</v>
      </c>
      <c r="I2474" s="2427">
        <v>7.0291628294244998E-2</v>
      </c>
      <c r="J2474" s="2431">
        <v>1.1004928495874859E-3</v>
      </c>
    </row>
    <row r="2475" spans="1:10" x14ac:dyDescent="0.2">
      <c r="A2475" s="2426" t="s">
        <v>423</v>
      </c>
      <c r="B2475" s="2427">
        <v>1470</v>
      </c>
      <c r="C2475" s="2428">
        <v>2531500</v>
      </c>
      <c r="D2475" s="2429">
        <v>3721.3049999999998</v>
      </c>
      <c r="E2475" s="2430">
        <v>8.9677040948031514</v>
      </c>
      <c r="F2475" s="2427">
        <v>6.6705735656377971</v>
      </c>
      <c r="G2475" s="2429">
        <v>0.10558181898443662</v>
      </c>
      <c r="H2475" s="2430">
        <v>4.3679277195861905</v>
      </c>
      <c r="I2475" s="2427">
        <v>3.6779610212249061</v>
      </c>
      <c r="J2475" s="2431">
        <v>5.7582530141087732E-2</v>
      </c>
    </row>
    <row r="2476" spans="1:10" x14ac:dyDescent="0.2">
      <c r="A2476" s="2426" t="s">
        <v>424</v>
      </c>
      <c r="B2476" s="2427">
        <v>0</v>
      </c>
      <c r="C2476" s="2428">
        <v>1369000</v>
      </c>
      <c r="D2476" s="2429">
        <v>0</v>
      </c>
      <c r="E2476" s="2430">
        <v>0</v>
      </c>
      <c r="F2476" s="2427">
        <v>0</v>
      </c>
      <c r="G2476" s="2429">
        <v>0</v>
      </c>
      <c r="H2476" s="2430">
        <v>0</v>
      </c>
      <c r="I2476" s="2427">
        <v>0</v>
      </c>
      <c r="J2476" s="2431">
        <v>0</v>
      </c>
    </row>
    <row r="2477" spans="1:10" x14ac:dyDescent="0.2">
      <c r="A2477" s="2426" t="s">
        <v>280</v>
      </c>
      <c r="B2477" s="2427">
        <v>0</v>
      </c>
      <c r="C2477" s="2428">
        <v>1574500</v>
      </c>
      <c r="D2477" s="2429">
        <v>0</v>
      </c>
      <c r="E2477" s="2430">
        <v>0</v>
      </c>
      <c r="F2477" s="2427">
        <v>0</v>
      </c>
      <c r="G2477" s="2429">
        <v>0</v>
      </c>
      <c r="H2477" s="2430">
        <v>0</v>
      </c>
      <c r="I2477" s="2427">
        <v>0</v>
      </c>
      <c r="J2477" s="2431">
        <v>0</v>
      </c>
    </row>
    <row r="2478" spans="1:10" x14ac:dyDescent="0.2">
      <c r="A2478" s="2426" t="s">
        <v>427</v>
      </c>
      <c r="B2478" s="2427">
        <v>0</v>
      </c>
      <c r="C2478" s="2428">
        <v>2072000</v>
      </c>
      <c r="D2478" s="2429">
        <v>0</v>
      </c>
      <c r="E2478" s="2430">
        <v>0</v>
      </c>
      <c r="F2478" s="2427">
        <v>0</v>
      </c>
      <c r="G2478" s="2429">
        <v>0</v>
      </c>
      <c r="H2478" s="2430">
        <v>0</v>
      </c>
      <c r="I2478" s="2427">
        <v>0</v>
      </c>
      <c r="J2478" s="2431">
        <v>0</v>
      </c>
    </row>
    <row r="2479" spans="1:10" x14ac:dyDescent="0.2">
      <c r="A2479" s="2426" t="s">
        <v>428</v>
      </c>
      <c r="B2479" s="2427">
        <v>0</v>
      </c>
      <c r="C2479" s="2428">
        <v>1326280</v>
      </c>
      <c r="D2479" s="2429">
        <v>0</v>
      </c>
      <c r="E2479" s="2430">
        <v>0</v>
      </c>
      <c r="F2479" s="2427">
        <v>0</v>
      </c>
      <c r="G2479" s="2429">
        <v>0</v>
      </c>
      <c r="H2479" s="2430">
        <v>0</v>
      </c>
      <c r="I2479" s="2427">
        <v>0</v>
      </c>
      <c r="J2479" s="2431">
        <v>0</v>
      </c>
    </row>
    <row r="2480" spans="1:10" x14ac:dyDescent="0.2">
      <c r="A2480" s="2439" t="s">
        <v>92</v>
      </c>
      <c r="B2480" s="2427">
        <v>630</v>
      </c>
      <c r="C2480" s="2428">
        <v>2215500</v>
      </c>
      <c r="D2480" s="2429">
        <v>1395.7650000000001</v>
      </c>
      <c r="E2480" s="2430">
        <v>3.8433017549156361</v>
      </c>
      <c r="F2480" s="2427">
        <v>2.8588172424161984</v>
      </c>
      <c r="G2480" s="2429">
        <v>4.5249350993329981E-2</v>
      </c>
      <c r="H2480" s="2430">
        <v>1.6382964130938531</v>
      </c>
      <c r="I2480" s="2427">
        <v>1.379507797611317</v>
      </c>
      <c r="J2480" s="2431">
        <v>2.1597713754281177E-2</v>
      </c>
    </row>
    <row r="2481" spans="1:10" x14ac:dyDescent="0.2">
      <c r="A2481" s="2433" t="s">
        <v>281</v>
      </c>
      <c r="B2481" s="2434">
        <v>2630</v>
      </c>
      <c r="C2481" s="2433"/>
      <c r="D2481" s="2435">
        <v>6167.0590000000002</v>
      </c>
      <c r="E2481" s="2436">
        <v>16.044259707028765</v>
      </c>
      <c r="F2481" s="2434">
        <v>11.934427535800957</v>
      </c>
      <c r="G2481" s="2435">
        <v>0.18889808430548866</v>
      </c>
      <c r="H2481" s="2436">
        <v>7.2386616937938424</v>
      </c>
      <c r="I2481" s="2434">
        <v>6.0952280497283216</v>
      </c>
      <c r="J2481" s="2437">
        <v>9.5427507487122504E-2</v>
      </c>
    </row>
    <row r="2482" spans="1:10" x14ac:dyDescent="0.2">
      <c r="A2482" s="2440" t="s">
        <v>106</v>
      </c>
      <c r="B2482" s="2441">
        <v>3126.8</v>
      </c>
      <c r="C2482" s="2440"/>
      <c r="D2482" s="2442">
        <v>7691.0903214999998</v>
      </c>
      <c r="E2482" s="2443">
        <v>19.074977662333669</v>
      </c>
      <c r="F2482" s="2441">
        <v>14.188809132677733</v>
      </c>
      <c r="G2482" s="2442">
        <v>0.2245804296602289</v>
      </c>
      <c r="H2482" s="2443">
        <v>9.027512286448145</v>
      </c>
      <c r="I2482" s="2441">
        <v>7.6015081841443077</v>
      </c>
      <c r="J2482" s="2444">
        <v>0.11900998178209039</v>
      </c>
    </row>
    <row r="2483" spans="1:10" x14ac:dyDescent="0.2">
      <c r="A2483" s="2426" t="s">
        <v>905</v>
      </c>
      <c r="B2483" s="2427">
        <v>0</v>
      </c>
      <c r="C2483" s="2428">
        <v>6100000</v>
      </c>
      <c r="D2483" s="2429">
        <v>0</v>
      </c>
      <c r="E2483" s="2430">
        <v>0</v>
      </c>
      <c r="F2483" s="2427">
        <v>0</v>
      </c>
      <c r="G2483" s="2429">
        <v>0</v>
      </c>
      <c r="H2483" s="2430">
        <v>0</v>
      </c>
      <c r="I2483" s="2427">
        <v>0</v>
      </c>
      <c r="J2483" s="2431">
        <v>0</v>
      </c>
    </row>
    <row r="2484" spans="1:10" x14ac:dyDescent="0.2">
      <c r="A2484" s="2426" t="s">
        <v>906</v>
      </c>
      <c r="B2484" s="2427">
        <v>630</v>
      </c>
      <c r="C2484" s="2428">
        <v>3022000.0000000005</v>
      </c>
      <c r="D2484" s="2429">
        <v>1903.8600000000001</v>
      </c>
      <c r="E2484" s="2430">
        <v>3.8433017549156361</v>
      </c>
      <c r="F2484" s="2427">
        <v>2.8588172424161984</v>
      </c>
      <c r="G2484" s="2429">
        <v>4.5249350993329981E-2</v>
      </c>
      <c r="H2484" s="2430">
        <v>2.2346791967364581</v>
      </c>
      <c r="I2484" s="2427">
        <v>1.8816847503414127</v>
      </c>
      <c r="J2484" s="2431">
        <v>2.945984697153587E-2</v>
      </c>
    </row>
    <row r="2485" spans="1:10" x14ac:dyDescent="0.2">
      <c r="A2485" s="2426" t="s">
        <v>907</v>
      </c>
      <c r="B2485" s="2427">
        <v>0</v>
      </c>
      <c r="C2485" s="2428">
        <v>2324000</v>
      </c>
      <c r="D2485" s="2429">
        <v>0</v>
      </c>
      <c r="E2485" s="2430">
        <v>0</v>
      </c>
      <c r="F2485" s="2427">
        <v>0</v>
      </c>
      <c r="G2485" s="2429">
        <v>0</v>
      </c>
      <c r="H2485" s="2430">
        <v>0</v>
      </c>
      <c r="I2485" s="2427">
        <v>0</v>
      </c>
      <c r="J2485" s="2431">
        <v>0</v>
      </c>
    </row>
    <row r="2486" spans="1:10" x14ac:dyDescent="0.2">
      <c r="A2486" s="2439" t="s">
        <v>908</v>
      </c>
      <c r="B2486" s="2427">
        <v>840</v>
      </c>
      <c r="C2486" s="2428">
        <v>2403999.9999999995</v>
      </c>
      <c r="D2486" s="2429">
        <v>2019.3599999999994</v>
      </c>
      <c r="E2486" s="2430">
        <v>5.1244023398875145</v>
      </c>
      <c r="F2486" s="2427">
        <v>3.8117563232215983</v>
      </c>
      <c r="G2486" s="2429">
        <v>6.0332467991106642E-2</v>
      </c>
      <c r="H2486" s="2430">
        <v>2.3702487487114245</v>
      </c>
      <c r="I2486" s="2427">
        <v>1.9958394616460422</v>
      </c>
      <c r="J2486" s="2431">
        <v>3.1247064689861992E-2</v>
      </c>
    </row>
    <row r="2487" spans="1:10" x14ac:dyDescent="0.2">
      <c r="A2487" s="2440" t="s">
        <v>282</v>
      </c>
      <c r="B2487" s="2441">
        <v>1470</v>
      </c>
      <c r="C2487" s="2440"/>
      <c r="D2487" s="2442">
        <v>3923.2199999999993</v>
      </c>
      <c r="E2487" s="2443">
        <v>8.9677040948031514</v>
      </c>
      <c r="F2487" s="2441">
        <v>6.6705735656377971</v>
      </c>
      <c r="G2487" s="2442">
        <v>0.10558181898443662</v>
      </c>
      <c r="H2487" s="2443">
        <v>4.6049279454478826</v>
      </c>
      <c r="I2487" s="2441">
        <v>3.8775242119874549</v>
      </c>
      <c r="J2487" s="2444">
        <v>6.0706911661397855E-2</v>
      </c>
    </row>
    <row r="2488" spans="1:10" x14ac:dyDescent="0.2">
      <c r="A2488" s="2426" t="s">
        <v>955</v>
      </c>
      <c r="B2488" s="2427">
        <v>187.85550000000001</v>
      </c>
      <c r="C2488" s="2428">
        <v>12137000</v>
      </c>
      <c r="D2488" s="2429">
        <v>2280.0022035000002</v>
      </c>
      <c r="E2488" s="2430">
        <v>1.1460085282865942</v>
      </c>
      <c r="F2488" s="2427">
        <v>0.85245165473447015</v>
      </c>
      <c r="G2488" s="2429">
        <v>1.3492602310361113E-2</v>
      </c>
      <c r="H2488" s="2430">
        <v>2.6761807552418428</v>
      </c>
      <c r="I2488" s="2427">
        <v>2.2534458295624513</v>
      </c>
      <c r="J2488" s="2431">
        <v>3.5280176068552618E-2</v>
      </c>
    </row>
    <row r="2489" spans="1:10" x14ac:dyDescent="0.2">
      <c r="A2489" s="2426" t="s">
        <v>283</v>
      </c>
      <c r="B2489" s="2427">
        <v>2137.902237636873</v>
      </c>
      <c r="C2489" s="2428">
        <v>13024549.999999996</v>
      </c>
      <c r="D2489" s="2429">
        <v>27845.214589213327</v>
      </c>
      <c r="E2489" s="2430">
        <v>13.04222765356803</v>
      </c>
      <c r="F2489" s="2427">
        <v>9.7013837770737545</v>
      </c>
      <c r="G2489" s="2429">
        <v>0.15355347419088322</v>
      </c>
      <c r="H2489" s="2430">
        <v>32.683664645077656</v>
      </c>
      <c r="I2489" s="2427">
        <v>27.520886862745652</v>
      </c>
      <c r="J2489" s="2431">
        <v>0.43086979120723301</v>
      </c>
    </row>
    <row r="2490" spans="1:10" x14ac:dyDescent="0.2">
      <c r="A2490" s="2426" t="s">
        <v>69</v>
      </c>
      <c r="B2490" s="2427">
        <v>1688.6477623631267</v>
      </c>
      <c r="C2490" s="2428">
        <v>14978232.499999994</v>
      </c>
      <c r="D2490" s="2429">
        <v>25292.95879527965</v>
      </c>
      <c r="E2490" s="2430">
        <v>10.301560172261217</v>
      </c>
      <c r="F2490" s="2427">
        <v>7.6627545070019663</v>
      </c>
      <c r="G2490" s="2429">
        <v>0.12128605603693714</v>
      </c>
      <c r="H2490" s="2430">
        <v>29.687922874436072</v>
      </c>
      <c r="I2490" s="2427">
        <v>24.998358522208264</v>
      </c>
      <c r="J2490" s="2431">
        <v>0.39137683210230828</v>
      </c>
    </row>
    <row r="2491" spans="1:10" x14ac:dyDescent="0.2">
      <c r="A2491" s="2426" t="s">
        <v>199</v>
      </c>
      <c r="B2491" s="2427">
        <v>504</v>
      </c>
      <c r="C2491" s="2428">
        <v>3000000</v>
      </c>
      <c r="D2491" s="2429">
        <v>1512</v>
      </c>
      <c r="E2491" s="2430">
        <v>3.074641403932509</v>
      </c>
      <c r="F2491" s="2427">
        <v>2.2870537939329592</v>
      </c>
      <c r="G2491" s="2429">
        <v>3.6199480794663987E-2</v>
      </c>
      <c r="H2491" s="2430">
        <v>1.7747286803995697</v>
      </c>
      <c r="I2491" s="2427">
        <v>1.4943889479878856</v>
      </c>
      <c r="J2491" s="2431">
        <v>2.3396304676269387E-2</v>
      </c>
    </row>
    <row r="2492" spans="1:10" x14ac:dyDescent="0.2">
      <c r="A2492" s="2426" t="s">
        <v>86</v>
      </c>
      <c r="B2492" s="2427">
        <v>840</v>
      </c>
      <c r="C2492" s="2428">
        <v>170000</v>
      </c>
      <c r="D2492" s="2429">
        <v>142.80000000000001</v>
      </c>
      <c r="E2492" s="2430">
        <v>5.1244023398875145</v>
      </c>
      <c r="F2492" s="2427">
        <v>3.8117563232215983</v>
      </c>
      <c r="G2492" s="2429">
        <v>6.0332467991106642E-2</v>
      </c>
      <c r="H2492" s="2430">
        <v>0.1676132642599594</v>
      </c>
      <c r="I2492" s="2427">
        <v>0.14113673397663365</v>
      </c>
      <c r="J2492" s="2431">
        <v>2.2096509972032198E-3</v>
      </c>
    </row>
    <row r="2493" spans="1:10" x14ac:dyDescent="0.2">
      <c r="A2493" s="2439" t="s">
        <v>213</v>
      </c>
      <c r="B2493" s="2427">
        <v>528</v>
      </c>
      <c r="C2493" s="2428">
        <v>1850000.0000000005</v>
      </c>
      <c r="D2493" s="2429">
        <v>976.80000000000018</v>
      </c>
      <c r="E2493" s="2430">
        <v>3.2210528993578667</v>
      </c>
      <c r="F2493" s="2427">
        <v>2.395961117453576</v>
      </c>
      <c r="G2493" s="2429">
        <v>3.7923265594409887E-2</v>
      </c>
      <c r="H2493" s="2430">
        <v>1.1465310681311509</v>
      </c>
      <c r="I2493" s="2427">
        <v>0.96542270131915808</v>
      </c>
      <c r="J2493" s="2431">
        <v>1.5114755560701017E-2</v>
      </c>
    </row>
    <row r="2494" spans="1:10" x14ac:dyDescent="0.2">
      <c r="A2494" s="2433" t="s">
        <v>1834</v>
      </c>
      <c r="B2494" s="2434">
        <v>5886.4054999999998</v>
      </c>
      <c r="C2494" s="2433"/>
      <c r="D2494" s="2435">
        <v>58049.775587992983</v>
      </c>
      <c r="E2494" s="2436">
        <v>35.909892997293738</v>
      </c>
      <c r="F2494" s="2434">
        <v>26.711361173418325</v>
      </c>
      <c r="G2494" s="2435">
        <v>0.42278734691836201</v>
      </c>
      <c r="H2494" s="2436">
        <v>68.136641287546269</v>
      </c>
      <c r="I2494" s="2434">
        <v>57.37363959780005</v>
      </c>
      <c r="J2494" s="2437">
        <v>0.89824751061226771</v>
      </c>
    </row>
    <row r="2495" spans="1:10" x14ac:dyDescent="0.2">
      <c r="A2495" s="2426" t="s">
        <v>961</v>
      </c>
      <c r="B2495" s="2427">
        <v>770.52</v>
      </c>
      <c r="C2495" s="2428">
        <v>3668000</v>
      </c>
      <c r="D2495" s="2429">
        <v>2826.2673599999998</v>
      </c>
      <c r="E2495" s="2430">
        <v>4.7005410606311049</v>
      </c>
      <c r="F2495" s="2427">
        <v>3.4964696216294118</v>
      </c>
      <c r="G2495" s="2429">
        <v>5.5342110995842249E-2</v>
      </c>
      <c r="H2495" s="2430">
        <v>3.3173662316595074</v>
      </c>
      <c r="I2495" s="2427">
        <v>2.7933483510865731</v>
      </c>
      <c r="J2495" s="2431">
        <v>4.3732944610552597E-2</v>
      </c>
    </row>
    <row r="2496" spans="1:10" x14ac:dyDescent="0.2">
      <c r="A2496" s="2426" t="s">
        <v>962</v>
      </c>
      <c r="B2496" s="2427">
        <v>9.9400000000000119</v>
      </c>
      <c r="C2496" s="2428">
        <v>1999999.9999999998</v>
      </c>
      <c r="D2496" s="2429">
        <v>19.880000000000024</v>
      </c>
      <c r="E2496" s="2430">
        <v>6.063876102200233E-2</v>
      </c>
      <c r="F2496" s="2427">
        <v>4.5105783158122296E-2</v>
      </c>
      <c r="G2496" s="2429">
        <v>7.1393420456142937E-4</v>
      </c>
      <c r="H2496" s="2430">
        <v>2.3334395612661037E-2</v>
      </c>
      <c r="I2496" s="2427">
        <v>1.9648447279099999E-2</v>
      </c>
      <c r="J2496" s="2431">
        <v>3.0761808000280159E-4</v>
      </c>
    </row>
    <row r="2497" spans="1:10" x14ac:dyDescent="0.2">
      <c r="A2497" s="2426" t="s">
        <v>963</v>
      </c>
      <c r="B2497" s="2427">
        <v>14.429999999999996</v>
      </c>
      <c r="C2497" s="2428">
        <v>1347999.9999999998</v>
      </c>
      <c r="D2497" s="2429">
        <v>19.451639999999994</v>
      </c>
      <c r="E2497" s="2430">
        <v>8.8029911624496221E-2</v>
      </c>
      <c r="F2497" s="2427">
        <v>6.5480528266771004E-2</v>
      </c>
      <c r="G2497" s="2429">
        <v>1.0364256108472245E-3</v>
      </c>
      <c r="H2497" s="2430">
        <v>2.2831602770375315E-2</v>
      </c>
      <c r="I2497" s="2427">
        <v>1.9225076611269223E-2</v>
      </c>
      <c r="J2497" s="2431">
        <v>3.0098974596105062E-4</v>
      </c>
    </row>
    <row r="2498" spans="1:10" x14ac:dyDescent="0.2">
      <c r="A2498" s="2426" t="s">
        <v>965</v>
      </c>
      <c r="B2498" s="2427">
        <v>484.00000000000006</v>
      </c>
      <c r="C2498" s="2428">
        <v>1599999.9999999995</v>
      </c>
      <c r="D2498" s="2429">
        <v>774.39999999999986</v>
      </c>
      <c r="E2498" s="2430">
        <v>2.9526318244113781</v>
      </c>
      <c r="F2498" s="2427">
        <v>2.1962976909991117</v>
      </c>
      <c r="G2498" s="2429">
        <v>3.47629934615424E-2</v>
      </c>
      <c r="H2498" s="2430">
        <v>0.90896156752739854</v>
      </c>
      <c r="I2498" s="2427">
        <v>0.76538015960437722</v>
      </c>
      <c r="J2498" s="2431">
        <v>1.1982869273348552E-2</v>
      </c>
    </row>
    <row r="2499" spans="1:10" x14ac:dyDescent="0.2">
      <c r="A2499" s="2426" t="s">
        <v>966</v>
      </c>
      <c r="B2499" s="2427">
        <v>0</v>
      </c>
      <c r="C2499" s="2428">
        <v>2244000</v>
      </c>
      <c r="D2499" s="2429">
        <v>0</v>
      </c>
      <c r="E2499" s="2430">
        <v>0</v>
      </c>
      <c r="F2499" s="2427">
        <v>0</v>
      </c>
      <c r="G2499" s="2429">
        <v>0</v>
      </c>
      <c r="H2499" s="2430">
        <v>0</v>
      </c>
      <c r="I2499" s="2427">
        <v>0</v>
      </c>
      <c r="J2499" s="2431">
        <v>0</v>
      </c>
    </row>
    <row r="2500" spans="1:10" x14ac:dyDescent="0.2">
      <c r="A2500" s="2426" t="s">
        <v>1499</v>
      </c>
      <c r="B2500" s="2427">
        <v>9.0000000000000036</v>
      </c>
      <c r="C2500" s="2428">
        <v>4849999.9999999991</v>
      </c>
      <c r="D2500" s="2429">
        <v>43.650000000000006</v>
      </c>
      <c r="E2500" s="2430">
        <v>5.4904310784509108E-2</v>
      </c>
      <c r="F2500" s="2427">
        <v>4.0840246320231428E-2</v>
      </c>
      <c r="G2500" s="2429">
        <v>6.464192999047142E-4</v>
      </c>
      <c r="H2500" s="2430">
        <v>5.1234726785344721E-2</v>
      </c>
      <c r="I2500" s="2427">
        <v>4.3141585700840757E-2</v>
      </c>
      <c r="J2500" s="2431">
        <v>6.7542903380896752E-4</v>
      </c>
    </row>
    <row r="2501" spans="1:10" x14ac:dyDescent="0.2">
      <c r="A2501" s="2426" t="s">
        <v>1575</v>
      </c>
      <c r="B2501" s="2427">
        <v>0</v>
      </c>
      <c r="C2501" s="2428">
        <v>2250000.0000000005</v>
      </c>
      <c r="D2501" s="2429">
        <v>0</v>
      </c>
      <c r="E2501" s="2430">
        <v>0</v>
      </c>
      <c r="F2501" s="2427">
        <v>0</v>
      </c>
      <c r="G2501" s="2429">
        <v>0</v>
      </c>
      <c r="H2501" s="2430">
        <v>0</v>
      </c>
      <c r="I2501" s="2427">
        <v>0</v>
      </c>
      <c r="J2501" s="2431">
        <v>0</v>
      </c>
    </row>
    <row r="2502" spans="1:10" x14ac:dyDescent="0.2">
      <c r="A2502" s="2426" t="s">
        <v>964</v>
      </c>
      <c r="B2502" s="2427">
        <v>0</v>
      </c>
      <c r="C2502" s="2428">
        <v>1556000</v>
      </c>
      <c r="D2502" s="2429">
        <v>0</v>
      </c>
      <c r="E2502" s="2430">
        <v>0</v>
      </c>
      <c r="F2502" s="2427">
        <v>0</v>
      </c>
      <c r="G2502" s="2429">
        <v>0</v>
      </c>
      <c r="H2502" s="2430">
        <v>0</v>
      </c>
      <c r="I2502" s="2427">
        <v>0</v>
      </c>
      <c r="J2502" s="2431">
        <v>0</v>
      </c>
    </row>
    <row r="2503" spans="1:10" x14ac:dyDescent="0.2">
      <c r="A2503" s="2426" t="s">
        <v>969</v>
      </c>
      <c r="B2503" s="2427">
        <v>52.5</v>
      </c>
      <c r="C2503" s="2428">
        <v>4800000</v>
      </c>
      <c r="D2503" s="2429">
        <v>252</v>
      </c>
      <c r="E2503" s="2430">
        <v>0.32027514624296965</v>
      </c>
      <c r="F2503" s="2427">
        <v>0.23823477020134989</v>
      </c>
      <c r="G2503" s="2429">
        <v>3.7707792494441651E-3</v>
      </c>
      <c r="H2503" s="2430">
        <v>0.29578811339992828</v>
      </c>
      <c r="I2503" s="2427">
        <v>0.2490648246646476</v>
      </c>
      <c r="J2503" s="2431">
        <v>3.8993841127115641E-3</v>
      </c>
    </row>
    <row r="2504" spans="1:10" x14ac:dyDescent="0.2">
      <c r="A2504" s="2426" t="s">
        <v>968</v>
      </c>
      <c r="B2504" s="2427">
        <v>53.899999999999984</v>
      </c>
      <c r="C2504" s="2428">
        <v>3050000.0000000009</v>
      </c>
      <c r="D2504" s="2429">
        <v>164.39500000000001</v>
      </c>
      <c r="E2504" s="2430">
        <v>0.32881581680944877</v>
      </c>
      <c r="F2504" s="2427">
        <v>0.24458769740671915</v>
      </c>
      <c r="G2504" s="2429">
        <v>3.8713333627626747E-3</v>
      </c>
      <c r="H2504" s="2430">
        <v>0.19296066231103656</v>
      </c>
      <c r="I2504" s="2427">
        <v>0.1624802057569236</v>
      </c>
      <c r="J2504" s="2431">
        <v>2.5438065524175306E-3</v>
      </c>
    </row>
    <row r="2505" spans="1:10" x14ac:dyDescent="0.2">
      <c r="A2505" s="2426" t="s">
        <v>1013</v>
      </c>
      <c r="B2505" s="2427">
        <v>0</v>
      </c>
      <c r="C2505" s="2428">
        <v>1799999.9999999998</v>
      </c>
      <c r="D2505" s="2429">
        <v>0</v>
      </c>
      <c r="E2505" s="2430">
        <v>0</v>
      </c>
      <c r="F2505" s="2427">
        <v>0</v>
      </c>
      <c r="G2505" s="2429">
        <v>0</v>
      </c>
      <c r="H2505" s="2430">
        <v>0</v>
      </c>
      <c r="I2505" s="2427">
        <v>0</v>
      </c>
      <c r="J2505" s="2431">
        <v>0</v>
      </c>
    </row>
    <row r="2506" spans="1:10" x14ac:dyDescent="0.2">
      <c r="A2506" s="2426" t="s">
        <v>1014</v>
      </c>
      <c r="B2506" s="2427">
        <v>0</v>
      </c>
      <c r="C2506" s="2428">
        <v>2195000.0000000005</v>
      </c>
      <c r="D2506" s="2429">
        <v>0</v>
      </c>
      <c r="E2506" s="2430">
        <v>0</v>
      </c>
      <c r="F2506" s="2427">
        <v>0</v>
      </c>
      <c r="G2506" s="2429">
        <v>0</v>
      </c>
      <c r="H2506" s="2430">
        <v>0</v>
      </c>
      <c r="I2506" s="2427">
        <v>0</v>
      </c>
      <c r="J2506" s="2431">
        <v>0</v>
      </c>
    </row>
    <row r="2507" spans="1:10" x14ac:dyDescent="0.2">
      <c r="A2507" s="2426" t="s">
        <v>970</v>
      </c>
      <c r="B2507" s="2427">
        <v>23.100000000000009</v>
      </c>
      <c r="C2507" s="2428">
        <v>3100000.0000000005</v>
      </c>
      <c r="D2507" s="2429">
        <v>71.610000000000028</v>
      </c>
      <c r="E2507" s="2430">
        <v>0.14092106434690671</v>
      </c>
      <c r="F2507" s="2427">
        <v>0.104823298888594</v>
      </c>
      <c r="G2507" s="2429">
        <v>1.659142869755433E-3</v>
      </c>
      <c r="H2507" s="2430">
        <v>8.4053122224479651E-2</v>
      </c>
      <c r="I2507" s="2427">
        <v>7.0775921008870729E-2</v>
      </c>
      <c r="J2507" s="2431">
        <v>1.1080749853622032E-3</v>
      </c>
    </row>
    <row r="2508" spans="1:10" x14ac:dyDescent="0.2">
      <c r="A2508" s="2426" t="s">
        <v>971</v>
      </c>
      <c r="B2508" s="2427">
        <v>107.79999999999997</v>
      </c>
      <c r="C2508" s="2428">
        <v>3010000</v>
      </c>
      <c r="D2508" s="2429">
        <v>324.47799999999989</v>
      </c>
      <c r="E2508" s="2430">
        <v>0.65763163361889754</v>
      </c>
      <c r="F2508" s="2427">
        <v>0.4891753948134383</v>
      </c>
      <c r="G2508" s="2429">
        <v>7.7426667255253495E-3</v>
      </c>
      <c r="H2508" s="2430">
        <v>0.38086006134834088</v>
      </c>
      <c r="I2508" s="2427">
        <v>0.32069863562514089</v>
      </c>
      <c r="J2508" s="2431">
        <v>5.0208903100175499E-3</v>
      </c>
    </row>
    <row r="2509" spans="1:10" x14ac:dyDescent="0.2">
      <c r="A2509" s="2426" t="s">
        <v>972</v>
      </c>
      <c r="B2509" s="2427">
        <v>865.62</v>
      </c>
      <c r="C2509" s="2428">
        <v>2744000.0000000005</v>
      </c>
      <c r="D2509" s="2429">
        <v>2375.2612800000006</v>
      </c>
      <c r="E2509" s="2430">
        <v>5.2806966112540845</v>
      </c>
      <c r="F2509" s="2427">
        <v>3.9280148910798571</v>
      </c>
      <c r="G2509" s="2429">
        <v>6.2172608264835394E-2</v>
      </c>
      <c r="H2509" s="2430">
        <v>2.7879922731869007</v>
      </c>
      <c r="I2509" s="2427">
        <v>2.3475953739520898</v>
      </c>
      <c r="J2509" s="2431">
        <v>3.6754190868138643E-2</v>
      </c>
    </row>
    <row r="2510" spans="1:10" x14ac:dyDescent="0.2">
      <c r="A2510" s="2426" t="s">
        <v>973</v>
      </c>
      <c r="B2510" s="2427">
        <v>42</v>
      </c>
      <c r="C2510" s="2428">
        <v>2549999.9999999991</v>
      </c>
      <c r="D2510" s="2429">
        <v>107.09999999999995</v>
      </c>
      <c r="E2510" s="2430">
        <v>0.25622011699437575</v>
      </c>
      <c r="F2510" s="2427">
        <v>0.19058781616107992</v>
      </c>
      <c r="G2510" s="2429">
        <v>3.0166233995553319E-3</v>
      </c>
      <c r="H2510" s="2430">
        <v>0.12570994819496945</v>
      </c>
      <c r="I2510" s="2427">
        <v>0.10585255048247519</v>
      </c>
      <c r="J2510" s="2431">
        <v>1.657238247902414E-3</v>
      </c>
    </row>
    <row r="2511" spans="1:10" x14ac:dyDescent="0.2">
      <c r="A2511" s="2426" t="s">
        <v>974</v>
      </c>
      <c r="B2511" s="2427">
        <v>33.600000000000023</v>
      </c>
      <c r="C2511" s="2428">
        <v>1583999.9999999995</v>
      </c>
      <c r="D2511" s="2429">
        <v>53.222400000000022</v>
      </c>
      <c r="E2511" s="2430">
        <v>0.20497609359550073</v>
      </c>
      <c r="F2511" s="2427">
        <v>0.15247025292886404</v>
      </c>
      <c r="G2511" s="2429">
        <v>2.4132987196442668E-3</v>
      </c>
      <c r="H2511" s="2430">
        <v>6.247044955006488E-2</v>
      </c>
      <c r="I2511" s="2427">
        <v>5.260249096917359E-2</v>
      </c>
      <c r="J2511" s="2431">
        <v>8.2354992460468267E-4</v>
      </c>
    </row>
    <row r="2512" spans="1:10" x14ac:dyDescent="0.2">
      <c r="A2512" s="2426" t="s">
        <v>975</v>
      </c>
      <c r="B2512" s="2427">
        <v>0</v>
      </c>
      <c r="C2512" s="2428">
        <v>2532000.0000000009</v>
      </c>
      <c r="D2512" s="2429">
        <v>0</v>
      </c>
      <c r="E2512" s="2430">
        <v>0</v>
      </c>
      <c r="F2512" s="2427">
        <v>0</v>
      </c>
      <c r="G2512" s="2429">
        <v>0</v>
      </c>
      <c r="H2512" s="2430">
        <v>0</v>
      </c>
      <c r="I2512" s="2427">
        <v>0</v>
      </c>
      <c r="J2512" s="2431">
        <v>0</v>
      </c>
    </row>
    <row r="2513" spans="1:10" x14ac:dyDescent="0.2">
      <c r="A2513" s="2426" t="s">
        <v>976</v>
      </c>
      <c r="B2513" s="2427">
        <v>378</v>
      </c>
      <c r="C2513" s="2428">
        <v>7394999.9999999991</v>
      </c>
      <c r="D2513" s="2429">
        <v>2795.3099999999995</v>
      </c>
      <c r="E2513" s="2430">
        <v>2.3059810529493818</v>
      </c>
      <c r="F2513" s="2427">
        <v>1.715290345449719</v>
      </c>
      <c r="G2513" s="2429">
        <v>2.7149610595997985E-2</v>
      </c>
      <c r="H2513" s="2430">
        <v>3.2810296478887038</v>
      </c>
      <c r="I2513" s="2427">
        <v>2.7627515675926033</v>
      </c>
      <c r="J2513" s="2431">
        <v>4.3253918270253017E-2</v>
      </c>
    </row>
    <row r="2514" spans="1:10" x14ac:dyDescent="0.2">
      <c r="A2514" s="2426" t="s">
        <v>286</v>
      </c>
      <c r="B2514" s="2427">
        <v>59.850000000000009</v>
      </c>
      <c r="C2514" s="2428">
        <v>2445000.0000000005</v>
      </c>
      <c r="D2514" s="2429">
        <v>146.33325000000005</v>
      </c>
      <c r="E2514" s="2430">
        <v>0.36511366671698547</v>
      </c>
      <c r="F2514" s="2427">
        <v>0.27158763802953895</v>
      </c>
      <c r="G2514" s="2429">
        <v>4.2986883443663481E-3</v>
      </c>
      <c r="H2514" s="2430">
        <v>0.17176046009992091</v>
      </c>
      <c r="I2514" s="2427">
        <v>0.14462883037245261</v>
      </c>
      <c r="J2514" s="2431">
        <v>2.2643236119501975E-3</v>
      </c>
    </row>
    <row r="2515" spans="1:10" x14ac:dyDescent="0.2">
      <c r="A2515" s="2439" t="s">
        <v>978</v>
      </c>
      <c r="B2515" s="2427">
        <v>3004.69</v>
      </c>
      <c r="C2515" s="2428">
        <v>1850000.0000000002</v>
      </c>
      <c r="D2515" s="2429">
        <v>5558.6765000000014</v>
      </c>
      <c r="E2515" s="2430">
        <v>18.330048174567402</v>
      </c>
      <c r="F2515" s="2427">
        <v>13.634697746215124</v>
      </c>
      <c r="G2515" s="2429">
        <v>0.21580995624785498</v>
      </c>
      <c r="H2515" s="2430">
        <v>6.5245652179980826</v>
      </c>
      <c r="I2515" s="2427">
        <v>5.493931697777767</v>
      </c>
      <c r="J2515" s="2431">
        <v>8.6013550919853687E-2</v>
      </c>
    </row>
    <row r="2516" spans="1:10" x14ac:dyDescent="0.2">
      <c r="A2516" s="2426" t="s">
        <v>1163</v>
      </c>
      <c r="B2516" s="2427">
        <v>0</v>
      </c>
      <c r="C2516" s="2428">
        <v>0</v>
      </c>
      <c r="D2516" s="2429">
        <v>0</v>
      </c>
      <c r="E2516" s="2430">
        <v>0</v>
      </c>
      <c r="F2516" s="2427">
        <v>0</v>
      </c>
      <c r="G2516" s="2429">
        <v>0</v>
      </c>
      <c r="H2516" s="2430">
        <v>0</v>
      </c>
      <c r="I2516" s="2427">
        <v>0</v>
      </c>
      <c r="J2516" s="2431">
        <v>0</v>
      </c>
    </row>
    <row r="2517" spans="1:10" x14ac:dyDescent="0.2">
      <c r="A2517" s="2433" t="s">
        <v>287</v>
      </c>
      <c r="B2517" s="2434">
        <v>5908.95</v>
      </c>
      <c r="C2517" s="2433"/>
      <c r="D2517" s="2435">
        <v>15532.03543</v>
      </c>
      <c r="E2517" s="2436">
        <v>36.047425245569443</v>
      </c>
      <c r="F2517" s="2434">
        <v>26.813663721547933</v>
      </c>
      <c r="G2517" s="2435">
        <v>0.42440659135243991</v>
      </c>
      <c r="H2517" s="2436">
        <v>18.230918480557715</v>
      </c>
      <c r="I2517" s="2434">
        <v>15.351125718484305</v>
      </c>
      <c r="J2517" s="2437">
        <v>0.24033877854688543</v>
      </c>
    </row>
    <row r="2518" spans="1:10" x14ac:dyDescent="0.2">
      <c r="A2518" s="2440" t="s">
        <v>1835</v>
      </c>
      <c r="B2518" s="2441">
        <v>11795.3555</v>
      </c>
      <c r="C2518" s="2440"/>
      <c r="D2518" s="2442">
        <v>73581.811017992979</v>
      </c>
      <c r="E2518" s="2443">
        <v>71.957318242863181</v>
      </c>
      <c r="F2518" s="2441">
        <v>53.525024894966258</v>
      </c>
      <c r="G2518" s="2442">
        <v>0.84719393827080192</v>
      </c>
      <c r="H2518" s="2443">
        <v>86.367559768103973</v>
      </c>
      <c r="I2518" s="2441">
        <v>72.724765316284362</v>
      </c>
      <c r="J2518" s="2444">
        <v>1.1385862891591529</v>
      </c>
    </row>
    <row r="2519" spans="1:10" x14ac:dyDescent="0.2">
      <c r="A2519" s="2445" t="s">
        <v>194</v>
      </c>
      <c r="B2519" s="2446">
        <v>16392.155500000001</v>
      </c>
      <c r="C2519" s="2447"/>
      <c r="D2519" s="2448">
        <v>85196.12133949298</v>
      </c>
      <c r="E2519" s="2449">
        <v>100</v>
      </c>
      <c r="F2519" s="2446">
        <v>74.384407593281793</v>
      </c>
      <c r="G2519" s="2448">
        <v>1.1773561869154676</v>
      </c>
      <c r="H2519" s="2449">
        <v>100</v>
      </c>
      <c r="I2519" s="2446">
        <v>84.203797712416119</v>
      </c>
      <c r="J2519" s="2450">
        <v>1.3183031826026415</v>
      </c>
    </row>
    <row r="2520" spans="1:10" x14ac:dyDescent="0.2">
      <c r="A2520" s="2451" t="s">
        <v>1852</v>
      </c>
      <c r="B2520" s="2427"/>
      <c r="C2520" s="2452"/>
      <c r="D2520" s="2429"/>
      <c r="E2520" s="2430"/>
      <c r="F2520" s="2427">
        <v>0</v>
      </c>
      <c r="G2520" s="2429"/>
      <c r="H2520" s="2430"/>
      <c r="I2520" s="2427">
        <v>0</v>
      </c>
      <c r="J2520" s="2431">
        <v>0</v>
      </c>
    </row>
    <row r="2521" spans="1:10" x14ac:dyDescent="0.2">
      <c r="A2521" s="2453" t="s">
        <v>1836</v>
      </c>
      <c r="B2521" s="2427">
        <v>0</v>
      </c>
      <c r="C2521" s="2428">
        <v>8033612.4975057133</v>
      </c>
      <c r="D2521" s="2429">
        <v>0</v>
      </c>
      <c r="E2521" s="2430">
        <v>0</v>
      </c>
      <c r="F2521" s="2427">
        <v>0</v>
      </c>
      <c r="G2521" s="2429">
        <v>0</v>
      </c>
      <c r="H2521" s="2430">
        <v>0</v>
      </c>
      <c r="I2521" s="2427">
        <v>0</v>
      </c>
      <c r="J2521" s="2431">
        <v>0</v>
      </c>
    </row>
    <row r="2522" spans="1:10" x14ac:dyDescent="0.2">
      <c r="A2522" s="2453" t="s">
        <v>1837</v>
      </c>
      <c r="B2522" s="2427">
        <v>5256</v>
      </c>
      <c r="C2522" s="2428">
        <v>2214764.1578067578</v>
      </c>
      <c r="D2522" s="2429">
        <v>11640.80041343232</v>
      </c>
      <c r="E2522" s="2430">
        <v>96.282252081444213</v>
      </c>
      <c r="F2522" s="2427">
        <v>23.850703851015144</v>
      </c>
      <c r="G2522" s="2429">
        <v>0.377508871144353</v>
      </c>
      <c r="H2522" s="2430">
        <v>85.971782523160684</v>
      </c>
      <c r="I2522" s="2427">
        <v>11.505213944157452</v>
      </c>
      <c r="J2522" s="2431">
        <v>0.18012679441025478</v>
      </c>
    </row>
    <row r="2523" spans="1:10" x14ac:dyDescent="0.2">
      <c r="A2523" s="2454" t="s">
        <v>309</v>
      </c>
      <c r="B2523" s="2434">
        <v>5256</v>
      </c>
      <c r="C2523" s="2433"/>
      <c r="D2523" s="2435">
        <v>11640.80041343232</v>
      </c>
      <c r="E2523" s="2436">
        <v>96.282252081444213</v>
      </c>
      <c r="F2523" s="2434">
        <v>23.850703851015144</v>
      </c>
      <c r="G2523" s="2435">
        <v>0.377508871144353</v>
      </c>
      <c r="H2523" s="2436">
        <v>85.971782523160684</v>
      </c>
      <c r="I2523" s="2434">
        <v>11.505213944157452</v>
      </c>
      <c r="J2523" s="2437">
        <v>0.18012679441025478</v>
      </c>
    </row>
    <row r="2524" spans="1:10" x14ac:dyDescent="0.2">
      <c r="A2524" s="2453" t="s">
        <v>1838</v>
      </c>
      <c r="B2524" s="2427">
        <v>0</v>
      </c>
      <c r="C2524" s="2428">
        <v>10407427.50198495</v>
      </c>
      <c r="D2524" s="2429">
        <v>0</v>
      </c>
      <c r="E2524" s="2430">
        <v>0</v>
      </c>
      <c r="F2524" s="2427">
        <v>0</v>
      </c>
      <c r="G2524" s="2429">
        <v>0</v>
      </c>
      <c r="H2524" s="2430">
        <v>0</v>
      </c>
      <c r="I2524" s="2427">
        <v>0</v>
      </c>
      <c r="J2524" s="2431">
        <v>0</v>
      </c>
    </row>
    <row r="2525" spans="1:10" x14ac:dyDescent="0.2">
      <c r="A2525" s="2454" t="s">
        <v>315</v>
      </c>
      <c r="B2525" s="2434">
        <v>0</v>
      </c>
      <c r="C2525" s="2455"/>
      <c r="D2525" s="2435">
        <v>0</v>
      </c>
      <c r="E2525" s="2436">
        <v>0</v>
      </c>
      <c r="F2525" s="2434">
        <v>0</v>
      </c>
      <c r="G2525" s="2435">
        <v>0</v>
      </c>
      <c r="H2525" s="2436">
        <v>0</v>
      </c>
      <c r="I2525" s="2434">
        <v>0</v>
      </c>
      <c r="J2525" s="2437">
        <v>0</v>
      </c>
    </row>
    <row r="2526" spans="1:10" x14ac:dyDescent="0.2">
      <c r="A2526" s="2453" t="s">
        <v>1541</v>
      </c>
      <c r="B2526" s="2427">
        <v>89.1</v>
      </c>
      <c r="C2526" s="2428">
        <v>10553660</v>
      </c>
      <c r="D2526" s="2429">
        <v>940.33110599999986</v>
      </c>
      <c r="E2526" s="2430">
        <v>1.6321820130244822</v>
      </c>
      <c r="F2526" s="2427">
        <v>0.40431843857029098</v>
      </c>
      <c r="G2526" s="2429">
        <v>6.3995510690566682E-3</v>
      </c>
      <c r="H2526" s="2430">
        <v>6.9447064182555378</v>
      </c>
      <c r="I2526" s="2427">
        <v>0.92937857953414338</v>
      </c>
      <c r="J2526" s="2431">
        <v>1.4550445140574974E-2</v>
      </c>
    </row>
    <row r="2527" spans="1:10" x14ac:dyDescent="0.2">
      <c r="A2527" s="2453" t="s">
        <v>206</v>
      </c>
      <c r="B2527" s="2427">
        <v>108.75</v>
      </c>
      <c r="C2527" s="2428">
        <v>6960000</v>
      </c>
      <c r="D2527" s="2429">
        <v>756.9</v>
      </c>
      <c r="E2527" s="2430">
        <v>1.9921413458632151</v>
      </c>
      <c r="F2527" s="2427">
        <v>0.49348630970279622</v>
      </c>
      <c r="G2527" s="2429">
        <v>7.8108998738486276E-3</v>
      </c>
      <c r="H2527" s="2430">
        <v>5.5899972407991543</v>
      </c>
      <c r="I2527" s="2427">
        <v>0.74808399122488789</v>
      </c>
      <c r="J2527" s="2431">
        <v>1.1712078709965806E-2</v>
      </c>
    </row>
    <row r="2528" spans="1:10" x14ac:dyDescent="0.2">
      <c r="A2528" s="2454" t="s">
        <v>310</v>
      </c>
      <c r="B2528" s="2434">
        <v>197.85</v>
      </c>
      <c r="C2528" s="2455"/>
      <c r="D2528" s="2435">
        <v>1697.2311059999997</v>
      </c>
      <c r="E2528" s="2436">
        <v>3.6243233588876973</v>
      </c>
      <c r="F2528" s="2434">
        <v>0.89780474827308721</v>
      </c>
      <c r="G2528" s="2435">
        <v>1.4210450942905295E-2</v>
      </c>
      <c r="H2528" s="2436">
        <v>12.534703659054692</v>
      </c>
      <c r="I2528" s="2434">
        <v>1.6774625707590312</v>
      </c>
      <c r="J2528" s="2437">
        <v>2.626252385054078E-2</v>
      </c>
    </row>
    <row r="2529" spans="1:10" x14ac:dyDescent="0.2">
      <c r="A2529" s="2453" t="s">
        <v>1839</v>
      </c>
      <c r="B2529" s="2427">
        <v>5.0999999999999996</v>
      </c>
      <c r="C2529" s="2428">
        <v>39652080.629353955</v>
      </c>
      <c r="D2529" s="2429">
        <v>202.22561120970514</v>
      </c>
      <c r="E2529" s="2430">
        <v>9.3424559668068008E-2</v>
      </c>
      <c r="F2529" s="2427">
        <v>2.3142806248131129E-2</v>
      </c>
      <c r="G2529" s="2429">
        <v>3.6630426994600454E-4</v>
      </c>
      <c r="H2529" s="2430">
        <v>1.4935138177846139</v>
      </c>
      <c r="I2529" s="2427">
        <v>0.1998701841216127</v>
      </c>
      <c r="J2529" s="2431">
        <v>3.129187839422658E-3</v>
      </c>
    </row>
    <row r="2530" spans="1:10" x14ac:dyDescent="0.2">
      <c r="A2530" s="2454" t="s">
        <v>311</v>
      </c>
      <c r="B2530" s="2434">
        <v>5.0999999999999996</v>
      </c>
      <c r="C2530" s="2433"/>
      <c r="D2530" s="2435">
        <v>202.22561120970514</v>
      </c>
      <c r="E2530" s="2436">
        <v>9.3424559668068008E-2</v>
      </c>
      <c r="F2530" s="2434">
        <v>2.3142806248131129E-2</v>
      </c>
      <c r="G2530" s="2435">
        <v>3.6630426994600454E-4</v>
      </c>
      <c r="H2530" s="2436">
        <v>1.4935138177846139</v>
      </c>
      <c r="I2530" s="2434">
        <v>0.1998701841216127</v>
      </c>
      <c r="J2530" s="2437">
        <v>3.129187839422658E-3</v>
      </c>
    </row>
    <row r="2531" spans="1:10" x14ac:dyDescent="0.2">
      <c r="A2531" s="2445" t="s">
        <v>129</v>
      </c>
      <c r="B2531" s="2446">
        <v>5458.9500000000007</v>
      </c>
      <c r="C2531" s="2447"/>
      <c r="D2531" s="2448">
        <v>13540.257130642025</v>
      </c>
      <c r="E2531" s="2449">
        <v>99.999999999999972</v>
      </c>
      <c r="F2531" s="2446">
        <v>24.771651405536367</v>
      </c>
      <c r="G2531" s="2448">
        <v>0.39208562635720429</v>
      </c>
      <c r="H2531" s="2449">
        <v>100</v>
      </c>
      <c r="I2531" s="2446">
        <v>13.382546699038098</v>
      </c>
      <c r="J2531" s="2450">
        <v>0.20951850610021819</v>
      </c>
    </row>
    <row r="2532" spans="1:10" x14ac:dyDescent="0.2">
      <c r="A2532" s="2451" t="s">
        <v>1853</v>
      </c>
      <c r="B2532" s="2427"/>
      <c r="C2532" s="2452"/>
      <c r="D2532" s="2429"/>
      <c r="E2532" s="2430"/>
      <c r="F2532" s="2427">
        <v>0</v>
      </c>
      <c r="G2532" s="2429"/>
      <c r="H2532" s="2430"/>
      <c r="I2532" s="2427">
        <v>0</v>
      </c>
      <c r="J2532" s="2431">
        <v>0</v>
      </c>
    </row>
    <row r="2533" spans="1:10" x14ac:dyDescent="0.2">
      <c r="A2533" s="2426" t="s">
        <v>1543</v>
      </c>
      <c r="B2533" s="2427">
        <v>180</v>
      </c>
      <c r="C2533" s="2428">
        <v>13200000</v>
      </c>
      <c r="D2533" s="2429">
        <v>2376</v>
      </c>
      <c r="E2533" s="2430">
        <v>96.784600494676852</v>
      </c>
      <c r="F2533" s="2427">
        <v>0.81680492640462821</v>
      </c>
      <c r="G2533" s="2429">
        <v>1.292838599809428E-2</v>
      </c>
      <c r="H2533" s="2430">
        <v>97.293313132140355</v>
      </c>
      <c r="I2533" s="2427">
        <v>2.3483254896952488</v>
      </c>
      <c r="J2533" s="2431">
        <v>3.6765621634137609E-2</v>
      </c>
    </row>
    <row r="2534" spans="1:10" x14ac:dyDescent="0.2">
      <c r="A2534" s="2426" t="s">
        <v>208</v>
      </c>
      <c r="B2534" s="2427">
        <v>4.4800000000000004</v>
      </c>
      <c r="C2534" s="2428">
        <v>10000000</v>
      </c>
      <c r="D2534" s="2429">
        <v>44.800000000000004</v>
      </c>
      <c r="E2534" s="2430">
        <v>2.4088611678675131</v>
      </c>
      <c r="F2534" s="2427">
        <v>2.0329367057181861E-2</v>
      </c>
      <c r="G2534" s="2429">
        <v>3.2177316261923543E-4</v>
      </c>
      <c r="H2534" s="2430">
        <v>1.8344867122558455</v>
      </c>
      <c r="I2534" s="2427">
        <v>4.4278191051492916E-2</v>
      </c>
      <c r="J2534" s="2431">
        <v>6.9322384225983379E-4</v>
      </c>
    </row>
    <row r="2535" spans="1:10" x14ac:dyDescent="0.2">
      <c r="A2535" s="2426" t="s">
        <v>209</v>
      </c>
      <c r="B2535" s="2427">
        <v>0</v>
      </c>
      <c r="C2535" s="2428">
        <v>10000000</v>
      </c>
      <c r="D2535" s="2429">
        <v>0</v>
      </c>
      <c r="E2535" s="2430">
        <v>0</v>
      </c>
      <c r="F2535" s="2427">
        <v>0</v>
      </c>
      <c r="G2535" s="2429">
        <v>0</v>
      </c>
      <c r="H2535" s="2430">
        <v>0</v>
      </c>
      <c r="I2535" s="2427">
        <v>0</v>
      </c>
      <c r="J2535" s="2431">
        <v>0</v>
      </c>
    </row>
    <row r="2536" spans="1:10" x14ac:dyDescent="0.2">
      <c r="A2536" s="2426" t="s">
        <v>210</v>
      </c>
      <c r="B2536" s="2427">
        <v>0</v>
      </c>
      <c r="C2536" s="2428">
        <v>18500000</v>
      </c>
      <c r="D2536" s="2429">
        <v>0</v>
      </c>
      <c r="E2536" s="2430">
        <v>0</v>
      </c>
      <c r="F2536" s="2427">
        <v>0</v>
      </c>
      <c r="G2536" s="2429">
        <v>0</v>
      </c>
      <c r="H2536" s="2430">
        <v>0</v>
      </c>
      <c r="I2536" s="2427">
        <v>0</v>
      </c>
      <c r="J2536" s="2431">
        <v>0</v>
      </c>
    </row>
    <row r="2537" spans="1:10" x14ac:dyDescent="0.2">
      <c r="A2537" s="2426" t="s">
        <v>1545</v>
      </c>
      <c r="B2537" s="2427">
        <v>1.5</v>
      </c>
      <c r="C2537" s="2428">
        <v>14200000</v>
      </c>
      <c r="D2537" s="2429">
        <v>21.3</v>
      </c>
      <c r="E2537" s="2430">
        <v>0.80653833745564041</v>
      </c>
      <c r="F2537" s="2427">
        <v>6.8067077200385691E-3</v>
      </c>
      <c r="G2537" s="2429">
        <v>1.0773654998411901E-4</v>
      </c>
      <c r="H2537" s="2430">
        <v>0.87220015560378361</v>
      </c>
      <c r="I2537" s="2427">
        <v>2.105190779903569E-2</v>
      </c>
      <c r="J2537" s="2431">
        <v>3.2959080000300128E-4</v>
      </c>
    </row>
    <row r="2538" spans="1:10" x14ac:dyDescent="0.2">
      <c r="A2538" s="2426" t="s">
        <v>1546</v>
      </c>
      <c r="B2538" s="2427">
        <v>0</v>
      </c>
      <c r="C2538" s="2428">
        <v>10000000</v>
      </c>
      <c r="D2538" s="2429">
        <v>0</v>
      </c>
      <c r="E2538" s="2430">
        <v>0</v>
      </c>
      <c r="F2538" s="2427">
        <v>0</v>
      </c>
      <c r="G2538" s="2429">
        <v>0</v>
      </c>
      <c r="H2538" s="2430">
        <v>0</v>
      </c>
      <c r="I2538" s="2427">
        <v>0</v>
      </c>
      <c r="J2538" s="2431">
        <v>0</v>
      </c>
    </row>
    <row r="2539" spans="1:10" x14ac:dyDescent="0.2">
      <c r="A2539" s="2445" t="s">
        <v>121</v>
      </c>
      <c r="B2539" s="2446">
        <v>185.98</v>
      </c>
      <c r="C2539" s="2447"/>
      <c r="D2539" s="2448">
        <v>2442.1000000000004</v>
      </c>
      <c r="E2539" s="2449">
        <v>100</v>
      </c>
      <c r="F2539" s="2446">
        <v>0.84394100118184845</v>
      </c>
      <c r="G2539" s="2448">
        <v>1.3357895710697633E-2</v>
      </c>
      <c r="H2539" s="2449">
        <v>99.999999999999986</v>
      </c>
      <c r="I2539" s="2446">
        <v>2.4136555885457778</v>
      </c>
      <c r="J2539" s="2450">
        <v>3.7788436276400446E-2</v>
      </c>
    </row>
    <row r="2540" spans="1:10" ht="14.25" thickBot="1" x14ac:dyDescent="0.25">
      <c r="A2540" s="2457" t="s">
        <v>1840</v>
      </c>
      <c r="B2540" s="2446">
        <v>22037.085500000001</v>
      </c>
      <c r="C2540" s="2458"/>
      <c r="D2540" s="2448">
        <v>101178.47847013501</v>
      </c>
      <c r="E2540" s="2459"/>
      <c r="F2540" s="2460">
        <v>100.00000000000001</v>
      </c>
      <c r="G2540" s="2461">
        <v>1.5827997089833696</v>
      </c>
      <c r="H2540" s="2462"/>
      <c r="I2540" s="2460">
        <v>100</v>
      </c>
      <c r="J2540" s="2463">
        <v>1.5656101249792602</v>
      </c>
    </row>
    <row r="2541" spans="1:10" ht="15" thickBot="1" x14ac:dyDescent="0.25">
      <c r="A2541" s="2464" t="s">
        <v>1841</v>
      </c>
      <c r="B2541" s="2465">
        <v>1392285.1624830281</v>
      </c>
      <c r="C2541" s="2466"/>
      <c r="D2541" s="2467">
        <v>6462559.0276810033</v>
      </c>
      <c r="E2541" s="2468"/>
      <c r="F2541" s="2469"/>
      <c r="G2541" s="2469"/>
      <c r="H2541" s="2469"/>
      <c r="I2541" s="2469"/>
      <c r="J2541" s="2469"/>
    </row>
    <row r="2542" spans="1:10" ht="16.5" thickBot="1" x14ac:dyDescent="0.3">
      <c r="A2542" s="2470" t="s">
        <v>1842</v>
      </c>
      <c r="B2542" s="2471">
        <v>1.5827997089833692</v>
      </c>
      <c r="C2542" s="2472"/>
      <c r="D2542" s="2473">
        <v>1.5656101249792602</v>
      </c>
      <c r="E2542" s="2468"/>
      <c r="F2542" s="2469"/>
      <c r="G2542" s="2469"/>
      <c r="H2542" s="2469"/>
      <c r="I2542" s="2469"/>
      <c r="J2542" s="2469"/>
    </row>
    <row r="2543" spans="1:10" x14ac:dyDescent="0.2">
      <c r="A2543" s="2474" t="s">
        <v>2023</v>
      </c>
      <c r="B2543" s="2474"/>
      <c r="C2543" s="2474"/>
      <c r="D2543" s="2475"/>
      <c r="E2543" s="2474"/>
      <c r="F2543" s="2474"/>
      <c r="H2543" s="2474"/>
      <c r="I2543" s="2474"/>
      <c r="J2543" s="2474"/>
    </row>
    <row r="2544" spans="1:10" x14ac:dyDescent="0.2">
      <c r="A2544" s="2474" t="s">
        <v>1843</v>
      </c>
      <c r="B2544" s="2474"/>
      <c r="C2544" s="2474"/>
      <c r="D2544" s="2474"/>
      <c r="E2544" s="2474"/>
      <c r="F2544" s="2474"/>
      <c r="G2544" s="2474"/>
      <c r="H2544" s="2474"/>
      <c r="I2544" s="2474"/>
      <c r="J2544" s="2474"/>
    </row>
    <row r="2545" spans="1:10" x14ac:dyDescent="0.2">
      <c r="A2545" s="2474" t="s">
        <v>2024</v>
      </c>
      <c r="B2545" s="2474"/>
      <c r="C2545" s="2474"/>
      <c r="D2545" s="2474"/>
      <c r="E2545" s="2474"/>
      <c r="F2545" s="2474"/>
      <c r="G2545" s="2474"/>
      <c r="H2545" s="2474"/>
      <c r="I2545" s="2474"/>
      <c r="J2545" s="2474"/>
    </row>
    <row r="2549" spans="1:10" ht="13.5" thickBot="1" x14ac:dyDescent="0.25">
      <c r="A2549" s="3321" t="s">
        <v>2021</v>
      </c>
      <c r="B2549" s="3321"/>
      <c r="C2549" s="3321"/>
      <c r="D2549" s="3321"/>
      <c r="E2549" s="3321"/>
      <c r="F2549" s="3321"/>
      <c r="G2549" s="3321"/>
      <c r="H2549" s="3321"/>
      <c r="I2549" s="3321"/>
      <c r="J2549" s="3321"/>
    </row>
    <row r="2550" spans="1:10" ht="13.5" customHeight="1" thickBot="1" x14ac:dyDescent="0.25">
      <c r="A2550" s="3322" t="s">
        <v>384</v>
      </c>
      <c r="B2550" s="3324" t="s">
        <v>1272</v>
      </c>
      <c r="C2550" s="3324" t="s">
        <v>1832</v>
      </c>
      <c r="D2550" s="3326" t="s">
        <v>1844</v>
      </c>
      <c r="E2550" s="3328" t="s">
        <v>1849</v>
      </c>
      <c r="F2550" s="3329"/>
      <c r="G2550" s="3330"/>
      <c r="H2550" s="3328" t="s">
        <v>1850</v>
      </c>
      <c r="I2550" s="3329"/>
      <c r="J2550" s="3331"/>
    </row>
    <row r="2551" spans="1:10" ht="13.5" customHeight="1" thickBot="1" x14ac:dyDescent="0.25">
      <c r="A2551" s="3323"/>
      <c r="B2551" s="3325"/>
      <c r="C2551" s="3325"/>
      <c r="D2551" s="3327"/>
      <c r="E2551" s="2415" t="s">
        <v>1848</v>
      </c>
      <c r="F2551" s="2416" t="s">
        <v>1231</v>
      </c>
      <c r="G2551" s="2417" t="s">
        <v>1833</v>
      </c>
      <c r="H2551" s="2415" t="s">
        <v>1848</v>
      </c>
      <c r="I2551" s="2416" t="s">
        <v>1231</v>
      </c>
      <c r="J2551" s="2418" t="s">
        <v>1833</v>
      </c>
    </row>
    <row r="2552" spans="1:10" x14ac:dyDescent="0.2">
      <c r="A2552" s="2419" t="s">
        <v>1851</v>
      </c>
      <c r="B2552" s="2420"/>
      <c r="C2552" s="2420"/>
      <c r="D2552" s="2421"/>
      <c r="E2552" s="2422"/>
      <c r="F2552" s="2423"/>
      <c r="G2552" s="2424"/>
      <c r="H2552" s="2422"/>
      <c r="I2552" s="2423"/>
      <c r="J2552" s="2425"/>
    </row>
    <row r="2553" spans="1:10" x14ac:dyDescent="0.2">
      <c r="A2553" s="2426" t="s">
        <v>410</v>
      </c>
      <c r="B2553" s="2427">
        <v>0</v>
      </c>
      <c r="C2553" s="2428">
        <v>5667200.0000000009</v>
      </c>
      <c r="D2553" s="2429">
        <v>0</v>
      </c>
      <c r="E2553" s="2430">
        <v>0</v>
      </c>
      <c r="F2553" s="2427">
        <v>0</v>
      </c>
      <c r="G2553" s="2429">
        <v>0</v>
      </c>
      <c r="H2553" s="2430">
        <v>0</v>
      </c>
      <c r="I2553" s="2427">
        <v>0</v>
      </c>
      <c r="J2553" s="2431">
        <v>0</v>
      </c>
    </row>
    <row r="2554" spans="1:10" x14ac:dyDescent="0.2">
      <c r="A2554" s="2426" t="s">
        <v>411</v>
      </c>
      <c r="B2554" s="2427">
        <v>0</v>
      </c>
      <c r="C2554" s="2428">
        <v>1753716.5000000002</v>
      </c>
      <c r="D2554" s="2429">
        <v>0</v>
      </c>
      <c r="E2554" s="2430">
        <v>0</v>
      </c>
      <c r="F2554" s="2427">
        <v>0</v>
      </c>
      <c r="G2554" s="2429">
        <v>0</v>
      </c>
      <c r="H2554" s="2430">
        <v>0</v>
      </c>
      <c r="I2554" s="2427">
        <v>0</v>
      </c>
      <c r="J2554" s="2431">
        <v>0</v>
      </c>
    </row>
    <row r="2555" spans="1:10" x14ac:dyDescent="0.2">
      <c r="A2555" s="2426" t="s">
        <v>278</v>
      </c>
      <c r="B2555" s="2427">
        <v>7312.5999999999995</v>
      </c>
      <c r="C2555" s="2428">
        <v>1637875</v>
      </c>
      <c r="D2555" s="2429">
        <v>11977.124725</v>
      </c>
      <c r="E2555" s="2430">
        <v>10.992591309738888</v>
      </c>
      <c r="F2555" s="2427">
        <v>8.1761205006357791</v>
      </c>
      <c r="G2555" s="2429">
        <v>0.52522286360924564</v>
      </c>
      <c r="H2555" s="2430">
        <v>2.7439861682725124</v>
      </c>
      <c r="I2555" s="2427">
        <v>2.0434533149613809</v>
      </c>
      <c r="J2555" s="2431">
        <v>0.18533099154218199</v>
      </c>
    </row>
    <row r="2556" spans="1:10" x14ac:dyDescent="0.2">
      <c r="A2556" s="2426" t="s">
        <v>200</v>
      </c>
      <c r="B2556" s="2427">
        <v>1884.9</v>
      </c>
      <c r="C2556" s="2428">
        <v>7709114.5</v>
      </c>
      <c r="D2556" s="2429">
        <v>14530.909921050001</v>
      </c>
      <c r="E2556" s="2430">
        <v>2.8334566856831813</v>
      </c>
      <c r="F2556" s="2427">
        <v>2.1074815430419251</v>
      </c>
      <c r="G2556" s="2429">
        <v>0.13538174871004394</v>
      </c>
      <c r="H2556" s="2430">
        <v>3.3290640910291622</v>
      </c>
      <c r="I2556" s="2427">
        <v>2.4791622972411553</v>
      </c>
      <c r="J2556" s="2431">
        <v>0.22484761622771915</v>
      </c>
    </row>
    <row r="2557" spans="1:10" x14ac:dyDescent="0.2">
      <c r="A2557" s="2426" t="s">
        <v>429</v>
      </c>
      <c r="B2557" s="2427">
        <v>0</v>
      </c>
      <c r="C2557" s="2428">
        <v>1255000</v>
      </c>
      <c r="D2557" s="2429">
        <v>0</v>
      </c>
      <c r="E2557" s="2430">
        <v>0</v>
      </c>
      <c r="F2557" s="2427">
        <v>0</v>
      </c>
      <c r="G2557" s="2429">
        <v>0</v>
      </c>
      <c r="H2557" s="2430">
        <v>0</v>
      </c>
      <c r="I2557" s="2427">
        <v>0</v>
      </c>
      <c r="J2557" s="2431">
        <v>0</v>
      </c>
    </row>
    <row r="2558" spans="1:10" x14ac:dyDescent="0.2">
      <c r="A2558" s="2432" t="s">
        <v>431</v>
      </c>
      <c r="B2558" s="2427">
        <v>0</v>
      </c>
      <c r="C2558" s="2428">
        <v>0</v>
      </c>
      <c r="D2558" s="2429">
        <v>0</v>
      </c>
      <c r="E2558" s="2430">
        <v>0</v>
      </c>
      <c r="F2558" s="2427">
        <v>0</v>
      </c>
      <c r="G2558" s="2429">
        <v>0</v>
      </c>
      <c r="H2558" s="2430">
        <v>0</v>
      </c>
      <c r="I2558" s="2427">
        <v>0</v>
      </c>
      <c r="J2558" s="2431">
        <v>0</v>
      </c>
    </row>
    <row r="2559" spans="1:10" x14ac:dyDescent="0.2">
      <c r="A2559" s="2432" t="s">
        <v>430</v>
      </c>
      <c r="B2559" s="2427">
        <v>0</v>
      </c>
      <c r="C2559" s="2428">
        <v>0</v>
      </c>
      <c r="D2559" s="2429">
        <v>0</v>
      </c>
      <c r="E2559" s="2430">
        <v>0</v>
      </c>
      <c r="F2559" s="2427">
        <v>0</v>
      </c>
      <c r="G2559" s="2429">
        <v>0</v>
      </c>
      <c r="H2559" s="2430">
        <v>0</v>
      </c>
      <c r="I2559" s="2427">
        <v>0</v>
      </c>
      <c r="J2559" s="2431">
        <v>0</v>
      </c>
    </row>
    <row r="2560" spans="1:10" x14ac:dyDescent="0.2">
      <c r="A2560" s="2433" t="s">
        <v>279</v>
      </c>
      <c r="B2560" s="2434">
        <v>9197.5</v>
      </c>
      <c r="C2560" s="2433"/>
      <c r="D2560" s="2435">
        <v>26508.03464605</v>
      </c>
      <c r="E2560" s="2436">
        <v>13.826047995422069</v>
      </c>
      <c r="F2560" s="2434">
        <v>10.283602043677705</v>
      </c>
      <c r="G2560" s="2435">
        <v>0.66060461231928969</v>
      </c>
      <c r="H2560" s="2436">
        <v>6.0730502593016746</v>
      </c>
      <c r="I2560" s="2434">
        <v>4.5226156122025367</v>
      </c>
      <c r="J2560" s="2437">
        <v>0.41017860776990117</v>
      </c>
    </row>
    <row r="2561" spans="1:10" x14ac:dyDescent="0.2">
      <c r="A2561" s="2438" t="s">
        <v>412</v>
      </c>
      <c r="B2561" s="2427">
        <v>678.5</v>
      </c>
      <c r="C2561" s="2428">
        <v>4129499.9999999995</v>
      </c>
      <c r="D2561" s="2429">
        <v>2801.8657499999995</v>
      </c>
      <c r="E2561" s="2430">
        <v>1.0199481994991981</v>
      </c>
      <c r="F2561" s="2427">
        <v>0.75862179794893425</v>
      </c>
      <c r="G2561" s="2429">
        <v>4.8732832776149829E-2</v>
      </c>
      <c r="H2561" s="2430">
        <v>0.64191373471369517</v>
      </c>
      <c r="I2561" s="2427">
        <v>0.47803475261165029</v>
      </c>
      <c r="J2561" s="2431">
        <v>4.3355360283732818E-2</v>
      </c>
    </row>
    <row r="2562" spans="1:10" x14ac:dyDescent="0.2">
      <c r="A2562" s="2438" t="s">
        <v>413</v>
      </c>
      <c r="B2562" s="2427">
        <v>414</v>
      </c>
      <c r="C2562" s="2428">
        <v>1200000</v>
      </c>
      <c r="D2562" s="2429">
        <v>496.8</v>
      </c>
      <c r="E2562" s="2430">
        <v>0.62234127427069719</v>
      </c>
      <c r="F2562" s="2427">
        <v>0.46288787671460396</v>
      </c>
      <c r="G2562" s="2429">
        <v>2.9735287795616846E-2</v>
      </c>
      <c r="H2562" s="2430">
        <v>0.11381799552878784</v>
      </c>
      <c r="I2562" s="2427">
        <v>8.476054396877078E-2</v>
      </c>
      <c r="J2562" s="2431">
        <v>7.6873572507742275E-3</v>
      </c>
    </row>
    <row r="2563" spans="1:10" x14ac:dyDescent="0.2">
      <c r="A2563" s="2426" t="s">
        <v>90</v>
      </c>
      <c r="B2563" s="2427">
        <v>21.5</v>
      </c>
      <c r="C2563" s="2428">
        <v>1743000</v>
      </c>
      <c r="D2563" s="2429">
        <v>37.474499999999999</v>
      </c>
      <c r="E2563" s="2430">
        <v>3.2319655547874367E-2</v>
      </c>
      <c r="F2563" s="2427">
        <v>2.4038863162714939E-2</v>
      </c>
      <c r="G2563" s="2429">
        <v>1.5442238831057055E-3</v>
      </c>
      <c r="H2563" s="2430">
        <v>8.5854920963034619E-3</v>
      </c>
      <c r="I2563" s="2427">
        <v>6.3936372885621991E-3</v>
      </c>
      <c r="J2563" s="2431">
        <v>5.798709124278155E-4</v>
      </c>
    </row>
    <row r="2564" spans="1:10" x14ac:dyDescent="0.2">
      <c r="A2564" s="2426" t="s">
        <v>417</v>
      </c>
      <c r="B2564" s="2427">
        <v>453</v>
      </c>
      <c r="C2564" s="2428">
        <v>2563999.9999999995</v>
      </c>
      <c r="D2564" s="2429">
        <v>1161.4919999999997</v>
      </c>
      <c r="E2564" s="2430">
        <v>0.68096762619474838</v>
      </c>
      <c r="F2564" s="2427">
        <v>0.50649325640511011</v>
      </c>
      <c r="G2564" s="2429">
        <v>3.2536438095203936E-2</v>
      </c>
      <c r="H2564" s="2430">
        <v>0.2661004252470266</v>
      </c>
      <c r="I2564" s="2427">
        <v>0.1981656476154901</v>
      </c>
      <c r="J2564" s="2431">
        <v>1.7972632745403092E-2</v>
      </c>
    </row>
    <row r="2565" spans="1:10" x14ac:dyDescent="0.2">
      <c r="A2565" s="2426" t="s">
        <v>418</v>
      </c>
      <c r="B2565" s="2427">
        <v>241</v>
      </c>
      <c r="C2565" s="2428">
        <v>2222500</v>
      </c>
      <c r="D2565" s="2429">
        <v>535.62249999999995</v>
      </c>
      <c r="E2565" s="2430">
        <v>0.36228079009477776</v>
      </c>
      <c r="F2565" s="2427">
        <v>0.26945888475415353</v>
      </c>
      <c r="G2565" s="2429">
        <v>1.7309672364115118E-2</v>
      </c>
      <c r="H2565" s="2430">
        <v>0.12271231745192865</v>
      </c>
      <c r="I2565" s="2427">
        <v>9.1384167596443064E-2</v>
      </c>
      <c r="J2565" s="2431">
        <v>8.2880867734557526E-3</v>
      </c>
    </row>
    <row r="2566" spans="1:10" x14ac:dyDescent="0.2">
      <c r="A2566" s="2426" t="s">
        <v>423</v>
      </c>
      <c r="B2566" s="2427">
        <v>0</v>
      </c>
      <c r="C2566" s="2428">
        <v>2531500</v>
      </c>
      <c r="D2566" s="2429">
        <v>0</v>
      </c>
      <c r="E2566" s="2430">
        <v>0</v>
      </c>
      <c r="F2566" s="2427">
        <v>0</v>
      </c>
      <c r="G2566" s="2429">
        <v>0</v>
      </c>
      <c r="H2566" s="2430">
        <v>0</v>
      </c>
      <c r="I2566" s="2427">
        <v>0</v>
      </c>
      <c r="J2566" s="2431">
        <v>0</v>
      </c>
    </row>
    <row r="2567" spans="1:10" x14ac:dyDescent="0.2">
      <c r="A2567" s="2426" t="s">
        <v>424</v>
      </c>
      <c r="B2567" s="2427">
        <v>0</v>
      </c>
      <c r="C2567" s="2428">
        <v>1369000</v>
      </c>
      <c r="D2567" s="2429">
        <v>0</v>
      </c>
      <c r="E2567" s="2430">
        <v>0</v>
      </c>
      <c r="F2567" s="2427">
        <v>0</v>
      </c>
      <c r="G2567" s="2429">
        <v>0</v>
      </c>
      <c r="H2567" s="2430">
        <v>0</v>
      </c>
      <c r="I2567" s="2427">
        <v>0</v>
      </c>
      <c r="J2567" s="2431">
        <v>0</v>
      </c>
    </row>
    <row r="2568" spans="1:10" x14ac:dyDescent="0.2">
      <c r="A2568" s="2426" t="s">
        <v>280</v>
      </c>
      <c r="B2568" s="2427">
        <v>528</v>
      </c>
      <c r="C2568" s="2428">
        <v>1574500</v>
      </c>
      <c r="D2568" s="2429">
        <v>831.33600000000001</v>
      </c>
      <c r="E2568" s="2430">
        <v>0.79371061066407755</v>
      </c>
      <c r="F2568" s="2427">
        <v>0.59034975580992965</v>
      </c>
      <c r="G2568" s="2429">
        <v>3.7923265594409887E-2</v>
      </c>
      <c r="H2568" s="2430">
        <v>0.19046094430539529</v>
      </c>
      <c r="I2568" s="2427">
        <v>0.14183673828667878</v>
      </c>
      <c r="J2568" s="2431">
        <v>1.2863882502877703E-2</v>
      </c>
    </row>
    <row r="2569" spans="1:10" x14ac:dyDescent="0.2">
      <c r="A2569" s="2426" t="s">
        <v>427</v>
      </c>
      <c r="B2569" s="2427">
        <v>551.5</v>
      </c>
      <c r="C2569" s="2428">
        <v>2072000</v>
      </c>
      <c r="D2569" s="2429">
        <v>1142.7080000000001</v>
      </c>
      <c r="E2569" s="2430">
        <v>0.82903674579780062</v>
      </c>
      <c r="F2569" s="2427">
        <v>0.61662479229010647</v>
      </c>
      <c r="G2569" s="2429">
        <v>3.9611138210827748E-2</v>
      </c>
      <c r="H2569" s="2430">
        <v>0.26179696866890118</v>
      </c>
      <c r="I2569" s="2427">
        <v>0.19496085281293501</v>
      </c>
      <c r="J2569" s="2431">
        <v>1.7681973891541299E-2</v>
      </c>
    </row>
    <row r="2570" spans="1:10" x14ac:dyDescent="0.2">
      <c r="A2570" s="2426" t="s">
        <v>428</v>
      </c>
      <c r="B2570" s="2427">
        <v>0</v>
      </c>
      <c r="C2570" s="2428">
        <v>1326280</v>
      </c>
      <c r="D2570" s="2429">
        <v>0</v>
      </c>
      <c r="E2570" s="2430">
        <v>0</v>
      </c>
      <c r="F2570" s="2427">
        <v>0</v>
      </c>
      <c r="G2570" s="2429">
        <v>0</v>
      </c>
      <c r="H2570" s="2430">
        <v>0</v>
      </c>
      <c r="I2570" s="2427">
        <v>0</v>
      </c>
      <c r="J2570" s="2431">
        <v>0</v>
      </c>
    </row>
    <row r="2571" spans="1:10" x14ac:dyDescent="0.2">
      <c r="A2571" s="2439" t="s">
        <v>92</v>
      </c>
      <c r="B2571" s="2427">
        <v>3930</v>
      </c>
      <c r="C2571" s="2428">
        <v>2215500</v>
      </c>
      <c r="D2571" s="2429">
        <v>8706.9150000000009</v>
      </c>
      <c r="E2571" s="2430">
        <v>5.9077323861928495</v>
      </c>
      <c r="F2571" s="2427">
        <v>4.3940805688125444</v>
      </c>
      <c r="G2571" s="2429">
        <v>0.28226976095839174</v>
      </c>
      <c r="H2571" s="2430">
        <v>1.9947737772534941</v>
      </c>
      <c r="I2571" s="2427">
        <v>1.4855129864932564</v>
      </c>
      <c r="J2571" s="2431">
        <v>0.13472859532432546</v>
      </c>
    </row>
    <row r="2572" spans="1:10" x14ac:dyDescent="0.2">
      <c r="A2572" s="2433" t="s">
        <v>281</v>
      </c>
      <c r="B2572" s="2434">
        <v>6817.5</v>
      </c>
      <c r="C2572" s="2433"/>
      <c r="D2572" s="2435">
        <v>15714.213749999999</v>
      </c>
      <c r="E2572" s="2436">
        <v>10.248337288262023</v>
      </c>
      <c r="F2572" s="2434">
        <v>7.6225557958980978</v>
      </c>
      <c r="G2572" s="2435">
        <v>0.48966261967782088</v>
      </c>
      <c r="H2572" s="2436">
        <v>3.6001616552655316</v>
      </c>
      <c r="I2572" s="2434">
        <v>2.6810493266737865</v>
      </c>
      <c r="J2572" s="2437">
        <v>0.24315775968453815</v>
      </c>
    </row>
    <row r="2573" spans="1:10" x14ac:dyDescent="0.2">
      <c r="A2573" s="2440" t="s">
        <v>106</v>
      </c>
      <c r="B2573" s="2441">
        <v>16015</v>
      </c>
      <c r="C2573" s="2440"/>
      <c r="D2573" s="2442">
        <v>42222.248396049996</v>
      </c>
      <c r="E2573" s="2483">
        <v>24.074385283684094</v>
      </c>
      <c r="F2573" s="2484">
        <v>17.906157839575805</v>
      </c>
      <c r="G2573" s="2442">
        <v>1.1502672319971106</v>
      </c>
      <c r="H2573" s="2483">
        <v>9.6732119145672062</v>
      </c>
      <c r="I2573" s="2484">
        <v>7.2036649388763223</v>
      </c>
      <c r="J2573" s="2444">
        <v>0.65333636745443924</v>
      </c>
    </row>
    <row r="2574" spans="1:10" x14ac:dyDescent="0.2">
      <c r="A2574" s="2426" t="s">
        <v>905</v>
      </c>
      <c r="B2574" s="2427">
        <v>0</v>
      </c>
      <c r="C2574" s="2428">
        <v>6100000</v>
      </c>
      <c r="D2574" s="2429">
        <v>0</v>
      </c>
      <c r="E2574" s="2430">
        <v>0</v>
      </c>
      <c r="F2574" s="2427">
        <v>0</v>
      </c>
      <c r="G2574" s="2429">
        <v>0</v>
      </c>
      <c r="H2574" s="2430">
        <v>0</v>
      </c>
      <c r="I2574" s="2427">
        <v>0</v>
      </c>
      <c r="J2574" s="2431">
        <v>0</v>
      </c>
    </row>
    <row r="2575" spans="1:10" x14ac:dyDescent="0.2">
      <c r="A2575" s="2426" t="s">
        <v>906</v>
      </c>
      <c r="B2575" s="2427">
        <v>385</v>
      </c>
      <c r="C2575" s="2428">
        <v>3022000.0000000005</v>
      </c>
      <c r="D2575" s="2429">
        <v>1163.4700000000003</v>
      </c>
      <c r="E2575" s="2430">
        <v>0.57874732027588982</v>
      </c>
      <c r="F2575" s="2427">
        <v>0.43046336361140708</v>
      </c>
      <c r="G2575" s="2429">
        <v>2.7652381162590542E-2</v>
      </c>
      <c r="H2575" s="2430">
        <v>0.2665535894884839</v>
      </c>
      <c r="I2575" s="2427">
        <v>0.19850312015166216</v>
      </c>
      <c r="J2575" s="2431">
        <v>1.8003239815938592E-2</v>
      </c>
    </row>
    <row r="2576" spans="1:10" x14ac:dyDescent="0.2">
      <c r="A2576" s="2426" t="s">
        <v>907</v>
      </c>
      <c r="B2576" s="2427">
        <v>325</v>
      </c>
      <c r="C2576" s="2428">
        <v>2324000</v>
      </c>
      <c r="D2576" s="2429">
        <v>755.3</v>
      </c>
      <c r="E2576" s="2430">
        <v>0.48855293270042655</v>
      </c>
      <c r="F2576" s="2427">
        <v>0.36337816408755141</v>
      </c>
      <c r="G2576" s="2429">
        <v>2.3342919163225784E-2</v>
      </c>
      <c r="H2576" s="2430">
        <v>0.17304092597200776</v>
      </c>
      <c r="I2576" s="2427">
        <v>0.12886400736636988</v>
      </c>
      <c r="J2576" s="2431">
        <v>1.1687320715599383E-2</v>
      </c>
    </row>
    <row r="2577" spans="1:10" x14ac:dyDescent="0.2">
      <c r="A2577" s="2439" t="s">
        <v>908</v>
      </c>
      <c r="B2577" s="2427">
        <v>3255</v>
      </c>
      <c r="C2577" s="2428">
        <v>2403999.9999999995</v>
      </c>
      <c r="D2577" s="2429">
        <v>7825.0199999999977</v>
      </c>
      <c r="E2577" s="2430">
        <v>4.893045525968887</v>
      </c>
      <c r="F2577" s="2427">
        <v>3.6393720741691684</v>
      </c>
      <c r="G2577" s="2429">
        <v>0.23378831346553822</v>
      </c>
      <c r="H2577" s="2430">
        <v>1.7927296525214877</v>
      </c>
      <c r="I2577" s="2427">
        <v>1.3350502249728473</v>
      </c>
      <c r="J2577" s="2431">
        <v>0.12108237567321521</v>
      </c>
    </row>
    <row r="2578" spans="1:10" x14ac:dyDescent="0.2">
      <c r="A2578" s="2440" t="s">
        <v>282</v>
      </c>
      <c r="B2578" s="2441">
        <v>3965</v>
      </c>
      <c r="C2578" s="2440"/>
      <c r="D2578" s="2442">
        <v>9743.7899999999972</v>
      </c>
      <c r="E2578" s="2483">
        <v>5.9603457789452028</v>
      </c>
      <c r="F2578" s="2484">
        <v>4.4332136018681272</v>
      </c>
      <c r="G2578" s="2442">
        <v>0.28478361379135453</v>
      </c>
      <c r="H2578" s="2483">
        <v>2.2323241679819796</v>
      </c>
      <c r="I2578" s="2484">
        <v>1.662417352490879</v>
      </c>
      <c r="J2578" s="2444">
        <v>0.15077293620475318</v>
      </c>
    </row>
    <row r="2579" spans="1:10" x14ac:dyDescent="0.2">
      <c r="A2579" s="2426" t="s">
        <v>955</v>
      </c>
      <c r="B2579" s="2427">
        <v>39.376200000000004</v>
      </c>
      <c r="C2579" s="2428">
        <v>12137000</v>
      </c>
      <c r="D2579" s="2429">
        <v>477.90893940000001</v>
      </c>
      <c r="E2579" s="2430">
        <v>5.9191870734149339E-2</v>
      </c>
      <c r="F2579" s="2427">
        <v>4.4026003891520747E-2</v>
      </c>
      <c r="G2579" s="2429">
        <v>2.8281706263231111E-3</v>
      </c>
      <c r="H2579" s="2430">
        <v>0.10949001112680543</v>
      </c>
      <c r="I2579" s="2427">
        <v>8.1537483234867772E-2</v>
      </c>
      <c r="J2579" s="2431">
        <v>7.3950417683301337E-3</v>
      </c>
    </row>
    <row r="2580" spans="1:10" x14ac:dyDescent="0.2">
      <c r="A2580" s="2426" t="s">
        <v>283</v>
      </c>
      <c r="B2580" s="2427">
        <v>13157.170689857523</v>
      </c>
      <c r="C2580" s="2428">
        <v>13024549.999999996</v>
      </c>
      <c r="D2580" s="2429">
        <v>171366.22750858375</v>
      </c>
      <c r="E2580" s="2430">
        <v>19.778382543292267</v>
      </c>
      <c r="F2580" s="2427">
        <v>14.710857014975289</v>
      </c>
      <c r="G2580" s="2429">
        <v>0.94500545178494688</v>
      </c>
      <c r="H2580" s="2430">
        <v>39.260387512796349</v>
      </c>
      <c r="I2580" s="2427">
        <v>29.237308094814185</v>
      </c>
      <c r="J2580" s="2431">
        <v>2.6516775595328843</v>
      </c>
    </row>
    <row r="2581" spans="1:10" x14ac:dyDescent="0.2">
      <c r="A2581" s="2426" t="s">
        <v>69</v>
      </c>
      <c r="B2581" s="2427">
        <v>10392.349310142481</v>
      </c>
      <c r="C2581" s="2428">
        <v>14978232.499999994</v>
      </c>
      <c r="D2581" s="2429">
        <v>155659.02418852862</v>
      </c>
      <c r="E2581" s="2430">
        <v>15.622193024976502</v>
      </c>
      <c r="F2581" s="2427">
        <v>11.619547116541865</v>
      </c>
      <c r="G2581" s="2429">
        <v>0.74642390726972663</v>
      </c>
      <c r="H2581" s="2430">
        <v>35.661831962772602</v>
      </c>
      <c r="I2581" s="2427">
        <v>26.557454838703165</v>
      </c>
      <c r="J2581" s="2431">
        <v>2.4086282774640222</v>
      </c>
    </row>
    <row r="2582" spans="1:10" x14ac:dyDescent="0.2">
      <c r="A2582" s="2426" t="s">
        <v>199</v>
      </c>
      <c r="B2582" s="2427">
        <v>768</v>
      </c>
      <c r="C2582" s="2428">
        <v>3000000</v>
      </c>
      <c r="D2582" s="2429">
        <v>2304</v>
      </c>
      <c r="E2582" s="2430">
        <v>1.154488160965931</v>
      </c>
      <c r="F2582" s="2427">
        <v>0.85869055390535232</v>
      </c>
      <c r="G2582" s="2429">
        <v>5.5161113591868934E-2</v>
      </c>
      <c r="H2582" s="2430">
        <v>0.52785157346684219</v>
      </c>
      <c r="I2582" s="2427">
        <v>0.39309237782618328</v>
      </c>
      <c r="J2582" s="2431">
        <v>3.565151188764859E-2</v>
      </c>
    </row>
    <row r="2583" spans="1:10" x14ac:dyDescent="0.2">
      <c r="A2583" s="2426" t="s">
        <v>86</v>
      </c>
      <c r="B2583" s="2427">
        <v>960</v>
      </c>
      <c r="C2583" s="2428">
        <v>170000</v>
      </c>
      <c r="D2583" s="2429">
        <v>163.19999999999999</v>
      </c>
      <c r="E2583" s="2430">
        <v>1.4431102012074137</v>
      </c>
      <c r="F2583" s="2427">
        <v>1.0733631923816904</v>
      </c>
      <c r="G2583" s="2429">
        <v>6.8951391989836158E-2</v>
      </c>
      <c r="H2583" s="2430">
        <v>3.7389486453901319E-2</v>
      </c>
      <c r="I2583" s="2427">
        <v>2.7844043429354648E-2</v>
      </c>
      <c r="J2583" s="2431">
        <v>2.5253154253751082E-3</v>
      </c>
    </row>
    <row r="2584" spans="1:10" x14ac:dyDescent="0.2">
      <c r="A2584" s="2439" t="s">
        <v>213</v>
      </c>
      <c r="B2584" s="2427">
        <v>9183.75</v>
      </c>
      <c r="C2584" s="2428">
        <v>1850000.0000000005</v>
      </c>
      <c r="D2584" s="2429">
        <v>16989.937500000004</v>
      </c>
      <c r="E2584" s="2430">
        <v>13.805378448269359</v>
      </c>
      <c r="F2584" s="2427">
        <v>10.268228352120156</v>
      </c>
      <c r="G2584" s="2429">
        <v>0.65961702727776861</v>
      </c>
      <c r="H2584" s="2430">
        <v>3.892432830936766</v>
      </c>
      <c r="I2584" s="2427">
        <v>2.8987043971324833</v>
      </c>
      <c r="J2584" s="2431">
        <v>0.26289798556929544</v>
      </c>
    </row>
    <row r="2585" spans="1:10" x14ac:dyDescent="0.2">
      <c r="A2585" s="2433" t="s">
        <v>1834</v>
      </c>
      <c r="B2585" s="2434">
        <v>34500.646200000003</v>
      </c>
      <c r="C2585" s="2433"/>
      <c r="D2585" s="2435">
        <v>346960.29813651234</v>
      </c>
      <c r="E2585" s="2436">
        <v>51.862744249445626</v>
      </c>
      <c r="F2585" s="2434">
        <v>38.574712233815873</v>
      </c>
      <c r="G2585" s="2435">
        <v>2.4779870625404703</v>
      </c>
      <c r="H2585" s="2436">
        <v>79.489383377553253</v>
      </c>
      <c r="I2585" s="2434">
        <v>59.195941235140239</v>
      </c>
      <c r="J2585" s="2437">
        <v>5.3687756916475555</v>
      </c>
    </row>
    <row r="2586" spans="1:10" x14ac:dyDescent="0.2">
      <c r="A2586" s="2426" t="s">
        <v>961</v>
      </c>
      <c r="B2586" s="2427">
        <v>5794.96</v>
      </c>
      <c r="C2586" s="2428">
        <v>3668000</v>
      </c>
      <c r="D2586" s="2429">
        <v>21255.913280000001</v>
      </c>
      <c r="E2586" s="2430">
        <v>8.7112144704051175</v>
      </c>
      <c r="F2586" s="2427">
        <v>6.479267463879375</v>
      </c>
      <c r="G2586" s="2429">
        <v>0.41621933179731346</v>
      </c>
      <c r="H2586" s="2430">
        <v>4.8697774610775806</v>
      </c>
      <c r="I2586" s="2427">
        <v>3.6265353707041439</v>
      </c>
      <c r="J2586" s="2431">
        <v>0.32890861327463</v>
      </c>
    </row>
    <row r="2587" spans="1:10" x14ac:dyDescent="0.2">
      <c r="A2587" s="2426" t="s">
        <v>962</v>
      </c>
      <c r="B2587" s="2427">
        <v>0</v>
      </c>
      <c r="C2587" s="2428">
        <v>1999999.9999999998</v>
      </c>
      <c r="D2587" s="2429">
        <v>0</v>
      </c>
      <c r="E2587" s="2430">
        <v>0</v>
      </c>
      <c r="F2587" s="2427">
        <v>0</v>
      </c>
      <c r="G2587" s="2429">
        <v>0</v>
      </c>
      <c r="H2587" s="2430">
        <v>0</v>
      </c>
      <c r="I2587" s="2427">
        <v>0</v>
      </c>
      <c r="J2587" s="2431">
        <v>0</v>
      </c>
    </row>
    <row r="2588" spans="1:10" x14ac:dyDescent="0.2">
      <c r="A2588" s="2426" t="s">
        <v>963</v>
      </c>
      <c r="B2588" s="2427">
        <v>1114.7</v>
      </c>
      <c r="C2588" s="2428">
        <v>1347999.9999999998</v>
      </c>
      <c r="D2588" s="2429">
        <v>1502.6155999999999</v>
      </c>
      <c r="E2588" s="2430">
        <v>1.6756613971728167</v>
      </c>
      <c r="F2588" s="2427">
        <v>1.2463311984873648</v>
      </c>
      <c r="G2588" s="2429">
        <v>8.0062621511531637E-2</v>
      </c>
      <c r="H2588" s="2430">
        <v>0.34425260797561763</v>
      </c>
      <c r="I2588" s="2427">
        <v>0.25636577220604034</v>
      </c>
      <c r="J2588" s="2431">
        <v>2.3251092849811725E-2</v>
      </c>
    </row>
    <row r="2589" spans="1:10" x14ac:dyDescent="0.2">
      <c r="A2589" s="2426" t="s">
        <v>965</v>
      </c>
      <c r="B2589" s="2427">
        <v>892</v>
      </c>
      <c r="C2589" s="2428">
        <v>1599999.9999999995</v>
      </c>
      <c r="D2589" s="2429">
        <v>1427.1999999999996</v>
      </c>
      <c r="E2589" s="2430">
        <v>1.3408898952885553</v>
      </c>
      <c r="F2589" s="2427">
        <v>0.99733329958798733</v>
      </c>
      <c r="G2589" s="2429">
        <v>6.4067335057222757E-2</v>
      </c>
      <c r="H2589" s="2430">
        <v>0.32697472467529382</v>
      </c>
      <c r="I2589" s="2427">
        <v>0.24349888959788571</v>
      </c>
      <c r="J2589" s="2431">
        <v>2.2084130974848983E-2</v>
      </c>
    </row>
    <row r="2590" spans="1:10" x14ac:dyDescent="0.2">
      <c r="A2590" s="2426" t="s">
        <v>966</v>
      </c>
      <c r="B2590" s="2427">
        <v>0</v>
      </c>
      <c r="C2590" s="2428">
        <v>2244000</v>
      </c>
      <c r="D2590" s="2429">
        <v>0</v>
      </c>
      <c r="E2590" s="2430">
        <v>0</v>
      </c>
      <c r="F2590" s="2427">
        <v>0</v>
      </c>
      <c r="G2590" s="2429">
        <v>0</v>
      </c>
      <c r="H2590" s="2430">
        <v>0</v>
      </c>
      <c r="I2590" s="2427">
        <v>0</v>
      </c>
      <c r="J2590" s="2431">
        <v>0</v>
      </c>
    </row>
    <row r="2591" spans="1:10" x14ac:dyDescent="0.2">
      <c r="A2591" s="2426" t="s">
        <v>1499</v>
      </c>
      <c r="B2591" s="2427">
        <v>0</v>
      </c>
      <c r="C2591" s="2428">
        <v>4849999.9999999991</v>
      </c>
      <c r="D2591" s="2429">
        <v>0</v>
      </c>
      <c r="E2591" s="2430">
        <v>0</v>
      </c>
      <c r="F2591" s="2427">
        <v>0</v>
      </c>
      <c r="G2591" s="2429">
        <v>0</v>
      </c>
      <c r="H2591" s="2430">
        <v>0</v>
      </c>
      <c r="I2591" s="2427">
        <v>0</v>
      </c>
      <c r="J2591" s="2431">
        <v>0</v>
      </c>
    </row>
    <row r="2592" spans="1:10" x14ac:dyDescent="0.2">
      <c r="A2592" s="2426" t="s">
        <v>1575</v>
      </c>
      <c r="B2592" s="2427">
        <v>0</v>
      </c>
      <c r="C2592" s="2428">
        <v>2250000.0000000005</v>
      </c>
      <c r="D2592" s="2429">
        <v>0</v>
      </c>
      <c r="E2592" s="2430">
        <v>0</v>
      </c>
      <c r="F2592" s="2427">
        <v>0</v>
      </c>
      <c r="G2592" s="2429">
        <v>0</v>
      </c>
      <c r="H2592" s="2430">
        <v>0</v>
      </c>
      <c r="I2592" s="2427">
        <v>0</v>
      </c>
      <c r="J2592" s="2431">
        <v>0</v>
      </c>
    </row>
    <row r="2593" spans="1:10" x14ac:dyDescent="0.2">
      <c r="A2593" s="2426" t="s">
        <v>964</v>
      </c>
      <c r="B2593" s="2427">
        <v>30</v>
      </c>
      <c r="C2593" s="2428">
        <v>1556000</v>
      </c>
      <c r="D2593" s="2429">
        <v>46.68</v>
      </c>
      <c r="E2593" s="2430">
        <v>4.5097193787731679E-2</v>
      </c>
      <c r="F2593" s="2427">
        <v>3.3542599761927826E-2</v>
      </c>
      <c r="G2593" s="2429">
        <v>2.1547309996823799E-3</v>
      </c>
      <c r="H2593" s="2430">
        <v>1.0694492816593832E-2</v>
      </c>
      <c r="I2593" s="2427">
        <v>7.9642153632492347E-3</v>
      </c>
      <c r="J2593" s="2431">
        <v>7.2231448564038028E-4</v>
      </c>
    </row>
    <row r="2594" spans="1:10" x14ac:dyDescent="0.2">
      <c r="A2594" s="2426" t="s">
        <v>969</v>
      </c>
      <c r="B2594" s="2427">
        <v>57.000000000000014</v>
      </c>
      <c r="C2594" s="2428">
        <v>4800000</v>
      </c>
      <c r="D2594" s="2429">
        <v>273.60000000000008</v>
      </c>
      <c r="E2594" s="2430">
        <v>8.5684668196690211E-2</v>
      </c>
      <c r="F2594" s="2427">
        <v>6.3730939547662874E-2</v>
      </c>
      <c r="G2594" s="2429">
        <v>4.0939888993965232E-3</v>
      </c>
      <c r="H2594" s="2430">
        <v>6.2682374349187525E-2</v>
      </c>
      <c r="I2594" s="2427">
        <v>4.667971986685928E-2</v>
      </c>
      <c r="J2594" s="2431">
        <v>4.2336170366582713E-3</v>
      </c>
    </row>
    <row r="2595" spans="1:10" x14ac:dyDescent="0.2">
      <c r="A2595" s="2426" t="s">
        <v>968</v>
      </c>
      <c r="B2595" s="2427">
        <v>262.89999999999998</v>
      </c>
      <c r="C2595" s="2428">
        <v>3050000.0000000009</v>
      </c>
      <c r="D2595" s="2429">
        <v>801.84500000000014</v>
      </c>
      <c r="E2595" s="2430">
        <v>0.39520174155982185</v>
      </c>
      <c r="F2595" s="2427">
        <v>0.29394498258036078</v>
      </c>
      <c r="G2595" s="2429">
        <v>1.8882625993883254E-2</v>
      </c>
      <c r="H2595" s="2430">
        <v>0.18370448998546882</v>
      </c>
      <c r="I2595" s="2427">
        <v>0.13680518997310592</v>
      </c>
      <c r="J2595" s="2431">
        <v>1.2407546245465098E-2</v>
      </c>
    </row>
    <row r="2596" spans="1:10" x14ac:dyDescent="0.2">
      <c r="A2596" s="2426" t="s">
        <v>1013</v>
      </c>
      <c r="B2596" s="2427">
        <v>345.59999999999997</v>
      </c>
      <c r="C2596" s="2428">
        <v>1799999.9999999998</v>
      </c>
      <c r="D2596" s="2429">
        <v>622.07999999999993</v>
      </c>
      <c r="E2596" s="2430">
        <v>0.5195196724346689</v>
      </c>
      <c r="F2596" s="2427">
        <v>0.38641074925740848</v>
      </c>
      <c r="G2596" s="2429">
        <v>2.4822501116341013E-2</v>
      </c>
      <c r="H2596" s="2430">
        <v>0.14251992483604736</v>
      </c>
      <c r="I2596" s="2427">
        <v>0.10613494201306949</v>
      </c>
      <c r="J2596" s="2431">
        <v>9.6259082096651176E-3</v>
      </c>
    </row>
    <row r="2597" spans="1:10" x14ac:dyDescent="0.2">
      <c r="A2597" s="2426" t="s">
        <v>1014</v>
      </c>
      <c r="B2597" s="2427">
        <v>0</v>
      </c>
      <c r="C2597" s="2428">
        <v>2195000.0000000005</v>
      </c>
      <c r="D2597" s="2429">
        <v>0</v>
      </c>
      <c r="E2597" s="2430">
        <v>0</v>
      </c>
      <c r="F2597" s="2427">
        <v>0</v>
      </c>
      <c r="G2597" s="2429">
        <v>0</v>
      </c>
      <c r="H2597" s="2430">
        <v>0</v>
      </c>
      <c r="I2597" s="2427">
        <v>0</v>
      </c>
      <c r="J2597" s="2431">
        <v>0</v>
      </c>
    </row>
    <row r="2598" spans="1:10" x14ac:dyDescent="0.2">
      <c r="A2598" s="2426" t="s">
        <v>970</v>
      </c>
      <c r="B2598" s="2427">
        <v>1682.4</v>
      </c>
      <c r="C2598" s="2428">
        <v>3100000.0000000005</v>
      </c>
      <c r="D2598" s="2429">
        <v>5215.4400000000005</v>
      </c>
      <c r="E2598" s="2430">
        <v>2.5290506276159928</v>
      </c>
      <c r="F2598" s="2427">
        <v>1.8810689946489125</v>
      </c>
      <c r="G2598" s="2429">
        <v>0.12083731446218787</v>
      </c>
      <c r="H2598" s="2430">
        <v>1.1948690148966612</v>
      </c>
      <c r="I2598" s="2427">
        <v>0.88982192318133224</v>
      </c>
      <c r="J2598" s="2431">
        <v>8.0702396336509538E-2</v>
      </c>
    </row>
    <row r="2599" spans="1:10" x14ac:dyDescent="0.2">
      <c r="A2599" s="2426" t="s">
        <v>971</v>
      </c>
      <c r="B2599" s="2427">
        <v>0</v>
      </c>
      <c r="C2599" s="2428">
        <v>3010000</v>
      </c>
      <c r="D2599" s="2429">
        <v>0</v>
      </c>
      <c r="E2599" s="2430">
        <v>0</v>
      </c>
      <c r="F2599" s="2427">
        <v>0</v>
      </c>
      <c r="G2599" s="2429">
        <v>0</v>
      </c>
      <c r="H2599" s="2430">
        <v>0</v>
      </c>
      <c r="I2599" s="2427">
        <v>0</v>
      </c>
      <c r="J2599" s="2431">
        <v>0</v>
      </c>
    </row>
    <row r="2600" spans="1:10" x14ac:dyDescent="0.2">
      <c r="A2600" s="2426" t="s">
        <v>972</v>
      </c>
      <c r="B2600" s="2427">
        <v>72</v>
      </c>
      <c r="C2600" s="2428">
        <v>2744000.0000000005</v>
      </c>
      <c r="D2600" s="2429">
        <v>197.56800000000004</v>
      </c>
      <c r="E2600" s="2430">
        <v>0.10823326509055602</v>
      </c>
      <c r="F2600" s="2427">
        <v>8.0502239428626776E-2</v>
      </c>
      <c r="G2600" s="2429">
        <v>5.1713543992377119E-3</v>
      </c>
      <c r="H2600" s="2430">
        <v>4.5263272424781724E-2</v>
      </c>
      <c r="I2600" s="2427">
        <v>3.3707671398595221E-2</v>
      </c>
      <c r="J2600" s="2431">
        <v>3.0571171443658672E-3</v>
      </c>
    </row>
    <row r="2601" spans="1:10" x14ac:dyDescent="0.2">
      <c r="A2601" s="2426" t="s">
        <v>973</v>
      </c>
      <c r="B2601" s="2427">
        <v>444.78</v>
      </c>
      <c r="C2601" s="2428">
        <v>2549999.9999999991</v>
      </c>
      <c r="D2601" s="2429">
        <v>1134.1889999999996</v>
      </c>
      <c r="E2601" s="2430">
        <v>0.6686109950969098</v>
      </c>
      <c r="F2601" s="2427">
        <v>0.49730258407034189</v>
      </c>
      <c r="G2601" s="2429">
        <v>3.1946041801290966E-2</v>
      </c>
      <c r="H2601" s="2430">
        <v>0.25984524664009723</v>
      </c>
      <c r="I2601" s="2427">
        <v>0.19350740057044308</v>
      </c>
      <c r="J2601" s="2431">
        <v>1.7550153045286569E-2</v>
      </c>
    </row>
    <row r="2602" spans="1:10" x14ac:dyDescent="0.2">
      <c r="A2602" s="2426" t="s">
        <v>974</v>
      </c>
      <c r="B2602" s="2427">
        <v>300</v>
      </c>
      <c r="C2602" s="2428">
        <v>1583999.9999999995</v>
      </c>
      <c r="D2602" s="2429">
        <v>475.19999999999987</v>
      </c>
      <c r="E2602" s="2430">
        <v>0.45097193787731682</v>
      </c>
      <c r="F2602" s="2427">
        <v>0.33542599761927822</v>
      </c>
      <c r="G2602" s="2429">
        <v>2.1547309996823798E-2</v>
      </c>
      <c r="H2602" s="2430">
        <v>0.10886938702753617</v>
      </c>
      <c r="I2602" s="2427">
        <v>8.1075302926650286E-2</v>
      </c>
      <c r="J2602" s="2431">
        <v>7.353124326827519E-3</v>
      </c>
    </row>
    <row r="2603" spans="1:10" x14ac:dyDescent="0.2">
      <c r="A2603" s="2426" t="s">
        <v>975</v>
      </c>
      <c r="B2603" s="2427">
        <v>0</v>
      </c>
      <c r="C2603" s="2428">
        <v>2532000.0000000009</v>
      </c>
      <c r="D2603" s="2429">
        <v>0</v>
      </c>
      <c r="E2603" s="2430">
        <v>0</v>
      </c>
      <c r="F2603" s="2427">
        <v>0</v>
      </c>
      <c r="G2603" s="2429">
        <v>0</v>
      </c>
      <c r="H2603" s="2430">
        <v>0</v>
      </c>
      <c r="I2603" s="2427">
        <v>0</v>
      </c>
      <c r="J2603" s="2431">
        <v>0</v>
      </c>
    </row>
    <row r="2604" spans="1:10" x14ac:dyDescent="0.2">
      <c r="A2604" s="2426" t="s">
        <v>976</v>
      </c>
      <c r="B2604" s="2427">
        <v>425</v>
      </c>
      <c r="C2604" s="2428">
        <v>7394999.9999999991</v>
      </c>
      <c r="D2604" s="2429">
        <v>3142.8749999999995</v>
      </c>
      <c r="E2604" s="2430">
        <v>0.63887691199286545</v>
      </c>
      <c r="F2604" s="2427">
        <v>0.47518682996064415</v>
      </c>
      <c r="G2604" s="2429">
        <v>3.0525355828833717E-2</v>
      </c>
      <c r="H2604" s="2430">
        <v>0.72003971960052138</v>
      </c>
      <c r="I2604" s="2427">
        <v>0.53621536760436883</v>
      </c>
      <c r="J2604" s="2431">
        <v>4.8632050965231571E-2</v>
      </c>
    </row>
    <row r="2605" spans="1:10" x14ac:dyDescent="0.2">
      <c r="A2605" s="2426" t="s">
        <v>286</v>
      </c>
      <c r="B2605" s="2427">
        <v>531</v>
      </c>
      <c r="C2605" s="2428">
        <v>2445000.0000000005</v>
      </c>
      <c r="D2605" s="2429">
        <v>1298.2950000000003</v>
      </c>
      <c r="E2605" s="2430">
        <v>0.79822033004285065</v>
      </c>
      <c r="F2605" s="2427">
        <v>0.59370401578612242</v>
      </c>
      <c r="G2605" s="2429">
        <v>3.8138738694378123E-2</v>
      </c>
      <c r="H2605" s="2430">
        <v>0.29744229972835678</v>
      </c>
      <c r="I2605" s="2427">
        <v>0.22150601938795345</v>
      </c>
      <c r="J2605" s="2431">
        <v>2.0089487684971673E-2</v>
      </c>
    </row>
    <row r="2606" spans="1:10" x14ac:dyDescent="0.2">
      <c r="A2606" s="2439" t="s">
        <v>978</v>
      </c>
      <c r="B2606" s="2427">
        <v>90</v>
      </c>
      <c r="C2606" s="2428">
        <v>1850000.0000000002</v>
      </c>
      <c r="D2606" s="2429">
        <v>166.50000000000003</v>
      </c>
      <c r="E2606" s="2430">
        <v>0.13529158136319502</v>
      </c>
      <c r="F2606" s="2427">
        <v>0.10062779928578347</v>
      </c>
      <c r="G2606" s="2429">
        <v>6.4641929990471398E-3</v>
      </c>
      <c r="H2606" s="2430">
        <v>3.814552386381477E-2</v>
      </c>
      <c r="I2606" s="2427">
        <v>2.8407066366345286E-2</v>
      </c>
      <c r="J2606" s="2431">
        <v>2.5763787887558556E-3</v>
      </c>
    </row>
    <row r="2607" spans="1:10" x14ac:dyDescent="0.2">
      <c r="A2607" s="2426" t="s">
        <v>1163</v>
      </c>
      <c r="B2607" s="2427">
        <v>0</v>
      </c>
      <c r="C2607" s="2428">
        <v>0</v>
      </c>
      <c r="D2607" s="2429">
        <v>0</v>
      </c>
      <c r="E2607" s="2430">
        <v>0</v>
      </c>
      <c r="F2607" s="2427">
        <v>0</v>
      </c>
      <c r="G2607" s="2429">
        <v>0</v>
      </c>
      <c r="H2607" s="2430">
        <v>0</v>
      </c>
      <c r="I2607" s="2427">
        <v>0</v>
      </c>
      <c r="J2607" s="2431">
        <v>0</v>
      </c>
    </row>
    <row r="2608" spans="1:10" x14ac:dyDescent="0.2">
      <c r="A2608" s="2433" t="s">
        <v>287</v>
      </c>
      <c r="B2608" s="2434">
        <v>12042.34</v>
      </c>
      <c r="C2608" s="2433"/>
      <c r="D2608" s="2435">
        <v>37560.00088</v>
      </c>
      <c r="E2608" s="2436">
        <v>18.10252468792509</v>
      </c>
      <c r="F2608" s="2434">
        <v>13.464379693901796</v>
      </c>
      <c r="G2608" s="2435">
        <v>0.86493344355717039</v>
      </c>
      <c r="H2608" s="2436">
        <v>8.6050805398975587</v>
      </c>
      <c r="I2608" s="2434">
        <v>6.4082248511600426</v>
      </c>
      <c r="J2608" s="2437">
        <v>0.58119393136866815</v>
      </c>
    </row>
    <row r="2609" spans="1:10" x14ac:dyDescent="0.2">
      <c r="A2609" s="2440" t="s">
        <v>1835</v>
      </c>
      <c r="B2609" s="2441">
        <v>46542.986199999999</v>
      </c>
      <c r="C2609" s="2440"/>
      <c r="D2609" s="2442">
        <v>384520.29901651235</v>
      </c>
      <c r="E2609" s="2483">
        <v>69.965268937370709</v>
      </c>
      <c r="F2609" s="2484">
        <v>52.039091927717664</v>
      </c>
      <c r="G2609" s="2442">
        <v>3.3429205060976401</v>
      </c>
      <c r="H2609" s="2483">
        <v>88.09446391745081</v>
      </c>
      <c r="I2609" s="2484">
        <v>65.604166086300282</v>
      </c>
      <c r="J2609" s="2444">
        <v>5.9499696230162238</v>
      </c>
    </row>
    <row r="2610" spans="1:10" x14ac:dyDescent="0.2">
      <c r="A2610" s="2445" t="s">
        <v>194</v>
      </c>
      <c r="B2610" s="2446">
        <v>66522.986199999999</v>
      </c>
      <c r="C2610" s="2447"/>
      <c r="D2610" s="2448">
        <v>436486.33741256234</v>
      </c>
      <c r="E2610" s="2449">
        <v>100</v>
      </c>
      <c r="F2610" s="2446">
        <v>74.378463369161594</v>
      </c>
      <c r="G2610" s="2448">
        <v>4.7779713518861051</v>
      </c>
      <c r="H2610" s="2449">
        <v>100</v>
      </c>
      <c r="I2610" s="2446">
        <v>74.470248377667474</v>
      </c>
      <c r="J2610" s="2450">
        <v>6.7540789266754162</v>
      </c>
    </row>
    <row r="2611" spans="1:10" x14ac:dyDescent="0.2">
      <c r="A2611" s="2451" t="s">
        <v>1852</v>
      </c>
      <c r="B2611" s="2427"/>
      <c r="C2611" s="2452"/>
      <c r="D2611" s="2429"/>
      <c r="E2611" s="2430"/>
      <c r="F2611" s="2427">
        <v>0</v>
      </c>
      <c r="G2611" s="2429"/>
      <c r="H2611" s="2430"/>
      <c r="I2611" s="2427">
        <v>0</v>
      </c>
      <c r="J2611" s="2431">
        <v>0</v>
      </c>
    </row>
    <row r="2612" spans="1:10" x14ac:dyDescent="0.2">
      <c r="A2612" s="2453" t="s">
        <v>1836</v>
      </c>
      <c r="B2612" s="2427">
        <v>6746.12</v>
      </c>
      <c r="C2612" s="2428">
        <v>8033612.4975057133</v>
      </c>
      <c r="D2612" s="2429">
        <v>54195.713941673239</v>
      </c>
      <c r="E2612" s="2430">
        <v>30.833721737924197</v>
      </c>
      <c r="F2612" s="2427">
        <v>7.5427467701978834</v>
      </c>
      <c r="G2612" s="2429">
        <v>0.48453579638590993</v>
      </c>
      <c r="H2612" s="2430">
        <v>40.013225000558442</v>
      </c>
      <c r="I2612" s="2427">
        <v>9.2464939502256804</v>
      </c>
      <c r="J2612" s="2431">
        <v>0.83861073778262407</v>
      </c>
    </row>
    <row r="2613" spans="1:10" x14ac:dyDescent="0.2">
      <c r="A2613" s="2453" t="s">
        <v>1837</v>
      </c>
      <c r="B2613" s="2427">
        <v>9344</v>
      </c>
      <c r="C2613" s="2428">
        <v>2214764.1578067578</v>
      </c>
      <c r="D2613" s="2429">
        <v>20694.756290546346</v>
      </c>
      <c r="E2613" s="2430">
        <v>42.70755573858213</v>
      </c>
      <c r="F2613" s="2427">
        <v>10.447401739181785</v>
      </c>
      <c r="G2613" s="2429">
        <v>0.67112688203440529</v>
      </c>
      <c r="H2613" s="2430">
        <v>15.279140720916343</v>
      </c>
      <c r="I2613" s="2427">
        <v>3.530794686972321</v>
      </c>
      <c r="J2613" s="2431">
        <v>0.32022541228489737</v>
      </c>
    </row>
    <row r="2614" spans="1:10" x14ac:dyDescent="0.2">
      <c r="A2614" s="2454" t="s">
        <v>309</v>
      </c>
      <c r="B2614" s="2434">
        <v>16090.119999999999</v>
      </c>
      <c r="C2614" s="2433"/>
      <c r="D2614" s="2435">
        <v>74890.470232219581</v>
      </c>
      <c r="E2614" s="2436">
        <v>73.541277476506323</v>
      </c>
      <c r="F2614" s="2434">
        <v>17.990148509379669</v>
      </c>
      <c r="G2614" s="2435">
        <v>1.155662678420315</v>
      </c>
      <c r="H2614" s="2436">
        <v>55.292365721474788</v>
      </c>
      <c r="I2614" s="2434">
        <v>12.777288637198</v>
      </c>
      <c r="J2614" s="2437">
        <v>1.1588361500675213</v>
      </c>
    </row>
    <row r="2615" spans="1:10" x14ac:dyDescent="0.2">
      <c r="A2615" s="2453" t="s">
        <v>1838</v>
      </c>
      <c r="B2615" s="2427">
        <v>208.10000000000002</v>
      </c>
      <c r="C2615" s="2428">
        <v>10407427.50198495</v>
      </c>
      <c r="D2615" s="2429">
        <v>2165.7856631630684</v>
      </c>
      <c r="E2615" s="2430">
        <v>0.951138950042695</v>
      </c>
      <c r="F2615" s="2427">
        <v>0.232673833681906</v>
      </c>
      <c r="G2615" s="2429">
        <v>1.4946650701130111E-2</v>
      </c>
      <c r="H2615" s="2430">
        <v>1.5990207110546277</v>
      </c>
      <c r="I2615" s="2427">
        <v>0.36951121362614053</v>
      </c>
      <c r="J2615" s="2431">
        <v>3.3512818279668843E-2</v>
      </c>
    </row>
    <row r="2616" spans="1:10" x14ac:dyDescent="0.2">
      <c r="A2616" s="2454" t="s">
        <v>315</v>
      </c>
      <c r="B2616" s="2434">
        <v>208.10000000000002</v>
      </c>
      <c r="C2616" s="2455"/>
      <c r="D2616" s="2435">
        <v>2165.7856631630684</v>
      </c>
      <c r="E2616" s="2436">
        <v>0.951138950042695</v>
      </c>
      <c r="F2616" s="2434">
        <v>0.232673833681906</v>
      </c>
      <c r="G2616" s="2435">
        <v>1.4946650701130111E-2</v>
      </c>
      <c r="H2616" s="2436">
        <v>1.5990207110546277</v>
      </c>
      <c r="I2616" s="2434">
        <v>0.36951121362614053</v>
      </c>
      <c r="J2616" s="2437">
        <v>3.3512818279668843E-2</v>
      </c>
    </row>
    <row r="2617" spans="1:10" x14ac:dyDescent="0.2">
      <c r="A2617" s="2453" t="s">
        <v>1541</v>
      </c>
      <c r="B2617" s="2427">
        <v>4529.25</v>
      </c>
      <c r="C2617" s="2428">
        <v>10553660</v>
      </c>
      <c r="D2617" s="2429">
        <v>47800.164555000003</v>
      </c>
      <c r="E2617" s="2430">
        <v>20.701326715429484</v>
      </c>
      <c r="F2617" s="2427">
        <v>5.0640939990570528</v>
      </c>
      <c r="G2617" s="2429">
        <v>0.3253105126770473</v>
      </c>
      <c r="H2617" s="2430">
        <v>35.291328415035963</v>
      </c>
      <c r="I2617" s="2427">
        <v>8.1553300110276901</v>
      </c>
      <c r="J2617" s="2431">
        <v>0.73964762797922801</v>
      </c>
    </row>
    <row r="2618" spans="1:10" x14ac:dyDescent="0.2">
      <c r="A2618" s="2453" t="s">
        <v>206</v>
      </c>
      <c r="B2618" s="2427">
        <v>951.5625</v>
      </c>
      <c r="C2618" s="2428">
        <v>6960000</v>
      </c>
      <c r="D2618" s="2429">
        <v>6622.875</v>
      </c>
      <c r="E2618" s="2430">
        <v>4.3491982563671403</v>
      </c>
      <c r="F2618" s="2427">
        <v>1.0639293361986482</v>
      </c>
      <c r="G2618" s="2429">
        <v>6.8345373896175482E-2</v>
      </c>
      <c r="H2618" s="2430">
        <v>4.8897333064156294</v>
      </c>
      <c r="I2618" s="2427">
        <v>1.1299486466126667</v>
      </c>
      <c r="J2618" s="2431">
        <v>0.10248068871220081</v>
      </c>
    </row>
    <row r="2619" spans="1:10" x14ac:dyDescent="0.2">
      <c r="A2619" s="2454" t="s">
        <v>310</v>
      </c>
      <c r="B2619" s="2434">
        <v>5480.8125</v>
      </c>
      <c r="C2619" s="2455"/>
      <c r="D2619" s="2435">
        <v>54423.039555000003</v>
      </c>
      <c r="E2619" s="2436">
        <v>25.050524971796627</v>
      </c>
      <c r="F2619" s="2434">
        <v>6.1280233352557012</v>
      </c>
      <c r="G2619" s="2435">
        <v>0.39365588657322276</v>
      </c>
      <c r="H2619" s="2436">
        <v>40.181061721451599</v>
      </c>
      <c r="I2619" s="2434">
        <v>9.2852786576403563</v>
      </c>
      <c r="J2619" s="2437">
        <v>0.84212831669142874</v>
      </c>
    </row>
    <row r="2620" spans="1:10" x14ac:dyDescent="0.2">
      <c r="A2620" s="2453" t="s">
        <v>1839</v>
      </c>
      <c r="B2620" s="2427">
        <v>100</v>
      </c>
      <c r="C2620" s="2428">
        <v>39652080.629353955</v>
      </c>
      <c r="D2620" s="2429">
        <v>3965.2080629353959</v>
      </c>
      <c r="E2620" s="2430">
        <v>0.45705860165434642</v>
      </c>
      <c r="F2620" s="2427">
        <v>0.11180866587309274</v>
      </c>
      <c r="G2620" s="2429">
        <v>7.1824366656079329E-3</v>
      </c>
      <c r="H2620" s="2430">
        <v>2.9275518460189884</v>
      </c>
      <c r="I2620" s="2427">
        <v>0.67651608768872795</v>
      </c>
      <c r="J2620" s="2431">
        <v>6.1356624302405086E-2</v>
      </c>
    </row>
    <row r="2621" spans="1:10" x14ac:dyDescent="0.2">
      <c r="A2621" s="2454" t="s">
        <v>311</v>
      </c>
      <c r="B2621" s="2434">
        <v>100</v>
      </c>
      <c r="C2621" s="2433"/>
      <c r="D2621" s="2435">
        <v>3965.2080629353959</v>
      </c>
      <c r="E2621" s="2436">
        <v>0.45705860165434642</v>
      </c>
      <c r="F2621" s="2434">
        <v>0.11180866587309274</v>
      </c>
      <c r="G2621" s="2435">
        <v>7.1824366656079329E-3</v>
      </c>
      <c r="H2621" s="2436">
        <v>2.9275518460189884</v>
      </c>
      <c r="I2621" s="2434">
        <v>0.67651608768872795</v>
      </c>
      <c r="J2621" s="2437">
        <v>6.1356624302405086E-2</v>
      </c>
    </row>
    <row r="2622" spans="1:10" x14ac:dyDescent="0.2">
      <c r="A2622" s="2445" t="s">
        <v>129</v>
      </c>
      <c r="B2622" s="2446">
        <v>21879.032500000001</v>
      </c>
      <c r="C2622" s="2447"/>
      <c r="D2622" s="2448">
        <v>135444.50351331805</v>
      </c>
      <c r="E2622" s="2449">
        <v>100</v>
      </c>
      <c r="F2622" s="2446">
        <v>24.462654344190369</v>
      </c>
      <c r="G2622" s="2448">
        <v>1.5714476523602761</v>
      </c>
      <c r="H2622" s="2449">
        <v>100</v>
      </c>
      <c r="I2622" s="2446">
        <v>23.108594596153225</v>
      </c>
      <c r="J2622" s="2450">
        <v>2.0958339093410241</v>
      </c>
    </row>
    <row r="2623" spans="1:10" x14ac:dyDescent="0.2">
      <c r="A2623" s="2451" t="s">
        <v>1853</v>
      </c>
      <c r="B2623" s="2427"/>
      <c r="C2623" s="2452"/>
      <c r="D2623" s="2429"/>
      <c r="E2623" s="2430"/>
      <c r="F2623" s="2427">
        <v>0</v>
      </c>
      <c r="G2623" s="2429"/>
      <c r="H2623" s="2430"/>
      <c r="I2623" s="2427">
        <v>0</v>
      </c>
      <c r="J2623" s="2431">
        <v>0</v>
      </c>
    </row>
    <row r="2624" spans="1:10" x14ac:dyDescent="0.2">
      <c r="A2624" s="2426" t="s">
        <v>1543</v>
      </c>
      <c r="B2624" s="2427">
        <v>850</v>
      </c>
      <c r="C2624" s="2428">
        <v>13200000</v>
      </c>
      <c r="D2624" s="2429">
        <v>11220</v>
      </c>
      <c r="E2624" s="2430">
        <v>82.007782056118401</v>
      </c>
      <c r="F2624" s="2427">
        <v>0.95037365992128831</v>
      </c>
      <c r="G2624" s="2429">
        <v>6.1050711657667435E-2</v>
      </c>
      <c r="H2624" s="2430">
        <v>79.064594533504945</v>
      </c>
      <c r="I2624" s="2427">
        <v>1.914277985768132</v>
      </c>
      <c r="J2624" s="2431">
        <v>0.1736154354945387</v>
      </c>
    </row>
    <row r="2625" spans="1:10" x14ac:dyDescent="0.2">
      <c r="A2625" s="2426" t="s">
        <v>208</v>
      </c>
      <c r="B2625" s="2427">
        <v>50.2</v>
      </c>
      <c r="C2625" s="2428">
        <v>10000000</v>
      </c>
      <c r="D2625" s="2429">
        <v>502</v>
      </c>
      <c r="E2625" s="2430">
        <v>4.843283128490758</v>
      </c>
      <c r="F2625" s="2427">
        <v>5.6127950268292558E-2</v>
      </c>
      <c r="G2625" s="2429">
        <v>3.6055832061351826E-3</v>
      </c>
      <c r="H2625" s="2430">
        <v>3.5374711636202747</v>
      </c>
      <c r="I2625" s="2427">
        <v>8.5647731627059034E-2</v>
      </c>
      <c r="J2625" s="2431">
        <v>7.7678207324650998E-3</v>
      </c>
    </row>
    <row r="2626" spans="1:10" x14ac:dyDescent="0.2">
      <c r="A2626" s="2426" t="s">
        <v>209</v>
      </c>
      <c r="B2626" s="2427">
        <v>3.62</v>
      </c>
      <c r="C2626" s="2428">
        <v>10000000</v>
      </c>
      <c r="D2626" s="2429">
        <v>36.200000000000003</v>
      </c>
      <c r="E2626" s="2430">
        <v>0.34925667181546899</v>
      </c>
      <c r="F2626" s="2427">
        <v>4.0474737046059571E-3</v>
      </c>
      <c r="G2626" s="2429">
        <v>2.6000420729500715E-4</v>
      </c>
      <c r="H2626" s="2430">
        <v>0.25509254207779669</v>
      </c>
      <c r="I2626" s="2427">
        <v>6.176191005775971E-3</v>
      </c>
      <c r="J2626" s="2431">
        <v>5.6014962254031207E-4</v>
      </c>
    </row>
    <row r="2627" spans="1:10" x14ac:dyDescent="0.2">
      <c r="A2627" s="2426" t="s">
        <v>210</v>
      </c>
      <c r="B2627" s="2427">
        <v>130</v>
      </c>
      <c r="C2627" s="2428">
        <v>18500000</v>
      </c>
      <c r="D2627" s="2429">
        <v>2405</v>
      </c>
      <c r="E2627" s="2430">
        <v>12.542366667406343</v>
      </c>
      <c r="F2627" s="2427">
        <v>0.14535126563502057</v>
      </c>
      <c r="G2627" s="2429">
        <v>9.3371676652903128E-3</v>
      </c>
      <c r="H2627" s="2430">
        <v>16.947446510969641</v>
      </c>
      <c r="I2627" s="2427">
        <v>0.41032429195832065</v>
      </c>
      <c r="J2627" s="2431">
        <v>3.721436028202902E-2</v>
      </c>
    </row>
    <row r="2628" spans="1:10" x14ac:dyDescent="0.2">
      <c r="A2628" s="2426" t="s">
        <v>1545</v>
      </c>
      <c r="B2628" s="2427">
        <v>0.252</v>
      </c>
      <c r="C2628" s="2428">
        <v>14200000</v>
      </c>
      <c r="D2628" s="2429">
        <v>3.5783999999999998</v>
      </c>
      <c r="E2628" s="2430">
        <v>2.4312895386049221E-2</v>
      </c>
      <c r="F2628" s="2427">
        <v>2.817578380001937E-4</v>
      </c>
      <c r="G2628" s="2429">
        <v>1.8099740397331993E-5</v>
      </c>
      <c r="H2628" s="2430">
        <v>2.521610918704938E-2</v>
      </c>
      <c r="I2628" s="2427">
        <v>6.1052159931129085E-4</v>
      </c>
      <c r="J2628" s="2431">
        <v>5.5371254400504212E-5</v>
      </c>
    </row>
    <row r="2629" spans="1:10" x14ac:dyDescent="0.2">
      <c r="A2629" s="2426" t="s">
        <v>1546</v>
      </c>
      <c r="B2629" s="2427">
        <v>2.415</v>
      </c>
      <c r="C2629" s="2428">
        <v>10000000</v>
      </c>
      <c r="D2629" s="2429">
        <v>24.15</v>
      </c>
      <c r="E2629" s="2430">
        <v>0.2329985807829717</v>
      </c>
      <c r="F2629" s="2427">
        <v>2.7001792808351898E-3</v>
      </c>
      <c r="G2629" s="2429">
        <v>1.7345584547443161E-4</v>
      </c>
      <c r="H2629" s="2430">
        <v>0.17017914064029804</v>
      </c>
      <c r="I2629" s="2427">
        <v>4.1203042207041346E-3</v>
      </c>
      <c r="J2629" s="2431">
        <v>3.7369097746819155E-4</v>
      </c>
    </row>
    <row r="2630" spans="1:10" x14ac:dyDescent="0.2">
      <c r="A2630" s="2445" t="s">
        <v>121</v>
      </c>
      <c r="B2630" s="2446">
        <v>1036.4870000000001</v>
      </c>
      <c r="C2630" s="2447"/>
      <c r="D2630" s="2448">
        <v>14190.928400000001</v>
      </c>
      <c r="E2630" s="2449">
        <v>99.999999999999986</v>
      </c>
      <c r="F2630" s="2446">
        <v>1.1588822866480428</v>
      </c>
      <c r="G2630" s="2448">
        <v>7.4445022322259705E-2</v>
      </c>
      <c r="H2630" s="2449">
        <v>100.00000000000001</v>
      </c>
      <c r="I2630" s="2446">
        <v>2.4211570261793032</v>
      </c>
      <c r="J2630" s="2450">
        <v>0.21958682836344187</v>
      </c>
    </row>
    <row r="2631" spans="1:10" ht="14.25" thickBot="1" x14ac:dyDescent="0.25">
      <c r="A2631" s="2457" t="s">
        <v>1840</v>
      </c>
      <c r="B2631" s="2446">
        <v>89438.505699999994</v>
      </c>
      <c r="C2631" s="2458"/>
      <c r="D2631" s="2448">
        <v>586121.76932588033</v>
      </c>
      <c r="E2631" s="2459"/>
      <c r="F2631" s="2460">
        <v>100</v>
      </c>
      <c r="G2631" s="2461">
        <v>6.4238640265686406</v>
      </c>
      <c r="H2631" s="2462"/>
      <c r="I2631" s="2460">
        <v>100</v>
      </c>
      <c r="J2631" s="2463">
        <v>9.0694996643798813</v>
      </c>
    </row>
    <row r="2632" spans="1:10" ht="15" thickBot="1" x14ac:dyDescent="0.25">
      <c r="A2632" s="2464" t="s">
        <v>1841</v>
      </c>
      <c r="B2632" s="2465">
        <v>1392285.1624830281</v>
      </c>
      <c r="C2632" s="2466"/>
      <c r="D2632" s="2467">
        <v>6462559.0276810033</v>
      </c>
      <c r="E2632" s="2468"/>
      <c r="F2632" s="2469"/>
      <c r="G2632" s="2469"/>
      <c r="H2632" s="2469"/>
      <c r="I2632" s="2469"/>
      <c r="J2632" s="2469"/>
    </row>
    <row r="2633" spans="1:10" ht="16.5" thickBot="1" x14ac:dyDescent="0.3">
      <c r="A2633" s="2470" t="s">
        <v>1842</v>
      </c>
      <c r="B2633" s="2471">
        <v>6.4238640265686406</v>
      </c>
      <c r="C2633" s="2472"/>
      <c r="D2633" s="2473">
        <v>9.0694996643798813</v>
      </c>
      <c r="E2633" s="2468"/>
      <c r="F2633" s="2469"/>
      <c r="G2633" s="2469"/>
      <c r="H2633" s="2469"/>
      <c r="I2633" s="2469"/>
      <c r="J2633" s="2469"/>
    </row>
    <row r="2634" spans="1:10" x14ac:dyDescent="0.2">
      <c r="A2634" s="2474" t="s">
        <v>2023</v>
      </c>
      <c r="B2634" s="2474"/>
      <c r="C2634" s="2474"/>
      <c r="D2634" s="2475"/>
      <c r="E2634" s="2474"/>
      <c r="F2634" s="2474"/>
      <c r="H2634" s="2474"/>
      <c r="I2634" s="2474"/>
      <c r="J2634" s="2474"/>
    </row>
    <row r="2635" spans="1:10" x14ac:dyDescent="0.2">
      <c r="A2635" s="2474" t="s">
        <v>1843</v>
      </c>
      <c r="B2635" s="2474"/>
      <c r="C2635" s="2474"/>
      <c r="D2635" s="2474"/>
      <c r="E2635" s="2474"/>
      <c r="F2635" s="2474"/>
      <c r="G2635" s="2474"/>
      <c r="H2635" s="2474"/>
      <c r="I2635" s="2474"/>
      <c r="J2635" s="2474"/>
    </row>
    <row r="2636" spans="1:10" x14ac:dyDescent="0.2">
      <c r="A2636" s="2474" t="s">
        <v>2024</v>
      </c>
      <c r="B2636" s="2474"/>
      <c r="C2636" s="2474"/>
      <c r="D2636" s="2474"/>
      <c r="E2636" s="2474"/>
      <c r="F2636" s="2474"/>
      <c r="G2636" s="2474"/>
      <c r="H2636" s="2474"/>
      <c r="I2636" s="2474"/>
      <c r="J2636" s="2474"/>
    </row>
    <row r="2640" spans="1:10" ht="13.5" thickBot="1" x14ac:dyDescent="0.25">
      <c r="A2640" s="3321" t="s">
        <v>2021</v>
      </c>
      <c r="B2640" s="3321"/>
      <c r="C2640" s="3321"/>
      <c r="D2640" s="3321"/>
      <c r="E2640" s="3321"/>
      <c r="F2640" s="3321"/>
      <c r="G2640" s="3321"/>
      <c r="H2640" s="3321"/>
      <c r="I2640" s="3321"/>
      <c r="J2640" s="3321"/>
    </row>
    <row r="2641" spans="1:10" ht="13.5" customHeight="1" thickBot="1" x14ac:dyDescent="0.25">
      <c r="A2641" s="3322" t="s">
        <v>385</v>
      </c>
      <c r="B2641" s="3324" t="s">
        <v>1272</v>
      </c>
      <c r="C2641" s="3324" t="s">
        <v>1832</v>
      </c>
      <c r="D2641" s="3326" t="s">
        <v>1844</v>
      </c>
      <c r="E2641" s="3328" t="s">
        <v>1849</v>
      </c>
      <c r="F2641" s="3329"/>
      <c r="G2641" s="3330"/>
      <c r="H2641" s="3328" t="s">
        <v>1850</v>
      </c>
      <c r="I2641" s="3329"/>
      <c r="J2641" s="3331"/>
    </row>
    <row r="2642" spans="1:10" ht="13.5" customHeight="1" thickBot="1" x14ac:dyDescent="0.25">
      <c r="A2642" s="3323"/>
      <c r="B2642" s="3325"/>
      <c r="C2642" s="3325"/>
      <c r="D2642" s="3327"/>
      <c r="E2642" s="2415" t="s">
        <v>1848</v>
      </c>
      <c r="F2642" s="2416" t="s">
        <v>1231</v>
      </c>
      <c r="G2642" s="2417" t="s">
        <v>1833</v>
      </c>
      <c r="H2642" s="2415" t="s">
        <v>1848</v>
      </c>
      <c r="I2642" s="2416" t="s">
        <v>1231</v>
      </c>
      <c r="J2642" s="2418" t="s">
        <v>1833</v>
      </c>
    </row>
    <row r="2643" spans="1:10" x14ac:dyDescent="0.2">
      <c r="A2643" s="2419" t="s">
        <v>1851</v>
      </c>
      <c r="B2643" s="2420"/>
      <c r="C2643" s="2420"/>
      <c r="D2643" s="2421"/>
      <c r="E2643" s="2422"/>
      <c r="F2643" s="2423"/>
      <c r="G2643" s="2424"/>
      <c r="H2643" s="2422"/>
      <c r="I2643" s="2423"/>
      <c r="J2643" s="2425"/>
    </row>
    <row r="2644" spans="1:10" x14ac:dyDescent="0.2">
      <c r="A2644" s="2426" t="s">
        <v>410</v>
      </c>
      <c r="B2644" s="2427">
        <v>0</v>
      </c>
      <c r="C2644" s="2428">
        <v>5667200.0000000009</v>
      </c>
      <c r="D2644" s="2429">
        <v>0</v>
      </c>
      <c r="E2644" s="2430">
        <v>0</v>
      </c>
      <c r="F2644" s="2427">
        <v>0</v>
      </c>
      <c r="G2644" s="2429">
        <v>0</v>
      </c>
      <c r="H2644" s="2430">
        <v>0</v>
      </c>
      <c r="I2644" s="2427">
        <v>0</v>
      </c>
      <c r="J2644" s="2431">
        <v>0</v>
      </c>
    </row>
    <row r="2645" spans="1:10" x14ac:dyDescent="0.2">
      <c r="A2645" s="2426" t="s">
        <v>411</v>
      </c>
      <c r="B2645" s="2427">
        <v>0</v>
      </c>
      <c r="C2645" s="2428">
        <v>1753716.5000000002</v>
      </c>
      <c r="D2645" s="2429">
        <v>0</v>
      </c>
      <c r="E2645" s="2430">
        <v>0</v>
      </c>
      <c r="F2645" s="2427">
        <v>0</v>
      </c>
      <c r="G2645" s="2429">
        <v>0</v>
      </c>
      <c r="H2645" s="2430">
        <v>0</v>
      </c>
      <c r="I2645" s="2427">
        <v>0</v>
      </c>
      <c r="J2645" s="2431">
        <v>0</v>
      </c>
    </row>
    <row r="2646" spans="1:10" x14ac:dyDescent="0.2">
      <c r="A2646" s="2426" t="s">
        <v>278</v>
      </c>
      <c r="B2646" s="2427">
        <v>1451.6</v>
      </c>
      <c r="C2646" s="2428">
        <v>1637875</v>
      </c>
      <c r="D2646" s="2429">
        <v>2377.53935</v>
      </c>
      <c r="E2646" s="2430">
        <v>3.3909066423787175</v>
      </c>
      <c r="F2646" s="2427">
        <v>3.2869789891484404</v>
      </c>
      <c r="G2646" s="2429">
        <v>0.10426025063796475</v>
      </c>
      <c r="H2646" s="2430">
        <v>0.79782091078752282</v>
      </c>
      <c r="I2646" s="2427">
        <v>0.78018158585464825</v>
      </c>
      <c r="J2646" s="2431">
        <v>3.6789441145780082E-2</v>
      </c>
    </row>
    <row r="2647" spans="1:10" x14ac:dyDescent="0.2">
      <c r="A2647" s="2426" t="s">
        <v>200</v>
      </c>
      <c r="B2647" s="2427">
        <v>223.79999999999998</v>
      </c>
      <c r="C2647" s="2428">
        <v>7709114.5</v>
      </c>
      <c r="D2647" s="2429">
        <v>1725.2998250999999</v>
      </c>
      <c r="E2647" s="2430">
        <v>0.52279202711790917</v>
      </c>
      <c r="F2647" s="2427">
        <v>0.50676901196708524</v>
      </c>
      <c r="G2647" s="2429">
        <v>1.6074293257630552E-2</v>
      </c>
      <c r="H2647" s="2430">
        <v>0.57895162822135238</v>
      </c>
      <c r="I2647" s="2427">
        <v>0.56615136721975401</v>
      </c>
      <c r="J2647" s="2431">
        <v>2.6696852093884844E-2</v>
      </c>
    </row>
    <row r="2648" spans="1:10" x14ac:dyDescent="0.2">
      <c r="A2648" s="2426" t="s">
        <v>429</v>
      </c>
      <c r="B2648" s="2427">
        <v>0</v>
      </c>
      <c r="C2648" s="2428">
        <v>1255000</v>
      </c>
      <c r="D2648" s="2429">
        <v>0</v>
      </c>
      <c r="E2648" s="2430">
        <v>0</v>
      </c>
      <c r="F2648" s="2427">
        <v>0</v>
      </c>
      <c r="G2648" s="2429">
        <v>0</v>
      </c>
      <c r="H2648" s="2430">
        <v>0</v>
      </c>
      <c r="I2648" s="2427">
        <v>0</v>
      </c>
      <c r="J2648" s="2431">
        <v>0</v>
      </c>
    </row>
    <row r="2649" spans="1:10" x14ac:dyDescent="0.2">
      <c r="A2649" s="2432" t="s">
        <v>431</v>
      </c>
      <c r="B2649" s="2427">
        <v>0</v>
      </c>
      <c r="C2649" s="2428">
        <v>0</v>
      </c>
      <c r="D2649" s="2429">
        <v>0</v>
      </c>
      <c r="E2649" s="2430">
        <v>0</v>
      </c>
      <c r="F2649" s="2427">
        <v>0</v>
      </c>
      <c r="G2649" s="2429">
        <v>0</v>
      </c>
      <c r="H2649" s="2430">
        <v>0</v>
      </c>
      <c r="I2649" s="2427">
        <v>0</v>
      </c>
      <c r="J2649" s="2431">
        <v>0</v>
      </c>
    </row>
    <row r="2650" spans="1:10" x14ac:dyDescent="0.2">
      <c r="A2650" s="2432" t="s">
        <v>430</v>
      </c>
      <c r="B2650" s="2427">
        <v>0</v>
      </c>
      <c r="C2650" s="2428">
        <v>0</v>
      </c>
      <c r="D2650" s="2429">
        <v>0</v>
      </c>
      <c r="E2650" s="2430">
        <v>0</v>
      </c>
      <c r="F2650" s="2427">
        <v>0</v>
      </c>
      <c r="G2650" s="2429">
        <v>0</v>
      </c>
      <c r="H2650" s="2430">
        <v>0</v>
      </c>
      <c r="I2650" s="2427">
        <v>0</v>
      </c>
      <c r="J2650" s="2431">
        <v>0</v>
      </c>
    </row>
    <row r="2651" spans="1:10" x14ac:dyDescent="0.2">
      <c r="A2651" s="2433" t="s">
        <v>279</v>
      </c>
      <c r="B2651" s="2434">
        <v>1675.3999999999999</v>
      </c>
      <c r="C2651" s="2433"/>
      <c r="D2651" s="2435">
        <v>4102.8391750999999</v>
      </c>
      <c r="E2651" s="2436">
        <v>3.9136986694966263</v>
      </c>
      <c r="F2651" s="2434">
        <v>3.7937480011155258</v>
      </c>
      <c r="G2651" s="2435">
        <v>0.12033454389559529</v>
      </c>
      <c r="H2651" s="2436">
        <v>1.3767725390088752</v>
      </c>
      <c r="I2651" s="2434">
        <v>1.3463329530744024</v>
      </c>
      <c r="J2651" s="2437">
        <v>6.3486293239664912E-2</v>
      </c>
    </row>
    <row r="2652" spans="1:10" x14ac:dyDescent="0.2">
      <c r="A2652" s="2438" t="s">
        <v>412</v>
      </c>
      <c r="B2652" s="2427">
        <v>39</v>
      </c>
      <c r="C2652" s="2428">
        <v>4129499.9999999995</v>
      </c>
      <c r="D2652" s="2429">
        <v>161.05049999999997</v>
      </c>
      <c r="E2652" s="2430">
        <v>9.1103168264515005E-2</v>
      </c>
      <c r="F2652" s="2427">
        <v>8.8310953828044353E-2</v>
      </c>
      <c r="G2652" s="2429">
        <v>2.8011502995870939E-3</v>
      </c>
      <c r="H2652" s="2430">
        <v>5.4043041009094517E-2</v>
      </c>
      <c r="I2652" s="2427">
        <v>5.2848182930256872E-2</v>
      </c>
      <c r="J2652" s="2431">
        <v>2.4920546073184673E-3</v>
      </c>
    </row>
    <row r="2653" spans="1:10" x14ac:dyDescent="0.2">
      <c r="A2653" s="2438" t="s">
        <v>413</v>
      </c>
      <c r="B2653" s="2427">
        <v>36</v>
      </c>
      <c r="C2653" s="2428">
        <v>1200000</v>
      </c>
      <c r="D2653" s="2429">
        <v>43.2</v>
      </c>
      <c r="E2653" s="2430">
        <v>8.4095232244167706E-2</v>
      </c>
      <c r="F2653" s="2427">
        <v>8.1517803533579403E-2</v>
      </c>
      <c r="G2653" s="2429">
        <v>2.5856771996188559E-3</v>
      </c>
      <c r="H2653" s="2430">
        <v>1.449644286477151E-2</v>
      </c>
      <c r="I2653" s="2427">
        <v>1.4175935514556596E-2</v>
      </c>
      <c r="J2653" s="2431">
        <v>6.68465847893411E-4</v>
      </c>
    </row>
    <row r="2654" spans="1:10" x14ac:dyDescent="0.2">
      <c r="A2654" s="2426" t="s">
        <v>90</v>
      </c>
      <c r="B2654" s="2427">
        <v>18</v>
      </c>
      <c r="C2654" s="2428">
        <v>1743000</v>
      </c>
      <c r="D2654" s="2429">
        <v>31.373999999999999</v>
      </c>
      <c r="E2654" s="2430">
        <v>4.2047616122083853E-2</v>
      </c>
      <c r="F2654" s="2427">
        <v>4.0758901766789701E-2</v>
      </c>
      <c r="G2654" s="2429">
        <v>1.292838599809428E-3</v>
      </c>
      <c r="H2654" s="2430">
        <v>1.0528041630540308E-2</v>
      </c>
      <c r="I2654" s="2427">
        <v>1.0295273167446727E-2</v>
      </c>
      <c r="J2654" s="2431">
        <v>4.8547332203258977E-4</v>
      </c>
    </row>
    <row r="2655" spans="1:10" x14ac:dyDescent="0.2">
      <c r="A2655" s="2426" t="s">
        <v>417</v>
      </c>
      <c r="B2655" s="2427">
        <v>9</v>
      </c>
      <c r="C2655" s="2428">
        <v>2563999.9999999995</v>
      </c>
      <c r="D2655" s="2429">
        <v>23.075999999999997</v>
      </c>
      <c r="E2655" s="2430">
        <v>2.1023808061041926E-2</v>
      </c>
      <c r="F2655" s="2427">
        <v>2.0379450883394851E-2</v>
      </c>
      <c r="G2655" s="2429">
        <v>6.4641929990471398E-4</v>
      </c>
      <c r="H2655" s="2430">
        <v>7.7435165635987785E-3</v>
      </c>
      <c r="I2655" s="2427">
        <v>7.5723122206923137E-3</v>
      </c>
      <c r="J2655" s="2431">
        <v>3.5707217374973037E-4</v>
      </c>
    </row>
    <row r="2656" spans="1:10" x14ac:dyDescent="0.2">
      <c r="A2656" s="2426" t="s">
        <v>418</v>
      </c>
      <c r="B2656" s="2427">
        <v>154</v>
      </c>
      <c r="C2656" s="2428">
        <v>2222500</v>
      </c>
      <c r="D2656" s="2429">
        <v>342.26499999999999</v>
      </c>
      <c r="E2656" s="2430">
        <v>0.35974071571116184</v>
      </c>
      <c r="F2656" s="2427">
        <v>0.34871504844920076</v>
      </c>
      <c r="G2656" s="2429">
        <v>1.1060952465036217E-2</v>
      </c>
      <c r="H2656" s="2430">
        <v>0.11485243095164398</v>
      </c>
      <c r="I2656" s="2427">
        <v>0.11231311502059521</v>
      </c>
      <c r="J2656" s="2431">
        <v>5.2961218386397765E-3</v>
      </c>
    </row>
    <row r="2657" spans="1:10" x14ac:dyDescent="0.2">
      <c r="A2657" s="2426" t="s">
        <v>423</v>
      </c>
      <c r="B2657" s="2427">
        <v>0</v>
      </c>
      <c r="C2657" s="2428">
        <v>2531500</v>
      </c>
      <c r="D2657" s="2429">
        <v>0</v>
      </c>
      <c r="E2657" s="2430">
        <v>0</v>
      </c>
      <c r="F2657" s="2427">
        <v>0</v>
      </c>
      <c r="G2657" s="2429">
        <v>0</v>
      </c>
      <c r="H2657" s="2430">
        <v>0</v>
      </c>
      <c r="I2657" s="2427">
        <v>0</v>
      </c>
      <c r="J2657" s="2431">
        <v>0</v>
      </c>
    </row>
    <row r="2658" spans="1:10" x14ac:dyDescent="0.2">
      <c r="A2658" s="2426" t="s">
        <v>424</v>
      </c>
      <c r="B2658" s="2427">
        <v>0</v>
      </c>
      <c r="C2658" s="2428">
        <v>1369000</v>
      </c>
      <c r="D2658" s="2429">
        <v>0</v>
      </c>
      <c r="E2658" s="2430">
        <v>0</v>
      </c>
      <c r="F2658" s="2427">
        <v>0</v>
      </c>
      <c r="G2658" s="2429">
        <v>0</v>
      </c>
      <c r="H2658" s="2430">
        <v>0</v>
      </c>
      <c r="I2658" s="2427">
        <v>0</v>
      </c>
      <c r="J2658" s="2431">
        <v>0</v>
      </c>
    </row>
    <row r="2659" spans="1:10" x14ac:dyDescent="0.2">
      <c r="A2659" s="2426" t="s">
        <v>280</v>
      </c>
      <c r="B2659" s="2427">
        <v>6</v>
      </c>
      <c r="C2659" s="2428">
        <v>1574500</v>
      </c>
      <c r="D2659" s="2429">
        <v>9.4469999999999992</v>
      </c>
      <c r="E2659" s="2430">
        <v>1.4015872040694618E-2</v>
      </c>
      <c r="F2659" s="2427">
        <v>1.3586300588929902E-2</v>
      </c>
      <c r="G2659" s="2429">
        <v>4.3094619993647604E-4</v>
      </c>
      <c r="H2659" s="2430">
        <v>3.1700901792476024E-3</v>
      </c>
      <c r="I2659" s="2427">
        <v>3.1000014538429665E-3</v>
      </c>
      <c r="J2659" s="2431">
        <v>1.4618048298724662E-4</v>
      </c>
    </row>
    <row r="2660" spans="1:10" x14ac:dyDescent="0.2">
      <c r="A2660" s="2426" t="s">
        <v>427</v>
      </c>
      <c r="B2660" s="2427">
        <v>54</v>
      </c>
      <c r="C2660" s="2428">
        <v>2072000</v>
      </c>
      <c r="D2660" s="2429">
        <v>111.88800000000001</v>
      </c>
      <c r="E2660" s="2430">
        <v>0.12614284836625156</v>
      </c>
      <c r="F2660" s="2427">
        <v>0.1222767053003691</v>
      </c>
      <c r="G2660" s="2429">
        <v>3.8785157994282839E-3</v>
      </c>
      <c r="H2660" s="2430">
        <v>3.7545787019758206E-2</v>
      </c>
      <c r="I2660" s="2427">
        <v>3.6715672982701585E-2</v>
      </c>
      <c r="J2660" s="2431">
        <v>1.7313265460439347E-3</v>
      </c>
    </row>
    <row r="2661" spans="1:10" x14ac:dyDescent="0.2">
      <c r="A2661" s="2426" t="s">
        <v>428</v>
      </c>
      <c r="B2661" s="2427">
        <v>0</v>
      </c>
      <c r="C2661" s="2428">
        <v>1326280</v>
      </c>
      <c r="D2661" s="2429">
        <v>0</v>
      </c>
      <c r="E2661" s="2430">
        <v>0</v>
      </c>
      <c r="F2661" s="2427">
        <v>0</v>
      </c>
      <c r="G2661" s="2429">
        <v>0</v>
      </c>
      <c r="H2661" s="2430">
        <v>0</v>
      </c>
      <c r="I2661" s="2427">
        <v>0</v>
      </c>
      <c r="J2661" s="2431">
        <v>0</v>
      </c>
    </row>
    <row r="2662" spans="1:10" x14ac:dyDescent="0.2">
      <c r="A2662" s="2439" t="s">
        <v>92</v>
      </c>
      <c r="B2662" s="2427">
        <v>1260</v>
      </c>
      <c r="C2662" s="2428">
        <v>2215500</v>
      </c>
      <c r="D2662" s="2429">
        <v>2791.53</v>
      </c>
      <c r="E2662" s="2430">
        <v>2.9433331285458695</v>
      </c>
      <c r="F2662" s="2427">
        <v>2.853123123675279</v>
      </c>
      <c r="G2662" s="2429">
        <v>9.0498701986659963E-2</v>
      </c>
      <c r="H2662" s="2430">
        <v>0.93674201736795393</v>
      </c>
      <c r="I2662" s="2427">
        <v>0.91603123303125411</v>
      </c>
      <c r="J2662" s="2431">
        <v>4.3195427508562353E-2</v>
      </c>
    </row>
    <row r="2663" spans="1:10" x14ac:dyDescent="0.2">
      <c r="A2663" s="2433" t="s">
        <v>281</v>
      </c>
      <c r="B2663" s="2434">
        <v>1576</v>
      </c>
      <c r="C2663" s="2433"/>
      <c r="D2663" s="2435">
        <v>3513.8305</v>
      </c>
      <c r="E2663" s="2436">
        <v>3.6815023893557863</v>
      </c>
      <c r="F2663" s="2434">
        <v>3.5686682880255871</v>
      </c>
      <c r="G2663" s="2435">
        <v>0.11319520184998103</v>
      </c>
      <c r="H2663" s="2436">
        <v>1.1791213675866088</v>
      </c>
      <c r="I2663" s="2434">
        <v>1.1530517263213464</v>
      </c>
      <c r="J2663" s="2437">
        <v>5.4372122327227518E-2</v>
      </c>
    </row>
    <row r="2664" spans="1:10" x14ac:dyDescent="0.2">
      <c r="A2664" s="2440" t="s">
        <v>106</v>
      </c>
      <c r="B2664" s="2441">
        <v>3251.3999999999996</v>
      </c>
      <c r="C2664" s="2440"/>
      <c r="D2664" s="2442">
        <v>7616.6696750999999</v>
      </c>
      <c r="E2664" s="2443">
        <v>7.5952010588524121</v>
      </c>
      <c r="F2664" s="2441">
        <v>7.3624162891411133</v>
      </c>
      <c r="G2664" s="2442">
        <v>0.23352974574557631</v>
      </c>
      <c r="H2664" s="2443">
        <v>2.5558939065954842</v>
      </c>
      <c r="I2664" s="2441">
        <v>2.4993846793957486</v>
      </c>
      <c r="J2664" s="2444">
        <v>0.11785841556689243</v>
      </c>
    </row>
    <row r="2665" spans="1:10" x14ac:dyDescent="0.2">
      <c r="A2665" s="2426" t="s">
        <v>905</v>
      </c>
      <c r="B2665" s="2427">
        <v>0</v>
      </c>
      <c r="C2665" s="2428">
        <v>6100000</v>
      </c>
      <c r="D2665" s="2429">
        <v>0</v>
      </c>
      <c r="E2665" s="2430">
        <v>0</v>
      </c>
      <c r="F2665" s="2427">
        <v>0</v>
      </c>
      <c r="G2665" s="2429">
        <v>0</v>
      </c>
      <c r="H2665" s="2430">
        <v>0</v>
      </c>
      <c r="I2665" s="2427">
        <v>0</v>
      </c>
      <c r="J2665" s="2431">
        <v>0</v>
      </c>
    </row>
    <row r="2666" spans="1:10" x14ac:dyDescent="0.2">
      <c r="A2666" s="2426" t="s">
        <v>906</v>
      </c>
      <c r="B2666" s="2427">
        <v>990</v>
      </c>
      <c r="C2666" s="2428">
        <v>3022000.0000000005</v>
      </c>
      <c r="D2666" s="2429">
        <v>2991.7800000000007</v>
      </c>
      <c r="E2666" s="2430">
        <v>2.3126188867146116</v>
      </c>
      <c r="F2666" s="2427">
        <v>2.2417395971734333</v>
      </c>
      <c r="G2666" s="2429">
        <v>7.1106122989518544E-2</v>
      </c>
      <c r="H2666" s="2430">
        <v>1.003939070230697</v>
      </c>
      <c r="I2666" s="2427">
        <v>0.98174260078102182</v>
      </c>
      <c r="J2666" s="2431">
        <v>4.6294045240984953E-2</v>
      </c>
    </row>
    <row r="2667" spans="1:10" x14ac:dyDescent="0.2">
      <c r="A2667" s="2426" t="s">
        <v>907</v>
      </c>
      <c r="B2667" s="2427">
        <v>440</v>
      </c>
      <c r="C2667" s="2428">
        <v>2324000</v>
      </c>
      <c r="D2667" s="2429">
        <v>1022.56</v>
      </c>
      <c r="E2667" s="2430">
        <v>1.0278306163176052</v>
      </c>
      <c r="F2667" s="2427">
        <v>0.99632870985485944</v>
      </c>
      <c r="G2667" s="2429">
        <v>3.1602721328674907E-2</v>
      </c>
      <c r="H2667" s="2430">
        <v>0.34313617166205446</v>
      </c>
      <c r="I2667" s="2427">
        <v>0.33554964397604148</v>
      </c>
      <c r="J2667" s="2431">
        <v>1.5822834199580704E-2</v>
      </c>
    </row>
    <row r="2668" spans="1:10" x14ac:dyDescent="0.2">
      <c r="A2668" s="2439" t="s">
        <v>908</v>
      </c>
      <c r="B2668" s="2427">
        <v>5200</v>
      </c>
      <c r="C2668" s="2428">
        <v>2403999.9999999995</v>
      </c>
      <c r="D2668" s="2429">
        <v>12500.799999999997</v>
      </c>
      <c r="E2668" s="2430">
        <v>12.147089101935334</v>
      </c>
      <c r="F2668" s="2427">
        <v>11.774793843739248</v>
      </c>
      <c r="G2668" s="2429">
        <v>0.37348670661161254</v>
      </c>
      <c r="H2668" s="2430">
        <v>4.1948410408318431</v>
      </c>
      <c r="I2668" s="2427">
        <v>4.1020957101937281</v>
      </c>
      <c r="J2668" s="2431">
        <v>0.19343420998485997</v>
      </c>
    </row>
    <row r="2669" spans="1:10" x14ac:dyDescent="0.2">
      <c r="A2669" s="2440" t="s">
        <v>282</v>
      </c>
      <c r="B2669" s="2441">
        <v>6630</v>
      </c>
      <c r="C2669" s="2440"/>
      <c r="D2669" s="2442">
        <v>16515.14</v>
      </c>
      <c r="E2669" s="2443">
        <v>15.487538604967552</v>
      </c>
      <c r="F2669" s="2441">
        <v>15.012862150767543</v>
      </c>
      <c r="G2669" s="2442">
        <v>0.47619555092980592</v>
      </c>
      <c r="H2669" s="2443">
        <v>5.5419162827245954</v>
      </c>
      <c r="I2669" s="2441">
        <v>5.4193879549507917</v>
      </c>
      <c r="J2669" s="2444">
        <v>0.25555108942542565</v>
      </c>
    </row>
    <row r="2670" spans="1:10" x14ac:dyDescent="0.2">
      <c r="A2670" s="2426" t="s">
        <v>955</v>
      </c>
      <c r="B2670" s="2427">
        <v>6.3</v>
      </c>
      <c r="C2670" s="2428">
        <v>12137000</v>
      </c>
      <c r="D2670" s="2429">
        <v>76.463099999999997</v>
      </c>
      <c r="E2670" s="2430">
        <v>1.4716665642729347E-2</v>
      </c>
      <c r="F2670" s="2427">
        <v>1.4265615618376396E-2</v>
      </c>
      <c r="G2670" s="2429">
        <v>4.5249350993329973E-4</v>
      </c>
      <c r="H2670" s="2430">
        <v>2.5658401861419218E-2</v>
      </c>
      <c r="I2670" s="2427">
        <v>2.5091110528775291E-2</v>
      </c>
      <c r="J2670" s="2431">
        <v>1.1831706243995064E-3</v>
      </c>
    </row>
    <row r="2671" spans="1:10" x14ac:dyDescent="0.2">
      <c r="A2671" s="2426" t="s">
        <v>283</v>
      </c>
      <c r="B2671" s="2427">
        <v>9664.3818832737688</v>
      </c>
      <c r="C2671" s="2428">
        <v>13024549.999999996</v>
      </c>
      <c r="D2671" s="2429">
        <v>125874.22505779333</v>
      </c>
      <c r="E2671" s="2430">
        <v>22.575789971395402</v>
      </c>
      <c r="F2671" s="2427">
        <v>21.88386621206098</v>
      </c>
      <c r="G2671" s="2429">
        <v>0.69413810788862573</v>
      </c>
      <c r="H2671" s="2430">
        <v>42.239085918928033</v>
      </c>
      <c r="I2671" s="2427">
        <v>41.305205957501443</v>
      </c>
      <c r="J2671" s="2431">
        <v>1.9477458467866637</v>
      </c>
    </row>
    <row r="2672" spans="1:10" x14ac:dyDescent="0.2">
      <c r="A2672" s="2426" t="s">
        <v>69</v>
      </c>
      <c r="B2672" s="2427">
        <v>7633.528116726231</v>
      </c>
      <c r="C2672" s="2428">
        <v>14978232.499999994</v>
      </c>
      <c r="D2672" s="2429">
        <v>114336.75892761258</v>
      </c>
      <c r="E2672" s="2430">
        <v>17.831758883846568</v>
      </c>
      <c r="F2672" s="2427">
        <v>17.285234591315092</v>
      </c>
      <c r="G2672" s="2429">
        <v>0.54827332233523562</v>
      </c>
      <c r="H2672" s="2430">
        <v>38.367506785585405</v>
      </c>
      <c r="I2672" s="2427">
        <v>37.519225034750903</v>
      </c>
      <c r="J2672" s="2431">
        <v>1.7692180208780341</v>
      </c>
    </row>
    <row r="2673" spans="1:10" x14ac:dyDescent="0.2">
      <c r="A2673" s="2426" t="s">
        <v>199</v>
      </c>
      <c r="B2673" s="2427">
        <v>630</v>
      </c>
      <c r="C2673" s="2428">
        <v>3000000</v>
      </c>
      <c r="D2673" s="2429">
        <v>1890</v>
      </c>
      <c r="E2673" s="2430">
        <v>1.4716665642729347</v>
      </c>
      <c r="F2673" s="2427">
        <v>1.4265615618376395</v>
      </c>
      <c r="G2673" s="2429">
        <v>4.5249350993329981E-2</v>
      </c>
      <c r="H2673" s="2430">
        <v>0.63421937533375339</v>
      </c>
      <c r="I2673" s="2427">
        <v>0.6201971787618511</v>
      </c>
      <c r="J2673" s="2431">
        <v>2.9245380845336733E-2</v>
      </c>
    </row>
    <row r="2674" spans="1:10" x14ac:dyDescent="0.2">
      <c r="A2674" s="2426" t="s">
        <v>86</v>
      </c>
      <c r="B2674" s="2427">
        <v>1260</v>
      </c>
      <c r="C2674" s="2428">
        <v>170000</v>
      </c>
      <c r="D2674" s="2429">
        <v>214.2</v>
      </c>
      <c r="E2674" s="2430">
        <v>2.9433331285458695</v>
      </c>
      <c r="F2674" s="2427">
        <v>2.853123123675279</v>
      </c>
      <c r="G2674" s="2429">
        <v>9.0498701986659963E-2</v>
      </c>
      <c r="H2674" s="2430">
        <v>7.187819587115872E-2</v>
      </c>
      <c r="I2674" s="2427">
        <v>7.0289013593009791E-2</v>
      </c>
      <c r="J2674" s="2431">
        <v>3.3144764958048293E-3</v>
      </c>
    </row>
    <row r="2675" spans="1:10" x14ac:dyDescent="0.2">
      <c r="A2675" s="2439" t="s">
        <v>213</v>
      </c>
      <c r="B2675" s="2427">
        <v>10779</v>
      </c>
      <c r="C2675" s="2428">
        <v>1850000.0000000005</v>
      </c>
      <c r="D2675" s="2429">
        <v>19941.150000000005</v>
      </c>
      <c r="E2675" s="2430">
        <v>25.179514121107882</v>
      </c>
      <c r="F2675" s="2427">
        <v>24.407789008012568</v>
      </c>
      <c r="G2675" s="2429">
        <v>0.77419484818587914</v>
      </c>
      <c r="H2675" s="2430">
        <v>6.6915680933527417</v>
      </c>
      <c r="I2675" s="2427">
        <v>6.5436216779189884</v>
      </c>
      <c r="J2675" s="2431">
        <v>0.30856429959999299</v>
      </c>
    </row>
    <row r="2676" spans="1:10" x14ac:dyDescent="0.2">
      <c r="A2676" s="2433" t="s">
        <v>1834</v>
      </c>
      <c r="B2676" s="2434">
        <v>29973.21</v>
      </c>
      <c r="C2676" s="2433"/>
      <c r="D2676" s="2435">
        <v>262332.79708540591</v>
      </c>
      <c r="E2676" s="2436">
        <v>70.016779334811389</v>
      </c>
      <c r="F2676" s="2434">
        <v>67.870840112519943</v>
      </c>
      <c r="G2676" s="2435">
        <v>2.1528068248996637</v>
      </c>
      <c r="H2676" s="2436">
        <v>88.029916770932502</v>
      </c>
      <c r="I2676" s="2434">
        <v>86.083629973054968</v>
      </c>
      <c r="J2676" s="2437">
        <v>4.0592711952302318</v>
      </c>
    </row>
    <row r="2677" spans="1:10" x14ac:dyDescent="0.2">
      <c r="A2677" s="2426" t="s">
        <v>961</v>
      </c>
      <c r="B2677" s="2427">
        <v>1160</v>
      </c>
      <c r="C2677" s="2428">
        <v>3668000</v>
      </c>
      <c r="D2677" s="2429">
        <v>4254.88</v>
      </c>
      <c r="E2677" s="2430">
        <v>2.7097352612009593</v>
      </c>
      <c r="F2677" s="2427">
        <v>2.6266847805264475</v>
      </c>
      <c r="G2677" s="2429">
        <v>8.3316265321052019E-2</v>
      </c>
      <c r="H2677" s="2430">
        <v>1.4277922411217359</v>
      </c>
      <c r="I2677" s="2427">
        <v>1.3962246412540873</v>
      </c>
      <c r="J2677" s="2431">
        <v>6.5838934418627704E-2</v>
      </c>
    </row>
    <row r="2678" spans="1:10" x14ac:dyDescent="0.2">
      <c r="A2678" s="2426" t="s">
        <v>962</v>
      </c>
      <c r="B2678" s="2427">
        <v>0</v>
      </c>
      <c r="C2678" s="2428">
        <v>1999999.9999999998</v>
      </c>
      <c r="D2678" s="2429">
        <v>0</v>
      </c>
      <c r="E2678" s="2430">
        <v>0</v>
      </c>
      <c r="F2678" s="2427">
        <v>0</v>
      </c>
      <c r="G2678" s="2429">
        <v>0</v>
      </c>
      <c r="H2678" s="2430">
        <v>0</v>
      </c>
      <c r="I2678" s="2427">
        <v>0</v>
      </c>
      <c r="J2678" s="2431">
        <v>0</v>
      </c>
    </row>
    <row r="2679" spans="1:10" x14ac:dyDescent="0.2">
      <c r="A2679" s="2426" t="s">
        <v>963</v>
      </c>
      <c r="B2679" s="2427">
        <v>160</v>
      </c>
      <c r="C2679" s="2428">
        <v>1347999.9999999998</v>
      </c>
      <c r="D2679" s="2429">
        <v>215.67999999999998</v>
      </c>
      <c r="E2679" s="2430">
        <v>0.37375658775185649</v>
      </c>
      <c r="F2679" s="2427">
        <v>0.36230134903813066</v>
      </c>
      <c r="G2679" s="2429">
        <v>1.1491898664972692E-2</v>
      </c>
      <c r="H2679" s="2430">
        <v>7.2374833265599958E-2</v>
      </c>
      <c r="I2679" s="2427">
        <v>7.0774670643045517E-2</v>
      </c>
      <c r="J2679" s="2431">
        <v>3.3373776405937706E-3</v>
      </c>
    </row>
    <row r="2680" spans="1:10" x14ac:dyDescent="0.2">
      <c r="A2680" s="2426" t="s">
        <v>965</v>
      </c>
      <c r="B2680" s="2427">
        <v>210</v>
      </c>
      <c r="C2680" s="2428">
        <v>1599999.9999999995</v>
      </c>
      <c r="D2680" s="2429">
        <v>335.99999999999989</v>
      </c>
      <c r="E2680" s="2430">
        <v>0.49055552142431164</v>
      </c>
      <c r="F2680" s="2427">
        <v>0.47552052061254652</v>
      </c>
      <c r="G2680" s="2429">
        <v>1.508311699777666E-2</v>
      </c>
      <c r="H2680" s="2430">
        <v>0.11275011117044501</v>
      </c>
      <c r="I2680" s="2427">
        <v>0.11025727622432904</v>
      </c>
      <c r="J2680" s="2431">
        <v>5.1991788169487513E-3</v>
      </c>
    </row>
    <row r="2681" spans="1:10" x14ac:dyDescent="0.2">
      <c r="A2681" s="2426" t="s">
        <v>966</v>
      </c>
      <c r="B2681" s="2427">
        <v>0</v>
      </c>
      <c r="C2681" s="2428">
        <v>2244000</v>
      </c>
      <c r="D2681" s="2429">
        <v>0</v>
      </c>
      <c r="E2681" s="2430">
        <v>0</v>
      </c>
      <c r="F2681" s="2427">
        <v>0</v>
      </c>
      <c r="G2681" s="2429">
        <v>0</v>
      </c>
      <c r="H2681" s="2430">
        <v>0</v>
      </c>
      <c r="I2681" s="2427">
        <v>0</v>
      </c>
      <c r="J2681" s="2431">
        <v>0</v>
      </c>
    </row>
    <row r="2682" spans="1:10" x14ac:dyDescent="0.2">
      <c r="A2682" s="2426" t="s">
        <v>1499</v>
      </c>
      <c r="B2682" s="2427">
        <v>18</v>
      </c>
      <c r="C2682" s="2428">
        <v>4849999.9999999991</v>
      </c>
      <c r="D2682" s="2429">
        <v>87.299999999999983</v>
      </c>
      <c r="E2682" s="2430">
        <v>4.2047616122083853E-2</v>
      </c>
      <c r="F2682" s="2427">
        <v>4.0758901766789701E-2</v>
      </c>
      <c r="G2682" s="2429">
        <v>1.292838599809428E-3</v>
      </c>
      <c r="H2682" s="2430">
        <v>2.9294894955892419E-2</v>
      </c>
      <c r="I2682" s="2427">
        <v>2.864720301899978E-2</v>
      </c>
      <c r="J2682" s="2431">
        <v>1.3508580676179346E-3</v>
      </c>
    </row>
    <row r="2683" spans="1:10" x14ac:dyDescent="0.2">
      <c r="A2683" s="2426" t="s">
        <v>1575</v>
      </c>
      <c r="B2683" s="2427">
        <v>0</v>
      </c>
      <c r="C2683" s="2428">
        <v>2250000.0000000005</v>
      </c>
      <c r="D2683" s="2429">
        <v>0</v>
      </c>
      <c r="E2683" s="2430">
        <v>0</v>
      </c>
      <c r="F2683" s="2427">
        <v>0</v>
      </c>
      <c r="G2683" s="2429">
        <v>0</v>
      </c>
      <c r="H2683" s="2430">
        <v>0</v>
      </c>
      <c r="I2683" s="2427">
        <v>0</v>
      </c>
      <c r="J2683" s="2431">
        <v>0</v>
      </c>
    </row>
    <row r="2684" spans="1:10" x14ac:dyDescent="0.2">
      <c r="A2684" s="2426" t="s">
        <v>964</v>
      </c>
      <c r="B2684" s="2427">
        <v>0</v>
      </c>
      <c r="C2684" s="2428">
        <v>1556000</v>
      </c>
      <c r="D2684" s="2429">
        <v>0</v>
      </c>
      <c r="E2684" s="2430">
        <v>0</v>
      </c>
      <c r="F2684" s="2427">
        <v>0</v>
      </c>
      <c r="G2684" s="2429">
        <v>0</v>
      </c>
      <c r="H2684" s="2430">
        <v>0</v>
      </c>
      <c r="I2684" s="2427">
        <v>0</v>
      </c>
      <c r="J2684" s="2431">
        <v>0</v>
      </c>
    </row>
    <row r="2685" spans="1:10" x14ac:dyDescent="0.2">
      <c r="A2685" s="2426" t="s">
        <v>969</v>
      </c>
      <c r="B2685" s="2427">
        <v>160</v>
      </c>
      <c r="C2685" s="2428">
        <v>4800000</v>
      </c>
      <c r="D2685" s="2429">
        <v>768</v>
      </c>
      <c r="E2685" s="2430">
        <v>0.37375658775185649</v>
      </c>
      <c r="F2685" s="2427">
        <v>0.36230134903813066</v>
      </c>
      <c r="G2685" s="2429">
        <v>1.1491898664972692E-2</v>
      </c>
      <c r="H2685" s="2430">
        <v>0.25771453981816012</v>
      </c>
      <c r="I2685" s="2427">
        <v>0.25201663136989505</v>
      </c>
      <c r="J2685" s="2431">
        <v>1.1883837295882863E-2</v>
      </c>
    </row>
    <row r="2686" spans="1:10" x14ac:dyDescent="0.2">
      <c r="A2686" s="2426" t="s">
        <v>968</v>
      </c>
      <c r="B2686" s="2427">
        <v>63</v>
      </c>
      <c r="C2686" s="2428">
        <v>3050000.0000000009</v>
      </c>
      <c r="D2686" s="2429">
        <v>192.15000000000006</v>
      </c>
      <c r="E2686" s="2430">
        <v>0.14716665642729349</v>
      </c>
      <c r="F2686" s="2427">
        <v>0.14265615618376395</v>
      </c>
      <c r="G2686" s="2429">
        <v>4.5249350993329983E-3</v>
      </c>
      <c r="H2686" s="2430">
        <v>6.4478969825598281E-2</v>
      </c>
      <c r="I2686" s="2427">
        <v>6.305337984078821E-2</v>
      </c>
      <c r="J2686" s="2431">
        <v>2.9732803859425687E-3</v>
      </c>
    </row>
    <row r="2687" spans="1:10" x14ac:dyDescent="0.2">
      <c r="A2687" s="2426" t="s">
        <v>1013</v>
      </c>
      <c r="B2687" s="2427">
        <v>48</v>
      </c>
      <c r="C2687" s="2428">
        <v>1799999.9999999998</v>
      </c>
      <c r="D2687" s="2429">
        <v>86.399999999999991</v>
      </c>
      <c r="E2687" s="2430">
        <v>0.11212697632555695</v>
      </c>
      <c r="F2687" s="2427">
        <v>0.10869040471143922</v>
      </c>
      <c r="G2687" s="2429">
        <v>3.4475695994918083E-3</v>
      </c>
      <c r="H2687" s="2430">
        <v>2.8992885729543012E-2</v>
      </c>
      <c r="I2687" s="2427">
        <v>2.8351871029113185E-2</v>
      </c>
      <c r="J2687" s="2431">
        <v>1.336931695786822E-3</v>
      </c>
    </row>
    <row r="2688" spans="1:10" x14ac:dyDescent="0.2">
      <c r="A2688" s="2426" t="s">
        <v>1014</v>
      </c>
      <c r="B2688" s="2427">
        <v>0</v>
      </c>
      <c r="C2688" s="2428">
        <v>2195000.0000000005</v>
      </c>
      <c r="D2688" s="2429">
        <v>0</v>
      </c>
      <c r="E2688" s="2430">
        <v>0</v>
      </c>
      <c r="F2688" s="2427">
        <v>0</v>
      </c>
      <c r="G2688" s="2429">
        <v>0</v>
      </c>
      <c r="H2688" s="2430">
        <v>0</v>
      </c>
      <c r="I2688" s="2427">
        <v>0</v>
      </c>
      <c r="J2688" s="2431">
        <v>0</v>
      </c>
    </row>
    <row r="2689" spans="1:10" x14ac:dyDescent="0.2">
      <c r="A2689" s="2426" t="s">
        <v>970</v>
      </c>
      <c r="B2689" s="2427">
        <v>213</v>
      </c>
      <c r="C2689" s="2428">
        <v>3100000.0000000005</v>
      </c>
      <c r="D2689" s="2429">
        <v>660.30000000000007</v>
      </c>
      <c r="E2689" s="2430">
        <v>0.49756345744465891</v>
      </c>
      <c r="F2689" s="2427">
        <v>0.48231367090701149</v>
      </c>
      <c r="G2689" s="2429">
        <v>1.5298590097744896E-2</v>
      </c>
      <c r="H2689" s="2430">
        <v>0.22157410239834785</v>
      </c>
      <c r="I2689" s="2427">
        <v>0.21667523658013244</v>
      </c>
      <c r="J2689" s="2431">
        <v>1.0217314800093042E-2</v>
      </c>
    </row>
    <row r="2690" spans="1:10" x14ac:dyDescent="0.2">
      <c r="A2690" s="2426" t="s">
        <v>971</v>
      </c>
      <c r="B2690" s="2427">
        <v>0</v>
      </c>
      <c r="C2690" s="2428">
        <v>3010000</v>
      </c>
      <c r="D2690" s="2429">
        <v>0</v>
      </c>
      <c r="E2690" s="2430">
        <v>0</v>
      </c>
      <c r="F2690" s="2427">
        <v>0</v>
      </c>
      <c r="G2690" s="2429">
        <v>0</v>
      </c>
      <c r="H2690" s="2430">
        <v>0</v>
      </c>
      <c r="I2690" s="2427">
        <v>0</v>
      </c>
      <c r="J2690" s="2431">
        <v>0</v>
      </c>
    </row>
    <row r="2691" spans="1:10" x14ac:dyDescent="0.2">
      <c r="A2691" s="2426" t="s">
        <v>972</v>
      </c>
      <c r="B2691" s="2427">
        <v>55</v>
      </c>
      <c r="C2691" s="2428">
        <v>2744000.0000000005</v>
      </c>
      <c r="D2691" s="2429">
        <v>150.92000000000002</v>
      </c>
      <c r="E2691" s="2430">
        <v>0.12847882703970065</v>
      </c>
      <c r="F2691" s="2427">
        <v>0.12454108873185743</v>
      </c>
      <c r="G2691" s="2429">
        <v>3.9503401660843634E-3</v>
      </c>
      <c r="H2691" s="2430">
        <v>5.0643591600724909E-2</v>
      </c>
      <c r="I2691" s="2427">
        <v>4.952389323742782E-2</v>
      </c>
      <c r="J2691" s="2431">
        <v>2.3352978186128148E-3</v>
      </c>
    </row>
    <row r="2692" spans="1:10" x14ac:dyDescent="0.2">
      <c r="A2692" s="2426" t="s">
        <v>973</v>
      </c>
      <c r="B2692" s="2427">
        <v>115</v>
      </c>
      <c r="C2692" s="2428">
        <v>2549999.9999999991</v>
      </c>
      <c r="D2692" s="2429">
        <v>293.24999999999989</v>
      </c>
      <c r="E2692" s="2430">
        <v>0.26863754744664681</v>
      </c>
      <c r="F2692" s="2427">
        <v>0.26040409462115643</v>
      </c>
      <c r="G2692" s="2429">
        <v>8.2598021654491233E-3</v>
      </c>
      <c r="H2692" s="2430">
        <v>9.8404672918848204E-2</v>
      </c>
      <c r="I2692" s="2427">
        <v>9.6229006704715736E-2</v>
      </c>
      <c r="J2692" s="2431">
        <v>4.5376761549708964E-3</v>
      </c>
    </row>
    <row r="2693" spans="1:10" x14ac:dyDescent="0.2">
      <c r="A2693" s="2426" t="s">
        <v>974</v>
      </c>
      <c r="B2693" s="2427">
        <v>40</v>
      </c>
      <c r="C2693" s="2428">
        <v>1583999.9999999995</v>
      </c>
      <c r="D2693" s="2429">
        <v>63.359999999999985</v>
      </c>
      <c r="E2693" s="2430">
        <v>9.3439146937964124E-2</v>
      </c>
      <c r="F2693" s="2427">
        <v>9.0575337259532665E-2</v>
      </c>
      <c r="G2693" s="2429">
        <v>2.872974666243173E-3</v>
      </c>
      <c r="H2693" s="2430">
        <v>2.1261449534998207E-2</v>
      </c>
      <c r="I2693" s="2427">
        <v>2.0791372088016333E-2</v>
      </c>
      <c r="J2693" s="2431">
        <v>9.8041657691033592E-4</v>
      </c>
    </row>
    <row r="2694" spans="1:10" x14ac:dyDescent="0.2">
      <c r="A2694" s="2426" t="s">
        <v>975</v>
      </c>
      <c r="B2694" s="2427">
        <v>42</v>
      </c>
      <c r="C2694" s="2428">
        <v>2532000.0000000009</v>
      </c>
      <c r="D2694" s="2429">
        <v>106.34400000000005</v>
      </c>
      <c r="E2694" s="2430">
        <v>9.8111104284862305E-2</v>
      </c>
      <c r="F2694" s="2427">
        <v>9.5104104122509317E-2</v>
      </c>
      <c r="G2694" s="2429">
        <v>3.0166233995553319E-3</v>
      </c>
      <c r="H2694" s="2430">
        <v>3.5685410185445875E-2</v>
      </c>
      <c r="I2694" s="2427">
        <v>3.4896427925000167E-2</v>
      </c>
      <c r="J2694" s="2431">
        <v>1.6455400955642809E-3</v>
      </c>
    </row>
    <row r="2695" spans="1:10" x14ac:dyDescent="0.2">
      <c r="A2695" s="2426" t="s">
        <v>976</v>
      </c>
      <c r="B2695" s="2427">
        <v>550</v>
      </c>
      <c r="C2695" s="2428">
        <v>7394999.9999999991</v>
      </c>
      <c r="D2695" s="2429">
        <v>4067.2499999999995</v>
      </c>
      <c r="E2695" s="2430">
        <v>1.2847882703970066</v>
      </c>
      <c r="F2695" s="2427">
        <v>1.2454108873185743</v>
      </c>
      <c r="G2695" s="2429">
        <v>3.950340166084363E-2</v>
      </c>
      <c r="H2695" s="2430">
        <v>1.3648300287440256</v>
      </c>
      <c r="I2695" s="2427">
        <v>1.3346544842958405</v>
      </c>
      <c r="J2695" s="2431">
        <v>6.2935595366770264E-2</v>
      </c>
    </row>
    <row r="2696" spans="1:10" x14ac:dyDescent="0.2">
      <c r="A2696" s="2426" t="s">
        <v>286</v>
      </c>
      <c r="B2696" s="2427">
        <v>60</v>
      </c>
      <c r="C2696" s="2428">
        <v>2445000.0000000005</v>
      </c>
      <c r="D2696" s="2429">
        <v>146.70000000000002</v>
      </c>
      <c r="E2696" s="2430">
        <v>0.14015872040694619</v>
      </c>
      <c r="F2696" s="2427">
        <v>0.135863005889299</v>
      </c>
      <c r="G2696" s="2429">
        <v>4.3094619993647599E-3</v>
      </c>
      <c r="H2696" s="2430">
        <v>4.9227503894953256E-2</v>
      </c>
      <c r="I2696" s="2427">
        <v>4.8139114351515112E-2</v>
      </c>
      <c r="J2696" s="2431">
        <v>2.2699986084713753E-3</v>
      </c>
    </row>
    <row r="2697" spans="1:10" x14ac:dyDescent="0.2">
      <c r="A2697" s="2439" t="s">
        <v>978</v>
      </c>
      <c r="B2697" s="2427">
        <v>60</v>
      </c>
      <c r="C2697" s="2428">
        <v>1850000.0000000002</v>
      </c>
      <c r="D2697" s="2429">
        <v>111.00000000000001</v>
      </c>
      <c r="E2697" s="2430">
        <v>0.14015872040694619</v>
      </c>
      <c r="F2697" s="2427">
        <v>0.135863005889299</v>
      </c>
      <c r="G2697" s="2429">
        <v>4.3094619993647599E-3</v>
      </c>
      <c r="H2697" s="2430">
        <v>3.7247804583093465E-2</v>
      </c>
      <c r="I2697" s="2427">
        <v>3.6424278752680145E-2</v>
      </c>
      <c r="J2697" s="2431">
        <v>1.7175858591705702E-3</v>
      </c>
    </row>
    <row r="2698" spans="1:10" x14ac:dyDescent="0.2">
      <c r="A2698" s="2426" t="s">
        <v>1163</v>
      </c>
      <c r="B2698" s="2427">
        <v>0</v>
      </c>
      <c r="C2698" s="2428">
        <v>0</v>
      </c>
      <c r="D2698" s="2429">
        <v>0</v>
      </c>
      <c r="E2698" s="2430">
        <v>0</v>
      </c>
      <c r="F2698" s="2427">
        <v>0</v>
      </c>
      <c r="G2698" s="2429">
        <v>0</v>
      </c>
      <c r="H2698" s="2430">
        <v>0</v>
      </c>
      <c r="I2698" s="2427">
        <v>0</v>
      </c>
      <c r="J2698" s="2431">
        <v>0</v>
      </c>
    </row>
    <row r="2699" spans="1:10" x14ac:dyDescent="0.2">
      <c r="A2699" s="2433" t="s">
        <v>287</v>
      </c>
      <c r="B2699" s="2434">
        <v>2954</v>
      </c>
      <c r="C2699" s="2433"/>
      <c r="D2699" s="2435">
        <v>11539.534</v>
      </c>
      <c r="E2699" s="2436">
        <v>6.9004810013686493</v>
      </c>
      <c r="F2699" s="2434">
        <v>6.6889886566164876</v>
      </c>
      <c r="G2699" s="2435">
        <v>0.21216917910205835</v>
      </c>
      <c r="H2699" s="2436">
        <v>3.8722730397474119</v>
      </c>
      <c r="I2699" s="2434">
        <v>3.7866594873155863</v>
      </c>
      <c r="J2699" s="2437">
        <v>0.17855982360196401</v>
      </c>
    </row>
    <row r="2700" spans="1:10" x14ac:dyDescent="0.2">
      <c r="A2700" s="2440" t="s">
        <v>1835</v>
      </c>
      <c r="B2700" s="2441">
        <v>32927.21</v>
      </c>
      <c r="C2700" s="2440"/>
      <c r="D2700" s="2442">
        <v>273872.33108540589</v>
      </c>
      <c r="E2700" s="2443">
        <v>76.917260336180021</v>
      </c>
      <c r="F2700" s="2441">
        <v>74.559828769136416</v>
      </c>
      <c r="G2700" s="2442">
        <v>2.3649760040017216</v>
      </c>
      <c r="H2700" s="2443">
        <v>91.902189810679914</v>
      </c>
      <c r="I2700" s="2441">
        <v>89.870289460370543</v>
      </c>
      <c r="J2700" s="2444">
        <v>4.2378310188321962</v>
      </c>
    </row>
    <row r="2701" spans="1:10" x14ac:dyDescent="0.2">
      <c r="A2701" s="2445" t="s">
        <v>194</v>
      </c>
      <c r="B2701" s="2446">
        <v>42808.61</v>
      </c>
      <c r="C2701" s="2447"/>
      <c r="D2701" s="2448">
        <v>298004.14076050592</v>
      </c>
      <c r="E2701" s="2449">
        <v>99.999999999999986</v>
      </c>
      <c r="F2701" s="2446">
        <v>96.935107209045086</v>
      </c>
      <c r="G2701" s="2448">
        <v>3.0747013006771042</v>
      </c>
      <c r="H2701" s="2449">
        <v>100</v>
      </c>
      <c r="I2701" s="2446">
        <v>97.789062094717096</v>
      </c>
      <c r="J2701" s="2450">
        <v>4.611240523824514</v>
      </c>
    </row>
    <row r="2702" spans="1:10" x14ac:dyDescent="0.2">
      <c r="A2702" s="2451" t="s">
        <v>1852</v>
      </c>
      <c r="B2702" s="2427"/>
      <c r="C2702" s="2452"/>
      <c r="D2702" s="2429"/>
      <c r="E2702" s="2430"/>
      <c r="F2702" s="2427">
        <v>0</v>
      </c>
      <c r="G2702" s="2429"/>
      <c r="H2702" s="2430"/>
      <c r="I2702" s="2427">
        <v>0</v>
      </c>
      <c r="J2702" s="2431">
        <v>0</v>
      </c>
    </row>
    <row r="2703" spans="1:10" x14ac:dyDescent="0.2">
      <c r="A2703" s="2453" t="s">
        <v>1836</v>
      </c>
      <c r="B2703" s="2427">
        <v>0</v>
      </c>
      <c r="C2703" s="2428">
        <v>8033612.4975057133</v>
      </c>
      <c r="D2703" s="2429">
        <v>0</v>
      </c>
      <c r="E2703" s="2430">
        <v>0</v>
      </c>
      <c r="F2703" s="2427">
        <v>0</v>
      </c>
      <c r="G2703" s="2429">
        <v>0</v>
      </c>
      <c r="H2703" s="2430">
        <v>0</v>
      </c>
      <c r="I2703" s="2427">
        <v>0</v>
      </c>
      <c r="J2703" s="2431">
        <v>0</v>
      </c>
    </row>
    <row r="2704" spans="1:10" x14ac:dyDescent="0.2">
      <c r="A2704" s="2453" t="s">
        <v>1837</v>
      </c>
      <c r="B2704" s="2427">
        <v>803</v>
      </c>
      <c r="C2704" s="2428">
        <v>2214764.1578067578</v>
      </c>
      <c r="D2704" s="2429">
        <v>1778.4556187188266</v>
      </c>
      <c r="E2704" s="2430">
        <v>68.278132631335481</v>
      </c>
      <c r="F2704" s="2427">
        <v>1.8182998954851184</v>
      </c>
      <c r="G2704" s="2429">
        <v>5.7674966424831706E-2</v>
      </c>
      <c r="H2704" s="2430">
        <v>39.138790798264417</v>
      </c>
      <c r="I2704" s="2427">
        <v>0.58359426311247542</v>
      </c>
      <c r="J2704" s="2431">
        <v>2.7519371368233361E-2</v>
      </c>
    </row>
    <row r="2705" spans="1:10" x14ac:dyDescent="0.2">
      <c r="A2705" s="2454" t="s">
        <v>309</v>
      </c>
      <c r="B2705" s="2434">
        <v>803</v>
      </c>
      <c r="C2705" s="2433"/>
      <c r="D2705" s="2435">
        <v>1778.4556187188266</v>
      </c>
      <c r="E2705" s="2436">
        <v>68.278132631335481</v>
      </c>
      <c r="F2705" s="2434">
        <v>1.8182998954851184</v>
      </c>
      <c r="G2705" s="2435">
        <v>5.7674966424831706E-2</v>
      </c>
      <c r="H2705" s="2436">
        <v>39.138790798264417</v>
      </c>
      <c r="I2705" s="2434">
        <v>0.58359426311247542</v>
      </c>
      <c r="J2705" s="2437">
        <v>2.7519371368233361E-2</v>
      </c>
    </row>
    <row r="2706" spans="1:10" x14ac:dyDescent="0.2">
      <c r="A2706" s="2453" t="s">
        <v>1838</v>
      </c>
      <c r="B2706" s="2427">
        <v>0</v>
      </c>
      <c r="C2706" s="2428">
        <v>10407427.50198495</v>
      </c>
      <c r="D2706" s="2429">
        <v>0</v>
      </c>
      <c r="E2706" s="2430">
        <v>0</v>
      </c>
      <c r="F2706" s="2427">
        <v>0</v>
      </c>
      <c r="G2706" s="2429">
        <v>0</v>
      </c>
      <c r="H2706" s="2430">
        <v>0</v>
      </c>
      <c r="I2706" s="2427">
        <v>0</v>
      </c>
      <c r="J2706" s="2431">
        <v>0</v>
      </c>
    </row>
    <row r="2707" spans="1:10" x14ac:dyDescent="0.2">
      <c r="A2707" s="2454" t="s">
        <v>315</v>
      </c>
      <c r="B2707" s="2434">
        <v>0</v>
      </c>
      <c r="C2707" s="2455"/>
      <c r="D2707" s="2435">
        <v>0</v>
      </c>
      <c r="E2707" s="2436">
        <v>0</v>
      </c>
      <c r="F2707" s="2434">
        <v>0</v>
      </c>
      <c r="G2707" s="2435">
        <v>0</v>
      </c>
      <c r="H2707" s="2436">
        <v>0</v>
      </c>
      <c r="I2707" s="2434">
        <v>0</v>
      </c>
      <c r="J2707" s="2437">
        <v>0</v>
      </c>
    </row>
    <row r="2708" spans="1:10" x14ac:dyDescent="0.2">
      <c r="A2708" s="2453" t="s">
        <v>1541</v>
      </c>
      <c r="B2708" s="2427">
        <v>6.0720000000000001</v>
      </c>
      <c r="C2708" s="2428">
        <v>10553660</v>
      </c>
      <c r="D2708" s="2429">
        <v>64.08182352</v>
      </c>
      <c r="E2708" s="2430">
        <v>0.51629492071913963</v>
      </c>
      <c r="F2708" s="2427">
        <v>1.374933619599706E-2</v>
      </c>
      <c r="G2708" s="2429">
        <v>4.361175543357137E-4</v>
      </c>
      <c r="H2708" s="2430">
        <v>1.4102601483681487</v>
      </c>
      <c r="I2708" s="2427">
        <v>2.1028236061914726E-2</v>
      </c>
      <c r="J2708" s="2431">
        <v>9.9158589106140577E-4</v>
      </c>
    </row>
    <row r="2709" spans="1:10" x14ac:dyDescent="0.2">
      <c r="A2709" s="2453" t="s">
        <v>206</v>
      </c>
      <c r="B2709" s="2427">
        <v>362.5</v>
      </c>
      <c r="C2709" s="2428">
        <v>6960000</v>
      </c>
      <c r="D2709" s="2429">
        <v>2523</v>
      </c>
      <c r="E2709" s="2430">
        <v>30.822942813025051</v>
      </c>
      <c r="F2709" s="2427">
        <v>0.82083899391451487</v>
      </c>
      <c r="G2709" s="2429">
        <v>2.6036332912828756E-2</v>
      </c>
      <c r="H2709" s="2430">
        <v>55.524112125528966</v>
      </c>
      <c r="I2709" s="2427">
        <v>0.82791401164875666</v>
      </c>
      <c r="J2709" s="2431">
        <v>3.9040262366552683E-2</v>
      </c>
    </row>
    <row r="2710" spans="1:10" x14ac:dyDescent="0.2">
      <c r="A2710" s="2454" t="s">
        <v>310</v>
      </c>
      <c r="B2710" s="2434">
        <v>368.572</v>
      </c>
      <c r="C2710" s="2455"/>
      <c r="D2710" s="2435">
        <v>2587.0818235199999</v>
      </c>
      <c r="E2710" s="2436">
        <v>31.339237733744191</v>
      </c>
      <c r="F2710" s="2434">
        <v>0.83458833011051181</v>
      </c>
      <c r="G2710" s="2435">
        <v>2.6472450467164472E-2</v>
      </c>
      <c r="H2710" s="2436">
        <v>56.934372273897118</v>
      </c>
      <c r="I2710" s="2434">
        <v>0.8489422477106715</v>
      </c>
      <c r="J2710" s="2437">
        <v>4.0031848257614092E-2</v>
      </c>
    </row>
    <row r="2711" spans="1:10" x14ac:dyDescent="0.2">
      <c r="A2711" s="2453" t="s">
        <v>1839</v>
      </c>
      <c r="B2711" s="2427">
        <v>4.5</v>
      </c>
      <c r="C2711" s="2428">
        <v>39652080.629353955</v>
      </c>
      <c r="D2711" s="2429">
        <v>178.4343628320928</v>
      </c>
      <c r="E2711" s="2430">
        <v>0.38262963492031093</v>
      </c>
      <c r="F2711" s="2427">
        <v>1.0189725441697425E-2</v>
      </c>
      <c r="G2711" s="2429">
        <v>3.2320964995235699E-4</v>
      </c>
      <c r="H2711" s="2430">
        <v>3.9268369278384618</v>
      </c>
      <c r="I2711" s="2427">
        <v>5.8552639377054204E-2</v>
      </c>
      <c r="J2711" s="2431">
        <v>2.7610480936082283E-3</v>
      </c>
    </row>
    <row r="2712" spans="1:10" x14ac:dyDescent="0.2">
      <c r="A2712" s="2454" t="s">
        <v>311</v>
      </c>
      <c r="B2712" s="2434">
        <v>4.5</v>
      </c>
      <c r="C2712" s="2433"/>
      <c r="D2712" s="2435">
        <v>178.4343628320928</v>
      </c>
      <c r="E2712" s="2436">
        <v>0.38262963492031093</v>
      </c>
      <c r="F2712" s="2434">
        <v>1.0189725441697425E-2</v>
      </c>
      <c r="G2712" s="2435">
        <v>3.2320964995235699E-4</v>
      </c>
      <c r="H2712" s="2436">
        <v>3.9268369278384618</v>
      </c>
      <c r="I2712" s="2434">
        <v>5.8552639377054204E-2</v>
      </c>
      <c r="J2712" s="2437">
        <v>2.7610480936082283E-3</v>
      </c>
    </row>
    <row r="2713" spans="1:10" x14ac:dyDescent="0.2">
      <c r="A2713" s="2445" t="s">
        <v>129</v>
      </c>
      <c r="B2713" s="2446">
        <v>1176.0720000000001</v>
      </c>
      <c r="C2713" s="2447"/>
      <c r="D2713" s="2448">
        <v>4543.9718050709198</v>
      </c>
      <c r="E2713" s="2449">
        <v>99.999999999999972</v>
      </c>
      <c r="F2713" s="2446">
        <v>2.6630779510373279</v>
      </c>
      <c r="G2713" s="2448">
        <v>8.4470626541948535E-2</v>
      </c>
      <c r="H2713" s="2449">
        <v>100</v>
      </c>
      <c r="I2713" s="2446">
        <v>1.4910891502002013</v>
      </c>
      <c r="J2713" s="2450">
        <v>7.0312267719455701E-2</v>
      </c>
    </row>
    <row r="2714" spans="1:10" x14ac:dyDescent="0.2">
      <c r="A2714" s="2451" t="s">
        <v>1853</v>
      </c>
      <c r="B2714" s="2427"/>
      <c r="C2714" s="2452"/>
      <c r="D2714" s="2429"/>
      <c r="E2714" s="2430"/>
      <c r="F2714" s="2427">
        <v>0</v>
      </c>
      <c r="G2714" s="2429"/>
      <c r="H2714" s="2430"/>
      <c r="I2714" s="2427">
        <v>0</v>
      </c>
      <c r="J2714" s="2431">
        <v>0</v>
      </c>
    </row>
    <row r="2715" spans="1:10" x14ac:dyDescent="0.2">
      <c r="A2715" s="2426" t="s">
        <v>1543</v>
      </c>
      <c r="B2715" s="2427">
        <v>111.15</v>
      </c>
      <c r="C2715" s="2428">
        <v>13200000</v>
      </c>
      <c r="D2715" s="2429">
        <v>1467.18</v>
      </c>
      <c r="E2715" s="2430">
        <v>62.637362637362635</v>
      </c>
      <c r="F2715" s="2427">
        <v>0.25168621840992644</v>
      </c>
      <c r="G2715" s="2429">
        <v>7.9832783538232189E-3</v>
      </c>
      <c r="H2715" s="2430">
        <v>66.882134130775668</v>
      </c>
      <c r="I2715" s="2427">
        <v>0.48145020991312837</v>
      </c>
      <c r="J2715" s="2431">
        <v>2.2702771359079974E-2</v>
      </c>
    </row>
    <row r="2716" spans="1:10" x14ac:dyDescent="0.2">
      <c r="A2716" s="2426" t="s">
        <v>208</v>
      </c>
      <c r="B2716" s="2427">
        <v>55.08</v>
      </c>
      <c r="C2716" s="2428">
        <v>10000000</v>
      </c>
      <c r="D2716" s="2429">
        <v>550.79999999999995</v>
      </c>
      <c r="E2716" s="2430">
        <v>31.03972950126796</v>
      </c>
      <c r="F2716" s="2427">
        <v>0.12472223940637647</v>
      </c>
      <c r="G2716" s="2429">
        <v>3.9560861154168498E-3</v>
      </c>
      <c r="H2716" s="2430">
        <v>25.108493490390572</v>
      </c>
      <c r="I2716" s="2427">
        <v>0.18074317781059659</v>
      </c>
      <c r="J2716" s="2431">
        <v>8.5229395606409904E-3</v>
      </c>
    </row>
    <row r="2717" spans="1:10" x14ac:dyDescent="0.2">
      <c r="A2717" s="2426" t="s">
        <v>209</v>
      </c>
      <c r="B2717" s="2427">
        <v>1.22</v>
      </c>
      <c r="C2717" s="2428">
        <v>10000000</v>
      </c>
      <c r="D2717" s="2429">
        <v>12.2</v>
      </c>
      <c r="E2717" s="2430">
        <v>0.68751761059453365</v>
      </c>
      <c r="F2717" s="2427">
        <v>2.7625477864157465E-3</v>
      </c>
      <c r="G2717" s="2429">
        <v>8.7625727320416786E-5</v>
      </c>
      <c r="H2717" s="2430">
        <v>0.55614310200211514</v>
      </c>
      <c r="I2717" s="2427">
        <v>4.0033891962405199E-3</v>
      </c>
      <c r="J2717" s="2431">
        <v>1.8877970704397255E-4</v>
      </c>
    </row>
    <row r="2718" spans="1:10" x14ac:dyDescent="0.2">
      <c r="A2718" s="2426" t="s">
        <v>210</v>
      </c>
      <c r="B2718" s="2427">
        <v>5</v>
      </c>
      <c r="C2718" s="2428">
        <v>18500000</v>
      </c>
      <c r="D2718" s="2429">
        <v>92.5</v>
      </c>
      <c r="E2718" s="2430">
        <v>2.8176951253874325</v>
      </c>
      <c r="F2718" s="2427">
        <v>1.1321917157441583E-2</v>
      </c>
      <c r="G2718" s="2429">
        <v>3.5912183328039662E-4</v>
      </c>
      <c r="H2718" s="2430">
        <v>4.2166587651799707</v>
      </c>
      <c r="I2718" s="2427">
        <v>3.0353565627233452E-2</v>
      </c>
      <c r="J2718" s="2431">
        <v>1.4313215493088084E-3</v>
      </c>
    </row>
    <row r="2719" spans="1:10" x14ac:dyDescent="0.2">
      <c r="A2719" s="2426" t="s">
        <v>1545</v>
      </c>
      <c r="B2719" s="2427">
        <v>5</v>
      </c>
      <c r="C2719" s="2428">
        <v>14200000</v>
      </c>
      <c r="D2719" s="2429">
        <v>71</v>
      </c>
      <c r="E2719" s="2430">
        <v>2.8176951253874325</v>
      </c>
      <c r="F2719" s="2427">
        <v>1.1321917157441583E-2</v>
      </c>
      <c r="G2719" s="2429">
        <v>3.5912183328039662E-4</v>
      </c>
      <c r="H2719" s="2430">
        <v>3.2365705116516534</v>
      </c>
      <c r="I2719" s="2427">
        <v>2.3298412535498109E-2</v>
      </c>
      <c r="J2719" s="2431">
        <v>1.0986360000100042E-3</v>
      </c>
    </row>
    <row r="2720" spans="1:10" x14ac:dyDescent="0.2">
      <c r="A2720" s="2426" t="s">
        <v>1546</v>
      </c>
      <c r="B2720" s="2427">
        <v>0</v>
      </c>
      <c r="C2720" s="2428">
        <v>10000000</v>
      </c>
      <c r="D2720" s="2429">
        <v>0</v>
      </c>
      <c r="E2720" s="2430">
        <v>0</v>
      </c>
      <c r="F2720" s="2427">
        <v>0</v>
      </c>
      <c r="G2720" s="2429">
        <v>0</v>
      </c>
      <c r="H2720" s="2430">
        <v>0</v>
      </c>
      <c r="I2720" s="2427">
        <v>0</v>
      </c>
      <c r="J2720" s="2431">
        <v>0</v>
      </c>
    </row>
    <row r="2721" spans="1:10" x14ac:dyDescent="0.2">
      <c r="A2721" s="2445" t="s">
        <v>121</v>
      </c>
      <c r="B2721" s="2446">
        <v>177.45000000000002</v>
      </c>
      <c r="C2721" s="2447"/>
      <c r="D2721" s="2448">
        <v>2193.6800000000003</v>
      </c>
      <c r="E2721" s="2449">
        <v>100</v>
      </c>
      <c r="F2721" s="2446">
        <v>0.40181483991760186</v>
      </c>
      <c r="G2721" s="2448">
        <v>1.2745233863121279E-2</v>
      </c>
      <c r="H2721" s="2449">
        <v>99.999999999999972</v>
      </c>
      <c r="I2721" s="2446">
        <v>0.71984875508269719</v>
      </c>
      <c r="J2721" s="2450">
        <v>3.3944448176083754E-2</v>
      </c>
    </row>
    <row r="2722" spans="1:10" ht="14.25" thickBot="1" x14ac:dyDescent="0.25">
      <c r="A2722" s="2457" t="s">
        <v>1840</v>
      </c>
      <c r="B2722" s="2446">
        <v>44162.131999999998</v>
      </c>
      <c r="C2722" s="2458"/>
      <c r="D2722" s="2448">
        <v>304741.79256557685</v>
      </c>
      <c r="E2722" s="2459"/>
      <c r="F2722" s="2460">
        <v>100.00000000000001</v>
      </c>
      <c r="G2722" s="2461">
        <v>3.1719171610821739</v>
      </c>
      <c r="H2722" s="2462"/>
      <c r="I2722" s="2460">
        <v>99.999999999999986</v>
      </c>
      <c r="J2722" s="2463">
        <v>4.7154972397200536</v>
      </c>
    </row>
    <row r="2723" spans="1:10" ht="15" thickBot="1" x14ac:dyDescent="0.25">
      <c r="A2723" s="2464" t="s">
        <v>1841</v>
      </c>
      <c r="B2723" s="2465">
        <v>1392285.1624830281</v>
      </c>
      <c r="C2723" s="2466"/>
      <c r="D2723" s="2467">
        <v>6462559.0276810033</v>
      </c>
      <c r="E2723" s="2468"/>
      <c r="F2723" s="2469"/>
      <c r="G2723" s="2469"/>
      <c r="H2723" s="2469"/>
      <c r="I2723" s="2469"/>
      <c r="J2723" s="2469"/>
    </row>
    <row r="2724" spans="1:10" ht="16.5" thickBot="1" x14ac:dyDescent="0.3">
      <c r="A2724" s="2470" t="s">
        <v>1842</v>
      </c>
      <c r="B2724" s="2471">
        <v>3.1719171610821739</v>
      </c>
      <c r="C2724" s="2472"/>
      <c r="D2724" s="2473">
        <v>4.7154972397200536</v>
      </c>
      <c r="E2724" s="2468"/>
      <c r="F2724" s="2469"/>
      <c r="G2724" s="2469"/>
      <c r="H2724" s="2469"/>
      <c r="I2724" s="2469"/>
      <c r="J2724" s="2469"/>
    </row>
    <row r="2725" spans="1:10" x14ac:dyDescent="0.2">
      <c r="A2725" s="2474" t="s">
        <v>2023</v>
      </c>
      <c r="B2725" s="2474"/>
      <c r="C2725" s="2474"/>
      <c r="D2725" s="2475"/>
      <c r="E2725" s="2474"/>
      <c r="F2725" s="2474"/>
      <c r="H2725" s="2474"/>
      <c r="I2725" s="2474"/>
      <c r="J2725" s="2474"/>
    </row>
    <row r="2726" spans="1:10" x14ac:dyDescent="0.2">
      <c r="A2726" s="2474" t="s">
        <v>1843</v>
      </c>
      <c r="B2726" s="2474"/>
      <c r="C2726" s="2474"/>
      <c r="D2726" s="2474"/>
      <c r="E2726" s="2474"/>
      <c r="F2726" s="2474"/>
      <c r="G2726" s="2474"/>
      <c r="H2726" s="2474"/>
      <c r="I2726" s="2474"/>
      <c r="J2726" s="2474"/>
    </row>
    <row r="2727" spans="1:10" x14ac:dyDescent="0.2">
      <c r="A2727" s="2474" t="s">
        <v>2024</v>
      </c>
      <c r="B2727" s="2474"/>
      <c r="C2727" s="2474"/>
      <c r="D2727" s="2474"/>
      <c r="E2727" s="2474"/>
      <c r="F2727" s="2474"/>
      <c r="G2727" s="2474"/>
      <c r="H2727" s="2474"/>
      <c r="I2727" s="2474"/>
      <c r="J2727" s="2474"/>
    </row>
    <row r="2731" spans="1:10" ht="13.5" thickBot="1" x14ac:dyDescent="0.25">
      <c r="A2731" s="3321" t="s">
        <v>2021</v>
      </c>
      <c r="B2731" s="3321"/>
      <c r="C2731" s="3321"/>
      <c r="D2731" s="3321"/>
      <c r="E2731" s="3321"/>
      <c r="F2731" s="3321"/>
      <c r="G2731" s="3321"/>
      <c r="H2731" s="3321"/>
      <c r="I2731" s="3321"/>
      <c r="J2731" s="3321"/>
    </row>
    <row r="2732" spans="1:10" ht="13.5" customHeight="1" thickBot="1" x14ac:dyDescent="0.25">
      <c r="A2732" s="3322" t="s">
        <v>1857</v>
      </c>
      <c r="B2732" s="3324" t="s">
        <v>1272</v>
      </c>
      <c r="C2732" s="3324" t="s">
        <v>1832</v>
      </c>
      <c r="D2732" s="3326" t="s">
        <v>1844</v>
      </c>
      <c r="E2732" s="3328" t="s">
        <v>1849</v>
      </c>
      <c r="F2732" s="3329"/>
      <c r="G2732" s="3330"/>
      <c r="H2732" s="3328" t="s">
        <v>1850</v>
      </c>
      <c r="I2732" s="3329"/>
      <c r="J2732" s="3331"/>
    </row>
    <row r="2733" spans="1:10" ht="13.5" customHeight="1" thickBot="1" x14ac:dyDescent="0.25">
      <c r="A2733" s="3323"/>
      <c r="B2733" s="3325"/>
      <c r="C2733" s="3325"/>
      <c r="D2733" s="3327"/>
      <c r="E2733" s="2415" t="s">
        <v>1848</v>
      </c>
      <c r="F2733" s="2416" t="s">
        <v>1231</v>
      </c>
      <c r="G2733" s="2417" t="s">
        <v>1833</v>
      </c>
      <c r="H2733" s="2415" t="s">
        <v>1848</v>
      </c>
      <c r="I2733" s="2416" t="s">
        <v>1231</v>
      </c>
      <c r="J2733" s="2418" t="s">
        <v>1833</v>
      </c>
    </row>
    <row r="2734" spans="1:10" x14ac:dyDescent="0.2">
      <c r="A2734" s="2419" t="s">
        <v>1851</v>
      </c>
      <c r="B2734" s="2420"/>
      <c r="C2734" s="2420"/>
      <c r="D2734" s="2421"/>
      <c r="E2734" s="2422"/>
      <c r="F2734" s="2423"/>
      <c r="G2734" s="2424"/>
      <c r="H2734" s="2422"/>
      <c r="I2734" s="2423"/>
      <c r="J2734" s="2425"/>
    </row>
    <row r="2735" spans="1:10" x14ac:dyDescent="0.2">
      <c r="A2735" s="2426" t="s">
        <v>410</v>
      </c>
      <c r="B2735" s="2427">
        <v>0</v>
      </c>
      <c r="C2735" s="2428">
        <v>5667200.0000000009</v>
      </c>
      <c r="D2735" s="2429">
        <v>0</v>
      </c>
      <c r="E2735" s="2430">
        <v>0</v>
      </c>
      <c r="F2735" s="2427">
        <v>0</v>
      </c>
      <c r="G2735" s="2429">
        <v>0</v>
      </c>
      <c r="H2735" s="2430">
        <v>0</v>
      </c>
      <c r="I2735" s="2427">
        <v>0</v>
      </c>
      <c r="J2735" s="2431">
        <v>0</v>
      </c>
    </row>
    <row r="2736" spans="1:10" x14ac:dyDescent="0.2">
      <c r="A2736" s="2426" t="s">
        <v>411</v>
      </c>
      <c r="B2736" s="2427">
        <v>0</v>
      </c>
      <c r="C2736" s="2428">
        <v>1753716.5000000002</v>
      </c>
      <c r="D2736" s="2429">
        <v>0</v>
      </c>
      <c r="E2736" s="2430">
        <v>0</v>
      </c>
      <c r="F2736" s="2427">
        <v>0</v>
      </c>
      <c r="G2736" s="2429">
        <v>0</v>
      </c>
      <c r="H2736" s="2430">
        <v>0</v>
      </c>
      <c r="I2736" s="2427">
        <v>0</v>
      </c>
      <c r="J2736" s="2431">
        <v>0</v>
      </c>
    </row>
    <row r="2737" spans="1:10" x14ac:dyDescent="0.2">
      <c r="A2737" s="2426" t="s">
        <v>278</v>
      </c>
      <c r="B2737" s="2427">
        <v>497.29999999999995</v>
      </c>
      <c r="C2737" s="2428">
        <v>1637875</v>
      </c>
      <c r="D2737" s="2429">
        <v>814.5152374999999</v>
      </c>
      <c r="E2737" s="2430">
        <v>8.2547283342844615</v>
      </c>
      <c r="F2737" s="2427">
        <v>6.2867353840260476</v>
      </c>
      <c r="G2737" s="2429">
        <v>3.5718257538068246E-2</v>
      </c>
      <c r="H2737" s="2430">
        <v>2.5652908236145349</v>
      </c>
      <c r="I2737" s="2427">
        <v>2.175763176993724</v>
      </c>
      <c r="J2737" s="2431">
        <v>1.2603602288368992E-2</v>
      </c>
    </row>
    <row r="2738" spans="1:10" x14ac:dyDescent="0.2">
      <c r="A2738" s="2426" t="s">
        <v>200</v>
      </c>
      <c r="B2738" s="2427">
        <v>73.2</v>
      </c>
      <c r="C2738" s="2428">
        <v>7709114.5</v>
      </c>
      <c r="D2738" s="2429">
        <v>564.30718139999999</v>
      </c>
      <c r="E2738" s="2430">
        <v>1.2150535171317569</v>
      </c>
      <c r="F2738" s="2427">
        <v>0.92537508568410753</v>
      </c>
      <c r="G2738" s="2429">
        <v>5.2575436392250071E-3</v>
      </c>
      <c r="H2738" s="2430">
        <v>1.7772682050594575</v>
      </c>
      <c r="I2738" s="2427">
        <v>1.5073981790343582</v>
      </c>
      <c r="J2738" s="2431">
        <v>8.7319462612706466E-3</v>
      </c>
    </row>
    <row r="2739" spans="1:10" x14ac:dyDescent="0.2">
      <c r="A2739" s="2426" t="s">
        <v>429</v>
      </c>
      <c r="B2739" s="2427">
        <v>0</v>
      </c>
      <c r="C2739" s="2428">
        <v>1255000</v>
      </c>
      <c r="D2739" s="2429">
        <v>0</v>
      </c>
      <c r="E2739" s="2430">
        <v>0</v>
      </c>
      <c r="F2739" s="2427">
        <v>0</v>
      </c>
      <c r="G2739" s="2429">
        <v>0</v>
      </c>
      <c r="H2739" s="2430">
        <v>0</v>
      </c>
      <c r="I2739" s="2427">
        <v>0</v>
      </c>
      <c r="J2739" s="2431">
        <v>0</v>
      </c>
    </row>
    <row r="2740" spans="1:10" x14ac:dyDescent="0.2">
      <c r="A2740" s="2432" t="s">
        <v>431</v>
      </c>
      <c r="B2740" s="2427">
        <v>0</v>
      </c>
      <c r="C2740" s="2428">
        <v>0</v>
      </c>
      <c r="D2740" s="2429">
        <v>0</v>
      </c>
      <c r="E2740" s="2430">
        <v>0</v>
      </c>
      <c r="F2740" s="2427">
        <v>0</v>
      </c>
      <c r="G2740" s="2429">
        <v>0</v>
      </c>
      <c r="H2740" s="2430">
        <v>0</v>
      </c>
      <c r="I2740" s="2427">
        <v>0</v>
      </c>
      <c r="J2740" s="2431">
        <v>0</v>
      </c>
    </row>
    <row r="2741" spans="1:10" x14ac:dyDescent="0.2">
      <c r="A2741" s="2432" t="s">
        <v>430</v>
      </c>
      <c r="B2741" s="2427">
        <v>0</v>
      </c>
      <c r="C2741" s="2428">
        <v>0</v>
      </c>
      <c r="D2741" s="2429">
        <v>0</v>
      </c>
      <c r="E2741" s="2430">
        <v>0</v>
      </c>
      <c r="F2741" s="2427">
        <v>0</v>
      </c>
      <c r="G2741" s="2429">
        <v>0</v>
      </c>
      <c r="H2741" s="2430">
        <v>0</v>
      </c>
      <c r="I2741" s="2427">
        <v>0</v>
      </c>
      <c r="J2741" s="2431">
        <v>0</v>
      </c>
    </row>
    <row r="2742" spans="1:10" x14ac:dyDescent="0.2">
      <c r="A2742" s="2433" t="s">
        <v>279</v>
      </c>
      <c r="B2742" s="2434">
        <v>570.5</v>
      </c>
      <c r="C2742" s="2433"/>
      <c r="D2742" s="2435">
        <v>1378.8224188999998</v>
      </c>
      <c r="E2742" s="2436">
        <v>9.4697818514162186</v>
      </c>
      <c r="F2742" s="2434">
        <v>7.2121104697101552</v>
      </c>
      <c r="G2742" s="2435">
        <v>4.0975801177293263E-2</v>
      </c>
      <c r="H2742" s="2436">
        <v>4.3425590286739917</v>
      </c>
      <c r="I2742" s="2434">
        <v>3.6831613560280823</v>
      </c>
      <c r="J2742" s="2437">
        <v>2.1335548549639639E-2</v>
      </c>
    </row>
    <row r="2743" spans="1:10" x14ac:dyDescent="0.2">
      <c r="A2743" s="2438" t="s">
        <v>412</v>
      </c>
      <c r="B2743" s="2427">
        <v>36.64</v>
      </c>
      <c r="C2743" s="2428">
        <v>4129499.9999999995</v>
      </c>
      <c r="D2743" s="2429">
        <v>151.30488</v>
      </c>
      <c r="E2743" s="2430">
        <v>0.60819072223644222</v>
      </c>
      <c r="F2743" s="2427">
        <v>0.46319321228778276</v>
      </c>
      <c r="G2743" s="2429">
        <v>2.6316447942787468E-3</v>
      </c>
      <c r="H2743" s="2430">
        <v>0.47653009098199756</v>
      </c>
      <c r="I2743" s="2427">
        <v>0.40417118213022285</v>
      </c>
      <c r="J2743" s="2431">
        <v>2.3412533541576578E-3</v>
      </c>
    </row>
    <row r="2744" spans="1:10" x14ac:dyDescent="0.2">
      <c r="A2744" s="2438" t="s">
        <v>413</v>
      </c>
      <c r="B2744" s="2427">
        <v>196</v>
      </c>
      <c r="C2744" s="2428">
        <v>1200000</v>
      </c>
      <c r="D2744" s="2429">
        <v>235.2</v>
      </c>
      <c r="E2744" s="2430">
        <v>3.253421985762627</v>
      </c>
      <c r="F2744" s="2427">
        <v>2.4777802840722005</v>
      </c>
      <c r="G2744" s="2429">
        <v>1.4077575864591548E-2</v>
      </c>
      <c r="H2744" s="2430">
        <v>0.74075520498060499</v>
      </c>
      <c r="I2744" s="2427">
        <v>0.62827492435821242</v>
      </c>
      <c r="J2744" s="2431">
        <v>3.639425171864127E-3</v>
      </c>
    </row>
    <row r="2745" spans="1:10" x14ac:dyDescent="0.2">
      <c r="A2745" s="2426" t="s">
        <v>90</v>
      </c>
      <c r="B2745" s="2427">
        <v>0</v>
      </c>
      <c r="C2745" s="2428">
        <v>1743000</v>
      </c>
      <c r="D2745" s="2429">
        <v>0</v>
      </c>
      <c r="E2745" s="2430">
        <v>0</v>
      </c>
      <c r="F2745" s="2427">
        <v>0</v>
      </c>
      <c r="G2745" s="2429">
        <v>0</v>
      </c>
      <c r="H2745" s="2430">
        <v>0</v>
      </c>
      <c r="I2745" s="2427">
        <v>0</v>
      </c>
      <c r="J2745" s="2431">
        <v>0</v>
      </c>
    </row>
    <row r="2746" spans="1:10" x14ac:dyDescent="0.2">
      <c r="A2746" s="2426" t="s">
        <v>417</v>
      </c>
      <c r="B2746" s="2427">
        <v>56</v>
      </c>
      <c r="C2746" s="2428">
        <v>2563999.9999999995</v>
      </c>
      <c r="D2746" s="2429">
        <v>143.58399999999997</v>
      </c>
      <c r="E2746" s="2430">
        <v>0.92954913878932199</v>
      </c>
      <c r="F2746" s="2427">
        <v>0.70793722402062875</v>
      </c>
      <c r="G2746" s="2429">
        <v>4.0221645327404429E-3</v>
      </c>
      <c r="H2746" s="2430">
        <v>0.45221341561196926</v>
      </c>
      <c r="I2746" s="2427">
        <v>0.38354688239391821</v>
      </c>
      <c r="J2746" s="2431">
        <v>2.2217824144427664E-3</v>
      </c>
    </row>
    <row r="2747" spans="1:10" x14ac:dyDescent="0.2">
      <c r="A2747" s="2426" t="s">
        <v>418</v>
      </c>
      <c r="B2747" s="2427">
        <v>41.6</v>
      </c>
      <c r="C2747" s="2428">
        <v>2222500</v>
      </c>
      <c r="D2747" s="2429">
        <v>92.456000000000003</v>
      </c>
      <c r="E2747" s="2430">
        <v>0.69052221738635355</v>
      </c>
      <c r="F2747" s="2427">
        <v>0.52589622355818133</v>
      </c>
      <c r="G2747" s="2429">
        <v>2.9878936528929005E-3</v>
      </c>
      <c r="H2747" s="2430">
        <v>0.29118734367213783</v>
      </c>
      <c r="I2747" s="2427">
        <v>0.24697188097985925</v>
      </c>
      <c r="J2747" s="2431">
        <v>1.4306407044637319E-3</v>
      </c>
    </row>
    <row r="2748" spans="1:10" x14ac:dyDescent="0.2">
      <c r="A2748" s="2426" t="s">
        <v>423</v>
      </c>
      <c r="B2748" s="2427">
        <v>0</v>
      </c>
      <c r="C2748" s="2428">
        <v>2531500</v>
      </c>
      <c r="D2748" s="2429">
        <v>0</v>
      </c>
      <c r="E2748" s="2430">
        <v>0</v>
      </c>
      <c r="F2748" s="2427">
        <v>0</v>
      </c>
      <c r="G2748" s="2429">
        <v>0</v>
      </c>
      <c r="H2748" s="2430">
        <v>0</v>
      </c>
      <c r="I2748" s="2427">
        <v>0</v>
      </c>
      <c r="J2748" s="2431">
        <v>0</v>
      </c>
    </row>
    <row r="2749" spans="1:10" x14ac:dyDescent="0.2">
      <c r="A2749" s="2426" t="s">
        <v>424</v>
      </c>
      <c r="B2749" s="2427">
        <v>0</v>
      </c>
      <c r="C2749" s="2428">
        <v>1369000</v>
      </c>
      <c r="D2749" s="2429">
        <v>0</v>
      </c>
      <c r="E2749" s="2430">
        <v>0</v>
      </c>
      <c r="F2749" s="2427">
        <v>0</v>
      </c>
      <c r="G2749" s="2429">
        <v>0</v>
      </c>
      <c r="H2749" s="2430">
        <v>0</v>
      </c>
      <c r="I2749" s="2427">
        <v>0</v>
      </c>
      <c r="J2749" s="2431">
        <v>0</v>
      </c>
    </row>
    <row r="2750" spans="1:10" x14ac:dyDescent="0.2">
      <c r="A2750" s="2426" t="s">
        <v>280</v>
      </c>
      <c r="B2750" s="2427">
        <v>0</v>
      </c>
      <c r="C2750" s="2428">
        <v>1574500</v>
      </c>
      <c r="D2750" s="2429">
        <v>0</v>
      </c>
      <c r="E2750" s="2430">
        <v>0</v>
      </c>
      <c r="F2750" s="2427">
        <v>0</v>
      </c>
      <c r="G2750" s="2429">
        <v>0</v>
      </c>
      <c r="H2750" s="2430">
        <v>0</v>
      </c>
      <c r="I2750" s="2427">
        <v>0</v>
      </c>
      <c r="J2750" s="2431">
        <v>0</v>
      </c>
    </row>
    <row r="2751" spans="1:10" x14ac:dyDescent="0.2">
      <c r="A2751" s="2426" t="s">
        <v>427</v>
      </c>
      <c r="B2751" s="2427">
        <v>0</v>
      </c>
      <c r="C2751" s="2428">
        <v>2072000</v>
      </c>
      <c r="D2751" s="2429">
        <v>0</v>
      </c>
      <c r="E2751" s="2430">
        <v>0</v>
      </c>
      <c r="F2751" s="2427">
        <v>0</v>
      </c>
      <c r="G2751" s="2429">
        <v>0</v>
      </c>
      <c r="H2751" s="2430">
        <v>0</v>
      </c>
      <c r="I2751" s="2427">
        <v>0</v>
      </c>
      <c r="J2751" s="2431">
        <v>0</v>
      </c>
    </row>
    <row r="2752" spans="1:10" x14ac:dyDescent="0.2">
      <c r="A2752" s="2426" t="s">
        <v>428</v>
      </c>
      <c r="B2752" s="2427">
        <v>0</v>
      </c>
      <c r="C2752" s="2428">
        <v>1326280</v>
      </c>
      <c r="D2752" s="2429">
        <v>0</v>
      </c>
      <c r="E2752" s="2430">
        <v>0</v>
      </c>
      <c r="F2752" s="2427">
        <v>0</v>
      </c>
      <c r="G2752" s="2429">
        <v>0</v>
      </c>
      <c r="H2752" s="2430">
        <v>0</v>
      </c>
      <c r="I2752" s="2427">
        <v>0</v>
      </c>
      <c r="J2752" s="2431">
        <v>0</v>
      </c>
    </row>
    <row r="2753" spans="1:10" x14ac:dyDescent="0.2">
      <c r="A2753" s="2439" t="s">
        <v>92</v>
      </c>
      <c r="B2753" s="2427">
        <v>135</v>
      </c>
      <c r="C2753" s="2428">
        <v>2215500</v>
      </c>
      <c r="D2753" s="2429">
        <v>299.09249999999997</v>
      </c>
      <c r="E2753" s="2430">
        <v>2.2408773881528301</v>
      </c>
      <c r="F2753" s="2427">
        <v>1.7066343793354442</v>
      </c>
      <c r="G2753" s="2429">
        <v>9.6962894985707093E-3</v>
      </c>
      <c r="H2753" s="2430">
        <v>0.94198267919073797</v>
      </c>
      <c r="I2753" s="2427">
        <v>0.79894692947962853</v>
      </c>
      <c r="J2753" s="2431">
        <v>4.6280815187745373E-3</v>
      </c>
    </row>
    <row r="2754" spans="1:10" x14ac:dyDescent="0.2">
      <c r="A2754" s="2433" t="s">
        <v>281</v>
      </c>
      <c r="B2754" s="2434">
        <v>465.24</v>
      </c>
      <c r="C2754" s="2433"/>
      <c r="D2754" s="2435">
        <v>921.63737999999989</v>
      </c>
      <c r="E2754" s="2436">
        <v>7.7225614523275752</v>
      </c>
      <c r="F2754" s="2434">
        <v>5.8814413232742373</v>
      </c>
      <c r="G2754" s="2435">
        <v>3.3415568343074346E-2</v>
      </c>
      <c r="H2754" s="2436">
        <v>2.9026687344374476</v>
      </c>
      <c r="I2754" s="2434">
        <v>2.4619117993418409</v>
      </c>
      <c r="J2754" s="2437">
        <v>1.4261183163702819E-2</v>
      </c>
    </row>
    <row r="2755" spans="1:10" x14ac:dyDescent="0.2">
      <c r="A2755" s="2440" t="s">
        <v>106</v>
      </c>
      <c r="B2755" s="2441">
        <v>1035.74</v>
      </c>
      <c r="C2755" s="2440"/>
      <c r="D2755" s="2442">
        <v>2300.4597988999994</v>
      </c>
      <c r="E2755" s="2443">
        <v>17.192343303743794</v>
      </c>
      <c r="F2755" s="2441">
        <v>13.093551792984393</v>
      </c>
      <c r="G2755" s="2442">
        <v>7.4391369520367609E-2</v>
      </c>
      <c r="H2755" s="2443">
        <v>7.2452277631114388</v>
      </c>
      <c r="I2755" s="2441">
        <v>6.1450731553699223</v>
      </c>
      <c r="J2755" s="2444">
        <v>3.5596731713342454E-2</v>
      </c>
    </row>
    <row r="2756" spans="1:10" x14ac:dyDescent="0.2">
      <c r="A2756" s="2426" t="s">
        <v>905</v>
      </c>
      <c r="B2756" s="2427">
        <v>0</v>
      </c>
      <c r="C2756" s="2428">
        <v>6100000</v>
      </c>
      <c r="D2756" s="2429">
        <v>0</v>
      </c>
      <c r="E2756" s="2430">
        <v>0</v>
      </c>
      <c r="F2756" s="2427">
        <v>0</v>
      </c>
      <c r="G2756" s="2429">
        <v>0</v>
      </c>
      <c r="H2756" s="2430">
        <v>0</v>
      </c>
      <c r="I2756" s="2427">
        <v>0</v>
      </c>
      <c r="J2756" s="2431">
        <v>0</v>
      </c>
    </row>
    <row r="2757" spans="1:10" x14ac:dyDescent="0.2">
      <c r="A2757" s="2426" t="s">
        <v>906</v>
      </c>
      <c r="B2757" s="2427">
        <v>133</v>
      </c>
      <c r="C2757" s="2428">
        <v>3022000.0000000005</v>
      </c>
      <c r="D2757" s="2429">
        <v>401.92600000000004</v>
      </c>
      <c r="E2757" s="2430">
        <v>2.2076792046246401</v>
      </c>
      <c r="F2757" s="2427">
        <v>1.6813509070489931</v>
      </c>
      <c r="G2757" s="2429">
        <v>9.5526407652585504E-3</v>
      </c>
      <c r="H2757" s="2430">
        <v>1.2658536416540589</v>
      </c>
      <c r="I2757" s="2427">
        <v>1.0736395716309477</v>
      </c>
      <c r="J2757" s="2431">
        <v>6.2193010273242401E-3</v>
      </c>
    </row>
    <row r="2758" spans="1:10" x14ac:dyDescent="0.2">
      <c r="A2758" s="2426" t="s">
        <v>907</v>
      </c>
      <c r="B2758" s="2427">
        <v>105</v>
      </c>
      <c r="C2758" s="2428">
        <v>2324000</v>
      </c>
      <c r="D2758" s="2429">
        <v>244.02</v>
      </c>
      <c r="E2758" s="2430">
        <v>1.7429046352299791</v>
      </c>
      <c r="F2758" s="2427">
        <v>1.3273822950386789</v>
      </c>
      <c r="G2758" s="2429">
        <v>7.5415584988883302E-3</v>
      </c>
      <c r="H2758" s="2430">
        <v>0.76853352516737772</v>
      </c>
      <c r="I2758" s="2427">
        <v>0.65183523402164534</v>
      </c>
      <c r="J2758" s="2431">
        <v>3.775903615809032E-3</v>
      </c>
    </row>
    <row r="2759" spans="1:10" x14ac:dyDescent="0.2">
      <c r="A2759" s="2439" t="s">
        <v>908</v>
      </c>
      <c r="B2759" s="2427">
        <v>350</v>
      </c>
      <c r="C2759" s="2428">
        <v>2403999.9999999995</v>
      </c>
      <c r="D2759" s="2429">
        <v>841.39999999999986</v>
      </c>
      <c r="E2759" s="2430">
        <v>5.8096821174332636</v>
      </c>
      <c r="F2759" s="2427">
        <v>4.4246076501289293</v>
      </c>
      <c r="G2759" s="2429">
        <v>2.5138528329627766E-2</v>
      </c>
      <c r="H2759" s="2430">
        <v>2.6499635606746637</v>
      </c>
      <c r="I2759" s="2427">
        <v>2.2475787472576525</v>
      </c>
      <c r="J2759" s="2431">
        <v>1.30196102874425E-2</v>
      </c>
    </row>
    <row r="2760" spans="1:10" x14ac:dyDescent="0.2">
      <c r="A2760" s="2440" t="s">
        <v>282</v>
      </c>
      <c r="B2760" s="2441">
        <v>588</v>
      </c>
      <c r="C2760" s="2440"/>
      <c r="D2760" s="2442">
        <v>1487.346</v>
      </c>
      <c r="E2760" s="2443">
        <v>9.7602659572878814</v>
      </c>
      <c r="F2760" s="2441">
        <v>7.4333408522166025</v>
      </c>
      <c r="G2760" s="2442">
        <v>4.2232727593774645E-2</v>
      </c>
      <c r="H2760" s="2443">
        <v>4.6843507274961009</v>
      </c>
      <c r="I2760" s="2441">
        <v>3.9730535529102462</v>
      </c>
      <c r="J2760" s="2444">
        <v>2.3014814930575774E-2</v>
      </c>
    </row>
    <row r="2761" spans="1:10" x14ac:dyDescent="0.2">
      <c r="A2761" s="2426" t="s">
        <v>955</v>
      </c>
      <c r="B2761" s="2427">
        <v>98.35</v>
      </c>
      <c r="C2761" s="2428">
        <v>12137000</v>
      </c>
      <c r="D2761" s="2429">
        <v>1193.6739500000001</v>
      </c>
      <c r="E2761" s="2430">
        <v>1.6325206749987471</v>
      </c>
      <c r="F2761" s="2427">
        <v>1.2433147496862291</v>
      </c>
      <c r="G2761" s="2429">
        <v>7.0639264606254023E-3</v>
      </c>
      <c r="H2761" s="2430">
        <v>3.7594395897630037</v>
      </c>
      <c r="I2761" s="2427">
        <v>3.1885859296114738</v>
      </c>
      <c r="J2761" s="2431">
        <v>1.8470608080903408E-2</v>
      </c>
    </row>
    <row r="2762" spans="1:10" x14ac:dyDescent="0.2">
      <c r="A2762" s="2426" t="s">
        <v>283</v>
      </c>
      <c r="B2762" s="2427">
        <v>772.59363622187686</v>
      </c>
      <c r="C2762" s="2428">
        <v>13024549.999999996</v>
      </c>
      <c r="D2762" s="2429">
        <v>10062.684444653643</v>
      </c>
      <c r="E2762" s="2430">
        <v>12.824352664002795</v>
      </c>
      <c r="F2762" s="2427">
        <v>9.7669248950521244</v>
      </c>
      <c r="G2762" s="2429">
        <v>5.5491048604153659E-2</v>
      </c>
      <c r="H2762" s="2430">
        <v>31.692116830163926</v>
      </c>
      <c r="I2762" s="2427">
        <v>26.879814235992043</v>
      </c>
      <c r="J2762" s="2431">
        <v>0.15570742799488974</v>
      </c>
    </row>
    <row r="2763" spans="1:10" x14ac:dyDescent="0.2">
      <c r="A2763" s="2426" t="s">
        <v>69</v>
      </c>
      <c r="B2763" s="2427">
        <v>610.24236377812315</v>
      </c>
      <c r="C2763" s="2428">
        <v>14978232.499999994</v>
      </c>
      <c r="D2763" s="2429">
        <v>9140.3520060183037</v>
      </c>
      <c r="E2763" s="2430">
        <v>10.129468994691331</v>
      </c>
      <c r="F2763" s="2427">
        <v>7.7145229463012708</v>
      </c>
      <c r="G2763" s="2429">
        <v>4.3830271285072463E-2</v>
      </c>
      <c r="H2763" s="2430">
        <v>28.787259029817058</v>
      </c>
      <c r="I2763" s="2427">
        <v>24.416045770359631</v>
      </c>
      <c r="J2763" s="2431">
        <v>0.1414354896700756</v>
      </c>
    </row>
    <row r="2764" spans="1:10" x14ac:dyDescent="0.2">
      <c r="A2764" s="2426" t="s">
        <v>199</v>
      </c>
      <c r="B2764" s="2427">
        <v>84</v>
      </c>
      <c r="C2764" s="2428">
        <v>3000000</v>
      </c>
      <c r="D2764" s="2429">
        <v>252</v>
      </c>
      <c r="E2764" s="2430">
        <v>1.394323708183983</v>
      </c>
      <c r="F2764" s="2427">
        <v>1.061905836030943</v>
      </c>
      <c r="G2764" s="2429">
        <v>6.0332467991106638E-3</v>
      </c>
      <c r="H2764" s="2430">
        <v>0.79366629105064812</v>
      </c>
      <c r="I2764" s="2427">
        <v>0.67315170466951335</v>
      </c>
      <c r="J2764" s="2431">
        <v>3.8993841127115641E-3</v>
      </c>
    </row>
    <row r="2765" spans="1:10" x14ac:dyDescent="0.2">
      <c r="A2765" s="2426" t="s">
        <v>86</v>
      </c>
      <c r="B2765" s="2427">
        <v>120</v>
      </c>
      <c r="C2765" s="2428">
        <v>170000</v>
      </c>
      <c r="D2765" s="2429">
        <v>20.399999999999999</v>
      </c>
      <c r="E2765" s="2430">
        <v>1.9918910116914046</v>
      </c>
      <c r="F2765" s="2427">
        <v>1.5170083371870615</v>
      </c>
      <c r="G2765" s="2429">
        <v>8.6189239987295198E-3</v>
      </c>
      <c r="H2765" s="2430">
        <v>6.4249175942195313E-2</v>
      </c>
      <c r="I2765" s="2427">
        <v>5.4493233235151074E-2</v>
      </c>
      <c r="J2765" s="2431">
        <v>3.1566442817188852E-4</v>
      </c>
    </row>
    <row r="2766" spans="1:10" x14ac:dyDescent="0.2">
      <c r="A2766" s="2439" t="s">
        <v>213</v>
      </c>
      <c r="B2766" s="2427">
        <v>698</v>
      </c>
      <c r="C2766" s="2428">
        <v>1850000.0000000005</v>
      </c>
      <c r="D2766" s="2429">
        <v>1291.3000000000002</v>
      </c>
      <c r="E2766" s="2430">
        <v>11.586166051338335</v>
      </c>
      <c r="F2766" s="2427">
        <v>8.8239318279714087</v>
      </c>
      <c r="G2766" s="2429">
        <v>5.0133407925943375E-2</v>
      </c>
      <c r="H2766" s="2430">
        <v>4.0669098477527861</v>
      </c>
      <c r="I2766" s="2427">
        <v>3.4493682390465978</v>
      </c>
      <c r="J2766" s="2431">
        <v>1.9981248828350968E-2</v>
      </c>
    </row>
    <row r="2767" spans="1:10" x14ac:dyDescent="0.2">
      <c r="A2767" s="2433" t="s">
        <v>1834</v>
      </c>
      <c r="B2767" s="2434">
        <v>2383.1860000000001</v>
      </c>
      <c r="C2767" s="2433"/>
      <c r="D2767" s="2435">
        <v>21960.410400671946</v>
      </c>
      <c r="E2767" s="2436">
        <v>39.558723104906598</v>
      </c>
      <c r="F2767" s="2434">
        <v>30.127608592229038</v>
      </c>
      <c r="G2767" s="2435">
        <v>0.1711708250736351</v>
      </c>
      <c r="H2767" s="2436">
        <v>69.163640764489614</v>
      </c>
      <c r="I2767" s="2434">
        <v>58.661459112914407</v>
      </c>
      <c r="J2767" s="2437">
        <v>0.33980982311510316</v>
      </c>
    </row>
    <row r="2768" spans="1:10" x14ac:dyDescent="0.2">
      <c r="A2768" s="2426" t="s">
        <v>961</v>
      </c>
      <c r="B2768" s="2427">
        <v>738.8</v>
      </c>
      <c r="C2768" s="2428">
        <v>3668000</v>
      </c>
      <c r="D2768" s="2429">
        <v>2709.9184</v>
      </c>
      <c r="E2768" s="2430">
        <v>12.263408995313412</v>
      </c>
      <c r="F2768" s="2427">
        <v>9.3397146626150072</v>
      </c>
      <c r="G2768" s="2429">
        <v>5.3063842085511403E-2</v>
      </c>
      <c r="H2768" s="2430">
        <v>8.5348051014996305</v>
      </c>
      <c r="I2768" s="2427">
        <v>7.2388340891876197</v>
      </c>
      <c r="J2768" s="2431">
        <v>4.1932590300415643E-2</v>
      </c>
    </row>
    <row r="2769" spans="1:10" x14ac:dyDescent="0.2">
      <c r="A2769" s="2426" t="s">
        <v>962</v>
      </c>
      <c r="B2769" s="2427">
        <v>0</v>
      </c>
      <c r="C2769" s="2428">
        <v>1999999.9999999998</v>
      </c>
      <c r="D2769" s="2429">
        <v>0</v>
      </c>
      <c r="E2769" s="2430">
        <v>0</v>
      </c>
      <c r="F2769" s="2427">
        <v>0</v>
      </c>
      <c r="G2769" s="2429">
        <v>0</v>
      </c>
      <c r="H2769" s="2430">
        <v>0</v>
      </c>
      <c r="I2769" s="2427">
        <v>0</v>
      </c>
      <c r="J2769" s="2431">
        <v>0</v>
      </c>
    </row>
    <row r="2770" spans="1:10" x14ac:dyDescent="0.2">
      <c r="A2770" s="2426" t="s">
        <v>963</v>
      </c>
      <c r="B2770" s="2427">
        <v>24</v>
      </c>
      <c r="C2770" s="2428">
        <v>1347999.9999999998</v>
      </c>
      <c r="D2770" s="2429">
        <v>32.35199999999999</v>
      </c>
      <c r="E2770" s="2430">
        <v>0.39837820233828086</v>
      </c>
      <c r="F2770" s="2427">
        <v>0.30340166743741231</v>
      </c>
      <c r="G2770" s="2429">
        <v>1.7237847997459042E-3</v>
      </c>
      <c r="H2770" s="2430">
        <v>0.10189163431774033</v>
      </c>
      <c r="I2770" s="2427">
        <v>8.6419856942333673E-2</v>
      </c>
      <c r="J2770" s="2431">
        <v>5.006066460890654E-4</v>
      </c>
    </row>
    <row r="2771" spans="1:10" x14ac:dyDescent="0.2">
      <c r="A2771" s="2426" t="s">
        <v>965</v>
      </c>
      <c r="B2771" s="2427">
        <v>104</v>
      </c>
      <c r="C2771" s="2428">
        <v>1599999.9999999995</v>
      </c>
      <c r="D2771" s="2429">
        <v>166.39999999999995</v>
      </c>
      <c r="E2771" s="2430">
        <v>1.7263055434658841</v>
      </c>
      <c r="F2771" s="2427">
        <v>1.3147405588954533</v>
      </c>
      <c r="G2771" s="2429">
        <v>7.4697341322322508E-3</v>
      </c>
      <c r="H2771" s="2430">
        <v>0.52407170964614214</v>
      </c>
      <c r="I2771" s="2427">
        <v>0.44449382403574195</v>
      </c>
      <c r="J2771" s="2431">
        <v>2.5748314141079529E-3</v>
      </c>
    </row>
    <row r="2772" spans="1:10" x14ac:dyDescent="0.2">
      <c r="A2772" s="2426" t="s">
        <v>966</v>
      </c>
      <c r="B2772" s="2427">
        <v>0</v>
      </c>
      <c r="C2772" s="2428">
        <v>2244000</v>
      </c>
      <c r="D2772" s="2429">
        <v>0</v>
      </c>
      <c r="E2772" s="2430">
        <v>0</v>
      </c>
      <c r="F2772" s="2427">
        <v>0</v>
      </c>
      <c r="G2772" s="2429">
        <v>0</v>
      </c>
      <c r="H2772" s="2430">
        <v>0</v>
      </c>
      <c r="I2772" s="2427">
        <v>0</v>
      </c>
      <c r="J2772" s="2431">
        <v>0</v>
      </c>
    </row>
    <row r="2773" spans="1:10" x14ac:dyDescent="0.2">
      <c r="A2773" s="2426" t="s">
        <v>1499</v>
      </c>
      <c r="B2773" s="2427">
        <v>0</v>
      </c>
      <c r="C2773" s="2428">
        <v>4849999.9999999991</v>
      </c>
      <c r="D2773" s="2429">
        <v>0</v>
      </c>
      <c r="E2773" s="2430">
        <v>0</v>
      </c>
      <c r="F2773" s="2427">
        <v>0</v>
      </c>
      <c r="G2773" s="2429">
        <v>0</v>
      </c>
      <c r="H2773" s="2430">
        <v>0</v>
      </c>
      <c r="I2773" s="2427">
        <v>0</v>
      </c>
      <c r="J2773" s="2431">
        <v>0</v>
      </c>
    </row>
    <row r="2774" spans="1:10" x14ac:dyDescent="0.2">
      <c r="A2774" s="2426" t="s">
        <v>1575</v>
      </c>
      <c r="B2774" s="2427">
        <v>0</v>
      </c>
      <c r="C2774" s="2428">
        <v>2250000.0000000005</v>
      </c>
      <c r="D2774" s="2429">
        <v>0</v>
      </c>
      <c r="E2774" s="2430">
        <v>0</v>
      </c>
      <c r="F2774" s="2427">
        <v>0</v>
      </c>
      <c r="G2774" s="2429">
        <v>0</v>
      </c>
      <c r="H2774" s="2430">
        <v>0</v>
      </c>
      <c r="I2774" s="2427">
        <v>0</v>
      </c>
      <c r="J2774" s="2431">
        <v>0</v>
      </c>
    </row>
    <row r="2775" spans="1:10" x14ac:dyDescent="0.2">
      <c r="A2775" s="2426" t="s">
        <v>964</v>
      </c>
      <c r="B2775" s="2427">
        <v>0</v>
      </c>
      <c r="C2775" s="2428">
        <v>1556000</v>
      </c>
      <c r="D2775" s="2429">
        <v>0</v>
      </c>
      <c r="E2775" s="2430">
        <v>0</v>
      </c>
      <c r="F2775" s="2427">
        <v>0</v>
      </c>
      <c r="G2775" s="2429">
        <v>0</v>
      </c>
      <c r="H2775" s="2430">
        <v>0</v>
      </c>
      <c r="I2775" s="2427">
        <v>0</v>
      </c>
      <c r="J2775" s="2431">
        <v>0</v>
      </c>
    </row>
    <row r="2776" spans="1:10" x14ac:dyDescent="0.2">
      <c r="A2776" s="2426" t="s">
        <v>969</v>
      </c>
      <c r="B2776" s="2427">
        <v>32.5</v>
      </c>
      <c r="C2776" s="2428">
        <v>4800000</v>
      </c>
      <c r="D2776" s="2429">
        <v>156</v>
      </c>
      <c r="E2776" s="2430">
        <v>0.5394704823330887</v>
      </c>
      <c r="F2776" s="2427">
        <v>0.41085642465482919</v>
      </c>
      <c r="G2776" s="2429">
        <v>2.3342919163225782E-3</v>
      </c>
      <c r="H2776" s="2430">
        <v>0.49131722779325837</v>
      </c>
      <c r="I2776" s="2427">
        <v>0.41671296003350822</v>
      </c>
      <c r="J2776" s="2431">
        <v>2.4139044507262065E-3</v>
      </c>
    </row>
    <row r="2777" spans="1:10" x14ac:dyDescent="0.2">
      <c r="A2777" s="2426" t="s">
        <v>968</v>
      </c>
      <c r="B2777" s="2427">
        <v>84</v>
      </c>
      <c r="C2777" s="2428">
        <v>3050000.0000000009</v>
      </c>
      <c r="D2777" s="2429">
        <v>256.2000000000001</v>
      </c>
      <c r="E2777" s="2430">
        <v>1.394323708183983</v>
      </c>
      <c r="F2777" s="2427">
        <v>1.061905836030943</v>
      </c>
      <c r="G2777" s="2429">
        <v>6.0332467991106638E-3</v>
      </c>
      <c r="H2777" s="2430">
        <v>0.80689406256815932</v>
      </c>
      <c r="I2777" s="2427">
        <v>0.68437089974733878</v>
      </c>
      <c r="J2777" s="2431">
        <v>3.9643738479234253E-3</v>
      </c>
    </row>
    <row r="2778" spans="1:10" x14ac:dyDescent="0.2">
      <c r="A2778" s="2426" t="s">
        <v>1013</v>
      </c>
      <c r="B2778" s="2427">
        <v>5</v>
      </c>
      <c r="C2778" s="2428">
        <v>1799999.9999999998</v>
      </c>
      <c r="D2778" s="2429">
        <v>8.9999999999999982</v>
      </c>
      <c r="E2778" s="2430">
        <v>8.2995458820475182E-2</v>
      </c>
      <c r="F2778" s="2427">
        <v>6.3208680716127563E-2</v>
      </c>
      <c r="G2778" s="2429">
        <v>3.5912183328039662E-4</v>
      </c>
      <c r="H2778" s="2430">
        <v>2.8345224680380289E-2</v>
      </c>
      <c r="I2778" s="2427">
        <v>2.4041132309625471E-2</v>
      </c>
      <c r="J2778" s="2431">
        <v>1.3926371831112728E-4</v>
      </c>
    </row>
    <row r="2779" spans="1:10" x14ac:dyDescent="0.2">
      <c r="A2779" s="2426" t="s">
        <v>1014</v>
      </c>
      <c r="B2779" s="2427">
        <v>0</v>
      </c>
      <c r="C2779" s="2428">
        <v>2195000.0000000005</v>
      </c>
      <c r="D2779" s="2429">
        <v>0</v>
      </c>
      <c r="E2779" s="2430">
        <v>0</v>
      </c>
      <c r="F2779" s="2427">
        <v>0</v>
      </c>
      <c r="G2779" s="2429">
        <v>0</v>
      </c>
      <c r="H2779" s="2430">
        <v>0</v>
      </c>
      <c r="I2779" s="2427">
        <v>0</v>
      </c>
      <c r="J2779" s="2431">
        <v>0</v>
      </c>
    </row>
    <row r="2780" spans="1:10" x14ac:dyDescent="0.2">
      <c r="A2780" s="2426" t="s">
        <v>970</v>
      </c>
      <c r="B2780" s="2427">
        <v>18</v>
      </c>
      <c r="C2780" s="2428">
        <v>3100000.0000000005</v>
      </c>
      <c r="D2780" s="2429">
        <v>55.800000000000004</v>
      </c>
      <c r="E2780" s="2430">
        <v>0.29878365175371069</v>
      </c>
      <c r="F2780" s="2427">
        <v>0.22755125057805922</v>
      </c>
      <c r="G2780" s="2429">
        <v>1.292838599809428E-3</v>
      </c>
      <c r="H2780" s="2430">
        <v>0.17574039301835781</v>
      </c>
      <c r="I2780" s="2427">
        <v>0.14905502031967796</v>
      </c>
      <c r="J2780" s="2431">
        <v>8.6343505352898947E-4</v>
      </c>
    </row>
    <row r="2781" spans="1:10" x14ac:dyDescent="0.2">
      <c r="A2781" s="2426" t="s">
        <v>971</v>
      </c>
      <c r="B2781" s="2427">
        <v>375</v>
      </c>
      <c r="C2781" s="2428">
        <v>3010000</v>
      </c>
      <c r="D2781" s="2429">
        <v>1128.75</v>
      </c>
      <c r="E2781" s="2430">
        <v>6.2246594115356384</v>
      </c>
      <c r="F2781" s="2427">
        <v>4.7406510537095672</v>
      </c>
      <c r="G2781" s="2429">
        <v>2.6934137496029749E-2</v>
      </c>
      <c r="H2781" s="2430">
        <v>3.5549635953310279</v>
      </c>
      <c r="I2781" s="2427">
        <v>3.0151586771655281</v>
      </c>
      <c r="J2781" s="2431">
        <v>1.7465991338187218E-2</v>
      </c>
    </row>
    <row r="2782" spans="1:10" x14ac:dyDescent="0.2">
      <c r="A2782" s="2426" t="s">
        <v>972</v>
      </c>
      <c r="B2782" s="2427">
        <v>258</v>
      </c>
      <c r="C2782" s="2428">
        <v>2744000.0000000005</v>
      </c>
      <c r="D2782" s="2429">
        <v>707.95200000000011</v>
      </c>
      <c r="E2782" s="2430">
        <v>4.28256567513652</v>
      </c>
      <c r="F2782" s="2427">
        <v>3.2615679249521823</v>
      </c>
      <c r="G2782" s="2429">
        <v>1.8530686597268465E-2</v>
      </c>
      <c r="H2782" s="2430">
        <v>2.2296731669916214</v>
      </c>
      <c r="I2782" s="2427">
        <v>1.8911075223182199</v>
      </c>
      <c r="J2782" s="2431">
        <v>1.0954669767311024E-2</v>
      </c>
    </row>
    <row r="2783" spans="1:10" x14ac:dyDescent="0.2">
      <c r="A2783" s="2426" t="s">
        <v>973</v>
      </c>
      <c r="B2783" s="2427">
        <v>6</v>
      </c>
      <c r="C2783" s="2428">
        <v>2549999.9999999991</v>
      </c>
      <c r="D2783" s="2429">
        <v>15.299999999999994</v>
      </c>
      <c r="E2783" s="2430">
        <v>9.9594550584570216E-2</v>
      </c>
      <c r="F2783" s="2427">
        <v>7.5850416859353079E-2</v>
      </c>
      <c r="G2783" s="2429">
        <v>4.3094619993647604E-4</v>
      </c>
      <c r="H2783" s="2430">
        <v>4.8186881956646478E-2</v>
      </c>
      <c r="I2783" s="2427">
        <v>4.0869924926363287E-2</v>
      </c>
      <c r="J2783" s="2431">
        <v>2.367483211289163E-4</v>
      </c>
    </row>
    <row r="2784" spans="1:10" x14ac:dyDescent="0.2">
      <c r="A2784" s="2426" t="s">
        <v>974</v>
      </c>
      <c r="B2784" s="2427">
        <v>80</v>
      </c>
      <c r="C2784" s="2428">
        <v>1583999.9999999995</v>
      </c>
      <c r="D2784" s="2429">
        <v>126.71999999999997</v>
      </c>
      <c r="E2784" s="2430">
        <v>1.3279273411276029</v>
      </c>
      <c r="F2784" s="2427">
        <v>1.011338891458041</v>
      </c>
      <c r="G2784" s="2429">
        <v>5.7459493324863459E-3</v>
      </c>
      <c r="H2784" s="2430">
        <v>0.39910076349975443</v>
      </c>
      <c r="I2784" s="2427">
        <v>0.3384991429195266</v>
      </c>
      <c r="J2784" s="2431">
        <v>1.9608331538206718E-3</v>
      </c>
    </row>
    <row r="2785" spans="1:10" x14ac:dyDescent="0.2">
      <c r="A2785" s="2426" t="s">
        <v>975</v>
      </c>
      <c r="B2785" s="2427">
        <v>115.2</v>
      </c>
      <c r="C2785" s="2428">
        <v>2532000.0000000009</v>
      </c>
      <c r="D2785" s="2429">
        <v>291.68640000000011</v>
      </c>
      <c r="E2785" s="2430">
        <v>1.9122153712237484</v>
      </c>
      <c r="F2785" s="2427">
        <v>1.4563280036995792</v>
      </c>
      <c r="G2785" s="2429">
        <v>8.274167038780339E-3</v>
      </c>
      <c r="H2785" s="2430">
        <v>0.91865739380125344</v>
      </c>
      <c r="I2785" s="2427">
        <v>0.77916348170203809</v>
      </c>
      <c r="J2785" s="2431">
        <v>4.5134814049763126E-3</v>
      </c>
    </row>
    <row r="2786" spans="1:10" x14ac:dyDescent="0.2">
      <c r="A2786" s="2426" t="s">
        <v>976</v>
      </c>
      <c r="B2786" s="2427">
        <v>0</v>
      </c>
      <c r="C2786" s="2428">
        <v>7394999.9999999991</v>
      </c>
      <c r="D2786" s="2429">
        <v>0</v>
      </c>
      <c r="E2786" s="2430">
        <v>0</v>
      </c>
      <c r="F2786" s="2427">
        <v>0</v>
      </c>
      <c r="G2786" s="2429">
        <v>0</v>
      </c>
      <c r="H2786" s="2430">
        <v>0</v>
      </c>
      <c r="I2786" s="2427">
        <v>0</v>
      </c>
      <c r="J2786" s="2431">
        <v>0</v>
      </c>
    </row>
    <row r="2787" spans="1:10" x14ac:dyDescent="0.2">
      <c r="A2787" s="2426" t="s">
        <v>286</v>
      </c>
      <c r="B2787" s="2427">
        <v>33</v>
      </c>
      <c r="C2787" s="2428">
        <v>2445000.0000000005</v>
      </c>
      <c r="D2787" s="2429">
        <v>80.685000000000016</v>
      </c>
      <c r="E2787" s="2430">
        <v>0.54777002821513621</v>
      </c>
      <c r="F2787" s="2427">
        <v>0.41717729272644194</v>
      </c>
      <c r="G2787" s="2429">
        <v>2.3702040996506179E-3</v>
      </c>
      <c r="H2787" s="2430">
        <v>0.25411493925960937</v>
      </c>
      <c r="I2787" s="2427">
        <v>0.21552875115579243</v>
      </c>
      <c r="J2787" s="2431">
        <v>1.2484992346592566E-3</v>
      </c>
    </row>
    <row r="2788" spans="1:10" x14ac:dyDescent="0.2">
      <c r="A2788" s="2439" t="s">
        <v>978</v>
      </c>
      <c r="B2788" s="2427">
        <v>144</v>
      </c>
      <c r="C2788" s="2428">
        <v>1850000.0000000002</v>
      </c>
      <c r="D2788" s="2429">
        <v>266.40000000000003</v>
      </c>
      <c r="E2788" s="2430">
        <v>2.3902692140296855</v>
      </c>
      <c r="F2788" s="2427">
        <v>1.8204100046244738</v>
      </c>
      <c r="G2788" s="2429">
        <v>1.0342708798475424E-2</v>
      </c>
      <c r="H2788" s="2430">
        <v>0.83901865053925673</v>
      </c>
      <c r="I2788" s="2427">
        <v>0.71161751636491422</v>
      </c>
      <c r="J2788" s="2431">
        <v>4.1222060620093688E-3</v>
      </c>
    </row>
    <row r="2789" spans="1:10" x14ac:dyDescent="0.2">
      <c r="A2789" s="2426" t="s">
        <v>1163</v>
      </c>
      <c r="B2789" s="2427">
        <v>0</v>
      </c>
      <c r="C2789" s="2428">
        <v>0</v>
      </c>
      <c r="D2789" s="2429">
        <v>0</v>
      </c>
      <c r="E2789" s="2430">
        <v>0</v>
      </c>
      <c r="F2789" s="2427">
        <v>0</v>
      </c>
      <c r="G2789" s="2429">
        <v>0</v>
      </c>
      <c r="H2789" s="2430">
        <v>0</v>
      </c>
      <c r="I2789" s="2427">
        <v>0</v>
      </c>
      <c r="J2789" s="2431">
        <v>0</v>
      </c>
    </row>
    <row r="2790" spans="1:10" x14ac:dyDescent="0.2">
      <c r="A2790" s="2433" t="s">
        <v>287</v>
      </c>
      <c r="B2790" s="2434">
        <v>2017.5</v>
      </c>
      <c r="C2790" s="2433"/>
      <c r="D2790" s="2435">
        <v>6003.1638000000021</v>
      </c>
      <c r="E2790" s="2436">
        <v>33.488667634061734</v>
      </c>
      <c r="F2790" s="2434">
        <v>25.504702668957474</v>
      </c>
      <c r="G2790" s="2435">
        <v>0.14490565972864006</v>
      </c>
      <c r="H2790" s="2436">
        <v>18.906780744902843</v>
      </c>
      <c r="I2790" s="2434">
        <v>16.035872799128235</v>
      </c>
      <c r="J2790" s="2437">
        <v>9.2891434713195206E-2</v>
      </c>
    </row>
    <row r="2791" spans="1:10" x14ac:dyDescent="0.2">
      <c r="A2791" s="2440" t="s">
        <v>1835</v>
      </c>
      <c r="B2791" s="2441">
        <v>4400.6859999999997</v>
      </c>
      <c r="C2791" s="2440"/>
      <c r="D2791" s="2442">
        <v>27963.574200671948</v>
      </c>
      <c r="E2791" s="2443">
        <v>73.047390738968332</v>
      </c>
      <c r="F2791" s="2441">
        <v>55.632311261186508</v>
      </c>
      <c r="G2791" s="2442">
        <v>0.31607648480227507</v>
      </c>
      <c r="H2791" s="2443">
        <v>88.07042150939246</v>
      </c>
      <c r="I2791" s="2441">
        <v>74.697331912042642</v>
      </c>
      <c r="J2791" s="2444">
        <v>0.43270125782829832</v>
      </c>
    </row>
    <row r="2792" spans="1:10" x14ac:dyDescent="0.2">
      <c r="A2792" s="2445" t="s">
        <v>194</v>
      </c>
      <c r="B2792" s="2446">
        <v>6024.4259999999995</v>
      </c>
      <c r="C2792" s="2447"/>
      <c r="D2792" s="2448">
        <v>31751.379999571949</v>
      </c>
      <c r="E2792" s="2449">
        <v>100</v>
      </c>
      <c r="F2792" s="2446">
        <v>76.159203906387489</v>
      </c>
      <c r="G2792" s="2448">
        <v>0.4327005819164173</v>
      </c>
      <c r="H2792" s="2449">
        <v>100</v>
      </c>
      <c r="I2792" s="2446">
        <v>84.815458620322815</v>
      </c>
      <c r="J2792" s="2450">
        <v>0.49131280447221659</v>
      </c>
    </row>
    <row r="2793" spans="1:10" x14ac:dyDescent="0.2">
      <c r="A2793" s="2451" t="s">
        <v>1852</v>
      </c>
      <c r="B2793" s="2427"/>
      <c r="C2793" s="2452"/>
      <c r="D2793" s="2429"/>
      <c r="E2793" s="2430"/>
      <c r="F2793" s="2427">
        <v>0</v>
      </c>
      <c r="G2793" s="2429"/>
      <c r="H2793" s="2430"/>
      <c r="I2793" s="2427">
        <v>0</v>
      </c>
      <c r="J2793" s="2431">
        <v>0</v>
      </c>
    </row>
    <row r="2794" spans="1:10" x14ac:dyDescent="0.2">
      <c r="A2794" s="2453" t="s">
        <v>1836</v>
      </c>
      <c r="B2794" s="2427">
        <v>0</v>
      </c>
      <c r="C2794" s="2428">
        <v>8033612.4975057133</v>
      </c>
      <c r="D2794" s="2429">
        <v>0</v>
      </c>
      <c r="E2794" s="2430">
        <v>0</v>
      </c>
      <c r="F2794" s="2427">
        <v>0</v>
      </c>
      <c r="G2794" s="2429">
        <v>0</v>
      </c>
      <c r="H2794" s="2430">
        <v>0</v>
      </c>
      <c r="I2794" s="2427">
        <v>0</v>
      </c>
      <c r="J2794" s="2431">
        <v>0</v>
      </c>
    </row>
    <row r="2795" spans="1:10" x14ac:dyDescent="0.2">
      <c r="A2795" s="2453" t="s">
        <v>1837</v>
      </c>
      <c r="B2795" s="2427">
        <v>1695.425</v>
      </c>
      <c r="C2795" s="2428">
        <v>2214764.1578067578</v>
      </c>
      <c r="D2795" s="2429">
        <v>3754.9665222495223</v>
      </c>
      <c r="E2795" s="2430">
        <v>94.604329392753399</v>
      </c>
      <c r="F2795" s="2427">
        <v>21.433115500628112</v>
      </c>
      <c r="G2795" s="2429">
        <v>0.12177282683788331</v>
      </c>
      <c r="H2795" s="2430">
        <v>84.385094120487835</v>
      </c>
      <c r="I2795" s="2427">
        <v>10.030405219957222</v>
      </c>
      <c r="J2795" s="2431">
        <v>5.8103400002474534E-2</v>
      </c>
    </row>
    <row r="2796" spans="1:10" x14ac:dyDescent="0.2">
      <c r="A2796" s="2454" t="s">
        <v>309</v>
      </c>
      <c r="B2796" s="2434">
        <v>1695.425</v>
      </c>
      <c r="C2796" s="2433"/>
      <c r="D2796" s="2435">
        <v>3754.9665222495223</v>
      </c>
      <c r="E2796" s="2436">
        <v>94.604329392753399</v>
      </c>
      <c r="F2796" s="2434">
        <v>21.433115500628112</v>
      </c>
      <c r="G2796" s="2435">
        <v>0.12177282683788331</v>
      </c>
      <c r="H2796" s="2436">
        <v>84.385094120487835</v>
      </c>
      <c r="I2796" s="2434">
        <v>10.030405219957222</v>
      </c>
      <c r="J2796" s="2437">
        <v>5.8103400002474534E-2</v>
      </c>
    </row>
    <row r="2797" spans="1:10" x14ac:dyDescent="0.2">
      <c r="A2797" s="2453" t="s">
        <v>1838</v>
      </c>
      <c r="B2797" s="2427">
        <v>0</v>
      </c>
      <c r="C2797" s="2428">
        <v>10407427.50198495</v>
      </c>
      <c r="D2797" s="2429">
        <v>0</v>
      </c>
      <c r="E2797" s="2430">
        <v>0</v>
      </c>
      <c r="F2797" s="2427">
        <v>0</v>
      </c>
      <c r="G2797" s="2429">
        <v>0</v>
      </c>
      <c r="H2797" s="2430">
        <v>0</v>
      </c>
      <c r="I2797" s="2427">
        <v>0</v>
      </c>
      <c r="J2797" s="2431">
        <v>0</v>
      </c>
    </row>
    <row r="2798" spans="1:10" x14ac:dyDescent="0.2">
      <c r="A2798" s="2454" t="s">
        <v>315</v>
      </c>
      <c r="B2798" s="2434">
        <v>0</v>
      </c>
      <c r="C2798" s="2455"/>
      <c r="D2798" s="2435">
        <v>0</v>
      </c>
      <c r="E2798" s="2436">
        <v>0</v>
      </c>
      <c r="F2798" s="2434">
        <v>0</v>
      </c>
      <c r="G2798" s="2435">
        <v>0</v>
      </c>
      <c r="H2798" s="2436">
        <v>0</v>
      </c>
      <c r="I2798" s="2434">
        <v>0</v>
      </c>
      <c r="J2798" s="2437">
        <v>0</v>
      </c>
    </row>
    <row r="2799" spans="1:10" x14ac:dyDescent="0.2">
      <c r="A2799" s="2453" t="s">
        <v>1541</v>
      </c>
      <c r="B2799" s="2427">
        <v>6.0720000000000001</v>
      </c>
      <c r="C2799" s="2428">
        <v>10553660</v>
      </c>
      <c r="D2799" s="2429">
        <v>64.08182352</v>
      </c>
      <c r="E2799" s="2430">
        <v>0.33881621898509146</v>
      </c>
      <c r="F2799" s="2427">
        <v>7.676062186166531E-2</v>
      </c>
      <c r="G2799" s="2429">
        <v>4.361175543357137E-4</v>
      </c>
      <c r="H2799" s="2430">
        <v>1.4401062371943971</v>
      </c>
      <c r="I2799" s="2427">
        <v>0.17117773309848774</v>
      </c>
      <c r="J2799" s="2431">
        <v>9.9158589106140577E-4</v>
      </c>
    </row>
    <row r="2800" spans="1:10" x14ac:dyDescent="0.2">
      <c r="A2800" s="2453" t="s">
        <v>206</v>
      </c>
      <c r="B2800" s="2427">
        <v>90.625</v>
      </c>
      <c r="C2800" s="2428">
        <v>6960000</v>
      </c>
      <c r="D2800" s="2429">
        <v>630.75</v>
      </c>
      <c r="E2800" s="2430">
        <v>5.056854388261514</v>
      </c>
      <c r="F2800" s="2427">
        <v>1.1456573379798121</v>
      </c>
      <c r="G2800" s="2429">
        <v>6.509083228207189E-3</v>
      </c>
      <c r="H2800" s="2430">
        <v>14.174799642317762</v>
      </c>
      <c r="I2800" s="2427">
        <v>1.6848826893662521</v>
      </c>
      <c r="J2800" s="2431">
        <v>9.7600655916381708E-3</v>
      </c>
    </row>
    <row r="2801" spans="1:10" x14ac:dyDescent="0.2">
      <c r="A2801" s="2454" t="s">
        <v>310</v>
      </c>
      <c r="B2801" s="2434">
        <v>96.697000000000003</v>
      </c>
      <c r="C2801" s="2455"/>
      <c r="D2801" s="2435">
        <v>694.83182351999994</v>
      </c>
      <c r="E2801" s="2436">
        <v>5.3956706072466059</v>
      </c>
      <c r="F2801" s="2434">
        <v>1.2224179598414775</v>
      </c>
      <c r="G2801" s="2435">
        <v>6.9452007825429041E-3</v>
      </c>
      <c r="H2801" s="2436">
        <v>15.614905879512159</v>
      </c>
      <c r="I2801" s="2434">
        <v>1.8560604224647397</v>
      </c>
      <c r="J2801" s="2437">
        <v>1.0751651482699576E-2</v>
      </c>
    </row>
    <row r="2802" spans="1:10" x14ac:dyDescent="0.2">
      <c r="A2802" s="2453" t="s">
        <v>1839</v>
      </c>
      <c r="B2802" s="2427">
        <v>0</v>
      </c>
      <c r="C2802" s="2428">
        <v>39652080.629353955</v>
      </c>
      <c r="D2802" s="2429">
        <v>0</v>
      </c>
      <c r="E2802" s="2430">
        <v>0</v>
      </c>
      <c r="F2802" s="2427">
        <v>0</v>
      </c>
      <c r="G2802" s="2429">
        <v>0</v>
      </c>
      <c r="H2802" s="2430">
        <v>0</v>
      </c>
      <c r="I2802" s="2427">
        <v>0</v>
      </c>
      <c r="J2802" s="2431">
        <v>0</v>
      </c>
    </row>
    <row r="2803" spans="1:10" x14ac:dyDescent="0.2">
      <c r="A2803" s="2454" t="s">
        <v>311</v>
      </c>
      <c r="B2803" s="2434">
        <v>0</v>
      </c>
      <c r="C2803" s="2433"/>
      <c r="D2803" s="2435">
        <v>0</v>
      </c>
      <c r="E2803" s="2436">
        <v>0</v>
      </c>
      <c r="F2803" s="2434">
        <v>0</v>
      </c>
      <c r="G2803" s="2435">
        <v>0</v>
      </c>
      <c r="H2803" s="2436">
        <v>0</v>
      </c>
      <c r="I2803" s="2434">
        <v>0</v>
      </c>
      <c r="J2803" s="2437">
        <v>0</v>
      </c>
    </row>
    <row r="2804" spans="1:10" x14ac:dyDescent="0.2">
      <c r="A2804" s="2445" t="s">
        <v>129</v>
      </c>
      <c r="B2804" s="2446">
        <v>1792.1219999999998</v>
      </c>
      <c r="C2804" s="2447"/>
      <c r="D2804" s="2448">
        <v>4449.7983457695227</v>
      </c>
      <c r="E2804" s="2449">
        <v>100</v>
      </c>
      <c r="F2804" s="2446">
        <v>22.655533460469591</v>
      </c>
      <c r="G2804" s="2448">
        <v>0.1287180276204262</v>
      </c>
      <c r="H2804" s="2449">
        <v>100</v>
      </c>
      <c r="I2804" s="2446">
        <v>11.886465642421964</v>
      </c>
      <c r="J2804" s="2450">
        <v>6.8855051485174124E-2</v>
      </c>
    </row>
    <row r="2805" spans="1:10" x14ac:dyDescent="0.2">
      <c r="A2805" s="2451" t="s">
        <v>1853</v>
      </c>
      <c r="B2805" s="2427"/>
      <c r="C2805" s="2452"/>
      <c r="D2805" s="2429"/>
      <c r="E2805" s="2430"/>
      <c r="F2805" s="2427">
        <v>0</v>
      </c>
      <c r="G2805" s="2429"/>
      <c r="H2805" s="2430"/>
      <c r="I2805" s="2427">
        <v>0</v>
      </c>
      <c r="J2805" s="2431">
        <v>0</v>
      </c>
    </row>
    <row r="2806" spans="1:10" x14ac:dyDescent="0.2">
      <c r="A2806" s="2426" t="s">
        <v>1543</v>
      </c>
      <c r="B2806" s="2427">
        <v>90</v>
      </c>
      <c r="C2806" s="2428">
        <v>13200000</v>
      </c>
      <c r="D2806" s="2429">
        <v>1188</v>
      </c>
      <c r="E2806" s="2430">
        <v>95.991911081626185</v>
      </c>
      <c r="F2806" s="2427">
        <v>1.1377562528902962</v>
      </c>
      <c r="G2806" s="2429">
        <v>6.4641929990471398E-3</v>
      </c>
      <c r="H2806" s="2430">
        <v>96.220636446378165</v>
      </c>
      <c r="I2806" s="2427">
        <v>3.1734294648705625</v>
      </c>
      <c r="J2806" s="2431">
        <v>1.8382810817068804E-2</v>
      </c>
    </row>
    <row r="2807" spans="1:10" x14ac:dyDescent="0.2">
      <c r="A2807" s="2426" t="s">
        <v>208</v>
      </c>
      <c r="B2807" s="2427">
        <v>2.5139999999999998</v>
      </c>
      <c r="C2807" s="2428">
        <v>10000000</v>
      </c>
      <c r="D2807" s="2429">
        <v>25.139999999999997</v>
      </c>
      <c r="E2807" s="2430">
        <v>2.6813740495467577</v>
      </c>
      <c r="F2807" s="2427">
        <v>3.1781324664068938E-2</v>
      </c>
      <c r="G2807" s="2429">
        <v>1.8056645777338341E-4</v>
      </c>
      <c r="H2807" s="2430">
        <v>2.036184175304669</v>
      </c>
      <c r="I2807" s="2427">
        <v>6.7154896251553825E-2</v>
      </c>
      <c r="J2807" s="2431">
        <v>3.890099864824155E-4</v>
      </c>
    </row>
    <row r="2808" spans="1:10" x14ac:dyDescent="0.2">
      <c r="A2808" s="2426" t="s">
        <v>209</v>
      </c>
      <c r="B2808" s="2427">
        <v>0.105</v>
      </c>
      <c r="C2808" s="2428">
        <v>10000000</v>
      </c>
      <c r="D2808" s="2429">
        <v>1.05</v>
      </c>
      <c r="E2808" s="2430">
        <v>0.11199056292856388</v>
      </c>
      <c r="F2808" s="2427">
        <v>1.3273822950386788E-3</v>
      </c>
      <c r="G2808" s="2429">
        <v>7.54155849888833E-6</v>
      </c>
      <c r="H2808" s="2430">
        <v>8.5043491808667562E-2</v>
      </c>
      <c r="I2808" s="2427">
        <v>2.8047987694563058E-3</v>
      </c>
      <c r="J2808" s="2431">
        <v>1.6247433802964852E-5</v>
      </c>
    </row>
    <row r="2809" spans="1:10" x14ac:dyDescent="0.2">
      <c r="A2809" s="2426" t="s">
        <v>210</v>
      </c>
      <c r="B2809" s="2427">
        <v>1</v>
      </c>
      <c r="C2809" s="2428">
        <v>18500000</v>
      </c>
      <c r="D2809" s="2429">
        <v>18.5</v>
      </c>
      <c r="E2809" s="2430">
        <v>1.0665767897958465</v>
      </c>
      <c r="F2809" s="2427">
        <v>1.2641736143225512E-2</v>
      </c>
      <c r="G2809" s="2429">
        <v>7.1824366656079327E-5</v>
      </c>
      <c r="H2809" s="2430">
        <v>1.498385331867</v>
      </c>
      <c r="I2809" s="2427">
        <v>4.9417883080896813E-2</v>
      </c>
      <c r="J2809" s="2431">
        <v>2.8626430986176168E-4</v>
      </c>
    </row>
    <row r="2810" spans="1:10" x14ac:dyDescent="0.2">
      <c r="A2810" s="2426" t="s">
        <v>1545</v>
      </c>
      <c r="B2810" s="2427">
        <v>0.1389</v>
      </c>
      <c r="C2810" s="2428">
        <v>14200000</v>
      </c>
      <c r="D2810" s="2429">
        <v>1.97238</v>
      </c>
      <c r="E2810" s="2430">
        <v>0.14814751610264307</v>
      </c>
      <c r="F2810" s="2427">
        <v>1.7559371502940237E-3</v>
      </c>
      <c r="G2810" s="2429">
        <v>9.9764045285294187E-6</v>
      </c>
      <c r="H2810" s="2430">
        <v>0.15975055464150451</v>
      </c>
      <c r="I2810" s="2427">
        <v>5.2686942827621219E-3</v>
      </c>
      <c r="J2810" s="2431">
        <v>3.0520108080277922E-5</v>
      </c>
    </row>
    <row r="2811" spans="1:10" x14ac:dyDescent="0.2">
      <c r="A2811" s="2426" t="s">
        <v>1546</v>
      </c>
      <c r="B2811" s="2427">
        <v>0</v>
      </c>
      <c r="C2811" s="2428">
        <v>10000000</v>
      </c>
      <c r="D2811" s="2429">
        <v>0</v>
      </c>
      <c r="E2811" s="2430">
        <v>0</v>
      </c>
      <c r="F2811" s="2427">
        <v>0</v>
      </c>
      <c r="G2811" s="2429">
        <v>0</v>
      </c>
      <c r="H2811" s="2430">
        <v>0</v>
      </c>
      <c r="I2811" s="2427">
        <v>0</v>
      </c>
      <c r="J2811" s="2431">
        <v>0</v>
      </c>
    </row>
    <row r="2812" spans="1:10" x14ac:dyDescent="0.2">
      <c r="A2812" s="2445" t="s">
        <v>121</v>
      </c>
      <c r="B2812" s="2446">
        <v>93.757900000000006</v>
      </c>
      <c r="C2812" s="2447"/>
      <c r="D2812" s="2448">
        <v>1234.66238</v>
      </c>
      <c r="E2812" s="2449">
        <v>100</v>
      </c>
      <c r="F2812" s="2446">
        <v>1.1852626331429235</v>
      </c>
      <c r="G2812" s="2448">
        <v>6.7341017865040209E-3</v>
      </c>
      <c r="H2812" s="2449">
        <v>100</v>
      </c>
      <c r="I2812" s="2446">
        <v>3.2980757372552314</v>
      </c>
      <c r="J2812" s="2450">
        <v>1.9104852655296222E-2</v>
      </c>
    </row>
    <row r="2813" spans="1:10" ht="14.25" thickBot="1" x14ac:dyDescent="0.25">
      <c r="A2813" s="2457" t="s">
        <v>1840</v>
      </c>
      <c r="B2813" s="2446">
        <v>7910.3058999999985</v>
      </c>
      <c r="C2813" s="2458"/>
      <c r="D2813" s="2448">
        <v>37435.84072534147</v>
      </c>
      <c r="E2813" s="2459"/>
      <c r="F2813" s="2460">
        <v>100.00000000000001</v>
      </c>
      <c r="G2813" s="2461">
        <v>0.56815271132334755</v>
      </c>
      <c r="H2813" s="2462"/>
      <c r="I2813" s="2460">
        <v>100.00000000000001</v>
      </c>
      <c r="J2813" s="2463">
        <v>0.57927270861268698</v>
      </c>
    </row>
    <row r="2814" spans="1:10" ht="15" thickBot="1" x14ac:dyDescent="0.25">
      <c r="A2814" s="2464" t="s">
        <v>1841</v>
      </c>
      <c r="B2814" s="2465">
        <v>1392285.1624830281</v>
      </c>
      <c r="C2814" s="2466"/>
      <c r="D2814" s="2467">
        <v>6462559.0276810033</v>
      </c>
      <c r="E2814" s="2468"/>
      <c r="F2814" s="2469"/>
      <c r="G2814" s="2469"/>
      <c r="H2814" s="2469"/>
      <c r="I2814" s="2469"/>
      <c r="J2814" s="2469"/>
    </row>
    <row r="2815" spans="1:10" ht="16.5" thickBot="1" x14ac:dyDescent="0.3">
      <c r="A2815" s="2470" t="s">
        <v>1842</v>
      </c>
      <c r="B2815" s="2471">
        <v>0.56815271132334755</v>
      </c>
      <c r="C2815" s="2472"/>
      <c r="D2815" s="2473">
        <v>0.57927270861268687</v>
      </c>
      <c r="E2815" s="2468"/>
      <c r="F2815" s="2469"/>
      <c r="G2815" s="2469"/>
      <c r="H2815" s="2469"/>
      <c r="I2815" s="2469"/>
      <c r="J2815" s="2469"/>
    </row>
    <row r="2816" spans="1:10" x14ac:dyDescent="0.2">
      <c r="A2816" s="2474" t="s">
        <v>2023</v>
      </c>
      <c r="B2816" s="2474"/>
      <c r="C2816" s="2474"/>
      <c r="D2816" s="2475"/>
      <c r="E2816" s="2474"/>
      <c r="F2816" s="2474"/>
      <c r="H2816" s="2474"/>
      <c r="I2816" s="2474"/>
      <c r="J2816" s="2474"/>
    </row>
    <row r="2817" spans="1:10" x14ac:dyDescent="0.2">
      <c r="A2817" s="2474" t="s">
        <v>1843</v>
      </c>
      <c r="B2817" s="2474"/>
      <c r="C2817" s="2474"/>
      <c r="D2817" s="2474"/>
      <c r="E2817" s="2474"/>
      <c r="F2817" s="2474"/>
      <c r="G2817" s="2474"/>
      <c r="H2817" s="2474"/>
      <c r="I2817" s="2474"/>
      <c r="J2817" s="2474"/>
    </row>
    <row r="2818" spans="1:10" x14ac:dyDescent="0.2">
      <c r="A2818" s="2474" t="s">
        <v>2024</v>
      </c>
      <c r="B2818" s="2474"/>
      <c r="C2818" s="2474"/>
      <c r="D2818" s="2474"/>
      <c r="E2818" s="2474"/>
      <c r="F2818" s="2474"/>
      <c r="G2818" s="2474"/>
      <c r="H2818" s="2474"/>
      <c r="I2818" s="2474"/>
      <c r="J2818" s="2474"/>
    </row>
    <row r="2822" spans="1:10" ht="13.5" thickBot="1" x14ac:dyDescent="0.25">
      <c r="A2822" s="3321" t="s">
        <v>2021</v>
      </c>
      <c r="B2822" s="3321"/>
      <c r="C2822" s="3321"/>
      <c r="D2822" s="3321"/>
      <c r="E2822" s="3321"/>
      <c r="F2822" s="3321"/>
      <c r="G2822" s="3321"/>
      <c r="H2822" s="3321"/>
      <c r="I2822" s="3321"/>
      <c r="J2822" s="3321"/>
    </row>
    <row r="2823" spans="1:10" ht="13.5" customHeight="1" thickBot="1" x14ac:dyDescent="0.25">
      <c r="A2823" s="3322" t="s">
        <v>387</v>
      </c>
      <c r="B2823" s="3324" t="s">
        <v>1272</v>
      </c>
      <c r="C2823" s="3324" t="s">
        <v>1832</v>
      </c>
      <c r="D2823" s="3326" t="s">
        <v>1844</v>
      </c>
      <c r="E2823" s="3328" t="s">
        <v>1849</v>
      </c>
      <c r="F2823" s="3329"/>
      <c r="G2823" s="3330"/>
      <c r="H2823" s="3328" t="s">
        <v>1850</v>
      </c>
      <c r="I2823" s="3329"/>
      <c r="J2823" s="3331"/>
    </row>
    <row r="2824" spans="1:10" ht="13.5" customHeight="1" thickBot="1" x14ac:dyDescent="0.25">
      <c r="A2824" s="3323"/>
      <c r="B2824" s="3325"/>
      <c r="C2824" s="3325"/>
      <c r="D2824" s="3327"/>
      <c r="E2824" s="2415" t="s">
        <v>1848</v>
      </c>
      <c r="F2824" s="2416" t="s">
        <v>1231</v>
      </c>
      <c r="G2824" s="2417" t="s">
        <v>1833</v>
      </c>
      <c r="H2824" s="2415" t="s">
        <v>1848</v>
      </c>
      <c r="I2824" s="2416" t="s">
        <v>1231</v>
      </c>
      <c r="J2824" s="2418" t="s">
        <v>1833</v>
      </c>
    </row>
    <row r="2825" spans="1:10" x14ac:dyDescent="0.2">
      <c r="A2825" s="2419" t="s">
        <v>1851</v>
      </c>
      <c r="B2825" s="2420"/>
      <c r="C2825" s="2420"/>
      <c r="D2825" s="2421"/>
      <c r="E2825" s="2422"/>
      <c r="F2825" s="2423"/>
      <c r="G2825" s="2424"/>
      <c r="H2825" s="2422"/>
      <c r="I2825" s="2423"/>
      <c r="J2825" s="2425"/>
    </row>
    <row r="2826" spans="1:10" x14ac:dyDescent="0.2">
      <c r="A2826" s="2426" t="s">
        <v>410</v>
      </c>
      <c r="B2826" s="2427">
        <v>0</v>
      </c>
      <c r="C2826" s="2428">
        <v>5667200.0000000009</v>
      </c>
      <c r="D2826" s="2429">
        <v>0</v>
      </c>
      <c r="E2826" s="2430">
        <v>0</v>
      </c>
      <c r="F2826" s="2427">
        <v>0</v>
      </c>
      <c r="G2826" s="2429">
        <v>0</v>
      </c>
      <c r="H2826" s="2430">
        <v>0</v>
      </c>
      <c r="I2826" s="2427">
        <v>0</v>
      </c>
      <c r="J2826" s="2431">
        <v>0</v>
      </c>
    </row>
    <row r="2827" spans="1:10" x14ac:dyDescent="0.2">
      <c r="A2827" s="2426" t="s">
        <v>411</v>
      </c>
      <c r="B2827" s="2427">
        <v>0</v>
      </c>
      <c r="C2827" s="2428">
        <v>1753716.5000000002</v>
      </c>
      <c r="D2827" s="2429">
        <v>0</v>
      </c>
      <c r="E2827" s="2430">
        <v>0</v>
      </c>
      <c r="F2827" s="2427">
        <v>0</v>
      </c>
      <c r="G2827" s="2429">
        <v>0</v>
      </c>
      <c r="H2827" s="2430">
        <v>0</v>
      </c>
      <c r="I2827" s="2427">
        <v>0</v>
      </c>
      <c r="J2827" s="2431">
        <v>0</v>
      </c>
    </row>
    <row r="2828" spans="1:10" x14ac:dyDescent="0.2">
      <c r="A2828" s="2426" t="s">
        <v>278</v>
      </c>
      <c r="B2828" s="2427">
        <v>894.8</v>
      </c>
      <c r="C2828" s="2428">
        <v>1637875</v>
      </c>
      <c r="D2828" s="2429">
        <v>1465.5705499999999</v>
      </c>
      <c r="E2828" s="2430">
        <v>1.3814846930863003</v>
      </c>
      <c r="F2828" s="2427">
        <v>1.2984292111862608</v>
      </c>
      <c r="G2828" s="2429">
        <v>6.4268443283859777E-2</v>
      </c>
      <c r="H2828" s="2430">
        <v>0.68491007285977334</v>
      </c>
      <c r="I2828" s="2427">
        <v>0.61761111645488864</v>
      </c>
      <c r="J2828" s="2431">
        <v>2.267786713780932E-2</v>
      </c>
    </row>
    <row r="2829" spans="1:10" x14ac:dyDescent="0.2">
      <c r="A2829" s="2426" t="s">
        <v>200</v>
      </c>
      <c r="B2829" s="2427">
        <v>296</v>
      </c>
      <c r="C2829" s="2428">
        <v>7709114.5</v>
      </c>
      <c r="D2829" s="2429">
        <v>2281.897892</v>
      </c>
      <c r="E2829" s="2430">
        <v>0.45699538349747981</v>
      </c>
      <c r="F2829" s="2427">
        <v>0.42952061523372054</v>
      </c>
      <c r="G2829" s="2429">
        <v>2.1260012530199483E-2</v>
      </c>
      <c r="H2829" s="2430">
        <v>1.0664071077767516</v>
      </c>
      <c r="I2829" s="2427">
        <v>0.96162242391823249</v>
      </c>
      <c r="J2829" s="2431">
        <v>3.5309509471804792E-2</v>
      </c>
    </row>
    <row r="2830" spans="1:10" x14ac:dyDescent="0.2">
      <c r="A2830" s="2426" t="s">
        <v>429</v>
      </c>
      <c r="B2830" s="2427">
        <v>0</v>
      </c>
      <c r="C2830" s="2428">
        <v>1255000</v>
      </c>
      <c r="D2830" s="2429">
        <v>0</v>
      </c>
      <c r="E2830" s="2430">
        <v>0</v>
      </c>
      <c r="F2830" s="2427">
        <v>0</v>
      </c>
      <c r="G2830" s="2429">
        <v>0</v>
      </c>
      <c r="H2830" s="2430">
        <v>0</v>
      </c>
      <c r="I2830" s="2427">
        <v>0</v>
      </c>
      <c r="J2830" s="2431">
        <v>0</v>
      </c>
    </row>
    <row r="2831" spans="1:10" x14ac:dyDescent="0.2">
      <c r="A2831" s="2432" t="s">
        <v>431</v>
      </c>
      <c r="B2831" s="2427">
        <v>0</v>
      </c>
      <c r="C2831" s="2428">
        <v>0</v>
      </c>
      <c r="D2831" s="2429">
        <v>0</v>
      </c>
      <c r="E2831" s="2430">
        <v>0</v>
      </c>
      <c r="F2831" s="2427">
        <v>0</v>
      </c>
      <c r="G2831" s="2429">
        <v>0</v>
      </c>
      <c r="H2831" s="2430">
        <v>0</v>
      </c>
      <c r="I2831" s="2427">
        <v>0</v>
      </c>
      <c r="J2831" s="2431">
        <v>0</v>
      </c>
    </row>
    <row r="2832" spans="1:10" x14ac:dyDescent="0.2">
      <c r="A2832" s="2432" t="s">
        <v>430</v>
      </c>
      <c r="B2832" s="2427">
        <v>0</v>
      </c>
      <c r="C2832" s="2428">
        <v>0</v>
      </c>
      <c r="D2832" s="2429">
        <v>0</v>
      </c>
      <c r="E2832" s="2430">
        <v>0</v>
      </c>
      <c r="F2832" s="2427">
        <v>0</v>
      </c>
      <c r="G2832" s="2429">
        <v>0</v>
      </c>
      <c r="H2832" s="2430">
        <v>0</v>
      </c>
      <c r="I2832" s="2427">
        <v>0</v>
      </c>
      <c r="J2832" s="2431">
        <v>0</v>
      </c>
    </row>
    <row r="2833" spans="1:10" x14ac:dyDescent="0.2">
      <c r="A2833" s="2433" t="s">
        <v>279</v>
      </c>
      <c r="B2833" s="2434">
        <v>1190.8</v>
      </c>
      <c r="C2833" s="2433"/>
      <c r="D2833" s="2435">
        <v>3747.4684419999999</v>
      </c>
      <c r="E2833" s="2436">
        <v>1.8384800765837803</v>
      </c>
      <c r="F2833" s="2434">
        <v>1.7279498264199813</v>
      </c>
      <c r="G2833" s="2435">
        <v>8.5528455814059268E-2</v>
      </c>
      <c r="H2833" s="2436">
        <v>1.7513171806365251</v>
      </c>
      <c r="I2833" s="2434">
        <v>1.579233540373121</v>
      </c>
      <c r="J2833" s="2437">
        <v>5.7987376609614123E-2</v>
      </c>
    </row>
    <row r="2834" spans="1:10" x14ac:dyDescent="0.2">
      <c r="A2834" s="2438" t="s">
        <v>412</v>
      </c>
      <c r="B2834" s="2427">
        <v>75</v>
      </c>
      <c r="C2834" s="2428">
        <v>4129499.9999999995</v>
      </c>
      <c r="D2834" s="2429">
        <v>309.71249999999992</v>
      </c>
      <c r="E2834" s="2430">
        <v>0.11579274919699659</v>
      </c>
      <c r="F2834" s="2427">
        <v>0.10883123696800352</v>
      </c>
      <c r="G2834" s="2429">
        <v>5.3868274992059494E-3</v>
      </c>
      <c r="H2834" s="2430">
        <v>0.14473899665941192</v>
      </c>
      <c r="I2834" s="2427">
        <v>0.13051700779947759</v>
      </c>
      <c r="J2834" s="2431">
        <v>4.7924127063816669E-3</v>
      </c>
    </row>
    <row r="2835" spans="1:10" x14ac:dyDescent="0.2">
      <c r="A2835" s="2438" t="s">
        <v>413</v>
      </c>
      <c r="B2835" s="2427">
        <v>156</v>
      </c>
      <c r="C2835" s="2428">
        <v>1200000</v>
      </c>
      <c r="D2835" s="2429">
        <v>187.2</v>
      </c>
      <c r="E2835" s="2430">
        <v>0.24084891832975289</v>
      </c>
      <c r="F2835" s="2427">
        <v>0.22636897289344732</v>
      </c>
      <c r="G2835" s="2429">
        <v>1.1204601198348376E-2</v>
      </c>
      <c r="H2835" s="2430">
        <v>8.7484813091631503E-2</v>
      </c>
      <c r="I2835" s="2427">
        <v>7.8888594616175353E-2</v>
      </c>
      <c r="J2835" s="2431">
        <v>2.8966853408714478E-3</v>
      </c>
    </row>
    <row r="2836" spans="1:10" x14ac:dyDescent="0.2">
      <c r="A2836" s="2426" t="s">
        <v>90</v>
      </c>
      <c r="B2836" s="2427">
        <v>11</v>
      </c>
      <c r="C2836" s="2428">
        <v>1743000</v>
      </c>
      <c r="D2836" s="2429">
        <v>19.172999999999998</v>
      </c>
      <c r="E2836" s="2430">
        <v>1.6982936548892831E-2</v>
      </c>
      <c r="F2836" s="2427">
        <v>1.5961914755307186E-2</v>
      </c>
      <c r="G2836" s="2429">
        <v>7.9006803321687261E-4</v>
      </c>
      <c r="H2836" s="2430">
        <v>8.9601833408432183E-3</v>
      </c>
      <c r="I2836" s="2427">
        <v>8.0797597466662936E-3</v>
      </c>
      <c r="J2836" s="2431">
        <v>2.9667814124213814E-4</v>
      </c>
    </row>
    <row r="2837" spans="1:10" x14ac:dyDescent="0.2">
      <c r="A2837" s="2426" t="s">
        <v>417</v>
      </c>
      <c r="B2837" s="2427">
        <v>84</v>
      </c>
      <c r="C2837" s="2428">
        <v>2563999.9999999995</v>
      </c>
      <c r="D2837" s="2429">
        <v>215.37599999999998</v>
      </c>
      <c r="E2837" s="2430">
        <v>0.12968787910063614</v>
      </c>
      <c r="F2837" s="2427">
        <v>0.12189098540416395</v>
      </c>
      <c r="G2837" s="2429">
        <v>6.0332467991106638E-3</v>
      </c>
      <c r="H2837" s="2430">
        <v>0.10065239906208988</v>
      </c>
      <c r="I2837" s="2427">
        <v>9.0762339498148409E-2</v>
      </c>
      <c r="J2837" s="2431">
        <v>3.3326736216641503E-3</v>
      </c>
    </row>
    <row r="2838" spans="1:10" x14ac:dyDescent="0.2">
      <c r="A2838" s="2426" t="s">
        <v>418</v>
      </c>
      <c r="B2838" s="2427">
        <v>80</v>
      </c>
      <c r="C2838" s="2428">
        <v>2222500</v>
      </c>
      <c r="D2838" s="2429">
        <v>177.8</v>
      </c>
      <c r="E2838" s="2430">
        <v>0.12351226581012967</v>
      </c>
      <c r="F2838" s="2427">
        <v>0.11608665276587042</v>
      </c>
      <c r="G2838" s="2429">
        <v>5.7459493324863459E-3</v>
      </c>
      <c r="H2838" s="2430">
        <v>8.3091879100919239E-2</v>
      </c>
      <c r="I2838" s="2427">
        <v>7.4927308348055444E-2</v>
      </c>
      <c r="J2838" s="2431">
        <v>2.7512321239687152E-3</v>
      </c>
    </row>
    <row r="2839" spans="1:10" x14ac:dyDescent="0.2">
      <c r="A2839" s="2426" t="s">
        <v>423</v>
      </c>
      <c r="B2839" s="2427">
        <v>0</v>
      </c>
      <c r="C2839" s="2428">
        <v>2531500</v>
      </c>
      <c r="D2839" s="2429">
        <v>0</v>
      </c>
      <c r="E2839" s="2430">
        <v>0</v>
      </c>
      <c r="F2839" s="2427">
        <v>0</v>
      </c>
      <c r="G2839" s="2429">
        <v>0</v>
      </c>
      <c r="H2839" s="2430">
        <v>0</v>
      </c>
      <c r="I2839" s="2427">
        <v>0</v>
      </c>
      <c r="J2839" s="2431">
        <v>0</v>
      </c>
    </row>
    <row r="2840" spans="1:10" x14ac:dyDescent="0.2">
      <c r="A2840" s="2426" t="s">
        <v>424</v>
      </c>
      <c r="B2840" s="2427">
        <v>24.5</v>
      </c>
      <c r="C2840" s="2428">
        <v>1369000</v>
      </c>
      <c r="D2840" s="2429">
        <v>33.540500000000002</v>
      </c>
      <c r="E2840" s="2430">
        <v>3.7825631404352217E-2</v>
      </c>
      <c r="F2840" s="2427">
        <v>3.555153740954782E-2</v>
      </c>
      <c r="G2840" s="2429">
        <v>1.7596969830739435E-3</v>
      </c>
      <c r="H2840" s="2430">
        <v>1.5674596012285612E-2</v>
      </c>
      <c r="I2840" s="2427">
        <v>1.4134417242114476E-2</v>
      </c>
      <c r="J2840" s="2431">
        <v>5.1899719377937394E-4</v>
      </c>
    </row>
    <row r="2841" spans="1:10" x14ac:dyDescent="0.2">
      <c r="A2841" s="2426" t="s">
        <v>280</v>
      </c>
      <c r="B2841" s="2427">
        <v>93</v>
      </c>
      <c r="C2841" s="2428">
        <v>1574500</v>
      </c>
      <c r="D2841" s="2429">
        <v>146.42850000000001</v>
      </c>
      <c r="E2841" s="2430">
        <v>0.14358300900427576</v>
      </c>
      <c r="F2841" s="2427">
        <v>0.13495073384032438</v>
      </c>
      <c r="G2841" s="2429">
        <v>6.6796660990153783E-3</v>
      </c>
      <c r="H2841" s="2430">
        <v>6.8430929240320321E-2</v>
      </c>
      <c r="I2841" s="2427">
        <v>6.1706936841637999E-2</v>
      </c>
      <c r="J2841" s="2431">
        <v>2.265797486302323E-3</v>
      </c>
    </row>
    <row r="2842" spans="1:10" x14ac:dyDescent="0.2">
      <c r="A2842" s="2426" t="s">
        <v>427</v>
      </c>
      <c r="B2842" s="2427">
        <v>40</v>
      </c>
      <c r="C2842" s="2428">
        <v>2072000</v>
      </c>
      <c r="D2842" s="2429">
        <v>82.88</v>
      </c>
      <c r="E2842" s="2430">
        <v>6.1756132905064834E-2</v>
      </c>
      <c r="F2842" s="2427">
        <v>5.8043326382935211E-2</v>
      </c>
      <c r="G2842" s="2429">
        <v>2.872974666243173E-3</v>
      </c>
      <c r="H2842" s="2430">
        <v>3.8732592462790698E-2</v>
      </c>
      <c r="I2842" s="2427">
        <v>3.4926745308699859E-2</v>
      </c>
      <c r="J2842" s="2431">
        <v>1.2824641081806924E-3</v>
      </c>
    </row>
    <row r="2843" spans="1:10" x14ac:dyDescent="0.2">
      <c r="A2843" s="2426" t="s">
        <v>428</v>
      </c>
      <c r="B2843" s="2427">
        <v>0</v>
      </c>
      <c r="C2843" s="2428">
        <v>1326280</v>
      </c>
      <c r="D2843" s="2429">
        <v>0</v>
      </c>
      <c r="E2843" s="2430">
        <v>0</v>
      </c>
      <c r="F2843" s="2427">
        <v>0</v>
      </c>
      <c r="G2843" s="2429">
        <v>0</v>
      </c>
      <c r="H2843" s="2430">
        <v>0</v>
      </c>
      <c r="I2843" s="2427">
        <v>0</v>
      </c>
      <c r="J2843" s="2431">
        <v>0</v>
      </c>
    </row>
    <row r="2844" spans="1:10" x14ac:dyDescent="0.2">
      <c r="A2844" s="2439" t="s">
        <v>92</v>
      </c>
      <c r="B2844" s="2427">
        <v>1035</v>
      </c>
      <c r="C2844" s="2428">
        <v>2215500</v>
      </c>
      <c r="D2844" s="2429">
        <v>2293.0425</v>
      </c>
      <c r="E2844" s="2430">
        <v>1.5979399389185527</v>
      </c>
      <c r="F2844" s="2427">
        <v>1.5018710701584488</v>
      </c>
      <c r="G2844" s="2429">
        <v>7.4338219489042109E-2</v>
      </c>
      <c r="H2844" s="2430">
        <v>1.0716153553614713</v>
      </c>
      <c r="I2844" s="2427">
        <v>0.96631891143248561</v>
      </c>
      <c r="J2844" s="2431">
        <v>3.5481958310604793E-2</v>
      </c>
    </row>
    <row r="2845" spans="1:10" x14ac:dyDescent="0.2">
      <c r="A2845" s="2433" t="s">
        <v>281</v>
      </c>
      <c r="B2845" s="2434">
        <v>1598.5</v>
      </c>
      <c r="C2845" s="2433"/>
      <c r="D2845" s="2435">
        <v>3465.1529999999998</v>
      </c>
      <c r="E2845" s="2436">
        <v>2.4679294612186538</v>
      </c>
      <c r="F2845" s="2434">
        <v>2.3195564305780487</v>
      </c>
      <c r="G2845" s="2435">
        <v>0.11481125009974281</v>
      </c>
      <c r="H2845" s="2436">
        <v>1.6193817443317635</v>
      </c>
      <c r="I2845" s="2434">
        <v>1.4602620208334609</v>
      </c>
      <c r="J2845" s="2437">
        <v>5.3618899032995299E-2</v>
      </c>
    </row>
    <row r="2846" spans="1:10" x14ac:dyDescent="0.2">
      <c r="A2846" s="2440" t="s">
        <v>106</v>
      </c>
      <c r="B2846" s="2441">
        <v>2789.3</v>
      </c>
      <c r="C2846" s="2440"/>
      <c r="D2846" s="2442">
        <v>7212.6214419999997</v>
      </c>
      <c r="E2846" s="2443">
        <v>4.3064095378024341</v>
      </c>
      <c r="F2846" s="2441">
        <v>4.0475062569980302</v>
      </c>
      <c r="G2846" s="2442">
        <v>0.2003397059138021</v>
      </c>
      <c r="H2846" s="2443">
        <v>3.3706989249682886</v>
      </c>
      <c r="I2846" s="2441">
        <v>3.0394955612065822</v>
      </c>
      <c r="J2846" s="2444">
        <v>0.11160627564260941</v>
      </c>
    </row>
    <row r="2847" spans="1:10" x14ac:dyDescent="0.2">
      <c r="A2847" s="2426" t="s">
        <v>905</v>
      </c>
      <c r="B2847" s="2427">
        <v>22</v>
      </c>
      <c r="C2847" s="2428">
        <v>6100000</v>
      </c>
      <c r="D2847" s="2429">
        <v>134.19999999999999</v>
      </c>
      <c r="E2847" s="2430">
        <v>3.3965873097785662E-2</v>
      </c>
      <c r="F2847" s="2427">
        <v>3.1923829510614371E-2</v>
      </c>
      <c r="G2847" s="2429">
        <v>1.5801360664337452E-3</v>
      </c>
      <c r="H2847" s="2430">
        <v>6.2716142718466594E-2</v>
      </c>
      <c r="I2847" s="2427">
        <v>5.6553682678903483E-2</v>
      </c>
      <c r="J2847" s="2431">
        <v>2.0765767774836982E-3</v>
      </c>
    </row>
    <row r="2848" spans="1:10" x14ac:dyDescent="0.2">
      <c r="A2848" s="2426" t="s">
        <v>906</v>
      </c>
      <c r="B2848" s="2427">
        <v>70</v>
      </c>
      <c r="C2848" s="2428">
        <v>3022000.0000000005</v>
      </c>
      <c r="D2848" s="2429">
        <v>211.54000000000002</v>
      </c>
      <c r="E2848" s="2430">
        <v>0.10807323258386348</v>
      </c>
      <c r="F2848" s="2427">
        <v>0.10157582117013664</v>
      </c>
      <c r="G2848" s="2429">
        <v>5.0277056659255538E-3</v>
      </c>
      <c r="H2848" s="2430">
        <v>9.8859708127156692E-2</v>
      </c>
      <c r="I2848" s="2427">
        <v>8.9145797570009275E-2</v>
      </c>
      <c r="J2848" s="2431">
        <v>3.2733163301706526E-3</v>
      </c>
    </row>
    <row r="2849" spans="1:10" x14ac:dyDescent="0.2">
      <c r="A2849" s="2426" t="s">
        <v>907</v>
      </c>
      <c r="B2849" s="2427">
        <v>345</v>
      </c>
      <c r="C2849" s="2428">
        <v>2324000</v>
      </c>
      <c r="D2849" s="2429">
        <v>801.78</v>
      </c>
      <c r="E2849" s="2430">
        <v>0.5326466463061843</v>
      </c>
      <c r="F2849" s="2427">
        <v>0.50062369005281626</v>
      </c>
      <c r="G2849" s="2429">
        <v>2.477940649634737E-2</v>
      </c>
      <c r="H2849" s="2430">
        <v>0.37469857607162554</v>
      </c>
      <c r="I2849" s="2427">
        <v>0.33788086213331775</v>
      </c>
      <c r="J2849" s="2431">
        <v>1.2406540451943962E-2</v>
      </c>
    </row>
    <row r="2850" spans="1:10" x14ac:dyDescent="0.2">
      <c r="A2850" s="2439" t="s">
        <v>908</v>
      </c>
      <c r="B2850" s="2427">
        <v>1600</v>
      </c>
      <c r="C2850" s="2428">
        <v>2403999.9999999995</v>
      </c>
      <c r="D2850" s="2429">
        <v>3846.3999999999992</v>
      </c>
      <c r="E2850" s="2430">
        <v>2.4702453162025937</v>
      </c>
      <c r="F2850" s="2427">
        <v>2.3217330553174089</v>
      </c>
      <c r="G2850" s="2429">
        <v>0.11491898664972693</v>
      </c>
      <c r="H2850" s="2430">
        <v>1.7975512023271973</v>
      </c>
      <c r="I2850" s="2427">
        <v>1.6209246278400473</v>
      </c>
      <c r="J2850" s="2431">
        <v>5.951821845687999E-2</v>
      </c>
    </row>
    <row r="2851" spans="1:10" x14ac:dyDescent="0.2">
      <c r="A2851" s="2440" t="s">
        <v>282</v>
      </c>
      <c r="B2851" s="2441">
        <v>2037</v>
      </c>
      <c r="C2851" s="2440"/>
      <c r="D2851" s="2442">
        <v>4993.9199999999992</v>
      </c>
      <c r="E2851" s="2443">
        <v>3.1449310681904272</v>
      </c>
      <c r="F2851" s="2441">
        <v>2.9558563960509758</v>
      </c>
      <c r="G2851" s="2442">
        <v>0.14630623487843361</v>
      </c>
      <c r="H2851" s="2443">
        <v>2.3338256292444464</v>
      </c>
      <c r="I2851" s="2441">
        <v>2.1045049702222776</v>
      </c>
      <c r="J2851" s="2444">
        <v>7.7274652016478304E-2</v>
      </c>
    </row>
    <row r="2852" spans="1:10" x14ac:dyDescent="0.2">
      <c r="A2852" s="2426" t="s">
        <v>955</v>
      </c>
      <c r="B2852" s="2427">
        <v>8.4</v>
      </c>
      <c r="C2852" s="2428">
        <v>12137000</v>
      </c>
      <c r="D2852" s="2429">
        <v>101.9508</v>
      </c>
      <c r="E2852" s="2430">
        <v>1.2968787910063617E-2</v>
      </c>
      <c r="F2852" s="2427">
        <v>1.2189098540416396E-2</v>
      </c>
      <c r="G2852" s="2429">
        <v>6.0332467991106638E-4</v>
      </c>
      <c r="H2852" s="2430">
        <v>4.7645014329820011E-2</v>
      </c>
      <c r="I2852" s="2427">
        <v>4.2963436602536167E-2</v>
      </c>
      <c r="J2852" s="2431">
        <v>1.5775608325326752E-3</v>
      </c>
    </row>
    <row r="2853" spans="1:10" x14ac:dyDescent="0.2">
      <c r="A2853" s="2426" t="s">
        <v>283</v>
      </c>
      <c r="B2853" s="2427">
        <v>2974.360573622776</v>
      </c>
      <c r="C2853" s="2428">
        <v>13024549.999999996</v>
      </c>
      <c r="D2853" s="2429">
        <v>38739.70800917851</v>
      </c>
      <c r="E2853" s="2430">
        <v>4.5921251723058258</v>
      </c>
      <c r="F2853" s="2427">
        <v>4.3160445388830304</v>
      </c>
      <c r="G2853" s="2429">
        <v>0.21363156440726869</v>
      </c>
      <c r="H2853" s="2430">
        <v>18.10435958550941</v>
      </c>
      <c r="I2853" s="2427">
        <v>16.32543333699298</v>
      </c>
      <c r="J2853" s="2431">
        <v>0.59944842040506208</v>
      </c>
    </row>
    <row r="2854" spans="1:10" x14ac:dyDescent="0.2">
      <c r="A2854" s="2426" t="s">
        <v>69</v>
      </c>
      <c r="B2854" s="2427">
        <v>2349.3344263772246</v>
      </c>
      <c r="C2854" s="2428">
        <v>14978232.499999994</v>
      </c>
      <c r="D2854" s="2429">
        <v>35188.877258532186</v>
      </c>
      <c r="E2854" s="2430">
        <v>3.6271452268449038</v>
      </c>
      <c r="F2854" s="2427">
        <v>3.4090796223219781</v>
      </c>
      <c r="G2854" s="2429">
        <v>0.1687394572378676</v>
      </c>
      <c r="H2854" s="2430">
        <v>16.44493776638382</v>
      </c>
      <c r="I2854" s="2427">
        <v>14.829065561146889</v>
      </c>
      <c r="J2854" s="2431">
        <v>0.54450376557967339</v>
      </c>
    </row>
    <row r="2855" spans="1:10" x14ac:dyDescent="0.2">
      <c r="A2855" s="2426" t="s">
        <v>199</v>
      </c>
      <c r="B2855" s="2427">
        <v>17435</v>
      </c>
      <c r="C2855" s="2428">
        <v>3000000</v>
      </c>
      <c r="D2855" s="2429">
        <v>52305</v>
      </c>
      <c r="E2855" s="2430">
        <v>26.917954429995138</v>
      </c>
      <c r="F2855" s="2427">
        <v>25.299634887161886</v>
      </c>
      <c r="G2855" s="2429">
        <v>1.2522578326487432</v>
      </c>
      <c r="H2855" s="2430">
        <v>24.443873657894155</v>
      </c>
      <c r="I2855" s="2427">
        <v>22.042029601490665</v>
      </c>
      <c r="J2855" s="2431">
        <v>0.80935430958483479</v>
      </c>
    </row>
    <row r="2856" spans="1:10" x14ac:dyDescent="0.2">
      <c r="A2856" s="2426" t="s">
        <v>86</v>
      </c>
      <c r="B2856" s="2427">
        <v>15850</v>
      </c>
      <c r="C2856" s="2428">
        <v>170000</v>
      </c>
      <c r="D2856" s="2429">
        <v>2694.5</v>
      </c>
      <c r="E2856" s="2430">
        <v>24.470867663631942</v>
      </c>
      <c r="F2856" s="2427">
        <v>22.999668079238077</v>
      </c>
      <c r="G2856" s="2429">
        <v>1.1384162114988574</v>
      </c>
      <c r="H2856" s="2430">
        <v>1.2592298551036383</v>
      </c>
      <c r="I2856" s="2427">
        <v>1.1354984946222464</v>
      </c>
      <c r="J2856" s="2431">
        <v>4.1694009887703616E-2</v>
      </c>
    </row>
    <row r="2857" spans="1:10" x14ac:dyDescent="0.2">
      <c r="A2857" s="2439" t="s">
        <v>213</v>
      </c>
      <c r="B2857" s="2427">
        <v>1726</v>
      </c>
      <c r="C2857" s="2428">
        <v>1850000.0000000005</v>
      </c>
      <c r="D2857" s="2429">
        <v>3193.1000000000008</v>
      </c>
      <c r="E2857" s="2430">
        <v>2.6647771348535478</v>
      </c>
      <c r="F2857" s="2427">
        <v>2.5045695334236546</v>
      </c>
      <c r="G2857" s="2429">
        <v>0.12396885684839293</v>
      </c>
      <c r="H2857" s="2430">
        <v>1.4922422899726957</v>
      </c>
      <c r="I2857" s="2427">
        <v>1.3456152322057138</v>
      </c>
      <c r="J2857" s="2431">
        <v>4.9409219882140074E-2</v>
      </c>
    </row>
    <row r="2858" spans="1:10" x14ac:dyDescent="0.2">
      <c r="A2858" s="2433" t="s">
        <v>1834</v>
      </c>
      <c r="B2858" s="2434">
        <v>40343.095000000001</v>
      </c>
      <c r="C2858" s="2433"/>
      <c r="D2858" s="2435">
        <v>132223.1360677107</v>
      </c>
      <c r="E2858" s="2436">
        <v>62.285838415541427</v>
      </c>
      <c r="F2858" s="2434">
        <v>58.541185759569046</v>
      </c>
      <c r="G2858" s="2435">
        <v>2.8976172473210409</v>
      </c>
      <c r="H2858" s="2436">
        <v>61.79228816919354</v>
      </c>
      <c r="I2858" s="2434">
        <v>55.720605663061029</v>
      </c>
      <c r="J2858" s="2437">
        <v>2.0459872861719468</v>
      </c>
    </row>
    <row r="2859" spans="1:10" x14ac:dyDescent="0.2">
      <c r="A2859" s="2426" t="s">
        <v>961</v>
      </c>
      <c r="B2859" s="2427">
        <v>17212.5</v>
      </c>
      <c r="C2859" s="2428">
        <v>3668000</v>
      </c>
      <c r="D2859" s="2429">
        <v>63135.45</v>
      </c>
      <c r="E2859" s="2430">
        <v>26.574435940710718</v>
      </c>
      <c r="F2859" s="2427">
        <v>24.976768884156812</v>
      </c>
      <c r="G2859" s="2429">
        <v>1.2362769110677656</v>
      </c>
      <c r="H2859" s="2430">
        <v>29.505304715310075</v>
      </c>
      <c r="I2859" s="2427">
        <v>26.606126714528894</v>
      </c>
      <c r="J2859" s="2431">
        <v>0.97694194713847349</v>
      </c>
    </row>
    <row r="2860" spans="1:10" x14ac:dyDescent="0.2">
      <c r="A2860" s="2426" t="s">
        <v>962</v>
      </c>
      <c r="B2860" s="2427">
        <v>0</v>
      </c>
      <c r="C2860" s="2428">
        <v>1999999.9999999998</v>
      </c>
      <c r="D2860" s="2429">
        <v>0</v>
      </c>
      <c r="E2860" s="2430">
        <v>0</v>
      </c>
      <c r="F2860" s="2427">
        <v>0</v>
      </c>
      <c r="G2860" s="2429">
        <v>0</v>
      </c>
      <c r="H2860" s="2430">
        <v>0</v>
      </c>
      <c r="I2860" s="2427">
        <v>0</v>
      </c>
      <c r="J2860" s="2431">
        <v>0</v>
      </c>
    </row>
    <row r="2861" spans="1:10" x14ac:dyDescent="0.2">
      <c r="A2861" s="2426" t="s">
        <v>963</v>
      </c>
      <c r="B2861" s="2427">
        <v>126</v>
      </c>
      <c r="C2861" s="2428">
        <v>1347999.9999999998</v>
      </c>
      <c r="D2861" s="2429">
        <v>169.84799999999996</v>
      </c>
      <c r="E2861" s="2430">
        <v>0.19453181865095426</v>
      </c>
      <c r="F2861" s="2427">
        <v>0.18283647810624593</v>
      </c>
      <c r="G2861" s="2429">
        <v>9.0498701986659966E-3</v>
      </c>
      <c r="H2861" s="2430">
        <v>7.9375643878137947E-2</v>
      </c>
      <c r="I2861" s="2427">
        <v>7.1576228730599087E-2</v>
      </c>
      <c r="J2861" s="2431">
        <v>2.6281848919675935E-3</v>
      </c>
    </row>
    <row r="2862" spans="1:10" x14ac:dyDescent="0.2">
      <c r="A2862" s="2426" t="s">
        <v>965</v>
      </c>
      <c r="B2862" s="2427">
        <v>300</v>
      </c>
      <c r="C2862" s="2428">
        <v>1599999.9999999995</v>
      </c>
      <c r="D2862" s="2429">
        <v>479.99999999999989</v>
      </c>
      <c r="E2862" s="2430">
        <v>0.46317099678798634</v>
      </c>
      <c r="F2862" s="2427">
        <v>0.43532494787201409</v>
      </c>
      <c r="G2862" s="2429">
        <v>2.1547309996823798E-2</v>
      </c>
      <c r="H2862" s="2430">
        <v>0.22432003356828586</v>
      </c>
      <c r="I2862" s="2427">
        <v>0.20227844773378292</v>
      </c>
      <c r="J2862" s="2431">
        <v>7.4273983099267873E-3</v>
      </c>
    </row>
    <row r="2863" spans="1:10" x14ac:dyDescent="0.2">
      <c r="A2863" s="2426" t="s">
        <v>966</v>
      </c>
      <c r="B2863" s="2427">
        <v>40</v>
      </c>
      <c r="C2863" s="2428">
        <v>2244000</v>
      </c>
      <c r="D2863" s="2429">
        <v>89.76</v>
      </c>
      <c r="E2863" s="2430">
        <v>6.1756132905064834E-2</v>
      </c>
      <c r="F2863" s="2427">
        <v>5.8043326382935211E-2</v>
      </c>
      <c r="G2863" s="2429">
        <v>2.872974666243173E-3</v>
      </c>
      <c r="H2863" s="2430">
        <v>4.1947846277269468E-2</v>
      </c>
      <c r="I2863" s="2427">
        <v>3.7826069726217416E-2</v>
      </c>
      <c r="J2863" s="2431">
        <v>1.3889234839563097E-3</v>
      </c>
    </row>
    <row r="2864" spans="1:10" x14ac:dyDescent="0.2">
      <c r="A2864" s="2426" t="s">
        <v>1499</v>
      </c>
      <c r="B2864" s="2427">
        <v>0</v>
      </c>
      <c r="C2864" s="2428">
        <v>4849999.9999999991</v>
      </c>
      <c r="D2864" s="2429">
        <v>0</v>
      </c>
      <c r="E2864" s="2430">
        <v>0</v>
      </c>
      <c r="F2864" s="2427">
        <v>0</v>
      </c>
      <c r="G2864" s="2429">
        <v>0</v>
      </c>
      <c r="H2864" s="2430">
        <v>0</v>
      </c>
      <c r="I2864" s="2427">
        <v>0</v>
      </c>
      <c r="J2864" s="2431">
        <v>0</v>
      </c>
    </row>
    <row r="2865" spans="1:10" x14ac:dyDescent="0.2">
      <c r="A2865" s="2426" t="s">
        <v>1575</v>
      </c>
      <c r="B2865" s="2427">
        <v>119</v>
      </c>
      <c r="C2865" s="2428">
        <v>2250000.0000000005</v>
      </c>
      <c r="D2865" s="2429">
        <v>267.75000000000006</v>
      </c>
      <c r="E2865" s="2430">
        <v>0.18372449539256788</v>
      </c>
      <c r="F2865" s="2427">
        <v>0.17267889598923228</v>
      </c>
      <c r="G2865" s="2429">
        <v>8.5470996320734412E-3</v>
      </c>
      <c r="H2865" s="2430">
        <v>0.12512851872480951</v>
      </c>
      <c r="I2865" s="2427">
        <v>0.11283344662650083</v>
      </c>
      <c r="J2865" s="2431">
        <v>4.1430956197560384E-3</v>
      </c>
    </row>
    <row r="2866" spans="1:10" x14ac:dyDescent="0.2">
      <c r="A2866" s="2426" t="s">
        <v>964</v>
      </c>
      <c r="B2866" s="2427">
        <v>0</v>
      </c>
      <c r="C2866" s="2428">
        <v>1556000</v>
      </c>
      <c r="D2866" s="2429">
        <v>0</v>
      </c>
      <c r="E2866" s="2430">
        <v>0</v>
      </c>
      <c r="F2866" s="2427">
        <v>0</v>
      </c>
      <c r="G2866" s="2429">
        <v>0</v>
      </c>
      <c r="H2866" s="2430">
        <v>0</v>
      </c>
      <c r="I2866" s="2427">
        <v>0</v>
      </c>
      <c r="J2866" s="2431">
        <v>0</v>
      </c>
    </row>
    <row r="2867" spans="1:10" x14ac:dyDescent="0.2">
      <c r="A2867" s="2426" t="s">
        <v>969</v>
      </c>
      <c r="B2867" s="2427">
        <v>208</v>
      </c>
      <c r="C2867" s="2428">
        <v>4800000</v>
      </c>
      <c r="D2867" s="2429">
        <v>998.4</v>
      </c>
      <c r="E2867" s="2430">
        <v>0.32113189110633716</v>
      </c>
      <c r="F2867" s="2427">
        <v>0.30182529719126311</v>
      </c>
      <c r="G2867" s="2429">
        <v>1.4939468264464502E-2</v>
      </c>
      <c r="H2867" s="2430">
        <v>0.46658566982203464</v>
      </c>
      <c r="I2867" s="2427">
        <v>0.42073917128626859</v>
      </c>
      <c r="J2867" s="2431">
        <v>1.5448988484647722E-2</v>
      </c>
    </row>
    <row r="2868" spans="1:10" x14ac:dyDescent="0.2">
      <c r="A2868" s="2426" t="s">
        <v>968</v>
      </c>
      <c r="B2868" s="2427">
        <v>28</v>
      </c>
      <c r="C2868" s="2428">
        <v>3050000.0000000009</v>
      </c>
      <c r="D2868" s="2429">
        <v>85.400000000000034</v>
      </c>
      <c r="E2868" s="2430">
        <v>4.3229293033545391E-2</v>
      </c>
      <c r="F2868" s="2427">
        <v>4.0630328468054651E-2</v>
      </c>
      <c r="G2868" s="2429">
        <v>2.0110822663702214E-3</v>
      </c>
      <c r="H2868" s="2430">
        <v>3.9910272639024212E-2</v>
      </c>
      <c r="I2868" s="2427">
        <v>3.5988707159302233E-2</v>
      </c>
      <c r="J2868" s="2431">
        <v>1.3214579493078084E-3</v>
      </c>
    </row>
    <row r="2869" spans="1:10" x14ac:dyDescent="0.2">
      <c r="A2869" s="2426" t="s">
        <v>1013</v>
      </c>
      <c r="B2869" s="2427">
        <v>16</v>
      </c>
      <c r="C2869" s="2428">
        <v>1799999.9999999998</v>
      </c>
      <c r="D2869" s="2429">
        <v>28.799999999999997</v>
      </c>
      <c r="E2869" s="2430">
        <v>2.4702453162025937E-2</v>
      </c>
      <c r="F2869" s="2427">
        <v>2.3217330553174088E-2</v>
      </c>
      <c r="G2869" s="2429">
        <v>1.1491898664972692E-3</v>
      </c>
      <c r="H2869" s="2430">
        <v>1.3459202014097152E-2</v>
      </c>
      <c r="I2869" s="2427">
        <v>1.2136706864026977E-2</v>
      </c>
      <c r="J2869" s="2431">
        <v>4.4564389859560728E-4</v>
      </c>
    </row>
    <row r="2870" spans="1:10" x14ac:dyDescent="0.2">
      <c r="A2870" s="2426" t="s">
        <v>1014</v>
      </c>
      <c r="B2870" s="2427">
        <v>0</v>
      </c>
      <c r="C2870" s="2428">
        <v>2195000.0000000005</v>
      </c>
      <c r="D2870" s="2429">
        <v>0</v>
      </c>
      <c r="E2870" s="2430">
        <v>0</v>
      </c>
      <c r="F2870" s="2427">
        <v>0</v>
      </c>
      <c r="G2870" s="2429">
        <v>0</v>
      </c>
      <c r="H2870" s="2430">
        <v>0</v>
      </c>
      <c r="I2870" s="2427">
        <v>0</v>
      </c>
      <c r="J2870" s="2431">
        <v>0</v>
      </c>
    </row>
    <row r="2871" spans="1:10" x14ac:dyDescent="0.2">
      <c r="A2871" s="2426" t="s">
        <v>970</v>
      </c>
      <c r="B2871" s="2427">
        <v>372</v>
      </c>
      <c r="C2871" s="2428">
        <v>3100000.0000000005</v>
      </c>
      <c r="D2871" s="2429">
        <v>1153.2000000000003</v>
      </c>
      <c r="E2871" s="2430">
        <v>0.57433203601710303</v>
      </c>
      <c r="F2871" s="2427">
        <v>0.53980293536129753</v>
      </c>
      <c r="G2871" s="2429">
        <v>2.6718664396061513E-2</v>
      </c>
      <c r="H2871" s="2430">
        <v>0.53892888064780697</v>
      </c>
      <c r="I2871" s="2427">
        <v>0.4859739706804137</v>
      </c>
      <c r="J2871" s="2431">
        <v>1.7844324439599116E-2</v>
      </c>
    </row>
    <row r="2872" spans="1:10" x14ac:dyDescent="0.2">
      <c r="A2872" s="2426" t="s">
        <v>971</v>
      </c>
      <c r="B2872" s="2427">
        <v>12</v>
      </c>
      <c r="C2872" s="2428">
        <v>3010000</v>
      </c>
      <c r="D2872" s="2429">
        <v>36.119999999999997</v>
      </c>
      <c r="E2872" s="2430">
        <v>1.8526839871519454E-2</v>
      </c>
      <c r="F2872" s="2427">
        <v>1.7412997914880567E-2</v>
      </c>
      <c r="G2872" s="2429">
        <v>8.6189239987295209E-4</v>
      </c>
      <c r="H2872" s="2430">
        <v>1.6880082526013515E-2</v>
      </c>
      <c r="I2872" s="2427">
        <v>1.5221453191967169E-2</v>
      </c>
      <c r="J2872" s="2431">
        <v>5.5891172282199089E-4</v>
      </c>
    </row>
    <row r="2873" spans="1:10" x14ac:dyDescent="0.2">
      <c r="A2873" s="2426" t="s">
        <v>972</v>
      </c>
      <c r="B2873" s="2427">
        <v>0</v>
      </c>
      <c r="C2873" s="2428">
        <v>2744000.0000000005</v>
      </c>
      <c r="D2873" s="2429">
        <v>0</v>
      </c>
      <c r="E2873" s="2430">
        <v>0</v>
      </c>
      <c r="F2873" s="2427">
        <v>0</v>
      </c>
      <c r="G2873" s="2429">
        <v>0</v>
      </c>
      <c r="H2873" s="2430">
        <v>0</v>
      </c>
      <c r="I2873" s="2427">
        <v>0</v>
      </c>
      <c r="J2873" s="2431">
        <v>0</v>
      </c>
    </row>
    <row r="2874" spans="1:10" x14ac:dyDescent="0.2">
      <c r="A2874" s="2426" t="s">
        <v>973</v>
      </c>
      <c r="B2874" s="2427">
        <v>954</v>
      </c>
      <c r="C2874" s="2428">
        <v>2549999.9999999991</v>
      </c>
      <c r="D2874" s="2429">
        <v>2432.6999999999989</v>
      </c>
      <c r="E2874" s="2430">
        <v>1.4728837697857964</v>
      </c>
      <c r="F2874" s="2427">
        <v>1.3843333342330049</v>
      </c>
      <c r="G2874" s="2429">
        <v>6.8520445789899687E-2</v>
      </c>
      <c r="H2874" s="2430">
        <v>1.1368819701282684</v>
      </c>
      <c r="I2874" s="2427">
        <v>1.0251724579207784</v>
      </c>
      <c r="J2874" s="2431">
        <v>3.7642983059497689E-2</v>
      </c>
    </row>
    <row r="2875" spans="1:10" x14ac:dyDescent="0.2">
      <c r="A2875" s="2426" t="s">
        <v>974</v>
      </c>
      <c r="B2875" s="2427">
        <v>15</v>
      </c>
      <c r="C2875" s="2428">
        <v>1583999.9999999995</v>
      </c>
      <c r="D2875" s="2429">
        <v>23.759999999999991</v>
      </c>
      <c r="E2875" s="2430">
        <v>2.3158549839399314E-2</v>
      </c>
      <c r="F2875" s="2427">
        <v>2.1766247393600707E-2</v>
      </c>
      <c r="G2875" s="2429">
        <v>1.07736549984119E-3</v>
      </c>
      <c r="H2875" s="2430">
        <v>1.1103841661630148E-2</v>
      </c>
      <c r="I2875" s="2427">
        <v>1.0012783162822253E-2</v>
      </c>
      <c r="J2875" s="2431">
        <v>3.6765621634137592E-4</v>
      </c>
    </row>
    <row r="2876" spans="1:10" x14ac:dyDescent="0.2">
      <c r="A2876" s="2426" t="s">
        <v>975</v>
      </c>
      <c r="B2876" s="2427">
        <v>48</v>
      </c>
      <c r="C2876" s="2428">
        <v>2532000.0000000009</v>
      </c>
      <c r="D2876" s="2429">
        <v>121.53600000000004</v>
      </c>
      <c r="E2876" s="2430">
        <v>7.4107359486077815E-2</v>
      </c>
      <c r="F2876" s="2427">
        <v>6.9651991659522267E-2</v>
      </c>
      <c r="G2876" s="2429">
        <v>3.4475695994918083E-3</v>
      </c>
      <c r="H2876" s="2430">
        <v>5.6797832499490011E-2</v>
      </c>
      <c r="I2876" s="2427">
        <v>5.1216902966193863E-2</v>
      </c>
      <c r="J2876" s="2431">
        <v>1.8806172520734639E-3</v>
      </c>
    </row>
    <row r="2877" spans="1:10" x14ac:dyDescent="0.2">
      <c r="A2877" s="2426" t="s">
        <v>976</v>
      </c>
      <c r="B2877" s="2427">
        <v>32</v>
      </c>
      <c r="C2877" s="2428">
        <v>7394999.9999999991</v>
      </c>
      <c r="D2877" s="2429">
        <v>236.63999999999996</v>
      </c>
      <c r="E2877" s="2430">
        <v>4.9404906324051874E-2</v>
      </c>
      <c r="F2877" s="2427">
        <v>4.6434661106348175E-2</v>
      </c>
      <c r="G2877" s="2429">
        <v>2.2983797329945385E-3</v>
      </c>
      <c r="H2877" s="2430">
        <v>0.11058977654916492</v>
      </c>
      <c r="I2877" s="2427">
        <v>9.9723274732754996E-2</v>
      </c>
      <c r="J2877" s="2431">
        <v>3.6617073667939062E-3</v>
      </c>
    </row>
    <row r="2878" spans="1:10" x14ac:dyDescent="0.2">
      <c r="A2878" s="2426" t="s">
        <v>286</v>
      </c>
      <c r="B2878" s="2427">
        <v>119</v>
      </c>
      <c r="C2878" s="2428">
        <v>2445000.0000000005</v>
      </c>
      <c r="D2878" s="2429">
        <v>290.95500000000004</v>
      </c>
      <c r="E2878" s="2430">
        <v>0.18372449539256788</v>
      </c>
      <c r="F2878" s="2427">
        <v>0.17267889598923228</v>
      </c>
      <c r="G2878" s="2429">
        <v>8.5470996320734412E-3</v>
      </c>
      <c r="H2878" s="2430">
        <v>0.13597299034762633</v>
      </c>
      <c r="I2878" s="2427">
        <v>0.12261234533413091</v>
      </c>
      <c r="J2878" s="2431">
        <v>4.5021639068015609E-3</v>
      </c>
    </row>
    <row r="2879" spans="1:10" x14ac:dyDescent="0.2">
      <c r="A2879" s="2439" t="s">
        <v>978</v>
      </c>
      <c r="B2879" s="2427">
        <v>0</v>
      </c>
      <c r="C2879" s="2428">
        <v>1850000.0000000002</v>
      </c>
      <c r="D2879" s="2429">
        <v>0</v>
      </c>
      <c r="E2879" s="2430">
        <v>0</v>
      </c>
      <c r="F2879" s="2427">
        <v>0</v>
      </c>
      <c r="G2879" s="2429">
        <v>0</v>
      </c>
      <c r="H2879" s="2430">
        <v>0</v>
      </c>
      <c r="I2879" s="2427">
        <v>0</v>
      </c>
      <c r="J2879" s="2431">
        <v>0</v>
      </c>
    </row>
    <row r="2880" spans="1:10" x14ac:dyDescent="0.2">
      <c r="A2880" s="2426" t="s">
        <v>1163</v>
      </c>
      <c r="B2880" s="2427">
        <v>0</v>
      </c>
      <c r="C2880" s="2428">
        <v>0</v>
      </c>
      <c r="D2880" s="2429">
        <v>0</v>
      </c>
      <c r="E2880" s="2430">
        <v>0</v>
      </c>
      <c r="F2880" s="2427">
        <v>0</v>
      </c>
      <c r="G2880" s="2429">
        <v>0</v>
      </c>
      <c r="H2880" s="2430">
        <v>0</v>
      </c>
      <c r="I2880" s="2427">
        <v>0</v>
      </c>
      <c r="J2880" s="2431">
        <v>0</v>
      </c>
    </row>
    <row r="2881" spans="1:10" x14ac:dyDescent="0.2">
      <c r="A2881" s="2433" t="s">
        <v>287</v>
      </c>
      <c r="B2881" s="2434">
        <v>19601.5</v>
      </c>
      <c r="C2881" s="2433"/>
      <c r="D2881" s="2435">
        <v>69550.318999999989</v>
      </c>
      <c r="E2881" s="2436">
        <v>30.262820978465712</v>
      </c>
      <c r="F2881" s="2434">
        <v>28.443406552377613</v>
      </c>
      <c r="G2881" s="2435">
        <v>1.4078653230091391</v>
      </c>
      <c r="H2881" s="2436">
        <v>32.503187276593728</v>
      </c>
      <c r="I2881" s="2434">
        <v>29.309438680644647</v>
      </c>
      <c r="J2881" s="2437">
        <v>1.0762040037405602</v>
      </c>
    </row>
    <row r="2882" spans="1:10" x14ac:dyDescent="0.2">
      <c r="A2882" s="2440" t="s">
        <v>1835</v>
      </c>
      <c r="B2882" s="2441">
        <v>59944.595000000001</v>
      </c>
      <c r="C2882" s="2440"/>
      <c r="D2882" s="2442">
        <v>201773.45506771069</v>
      </c>
      <c r="E2882" s="2443">
        <v>92.548659394007132</v>
      </c>
      <c r="F2882" s="2441">
        <v>86.984592311946656</v>
      </c>
      <c r="G2882" s="2442">
        <v>4.30548257033018</v>
      </c>
      <c r="H2882" s="2443">
        <v>94.295475445787275</v>
      </c>
      <c r="I2882" s="2441">
        <v>85.030044343705683</v>
      </c>
      <c r="J2882" s="2444">
        <v>3.1221912899125073</v>
      </c>
    </row>
    <row r="2883" spans="1:10" x14ac:dyDescent="0.2">
      <c r="A2883" s="2445" t="s">
        <v>194</v>
      </c>
      <c r="B2883" s="2446">
        <v>64770.895000000004</v>
      </c>
      <c r="C2883" s="2447"/>
      <c r="D2883" s="2448">
        <v>213979.99650971068</v>
      </c>
      <c r="E2883" s="2449">
        <v>100</v>
      </c>
      <c r="F2883" s="2446">
        <v>93.987954964995666</v>
      </c>
      <c r="G2883" s="2448">
        <v>4.6521285111224158</v>
      </c>
      <c r="H2883" s="2449">
        <v>100.00000000000001</v>
      </c>
      <c r="I2883" s="2446">
        <v>90.174044875134527</v>
      </c>
      <c r="J2883" s="2450">
        <v>3.3110722175715943</v>
      </c>
    </row>
    <row r="2884" spans="1:10" x14ac:dyDescent="0.2">
      <c r="A2884" s="2451" t="s">
        <v>1852</v>
      </c>
      <c r="B2884" s="2427"/>
      <c r="C2884" s="2452"/>
      <c r="D2884" s="2429"/>
      <c r="E2884" s="2430"/>
      <c r="F2884" s="2427">
        <v>0</v>
      </c>
      <c r="G2884" s="2429"/>
      <c r="H2884" s="2430"/>
      <c r="I2884" s="2427">
        <v>0</v>
      </c>
      <c r="J2884" s="2431">
        <v>0</v>
      </c>
    </row>
    <row r="2885" spans="1:10" x14ac:dyDescent="0.2">
      <c r="A2885" s="2453" t="s">
        <v>1836</v>
      </c>
      <c r="B2885" s="2427">
        <v>1912.52</v>
      </c>
      <c r="C2885" s="2428">
        <v>8033612.4975057133</v>
      </c>
      <c r="D2885" s="2429">
        <v>15364.444573729626</v>
      </c>
      <c r="E2885" s="2430">
        <v>47.289271320129565</v>
      </c>
      <c r="F2885" s="2427">
        <v>2.7752255643472812</v>
      </c>
      <c r="G2885" s="2429">
        <v>0.13736553771708485</v>
      </c>
      <c r="H2885" s="2430">
        <v>69.802895027702135</v>
      </c>
      <c r="I2885" s="2427">
        <v>6.474783330553695</v>
      </c>
      <c r="J2885" s="2431">
        <v>0.23774552012475678</v>
      </c>
    </row>
    <row r="2886" spans="1:10" x14ac:dyDescent="0.2">
      <c r="A2886" s="2453" t="s">
        <v>1837</v>
      </c>
      <c r="B2886" s="2427">
        <v>1752</v>
      </c>
      <c r="C2886" s="2428">
        <v>2214764.1578067578</v>
      </c>
      <c r="D2886" s="2429">
        <v>3880.26680447744</v>
      </c>
      <c r="E2886" s="2430">
        <v>43.320228469698094</v>
      </c>
      <c r="F2886" s="2427">
        <v>2.5422976955725622</v>
      </c>
      <c r="G2886" s="2429">
        <v>0.12583629038145097</v>
      </c>
      <c r="H2886" s="2430">
        <v>17.62861359111713</v>
      </c>
      <c r="I2886" s="2427">
        <v>1.6351965541721309</v>
      </c>
      <c r="J2886" s="2431">
        <v>6.0042264803418247E-2</v>
      </c>
    </row>
    <row r="2887" spans="1:10" x14ac:dyDescent="0.2">
      <c r="A2887" s="2454" t="s">
        <v>309</v>
      </c>
      <c r="B2887" s="2434">
        <v>3664.52</v>
      </c>
      <c r="C2887" s="2433"/>
      <c r="D2887" s="2435">
        <v>19244.711378207066</v>
      </c>
      <c r="E2887" s="2436">
        <v>90.609499789827666</v>
      </c>
      <c r="F2887" s="2434">
        <v>5.3175232599198434</v>
      </c>
      <c r="G2887" s="2435">
        <v>0.26320182809853582</v>
      </c>
      <c r="H2887" s="2436">
        <v>87.431508618819279</v>
      </c>
      <c r="I2887" s="2434">
        <v>8.109979884725826</v>
      </c>
      <c r="J2887" s="2437">
        <v>0.29778778492817504</v>
      </c>
    </row>
    <row r="2888" spans="1:10" x14ac:dyDescent="0.2">
      <c r="A2888" s="2453" t="s">
        <v>1838</v>
      </c>
      <c r="B2888" s="2427">
        <v>0</v>
      </c>
      <c r="C2888" s="2428">
        <v>10407427.50198495</v>
      </c>
      <c r="D2888" s="2429">
        <v>0</v>
      </c>
      <c r="E2888" s="2430">
        <v>0</v>
      </c>
      <c r="F2888" s="2427">
        <v>0</v>
      </c>
      <c r="G2888" s="2429">
        <v>0</v>
      </c>
      <c r="H2888" s="2430">
        <v>0</v>
      </c>
      <c r="I2888" s="2427">
        <v>0</v>
      </c>
      <c r="J2888" s="2431">
        <v>0</v>
      </c>
    </row>
    <row r="2889" spans="1:10" x14ac:dyDescent="0.2">
      <c r="A2889" s="2454" t="s">
        <v>315</v>
      </c>
      <c r="B2889" s="2434">
        <v>0</v>
      </c>
      <c r="C2889" s="2455"/>
      <c r="D2889" s="2435">
        <v>0</v>
      </c>
      <c r="E2889" s="2436">
        <v>0</v>
      </c>
      <c r="F2889" s="2434">
        <v>0</v>
      </c>
      <c r="G2889" s="2435">
        <v>0</v>
      </c>
      <c r="H2889" s="2436">
        <v>0</v>
      </c>
      <c r="I2889" s="2434">
        <v>0</v>
      </c>
      <c r="J2889" s="2437">
        <v>0</v>
      </c>
    </row>
    <row r="2890" spans="1:10" x14ac:dyDescent="0.2">
      <c r="A2890" s="2453" t="s">
        <v>1541</v>
      </c>
      <c r="B2890" s="2427">
        <v>15.18</v>
      </c>
      <c r="C2890" s="2428">
        <v>10553660</v>
      </c>
      <c r="D2890" s="2429">
        <v>160.20455879999997</v>
      </c>
      <c r="E2890" s="2430">
        <v>0.37534307543950751</v>
      </c>
      <c r="F2890" s="2427">
        <v>2.2027442362323915E-2</v>
      </c>
      <c r="G2890" s="2429">
        <v>1.0902938858392843E-3</v>
      </c>
      <c r="H2890" s="2430">
        <v>0.72783249320943011</v>
      </c>
      <c r="I2890" s="2427">
        <v>6.7512353070707409E-2</v>
      </c>
      <c r="J2890" s="2431">
        <v>2.478964727653514E-3</v>
      </c>
    </row>
    <row r="2891" spans="1:10" x14ac:dyDescent="0.2">
      <c r="A2891" s="2453" t="s">
        <v>206</v>
      </c>
      <c r="B2891" s="2427">
        <v>362.5</v>
      </c>
      <c r="C2891" s="2428">
        <v>6960000</v>
      </c>
      <c r="D2891" s="2429">
        <v>2523</v>
      </c>
      <c r="E2891" s="2430">
        <v>8.9632322033479213</v>
      </c>
      <c r="F2891" s="2427">
        <v>0.52601764534535045</v>
      </c>
      <c r="G2891" s="2429">
        <v>2.6036332912828756E-2</v>
      </c>
      <c r="H2891" s="2430">
        <v>11.462354093555248</v>
      </c>
      <c r="I2891" s="2427">
        <v>1.0632260909006968</v>
      </c>
      <c r="J2891" s="2431">
        <v>3.9040262366552683E-2</v>
      </c>
    </row>
    <row r="2892" spans="1:10" x14ac:dyDescent="0.2">
      <c r="A2892" s="2454" t="s">
        <v>310</v>
      </c>
      <c r="B2892" s="2434">
        <v>377.68</v>
      </c>
      <c r="C2892" s="2455"/>
      <c r="D2892" s="2435">
        <v>2683.2045588000001</v>
      </c>
      <c r="E2892" s="2436">
        <v>9.3385752787874292</v>
      </c>
      <c r="F2892" s="2434">
        <v>0.54804508770767435</v>
      </c>
      <c r="G2892" s="2435">
        <v>2.7126626798668042E-2</v>
      </c>
      <c r="H2892" s="2436">
        <v>12.190186586764678</v>
      </c>
      <c r="I2892" s="2434">
        <v>1.1307384439714041</v>
      </c>
      <c r="J2892" s="2437">
        <v>4.1519227094206204E-2</v>
      </c>
    </row>
    <row r="2893" spans="1:10" x14ac:dyDescent="0.2">
      <c r="A2893" s="2453" t="s">
        <v>1839</v>
      </c>
      <c r="B2893" s="2427">
        <v>2.1</v>
      </c>
      <c r="C2893" s="2428">
        <v>39652080.629353955</v>
      </c>
      <c r="D2893" s="2429">
        <v>83.26936932164331</v>
      </c>
      <c r="E2893" s="2430">
        <v>5.1924931384912103E-2</v>
      </c>
      <c r="F2893" s="2427">
        <v>3.0472746351040991E-3</v>
      </c>
      <c r="G2893" s="2429">
        <v>1.508311699777666E-4</v>
      </c>
      <c r="H2893" s="2430">
        <v>0.37830479441605308</v>
      </c>
      <c r="I2893" s="2427">
        <v>3.5090830771152284E-2</v>
      </c>
      <c r="J2893" s="2431">
        <v>1.2884891103505066E-3</v>
      </c>
    </row>
    <row r="2894" spans="1:10" x14ac:dyDescent="0.2">
      <c r="A2894" s="2454" t="s">
        <v>311</v>
      </c>
      <c r="B2894" s="2434">
        <v>2.1</v>
      </c>
      <c r="C2894" s="2433"/>
      <c r="D2894" s="2435">
        <v>83.26936932164331</v>
      </c>
      <c r="E2894" s="2436">
        <v>5.1924931384912103E-2</v>
      </c>
      <c r="F2894" s="2434">
        <v>3.0472746351040991E-3</v>
      </c>
      <c r="G2894" s="2435">
        <v>1.508311699777666E-4</v>
      </c>
      <c r="H2894" s="2436">
        <v>0.37830479441605308</v>
      </c>
      <c r="I2894" s="2434">
        <v>3.5090830771152284E-2</v>
      </c>
      <c r="J2894" s="2437">
        <v>1.2884891103505066E-3</v>
      </c>
    </row>
    <row r="2895" spans="1:10" x14ac:dyDescent="0.2">
      <c r="A2895" s="2445" t="s">
        <v>129</v>
      </c>
      <c r="B2895" s="2446">
        <v>4044.2999999999997</v>
      </c>
      <c r="C2895" s="2447"/>
      <c r="D2895" s="2448">
        <v>22011.185306328709</v>
      </c>
      <c r="E2895" s="2449">
        <v>100.00000000000001</v>
      </c>
      <c r="F2895" s="2446">
        <v>5.868615622262622</v>
      </c>
      <c r="G2895" s="2448">
        <v>0.2904792860671816</v>
      </c>
      <c r="H2895" s="2449">
        <v>100.00000000000001</v>
      </c>
      <c r="I2895" s="2446">
        <v>9.2758091594683822</v>
      </c>
      <c r="J2895" s="2450">
        <v>0.34059550113273174</v>
      </c>
    </row>
    <row r="2896" spans="1:10" x14ac:dyDescent="0.2">
      <c r="A2896" s="2451" t="s">
        <v>1853</v>
      </c>
      <c r="B2896" s="2427"/>
      <c r="C2896" s="2452"/>
      <c r="D2896" s="2429"/>
      <c r="E2896" s="2430"/>
      <c r="F2896" s="2427">
        <v>0</v>
      </c>
      <c r="G2896" s="2429"/>
      <c r="H2896" s="2430"/>
      <c r="I2896" s="2427">
        <v>0</v>
      </c>
      <c r="J2896" s="2431">
        <v>0</v>
      </c>
    </row>
    <row r="2897" spans="1:10" x14ac:dyDescent="0.2">
      <c r="A2897" s="2426" t="s">
        <v>1543</v>
      </c>
      <c r="B2897" s="2427">
        <v>95.89</v>
      </c>
      <c r="C2897" s="2428">
        <v>13200000</v>
      </c>
      <c r="D2897" s="2429">
        <v>1265.748</v>
      </c>
      <c r="E2897" s="2430">
        <v>97.01243385975738</v>
      </c>
      <c r="F2897" s="2427">
        <v>0.13914436417149145</v>
      </c>
      <c r="G2897" s="2429">
        <v>6.8872385186514468E-3</v>
      </c>
      <c r="H2897" s="2430">
        <v>96.956670277093892</v>
      </c>
      <c r="I2897" s="2427">
        <v>0.53340320971279231</v>
      </c>
      <c r="J2897" s="2431">
        <v>1.9585863658319196E-2</v>
      </c>
    </row>
    <row r="2898" spans="1:10" x14ac:dyDescent="0.2">
      <c r="A2898" s="2426" t="s">
        <v>208</v>
      </c>
      <c r="B2898" s="2427">
        <v>0.53800000000000003</v>
      </c>
      <c r="C2898" s="2428">
        <v>10000000</v>
      </c>
      <c r="D2898" s="2429">
        <v>5.38</v>
      </c>
      <c r="E2898" s="2430">
        <v>0.54429752233339745</v>
      </c>
      <c r="F2898" s="2427">
        <v>7.8068273985047872E-4</v>
      </c>
      <c r="G2898" s="2429">
        <v>3.8641509260970686E-5</v>
      </c>
      <c r="H2898" s="2430">
        <v>0.41210958744613069</v>
      </c>
      <c r="I2898" s="2427">
        <v>2.2672042683494838E-3</v>
      </c>
      <c r="J2898" s="2431">
        <v>8.3248756057096093E-5</v>
      </c>
    </row>
    <row r="2899" spans="1:10" x14ac:dyDescent="0.2">
      <c r="A2899" s="2426" t="s">
        <v>209</v>
      </c>
      <c r="B2899" s="2427">
        <v>1.2150000000000001</v>
      </c>
      <c r="C2899" s="2428">
        <v>10000000</v>
      </c>
      <c r="D2899" s="2429">
        <v>12.15</v>
      </c>
      <c r="E2899" s="2430">
        <v>1.2292220996934533</v>
      </c>
      <c r="F2899" s="2427">
        <v>1.7630660388816574E-3</v>
      </c>
      <c r="G2899" s="2429">
        <v>8.7266605487136382E-5</v>
      </c>
      <c r="H2899" s="2430">
        <v>0.93069358503168942</v>
      </c>
      <c r="I2899" s="2427">
        <v>5.1201732082613817E-3</v>
      </c>
      <c r="J2899" s="2431">
        <v>1.8800601972002187E-4</v>
      </c>
    </row>
    <row r="2900" spans="1:10" x14ac:dyDescent="0.2">
      <c r="A2900" s="2426" t="s">
        <v>210</v>
      </c>
      <c r="B2900" s="2427">
        <v>1.2</v>
      </c>
      <c r="C2900" s="2428">
        <v>18500000</v>
      </c>
      <c r="D2900" s="2429">
        <v>22.2</v>
      </c>
      <c r="E2900" s="2430">
        <v>1.2140465182157563</v>
      </c>
      <c r="F2900" s="2427">
        <v>1.7412997914880563E-3</v>
      </c>
      <c r="G2900" s="2429">
        <v>8.6189239987295198E-5</v>
      </c>
      <c r="H2900" s="2430">
        <v>1.7005265504282718</v>
      </c>
      <c r="I2900" s="2427">
        <v>9.355378207687462E-3</v>
      </c>
      <c r="J2900" s="2431">
        <v>3.4351717183411399E-4</v>
      </c>
    </row>
    <row r="2901" spans="1:10" x14ac:dyDescent="0.2">
      <c r="A2901" s="2426" t="s">
        <v>1545</v>
      </c>
      <c r="B2901" s="2427">
        <v>0</v>
      </c>
      <c r="C2901" s="2428">
        <v>14200000</v>
      </c>
      <c r="D2901" s="2429">
        <v>0</v>
      </c>
      <c r="E2901" s="2430">
        <v>0</v>
      </c>
      <c r="F2901" s="2427">
        <v>0</v>
      </c>
      <c r="G2901" s="2429">
        <v>0</v>
      </c>
      <c r="H2901" s="2430">
        <v>0</v>
      </c>
      <c r="I2901" s="2427">
        <v>0</v>
      </c>
      <c r="J2901" s="2431">
        <v>0</v>
      </c>
    </row>
    <row r="2902" spans="1:10" x14ac:dyDescent="0.2">
      <c r="A2902" s="2426" t="s">
        <v>1546</v>
      </c>
      <c r="B2902" s="2427">
        <v>0</v>
      </c>
      <c r="C2902" s="2428">
        <v>10000000</v>
      </c>
      <c r="D2902" s="2429">
        <v>0</v>
      </c>
      <c r="E2902" s="2430">
        <v>0</v>
      </c>
      <c r="F2902" s="2427">
        <v>0</v>
      </c>
      <c r="G2902" s="2429">
        <v>0</v>
      </c>
      <c r="H2902" s="2430">
        <v>0</v>
      </c>
      <c r="I2902" s="2427">
        <v>0</v>
      </c>
      <c r="J2902" s="2431">
        <v>0</v>
      </c>
    </row>
    <row r="2903" spans="1:10" x14ac:dyDescent="0.2">
      <c r="A2903" s="2445" t="s">
        <v>121</v>
      </c>
      <c r="B2903" s="2446">
        <v>98.843000000000004</v>
      </c>
      <c r="C2903" s="2447"/>
      <c r="D2903" s="2448">
        <v>1305.4780000000003</v>
      </c>
      <c r="E2903" s="2449">
        <v>99.999999999999986</v>
      </c>
      <c r="F2903" s="2446">
        <v>0.14342941274171164</v>
      </c>
      <c r="G2903" s="2448">
        <v>7.0993358733868498E-3</v>
      </c>
      <c r="H2903" s="2449">
        <v>99.999999999999972</v>
      </c>
      <c r="I2903" s="2446">
        <v>0.55014596539709082</v>
      </c>
      <c r="J2903" s="2450">
        <v>2.0200635605930432E-2</v>
      </c>
    </row>
    <row r="2904" spans="1:10" ht="14.25" thickBot="1" x14ac:dyDescent="0.25">
      <c r="A2904" s="2457" t="s">
        <v>1840</v>
      </c>
      <c r="B2904" s="2446">
        <v>68914.038</v>
      </c>
      <c r="C2904" s="2458"/>
      <c r="D2904" s="2448">
        <v>237296.65981603938</v>
      </c>
      <c r="E2904" s="2459"/>
      <c r="F2904" s="2460">
        <v>100</v>
      </c>
      <c r="G2904" s="2461">
        <v>4.9497071330629847</v>
      </c>
      <c r="H2904" s="2462"/>
      <c r="I2904" s="2460">
        <v>100</v>
      </c>
      <c r="J2904" s="2463">
        <v>3.6718683543102566</v>
      </c>
    </row>
    <row r="2905" spans="1:10" ht="15" thickBot="1" x14ac:dyDescent="0.25">
      <c r="A2905" s="2464" t="s">
        <v>1841</v>
      </c>
      <c r="B2905" s="2465">
        <v>1392285.1624830281</v>
      </c>
      <c r="C2905" s="2466"/>
      <c r="D2905" s="2467">
        <v>6462559.0276810033</v>
      </c>
      <c r="E2905" s="2468"/>
      <c r="F2905" s="2469"/>
      <c r="G2905" s="2469"/>
      <c r="H2905" s="2469"/>
      <c r="I2905" s="2469"/>
      <c r="J2905" s="2469"/>
    </row>
    <row r="2906" spans="1:10" ht="16.5" thickBot="1" x14ac:dyDescent="0.3">
      <c r="A2906" s="2470" t="s">
        <v>1842</v>
      </c>
      <c r="B2906" s="2471">
        <v>4.9497071330629838</v>
      </c>
      <c r="C2906" s="2472"/>
      <c r="D2906" s="2473">
        <v>3.6718683543102566</v>
      </c>
      <c r="E2906" s="2468"/>
      <c r="F2906" s="2469"/>
      <c r="G2906" s="2469"/>
      <c r="H2906" s="2469"/>
      <c r="I2906" s="2469"/>
      <c r="J2906" s="2469"/>
    </row>
    <row r="2907" spans="1:10" x14ac:dyDescent="0.2">
      <c r="A2907" s="2474" t="s">
        <v>2023</v>
      </c>
      <c r="B2907" s="2474"/>
      <c r="C2907" s="2474"/>
      <c r="D2907" s="2475"/>
      <c r="E2907" s="2474"/>
      <c r="F2907" s="2474"/>
      <c r="H2907" s="2474"/>
      <c r="I2907" s="2474"/>
      <c r="J2907" s="2474"/>
    </row>
    <row r="2908" spans="1:10" x14ac:dyDescent="0.2">
      <c r="A2908" s="2474" t="s">
        <v>1843</v>
      </c>
      <c r="B2908" s="2474"/>
      <c r="C2908" s="2474"/>
      <c r="D2908" s="2474"/>
      <c r="E2908" s="2474"/>
      <c r="F2908" s="2474"/>
      <c r="G2908" s="2474"/>
      <c r="H2908" s="2474"/>
      <c r="I2908" s="2474"/>
      <c r="J2908" s="2474"/>
    </row>
    <row r="2909" spans="1:10" x14ac:dyDescent="0.2">
      <c r="A2909" s="2474" t="s">
        <v>2024</v>
      </c>
      <c r="B2909" s="2474"/>
      <c r="C2909" s="2474"/>
      <c r="D2909" s="2474"/>
      <c r="E2909" s="2474"/>
      <c r="F2909" s="2474"/>
      <c r="G2909" s="2474"/>
      <c r="H2909" s="2474"/>
      <c r="I2909" s="2474"/>
      <c r="J2909" s="2474"/>
    </row>
    <row r="2913" spans="1:10" ht="13.5" thickBot="1" x14ac:dyDescent="0.25">
      <c r="A2913" s="3321" t="s">
        <v>2021</v>
      </c>
      <c r="B2913" s="3321"/>
      <c r="C2913" s="3321"/>
      <c r="D2913" s="3321"/>
      <c r="E2913" s="3321"/>
      <c r="F2913" s="3321"/>
      <c r="G2913" s="3321"/>
      <c r="H2913" s="3321"/>
      <c r="I2913" s="3321"/>
      <c r="J2913" s="3321"/>
    </row>
    <row r="2914" spans="1:10" ht="13.5" customHeight="1" thickBot="1" x14ac:dyDescent="0.25">
      <c r="A2914" s="3322" t="s">
        <v>388</v>
      </c>
      <c r="B2914" s="3324" t="s">
        <v>1272</v>
      </c>
      <c r="C2914" s="3324" t="s">
        <v>1832</v>
      </c>
      <c r="D2914" s="3326" t="s">
        <v>1844</v>
      </c>
      <c r="E2914" s="3328" t="s">
        <v>1849</v>
      </c>
      <c r="F2914" s="3329"/>
      <c r="G2914" s="3330"/>
      <c r="H2914" s="3328" t="s">
        <v>1850</v>
      </c>
      <c r="I2914" s="3329"/>
      <c r="J2914" s="3331"/>
    </row>
    <row r="2915" spans="1:10" ht="13.5" customHeight="1" thickBot="1" x14ac:dyDescent="0.25">
      <c r="A2915" s="3323"/>
      <c r="B2915" s="3325"/>
      <c r="C2915" s="3325"/>
      <c r="D2915" s="3327"/>
      <c r="E2915" s="2415" t="s">
        <v>1848</v>
      </c>
      <c r="F2915" s="2416" t="s">
        <v>1231</v>
      </c>
      <c r="G2915" s="2417" t="s">
        <v>1833</v>
      </c>
      <c r="H2915" s="2415" t="s">
        <v>1848</v>
      </c>
      <c r="I2915" s="2416" t="s">
        <v>1231</v>
      </c>
      <c r="J2915" s="2418" t="s">
        <v>1833</v>
      </c>
    </row>
    <row r="2916" spans="1:10" x14ac:dyDescent="0.2">
      <c r="A2916" s="2419" t="s">
        <v>1851</v>
      </c>
      <c r="B2916" s="2420"/>
      <c r="C2916" s="2420"/>
      <c r="D2916" s="2421"/>
      <c r="E2916" s="2422"/>
      <c r="F2916" s="2423"/>
      <c r="G2916" s="2424"/>
      <c r="H2916" s="2422"/>
      <c r="I2916" s="2423"/>
      <c r="J2916" s="2425"/>
    </row>
    <row r="2917" spans="1:10" x14ac:dyDescent="0.2">
      <c r="A2917" s="2426" t="s">
        <v>410</v>
      </c>
      <c r="B2917" s="2427">
        <v>0</v>
      </c>
      <c r="C2917" s="2428">
        <v>5667200.0000000009</v>
      </c>
      <c r="D2917" s="2429">
        <v>0</v>
      </c>
      <c r="E2917" s="2430">
        <v>0</v>
      </c>
      <c r="F2917" s="2427">
        <v>0</v>
      </c>
      <c r="G2917" s="2429">
        <v>0</v>
      </c>
      <c r="H2917" s="2430">
        <v>0</v>
      </c>
      <c r="I2917" s="2427">
        <v>0</v>
      </c>
      <c r="J2917" s="2431">
        <v>0</v>
      </c>
    </row>
    <row r="2918" spans="1:10" x14ac:dyDescent="0.2">
      <c r="A2918" s="2426" t="s">
        <v>411</v>
      </c>
      <c r="B2918" s="2427">
        <v>0</v>
      </c>
      <c r="C2918" s="2428">
        <v>1753716.5000000002</v>
      </c>
      <c r="D2918" s="2429">
        <v>0</v>
      </c>
      <c r="E2918" s="2430">
        <v>0</v>
      </c>
      <c r="F2918" s="2427">
        <v>0</v>
      </c>
      <c r="G2918" s="2429">
        <v>0</v>
      </c>
      <c r="H2918" s="2430">
        <v>0</v>
      </c>
      <c r="I2918" s="2427">
        <v>0</v>
      </c>
      <c r="J2918" s="2431">
        <v>0</v>
      </c>
    </row>
    <row r="2919" spans="1:10" x14ac:dyDescent="0.2">
      <c r="A2919" s="2426" t="s">
        <v>278</v>
      </c>
      <c r="B2919" s="2427">
        <v>331</v>
      </c>
      <c r="C2919" s="2428">
        <v>1637875</v>
      </c>
      <c r="D2919" s="2429">
        <v>542.13662499999998</v>
      </c>
      <c r="E2919" s="2430">
        <v>3.0514280867822459</v>
      </c>
      <c r="F2919" s="2427">
        <v>2.9216172890542667</v>
      </c>
      <c r="G2919" s="2429">
        <v>2.3773865363162259E-2</v>
      </c>
      <c r="H2919" s="2430">
        <v>0.82741123770569547</v>
      </c>
      <c r="I2919" s="2427">
        <v>0.79419971023838698</v>
      </c>
      <c r="J2919" s="2431">
        <v>8.3888846922383613E-3</v>
      </c>
    </row>
    <row r="2920" spans="1:10" x14ac:dyDescent="0.2">
      <c r="A2920" s="2426" t="s">
        <v>200</v>
      </c>
      <c r="B2920" s="2427">
        <v>45.5</v>
      </c>
      <c r="C2920" s="2428">
        <v>7709114.5</v>
      </c>
      <c r="D2920" s="2429">
        <v>350.76470975000001</v>
      </c>
      <c r="E2920" s="2430">
        <v>0.41945612673290689</v>
      </c>
      <c r="F2920" s="2427">
        <v>0.40161204426576774</v>
      </c>
      <c r="G2920" s="2429">
        <v>3.2680086828516097E-3</v>
      </c>
      <c r="H2920" s="2430">
        <v>0.5353386014784125</v>
      </c>
      <c r="I2920" s="2427">
        <v>0.51385060148869655</v>
      </c>
      <c r="J2920" s="2431">
        <v>5.427644192456481E-3</v>
      </c>
    </row>
    <row r="2921" spans="1:10" x14ac:dyDescent="0.2">
      <c r="A2921" s="2426" t="s">
        <v>429</v>
      </c>
      <c r="B2921" s="2427">
        <v>0</v>
      </c>
      <c r="C2921" s="2428">
        <v>1255000</v>
      </c>
      <c r="D2921" s="2429">
        <v>0</v>
      </c>
      <c r="E2921" s="2430">
        <v>0</v>
      </c>
      <c r="F2921" s="2427">
        <v>0</v>
      </c>
      <c r="G2921" s="2429">
        <v>0</v>
      </c>
      <c r="H2921" s="2430">
        <v>0</v>
      </c>
      <c r="I2921" s="2427">
        <v>0</v>
      </c>
      <c r="J2921" s="2431">
        <v>0</v>
      </c>
    </row>
    <row r="2922" spans="1:10" x14ac:dyDescent="0.2">
      <c r="A2922" s="2432" t="s">
        <v>431</v>
      </c>
      <c r="B2922" s="2427">
        <v>0</v>
      </c>
      <c r="C2922" s="2428">
        <v>0</v>
      </c>
      <c r="D2922" s="2429">
        <v>0</v>
      </c>
      <c r="E2922" s="2430">
        <v>0</v>
      </c>
      <c r="F2922" s="2427">
        <v>0</v>
      </c>
      <c r="G2922" s="2429">
        <v>0</v>
      </c>
      <c r="H2922" s="2430">
        <v>0</v>
      </c>
      <c r="I2922" s="2427">
        <v>0</v>
      </c>
      <c r="J2922" s="2431">
        <v>0</v>
      </c>
    </row>
    <row r="2923" spans="1:10" x14ac:dyDescent="0.2">
      <c r="A2923" s="2432" t="s">
        <v>430</v>
      </c>
      <c r="B2923" s="2427">
        <v>0</v>
      </c>
      <c r="C2923" s="2428">
        <v>0</v>
      </c>
      <c r="D2923" s="2429">
        <v>0</v>
      </c>
      <c r="E2923" s="2430">
        <v>0</v>
      </c>
      <c r="F2923" s="2427">
        <v>0</v>
      </c>
      <c r="G2923" s="2429">
        <v>0</v>
      </c>
      <c r="H2923" s="2430">
        <v>0</v>
      </c>
      <c r="I2923" s="2427">
        <v>0</v>
      </c>
      <c r="J2923" s="2431">
        <v>0</v>
      </c>
    </row>
    <row r="2924" spans="1:10" x14ac:dyDescent="0.2">
      <c r="A2924" s="2433" t="s">
        <v>279</v>
      </c>
      <c r="B2924" s="2434">
        <v>376.5</v>
      </c>
      <c r="C2924" s="2433"/>
      <c r="D2924" s="2435">
        <v>892.90133474999993</v>
      </c>
      <c r="E2924" s="2436">
        <v>3.4708842135151525</v>
      </c>
      <c r="F2924" s="2434">
        <v>3.3232293333200347</v>
      </c>
      <c r="G2924" s="2435">
        <v>2.704187404601387E-2</v>
      </c>
      <c r="H2924" s="2436">
        <v>1.362749839184108</v>
      </c>
      <c r="I2924" s="2434">
        <v>1.3080503117270836</v>
      </c>
      <c r="J2924" s="2437">
        <v>1.3816528884694841E-2</v>
      </c>
    </row>
    <row r="2925" spans="1:10" x14ac:dyDescent="0.2">
      <c r="A2925" s="2438" t="s">
        <v>412</v>
      </c>
      <c r="B2925" s="2427">
        <v>25.5</v>
      </c>
      <c r="C2925" s="2428">
        <v>4129499.9999999995</v>
      </c>
      <c r="D2925" s="2429">
        <v>105.30224999999999</v>
      </c>
      <c r="E2925" s="2430">
        <v>0.23507980728987091</v>
      </c>
      <c r="F2925" s="2427">
        <v>0.22507927755554016</v>
      </c>
      <c r="G2925" s="2429">
        <v>1.831521349730023E-3</v>
      </c>
      <c r="H2925" s="2430">
        <v>0.16071274469916982</v>
      </c>
      <c r="I2925" s="2427">
        <v>0.15426188267108903</v>
      </c>
      <c r="J2925" s="2431">
        <v>1.6294203201697669E-3</v>
      </c>
    </row>
    <row r="2926" spans="1:10" x14ac:dyDescent="0.2">
      <c r="A2926" s="2438" t="s">
        <v>413</v>
      </c>
      <c r="B2926" s="2427">
        <v>70</v>
      </c>
      <c r="C2926" s="2428">
        <v>1200000</v>
      </c>
      <c r="D2926" s="2429">
        <v>84</v>
      </c>
      <c r="E2926" s="2430">
        <v>0.64531711805062597</v>
      </c>
      <c r="F2926" s="2427">
        <v>0.6178646834857966</v>
      </c>
      <c r="G2926" s="2429">
        <v>5.0277056659255538E-3</v>
      </c>
      <c r="H2926" s="2430">
        <v>0.12820115956430436</v>
      </c>
      <c r="I2926" s="2427">
        <v>0.12305528271591042</v>
      </c>
      <c r="J2926" s="2431">
        <v>1.299794704237188E-3</v>
      </c>
    </row>
    <row r="2927" spans="1:10" x14ac:dyDescent="0.2">
      <c r="A2927" s="2426" t="s">
        <v>90</v>
      </c>
      <c r="B2927" s="2427">
        <v>0</v>
      </c>
      <c r="C2927" s="2428">
        <v>1743000</v>
      </c>
      <c r="D2927" s="2429">
        <v>0</v>
      </c>
      <c r="E2927" s="2430">
        <v>0</v>
      </c>
      <c r="F2927" s="2427">
        <v>0</v>
      </c>
      <c r="G2927" s="2429">
        <v>0</v>
      </c>
      <c r="H2927" s="2430">
        <v>0</v>
      </c>
      <c r="I2927" s="2427">
        <v>0</v>
      </c>
      <c r="J2927" s="2431">
        <v>0</v>
      </c>
    </row>
    <row r="2928" spans="1:10" x14ac:dyDescent="0.2">
      <c r="A2928" s="2426" t="s">
        <v>417</v>
      </c>
      <c r="B2928" s="2427">
        <v>42</v>
      </c>
      <c r="C2928" s="2428">
        <v>2563999.9999999995</v>
      </c>
      <c r="D2928" s="2429">
        <v>107.68799999999999</v>
      </c>
      <c r="E2928" s="2430">
        <v>0.3871902708303756</v>
      </c>
      <c r="F2928" s="2427">
        <v>0.37071881009147795</v>
      </c>
      <c r="G2928" s="2429">
        <v>3.0166233995553319E-3</v>
      </c>
      <c r="H2928" s="2430">
        <v>0.16435388656143815</v>
      </c>
      <c r="I2928" s="2427">
        <v>0.15775687244179715</v>
      </c>
      <c r="J2928" s="2431">
        <v>1.6663368108320751E-3</v>
      </c>
    </row>
    <row r="2929" spans="1:10" x14ac:dyDescent="0.2">
      <c r="A2929" s="2426" t="s">
        <v>418</v>
      </c>
      <c r="B2929" s="2427">
        <v>80</v>
      </c>
      <c r="C2929" s="2428">
        <v>2222500</v>
      </c>
      <c r="D2929" s="2429">
        <v>177.8</v>
      </c>
      <c r="E2929" s="2430">
        <v>0.73750527777214403</v>
      </c>
      <c r="F2929" s="2427">
        <v>0.70613106684091032</v>
      </c>
      <c r="G2929" s="2429">
        <v>5.7459493324863459E-3</v>
      </c>
      <c r="H2929" s="2430">
        <v>0.27135912107777754</v>
      </c>
      <c r="I2929" s="2427">
        <v>0.26046701508201042</v>
      </c>
      <c r="J2929" s="2431">
        <v>2.7512321239687152E-3</v>
      </c>
    </row>
    <row r="2930" spans="1:10" x14ac:dyDescent="0.2">
      <c r="A2930" s="2426" t="s">
        <v>423</v>
      </c>
      <c r="B2930" s="2427">
        <v>0</v>
      </c>
      <c r="C2930" s="2428">
        <v>2531500</v>
      </c>
      <c r="D2930" s="2429">
        <v>0</v>
      </c>
      <c r="E2930" s="2430">
        <v>0</v>
      </c>
      <c r="F2930" s="2427">
        <v>0</v>
      </c>
      <c r="G2930" s="2429">
        <v>0</v>
      </c>
      <c r="H2930" s="2430">
        <v>0</v>
      </c>
      <c r="I2930" s="2427">
        <v>0</v>
      </c>
      <c r="J2930" s="2431">
        <v>0</v>
      </c>
    </row>
    <row r="2931" spans="1:10" x14ac:dyDescent="0.2">
      <c r="A2931" s="2426" t="s">
        <v>424</v>
      </c>
      <c r="B2931" s="2427">
        <v>0</v>
      </c>
      <c r="C2931" s="2428">
        <v>1369000</v>
      </c>
      <c r="D2931" s="2429">
        <v>0</v>
      </c>
      <c r="E2931" s="2430">
        <v>0</v>
      </c>
      <c r="F2931" s="2427">
        <v>0</v>
      </c>
      <c r="G2931" s="2429">
        <v>0</v>
      </c>
      <c r="H2931" s="2430">
        <v>0</v>
      </c>
      <c r="I2931" s="2427">
        <v>0</v>
      </c>
      <c r="J2931" s="2431">
        <v>0</v>
      </c>
    </row>
    <row r="2932" spans="1:10" x14ac:dyDescent="0.2">
      <c r="A2932" s="2426" t="s">
        <v>280</v>
      </c>
      <c r="B2932" s="2427">
        <v>0</v>
      </c>
      <c r="C2932" s="2428">
        <v>1574500</v>
      </c>
      <c r="D2932" s="2429">
        <v>0</v>
      </c>
      <c r="E2932" s="2430">
        <v>0</v>
      </c>
      <c r="F2932" s="2427">
        <v>0</v>
      </c>
      <c r="G2932" s="2429">
        <v>0</v>
      </c>
      <c r="H2932" s="2430">
        <v>0</v>
      </c>
      <c r="I2932" s="2427">
        <v>0</v>
      </c>
      <c r="J2932" s="2431">
        <v>0</v>
      </c>
    </row>
    <row r="2933" spans="1:10" x14ac:dyDescent="0.2">
      <c r="A2933" s="2426" t="s">
        <v>427</v>
      </c>
      <c r="B2933" s="2427">
        <v>120</v>
      </c>
      <c r="C2933" s="2428">
        <v>2072000</v>
      </c>
      <c r="D2933" s="2429">
        <v>248.64</v>
      </c>
      <c r="E2933" s="2430">
        <v>1.1062579166582158</v>
      </c>
      <c r="F2933" s="2427">
        <v>1.0591966002613655</v>
      </c>
      <c r="G2933" s="2429">
        <v>8.6189239987295198E-3</v>
      </c>
      <c r="H2933" s="2430">
        <v>0.37947543231034087</v>
      </c>
      <c r="I2933" s="2427">
        <v>0.36424363683909489</v>
      </c>
      <c r="J2933" s="2431">
        <v>3.8473923245420771E-3</v>
      </c>
    </row>
    <row r="2934" spans="1:10" x14ac:dyDescent="0.2">
      <c r="A2934" s="2426" t="s">
        <v>428</v>
      </c>
      <c r="B2934" s="2427">
        <v>0</v>
      </c>
      <c r="C2934" s="2428">
        <v>1326280</v>
      </c>
      <c r="D2934" s="2429">
        <v>0</v>
      </c>
      <c r="E2934" s="2430">
        <v>0</v>
      </c>
      <c r="F2934" s="2427">
        <v>0</v>
      </c>
      <c r="G2934" s="2429">
        <v>0</v>
      </c>
      <c r="H2934" s="2430">
        <v>0</v>
      </c>
      <c r="I2934" s="2427">
        <v>0</v>
      </c>
      <c r="J2934" s="2431">
        <v>0</v>
      </c>
    </row>
    <row r="2935" spans="1:10" x14ac:dyDescent="0.2">
      <c r="A2935" s="2439" t="s">
        <v>92</v>
      </c>
      <c r="B2935" s="2427">
        <v>702</v>
      </c>
      <c r="C2935" s="2428">
        <v>2215500</v>
      </c>
      <c r="D2935" s="2429">
        <v>1555.2809999999999</v>
      </c>
      <c r="E2935" s="2430">
        <v>6.4716088124505635</v>
      </c>
      <c r="F2935" s="2427">
        <v>6.1963001115289886</v>
      </c>
      <c r="G2935" s="2429">
        <v>5.0420705392567683E-2</v>
      </c>
      <c r="H2935" s="2430">
        <v>2.3736765196229861</v>
      </c>
      <c r="I2935" s="2427">
        <v>2.2783993233057602</v>
      </c>
      <c r="J2935" s="2431">
        <v>2.4066023897627596E-2</v>
      </c>
    </row>
    <row r="2936" spans="1:10" x14ac:dyDescent="0.2">
      <c r="A2936" s="2433" t="s">
        <v>281</v>
      </c>
      <c r="B2936" s="2434">
        <v>1039.5</v>
      </c>
      <c r="C2936" s="2433"/>
      <c r="D2936" s="2435">
        <v>2278.7112499999998</v>
      </c>
      <c r="E2936" s="2436">
        <v>9.5829592030517947</v>
      </c>
      <c r="F2936" s="2434">
        <v>9.1752905497640782</v>
      </c>
      <c r="G2936" s="2435">
        <v>7.466142913899447E-2</v>
      </c>
      <c r="H2936" s="2436">
        <v>3.4777788638360168</v>
      </c>
      <c r="I2936" s="2434">
        <v>3.3381840130556624</v>
      </c>
      <c r="J2936" s="2437">
        <v>3.5260200181377419E-2</v>
      </c>
    </row>
    <row r="2937" spans="1:10" x14ac:dyDescent="0.2">
      <c r="A2937" s="2440" t="s">
        <v>106</v>
      </c>
      <c r="B2937" s="2441">
        <v>1416</v>
      </c>
      <c r="C2937" s="2440"/>
      <c r="D2937" s="2442">
        <v>3171.6125847499998</v>
      </c>
      <c r="E2937" s="2443">
        <v>13.053843416566949</v>
      </c>
      <c r="F2937" s="2441">
        <v>12.498519883084114</v>
      </c>
      <c r="G2937" s="2442">
        <v>0.10170330318500834</v>
      </c>
      <c r="H2937" s="2443">
        <v>4.8405287030201247</v>
      </c>
      <c r="I2937" s="2441">
        <v>4.6462343247827453</v>
      </c>
      <c r="J2937" s="2444">
        <v>4.9076729066072265E-2</v>
      </c>
    </row>
    <row r="2938" spans="1:10" x14ac:dyDescent="0.2">
      <c r="A2938" s="2426" t="s">
        <v>905</v>
      </c>
      <c r="B2938" s="2427">
        <v>0</v>
      </c>
      <c r="C2938" s="2428">
        <v>6100000</v>
      </c>
      <c r="D2938" s="2429">
        <v>0</v>
      </c>
      <c r="E2938" s="2430">
        <v>0</v>
      </c>
      <c r="F2938" s="2427">
        <v>0</v>
      </c>
      <c r="G2938" s="2429">
        <v>0</v>
      </c>
      <c r="H2938" s="2430">
        <v>0</v>
      </c>
      <c r="I2938" s="2427">
        <v>0</v>
      </c>
      <c r="J2938" s="2431">
        <v>0</v>
      </c>
    </row>
    <row r="2939" spans="1:10" x14ac:dyDescent="0.2">
      <c r="A2939" s="2426" t="s">
        <v>906</v>
      </c>
      <c r="B2939" s="2427">
        <v>276</v>
      </c>
      <c r="C2939" s="2428">
        <v>3022000.0000000005</v>
      </c>
      <c r="D2939" s="2429">
        <v>834.07200000000012</v>
      </c>
      <c r="E2939" s="2430">
        <v>2.5443932083138967</v>
      </c>
      <c r="F2939" s="2427">
        <v>2.4361521806011406</v>
      </c>
      <c r="G2939" s="2429">
        <v>1.9823525197077897E-2</v>
      </c>
      <c r="H2939" s="2430">
        <v>1.272964256668077</v>
      </c>
      <c r="I2939" s="2427">
        <v>1.2218686400645817</v>
      </c>
      <c r="J2939" s="2431">
        <v>1.2906218673244287E-2</v>
      </c>
    </row>
    <row r="2940" spans="1:10" x14ac:dyDescent="0.2">
      <c r="A2940" s="2426" t="s">
        <v>907</v>
      </c>
      <c r="B2940" s="2427">
        <v>42</v>
      </c>
      <c r="C2940" s="2428">
        <v>2324000</v>
      </c>
      <c r="D2940" s="2429">
        <v>97.608000000000004</v>
      </c>
      <c r="E2940" s="2430">
        <v>0.3871902708303756</v>
      </c>
      <c r="F2940" s="2427">
        <v>0.37071881009147795</v>
      </c>
      <c r="G2940" s="2429">
        <v>3.0166233995553319E-3</v>
      </c>
      <c r="H2940" s="2430">
        <v>0.14896974741372165</v>
      </c>
      <c r="I2940" s="2427">
        <v>0.14299023851588794</v>
      </c>
      <c r="J2940" s="2431">
        <v>1.5103614463236128E-3</v>
      </c>
    </row>
    <row r="2941" spans="1:10" x14ac:dyDescent="0.2">
      <c r="A2941" s="2439" t="s">
        <v>908</v>
      </c>
      <c r="B2941" s="2427">
        <v>868</v>
      </c>
      <c r="C2941" s="2428">
        <v>2403999.9999999995</v>
      </c>
      <c r="D2941" s="2429">
        <v>2086.6719999999996</v>
      </c>
      <c r="E2941" s="2430">
        <v>8.0019322638277632</v>
      </c>
      <c r="F2941" s="2427">
        <v>7.6615220752238766</v>
      </c>
      <c r="G2941" s="2429">
        <v>6.2343550257476857E-2</v>
      </c>
      <c r="H2941" s="2430">
        <v>3.1846877384567387</v>
      </c>
      <c r="I2941" s="2427">
        <v>3.0568572963735026</v>
      </c>
      <c r="J2941" s="2431">
        <v>3.22886335128574E-2</v>
      </c>
    </row>
    <row r="2942" spans="1:10" x14ac:dyDescent="0.2">
      <c r="A2942" s="2440" t="s">
        <v>282</v>
      </c>
      <c r="B2942" s="2441">
        <v>1186</v>
      </c>
      <c r="C2942" s="2440"/>
      <c r="D2942" s="2442">
        <v>3018.3519999999999</v>
      </c>
      <c r="E2942" s="2443">
        <v>10.933515742972034</v>
      </c>
      <c r="F2942" s="2441">
        <v>10.468393065916496</v>
      </c>
      <c r="G2942" s="2442">
        <v>8.518369885411009E-2</v>
      </c>
      <c r="H2942" s="2443">
        <v>4.606621742538537</v>
      </c>
      <c r="I2942" s="2441">
        <v>4.4217161749539722</v>
      </c>
      <c r="J2942" s="2444">
        <v>4.6705213632425302E-2</v>
      </c>
    </row>
    <row r="2943" spans="1:10" x14ac:dyDescent="0.2">
      <c r="A2943" s="2426" t="s">
        <v>955</v>
      </c>
      <c r="B2943" s="2427">
        <v>58.95</v>
      </c>
      <c r="C2943" s="2428">
        <v>12137000</v>
      </c>
      <c r="D2943" s="2429">
        <v>715.47614999999996</v>
      </c>
      <c r="E2943" s="2430">
        <v>0.54344920155834864</v>
      </c>
      <c r="F2943" s="2427">
        <v>0.52033032987839589</v>
      </c>
      <c r="G2943" s="2429">
        <v>4.2340464143758774E-3</v>
      </c>
      <c r="H2943" s="2430">
        <v>1.0919627627452875</v>
      </c>
      <c r="I2943" s="2427">
        <v>1.0481323799373945</v>
      </c>
      <c r="J2943" s="2431">
        <v>1.1071096556881096E-2</v>
      </c>
    </row>
    <row r="2944" spans="1:10" x14ac:dyDescent="0.2">
      <c r="A2944" s="2426" t="s">
        <v>283</v>
      </c>
      <c r="B2944" s="2427">
        <v>1888.6316251153937</v>
      </c>
      <c r="C2944" s="2428">
        <v>13024549.999999996</v>
      </c>
      <c r="D2944" s="2429">
        <v>24598.577032896694</v>
      </c>
      <c r="E2944" s="2430">
        <v>17.4109473911248</v>
      </c>
      <c r="F2944" s="2427">
        <v>16.670268303902692</v>
      </c>
      <c r="G2944" s="2429">
        <v>0.135649770320555</v>
      </c>
      <c r="H2944" s="2430">
        <v>37.542453562490728</v>
      </c>
      <c r="I2944" s="2427">
        <v>36.035533942764332</v>
      </c>
      <c r="J2944" s="2431">
        <v>0.38063214475154339</v>
      </c>
    </row>
    <row r="2945" spans="1:10" x14ac:dyDescent="0.2">
      <c r="A2945" s="2426" t="s">
        <v>69</v>
      </c>
      <c r="B2945" s="2427">
        <v>1491.7583748846066</v>
      </c>
      <c r="C2945" s="2428">
        <v>14978232.499999994</v>
      </c>
      <c r="D2945" s="2429">
        <v>22343.903772843791</v>
      </c>
      <c r="E2945" s="2430">
        <v>13.752245932977425</v>
      </c>
      <c r="F2945" s="2427">
        <v>13.167211659076624</v>
      </c>
      <c r="G2945" s="2429">
        <v>0.10714460047998903</v>
      </c>
      <c r="H2945" s="2430">
        <v>34.101361581807247</v>
      </c>
      <c r="I2945" s="2427">
        <v>32.732564235052266</v>
      </c>
      <c r="J2945" s="2431">
        <v>0.34574390233247249</v>
      </c>
    </row>
    <row r="2946" spans="1:10" x14ac:dyDescent="0.2">
      <c r="A2946" s="2426" t="s">
        <v>199</v>
      </c>
      <c r="B2946" s="2427">
        <v>370</v>
      </c>
      <c r="C2946" s="2428">
        <v>3000000</v>
      </c>
      <c r="D2946" s="2429">
        <v>1110</v>
      </c>
      <c r="E2946" s="2430">
        <v>3.4109619096961663</v>
      </c>
      <c r="F2946" s="2427">
        <v>3.2658561841392104</v>
      </c>
      <c r="G2946" s="2429">
        <v>2.6575015662749352E-2</v>
      </c>
      <c r="H2946" s="2430">
        <v>1.6940867513854503</v>
      </c>
      <c r="I2946" s="2427">
        <v>1.6260876644602449</v>
      </c>
      <c r="J2946" s="2431">
        <v>1.7175858591705701E-2</v>
      </c>
    </row>
    <row r="2947" spans="1:10" x14ac:dyDescent="0.2">
      <c r="A2947" s="2426" t="s">
        <v>86</v>
      </c>
      <c r="B2947" s="2427">
        <v>370</v>
      </c>
      <c r="C2947" s="2428">
        <v>170000</v>
      </c>
      <c r="D2947" s="2429">
        <v>62.9</v>
      </c>
      <c r="E2947" s="2430">
        <v>3.4109619096961663</v>
      </c>
      <c r="F2947" s="2427">
        <v>3.2658561841392104</v>
      </c>
      <c r="G2947" s="2429">
        <v>2.6575015662749352E-2</v>
      </c>
      <c r="H2947" s="2430">
        <v>9.5998249245175526E-2</v>
      </c>
      <c r="I2947" s="2427">
        <v>9.2144967652747212E-2</v>
      </c>
      <c r="J2947" s="2431">
        <v>9.7329865352998961E-4</v>
      </c>
    </row>
    <row r="2948" spans="1:10" x14ac:dyDescent="0.2">
      <c r="A2948" s="2439" t="s">
        <v>213</v>
      </c>
      <c r="B2948" s="2427">
        <v>2104.5</v>
      </c>
      <c r="C2948" s="2428">
        <v>1850000.0000000005</v>
      </c>
      <c r="D2948" s="2429">
        <v>3893.3250000000007</v>
      </c>
      <c r="E2948" s="2430">
        <v>19.400998213393464</v>
      </c>
      <c r="F2948" s="2427">
        <v>18.575660377083697</v>
      </c>
      <c r="G2948" s="2429">
        <v>0.15115437962771897</v>
      </c>
      <c r="H2948" s="2430">
        <v>5.9420092804844682</v>
      </c>
      <c r="I2948" s="2427">
        <v>5.7035024830943106</v>
      </c>
      <c r="J2948" s="2431">
        <v>6.024432401040776E-2</v>
      </c>
    </row>
    <row r="2949" spans="1:10" x14ac:dyDescent="0.2">
      <c r="A2949" s="2433" t="s">
        <v>1834</v>
      </c>
      <c r="B2949" s="2434">
        <v>6283.84</v>
      </c>
      <c r="C2949" s="2433"/>
      <c r="D2949" s="2435">
        <v>52724.181955740481</v>
      </c>
      <c r="E2949" s="2436">
        <v>57.929564558446366</v>
      </c>
      <c r="F2949" s="2434">
        <v>55.46518303821982</v>
      </c>
      <c r="G2949" s="2435">
        <v>0.45133282816813758</v>
      </c>
      <c r="H2949" s="2436">
        <v>80.467872188158353</v>
      </c>
      <c r="I2949" s="2434">
        <v>77.23796567296128</v>
      </c>
      <c r="J2949" s="2437">
        <v>0.81584062489654041</v>
      </c>
    </row>
    <row r="2950" spans="1:10" x14ac:dyDescent="0.2">
      <c r="A2950" s="2426" t="s">
        <v>961</v>
      </c>
      <c r="B2950" s="2427">
        <v>1080.54</v>
      </c>
      <c r="C2950" s="2428">
        <v>3668000</v>
      </c>
      <c r="D2950" s="2429">
        <v>3963.4207200000001</v>
      </c>
      <c r="E2950" s="2430">
        <v>9.9612994105489054</v>
      </c>
      <c r="F2950" s="2427">
        <v>9.5375357870534661</v>
      </c>
      <c r="G2950" s="2429">
        <v>7.7609101146559958E-2</v>
      </c>
      <c r="H2950" s="2430">
        <v>6.0489896683951194</v>
      </c>
      <c r="I2950" s="2427">
        <v>5.806188776448777</v>
      </c>
      <c r="J2950" s="2431">
        <v>6.1328967410951708E-2</v>
      </c>
    </row>
    <row r="2951" spans="1:10" x14ac:dyDescent="0.2">
      <c r="A2951" s="2426" t="s">
        <v>962</v>
      </c>
      <c r="B2951" s="2427">
        <v>0</v>
      </c>
      <c r="C2951" s="2428">
        <v>1999999.9999999998</v>
      </c>
      <c r="D2951" s="2429">
        <v>0</v>
      </c>
      <c r="E2951" s="2430">
        <v>0</v>
      </c>
      <c r="F2951" s="2427">
        <v>0</v>
      </c>
      <c r="G2951" s="2429">
        <v>0</v>
      </c>
      <c r="H2951" s="2430">
        <v>0</v>
      </c>
      <c r="I2951" s="2427">
        <v>0</v>
      </c>
      <c r="J2951" s="2431">
        <v>0</v>
      </c>
    </row>
    <row r="2952" spans="1:10" x14ac:dyDescent="0.2">
      <c r="A2952" s="2426" t="s">
        <v>963</v>
      </c>
      <c r="B2952" s="2427">
        <v>42</v>
      </c>
      <c r="C2952" s="2428">
        <v>1347999.9999999998</v>
      </c>
      <c r="D2952" s="2429">
        <v>56.615999999999993</v>
      </c>
      <c r="E2952" s="2430">
        <v>0.3871902708303756</v>
      </c>
      <c r="F2952" s="2427">
        <v>0.37071881009147795</v>
      </c>
      <c r="G2952" s="2429">
        <v>3.0166233995553319E-3</v>
      </c>
      <c r="H2952" s="2430">
        <v>8.6407581546341122E-2</v>
      </c>
      <c r="I2952" s="2427">
        <v>8.2939260550523614E-2</v>
      </c>
      <c r="J2952" s="2431">
        <v>8.7606163065586458E-4</v>
      </c>
    </row>
    <row r="2953" spans="1:10" x14ac:dyDescent="0.2">
      <c r="A2953" s="2426" t="s">
        <v>965</v>
      </c>
      <c r="B2953" s="2427">
        <v>170</v>
      </c>
      <c r="C2953" s="2428">
        <v>1599999.9999999995</v>
      </c>
      <c r="D2953" s="2429">
        <v>271.99999999999994</v>
      </c>
      <c r="E2953" s="2430">
        <v>1.5671987152658058</v>
      </c>
      <c r="F2953" s="2427">
        <v>1.5005285170369345</v>
      </c>
      <c r="G2953" s="2429">
        <v>1.2210142331533485E-2</v>
      </c>
      <c r="H2953" s="2430">
        <v>0.41512756430346165</v>
      </c>
      <c r="I2953" s="2427">
        <v>0.39846472498485275</v>
      </c>
      <c r="J2953" s="2431">
        <v>4.2088590422918459E-3</v>
      </c>
    </row>
    <row r="2954" spans="1:10" x14ac:dyDescent="0.2">
      <c r="A2954" s="2426" t="s">
        <v>966</v>
      </c>
      <c r="B2954" s="2427">
        <v>0</v>
      </c>
      <c r="C2954" s="2428">
        <v>2244000</v>
      </c>
      <c r="D2954" s="2429">
        <v>0</v>
      </c>
      <c r="E2954" s="2430">
        <v>0</v>
      </c>
      <c r="F2954" s="2427">
        <v>0</v>
      </c>
      <c r="G2954" s="2429">
        <v>0</v>
      </c>
      <c r="H2954" s="2430">
        <v>0</v>
      </c>
      <c r="I2954" s="2427">
        <v>0</v>
      </c>
      <c r="J2954" s="2431">
        <v>0</v>
      </c>
    </row>
    <row r="2955" spans="1:10" x14ac:dyDescent="0.2">
      <c r="A2955" s="2426" t="s">
        <v>1499</v>
      </c>
      <c r="B2955" s="2427">
        <v>5</v>
      </c>
      <c r="C2955" s="2428">
        <v>4849999.9999999991</v>
      </c>
      <c r="D2955" s="2429">
        <v>24.249999999999996</v>
      </c>
      <c r="E2955" s="2430">
        <v>4.6094079860759002E-2</v>
      </c>
      <c r="F2955" s="2427">
        <v>4.4133191677556895E-2</v>
      </c>
      <c r="G2955" s="2429">
        <v>3.5912183328039662E-4</v>
      </c>
      <c r="H2955" s="2430">
        <v>3.7010453802790243E-2</v>
      </c>
      <c r="I2955" s="2427">
        <v>3.5524888165009851E-2</v>
      </c>
      <c r="J2955" s="2431">
        <v>3.7523835211609297E-4</v>
      </c>
    </row>
    <row r="2956" spans="1:10" x14ac:dyDescent="0.2">
      <c r="A2956" s="2426" t="s">
        <v>1575</v>
      </c>
      <c r="B2956" s="2427">
        <v>0</v>
      </c>
      <c r="C2956" s="2428">
        <v>2250000.0000000005</v>
      </c>
      <c r="D2956" s="2429">
        <v>0</v>
      </c>
      <c r="E2956" s="2430">
        <v>0</v>
      </c>
      <c r="F2956" s="2427">
        <v>0</v>
      </c>
      <c r="G2956" s="2429">
        <v>0</v>
      </c>
      <c r="H2956" s="2430">
        <v>0</v>
      </c>
      <c r="I2956" s="2427">
        <v>0</v>
      </c>
      <c r="J2956" s="2431">
        <v>0</v>
      </c>
    </row>
    <row r="2957" spans="1:10" x14ac:dyDescent="0.2">
      <c r="A2957" s="2426" t="s">
        <v>964</v>
      </c>
      <c r="B2957" s="2427">
        <v>0</v>
      </c>
      <c r="C2957" s="2428">
        <v>1556000</v>
      </c>
      <c r="D2957" s="2429">
        <v>0</v>
      </c>
      <c r="E2957" s="2430">
        <v>0</v>
      </c>
      <c r="F2957" s="2427">
        <v>0</v>
      </c>
      <c r="G2957" s="2429">
        <v>0</v>
      </c>
      <c r="H2957" s="2430">
        <v>0</v>
      </c>
      <c r="I2957" s="2427">
        <v>0</v>
      </c>
      <c r="J2957" s="2431">
        <v>0</v>
      </c>
    </row>
    <row r="2958" spans="1:10" x14ac:dyDescent="0.2">
      <c r="A2958" s="2426" t="s">
        <v>969</v>
      </c>
      <c r="B2958" s="2427">
        <v>24</v>
      </c>
      <c r="C2958" s="2428">
        <v>4800000</v>
      </c>
      <c r="D2958" s="2429">
        <v>115.2</v>
      </c>
      <c r="E2958" s="2430">
        <v>0.22125158333164319</v>
      </c>
      <c r="F2958" s="2427">
        <v>0.2118393200522731</v>
      </c>
      <c r="G2958" s="2429">
        <v>1.7237847997459042E-3</v>
      </c>
      <c r="H2958" s="2430">
        <v>0.17581873311676027</v>
      </c>
      <c r="I2958" s="2427">
        <v>0.16876153058182</v>
      </c>
      <c r="J2958" s="2431">
        <v>1.7825755943824296E-3</v>
      </c>
    </row>
    <row r="2959" spans="1:10" x14ac:dyDescent="0.2">
      <c r="A2959" s="2426" t="s">
        <v>968</v>
      </c>
      <c r="B2959" s="2427">
        <v>0</v>
      </c>
      <c r="C2959" s="2428">
        <v>3050000.0000000009</v>
      </c>
      <c r="D2959" s="2429">
        <v>0</v>
      </c>
      <c r="E2959" s="2430">
        <v>0</v>
      </c>
      <c r="F2959" s="2427">
        <v>0</v>
      </c>
      <c r="G2959" s="2429">
        <v>0</v>
      </c>
      <c r="H2959" s="2430">
        <v>0</v>
      </c>
      <c r="I2959" s="2427">
        <v>0</v>
      </c>
      <c r="J2959" s="2431">
        <v>0</v>
      </c>
    </row>
    <row r="2960" spans="1:10" x14ac:dyDescent="0.2">
      <c r="A2960" s="2426" t="s">
        <v>1013</v>
      </c>
      <c r="B2960" s="2427">
        <v>0</v>
      </c>
      <c r="C2960" s="2428">
        <v>1799999.9999999998</v>
      </c>
      <c r="D2960" s="2429">
        <v>0</v>
      </c>
      <c r="E2960" s="2430">
        <v>0</v>
      </c>
      <c r="F2960" s="2427">
        <v>0</v>
      </c>
      <c r="G2960" s="2429">
        <v>0</v>
      </c>
      <c r="H2960" s="2430">
        <v>0</v>
      </c>
      <c r="I2960" s="2427">
        <v>0</v>
      </c>
      <c r="J2960" s="2431">
        <v>0</v>
      </c>
    </row>
    <row r="2961" spans="1:10" x14ac:dyDescent="0.2">
      <c r="A2961" s="2426" t="s">
        <v>1014</v>
      </c>
      <c r="B2961" s="2427">
        <v>0</v>
      </c>
      <c r="C2961" s="2428">
        <v>2195000.0000000005</v>
      </c>
      <c r="D2961" s="2429">
        <v>0</v>
      </c>
      <c r="E2961" s="2430">
        <v>0</v>
      </c>
      <c r="F2961" s="2427">
        <v>0</v>
      </c>
      <c r="G2961" s="2429">
        <v>0</v>
      </c>
      <c r="H2961" s="2430">
        <v>0</v>
      </c>
      <c r="I2961" s="2427">
        <v>0</v>
      </c>
      <c r="J2961" s="2431">
        <v>0</v>
      </c>
    </row>
    <row r="2962" spans="1:10" x14ac:dyDescent="0.2">
      <c r="A2962" s="2426" t="s">
        <v>970</v>
      </c>
      <c r="B2962" s="2427">
        <v>459</v>
      </c>
      <c r="C2962" s="2428">
        <v>3100000.0000000005</v>
      </c>
      <c r="D2962" s="2429">
        <v>1422.9000000000003</v>
      </c>
      <c r="E2962" s="2430">
        <v>4.2314365312176765</v>
      </c>
      <c r="F2962" s="2427">
        <v>4.0514269959997229</v>
      </c>
      <c r="G2962" s="2429">
        <v>3.2967384295140414E-2</v>
      </c>
      <c r="H2962" s="2430">
        <v>2.1716360707624847</v>
      </c>
      <c r="I2962" s="2427">
        <v>2.0844685925770117</v>
      </c>
      <c r="J2962" s="2431">
        <v>2.2017593864989232E-2</v>
      </c>
    </row>
    <row r="2963" spans="1:10" x14ac:dyDescent="0.2">
      <c r="A2963" s="2426" t="s">
        <v>971</v>
      </c>
      <c r="B2963" s="2427">
        <v>6</v>
      </c>
      <c r="C2963" s="2428">
        <v>3010000</v>
      </c>
      <c r="D2963" s="2429">
        <v>18.059999999999999</v>
      </c>
      <c r="E2963" s="2430">
        <v>5.5312895832910797E-2</v>
      </c>
      <c r="F2963" s="2427">
        <v>5.2959830013068275E-2</v>
      </c>
      <c r="G2963" s="2429">
        <v>4.3094619993647604E-4</v>
      </c>
      <c r="H2963" s="2430">
        <v>2.7563249306325435E-2</v>
      </c>
      <c r="I2963" s="2427">
        <v>2.645688578392074E-2</v>
      </c>
      <c r="J2963" s="2431">
        <v>2.7945586141099544E-4</v>
      </c>
    </row>
    <row r="2964" spans="1:10" x14ac:dyDescent="0.2">
      <c r="A2964" s="2426" t="s">
        <v>972</v>
      </c>
      <c r="B2964" s="2427">
        <v>0</v>
      </c>
      <c r="C2964" s="2428">
        <v>2744000.0000000005</v>
      </c>
      <c r="D2964" s="2429">
        <v>0</v>
      </c>
      <c r="E2964" s="2430">
        <v>0</v>
      </c>
      <c r="F2964" s="2427">
        <v>0</v>
      </c>
      <c r="G2964" s="2429">
        <v>0</v>
      </c>
      <c r="H2964" s="2430">
        <v>0</v>
      </c>
      <c r="I2964" s="2427">
        <v>0</v>
      </c>
      <c r="J2964" s="2431">
        <v>0</v>
      </c>
    </row>
    <row r="2965" spans="1:10" x14ac:dyDescent="0.2">
      <c r="A2965" s="2426" t="s">
        <v>973</v>
      </c>
      <c r="B2965" s="2427">
        <v>44</v>
      </c>
      <c r="C2965" s="2428">
        <v>2549999.9999999991</v>
      </c>
      <c r="D2965" s="2429">
        <v>112.19999999999996</v>
      </c>
      <c r="E2965" s="2430">
        <v>0.40562790277467919</v>
      </c>
      <c r="F2965" s="2427">
        <v>0.38837208676250068</v>
      </c>
      <c r="G2965" s="2429">
        <v>3.1602721328674904E-3</v>
      </c>
      <c r="H2965" s="2430">
        <v>0.1712401202751779</v>
      </c>
      <c r="I2965" s="2427">
        <v>0.16436669905625173</v>
      </c>
      <c r="J2965" s="2431">
        <v>1.7361543549453864E-3</v>
      </c>
    </row>
    <row r="2966" spans="1:10" x14ac:dyDescent="0.2">
      <c r="A2966" s="2426" t="s">
        <v>974</v>
      </c>
      <c r="B2966" s="2427">
        <v>0</v>
      </c>
      <c r="C2966" s="2428">
        <v>1583999.9999999995</v>
      </c>
      <c r="D2966" s="2429">
        <v>0</v>
      </c>
      <c r="E2966" s="2430">
        <v>0</v>
      </c>
      <c r="F2966" s="2427">
        <v>0</v>
      </c>
      <c r="G2966" s="2429">
        <v>0</v>
      </c>
      <c r="H2966" s="2430">
        <v>0</v>
      </c>
      <c r="I2966" s="2427">
        <v>0</v>
      </c>
      <c r="J2966" s="2431">
        <v>0</v>
      </c>
    </row>
    <row r="2967" spans="1:10" x14ac:dyDescent="0.2">
      <c r="A2967" s="2426" t="s">
        <v>975</v>
      </c>
      <c r="B2967" s="2427">
        <v>30</v>
      </c>
      <c r="C2967" s="2428">
        <v>2532000.0000000009</v>
      </c>
      <c r="D2967" s="2429">
        <v>75.960000000000036</v>
      </c>
      <c r="E2967" s="2430">
        <v>0.27656447916455396</v>
      </c>
      <c r="F2967" s="2427">
        <v>0.26479915006534138</v>
      </c>
      <c r="G2967" s="2429">
        <v>2.1547309996823799E-3</v>
      </c>
      <c r="H2967" s="2430">
        <v>0.11593047714886384</v>
      </c>
      <c r="I2967" s="2427">
        <v>0.11127713422738764</v>
      </c>
      <c r="J2967" s="2431">
        <v>1.1753857825459149E-3</v>
      </c>
    </row>
    <row r="2968" spans="1:10" x14ac:dyDescent="0.2">
      <c r="A2968" s="2426" t="s">
        <v>976</v>
      </c>
      <c r="B2968" s="2427">
        <v>65</v>
      </c>
      <c r="C2968" s="2428">
        <v>7394999.9999999991</v>
      </c>
      <c r="D2968" s="2429">
        <v>480.67499999999995</v>
      </c>
      <c r="E2968" s="2430">
        <v>0.599223038189867</v>
      </c>
      <c r="F2968" s="2427">
        <v>0.57373149180823968</v>
      </c>
      <c r="G2968" s="2429">
        <v>4.6685838326451564E-3</v>
      </c>
      <c r="H2968" s="2430">
        <v>0.73360824254252366</v>
      </c>
      <c r="I2968" s="2427">
        <v>0.70416188118416945</v>
      </c>
      <c r="J2968" s="2431">
        <v>7.4378430888001239E-3</v>
      </c>
    </row>
    <row r="2969" spans="1:10" x14ac:dyDescent="0.2">
      <c r="A2969" s="2426" t="s">
        <v>286</v>
      </c>
      <c r="B2969" s="2427">
        <v>0</v>
      </c>
      <c r="C2969" s="2428">
        <v>2445000.0000000005</v>
      </c>
      <c r="D2969" s="2429">
        <v>0</v>
      </c>
      <c r="E2969" s="2430">
        <v>0</v>
      </c>
      <c r="F2969" s="2427">
        <v>0</v>
      </c>
      <c r="G2969" s="2429">
        <v>0</v>
      </c>
      <c r="H2969" s="2430">
        <v>0</v>
      </c>
      <c r="I2969" s="2427">
        <v>0</v>
      </c>
      <c r="J2969" s="2431">
        <v>0</v>
      </c>
    </row>
    <row r="2970" spans="1:10" x14ac:dyDescent="0.2">
      <c r="A2970" s="2439" t="s">
        <v>978</v>
      </c>
      <c r="B2970" s="2427">
        <v>36</v>
      </c>
      <c r="C2970" s="2428">
        <v>1850000.0000000002</v>
      </c>
      <c r="D2970" s="2429">
        <v>66.600000000000009</v>
      </c>
      <c r="E2970" s="2430">
        <v>0.33187737499746478</v>
      </c>
      <c r="F2970" s="2427">
        <v>0.31775898007840969</v>
      </c>
      <c r="G2970" s="2429">
        <v>2.5856771996188559E-3</v>
      </c>
      <c r="H2970" s="2430">
        <v>0.10164520508312704</v>
      </c>
      <c r="I2970" s="2427">
        <v>9.7565259867614704E-2</v>
      </c>
      <c r="J2970" s="2431">
        <v>1.0305515155023422E-3</v>
      </c>
    </row>
    <row r="2971" spans="1:10" x14ac:dyDescent="0.2">
      <c r="A2971" s="2426" t="s">
        <v>1163</v>
      </c>
      <c r="B2971" s="2427">
        <v>0</v>
      </c>
      <c r="C2971" s="2428">
        <v>0</v>
      </c>
      <c r="D2971" s="2429">
        <v>0</v>
      </c>
      <c r="E2971" s="2430">
        <v>0</v>
      </c>
      <c r="F2971" s="2427">
        <v>0</v>
      </c>
      <c r="G2971" s="2429">
        <v>0</v>
      </c>
      <c r="H2971" s="2430">
        <v>0</v>
      </c>
      <c r="I2971" s="2427">
        <v>0</v>
      </c>
      <c r="J2971" s="2431">
        <v>0</v>
      </c>
    </row>
    <row r="2972" spans="1:10" x14ac:dyDescent="0.2">
      <c r="A2972" s="2433" t="s">
        <v>287</v>
      </c>
      <c r="B2972" s="2434">
        <v>1961.54</v>
      </c>
      <c r="C2972" s="2433"/>
      <c r="D2972" s="2435">
        <v>6607.8817200000012</v>
      </c>
      <c r="E2972" s="2436">
        <v>18.083076282014641</v>
      </c>
      <c r="F2972" s="2434">
        <v>17.313804160638991</v>
      </c>
      <c r="G2972" s="2435">
        <v>0.14088636817056585</v>
      </c>
      <c r="H2972" s="2436">
        <v>10.084977366282978</v>
      </c>
      <c r="I2972" s="2434">
        <v>9.680175633427341</v>
      </c>
      <c r="J2972" s="2437">
        <v>0.10224868649859195</v>
      </c>
    </row>
    <row r="2973" spans="1:10" x14ac:dyDescent="0.2">
      <c r="A2973" s="2440" t="s">
        <v>1835</v>
      </c>
      <c r="B2973" s="2441">
        <v>8245.380000000001</v>
      </c>
      <c r="C2973" s="2440"/>
      <c r="D2973" s="2442">
        <v>59332.063675740486</v>
      </c>
      <c r="E2973" s="2443">
        <v>76.012640840461017</v>
      </c>
      <c r="F2973" s="2441">
        <v>72.778987198858829</v>
      </c>
      <c r="G2973" s="2442">
        <v>0.59221919633870346</v>
      </c>
      <c r="H2973" s="2443">
        <v>90.552849554441337</v>
      </c>
      <c r="I2973" s="2441">
        <v>86.918141306388634</v>
      </c>
      <c r="J2973" s="2444">
        <v>0.91808931139513228</v>
      </c>
    </row>
    <row r="2974" spans="1:10" x14ac:dyDescent="0.2">
      <c r="A2974" s="2445" t="s">
        <v>194</v>
      </c>
      <c r="B2974" s="2446">
        <v>10847.380000000001</v>
      </c>
      <c r="C2974" s="2447"/>
      <c r="D2974" s="2448">
        <v>65522.028260490486</v>
      </c>
      <c r="E2974" s="2449">
        <v>100</v>
      </c>
      <c r="F2974" s="2446">
        <v>95.745900147859444</v>
      </c>
      <c r="G2974" s="2448">
        <v>0.77910619837782191</v>
      </c>
      <c r="H2974" s="2449">
        <v>100</v>
      </c>
      <c r="I2974" s="2446">
        <v>95.986091806125344</v>
      </c>
      <c r="J2974" s="2450">
        <v>1.0138712540936299</v>
      </c>
    </row>
    <row r="2975" spans="1:10" x14ac:dyDescent="0.2">
      <c r="A2975" s="2451" t="s">
        <v>1852</v>
      </c>
      <c r="B2975" s="2427"/>
      <c r="C2975" s="2452"/>
      <c r="D2975" s="2429"/>
      <c r="E2975" s="2430"/>
      <c r="F2975" s="2427">
        <v>0</v>
      </c>
      <c r="G2975" s="2429"/>
      <c r="H2975" s="2430"/>
      <c r="I2975" s="2427">
        <v>0</v>
      </c>
      <c r="J2975" s="2431">
        <v>0</v>
      </c>
    </row>
    <row r="2976" spans="1:10" x14ac:dyDescent="0.2">
      <c r="A2976" s="2453" t="s">
        <v>1836</v>
      </c>
      <c r="B2976" s="2427">
        <v>0</v>
      </c>
      <c r="C2976" s="2428">
        <v>8033612.4975057133</v>
      </c>
      <c r="D2976" s="2429">
        <v>0</v>
      </c>
      <c r="E2976" s="2430">
        <v>0</v>
      </c>
      <c r="F2976" s="2427">
        <v>0</v>
      </c>
      <c r="G2976" s="2429">
        <v>0</v>
      </c>
      <c r="H2976" s="2430">
        <v>0</v>
      </c>
      <c r="I2976" s="2427">
        <v>0</v>
      </c>
      <c r="J2976" s="2431">
        <v>0</v>
      </c>
    </row>
    <row r="2977" spans="1:10" x14ac:dyDescent="0.2">
      <c r="A2977" s="2453" t="s">
        <v>1837</v>
      </c>
      <c r="B2977" s="2427">
        <v>332.15</v>
      </c>
      <c r="C2977" s="2428">
        <v>2214764.1578067578</v>
      </c>
      <c r="D2977" s="2429">
        <v>735.63391501551462</v>
      </c>
      <c r="E2977" s="2430">
        <v>87.8165885178786</v>
      </c>
      <c r="F2977" s="2427">
        <v>2.9317679231401041</v>
      </c>
      <c r="G2977" s="2429">
        <v>2.3856463384816749E-2</v>
      </c>
      <c r="H2977" s="2430">
        <v>55.701396090397424</v>
      </c>
      <c r="I2977" s="2427">
        <v>1.0776623736624544</v>
      </c>
      <c r="J2977" s="2431">
        <v>1.138301270231471E-2</v>
      </c>
    </row>
    <row r="2978" spans="1:10" x14ac:dyDescent="0.2">
      <c r="A2978" s="2454" t="s">
        <v>309</v>
      </c>
      <c r="B2978" s="2434">
        <v>332.15</v>
      </c>
      <c r="C2978" s="2433"/>
      <c r="D2978" s="2435">
        <v>735.63391501551462</v>
      </c>
      <c r="E2978" s="2436">
        <v>87.8165885178786</v>
      </c>
      <c r="F2978" s="2434">
        <v>2.9317679231401041</v>
      </c>
      <c r="G2978" s="2435">
        <v>2.3856463384816749E-2</v>
      </c>
      <c r="H2978" s="2436">
        <v>55.701396090397424</v>
      </c>
      <c r="I2978" s="2434">
        <v>1.0776623736624544</v>
      </c>
      <c r="J2978" s="2437">
        <v>1.138301270231471E-2</v>
      </c>
    </row>
    <row r="2979" spans="1:10" x14ac:dyDescent="0.2">
      <c r="A2979" s="2453" t="s">
        <v>1838</v>
      </c>
      <c r="B2979" s="2427">
        <v>0</v>
      </c>
      <c r="C2979" s="2428">
        <v>10407427.50198495</v>
      </c>
      <c r="D2979" s="2429">
        <v>0</v>
      </c>
      <c r="E2979" s="2430">
        <v>0</v>
      </c>
      <c r="F2979" s="2427">
        <v>0</v>
      </c>
      <c r="G2979" s="2429">
        <v>0</v>
      </c>
      <c r="H2979" s="2430">
        <v>0</v>
      </c>
      <c r="I2979" s="2427">
        <v>0</v>
      </c>
      <c r="J2979" s="2431">
        <v>0</v>
      </c>
    </row>
    <row r="2980" spans="1:10" x14ac:dyDescent="0.2">
      <c r="A2980" s="2454" t="s">
        <v>315</v>
      </c>
      <c r="B2980" s="2434">
        <v>0</v>
      </c>
      <c r="C2980" s="2455"/>
      <c r="D2980" s="2435">
        <v>0</v>
      </c>
      <c r="E2980" s="2436">
        <v>0</v>
      </c>
      <c r="F2980" s="2434">
        <v>0</v>
      </c>
      <c r="G2980" s="2435">
        <v>0</v>
      </c>
      <c r="H2980" s="2436">
        <v>0</v>
      </c>
      <c r="I2980" s="2434">
        <v>0</v>
      </c>
      <c r="J2980" s="2437">
        <v>0</v>
      </c>
    </row>
    <row r="2981" spans="1:10" x14ac:dyDescent="0.2">
      <c r="A2981" s="2453" t="s">
        <v>1541</v>
      </c>
      <c r="B2981" s="2427">
        <v>12.144</v>
      </c>
      <c r="C2981" s="2428">
        <v>10553660</v>
      </c>
      <c r="D2981" s="2429">
        <v>128.16364704</v>
      </c>
      <c r="E2981" s="2430">
        <v>3.2107320516667706</v>
      </c>
      <c r="F2981" s="2427">
        <v>0.10719069594645018</v>
      </c>
      <c r="G2981" s="2429">
        <v>8.7223510867142739E-4</v>
      </c>
      <c r="H2981" s="2430">
        <v>9.7044112872560699</v>
      </c>
      <c r="I2981" s="2427">
        <v>0.18775254548106377</v>
      </c>
      <c r="J2981" s="2431">
        <v>1.9831717821228115E-3</v>
      </c>
    </row>
    <row r="2982" spans="1:10" x14ac:dyDescent="0.2">
      <c r="A2982" s="2453" t="s">
        <v>206</v>
      </c>
      <c r="B2982" s="2427">
        <v>27.1875</v>
      </c>
      <c r="C2982" s="2428">
        <v>6960000</v>
      </c>
      <c r="D2982" s="2429">
        <v>189.22499999999999</v>
      </c>
      <c r="E2982" s="2430">
        <v>7.1880581072702832</v>
      </c>
      <c r="F2982" s="2427">
        <v>0.23997422974671562</v>
      </c>
      <c r="G2982" s="2429">
        <v>1.9527249684621569E-3</v>
      </c>
      <c r="H2982" s="2430">
        <v>14.327910201072175</v>
      </c>
      <c r="I2982" s="2427">
        <v>0.2772039984752161</v>
      </c>
      <c r="J2982" s="2431">
        <v>2.9280196774914514E-3</v>
      </c>
    </row>
    <row r="2983" spans="1:10" x14ac:dyDescent="0.2">
      <c r="A2983" s="2454" t="s">
        <v>310</v>
      </c>
      <c r="B2983" s="2434">
        <v>39.331499999999998</v>
      </c>
      <c r="C2983" s="2455"/>
      <c r="D2983" s="2435">
        <v>317.38864704000002</v>
      </c>
      <c r="E2983" s="2436">
        <v>10.398790158937054</v>
      </c>
      <c r="F2983" s="2434">
        <v>0.34716492569316582</v>
      </c>
      <c r="G2983" s="2435">
        <v>2.8249600771335839E-3</v>
      </c>
      <c r="H2983" s="2436">
        <v>24.032321488328247</v>
      </c>
      <c r="I2983" s="2434">
        <v>0.46495654395627989</v>
      </c>
      <c r="J2983" s="2437">
        <v>4.911191459614263E-3</v>
      </c>
    </row>
    <row r="2984" spans="1:10" x14ac:dyDescent="0.2">
      <c r="A2984" s="2453" t="s">
        <v>1839</v>
      </c>
      <c r="B2984" s="2427">
        <v>6.75</v>
      </c>
      <c r="C2984" s="2428">
        <v>39652080.629353955</v>
      </c>
      <c r="D2984" s="2429">
        <v>267.6515442481392</v>
      </c>
      <c r="E2984" s="2430">
        <v>1.784621323184346</v>
      </c>
      <c r="F2984" s="2427">
        <v>5.9579808764701814E-2</v>
      </c>
      <c r="G2984" s="2429">
        <v>4.8481447492853549E-4</v>
      </c>
      <c r="H2984" s="2430">
        <v>20.266282421274326</v>
      </c>
      <c r="I2984" s="2427">
        <v>0.39209448150958071</v>
      </c>
      <c r="J2984" s="2431">
        <v>4.1415721404123428E-3</v>
      </c>
    </row>
    <row r="2985" spans="1:10" x14ac:dyDescent="0.2">
      <c r="A2985" s="2454" t="s">
        <v>311</v>
      </c>
      <c r="B2985" s="2434">
        <v>6.75</v>
      </c>
      <c r="C2985" s="2433"/>
      <c r="D2985" s="2435">
        <v>267.6515442481392</v>
      </c>
      <c r="E2985" s="2436">
        <v>1.784621323184346</v>
      </c>
      <c r="F2985" s="2434">
        <v>5.9579808764701814E-2</v>
      </c>
      <c r="G2985" s="2435">
        <v>4.8481447492853549E-4</v>
      </c>
      <c r="H2985" s="2436">
        <v>20.266282421274326</v>
      </c>
      <c r="I2985" s="2434">
        <v>0.39209448150958071</v>
      </c>
      <c r="J2985" s="2437">
        <v>4.1415721404123428E-3</v>
      </c>
    </row>
    <row r="2986" spans="1:10" x14ac:dyDescent="0.2">
      <c r="A2986" s="2445" t="s">
        <v>129</v>
      </c>
      <c r="B2986" s="2446">
        <v>378.23149999999998</v>
      </c>
      <c r="C2986" s="2447"/>
      <c r="D2986" s="2448">
        <v>1320.6741063036538</v>
      </c>
      <c r="E2986" s="2449">
        <v>99.999999999999986</v>
      </c>
      <c r="F2986" s="2446">
        <v>3.3385126575979722</v>
      </c>
      <c r="G2986" s="2448">
        <v>2.7166237936878869E-2</v>
      </c>
      <c r="H2986" s="2449">
        <v>100</v>
      </c>
      <c r="I2986" s="2446">
        <v>1.9347133991283152</v>
      </c>
      <c r="J2986" s="2450">
        <v>2.0435776302341314E-2</v>
      </c>
    </row>
    <row r="2987" spans="1:10" x14ac:dyDescent="0.2">
      <c r="A2987" s="2451" t="s">
        <v>1853</v>
      </c>
      <c r="B2987" s="2427"/>
      <c r="C2987" s="2452"/>
      <c r="D2987" s="2429"/>
      <c r="E2987" s="2430"/>
      <c r="F2987" s="2427">
        <v>0</v>
      </c>
      <c r="G2987" s="2429"/>
      <c r="H2987" s="2430"/>
      <c r="I2987" s="2427">
        <v>0</v>
      </c>
      <c r="J2987" s="2431">
        <v>0</v>
      </c>
    </row>
    <row r="2988" spans="1:10" x14ac:dyDescent="0.2">
      <c r="A2988" s="2426" t="s">
        <v>1543</v>
      </c>
      <c r="B2988" s="2427">
        <v>45</v>
      </c>
      <c r="C2988" s="2428">
        <v>13200000</v>
      </c>
      <c r="D2988" s="2429">
        <v>594</v>
      </c>
      <c r="E2988" s="2430">
        <v>43.381856743468617</v>
      </c>
      <c r="F2988" s="2427">
        <v>0.39719872509801207</v>
      </c>
      <c r="G2988" s="2429">
        <v>3.2320964995235699E-3</v>
      </c>
      <c r="H2988" s="2430">
        <v>41.851616994292961</v>
      </c>
      <c r="I2988" s="2427">
        <v>0.87017664206250955</v>
      </c>
      <c r="J2988" s="2431">
        <v>9.1914054085344022E-3</v>
      </c>
    </row>
    <row r="2989" spans="1:10" x14ac:dyDescent="0.2">
      <c r="A2989" s="2426" t="s">
        <v>208</v>
      </c>
      <c r="B2989" s="2427">
        <v>30.3</v>
      </c>
      <c r="C2989" s="2428">
        <v>10000000</v>
      </c>
      <c r="D2989" s="2429">
        <v>303</v>
      </c>
      <c r="E2989" s="2430">
        <v>29.210450207268874</v>
      </c>
      <c r="F2989" s="2427">
        <v>0.26744714156599481</v>
      </c>
      <c r="G2989" s="2429">
        <v>2.176278309679204E-3</v>
      </c>
      <c r="H2989" s="2430">
        <v>21.348552103149441</v>
      </c>
      <c r="I2989" s="2427">
        <v>0.44387798408239115</v>
      </c>
      <c r="J2989" s="2431">
        <v>4.6885451831412857E-3</v>
      </c>
    </row>
    <row r="2990" spans="1:10" x14ac:dyDescent="0.2">
      <c r="A2990" s="2426" t="s">
        <v>209</v>
      </c>
      <c r="B2990" s="2427">
        <v>0.43</v>
      </c>
      <c r="C2990" s="2428">
        <v>10000000</v>
      </c>
      <c r="D2990" s="2429">
        <v>4.3</v>
      </c>
      <c r="E2990" s="2430">
        <v>0.41453774221536682</v>
      </c>
      <c r="F2990" s="2427">
        <v>3.7954544842698935E-3</v>
      </c>
      <c r="G2990" s="2429">
        <v>3.0884477662114111E-5</v>
      </c>
      <c r="H2990" s="2430">
        <v>0.30296625096878743</v>
      </c>
      <c r="I2990" s="2427">
        <v>6.2992585199811296E-3</v>
      </c>
      <c r="J2990" s="2431">
        <v>6.6537109859760818E-5</v>
      </c>
    </row>
    <row r="2991" spans="1:10" x14ac:dyDescent="0.2">
      <c r="A2991" s="2426" t="s">
        <v>210</v>
      </c>
      <c r="B2991" s="2427">
        <v>28</v>
      </c>
      <c r="C2991" s="2428">
        <v>18500000</v>
      </c>
      <c r="D2991" s="2429">
        <v>518</v>
      </c>
      <c r="E2991" s="2430">
        <v>26.99315530704714</v>
      </c>
      <c r="F2991" s="2427">
        <v>0.24714587339431862</v>
      </c>
      <c r="G2991" s="2429">
        <v>2.0110822663702214E-3</v>
      </c>
      <c r="H2991" s="2430">
        <v>36.496864651588808</v>
      </c>
      <c r="I2991" s="2427">
        <v>0.75884091008144761</v>
      </c>
      <c r="J2991" s="2431">
        <v>8.0154006761293268E-3</v>
      </c>
    </row>
    <row r="2992" spans="1:10" x14ac:dyDescent="0.2">
      <c r="A2992" s="2426" t="s">
        <v>1545</v>
      </c>
      <c r="B2992" s="2427">
        <v>0</v>
      </c>
      <c r="C2992" s="2428">
        <v>14200000</v>
      </c>
      <c r="D2992" s="2429">
        <v>0</v>
      </c>
      <c r="E2992" s="2430">
        <v>0</v>
      </c>
      <c r="F2992" s="2427">
        <v>0</v>
      </c>
      <c r="G2992" s="2429">
        <v>0</v>
      </c>
      <c r="H2992" s="2430">
        <v>0</v>
      </c>
      <c r="I2992" s="2427">
        <v>0</v>
      </c>
      <c r="J2992" s="2431">
        <v>0</v>
      </c>
    </row>
    <row r="2993" spans="1:10" x14ac:dyDescent="0.2">
      <c r="A2993" s="2426" t="s">
        <v>1546</v>
      </c>
      <c r="B2993" s="2427">
        <v>0</v>
      </c>
      <c r="C2993" s="2428">
        <v>10000000</v>
      </c>
      <c r="D2993" s="2429">
        <v>0</v>
      </c>
      <c r="E2993" s="2430">
        <v>0</v>
      </c>
      <c r="F2993" s="2427">
        <v>0</v>
      </c>
      <c r="G2993" s="2429">
        <v>0</v>
      </c>
      <c r="H2993" s="2430">
        <v>0</v>
      </c>
      <c r="I2993" s="2427">
        <v>0</v>
      </c>
      <c r="J2993" s="2431">
        <v>0</v>
      </c>
    </row>
    <row r="2994" spans="1:10" x14ac:dyDescent="0.2">
      <c r="A2994" s="2445" t="s">
        <v>121</v>
      </c>
      <c r="B2994" s="2446">
        <v>103.73</v>
      </c>
      <c r="C2994" s="2447"/>
      <c r="D2994" s="2448">
        <v>1419.3</v>
      </c>
      <c r="E2994" s="2449">
        <v>100</v>
      </c>
      <c r="F2994" s="2446">
        <v>0.91558719454259541</v>
      </c>
      <c r="G2994" s="2448">
        <v>7.4503415532351097E-3</v>
      </c>
      <c r="H2994" s="2449">
        <v>100</v>
      </c>
      <c r="I2994" s="2446">
        <v>2.0791947947463294</v>
      </c>
      <c r="J2994" s="2450">
        <v>2.1961888377664773E-2</v>
      </c>
    </row>
    <row r="2995" spans="1:10" ht="14.25" thickBot="1" x14ac:dyDescent="0.25">
      <c r="A2995" s="2457" t="s">
        <v>1840</v>
      </c>
      <c r="B2995" s="2446">
        <v>11329.3415</v>
      </c>
      <c r="C2995" s="2458"/>
      <c r="D2995" s="2448">
        <v>68262.002366794142</v>
      </c>
      <c r="E2995" s="2459"/>
      <c r="F2995" s="2460">
        <v>100.00000000000001</v>
      </c>
      <c r="G2995" s="2461">
        <v>0.8137227778679359</v>
      </c>
      <c r="H2995" s="2462"/>
      <c r="I2995" s="2460">
        <v>99.999999999999986</v>
      </c>
      <c r="J2995" s="2463">
        <v>1.056268918773636</v>
      </c>
    </row>
    <row r="2996" spans="1:10" ht="15" thickBot="1" x14ac:dyDescent="0.25">
      <c r="A2996" s="2464" t="s">
        <v>1841</v>
      </c>
      <c r="B2996" s="2465">
        <v>1392285.1624830281</v>
      </c>
      <c r="C2996" s="2466"/>
      <c r="D2996" s="2467">
        <v>6462559.0276810033</v>
      </c>
      <c r="E2996" s="2468"/>
      <c r="F2996" s="2469"/>
      <c r="G2996" s="2469"/>
      <c r="H2996" s="2469"/>
      <c r="I2996" s="2469"/>
      <c r="J2996" s="2469"/>
    </row>
    <row r="2997" spans="1:10" ht="16.5" thickBot="1" x14ac:dyDescent="0.3">
      <c r="A2997" s="2470" t="s">
        <v>1842</v>
      </c>
      <c r="B2997" s="2471">
        <v>0.81372277786793579</v>
      </c>
      <c r="C2997" s="2472"/>
      <c r="D2997" s="2473">
        <v>1.056268918773636</v>
      </c>
      <c r="E2997" s="2468"/>
      <c r="F2997" s="2469"/>
      <c r="G2997" s="2469"/>
      <c r="H2997" s="2469"/>
      <c r="I2997" s="2469"/>
      <c r="J2997" s="2469"/>
    </row>
    <row r="2998" spans="1:10" x14ac:dyDescent="0.2">
      <c r="A2998" s="2474" t="s">
        <v>2023</v>
      </c>
      <c r="B2998" s="2474"/>
      <c r="C2998" s="2474"/>
      <c r="D2998" s="2475"/>
      <c r="E2998" s="2474"/>
      <c r="F2998" s="2474"/>
      <c r="H2998" s="2474"/>
      <c r="I2998" s="2474"/>
      <c r="J2998" s="2474"/>
    </row>
    <row r="2999" spans="1:10" x14ac:dyDescent="0.2">
      <c r="A2999" s="2474" t="s">
        <v>1843</v>
      </c>
      <c r="B2999" s="2474"/>
      <c r="C2999" s="2474"/>
      <c r="D2999" s="2474"/>
      <c r="E2999" s="2474"/>
      <c r="F2999" s="2474"/>
      <c r="G2999" s="2474"/>
      <c r="H2999" s="2474"/>
      <c r="I2999" s="2474"/>
      <c r="J2999" s="2474"/>
    </row>
    <row r="3000" spans="1:10" x14ac:dyDescent="0.2">
      <c r="A3000" s="2474" t="s">
        <v>2024</v>
      </c>
      <c r="B3000" s="2474"/>
      <c r="C3000" s="2474"/>
      <c r="D3000" s="2474"/>
      <c r="E3000" s="2474"/>
      <c r="F3000" s="2474"/>
      <c r="G3000" s="2474"/>
      <c r="H3000" s="2474"/>
      <c r="I3000" s="2474"/>
      <c r="J3000" s="2474"/>
    </row>
    <row r="3004" spans="1:10" ht="13.5" thickBot="1" x14ac:dyDescent="0.25">
      <c r="A3004" s="3321" t="s">
        <v>2021</v>
      </c>
      <c r="B3004" s="3321"/>
      <c r="C3004" s="3321"/>
      <c r="D3004" s="3321"/>
      <c r="E3004" s="3321"/>
      <c r="F3004" s="3321"/>
      <c r="G3004" s="3321"/>
      <c r="H3004" s="3321"/>
      <c r="I3004" s="3321"/>
      <c r="J3004" s="3321"/>
    </row>
    <row r="3005" spans="1:10" ht="13.5" customHeight="1" thickBot="1" x14ac:dyDescent="0.25">
      <c r="A3005" s="3322" t="s">
        <v>389</v>
      </c>
      <c r="B3005" s="3324" t="s">
        <v>1272</v>
      </c>
      <c r="C3005" s="3324" t="s">
        <v>1832</v>
      </c>
      <c r="D3005" s="3326" t="s">
        <v>1844</v>
      </c>
      <c r="E3005" s="3328" t="s">
        <v>1849</v>
      </c>
      <c r="F3005" s="3329"/>
      <c r="G3005" s="3330"/>
      <c r="H3005" s="3328" t="s">
        <v>1850</v>
      </c>
      <c r="I3005" s="3329"/>
      <c r="J3005" s="3331"/>
    </row>
    <row r="3006" spans="1:10" ht="13.5" customHeight="1" thickBot="1" x14ac:dyDescent="0.25">
      <c r="A3006" s="3323"/>
      <c r="B3006" s="3325"/>
      <c r="C3006" s="3325"/>
      <c r="D3006" s="3327"/>
      <c r="E3006" s="2415" t="s">
        <v>1848</v>
      </c>
      <c r="F3006" s="2416" t="s">
        <v>1231</v>
      </c>
      <c r="G3006" s="2417" t="s">
        <v>1833</v>
      </c>
      <c r="H3006" s="2415" t="s">
        <v>1848</v>
      </c>
      <c r="I3006" s="2416" t="s">
        <v>1231</v>
      </c>
      <c r="J3006" s="2418" t="s">
        <v>1833</v>
      </c>
    </row>
    <row r="3007" spans="1:10" x14ac:dyDescent="0.2">
      <c r="A3007" s="2419" t="s">
        <v>1851</v>
      </c>
      <c r="B3007" s="2420"/>
      <c r="C3007" s="2420"/>
      <c r="D3007" s="2421"/>
      <c r="E3007" s="2422"/>
      <c r="F3007" s="2423"/>
      <c r="G3007" s="2424"/>
      <c r="H3007" s="2422"/>
      <c r="I3007" s="2423"/>
      <c r="J3007" s="2425"/>
    </row>
    <row r="3008" spans="1:10" x14ac:dyDescent="0.2">
      <c r="A3008" s="2426" t="s">
        <v>410</v>
      </c>
      <c r="B3008" s="2427">
        <v>0</v>
      </c>
      <c r="C3008" s="2428">
        <v>5667200.0000000009</v>
      </c>
      <c r="D3008" s="2429">
        <v>0</v>
      </c>
      <c r="E3008" s="2430">
        <v>0</v>
      </c>
      <c r="F3008" s="2427">
        <v>0</v>
      </c>
      <c r="G3008" s="2429">
        <v>0</v>
      </c>
      <c r="H3008" s="2430">
        <v>0</v>
      </c>
      <c r="I3008" s="2427">
        <v>0</v>
      </c>
      <c r="J3008" s="2431">
        <v>0</v>
      </c>
    </row>
    <row r="3009" spans="1:10" x14ac:dyDescent="0.2">
      <c r="A3009" s="2426" t="s">
        <v>411</v>
      </c>
      <c r="B3009" s="2427">
        <v>0</v>
      </c>
      <c r="C3009" s="2428">
        <v>1753716.5000000002</v>
      </c>
      <c r="D3009" s="2429">
        <v>0</v>
      </c>
      <c r="E3009" s="2430">
        <v>0</v>
      </c>
      <c r="F3009" s="2427">
        <v>0</v>
      </c>
      <c r="G3009" s="2429">
        <v>0</v>
      </c>
      <c r="H3009" s="2430">
        <v>0</v>
      </c>
      <c r="I3009" s="2427">
        <v>0</v>
      </c>
      <c r="J3009" s="2431">
        <v>0</v>
      </c>
    </row>
    <row r="3010" spans="1:10" x14ac:dyDescent="0.2">
      <c r="A3010" s="2426" t="s">
        <v>278</v>
      </c>
      <c r="B3010" s="2427">
        <v>489</v>
      </c>
      <c r="C3010" s="2428">
        <v>1637875</v>
      </c>
      <c r="D3010" s="2429">
        <v>800.92087500000002</v>
      </c>
      <c r="E3010" s="2430">
        <v>2.1820111431605467</v>
      </c>
      <c r="F3010" s="2427">
        <v>2.1120472601024214</v>
      </c>
      <c r="G3010" s="2429">
        <v>3.5122115294822794E-2</v>
      </c>
      <c r="H3010" s="2430">
        <v>0.5661547935405854</v>
      </c>
      <c r="I3010" s="2427">
        <v>0.53947846749036776</v>
      </c>
      <c r="J3010" s="2431">
        <v>1.2393246569500178E-2</v>
      </c>
    </row>
    <row r="3011" spans="1:10" x14ac:dyDescent="0.2">
      <c r="A3011" s="2426" t="s">
        <v>200</v>
      </c>
      <c r="B3011" s="2427">
        <v>285.60000000000002</v>
      </c>
      <c r="C3011" s="2428">
        <v>7709114.5</v>
      </c>
      <c r="D3011" s="2429">
        <v>2201.7231012000002</v>
      </c>
      <c r="E3011" s="2430">
        <v>1.2744016001772027</v>
      </c>
      <c r="F3011" s="2427">
        <v>1.2335392586610463</v>
      </c>
      <c r="G3011" s="2429">
        <v>2.0513039116976259E-2</v>
      </c>
      <c r="H3011" s="2430">
        <v>1.5563536008390635</v>
      </c>
      <c r="I3011" s="2427">
        <v>1.4830206597793021</v>
      </c>
      <c r="J3011" s="2431">
        <v>3.4068905084957607E-2</v>
      </c>
    </row>
    <row r="3012" spans="1:10" x14ac:dyDescent="0.2">
      <c r="A3012" s="2426" t="s">
        <v>429</v>
      </c>
      <c r="B3012" s="2427">
        <v>0</v>
      </c>
      <c r="C3012" s="2428">
        <v>1255000</v>
      </c>
      <c r="D3012" s="2429">
        <v>0</v>
      </c>
      <c r="E3012" s="2430">
        <v>0</v>
      </c>
      <c r="F3012" s="2427">
        <v>0</v>
      </c>
      <c r="G3012" s="2429">
        <v>0</v>
      </c>
      <c r="H3012" s="2430">
        <v>0</v>
      </c>
      <c r="I3012" s="2427">
        <v>0</v>
      </c>
      <c r="J3012" s="2431">
        <v>0</v>
      </c>
    </row>
    <row r="3013" spans="1:10" x14ac:dyDescent="0.2">
      <c r="A3013" s="2432" t="s">
        <v>431</v>
      </c>
      <c r="B3013" s="2427">
        <v>0</v>
      </c>
      <c r="C3013" s="2428">
        <v>0</v>
      </c>
      <c r="D3013" s="2429">
        <v>0</v>
      </c>
      <c r="E3013" s="2430">
        <v>0</v>
      </c>
      <c r="F3013" s="2427">
        <v>0</v>
      </c>
      <c r="G3013" s="2429">
        <v>0</v>
      </c>
      <c r="H3013" s="2430">
        <v>0</v>
      </c>
      <c r="I3013" s="2427">
        <v>0</v>
      </c>
      <c r="J3013" s="2431">
        <v>0</v>
      </c>
    </row>
    <row r="3014" spans="1:10" x14ac:dyDescent="0.2">
      <c r="A3014" s="2432" t="s">
        <v>430</v>
      </c>
      <c r="B3014" s="2427">
        <v>0</v>
      </c>
      <c r="C3014" s="2428">
        <v>0</v>
      </c>
      <c r="D3014" s="2429">
        <v>0</v>
      </c>
      <c r="E3014" s="2430">
        <v>0</v>
      </c>
      <c r="F3014" s="2427">
        <v>0</v>
      </c>
      <c r="G3014" s="2429">
        <v>0</v>
      </c>
      <c r="H3014" s="2430">
        <v>0</v>
      </c>
      <c r="I3014" s="2427">
        <v>0</v>
      </c>
      <c r="J3014" s="2431">
        <v>0</v>
      </c>
    </row>
    <row r="3015" spans="1:10" x14ac:dyDescent="0.2">
      <c r="A3015" s="2433" t="s">
        <v>279</v>
      </c>
      <c r="B3015" s="2434">
        <v>774.6</v>
      </c>
      <c r="C3015" s="2433"/>
      <c r="D3015" s="2435">
        <v>3002.6439762</v>
      </c>
      <c r="E3015" s="2436">
        <v>3.4564127433377494</v>
      </c>
      <c r="F3015" s="2434">
        <v>3.3455865187634672</v>
      </c>
      <c r="G3015" s="2435">
        <v>5.5635154411799052E-2</v>
      </c>
      <c r="H3015" s="2436">
        <v>2.1225083943796488</v>
      </c>
      <c r="I3015" s="2434">
        <v>2.0224991272696697</v>
      </c>
      <c r="J3015" s="2437">
        <v>4.646215165445778E-2</v>
      </c>
    </row>
    <row r="3016" spans="1:10" x14ac:dyDescent="0.2">
      <c r="A3016" s="2438" t="s">
        <v>412</v>
      </c>
      <c r="B3016" s="2427">
        <v>61</v>
      </c>
      <c r="C3016" s="2428">
        <v>4129499.9999999995</v>
      </c>
      <c r="D3016" s="2429">
        <v>251.89949999999996</v>
      </c>
      <c r="E3016" s="2430">
        <v>0.27219361908546696</v>
      </c>
      <c r="F3016" s="2427">
        <v>0.26346601813138587</v>
      </c>
      <c r="G3016" s="2429">
        <v>4.3812863660208394E-3</v>
      </c>
      <c r="H3016" s="2430">
        <v>0.17806266994286626</v>
      </c>
      <c r="I3016" s="2427">
        <v>0.16967263616595069</v>
      </c>
      <c r="J3016" s="2431">
        <v>3.8978290011904226E-3</v>
      </c>
    </row>
    <row r="3017" spans="1:10" x14ac:dyDescent="0.2">
      <c r="A3017" s="2438" t="s">
        <v>413</v>
      </c>
      <c r="B3017" s="2427">
        <v>0</v>
      </c>
      <c r="C3017" s="2428">
        <v>1200000</v>
      </c>
      <c r="D3017" s="2429">
        <v>0</v>
      </c>
      <c r="E3017" s="2430">
        <v>0</v>
      </c>
      <c r="F3017" s="2427">
        <v>0</v>
      </c>
      <c r="G3017" s="2429">
        <v>0</v>
      </c>
      <c r="H3017" s="2430">
        <v>0</v>
      </c>
      <c r="I3017" s="2427">
        <v>0</v>
      </c>
      <c r="J3017" s="2431">
        <v>0</v>
      </c>
    </row>
    <row r="3018" spans="1:10" x14ac:dyDescent="0.2">
      <c r="A3018" s="2426" t="s">
        <v>90</v>
      </c>
      <c r="B3018" s="2427">
        <v>77</v>
      </c>
      <c r="C3018" s="2428">
        <v>1743000</v>
      </c>
      <c r="D3018" s="2429">
        <v>134.21100000000001</v>
      </c>
      <c r="E3018" s="2430">
        <v>0.34358866671444194</v>
      </c>
      <c r="F3018" s="2427">
        <v>0.332571858952733</v>
      </c>
      <c r="G3018" s="2429">
        <v>5.5304762325181084E-3</v>
      </c>
      <c r="H3018" s="2430">
        <v>9.4871045776994525E-2</v>
      </c>
      <c r="I3018" s="2427">
        <v>9.0400870872980751E-2</v>
      </c>
      <c r="J3018" s="2431">
        <v>2.0767469886949675E-3</v>
      </c>
    </row>
    <row r="3019" spans="1:10" x14ac:dyDescent="0.2">
      <c r="A3019" s="2426" t="s">
        <v>417</v>
      </c>
      <c r="B3019" s="2427">
        <v>0</v>
      </c>
      <c r="C3019" s="2428">
        <v>2563999.9999999995</v>
      </c>
      <c r="D3019" s="2429">
        <v>0</v>
      </c>
      <c r="E3019" s="2430">
        <v>0</v>
      </c>
      <c r="F3019" s="2427">
        <v>0</v>
      </c>
      <c r="G3019" s="2429">
        <v>0</v>
      </c>
      <c r="H3019" s="2430">
        <v>0</v>
      </c>
      <c r="I3019" s="2427">
        <v>0</v>
      </c>
      <c r="J3019" s="2431">
        <v>0</v>
      </c>
    </row>
    <row r="3020" spans="1:10" x14ac:dyDescent="0.2">
      <c r="A3020" s="2426" t="s">
        <v>418</v>
      </c>
      <c r="B3020" s="2427">
        <v>130</v>
      </c>
      <c r="C3020" s="2428">
        <v>2222500</v>
      </c>
      <c r="D3020" s="2429">
        <v>288.92500000000001</v>
      </c>
      <c r="E3020" s="2430">
        <v>0.58008476198542147</v>
      </c>
      <c r="F3020" s="2427">
        <v>0.56148495667344533</v>
      </c>
      <c r="G3020" s="2429">
        <v>9.3371676652903128E-3</v>
      </c>
      <c r="H3020" s="2430">
        <v>0.20423524823686687</v>
      </c>
      <c r="I3020" s="2427">
        <v>0.19461200361353362</v>
      </c>
      <c r="J3020" s="2431">
        <v>4.4707522014491618E-3</v>
      </c>
    </row>
    <row r="3021" spans="1:10" x14ac:dyDescent="0.2">
      <c r="A3021" s="2426" t="s">
        <v>423</v>
      </c>
      <c r="B3021" s="2427">
        <v>0</v>
      </c>
      <c r="C3021" s="2428">
        <v>2531500</v>
      </c>
      <c r="D3021" s="2429">
        <v>0</v>
      </c>
      <c r="E3021" s="2430">
        <v>0</v>
      </c>
      <c r="F3021" s="2427">
        <v>0</v>
      </c>
      <c r="G3021" s="2429">
        <v>0</v>
      </c>
      <c r="H3021" s="2430">
        <v>0</v>
      </c>
      <c r="I3021" s="2427">
        <v>0</v>
      </c>
      <c r="J3021" s="2431">
        <v>0</v>
      </c>
    </row>
    <row r="3022" spans="1:10" x14ac:dyDescent="0.2">
      <c r="A3022" s="2426" t="s">
        <v>424</v>
      </c>
      <c r="B3022" s="2427">
        <v>0</v>
      </c>
      <c r="C3022" s="2428">
        <v>1369000</v>
      </c>
      <c r="D3022" s="2429">
        <v>0</v>
      </c>
      <c r="E3022" s="2430">
        <v>0</v>
      </c>
      <c r="F3022" s="2427">
        <v>0</v>
      </c>
      <c r="G3022" s="2429">
        <v>0</v>
      </c>
      <c r="H3022" s="2430">
        <v>0</v>
      </c>
      <c r="I3022" s="2427">
        <v>0</v>
      </c>
      <c r="J3022" s="2431">
        <v>0</v>
      </c>
    </row>
    <row r="3023" spans="1:10" x14ac:dyDescent="0.2">
      <c r="A3023" s="2426" t="s">
        <v>280</v>
      </c>
      <c r="B3023" s="2427">
        <v>0</v>
      </c>
      <c r="C3023" s="2428">
        <v>1574500</v>
      </c>
      <c r="D3023" s="2429">
        <v>0</v>
      </c>
      <c r="E3023" s="2430">
        <v>0</v>
      </c>
      <c r="F3023" s="2427">
        <v>0</v>
      </c>
      <c r="G3023" s="2429">
        <v>0</v>
      </c>
      <c r="H3023" s="2430">
        <v>0</v>
      </c>
      <c r="I3023" s="2427">
        <v>0</v>
      </c>
      <c r="J3023" s="2431">
        <v>0</v>
      </c>
    </row>
    <row r="3024" spans="1:10" x14ac:dyDescent="0.2">
      <c r="A3024" s="2426" t="s">
        <v>427</v>
      </c>
      <c r="B3024" s="2427">
        <v>0</v>
      </c>
      <c r="C3024" s="2428">
        <v>2072000</v>
      </c>
      <c r="D3024" s="2429">
        <v>0</v>
      </c>
      <c r="E3024" s="2430">
        <v>0</v>
      </c>
      <c r="F3024" s="2427">
        <v>0</v>
      </c>
      <c r="G3024" s="2429">
        <v>0</v>
      </c>
      <c r="H3024" s="2430">
        <v>0</v>
      </c>
      <c r="I3024" s="2427">
        <v>0</v>
      </c>
      <c r="J3024" s="2431">
        <v>0</v>
      </c>
    </row>
    <row r="3025" spans="1:10" x14ac:dyDescent="0.2">
      <c r="A3025" s="2426" t="s">
        <v>428</v>
      </c>
      <c r="B3025" s="2427">
        <v>0</v>
      </c>
      <c r="C3025" s="2428">
        <v>1326280</v>
      </c>
      <c r="D3025" s="2429">
        <v>0</v>
      </c>
      <c r="E3025" s="2430">
        <v>0</v>
      </c>
      <c r="F3025" s="2427">
        <v>0</v>
      </c>
      <c r="G3025" s="2429">
        <v>0</v>
      </c>
      <c r="H3025" s="2430">
        <v>0</v>
      </c>
      <c r="I3025" s="2427">
        <v>0</v>
      </c>
      <c r="J3025" s="2431">
        <v>0</v>
      </c>
    </row>
    <row r="3026" spans="1:10" x14ac:dyDescent="0.2">
      <c r="A3026" s="2439" t="s">
        <v>92</v>
      </c>
      <c r="B3026" s="2427">
        <v>735</v>
      </c>
      <c r="C3026" s="2428">
        <v>2215500</v>
      </c>
      <c r="D3026" s="2429">
        <v>1628.3924999999999</v>
      </c>
      <c r="E3026" s="2430">
        <v>3.2797100004560362</v>
      </c>
      <c r="F3026" s="2427">
        <v>3.174549562730633</v>
      </c>
      <c r="G3026" s="2429">
        <v>5.2790909492218312E-2</v>
      </c>
      <c r="H3026" s="2430">
        <v>1.1510777761168201</v>
      </c>
      <c r="I3026" s="2427">
        <v>1.096840796380552</v>
      </c>
      <c r="J3026" s="2431">
        <v>2.5197332713328038E-2</v>
      </c>
    </row>
    <row r="3027" spans="1:10" x14ac:dyDescent="0.2">
      <c r="A3027" s="2433" t="s">
        <v>281</v>
      </c>
      <c r="B3027" s="2434">
        <v>1003</v>
      </c>
      <c r="C3027" s="2433"/>
      <c r="D3027" s="2435">
        <v>2303.4279999999999</v>
      </c>
      <c r="E3027" s="2436">
        <v>4.4755770482413668</v>
      </c>
      <c r="F3027" s="2434">
        <v>4.3320723964881971</v>
      </c>
      <c r="G3027" s="2435">
        <v>7.2039839756047566E-2</v>
      </c>
      <c r="H3027" s="2436">
        <v>1.6282467400735479</v>
      </c>
      <c r="I3027" s="2434">
        <v>1.5515263070330172</v>
      </c>
      <c r="J3027" s="2437">
        <v>3.5642660904662594E-2</v>
      </c>
    </row>
    <row r="3028" spans="1:10" x14ac:dyDescent="0.2">
      <c r="A3028" s="2440" t="s">
        <v>106</v>
      </c>
      <c r="B3028" s="2441">
        <v>1777.6</v>
      </c>
      <c r="C3028" s="2440"/>
      <c r="D3028" s="2442">
        <v>5306.0719761999999</v>
      </c>
      <c r="E3028" s="2443">
        <v>7.9319897915791149</v>
      </c>
      <c r="F3028" s="2441">
        <v>7.6776589152516648</v>
      </c>
      <c r="G3028" s="2442">
        <v>0.12767499416784661</v>
      </c>
      <c r="H3028" s="2443">
        <v>3.7507551344531964</v>
      </c>
      <c r="I3028" s="2441">
        <v>3.5740254343026869</v>
      </c>
      <c r="J3028" s="2444">
        <v>8.2104812559120374E-2</v>
      </c>
    </row>
    <row r="3029" spans="1:10" x14ac:dyDescent="0.2">
      <c r="A3029" s="2426" t="s">
        <v>905</v>
      </c>
      <c r="B3029" s="2427">
        <v>0</v>
      </c>
      <c r="C3029" s="2428">
        <v>6100000</v>
      </c>
      <c r="D3029" s="2429">
        <v>0</v>
      </c>
      <c r="E3029" s="2430">
        <v>0</v>
      </c>
      <c r="F3029" s="2427">
        <v>0</v>
      </c>
      <c r="G3029" s="2429">
        <v>0</v>
      </c>
      <c r="H3029" s="2430">
        <v>0</v>
      </c>
      <c r="I3029" s="2427">
        <v>0</v>
      </c>
      <c r="J3029" s="2431">
        <v>0</v>
      </c>
    </row>
    <row r="3030" spans="1:10" x14ac:dyDescent="0.2">
      <c r="A3030" s="2426" t="s">
        <v>906</v>
      </c>
      <c r="B3030" s="2427">
        <v>266</v>
      </c>
      <c r="C3030" s="2428">
        <v>3022000.0000000005</v>
      </c>
      <c r="D3030" s="2429">
        <v>803.85200000000009</v>
      </c>
      <c r="E3030" s="2430">
        <v>1.1869426668317085</v>
      </c>
      <c r="F3030" s="2427">
        <v>1.1488846036548959</v>
      </c>
      <c r="G3030" s="2429">
        <v>1.9105281530517101E-2</v>
      </c>
      <c r="H3030" s="2430">
        <v>0.56822674661487216</v>
      </c>
      <c r="I3030" s="2427">
        <v>0.54145279338494845</v>
      </c>
      <c r="J3030" s="2431">
        <v>1.243860205464848E-2</v>
      </c>
    </row>
    <row r="3031" spans="1:10" x14ac:dyDescent="0.2">
      <c r="A3031" s="2426" t="s">
        <v>907</v>
      </c>
      <c r="B3031" s="2427">
        <v>300</v>
      </c>
      <c r="C3031" s="2428">
        <v>2324000</v>
      </c>
      <c r="D3031" s="2429">
        <v>697.2</v>
      </c>
      <c r="E3031" s="2430">
        <v>1.3386571430432803</v>
      </c>
      <c r="F3031" s="2427">
        <v>1.2957345154002586</v>
      </c>
      <c r="G3031" s="2429">
        <v>2.1547309996823798E-2</v>
      </c>
      <c r="H3031" s="2430">
        <v>0.49283660143893254</v>
      </c>
      <c r="I3031" s="2427">
        <v>0.46961491362587399</v>
      </c>
      <c r="J3031" s="2431">
        <v>1.0788296045168663E-2</v>
      </c>
    </row>
    <row r="3032" spans="1:10" x14ac:dyDescent="0.2">
      <c r="A3032" s="2439" t="s">
        <v>908</v>
      </c>
      <c r="B3032" s="2427">
        <v>2144</v>
      </c>
      <c r="C3032" s="2428">
        <v>2403999.9999999995</v>
      </c>
      <c r="D3032" s="2429">
        <v>5154.1759999999995</v>
      </c>
      <c r="E3032" s="2430">
        <v>9.566936382282643</v>
      </c>
      <c r="F3032" s="2427">
        <v>9.2601826700605141</v>
      </c>
      <c r="G3032" s="2429">
        <v>0.15399144211063409</v>
      </c>
      <c r="H3032" s="2430">
        <v>3.6433829361131833</v>
      </c>
      <c r="I3032" s="2427">
        <v>3.4717124455716468</v>
      </c>
      <c r="J3032" s="2431">
        <v>7.9754412732219199E-2</v>
      </c>
    </row>
    <row r="3033" spans="1:10" x14ac:dyDescent="0.2">
      <c r="A3033" s="2440" t="s">
        <v>282</v>
      </c>
      <c r="B3033" s="2441">
        <v>2710</v>
      </c>
      <c r="C3033" s="2440"/>
      <c r="D3033" s="2442">
        <v>6655.2279999999992</v>
      </c>
      <c r="E3033" s="2443">
        <v>12.092536192157631</v>
      </c>
      <c r="F3033" s="2441">
        <v>11.704801789115669</v>
      </c>
      <c r="G3033" s="2442">
        <v>0.19464403363797497</v>
      </c>
      <c r="H3033" s="2443">
        <v>4.7044462841669876</v>
      </c>
      <c r="I3033" s="2441">
        <v>4.4827801525824693</v>
      </c>
      <c r="J3033" s="2444">
        <v>0.10298131083203634</v>
      </c>
    </row>
    <row r="3034" spans="1:10" x14ac:dyDescent="0.2">
      <c r="A3034" s="2426" t="s">
        <v>955</v>
      </c>
      <c r="B3034" s="2427">
        <v>0</v>
      </c>
      <c r="C3034" s="2428">
        <v>12137000</v>
      </c>
      <c r="D3034" s="2429">
        <v>0</v>
      </c>
      <c r="E3034" s="2430">
        <v>0</v>
      </c>
      <c r="F3034" s="2427">
        <v>0</v>
      </c>
      <c r="G3034" s="2429">
        <v>0</v>
      </c>
      <c r="H3034" s="2430">
        <v>0</v>
      </c>
      <c r="I3034" s="2427">
        <v>0</v>
      </c>
      <c r="J3034" s="2431">
        <v>0</v>
      </c>
    </row>
    <row r="3035" spans="1:10" x14ac:dyDescent="0.2">
      <c r="A3035" s="2426" t="s">
        <v>283</v>
      </c>
      <c r="B3035" s="2427">
        <v>2797.6558902884203</v>
      </c>
      <c r="C3035" s="2428">
        <v>13024549.999999996</v>
      </c>
      <c r="D3035" s="2429">
        <v>36438.209025856035</v>
      </c>
      <c r="E3035" s="2430">
        <v>12.483673471039005</v>
      </c>
      <c r="F3035" s="2427">
        <v>12.083397664198484</v>
      </c>
      <c r="G3035" s="2429">
        <v>0.20093986244161555</v>
      </c>
      <c r="H3035" s="2430">
        <v>25.75743416354608</v>
      </c>
      <c r="I3035" s="2427">
        <v>24.543784257542921</v>
      </c>
      <c r="J3035" s="2431">
        <v>0.56383560861542126</v>
      </c>
    </row>
    <row r="3036" spans="1:10" x14ac:dyDescent="0.2">
      <c r="A3036" s="2426" t="s">
        <v>69</v>
      </c>
      <c r="B3036" s="2427">
        <v>2209.7621097115793</v>
      </c>
      <c r="C3036" s="2428">
        <v>14978232.499999994</v>
      </c>
      <c r="D3036" s="2429">
        <v>33098.330648950534</v>
      </c>
      <c r="E3036" s="2430">
        <v>9.8603794419726469</v>
      </c>
      <c r="F3036" s="2427">
        <v>9.5442167879232862</v>
      </c>
      <c r="G3036" s="2429">
        <v>0.15871476399063586</v>
      </c>
      <c r="H3036" s="2430">
        <v>23.396541581082676</v>
      </c>
      <c r="I3036" s="2427">
        <v>22.294133231307402</v>
      </c>
      <c r="J3036" s="2431">
        <v>0.51215517734044436</v>
      </c>
    </row>
    <row r="3037" spans="1:10" x14ac:dyDescent="0.2">
      <c r="A3037" s="2426" t="s">
        <v>199</v>
      </c>
      <c r="B3037" s="2427">
        <v>440</v>
      </c>
      <c r="C3037" s="2428">
        <v>3000000</v>
      </c>
      <c r="D3037" s="2429">
        <v>1320</v>
      </c>
      <c r="E3037" s="2430">
        <v>1.9633638097968107</v>
      </c>
      <c r="F3037" s="2427">
        <v>1.9004106225870459</v>
      </c>
      <c r="G3037" s="2429">
        <v>3.1602721328674907E-2</v>
      </c>
      <c r="H3037" s="2430">
        <v>0.93308134523722164</v>
      </c>
      <c r="I3037" s="2427">
        <v>0.88911601547067354</v>
      </c>
      <c r="J3037" s="2431">
        <v>2.042534535229867E-2</v>
      </c>
    </row>
    <row r="3038" spans="1:10" x14ac:dyDescent="0.2">
      <c r="A3038" s="2426" t="s">
        <v>86</v>
      </c>
      <c r="B3038" s="2427">
        <v>400</v>
      </c>
      <c r="C3038" s="2428">
        <v>170000</v>
      </c>
      <c r="D3038" s="2429">
        <v>68</v>
      </c>
      <c r="E3038" s="2430">
        <v>1.7848761907243735</v>
      </c>
      <c r="F3038" s="2427">
        <v>1.7276460205336779</v>
      </c>
      <c r="G3038" s="2429">
        <v>2.8729746662431731E-2</v>
      </c>
      <c r="H3038" s="2430">
        <v>4.8067826875856874E-2</v>
      </c>
      <c r="I3038" s="2427">
        <v>4.5802946251519545E-2</v>
      </c>
      <c r="J3038" s="2431">
        <v>1.0522147605729619E-3</v>
      </c>
    </row>
    <row r="3039" spans="1:10" x14ac:dyDescent="0.2">
      <c r="A3039" s="2439" t="s">
        <v>213</v>
      </c>
      <c r="B3039" s="2427">
        <v>2939</v>
      </c>
      <c r="C3039" s="2428">
        <v>1850000.0000000005</v>
      </c>
      <c r="D3039" s="2429">
        <v>5437.1500000000005</v>
      </c>
      <c r="E3039" s="2430">
        <v>13.114377811347335</v>
      </c>
      <c r="F3039" s="2427">
        <v>12.693879135871198</v>
      </c>
      <c r="G3039" s="2429">
        <v>0.21109181360221715</v>
      </c>
      <c r="H3039" s="2430">
        <v>3.8434115426186062</v>
      </c>
      <c r="I3039" s="2427">
        <v>3.6623160178154341</v>
      </c>
      <c r="J3039" s="2431">
        <v>8.4133080668371774E-2</v>
      </c>
    </row>
    <row r="3040" spans="1:10" x14ac:dyDescent="0.2">
      <c r="A3040" s="2433" t="s">
        <v>1834</v>
      </c>
      <c r="B3040" s="2434">
        <v>8786.4179999999997</v>
      </c>
      <c r="C3040" s="2433"/>
      <c r="D3040" s="2435">
        <v>76361.689674806563</v>
      </c>
      <c r="E3040" s="2436">
        <v>39.206670724880169</v>
      </c>
      <c r="F3040" s="2434">
        <v>37.94955023111369</v>
      </c>
      <c r="G3040" s="2435">
        <v>0.6310789080255752</v>
      </c>
      <c r="H3040" s="2436">
        <v>53.978536459360441</v>
      </c>
      <c r="I3040" s="2434">
        <v>51.435152468387948</v>
      </c>
      <c r="J3040" s="2437">
        <v>1.1816014267371089</v>
      </c>
    </row>
    <row r="3041" spans="1:10" x14ac:dyDescent="0.2">
      <c r="A3041" s="2426" t="s">
        <v>961</v>
      </c>
      <c r="B3041" s="2427">
        <v>1320</v>
      </c>
      <c r="C3041" s="2428">
        <v>3668000</v>
      </c>
      <c r="D3041" s="2429">
        <v>4841.76</v>
      </c>
      <c r="E3041" s="2430">
        <v>5.8900914293904334</v>
      </c>
      <c r="F3041" s="2427">
        <v>5.7012318677611367</v>
      </c>
      <c r="G3041" s="2429">
        <v>9.4808163986024721E-2</v>
      </c>
      <c r="H3041" s="2430">
        <v>3.4225423743301295</v>
      </c>
      <c r="I3041" s="2427">
        <v>3.2612775447464304</v>
      </c>
      <c r="J3041" s="2431">
        <v>7.4920166752231537E-2</v>
      </c>
    </row>
    <row r="3042" spans="1:10" x14ac:dyDescent="0.2">
      <c r="A3042" s="2426" t="s">
        <v>962</v>
      </c>
      <c r="B3042" s="2427">
        <v>0</v>
      </c>
      <c r="C3042" s="2428">
        <v>1999999.9999999998</v>
      </c>
      <c r="D3042" s="2429">
        <v>0</v>
      </c>
      <c r="E3042" s="2430">
        <v>0</v>
      </c>
      <c r="F3042" s="2427">
        <v>0</v>
      </c>
      <c r="G3042" s="2429">
        <v>0</v>
      </c>
      <c r="H3042" s="2430">
        <v>0</v>
      </c>
      <c r="I3042" s="2427">
        <v>0</v>
      </c>
      <c r="J3042" s="2431">
        <v>0</v>
      </c>
    </row>
    <row r="3043" spans="1:10" x14ac:dyDescent="0.2">
      <c r="A3043" s="2426" t="s">
        <v>963</v>
      </c>
      <c r="B3043" s="2427">
        <v>612</v>
      </c>
      <c r="C3043" s="2428">
        <v>1347999.9999999998</v>
      </c>
      <c r="D3043" s="2429">
        <v>824.97599999999989</v>
      </c>
      <c r="E3043" s="2430">
        <v>2.7308605718082917</v>
      </c>
      <c r="F3043" s="2427">
        <v>2.6432984114165272</v>
      </c>
      <c r="G3043" s="2429">
        <v>4.3956512393520553E-2</v>
      </c>
      <c r="H3043" s="2430">
        <v>0.58315887565789548</v>
      </c>
      <c r="I3043" s="2427">
        <v>0.55568134392343516</v>
      </c>
      <c r="J3043" s="2431">
        <v>1.2765469475271171E-2</v>
      </c>
    </row>
    <row r="3044" spans="1:10" x14ac:dyDescent="0.2">
      <c r="A3044" s="2426" t="s">
        <v>965</v>
      </c>
      <c r="B3044" s="2427">
        <v>17.5</v>
      </c>
      <c r="C3044" s="2428">
        <v>1599999.9999999995</v>
      </c>
      <c r="D3044" s="2429">
        <v>27.999999999999993</v>
      </c>
      <c r="E3044" s="2430">
        <v>7.8088333344191338E-2</v>
      </c>
      <c r="F3044" s="2427">
        <v>7.5584513398348416E-2</v>
      </c>
      <c r="G3044" s="2429">
        <v>1.2569264164813884E-3</v>
      </c>
      <c r="H3044" s="2430">
        <v>1.979263459594106E-2</v>
      </c>
      <c r="I3044" s="2427">
        <v>1.8860036691802164E-2</v>
      </c>
      <c r="J3044" s="2431">
        <v>4.33264901412396E-4</v>
      </c>
    </row>
    <row r="3045" spans="1:10" x14ac:dyDescent="0.2">
      <c r="A3045" s="2426" t="s">
        <v>966</v>
      </c>
      <c r="B3045" s="2427">
        <v>0</v>
      </c>
      <c r="C3045" s="2428">
        <v>2244000</v>
      </c>
      <c r="D3045" s="2429">
        <v>0</v>
      </c>
      <c r="E3045" s="2430">
        <v>0</v>
      </c>
      <c r="F3045" s="2427">
        <v>0</v>
      </c>
      <c r="G3045" s="2429">
        <v>0</v>
      </c>
      <c r="H3045" s="2430">
        <v>0</v>
      </c>
      <c r="I3045" s="2427">
        <v>0</v>
      </c>
      <c r="J3045" s="2431">
        <v>0</v>
      </c>
    </row>
    <row r="3046" spans="1:10" x14ac:dyDescent="0.2">
      <c r="A3046" s="2426" t="s">
        <v>1499</v>
      </c>
      <c r="B3046" s="2427">
        <v>0</v>
      </c>
      <c r="C3046" s="2428">
        <v>4849999.9999999991</v>
      </c>
      <c r="D3046" s="2429">
        <v>0</v>
      </c>
      <c r="E3046" s="2430">
        <v>0</v>
      </c>
      <c r="F3046" s="2427">
        <v>0</v>
      </c>
      <c r="G3046" s="2429">
        <v>0</v>
      </c>
      <c r="H3046" s="2430">
        <v>0</v>
      </c>
      <c r="I3046" s="2427">
        <v>0</v>
      </c>
      <c r="J3046" s="2431">
        <v>0</v>
      </c>
    </row>
    <row r="3047" spans="1:10" x14ac:dyDescent="0.2">
      <c r="A3047" s="2426" t="s">
        <v>1575</v>
      </c>
      <c r="B3047" s="2427">
        <v>66</v>
      </c>
      <c r="C3047" s="2428">
        <v>2250000.0000000005</v>
      </c>
      <c r="D3047" s="2429">
        <v>148.50000000000003</v>
      </c>
      <c r="E3047" s="2430">
        <v>0.29450457146952164</v>
      </c>
      <c r="F3047" s="2427">
        <v>0.28506159338805687</v>
      </c>
      <c r="G3047" s="2429">
        <v>4.7404081993012359E-3</v>
      </c>
      <c r="H3047" s="2430">
        <v>0.10497165133918746</v>
      </c>
      <c r="I3047" s="2427">
        <v>0.10002555174045079</v>
      </c>
      <c r="J3047" s="2431">
        <v>2.297851352133601E-3</v>
      </c>
    </row>
    <row r="3048" spans="1:10" x14ac:dyDescent="0.2">
      <c r="A3048" s="2426" t="s">
        <v>964</v>
      </c>
      <c r="B3048" s="2427">
        <v>0</v>
      </c>
      <c r="C3048" s="2428">
        <v>1556000</v>
      </c>
      <c r="D3048" s="2429">
        <v>0</v>
      </c>
      <c r="E3048" s="2430">
        <v>0</v>
      </c>
      <c r="F3048" s="2427">
        <v>0</v>
      </c>
      <c r="G3048" s="2429">
        <v>0</v>
      </c>
      <c r="H3048" s="2430">
        <v>0</v>
      </c>
      <c r="I3048" s="2427">
        <v>0</v>
      </c>
      <c r="J3048" s="2431">
        <v>0</v>
      </c>
    </row>
    <row r="3049" spans="1:10" x14ac:dyDescent="0.2">
      <c r="A3049" s="2426" t="s">
        <v>969</v>
      </c>
      <c r="B3049" s="2427">
        <v>48</v>
      </c>
      <c r="C3049" s="2428">
        <v>4800000</v>
      </c>
      <c r="D3049" s="2429">
        <v>230.4</v>
      </c>
      <c r="E3049" s="2430">
        <v>0.21418514288692483</v>
      </c>
      <c r="F3049" s="2427">
        <v>0.20731752246404134</v>
      </c>
      <c r="G3049" s="2429">
        <v>3.4475695994918083E-3</v>
      </c>
      <c r="H3049" s="2430">
        <v>0.16286510753231506</v>
      </c>
      <c r="I3049" s="2427">
        <v>0.15519115906397213</v>
      </c>
      <c r="J3049" s="2431">
        <v>3.5651511887648591E-3</v>
      </c>
    </row>
    <row r="3050" spans="1:10" x14ac:dyDescent="0.2">
      <c r="A3050" s="2426" t="s">
        <v>968</v>
      </c>
      <c r="B3050" s="2427">
        <v>8</v>
      </c>
      <c r="C3050" s="2428">
        <v>3050000.0000000009</v>
      </c>
      <c r="D3050" s="2429">
        <v>24.400000000000006</v>
      </c>
      <c r="E3050" s="2430">
        <v>3.5697523814487465E-2</v>
      </c>
      <c r="F3050" s="2427">
        <v>3.4552920410673559E-2</v>
      </c>
      <c r="G3050" s="2429">
        <v>5.7459493324863462E-4</v>
      </c>
      <c r="H3050" s="2430">
        <v>1.7247867290748647E-2</v>
      </c>
      <c r="I3050" s="2427">
        <v>1.6435174831427608E-2</v>
      </c>
      <c r="J3050" s="2431">
        <v>3.7755941408794522E-4</v>
      </c>
    </row>
    <row r="3051" spans="1:10" x14ac:dyDescent="0.2">
      <c r="A3051" s="2426" t="s">
        <v>1013</v>
      </c>
      <c r="B3051" s="2427">
        <v>16</v>
      </c>
      <c r="C3051" s="2428">
        <v>1799999.9999999998</v>
      </c>
      <c r="D3051" s="2429">
        <v>28.799999999999997</v>
      </c>
      <c r="E3051" s="2430">
        <v>7.1395047628974931E-2</v>
      </c>
      <c r="F3051" s="2427">
        <v>6.9105840821347117E-2</v>
      </c>
      <c r="G3051" s="2429">
        <v>1.1491898664972692E-3</v>
      </c>
      <c r="H3051" s="2430">
        <v>2.0358138441539383E-2</v>
      </c>
      <c r="I3051" s="2427">
        <v>1.9398894882996513E-2</v>
      </c>
      <c r="J3051" s="2431">
        <v>4.4564389859560728E-4</v>
      </c>
    </row>
    <row r="3052" spans="1:10" x14ac:dyDescent="0.2">
      <c r="A3052" s="2426" t="s">
        <v>1014</v>
      </c>
      <c r="B3052" s="2427">
        <v>0</v>
      </c>
      <c r="C3052" s="2428">
        <v>2195000.0000000005</v>
      </c>
      <c r="D3052" s="2429">
        <v>0</v>
      </c>
      <c r="E3052" s="2430">
        <v>0</v>
      </c>
      <c r="F3052" s="2427">
        <v>0</v>
      </c>
      <c r="G3052" s="2429">
        <v>0</v>
      </c>
      <c r="H3052" s="2430">
        <v>0</v>
      </c>
      <c r="I3052" s="2427">
        <v>0</v>
      </c>
      <c r="J3052" s="2431">
        <v>0</v>
      </c>
    </row>
    <row r="3053" spans="1:10" x14ac:dyDescent="0.2">
      <c r="A3053" s="2426" t="s">
        <v>970</v>
      </c>
      <c r="B3053" s="2427">
        <v>217</v>
      </c>
      <c r="C3053" s="2428">
        <v>3100000.0000000005</v>
      </c>
      <c r="D3053" s="2429">
        <v>672.70000000000016</v>
      </c>
      <c r="E3053" s="2430">
        <v>0.96829533346797259</v>
      </c>
      <c r="F3053" s="2427">
        <v>0.93724796613952022</v>
      </c>
      <c r="G3053" s="2429">
        <v>1.5585887564369214E-2</v>
      </c>
      <c r="H3053" s="2430">
        <v>0.47551804616748417</v>
      </c>
      <c r="I3053" s="2427">
        <v>0.45311238152054717</v>
      </c>
      <c r="J3053" s="2431">
        <v>1.0409189256432819E-2</v>
      </c>
    </row>
    <row r="3054" spans="1:10" x14ac:dyDescent="0.2">
      <c r="A3054" s="2426" t="s">
        <v>971</v>
      </c>
      <c r="B3054" s="2427">
        <v>0</v>
      </c>
      <c r="C3054" s="2428">
        <v>3010000</v>
      </c>
      <c r="D3054" s="2429">
        <v>0</v>
      </c>
      <c r="E3054" s="2430">
        <v>0</v>
      </c>
      <c r="F3054" s="2427">
        <v>0</v>
      </c>
      <c r="G3054" s="2429">
        <v>0</v>
      </c>
      <c r="H3054" s="2430">
        <v>0</v>
      </c>
      <c r="I3054" s="2427">
        <v>0</v>
      </c>
      <c r="J3054" s="2431">
        <v>0</v>
      </c>
    </row>
    <row r="3055" spans="1:10" x14ac:dyDescent="0.2">
      <c r="A3055" s="2426" t="s">
        <v>972</v>
      </c>
      <c r="B3055" s="2427">
        <v>0</v>
      </c>
      <c r="C3055" s="2428">
        <v>2744000.0000000005</v>
      </c>
      <c r="D3055" s="2429">
        <v>0</v>
      </c>
      <c r="E3055" s="2430">
        <v>0</v>
      </c>
      <c r="F3055" s="2427">
        <v>0</v>
      </c>
      <c r="G3055" s="2429">
        <v>0</v>
      </c>
      <c r="H3055" s="2430">
        <v>0</v>
      </c>
      <c r="I3055" s="2427">
        <v>0</v>
      </c>
      <c r="J3055" s="2431">
        <v>0</v>
      </c>
    </row>
    <row r="3056" spans="1:10" x14ac:dyDescent="0.2">
      <c r="A3056" s="2426" t="s">
        <v>973</v>
      </c>
      <c r="B3056" s="2427">
        <v>560</v>
      </c>
      <c r="C3056" s="2428">
        <v>2549999.9999999991</v>
      </c>
      <c r="D3056" s="2429">
        <v>1427.9999999999995</v>
      </c>
      <c r="E3056" s="2430">
        <v>2.4988266670141228</v>
      </c>
      <c r="F3056" s="2427">
        <v>2.4187044287471493</v>
      </c>
      <c r="G3056" s="2429">
        <v>4.022164532740443E-2</v>
      </c>
      <c r="H3056" s="2430">
        <v>1.0094243643929941</v>
      </c>
      <c r="I3056" s="2427">
        <v>0.96186187128191014</v>
      </c>
      <c r="J3056" s="2431">
        <v>2.2096509972032191E-2</v>
      </c>
    </row>
    <row r="3057" spans="1:10" x14ac:dyDescent="0.2">
      <c r="A3057" s="2426" t="s">
        <v>974</v>
      </c>
      <c r="B3057" s="2427">
        <v>0</v>
      </c>
      <c r="C3057" s="2428">
        <v>1583999.9999999995</v>
      </c>
      <c r="D3057" s="2429">
        <v>0</v>
      </c>
      <c r="E3057" s="2430">
        <v>0</v>
      </c>
      <c r="F3057" s="2427">
        <v>0</v>
      </c>
      <c r="G3057" s="2429">
        <v>0</v>
      </c>
      <c r="H3057" s="2430">
        <v>0</v>
      </c>
      <c r="I3057" s="2427">
        <v>0</v>
      </c>
      <c r="J3057" s="2431">
        <v>0</v>
      </c>
    </row>
    <row r="3058" spans="1:10" x14ac:dyDescent="0.2">
      <c r="A3058" s="2426" t="s">
        <v>975</v>
      </c>
      <c r="B3058" s="2427">
        <v>0</v>
      </c>
      <c r="C3058" s="2428">
        <v>2532000.0000000009</v>
      </c>
      <c r="D3058" s="2429">
        <v>0</v>
      </c>
      <c r="E3058" s="2430">
        <v>0</v>
      </c>
      <c r="F3058" s="2427">
        <v>0</v>
      </c>
      <c r="G3058" s="2429">
        <v>0</v>
      </c>
      <c r="H3058" s="2430">
        <v>0</v>
      </c>
      <c r="I3058" s="2427">
        <v>0</v>
      </c>
      <c r="J3058" s="2431">
        <v>0</v>
      </c>
    </row>
    <row r="3059" spans="1:10" x14ac:dyDescent="0.2">
      <c r="A3059" s="2426" t="s">
        <v>976</v>
      </c>
      <c r="B3059" s="2427">
        <v>5976</v>
      </c>
      <c r="C3059" s="2428">
        <v>7394999.9999999991</v>
      </c>
      <c r="D3059" s="2429">
        <v>44192.51999999999</v>
      </c>
      <c r="E3059" s="2430">
        <v>26.666050289422138</v>
      </c>
      <c r="F3059" s="2427">
        <v>25.811031546773151</v>
      </c>
      <c r="G3059" s="2429">
        <v>0.42922241513673004</v>
      </c>
      <c r="H3059" s="2430">
        <v>31.238800008350619</v>
      </c>
      <c r="I3059" s="2427">
        <v>29.766876739400033</v>
      </c>
      <c r="J3059" s="2431">
        <v>0.68382385074876206</v>
      </c>
    </row>
    <row r="3060" spans="1:10" x14ac:dyDescent="0.2">
      <c r="A3060" s="2426" t="s">
        <v>286</v>
      </c>
      <c r="B3060" s="2427">
        <v>296</v>
      </c>
      <c r="C3060" s="2428">
        <v>2445000.0000000005</v>
      </c>
      <c r="D3060" s="2429">
        <v>723.72000000000014</v>
      </c>
      <c r="E3060" s="2430">
        <v>1.3208083811360365</v>
      </c>
      <c r="F3060" s="2427">
        <v>1.2784580551949218</v>
      </c>
      <c r="G3060" s="2429">
        <v>2.1260012530199483E-2</v>
      </c>
      <c r="H3060" s="2430">
        <v>0.51158305392051684</v>
      </c>
      <c r="I3060" s="2427">
        <v>0.4874780626639667</v>
      </c>
      <c r="J3060" s="2431">
        <v>1.1198659801792119E-2</v>
      </c>
    </row>
    <row r="3061" spans="1:10" x14ac:dyDescent="0.2">
      <c r="A3061" s="2439" t="s">
        <v>978</v>
      </c>
      <c r="B3061" s="2427">
        <v>0</v>
      </c>
      <c r="C3061" s="2428">
        <v>1850000.0000000002</v>
      </c>
      <c r="D3061" s="2429">
        <v>0</v>
      </c>
      <c r="E3061" s="2430">
        <v>0</v>
      </c>
      <c r="F3061" s="2427">
        <v>0</v>
      </c>
      <c r="G3061" s="2429">
        <v>0</v>
      </c>
      <c r="H3061" s="2430">
        <v>0</v>
      </c>
      <c r="I3061" s="2427">
        <v>0</v>
      </c>
      <c r="J3061" s="2431">
        <v>0</v>
      </c>
    </row>
    <row r="3062" spans="1:10" x14ac:dyDescent="0.2">
      <c r="A3062" s="2426" t="s">
        <v>1163</v>
      </c>
      <c r="B3062" s="2427">
        <v>0</v>
      </c>
      <c r="C3062" s="2428">
        <v>0</v>
      </c>
      <c r="D3062" s="2429">
        <v>0</v>
      </c>
      <c r="E3062" s="2430">
        <v>0</v>
      </c>
      <c r="F3062" s="2427">
        <v>0</v>
      </c>
      <c r="G3062" s="2429">
        <v>0</v>
      </c>
      <c r="H3062" s="2430">
        <v>0</v>
      </c>
      <c r="I3062" s="2427">
        <v>0</v>
      </c>
      <c r="J3062" s="2431">
        <v>0</v>
      </c>
    </row>
    <row r="3063" spans="1:10" x14ac:dyDescent="0.2">
      <c r="A3063" s="2433" t="s">
        <v>287</v>
      </c>
      <c r="B3063" s="2434">
        <v>9136.5</v>
      </c>
      <c r="C3063" s="2433"/>
      <c r="D3063" s="2435">
        <v>53143.775999999991</v>
      </c>
      <c r="E3063" s="2436">
        <v>40.768803291383101</v>
      </c>
      <c r="F3063" s="2434">
        <v>39.46159466651487</v>
      </c>
      <c r="G3063" s="2435">
        <v>0.65622332595326882</v>
      </c>
      <c r="H3063" s="2436">
        <v>37.566262122019374</v>
      </c>
      <c r="I3063" s="2434">
        <v>35.796198760746975</v>
      </c>
      <c r="J3063" s="2437">
        <v>0.82233331676151622</v>
      </c>
    </row>
    <row r="3064" spans="1:10" x14ac:dyDescent="0.2">
      <c r="A3064" s="2440" t="s">
        <v>1835</v>
      </c>
      <c r="B3064" s="2441">
        <v>17922.917999999998</v>
      </c>
      <c r="C3064" s="2440"/>
      <c r="D3064" s="2442">
        <v>129505.46567480656</v>
      </c>
      <c r="E3064" s="2443">
        <v>79.975474016263263</v>
      </c>
      <c r="F3064" s="2441">
        <v>77.41114489762856</v>
      </c>
      <c r="G3064" s="2442">
        <v>1.2873022339788438</v>
      </c>
      <c r="H3064" s="2443">
        <v>91.544798581379808</v>
      </c>
      <c r="I3064" s="2441">
        <v>87.23135122913493</v>
      </c>
      <c r="J3064" s="2444">
        <v>2.003934743498625</v>
      </c>
    </row>
    <row r="3065" spans="1:10" x14ac:dyDescent="0.2">
      <c r="A3065" s="2445" t="s">
        <v>194</v>
      </c>
      <c r="B3065" s="2446">
        <v>22410.517999999996</v>
      </c>
      <c r="C3065" s="2447"/>
      <c r="D3065" s="2448">
        <v>141466.76565100657</v>
      </c>
      <c r="E3065" s="2449">
        <v>100</v>
      </c>
      <c r="F3065" s="2446">
        <v>96.793605601995878</v>
      </c>
      <c r="G3065" s="2448">
        <v>1.6096212617846655</v>
      </c>
      <c r="H3065" s="2449">
        <v>100</v>
      </c>
      <c r="I3065" s="2446">
        <v>95.288156816020091</v>
      </c>
      <c r="J3065" s="2450">
        <v>2.1890208668897819</v>
      </c>
    </row>
    <row r="3066" spans="1:10" x14ac:dyDescent="0.2">
      <c r="A3066" s="2451" t="s">
        <v>1852</v>
      </c>
      <c r="B3066" s="2427"/>
      <c r="C3066" s="2452"/>
      <c r="D3066" s="2429"/>
      <c r="E3066" s="2430"/>
      <c r="F3066" s="2427">
        <v>0</v>
      </c>
      <c r="G3066" s="2429"/>
      <c r="H3066" s="2430"/>
      <c r="I3066" s="2427">
        <v>0</v>
      </c>
      <c r="J3066" s="2431">
        <v>0</v>
      </c>
    </row>
    <row r="3067" spans="1:10" x14ac:dyDescent="0.2">
      <c r="A3067" s="2453" t="s">
        <v>1836</v>
      </c>
      <c r="B3067" s="2427">
        <v>0</v>
      </c>
      <c r="C3067" s="2428">
        <v>8033612.4975057133</v>
      </c>
      <c r="D3067" s="2429">
        <v>0</v>
      </c>
      <c r="E3067" s="2430">
        <v>0</v>
      </c>
      <c r="F3067" s="2427">
        <v>0</v>
      </c>
      <c r="G3067" s="2429">
        <v>0</v>
      </c>
      <c r="H3067" s="2430">
        <v>0</v>
      </c>
      <c r="I3067" s="2427">
        <v>0</v>
      </c>
      <c r="J3067" s="2431">
        <v>0</v>
      </c>
    </row>
    <row r="3068" spans="1:10" x14ac:dyDescent="0.2">
      <c r="A3068" s="2453" t="s">
        <v>1837</v>
      </c>
      <c r="B3068" s="2427">
        <v>350.4</v>
      </c>
      <c r="C3068" s="2428">
        <v>2214764.1578067578</v>
      </c>
      <c r="D3068" s="2429">
        <v>776.05336089548791</v>
      </c>
      <c r="E3068" s="2430">
        <v>76.971572798984255</v>
      </c>
      <c r="F3068" s="2427">
        <v>1.5134179139875017</v>
      </c>
      <c r="G3068" s="2429">
        <v>2.5167258076290194E-2</v>
      </c>
      <c r="H3068" s="2430">
        <v>45.512276563681596</v>
      </c>
      <c r="I3068" s="2427">
        <v>0.5227283879030461</v>
      </c>
      <c r="J3068" s="2431">
        <v>1.200845296068365E-2</v>
      </c>
    </row>
    <row r="3069" spans="1:10" x14ac:dyDescent="0.2">
      <c r="A3069" s="2454" t="s">
        <v>309</v>
      </c>
      <c r="B3069" s="2434">
        <v>350.4</v>
      </c>
      <c r="C3069" s="2433"/>
      <c r="D3069" s="2435">
        <v>776.05336089548791</v>
      </c>
      <c r="E3069" s="2436">
        <v>76.971572798984255</v>
      </c>
      <c r="F3069" s="2434">
        <v>1.5134179139875017</v>
      </c>
      <c r="G3069" s="2435">
        <v>2.5167258076290194E-2</v>
      </c>
      <c r="H3069" s="2436">
        <v>45.512276563681596</v>
      </c>
      <c r="I3069" s="2434">
        <v>0.5227283879030461</v>
      </c>
      <c r="J3069" s="2437">
        <v>1.200845296068365E-2</v>
      </c>
    </row>
    <row r="3070" spans="1:10" x14ac:dyDescent="0.2">
      <c r="A3070" s="2453" t="s">
        <v>1838</v>
      </c>
      <c r="B3070" s="2427">
        <v>0</v>
      </c>
      <c r="C3070" s="2428">
        <v>10407427.50198495</v>
      </c>
      <c r="D3070" s="2429">
        <v>0</v>
      </c>
      <c r="E3070" s="2430">
        <v>0</v>
      </c>
      <c r="F3070" s="2427">
        <v>0</v>
      </c>
      <c r="G3070" s="2429">
        <v>0</v>
      </c>
      <c r="H3070" s="2430">
        <v>0</v>
      </c>
      <c r="I3070" s="2427">
        <v>0</v>
      </c>
      <c r="J3070" s="2431">
        <v>0</v>
      </c>
    </row>
    <row r="3071" spans="1:10" x14ac:dyDescent="0.2">
      <c r="A3071" s="2454" t="s">
        <v>315</v>
      </c>
      <c r="B3071" s="2434">
        <v>0</v>
      </c>
      <c r="C3071" s="2455"/>
      <c r="D3071" s="2435">
        <v>0</v>
      </c>
      <c r="E3071" s="2436">
        <v>0</v>
      </c>
      <c r="F3071" s="2434">
        <v>0</v>
      </c>
      <c r="G3071" s="2435">
        <v>0</v>
      </c>
      <c r="H3071" s="2436">
        <v>0</v>
      </c>
      <c r="I3071" s="2434">
        <v>0</v>
      </c>
      <c r="J3071" s="2437">
        <v>0</v>
      </c>
    </row>
    <row r="3072" spans="1:10" x14ac:dyDescent="0.2">
      <c r="A3072" s="2453" t="s">
        <v>1541</v>
      </c>
      <c r="B3072" s="2427">
        <v>9.1080000000000005</v>
      </c>
      <c r="C3072" s="2428">
        <v>10553660</v>
      </c>
      <c r="D3072" s="2429">
        <v>96.122735280000001</v>
      </c>
      <c r="E3072" s="2430">
        <v>2.0007336902201729</v>
      </c>
      <c r="F3072" s="2427">
        <v>3.933849988755185E-2</v>
      </c>
      <c r="G3072" s="2429">
        <v>6.541763315035706E-4</v>
      </c>
      <c r="H3072" s="2430">
        <v>5.6371954978364807</v>
      </c>
      <c r="I3072" s="2427">
        <v>6.4745654082042386E-2</v>
      </c>
      <c r="J3072" s="2431">
        <v>1.4873788365921089E-3</v>
      </c>
    </row>
    <row r="3073" spans="1:10" x14ac:dyDescent="0.2">
      <c r="A3073" s="2453" t="s">
        <v>206</v>
      </c>
      <c r="B3073" s="2427">
        <v>90.625</v>
      </c>
      <c r="C3073" s="2428">
        <v>6960000</v>
      </c>
      <c r="D3073" s="2429">
        <v>630.75</v>
      </c>
      <c r="E3073" s="2430">
        <v>19.907388084782955</v>
      </c>
      <c r="F3073" s="2427">
        <v>0.39141980152716138</v>
      </c>
      <c r="G3073" s="2429">
        <v>6.509083228207189E-3</v>
      </c>
      <c r="H3073" s="2430">
        <v>36.990843528359072</v>
      </c>
      <c r="I3073" s="2427">
        <v>0.42485600511979349</v>
      </c>
      <c r="J3073" s="2431">
        <v>9.7600655916381708E-3</v>
      </c>
    </row>
    <row r="3074" spans="1:10" x14ac:dyDescent="0.2">
      <c r="A3074" s="2454" t="s">
        <v>310</v>
      </c>
      <c r="B3074" s="2434">
        <v>99.733000000000004</v>
      </c>
      <c r="C3074" s="2455"/>
      <c r="D3074" s="2435">
        <v>726.87273528000003</v>
      </c>
      <c r="E3074" s="2436">
        <v>21.908121775003131</v>
      </c>
      <c r="F3074" s="2434">
        <v>0.43075830141471327</v>
      </c>
      <c r="G3074" s="2435">
        <v>7.1632595597107595E-3</v>
      </c>
      <c r="H3074" s="2436">
        <v>42.628039026195559</v>
      </c>
      <c r="I3074" s="2434">
        <v>0.48960165920183585</v>
      </c>
      <c r="J3074" s="2437">
        <v>1.1247444428230282E-2</v>
      </c>
    </row>
    <row r="3075" spans="1:10" x14ac:dyDescent="0.2">
      <c r="A3075" s="2453" t="s">
        <v>1839</v>
      </c>
      <c r="B3075" s="2427">
        <v>5.0999999999999996</v>
      </c>
      <c r="C3075" s="2428">
        <v>39652080.629353955</v>
      </c>
      <c r="D3075" s="2429">
        <v>202.22561120970514</v>
      </c>
      <c r="E3075" s="2430">
        <v>1.1203054260126133</v>
      </c>
      <c r="F3075" s="2427">
        <v>2.2027486761804389E-2</v>
      </c>
      <c r="G3075" s="2429">
        <v>3.6630426994600454E-4</v>
      </c>
      <c r="H3075" s="2430">
        <v>11.859684410122837</v>
      </c>
      <c r="I3075" s="2427">
        <v>0.13621365883704137</v>
      </c>
      <c r="J3075" s="2431">
        <v>3.129187839422658E-3</v>
      </c>
    </row>
    <row r="3076" spans="1:10" x14ac:dyDescent="0.2">
      <c r="A3076" s="2454" t="s">
        <v>311</v>
      </c>
      <c r="B3076" s="2434">
        <v>5.0999999999999996</v>
      </c>
      <c r="C3076" s="2433"/>
      <c r="D3076" s="2435">
        <v>202.22561120970514</v>
      </c>
      <c r="E3076" s="2436">
        <v>1.1203054260126133</v>
      </c>
      <c r="F3076" s="2434">
        <v>2.2027486761804389E-2</v>
      </c>
      <c r="G3076" s="2435">
        <v>3.6630426994600454E-4</v>
      </c>
      <c r="H3076" s="2436">
        <v>11.859684410122837</v>
      </c>
      <c r="I3076" s="2434">
        <v>0.13621365883704137</v>
      </c>
      <c r="J3076" s="2437">
        <v>3.129187839422658E-3</v>
      </c>
    </row>
    <row r="3077" spans="1:10" x14ac:dyDescent="0.2">
      <c r="A3077" s="2445" t="s">
        <v>129</v>
      </c>
      <c r="B3077" s="2446">
        <v>455.233</v>
      </c>
      <c r="C3077" s="2447"/>
      <c r="D3077" s="2448">
        <v>1705.1517073851933</v>
      </c>
      <c r="E3077" s="2449">
        <v>100</v>
      </c>
      <c r="F3077" s="2446">
        <v>1.9662037021640197</v>
      </c>
      <c r="G3077" s="2448">
        <v>3.2696821905946964E-2</v>
      </c>
      <c r="H3077" s="2449">
        <v>100</v>
      </c>
      <c r="I3077" s="2446">
        <v>1.1485437059419235</v>
      </c>
      <c r="J3077" s="2450">
        <v>2.6385085228336595E-2</v>
      </c>
    </row>
    <row r="3078" spans="1:10" x14ac:dyDescent="0.2">
      <c r="A3078" s="2451" t="s">
        <v>1853</v>
      </c>
      <c r="B3078" s="2427"/>
      <c r="C3078" s="2452"/>
      <c r="D3078" s="2429"/>
      <c r="E3078" s="2430"/>
      <c r="F3078" s="2427">
        <v>0</v>
      </c>
      <c r="G3078" s="2429"/>
      <c r="H3078" s="2430"/>
      <c r="I3078" s="2427">
        <v>0</v>
      </c>
      <c r="J3078" s="2431">
        <v>0</v>
      </c>
    </row>
    <row r="3079" spans="1:10" x14ac:dyDescent="0.2">
      <c r="A3079" s="2426" t="s">
        <v>1543</v>
      </c>
      <c r="B3079" s="2427">
        <v>4.1399999999999997</v>
      </c>
      <c r="C3079" s="2428">
        <v>13200000</v>
      </c>
      <c r="D3079" s="2429">
        <v>54.647999999999989</v>
      </c>
      <c r="E3079" s="2430">
        <v>1.441805391098419</v>
      </c>
      <c r="F3079" s="2427">
        <v>1.7881136312523565E-2</v>
      </c>
      <c r="G3079" s="2429">
        <v>2.973528779561684E-4</v>
      </c>
      <c r="H3079" s="2430">
        <v>1.0330145772859283</v>
      </c>
      <c r="I3079" s="2427">
        <v>3.6809403040485876E-2</v>
      </c>
      <c r="J3079" s="2431">
        <v>8.4560929758516472E-4</v>
      </c>
    </row>
    <row r="3080" spans="1:10" x14ac:dyDescent="0.2">
      <c r="A3080" s="2426" t="s">
        <v>208</v>
      </c>
      <c r="B3080" s="2427">
        <v>0</v>
      </c>
      <c r="C3080" s="2428">
        <v>10000000</v>
      </c>
      <c r="D3080" s="2429">
        <v>0</v>
      </c>
      <c r="E3080" s="2430">
        <v>0</v>
      </c>
      <c r="F3080" s="2427">
        <v>0</v>
      </c>
      <c r="G3080" s="2429">
        <v>0</v>
      </c>
      <c r="H3080" s="2430">
        <v>0</v>
      </c>
      <c r="I3080" s="2427">
        <v>0</v>
      </c>
      <c r="J3080" s="2431">
        <v>0</v>
      </c>
    </row>
    <row r="3081" spans="1:10" x14ac:dyDescent="0.2">
      <c r="A3081" s="2426" t="s">
        <v>209</v>
      </c>
      <c r="B3081" s="2427">
        <v>0</v>
      </c>
      <c r="C3081" s="2428">
        <v>10000000</v>
      </c>
      <c r="D3081" s="2429">
        <v>0</v>
      </c>
      <c r="E3081" s="2430">
        <v>0</v>
      </c>
      <c r="F3081" s="2427">
        <v>0</v>
      </c>
      <c r="G3081" s="2429">
        <v>0</v>
      </c>
      <c r="H3081" s="2430">
        <v>0</v>
      </c>
      <c r="I3081" s="2427">
        <v>0</v>
      </c>
      <c r="J3081" s="2431">
        <v>0</v>
      </c>
    </row>
    <row r="3082" spans="1:10" x14ac:dyDescent="0.2">
      <c r="A3082" s="2426" t="s">
        <v>210</v>
      </c>
      <c r="B3082" s="2427">
        <v>283</v>
      </c>
      <c r="C3082" s="2428">
        <v>18500000</v>
      </c>
      <c r="D3082" s="2429">
        <v>5235.5</v>
      </c>
      <c r="E3082" s="2430">
        <v>98.558194608901587</v>
      </c>
      <c r="F3082" s="2427">
        <v>1.222309559527577</v>
      </c>
      <c r="G3082" s="2429">
        <v>2.0326295763670451E-2</v>
      </c>
      <c r="H3082" s="2430">
        <v>98.966985422714075</v>
      </c>
      <c r="I3082" s="2427">
        <v>3.526490074997509</v>
      </c>
      <c r="J3082" s="2431">
        <v>8.1012799690878559E-2</v>
      </c>
    </row>
    <row r="3083" spans="1:10" x14ac:dyDescent="0.2">
      <c r="A3083" s="2426" t="s">
        <v>1545</v>
      </c>
      <c r="B3083" s="2427">
        <v>0</v>
      </c>
      <c r="C3083" s="2428">
        <v>14200000</v>
      </c>
      <c r="D3083" s="2429">
        <v>0</v>
      </c>
      <c r="E3083" s="2430">
        <v>0</v>
      </c>
      <c r="F3083" s="2427">
        <v>0</v>
      </c>
      <c r="G3083" s="2429">
        <v>0</v>
      </c>
      <c r="H3083" s="2430">
        <v>0</v>
      </c>
      <c r="I3083" s="2427">
        <v>0</v>
      </c>
      <c r="J3083" s="2431">
        <v>0</v>
      </c>
    </row>
    <row r="3084" spans="1:10" x14ac:dyDescent="0.2">
      <c r="A3084" s="2426" t="s">
        <v>1546</v>
      </c>
      <c r="B3084" s="2427">
        <v>0</v>
      </c>
      <c r="C3084" s="2428">
        <v>10000000</v>
      </c>
      <c r="D3084" s="2429">
        <v>0</v>
      </c>
      <c r="E3084" s="2430">
        <v>0</v>
      </c>
      <c r="F3084" s="2427">
        <v>0</v>
      </c>
      <c r="G3084" s="2429">
        <v>0</v>
      </c>
      <c r="H3084" s="2430">
        <v>0</v>
      </c>
      <c r="I3084" s="2427">
        <v>0</v>
      </c>
      <c r="J3084" s="2431">
        <v>0</v>
      </c>
    </row>
    <row r="3085" spans="1:10" x14ac:dyDescent="0.2">
      <c r="A3085" s="2445" t="s">
        <v>121</v>
      </c>
      <c r="B3085" s="2446">
        <v>287.14</v>
      </c>
      <c r="C3085" s="2447"/>
      <c r="D3085" s="2448">
        <v>5290.1480000000001</v>
      </c>
      <c r="E3085" s="2449">
        <v>100</v>
      </c>
      <c r="F3085" s="2446">
        <v>1.2401906958401008</v>
      </c>
      <c r="G3085" s="2448">
        <v>2.0623648641626618E-2</v>
      </c>
      <c r="H3085" s="2449">
        <v>100</v>
      </c>
      <c r="I3085" s="2446">
        <v>3.5632994780379947</v>
      </c>
      <c r="J3085" s="2450">
        <v>8.1858408988463721E-2</v>
      </c>
    </row>
    <row r="3086" spans="1:10" ht="14.25" thickBot="1" x14ac:dyDescent="0.25">
      <c r="A3086" s="2457" t="s">
        <v>1840</v>
      </c>
      <c r="B3086" s="2446">
        <v>23152.890999999996</v>
      </c>
      <c r="C3086" s="2458"/>
      <c r="D3086" s="2448">
        <v>148462.06535839176</v>
      </c>
      <c r="E3086" s="2459"/>
      <c r="F3086" s="2460">
        <v>100</v>
      </c>
      <c r="G3086" s="2461">
        <v>1.6629417323322391</v>
      </c>
      <c r="H3086" s="2462"/>
      <c r="I3086" s="2460">
        <v>100</v>
      </c>
      <c r="J3086" s="2463">
        <v>2.2972643611065822</v>
      </c>
    </row>
    <row r="3087" spans="1:10" ht="15" thickBot="1" x14ac:dyDescent="0.25">
      <c r="A3087" s="2464" t="s">
        <v>1841</v>
      </c>
      <c r="B3087" s="2465">
        <v>1392285.1624830281</v>
      </c>
      <c r="C3087" s="2466"/>
      <c r="D3087" s="2467">
        <v>6462559.0276810033</v>
      </c>
      <c r="E3087" s="2468"/>
      <c r="F3087" s="2469"/>
      <c r="G3087" s="2469"/>
      <c r="H3087" s="2469"/>
      <c r="I3087" s="2469"/>
      <c r="J3087" s="2469"/>
    </row>
    <row r="3088" spans="1:10" ht="16.5" thickBot="1" x14ac:dyDescent="0.3">
      <c r="A3088" s="2470" t="s">
        <v>1842</v>
      </c>
      <c r="B3088" s="2471">
        <v>1.6629417323322391</v>
      </c>
      <c r="C3088" s="2472"/>
      <c r="D3088" s="2473">
        <v>2.2972643611065822</v>
      </c>
      <c r="E3088" s="2468"/>
      <c r="F3088" s="2469"/>
      <c r="G3088" s="2469"/>
      <c r="H3088" s="2469"/>
      <c r="I3088" s="2469"/>
      <c r="J3088" s="2469"/>
    </row>
    <row r="3089" spans="1:10" x14ac:dyDescent="0.2">
      <c r="A3089" s="2474" t="s">
        <v>2023</v>
      </c>
      <c r="B3089" s="2474"/>
      <c r="C3089" s="2474"/>
      <c r="D3089" s="2475"/>
      <c r="E3089" s="2474"/>
      <c r="F3089" s="2474"/>
      <c r="H3089" s="2474"/>
      <c r="I3089" s="2474"/>
      <c r="J3089" s="2474"/>
    </row>
    <row r="3090" spans="1:10" x14ac:dyDescent="0.2">
      <c r="A3090" s="2474" t="s">
        <v>1843</v>
      </c>
      <c r="B3090" s="2474"/>
      <c r="C3090" s="2474"/>
      <c r="D3090" s="2474"/>
      <c r="E3090" s="2474"/>
      <c r="F3090" s="2474"/>
      <c r="G3090" s="2474"/>
      <c r="H3090" s="2474"/>
      <c r="I3090" s="2474"/>
      <c r="J3090" s="2474"/>
    </row>
    <row r="3091" spans="1:10" x14ac:dyDescent="0.2">
      <c r="A3091" s="2474" t="s">
        <v>2024</v>
      </c>
      <c r="B3091" s="2474"/>
      <c r="C3091" s="2474"/>
      <c r="D3091" s="2474"/>
      <c r="E3091" s="2474"/>
      <c r="F3091" s="2474"/>
      <c r="G3091" s="2474"/>
      <c r="H3091" s="2474"/>
      <c r="I3091" s="2474"/>
      <c r="J3091" s="2474"/>
    </row>
    <row r="3095" spans="1:10" ht="13.5" thickBot="1" x14ac:dyDescent="0.25">
      <c r="A3095" s="3321" t="s">
        <v>2021</v>
      </c>
      <c r="B3095" s="3321"/>
      <c r="C3095" s="3321"/>
      <c r="D3095" s="3321"/>
      <c r="E3095" s="3321"/>
      <c r="F3095" s="3321"/>
      <c r="G3095" s="3321"/>
      <c r="H3095" s="3321"/>
      <c r="I3095" s="3321"/>
      <c r="J3095" s="3321"/>
    </row>
    <row r="3096" spans="1:10" ht="13.5" customHeight="1" thickBot="1" x14ac:dyDescent="0.25">
      <c r="A3096" s="3322" t="s">
        <v>390</v>
      </c>
      <c r="B3096" s="3324" t="s">
        <v>1272</v>
      </c>
      <c r="C3096" s="3324" t="s">
        <v>1832</v>
      </c>
      <c r="D3096" s="3326" t="s">
        <v>1844</v>
      </c>
      <c r="E3096" s="3328" t="s">
        <v>1849</v>
      </c>
      <c r="F3096" s="3329"/>
      <c r="G3096" s="3330"/>
      <c r="H3096" s="3328" t="s">
        <v>1850</v>
      </c>
      <c r="I3096" s="3329"/>
      <c r="J3096" s="3331"/>
    </row>
    <row r="3097" spans="1:10" ht="13.5" customHeight="1" thickBot="1" x14ac:dyDescent="0.25">
      <c r="A3097" s="3323"/>
      <c r="B3097" s="3325"/>
      <c r="C3097" s="3325"/>
      <c r="D3097" s="3327"/>
      <c r="E3097" s="2415" t="s">
        <v>1848</v>
      </c>
      <c r="F3097" s="2416" t="s">
        <v>1231</v>
      </c>
      <c r="G3097" s="2417" t="s">
        <v>1833</v>
      </c>
      <c r="H3097" s="2415" t="s">
        <v>1848</v>
      </c>
      <c r="I3097" s="2416" t="s">
        <v>1231</v>
      </c>
      <c r="J3097" s="2418" t="s">
        <v>1833</v>
      </c>
    </row>
    <row r="3098" spans="1:10" x14ac:dyDescent="0.2">
      <c r="A3098" s="2419" t="s">
        <v>1851</v>
      </c>
      <c r="B3098" s="2420"/>
      <c r="C3098" s="2420"/>
      <c r="D3098" s="2421"/>
      <c r="E3098" s="2422"/>
      <c r="F3098" s="2423"/>
      <c r="G3098" s="2424"/>
      <c r="H3098" s="2422"/>
      <c r="I3098" s="2423"/>
      <c r="J3098" s="2425"/>
    </row>
    <row r="3099" spans="1:10" x14ac:dyDescent="0.2">
      <c r="A3099" s="2426" t="s">
        <v>410</v>
      </c>
      <c r="B3099" s="2427">
        <v>0</v>
      </c>
      <c r="C3099" s="2428">
        <v>5667200.0000000009</v>
      </c>
      <c r="D3099" s="2429">
        <v>0</v>
      </c>
      <c r="E3099" s="2430">
        <v>0</v>
      </c>
      <c r="F3099" s="2427">
        <v>0</v>
      </c>
      <c r="G3099" s="2429">
        <v>0</v>
      </c>
      <c r="H3099" s="2430">
        <v>0</v>
      </c>
      <c r="I3099" s="2427">
        <v>0</v>
      </c>
      <c r="J3099" s="2431">
        <v>0</v>
      </c>
    </row>
    <row r="3100" spans="1:10" x14ac:dyDescent="0.2">
      <c r="A3100" s="2426" t="s">
        <v>411</v>
      </c>
      <c r="B3100" s="2427">
        <v>0</v>
      </c>
      <c r="C3100" s="2428">
        <v>1753716.5000000002</v>
      </c>
      <c r="D3100" s="2429">
        <v>0</v>
      </c>
      <c r="E3100" s="2430">
        <v>0</v>
      </c>
      <c r="F3100" s="2427">
        <v>0</v>
      </c>
      <c r="G3100" s="2429">
        <v>0</v>
      </c>
      <c r="H3100" s="2430">
        <v>0</v>
      </c>
      <c r="I3100" s="2427">
        <v>0</v>
      </c>
      <c r="J3100" s="2431">
        <v>0</v>
      </c>
    </row>
    <row r="3101" spans="1:10" x14ac:dyDescent="0.2">
      <c r="A3101" s="2426" t="s">
        <v>278</v>
      </c>
      <c r="B3101" s="2427">
        <v>207.75</v>
      </c>
      <c r="C3101" s="2428">
        <v>1637875</v>
      </c>
      <c r="D3101" s="2429">
        <v>340.26853125000002</v>
      </c>
      <c r="E3101" s="2430">
        <v>1.9042161407684566</v>
      </c>
      <c r="F3101" s="2427">
        <v>1.6586704777684744</v>
      </c>
      <c r="G3101" s="2429">
        <v>1.492151217280048E-2</v>
      </c>
      <c r="H3101" s="2430">
        <v>0.49999292106167731</v>
      </c>
      <c r="I3101" s="2427">
        <v>0.4564111764676918</v>
      </c>
      <c r="J3101" s="2431">
        <v>5.2652289873490023E-3</v>
      </c>
    </row>
    <row r="3102" spans="1:10" x14ac:dyDescent="0.2">
      <c r="A3102" s="2426" t="s">
        <v>200</v>
      </c>
      <c r="B3102" s="2427">
        <v>39.799999999999997</v>
      </c>
      <c r="C3102" s="2428">
        <v>7709114.5</v>
      </c>
      <c r="D3102" s="2429">
        <v>306.82275709999999</v>
      </c>
      <c r="E3102" s="2430">
        <v>0.36480289965142992</v>
      </c>
      <c r="F3102" s="2427">
        <v>0.31776214207068726</v>
      </c>
      <c r="G3102" s="2429">
        <v>2.8586097929119572E-3</v>
      </c>
      <c r="H3102" s="2430">
        <v>0.4508474703995316</v>
      </c>
      <c r="I3102" s="2427">
        <v>0.41154947541177256</v>
      </c>
      <c r="J3102" s="2431">
        <v>4.7476975573575372E-3</v>
      </c>
    </row>
    <row r="3103" spans="1:10" x14ac:dyDescent="0.2">
      <c r="A3103" s="2426" t="s">
        <v>429</v>
      </c>
      <c r="B3103" s="2427">
        <v>0</v>
      </c>
      <c r="C3103" s="2428">
        <v>1255000</v>
      </c>
      <c r="D3103" s="2429">
        <v>0</v>
      </c>
      <c r="E3103" s="2430">
        <v>0</v>
      </c>
      <c r="F3103" s="2427">
        <v>0</v>
      </c>
      <c r="G3103" s="2429">
        <v>0</v>
      </c>
      <c r="H3103" s="2430">
        <v>0</v>
      </c>
      <c r="I3103" s="2427">
        <v>0</v>
      </c>
      <c r="J3103" s="2431">
        <v>0</v>
      </c>
    </row>
    <row r="3104" spans="1:10" x14ac:dyDescent="0.2">
      <c r="A3104" s="2432" t="s">
        <v>431</v>
      </c>
      <c r="B3104" s="2427">
        <v>0</v>
      </c>
      <c r="C3104" s="2428">
        <v>0</v>
      </c>
      <c r="D3104" s="2429">
        <v>0</v>
      </c>
      <c r="E3104" s="2430">
        <v>0</v>
      </c>
      <c r="F3104" s="2427">
        <v>0</v>
      </c>
      <c r="G3104" s="2429">
        <v>0</v>
      </c>
      <c r="H3104" s="2430">
        <v>0</v>
      </c>
      <c r="I3104" s="2427">
        <v>0</v>
      </c>
      <c r="J3104" s="2431">
        <v>0</v>
      </c>
    </row>
    <row r="3105" spans="1:10" x14ac:dyDescent="0.2">
      <c r="A3105" s="2432" t="s">
        <v>430</v>
      </c>
      <c r="B3105" s="2427">
        <v>0</v>
      </c>
      <c r="C3105" s="2428">
        <v>0</v>
      </c>
      <c r="D3105" s="2429">
        <v>0</v>
      </c>
      <c r="E3105" s="2430">
        <v>0</v>
      </c>
      <c r="F3105" s="2427">
        <v>0</v>
      </c>
      <c r="G3105" s="2429">
        <v>0</v>
      </c>
      <c r="H3105" s="2430">
        <v>0</v>
      </c>
      <c r="I3105" s="2427">
        <v>0</v>
      </c>
      <c r="J3105" s="2431">
        <v>0</v>
      </c>
    </row>
    <row r="3106" spans="1:10" x14ac:dyDescent="0.2">
      <c r="A3106" s="2433" t="s">
        <v>279</v>
      </c>
      <c r="B3106" s="2434">
        <v>247.55</v>
      </c>
      <c r="C3106" s="2433"/>
      <c r="D3106" s="2435">
        <v>647.09128835000001</v>
      </c>
      <c r="E3106" s="2436">
        <v>2.2690190404198867</v>
      </c>
      <c r="F3106" s="2434">
        <v>1.9764326198391617</v>
      </c>
      <c r="G3106" s="2435">
        <v>1.778012196571244E-2</v>
      </c>
      <c r="H3106" s="2436">
        <v>0.95084039146120891</v>
      </c>
      <c r="I3106" s="2434">
        <v>0.86796065187946436</v>
      </c>
      <c r="J3106" s="2437">
        <v>1.001292654470654E-2</v>
      </c>
    </row>
    <row r="3107" spans="1:10" x14ac:dyDescent="0.2">
      <c r="A3107" s="2438" t="s">
        <v>412</v>
      </c>
      <c r="B3107" s="2427">
        <v>28</v>
      </c>
      <c r="C3107" s="2428">
        <v>4129499.9999999995</v>
      </c>
      <c r="D3107" s="2429">
        <v>115.62599999999999</v>
      </c>
      <c r="E3107" s="2430">
        <v>0.25664525603618188</v>
      </c>
      <c r="F3107" s="2427">
        <v>0.22355125572812171</v>
      </c>
      <c r="G3107" s="2429">
        <v>2.0110822663702214E-3</v>
      </c>
      <c r="H3107" s="2430">
        <v>0.16990163997328947</v>
      </c>
      <c r="I3107" s="2427">
        <v>0.15509221054438407</v>
      </c>
      <c r="J3107" s="2431">
        <v>1.7891674103824892E-3</v>
      </c>
    </row>
    <row r="3108" spans="1:10" x14ac:dyDescent="0.2">
      <c r="A3108" s="2438" t="s">
        <v>413</v>
      </c>
      <c r="B3108" s="2427">
        <v>66</v>
      </c>
      <c r="C3108" s="2428">
        <v>1200000</v>
      </c>
      <c r="D3108" s="2429">
        <v>79.2</v>
      </c>
      <c r="E3108" s="2430">
        <v>0.60494953208528579</v>
      </c>
      <c r="F3108" s="2427">
        <v>0.52694224564485825</v>
      </c>
      <c r="G3108" s="2429">
        <v>4.7404081993012359E-3</v>
      </c>
      <c r="H3108" s="2430">
        <v>0.1163770249414883</v>
      </c>
      <c r="I3108" s="2427">
        <v>0.10623305376918013</v>
      </c>
      <c r="J3108" s="2431">
        <v>1.2255207211379203E-3</v>
      </c>
    </row>
    <row r="3109" spans="1:10" x14ac:dyDescent="0.2">
      <c r="A3109" s="2426" t="s">
        <v>90</v>
      </c>
      <c r="B3109" s="2427">
        <v>8</v>
      </c>
      <c r="C3109" s="2428">
        <v>1743000</v>
      </c>
      <c r="D3109" s="2429">
        <v>13.944000000000001</v>
      </c>
      <c r="E3109" s="2430">
        <v>7.3327216010337676E-2</v>
      </c>
      <c r="F3109" s="2427">
        <v>6.3871787350891912E-2</v>
      </c>
      <c r="G3109" s="2429">
        <v>5.7459493324863462E-4</v>
      </c>
      <c r="H3109" s="2430">
        <v>2.0489409542728699E-2</v>
      </c>
      <c r="I3109" s="2427">
        <v>1.8703455830270804E-2</v>
      </c>
      <c r="J3109" s="2431">
        <v>2.1576592090337326E-4</v>
      </c>
    </row>
    <row r="3110" spans="1:10" x14ac:dyDescent="0.2">
      <c r="A3110" s="2426" t="s">
        <v>417</v>
      </c>
      <c r="B3110" s="2427">
        <v>6</v>
      </c>
      <c r="C3110" s="2428">
        <v>2563999.9999999995</v>
      </c>
      <c r="D3110" s="2429">
        <v>15.383999999999997</v>
      </c>
      <c r="E3110" s="2430">
        <v>5.4995412007753264E-2</v>
      </c>
      <c r="F3110" s="2427">
        <v>4.7903840513168941E-2</v>
      </c>
      <c r="G3110" s="2429">
        <v>4.3094619993647604E-4</v>
      </c>
      <c r="H3110" s="2430">
        <v>2.2605355450755753E-2</v>
      </c>
      <c r="I3110" s="2427">
        <v>2.0634965898801344E-2</v>
      </c>
      <c r="J3110" s="2431">
        <v>2.3804811583315354E-4</v>
      </c>
    </row>
    <row r="3111" spans="1:10" x14ac:dyDescent="0.2">
      <c r="A3111" s="2426" t="s">
        <v>418</v>
      </c>
      <c r="B3111" s="2427">
        <v>16</v>
      </c>
      <c r="C3111" s="2428">
        <v>2222500</v>
      </c>
      <c r="D3111" s="2429">
        <v>35.56</v>
      </c>
      <c r="E3111" s="2430">
        <v>0.14665443202067535</v>
      </c>
      <c r="F3111" s="2427">
        <v>0.12774357470178382</v>
      </c>
      <c r="G3111" s="2429">
        <v>1.1491898664972692E-3</v>
      </c>
      <c r="H3111" s="2430">
        <v>5.2252108673223788E-2</v>
      </c>
      <c r="I3111" s="2427">
        <v>4.7697568081212685E-2</v>
      </c>
      <c r="J3111" s="2431">
        <v>5.5024642479374294E-4</v>
      </c>
    </row>
    <row r="3112" spans="1:10" x14ac:dyDescent="0.2">
      <c r="A3112" s="2426" t="s">
        <v>423</v>
      </c>
      <c r="B3112" s="2427">
        <v>0</v>
      </c>
      <c r="C3112" s="2428">
        <v>2531500</v>
      </c>
      <c r="D3112" s="2429">
        <v>0</v>
      </c>
      <c r="E3112" s="2430">
        <v>0</v>
      </c>
      <c r="F3112" s="2427">
        <v>0</v>
      </c>
      <c r="G3112" s="2429">
        <v>0</v>
      </c>
      <c r="H3112" s="2430">
        <v>0</v>
      </c>
      <c r="I3112" s="2427">
        <v>0</v>
      </c>
      <c r="J3112" s="2431">
        <v>0</v>
      </c>
    </row>
    <row r="3113" spans="1:10" x14ac:dyDescent="0.2">
      <c r="A3113" s="2426" t="s">
        <v>424</v>
      </c>
      <c r="B3113" s="2427">
        <v>0</v>
      </c>
      <c r="C3113" s="2428">
        <v>1369000</v>
      </c>
      <c r="D3113" s="2429">
        <v>0</v>
      </c>
      <c r="E3113" s="2430">
        <v>0</v>
      </c>
      <c r="F3113" s="2427">
        <v>0</v>
      </c>
      <c r="G3113" s="2429">
        <v>0</v>
      </c>
      <c r="H3113" s="2430">
        <v>0</v>
      </c>
      <c r="I3113" s="2427">
        <v>0</v>
      </c>
      <c r="J3113" s="2431">
        <v>0</v>
      </c>
    </row>
    <row r="3114" spans="1:10" x14ac:dyDescent="0.2">
      <c r="A3114" s="2426" t="s">
        <v>280</v>
      </c>
      <c r="B3114" s="2427">
        <v>0</v>
      </c>
      <c r="C3114" s="2428">
        <v>1574500</v>
      </c>
      <c r="D3114" s="2429">
        <v>0</v>
      </c>
      <c r="E3114" s="2430">
        <v>0</v>
      </c>
      <c r="F3114" s="2427">
        <v>0</v>
      </c>
      <c r="G3114" s="2429">
        <v>0</v>
      </c>
      <c r="H3114" s="2430">
        <v>0</v>
      </c>
      <c r="I3114" s="2427">
        <v>0</v>
      </c>
      <c r="J3114" s="2431">
        <v>0</v>
      </c>
    </row>
    <row r="3115" spans="1:10" x14ac:dyDescent="0.2">
      <c r="A3115" s="2426" t="s">
        <v>427</v>
      </c>
      <c r="B3115" s="2427">
        <v>4</v>
      </c>
      <c r="C3115" s="2428">
        <v>2072000</v>
      </c>
      <c r="D3115" s="2429">
        <v>8.2880000000000003</v>
      </c>
      <c r="E3115" s="2430">
        <v>3.6663608005168838E-2</v>
      </c>
      <c r="F3115" s="2427">
        <v>3.1935893675445956E-2</v>
      </c>
      <c r="G3115" s="2429">
        <v>2.8729746662431731E-4</v>
      </c>
      <c r="H3115" s="2430">
        <v>1.2178444226200189E-2</v>
      </c>
      <c r="I3115" s="2427">
        <v>1.1116913505542484E-2</v>
      </c>
      <c r="J3115" s="2431">
        <v>1.2824641081806922E-4</v>
      </c>
    </row>
    <row r="3116" spans="1:10" x14ac:dyDescent="0.2">
      <c r="A3116" s="2426" t="s">
        <v>428</v>
      </c>
      <c r="B3116" s="2427">
        <v>0</v>
      </c>
      <c r="C3116" s="2428">
        <v>1326280</v>
      </c>
      <c r="D3116" s="2429">
        <v>0</v>
      </c>
      <c r="E3116" s="2430">
        <v>0</v>
      </c>
      <c r="F3116" s="2427">
        <v>0</v>
      </c>
      <c r="G3116" s="2429">
        <v>0</v>
      </c>
      <c r="H3116" s="2430">
        <v>0</v>
      </c>
      <c r="I3116" s="2427">
        <v>0</v>
      </c>
      <c r="J3116" s="2431">
        <v>0</v>
      </c>
    </row>
    <row r="3117" spans="1:10" x14ac:dyDescent="0.2">
      <c r="A3117" s="2439" t="s">
        <v>92</v>
      </c>
      <c r="B3117" s="2427">
        <v>186</v>
      </c>
      <c r="C3117" s="2428">
        <v>2215500</v>
      </c>
      <c r="D3117" s="2429">
        <v>412.08300000000003</v>
      </c>
      <c r="E3117" s="2430">
        <v>1.7048577722403511</v>
      </c>
      <c r="F3117" s="2427">
        <v>1.4850190559082372</v>
      </c>
      <c r="G3117" s="2429">
        <v>1.3359332198030757E-2</v>
      </c>
      <c r="H3117" s="2430">
        <v>0.60551759556771878</v>
      </c>
      <c r="I3117" s="2427">
        <v>0.55273782192380116</v>
      </c>
      <c r="J3117" s="2431">
        <v>6.3764678703115869E-3</v>
      </c>
    </row>
    <row r="3118" spans="1:10" x14ac:dyDescent="0.2">
      <c r="A3118" s="2433" t="s">
        <v>281</v>
      </c>
      <c r="B3118" s="2434">
        <v>314</v>
      </c>
      <c r="C3118" s="2433"/>
      <c r="D3118" s="2435">
        <v>680.08500000000004</v>
      </c>
      <c r="E3118" s="2436">
        <v>2.8780932284057541</v>
      </c>
      <c r="F3118" s="2434">
        <v>2.5069676535225081</v>
      </c>
      <c r="G3118" s="2435">
        <v>2.2552851130008912E-2</v>
      </c>
      <c r="H3118" s="2436">
        <v>0.99932157837540492</v>
      </c>
      <c r="I3118" s="2434">
        <v>0.91221598955319261</v>
      </c>
      <c r="J3118" s="2437">
        <v>1.0523462874180335E-2</v>
      </c>
    </row>
    <row r="3119" spans="1:10" x14ac:dyDescent="0.2">
      <c r="A3119" s="2440" t="s">
        <v>106</v>
      </c>
      <c r="B3119" s="2441">
        <v>561.54999999999995</v>
      </c>
      <c r="C3119" s="2440"/>
      <c r="D3119" s="2442">
        <v>1327.17628835</v>
      </c>
      <c r="E3119" s="2443">
        <v>5.1471122688256408</v>
      </c>
      <c r="F3119" s="2441">
        <v>4.4834002733616689</v>
      </c>
      <c r="G3119" s="2442">
        <v>4.0332973095721342E-2</v>
      </c>
      <c r="H3119" s="2443">
        <v>1.9501619698366142</v>
      </c>
      <c r="I3119" s="2441">
        <v>1.780176641432657</v>
      </c>
      <c r="J3119" s="2444">
        <v>2.0536389418886875E-2</v>
      </c>
    </row>
    <row r="3120" spans="1:10" x14ac:dyDescent="0.2">
      <c r="A3120" s="2426" t="s">
        <v>905</v>
      </c>
      <c r="B3120" s="2427">
        <v>0.5</v>
      </c>
      <c r="C3120" s="2428">
        <v>6100000</v>
      </c>
      <c r="D3120" s="2429">
        <v>3.05</v>
      </c>
      <c r="E3120" s="2430">
        <v>4.5829510006461047E-3</v>
      </c>
      <c r="F3120" s="2427">
        <v>3.9919867094307445E-3</v>
      </c>
      <c r="G3120" s="2429">
        <v>3.5912183328039663E-5</v>
      </c>
      <c r="H3120" s="2430">
        <v>4.4816909857517588E-3</v>
      </c>
      <c r="I3120" s="2427">
        <v>4.0910456312626175E-3</v>
      </c>
      <c r="J3120" s="2431">
        <v>4.7194926760993138E-5</v>
      </c>
    </row>
    <row r="3121" spans="1:10" x14ac:dyDescent="0.2">
      <c r="A3121" s="2426" t="s">
        <v>906</v>
      </c>
      <c r="B3121" s="2427">
        <v>10</v>
      </c>
      <c r="C3121" s="2428">
        <v>3022000.0000000005</v>
      </c>
      <c r="D3121" s="2429">
        <v>30.220000000000002</v>
      </c>
      <c r="E3121" s="2430">
        <v>9.1659020012922102E-2</v>
      </c>
      <c r="F3121" s="2427">
        <v>7.9839734188614897E-2</v>
      </c>
      <c r="G3121" s="2429">
        <v>7.1824366656079324E-4</v>
      </c>
      <c r="H3121" s="2430">
        <v>4.4405475930956777E-2</v>
      </c>
      <c r="I3121" s="2427">
        <v>4.0534884910411906E-2</v>
      </c>
      <c r="J3121" s="2431">
        <v>4.6761661859580746E-4</v>
      </c>
    </row>
    <row r="3122" spans="1:10" x14ac:dyDescent="0.2">
      <c r="A3122" s="2426" t="s">
        <v>907</v>
      </c>
      <c r="B3122" s="2427">
        <v>24</v>
      </c>
      <c r="C3122" s="2428">
        <v>2324000</v>
      </c>
      <c r="D3122" s="2429">
        <v>55.776000000000003</v>
      </c>
      <c r="E3122" s="2430">
        <v>0.21998164803101306</v>
      </c>
      <c r="F3122" s="2427">
        <v>0.19161536205267576</v>
      </c>
      <c r="G3122" s="2429">
        <v>1.7237847997459042E-3</v>
      </c>
      <c r="H3122" s="2430">
        <v>8.1957638170914796E-2</v>
      </c>
      <c r="I3122" s="2427">
        <v>7.4813823321083217E-2</v>
      </c>
      <c r="J3122" s="2431">
        <v>8.6306368361349303E-4</v>
      </c>
    </row>
    <row r="3123" spans="1:10" x14ac:dyDescent="0.2">
      <c r="A3123" s="2439" t="s">
        <v>908</v>
      </c>
      <c r="B3123" s="2427">
        <v>260</v>
      </c>
      <c r="C3123" s="2428">
        <v>2403999.9999999995</v>
      </c>
      <c r="D3123" s="2429">
        <v>625.03999999999985</v>
      </c>
      <c r="E3123" s="2430">
        <v>2.3831345203359744</v>
      </c>
      <c r="F3123" s="2427">
        <v>2.0758330889039875</v>
      </c>
      <c r="G3123" s="2429">
        <v>1.8674335330580626E-2</v>
      </c>
      <c r="H3123" s="2430">
        <v>0.91843807663418964</v>
      </c>
      <c r="I3123" s="2427">
        <v>0.83838267585717574</v>
      </c>
      <c r="J3123" s="2431">
        <v>9.6717104992429977E-3</v>
      </c>
    </row>
    <row r="3124" spans="1:10" x14ac:dyDescent="0.2">
      <c r="A3124" s="2440" t="s">
        <v>282</v>
      </c>
      <c r="B3124" s="2441">
        <v>294.5</v>
      </c>
      <c r="C3124" s="2440"/>
      <c r="D3124" s="2442">
        <v>714.0859999999999</v>
      </c>
      <c r="E3124" s="2443">
        <v>2.6993581393805561</v>
      </c>
      <c r="F3124" s="2441">
        <v>2.3512801718547087</v>
      </c>
      <c r="G3124" s="2442">
        <v>2.1152275980215362E-2</v>
      </c>
      <c r="H3124" s="2443">
        <v>1.0492828817218132</v>
      </c>
      <c r="I3124" s="2441">
        <v>0.95782242971993359</v>
      </c>
      <c r="J3124" s="2444">
        <v>1.1049585728213292E-2</v>
      </c>
    </row>
    <row r="3125" spans="1:10" x14ac:dyDescent="0.2">
      <c r="A3125" s="2426" t="s">
        <v>955</v>
      </c>
      <c r="B3125" s="2427">
        <v>62.65</v>
      </c>
      <c r="C3125" s="2428">
        <v>12137000</v>
      </c>
      <c r="D3125" s="2429">
        <v>760.38305000000003</v>
      </c>
      <c r="E3125" s="2430">
        <v>0.57424376038095692</v>
      </c>
      <c r="F3125" s="2427">
        <v>0.50019593469167234</v>
      </c>
      <c r="G3125" s="2429">
        <v>4.4997965710033699E-3</v>
      </c>
      <c r="H3125" s="2430">
        <v>1.1173120855421079</v>
      </c>
      <c r="I3125" s="2427">
        <v>1.0199218868159492</v>
      </c>
      <c r="J3125" s="2431">
        <v>1.1765974542639536E-2</v>
      </c>
    </row>
    <row r="3126" spans="1:10" x14ac:dyDescent="0.2">
      <c r="A3126" s="2426" t="s">
        <v>283</v>
      </c>
      <c r="B3126" s="2427">
        <v>2094.1564072401111</v>
      </c>
      <c r="C3126" s="2428">
        <v>13024549.999999996</v>
      </c>
      <c r="D3126" s="2429">
        <v>27275.44483391918</v>
      </c>
      <c r="E3126" s="2430">
        <v>19.194832404141039</v>
      </c>
      <c r="F3126" s="2427">
        <v>16.719689090343525</v>
      </c>
      <c r="G3126" s="2429">
        <v>0.15041145762879152</v>
      </c>
      <c r="H3126" s="2430">
        <v>40.078726309686871</v>
      </c>
      <c r="I3126" s="2427">
        <v>36.585275222475275</v>
      </c>
      <c r="J3126" s="2431">
        <v>0.42205331846240141</v>
      </c>
    </row>
    <row r="3127" spans="1:10" x14ac:dyDescent="0.2">
      <c r="A3127" s="2426" t="s">
        <v>69</v>
      </c>
      <c r="B3127" s="2427">
        <v>1654.0945927598891</v>
      </c>
      <c r="C3127" s="2428">
        <v>14978232.499999994</v>
      </c>
      <c r="D3127" s="2429">
        <v>24775.413387350425</v>
      </c>
      <c r="E3127" s="2430">
        <v>15.161268938104492</v>
      </c>
      <c r="F3127" s="2427">
        <v>13.206247260877477</v>
      </c>
      <c r="G3127" s="2429">
        <v>0.1188042965142245</v>
      </c>
      <c r="H3127" s="2430">
        <v>36.405162900446506</v>
      </c>
      <c r="I3127" s="2427">
        <v>33.231916951162404</v>
      </c>
      <c r="J3127" s="2431">
        <v>0.38336846566863353</v>
      </c>
    </row>
    <row r="3128" spans="1:10" x14ac:dyDescent="0.2">
      <c r="A3128" s="2426" t="s">
        <v>199</v>
      </c>
      <c r="B3128" s="2427">
        <v>1656</v>
      </c>
      <c r="C3128" s="2428">
        <v>3000000</v>
      </c>
      <c r="D3128" s="2429">
        <v>4968</v>
      </c>
      <c r="E3128" s="2430">
        <v>15.1787337141399</v>
      </c>
      <c r="F3128" s="2427">
        <v>13.221459981634629</v>
      </c>
      <c r="G3128" s="2429">
        <v>0.11894115118246738</v>
      </c>
      <c r="H3128" s="2430">
        <v>7.3000133826933569</v>
      </c>
      <c r="I3128" s="2427">
        <v>6.6637097364303886</v>
      </c>
      <c r="J3128" s="2431">
        <v>7.6873572507742266E-2</v>
      </c>
    </row>
    <row r="3129" spans="1:10" x14ac:dyDescent="0.2">
      <c r="A3129" s="2426" t="s">
        <v>86</v>
      </c>
      <c r="B3129" s="2427">
        <v>1380</v>
      </c>
      <c r="C3129" s="2428">
        <v>170000</v>
      </c>
      <c r="D3129" s="2429">
        <v>234.6</v>
      </c>
      <c r="E3129" s="2430">
        <v>12.648944761783252</v>
      </c>
      <c r="F3129" s="2427">
        <v>11.017883318028856</v>
      </c>
      <c r="G3129" s="2429">
        <v>9.9117625985389479E-2</v>
      </c>
      <c r="H3129" s="2430">
        <v>0.34472285418274184</v>
      </c>
      <c r="I3129" s="2427">
        <v>0.31467518199810168</v>
      </c>
      <c r="J3129" s="2431">
        <v>3.6301409239767181E-3</v>
      </c>
    </row>
    <row r="3130" spans="1:10" x14ac:dyDescent="0.2">
      <c r="A3130" s="2439" t="s">
        <v>213</v>
      </c>
      <c r="B3130" s="2427">
        <v>1323.5</v>
      </c>
      <c r="C3130" s="2428">
        <v>1850000.0000000005</v>
      </c>
      <c r="D3130" s="2429">
        <v>2448.4750000000004</v>
      </c>
      <c r="E3130" s="2430">
        <v>12.131071298710241</v>
      </c>
      <c r="F3130" s="2427">
        <v>10.566788819863183</v>
      </c>
      <c r="G3130" s="2429">
        <v>9.5059549269320989E-2</v>
      </c>
      <c r="H3130" s="2430">
        <v>3.5978060119142752</v>
      </c>
      <c r="I3130" s="2427">
        <v>3.2842042465592587</v>
      </c>
      <c r="J3130" s="2431">
        <v>3.7887081410204165E-2</v>
      </c>
    </row>
    <row r="3131" spans="1:10" x14ac:dyDescent="0.2">
      <c r="A3131" s="2433" t="s">
        <v>1834</v>
      </c>
      <c r="B3131" s="2434">
        <v>8170.4009999999998</v>
      </c>
      <c r="C3131" s="2433"/>
      <c r="D3131" s="2435">
        <v>60462.316271269607</v>
      </c>
      <c r="E3131" s="2436">
        <v>74.889094877259879</v>
      </c>
      <c r="F3131" s="2434">
        <v>65.232264405439338</v>
      </c>
      <c r="G3131" s="2435">
        <v>0.58683387715119717</v>
      </c>
      <c r="H3131" s="2436">
        <v>88.843743544465866</v>
      </c>
      <c r="I3131" s="2434">
        <v>81.099703225441388</v>
      </c>
      <c r="J3131" s="2437">
        <v>0.93557855351559771</v>
      </c>
    </row>
    <row r="3132" spans="1:10" x14ac:dyDescent="0.2">
      <c r="A3132" s="2426" t="s">
        <v>961</v>
      </c>
      <c r="B3132" s="2427">
        <v>825</v>
      </c>
      <c r="C3132" s="2428">
        <v>3668000</v>
      </c>
      <c r="D3132" s="2429">
        <v>3026.1</v>
      </c>
      <c r="E3132" s="2430">
        <v>7.561869151066074</v>
      </c>
      <c r="F3132" s="2427">
        <v>6.5867780705607295</v>
      </c>
      <c r="G3132" s="2429">
        <v>5.9255102491265449E-2</v>
      </c>
      <c r="H3132" s="2430">
        <v>4.4465721613060314</v>
      </c>
      <c r="I3132" s="2427">
        <v>4.0589879294307565</v>
      </c>
      <c r="J3132" s="2431">
        <v>4.68251042201447E-2</v>
      </c>
    </row>
    <row r="3133" spans="1:10" x14ac:dyDescent="0.2">
      <c r="A3133" s="2426" t="s">
        <v>962</v>
      </c>
      <c r="B3133" s="2427">
        <v>0</v>
      </c>
      <c r="C3133" s="2428">
        <v>1999999.9999999998</v>
      </c>
      <c r="D3133" s="2429">
        <v>0</v>
      </c>
      <c r="E3133" s="2430">
        <v>0</v>
      </c>
      <c r="F3133" s="2427">
        <v>0</v>
      </c>
      <c r="G3133" s="2429">
        <v>0</v>
      </c>
      <c r="H3133" s="2430">
        <v>0</v>
      </c>
      <c r="I3133" s="2427">
        <v>0</v>
      </c>
      <c r="J3133" s="2431">
        <v>0</v>
      </c>
    </row>
    <row r="3134" spans="1:10" x14ac:dyDescent="0.2">
      <c r="A3134" s="2426" t="s">
        <v>963</v>
      </c>
      <c r="B3134" s="2427">
        <v>86.25</v>
      </c>
      <c r="C3134" s="2428">
        <v>1347999.9999999998</v>
      </c>
      <c r="D3134" s="2429">
        <v>116.26499999999999</v>
      </c>
      <c r="E3134" s="2430">
        <v>0.79055904761145324</v>
      </c>
      <c r="F3134" s="2427">
        <v>0.6886177073768035</v>
      </c>
      <c r="G3134" s="2429">
        <v>6.1948516240868425E-3</v>
      </c>
      <c r="H3134" s="2430">
        <v>0.17084059096997645</v>
      </c>
      <c r="I3134" s="2427">
        <v>0.15594931813729451</v>
      </c>
      <c r="J3134" s="2431">
        <v>1.7990551343825794E-3</v>
      </c>
    </row>
    <row r="3135" spans="1:10" x14ac:dyDescent="0.2">
      <c r="A3135" s="2426" t="s">
        <v>965</v>
      </c>
      <c r="B3135" s="2427">
        <v>476</v>
      </c>
      <c r="C3135" s="2428">
        <v>1599999.9999999995</v>
      </c>
      <c r="D3135" s="2429">
        <v>761.5999999999998</v>
      </c>
      <c r="E3135" s="2430">
        <v>4.3629693526150914</v>
      </c>
      <c r="F3135" s="2427">
        <v>3.8003713473780691</v>
      </c>
      <c r="G3135" s="2429">
        <v>3.4188398528293765E-2</v>
      </c>
      <c r="H3135" s="2430">
        <v>1.1191002802454224</v>
      </c>
      <c r="I3135" s="2427">
        <v>1.0215542140228226</v>
      </c>
      <c r="J3135" s="2431">
        <v>1.178480531841717E-2</v>
      </c>
    </row>
    <row r="3136" spans="1:10" x14ac:dyDescent="0.2">
      <c r="A3136" s="2426" t="s">
        <v>966</v>
      </c>
      <c r="B3136" s="2427">
        <v>0</v>
      </c>
      <c r="C3136" s="2428">
        <v>2244000</v>
      </c>
      <c r="D3136" s="2429">
        <v>0</v>
      </c>
      <c r="E3136" s="2430">
        <v>0</v>
      </c>
      <c r="F3136" s="2427">
        <v>0</v>
      </c>
      <c r="G3136" s="2429">
        <v>0</v>
      </c>
      <c r="H3136" s="2430">
        <v>0</v>
      </c>
      <c r="I3136" s="2427">
        <v>0</v>
      </c>
      <c r="J3136" s="2431">
        <v>0</v>
      </c>
    </row>
    <row r="3137" spans="1:10" x14ac:dyDescent="0.2">
      <c r="A3137" s="2426" t="s">
        <v>1499</v>
      </c>
      <c r="B3137" s="2427">
        <v>0</v>
      </c>
      <c r="C3137" s="2428">
        <v>4849999.9999999991</v>
      </c>
      <c r="D3137" s="2429">
        <v>0</v>
      </c>
      <c r="E3137" s="2430">
        <v>0</v>
      </c>
      <c r="F3137" s="2427">
        <v>0</v>
      </c>
      <c r="G3137" s="2429">
        <v>0</v>
      </c>
      <c r="H3137" s="2430">
        <v>0</v>
      </c>
      <c r="I3137" s="2427">
        <v>0</v>
      </c>
      <c r="J3137" s="2431">
        <v>0</v>
      </c>
    </row>
    <row r="3138" spans="1:10" x14ac:dyDescent="0.2">
      <c r="A3138" s="2426" t="s">
        <v>1575</v>
      </c>
      <c r="B3138" s="2427">
        <v>0</v>
      </c>
      <c r="C3138" s="2428">
        <v>2250000.0000000005</v>
      </c>
      <c r="D3138" s="2429">
        <v>0</v>
      </c>
      <c r="E3138" s="2430">
        <v>0</v>
      </c>
      <c r="F3138" s="2427">
        <v>0</v>
      </c>
      <c r="G3138" s="2429">
        <v>0</v>
      </c>
      <c r="H3138" s="2430">
        <v>0</v>
      </c>
      <c r="I3138" s="2427">
        <v>0</v>
      </c>
      <c r="J3138" s="2431">
        <v>0</v>
      </c>
    </row>
    <row r="3139" spans="1:10" x14ac:dyDescent="0.2">
      <c r="A3139" s="2426" t="s">
        <v>964</v>
      </c>
      <c r="B3139" s="2427">
        <v>0</v>
      </c>
      <c r="C3139" s="2428">
        <v>1556000</v>
      </c>
      <c r="D3139" s="2429">
        <v>0</v>
      </c>
      <c r="E3139" s="2430">
        <v>0</v>
      </c>
      <c r="F3139" s="2427">
        <v>0</v>
      </c>
      <c r="G3139" s="2429">
        <v>0</v>
      </c>
      <c r="H3139" s="2430">
        <v>0</v>
      </c>
      <c r="I3139" s="2427">
        <v>0</v>
      </c>
      <c r="J3139" s="2431">
        <v>0</v>
      </c>
    </row>
    <row r="3140" spans="1:10" x14ac:dyDescent="0.2">
      <c r="A3140" s="2426" t="s">
        <v>969</v>
      </c>
      <c r="B3140" s="2427">
        <v>60</v>
      </c>
      <c r="C3140" s="2428">
        <v>4800000</v>
      </c>
      <c r="D3140" s="2429">
        <v>288</v>
      </c>
      <c r="E3140" s="2430">
        <v>0.54995412007753264</v>
      </c>
      <c r="F3140" s="2427">
        <v>0.47903840513168944</v>
      </c>
      <c r="G3140" s="2429">
        <v>4.3094619993647599E-3</v>
      </c>
      <c r="H3140" s="2430">
        <v>0.42318918160541197</v>
      </c>
      <c r="I3140" s="2427">
        <v>0.3863020137061095</v>
      </c>
      <c r="J3140" s="2431">
        <v>4.4564389859560738E-3</v>
      </c>
    </row>
    <row r="3141" spans="1:10" x14ac:dyDescent="0.2">
      <c r="A3141" s="2426" t="s">
        <v>968</v>
      </c>
      <c r="B3141" s="2427">
        <v>8.7999999999999972</v>
      </c>
      <c r="C3141" s="2428">
        <v>3050000.0000000009</v>
      </c>
      <c r="D3141" s="2429">
        <v>26.84</v>
      </c>
      <c r="E3141" s="2430">
        <v>8.0659937611371427E-2</v>
      </c>
      <c r="F3141" s="2427">
        <v>7.0258966085981089E-2</v>
      </c>
      <c r="G3141" s="2429">
        <v>6.3205442657349783E-4</v>
      </c>
      <c r="H3141" s="2430">
        <v>3.9438880674615477E-2</v>
      </c>
      <c r="I3141" s="2427">
        <v>3.6001201555111037E-2</v>
      </c>
      <c r="J3141" s="2431">
        <v>4.1531535549673966E-4</v>
      </c>
    </row>
    <row r="3142" spans="1:10" x14ac:dyDescent="0.2">
      <c r="A3142" s="2426" t="s">
        <v>1013</v>
      </c>
      <c r="B3142" s="2427">
        <v>0.4</v>
      </c>
      <c r="C3142" s="2428">
        <v>1799999.9999999998</v>
      </c>
      <c r="D3142" s="2429">
        <v>0.72</v>
      </c>
      <c r="E3142" s="2430">
        <v>3.6663608005168841E-3</v>
      </c>
      <c r="F3142" s="2427">
        <v>3.193589367544596E-3</v>
      </c>
      <c r="G3142" s="2429">
        <v>2.8729746662431735E-5</v>
      </c>
      <c r="H3142" s="2430">
        <v>1.05797295401353E-3</v>
      </c>
      <c r="I3142" s="2427">
        <v>9.6575503426527378E-4</v>
      </c>
      <c r="J3142" s="2431">
        <v>1.1141097464890183E-5</v>
      </c>
    </row>
    <row r="3143" spans="1:10" x14ac:dyDescent="0.2">
      <c r="A3143" s="2426" t="s">
        <v>1014</v>
      </c>
      <c r="B3143" s="2427">
        <v>0</v>
      </c>
      <c r="C3143" s="2428">
        <v>2195000.0000000005</v>
      </c>
      <c r="D3143" s="2429">
        <v>0</v>
      </c>
      <c r="E3143" s="2430">
        <v>0</v>
      </c>
      <c r="F3143" s="2427">
        <v>0</v>
      </c>
      <c r="G3143" s="2429">
        <v>0</v>
      </c>
      <c r="H3143" s="2430">
        <v>0</v>
      </c>
      <c r="I3143" s="2427">
        <v>0</v>
      </c>
      <c r="J3143" s="2431">
        <v>0</v>
      </c>
    </row>
    <row r="3144" spans="1:10" x14ac:dyDescent="0.2">
      <c r="A3144" s="2426" t="s">
        <v>970</v>
      </c>
      <c r="B3144" s="2427">
        <v>214.5</v>
      </c>
      <c r="C3144" s="2428">
        <v>3100000.0000000005</v>
      </c>
      <c r="D3144" s="2429">
        <v>664.95000000000016</v>
      </c>
      <c r="E3144" s="2430">
        <v>1.9660859792771792</v>
      </c>
      <c r="F3144" s="2427">
        <v>1.7125622983457895</v>
      </c>
      <c r="G3144" s="2429">
        <v>1.5406326647729018E-2</v>
      </c>
      <c r="H3144" s="2430">
        <v>0.97708210523791239</v>
      </c>
      <c r="I3144" s="2427">
        <v>0.89191501393707484</v>
      </c>
      <c r="J3144" s="2431">
        <v>1.0289267721220458E-2</v>
      </c>
    </row>
    <row r="3145" spans="1:10" x14ac:dyDescent="0.2">
      <c r="A3145" s="2426" t="s">
        <v>971</v>
      </c>
      <c r="B3145" s="2427">
        <v>20</v>
      </c>
      <c r="C3145" s="2428">
        <v>3010000</v>
      </c>
      <c r="D3145" s="2429">
        <v>60.2</v>
      </c>
      <c r="E3145" s="2430">
        <v>0.1833180400258442</v>
      </c>
      <c r="F3145" s="2427">
        <v>0.15967946837722979</v>
      </c>
      <c r="G3145" s="2429">
        <v>1.4364873331215865E-3</v>
      </c>
      <c r="H3145" s="2430">
        <v>8.8458294210575703E-2</v>
      </c>
      <c r="I3145" s="2427">
        <v>8.0747851476068722E-2</v>
      </c>
      <c r="J3145" s="2431">
        <v>9.3151953803665159E-4</v>
      </c>
    </row>
    <row r="3146" spans="1:10" x14ac:dyDescent="0.2">
      <c r="A3146" s="2426" t="s">
        <v>972</v>
      </c>
      <c r="B3146" s="2427">
        <v>0</v>
      </c>
      <c r="C3146" s="2428">
        <v>2744000.0000000005</v>
      </c>
      <c r="D3146" s="2429">
        <v>0</v>
      </c>
      <c r="E3146" s="2430">
        <v>0</v>
      </c>
      <c r="F3146" s="2427">
        <v>0</v>
      </c>
      <c r="G3146" s="2429">
        <v>0</v>
      </c>
      <c r="H3146" s="2430">
        <v>0</v>
      </c>
      <c r="I3146" s="2427">
        <v>0</v>
      </c>
      <c r="J3146" s="2431">
        <v>0</v>
      </c>
    </row>
    <row r="3147" spans="1:10" x14ac:dyDescent="0.2">
      <c r="A3147" s="2426" t="s">
        <v>973</v>
      </c>
      <c r="B3147" s="2427">
        <v>52.5</v>
      </c>
      <c r="C3147" s="2428">
        <v>2549999.9999999991</v>
      </c>
      <c r="D3147" s="2429">
        <v>133.87499999999994</v>
      </c>
      <c r="E3147" s="2430">
        <v>0.48120985506784109</v>
      </c>
      <c r="F3147" s="2427">
        <v>0.41915860449022824</v>
      </c>
      <c r="G3147" s="2429">
        <v>3.7707792494441651E-3</v>
      </c>
      <c r="H3147" s="2430">
        <v>0.19671684613689067</v>
      </c>
      <c r="I3147" s="2427">
        <v>0.17957007668369926</v>
      </c>
      <c r="J3147" s="2431">
        <v>2.0715478098780179E-3</v>
      </c>
    </row>
    <row r="3148" spans="1:10" x14ac:dyDescent="0.2">
      <c r="A3148" s="2426" t="s">
        <v>974</v>
      </c>
      <c r="B3148" s="2427">
        <v>15</v>
      </c>
      <c r="C3148" s="2428">
        <v>1583999.9999999995</v>
      </c>
      <c r="D3148" s="2429">
        <v>23.759999999999991</v>
      </c>
      <c r="E3148" s="2430">
        <v>0.13748853001938316</v>
      </c>
      <c r="F3148" s="2427">
        <v>0.11975960128292236</v>
      </c>
      <c r="G3148" s="2429">
        <v>1.07736549984119E-3</v>
      </c>
      <c r="H3148" s="2430">
        <v>3.4913107482446477E-2</v>
      </c>
      <c r="I3148" s="2427">
        <v>3.1869916130754024E-2</v>
      </c>
      <c r="J3148" s="2431">
        <v>3.6765621634137592E-4</v>
      </c>
    </row>
    <row r="3149" spans="1:10" x14ac:dyDescent="0.2">
      <c r="A3149" s="2426" t="s">
        <v>975</v>
      </c>
      <c r="B3149" s="2427">
        <v>1.6</v>
      </c>
      <c r="C3149" s="2428">
        <v>2532000.0000000009</v>
      </c>
      <c r="D3149" s="2429">
        <v>4.0512000000000015</v>
      </c>
      <c r="E3149" s="2430">
        <v>1.4665443202067537E-2</v>
      </c>
      <c r="F3149" s="2427">
        <v>1.2774357470178384E-2</v>
      </c>
      <c r="G3149" s="2429">
        <v>1.1491898664972694E-4</v>
      </c>
      <c r="H3149" s="2430">
        <v>5.9528611545827982E-3</v>
      </c>
      <c r="I3149" s="2427">
        <v>5.433981659465942E-3</v>
      </c>
      <c r="J3149" s="2431">
        <v>6.2687241735782126E-5</v>
      </c>
    </row>
    <row r="3150" spans="1:10" x14ac:dyDescent="0.2">
      <c r="A3150" s="2426" t="s">
        <v>976</v>
      </c>
      <c r="B3150" s="2427">
        <v>39</v>
      </c>
      <c r="C3150" s="2428">
        <v>7394999.9999999991</v>
      </c>
      <c r="D3150" s="2429">
        <v>288.40499999999992</v>
      </c>
      <c r="E3150" s="2430">
        <v>0.35747017805039616</v>
      </c>
      <c r="F3150" s="2427">
        <v>0.31137496333559811</v>
      </c>
      <c r="G3150" s="2429">
        <v>2.8011502995870939E-3</v>
      </c>
      <c r="H3150" s="2430">
        <v>0.42378429139204449</v>
      </c>
      <c r="I3150" s="2427">
        <v>0.38684525091288358</v>
      </c>
      <c r="J3150" s="2431">
        <v>4.4627058532800733E-3</v>
      </c>
    </row>
    <row r="3151" spans="1:10" x14ac:dyDescent="0.2">
      <c r="A3151" s="2426" t="s">
        <v>286</v>
      </c>
      <c r="B3151" s="2427">
        <v>0</v>
      </c>
      <c r="C3151" s="2428">
        <v>2445000.0000000005</v>
      </c>
      <c r="D3151" s="2429">
        <v>0</v>
      </c>
      <c r="E3151" s="2430">
        <v>0</v>
      </c>
      <c r="F3151" s="2427">
        <v>0</v>
      </c>
      <c r="G3151" s="2429">
        <v>0</v>
      </c>
      <c r="H3151" s="2430">
        <v>0</v>
      </c>
      <c r="I3151" s="2427">
        <v>0</v>
      </c>
      <c r="J3151" s="2431">
        <v>0</v>
      </c>
    </row>
    <row r="3152" spans="1:10" x14ac:dyDescent="0.2">
      <c r="A3152" s="2439" t="s">
        <v>978</v>
      </c>
      <c r="B3152" s="2427">
        <v>84.5</v>
      </c>
      <c r="C3152" s="2428">
        <v>1850000.0000000002</v>
      </c>
      <c r="D3152" s="2429">
        <v>156.32500000000002</v>
      </c>
      <c r="E3152" s="2430">
        <v>0.77451871910919179</v>
      </c>
      <c r="F3152" s="2427">
        <v>0.67464575389379589</v>
      </c>
      <c r="G3152" s="2429">
        <v>6.069158982438704E-3</v>
      </c>
      <c r="H3152" s="2430">
        <v>0.22970503060578484</v>
      </c>
      <c r="I3152" s="2427">
        <v>0.20968285518266519</v>
      </c>
      <c r="J3152" s="2431">
        <v>2.4189334183318863E-3</v>
      </c>
    </row>
    <row r="3153" spans="1:10" x14ac:dyDescent="0.2">
      <c r="A3153" s="2426" t="s">
        <v>1163</v>
      </c>
      <c r="B3153" s="2427">
        <v>0</v>
      </c>
      <c r="C3153" s="2428">
        <v>0</v>
      </c>
      <c r="D3153" s="2429">
        <v>0</v>
      </c>
      <c r="E3153" s="2430">
        <v>0</v>
      </c>
      <c r="F3153" s="2427">
        <v>0</v>
      </c>
      <c r="G3153" s="2429">
        <v>0</v>
      </c>
      <c r="H3153" s="2430">
        <v>0</v>
      </c>
      <c r="I3153" s="2427">
        <v>0</v>
      </c>
      <c r="J3153" s="2431">
        <v>0</v>
      </c>
    </row>
    <row r="3154" spans="1:10" x14ac:dyDescent="0.2">
      <c r="A3154" s="2433" t="s">
        <v>287</v>
      </c>
      <c r="B3154" s="2434">
        <v>1883.55</v>
      </c>
      <c r="C3154" s="2433"/>
      <c r="D3154" s="2435">
        <v>5551.0911999999998</v>
      </c>
      <c r="E3154" s="2436">
        <v>17.264434714533941</v>
      </c>
      <c r="F3154" s="2434">
        <v>15.038213133096558</v>
      </c>
      <c r="G3154" s="2435">
        <v>0.13528478581505821</v>
      </c>
      <c r="H3154" s="2436">
        <v>8.1568116039757097</v>
      </c>
      <c r="I3154" s="2434">
        <v>7.4458253778689709</v>
      </c>
      <c r="J3154" s="2437">
        <v>8.5896177910686392E-2</v>
      </c>
    </row>
    <row r="3155" spans="1:10" x14ac:dyDescent="0.2">
      <c r="A3155" s="2440" t="s">
        <v>1835</v>
      </c>
      <c r="B3155" s="2441">
        <v>10053.950999999999</v>
      </c>
      <c r="C3155" s="2440"/>
      <c r="D3155" s="2442">
        <v>66013.407471269602</v>
      </c>
      <c r="E3155" s="2443">
        <v>92.153529591793813</v>
      </c>
      <c r="F3155" s="2441">
        <v>80.270477538535886</v>
      </c>
      <c r="G3155" s="2442">
        <v>0.72211866296625538</v>
      </c>
      <c r="H3155" s="2443">
        <v>97.000555148441563</v>
      </c>
      <c r="I3155" s="2441">
        <v>88.545528603310359</v>
      </c>
      <c r="J3155" s="2444">
        <v>1.0214747314262842</v>
      </c>
    </row>
    <row r="3156" spans="1:10" x14ac:dyDescent="0.2">
      <c r="A3156" s="2445" t="s">
        <v>194</v>
      </c>
      <c r="B3156" s="2446">
        <v>10910.000999999998</v>
      </c>
      <c r="C3156" s="2447"/>
      <c r="D3156" s="2448">
        <v>68054.669759619603</v>
      </c>
      <c r="E3156" s="2449">
        <v>100.00000000000001</v>
      </c>
      <c r="F3156" s="2446">
        <v>87.105157983752264</v>
      </c>
      <c r="G3156" s="2448">
        <v>0.78360391204219204</v>
      </c>
      <c r="H3156" s="2449">
        <v>99.999999999999986</v>
      </c>
      <c r="I3156" s="2446">
        <v>91.283527674462945</v>
      </c>
      <c r="J3156" s="2450">
        <v>1.0530607065733844</v>
      </c>
    </row>
    <row r="3157" spans="1:10" x14ac:dyDescent="0.2">
      <c r="A3157" s="2451" t="s">
        <v>1852</v>
      </c>
      <c r="B3157" s="2427"/>
      <c r="C3157" s="2452"/>
      <c r="D3157" s="2429"/>
      <c r="E3157" s="2430"/>
      <c r="F3157" s="2427">
        <v>0</v>
      </c>
      <c r="G3157" s="2429"/>
      <c r="H3157" s="2430"/>
      <c r="I3157" s="2427">
        <v>0</v>
      </c>
      <c r="J3157" s="2431">
        <v>0</v>
      </c>
    </row>
    <row r="3158" spans="1:10" x14ac:dyDescent="0.2">
      <c r="A3158" s="2453" t="s">
        <v>1836</v>
      </c>
      <c r="B3158" s="2427">
        <v>0</v>
      </c>
      <c r="C3158" s="2428">
        <v>8033612.4975057133</v>
      </c>
      <c r="D3158" s="2429">
        <v>0</v>
      </c>
      <c r="E3158" s="2430">
        <v>0</v>
      </c>
      <c r="F3158" s="2427">
        <v>0</v>
      </c>
      <c r="G3158" s="2429">
        <v>0</v>
      </c>
      <c r="H3158" s="2430">
        <v>0</v>
      </c>
      <c r="I3158" s="2427">
        <v>0</v>
      </c>
      <c r="J3158" s="2431">
        <v>0</v>
      </c>
    </row>
    <row r="3159" spans="1:10" x14ac:dyDescent="0.2">
      <c r="A3159" s="2453" t="s">
        <v>1837</v>
      </c>
      <c r="B3159" s="2427">
        <v>1173.8399999999999</v>
      </c>
      <c r="C3159" s="2428">
        <v>2214764.1578067578</v>
      </c>
      <c r="D3159" s="2429">
        <v>2599.7787589998848</v>
      </c>
      <c r="E3159" s="2430">
        <v>77.707344702483297</v>
      </c>
      <c r="F3159" s="2427">
        <v>9.3719073579963705</v>
      </c>
      <c r="G3159" s="2429">
        <v>8.4310314555572155E-2</v>
      </c>
      <c r="H3159" s="2430">
        <v>51.588055611346185</v>
      </c>
      <c r="I3159" s="2427">
        <v>3.4871519784445337</v>
      </c>
      <c r="J3159" s="2431">
        <v>4.0228317418290228E-2</v>
      </c>
    </row>
    <row r="3160" spans="1:10" x14ac:dyDescent="0.2">
      <c r="A3160" s="2454" t="s">
        <v>309</v>
      </c>
      <c r="B3160" s="2434">
        <v>1173.8399999999999</v>
      </c>
      <c r="C3160" s="2433"/>
      <c r="D3160" s="2435">
        <v>2599.7787589998848</v>
      </c>
      <c r="E3160" s="2436">
        <v>77.707344702483297</v>
      </c>
      <c r="F3160" s="2434">
        <v>9.3719073579963705</v>
      </c>
      <c r="G3160" s="2435">
        <v>8.4310314555572155E-2</v>
      </c>
      <c r="H3160" s="2436">
        <v>51.588055611346185</v>
      </c>
      <c r="I3160" s="2434">
        <v>3.4871519784445337</v>
      </c>
      <c r="J3160" s="2437">
        <v>4.0228317418290228E-2</v>
      </c>
    </row>
    <row r="3161" spans="1:10" x14ac:dyDescent="0.2">
      <c r="A3161" s="2453" t="s">
        <v>1838</v>
      </c>
      <c r="B3161" s="2427">
        <v>0</v>
      </c>
      <c r="C3161" s="2428">
        <v>10407427.50198495</v>
      </c>
      <c r="D3161" s="2429">
        <v>0</v>
      </c>
      <c r="E3161" s="2430">
        <v>0</v>
      </c>
      <c r="F3161" s="2427">
        <v>0</v>
      </c>
      <c r="G3161" s="2429">
        <v>0</v>
      </c>
      <c r="H3161" s="2430">
        <v>0</v>
      </c>
      <c r="I3161" s="2427">
        <v>0</v>
      </c>
      <c r="J3161" s="2431">
        <v>0</v>
      </c>
    </row>
    <row r="3162" spans="1:10" x14ac:dyDescent="0.2">
      <c r="A3162" s="2454" t="s">
        <v>315</v>
      </c>
      <c r="B3162" s="2434">
        <v>0</v>
      </c>
      <c r="C3162" s="2455"/>
      <c r="D3162" s="2435">
        <v>0</v>
      </c>
      <c r="E3162" s="2436">
        <v>0</v>
      </c>
      <c r="F3162" s="2434">
        <v>0</v>
      </c>
      <c r="G3162" s="2435">
        <v>0</v>
      </c>
      <c r="H3162" s="2436">
        <v>0</v>
      </c>
      <c r="I3162" s="2434">
        <v>0</v>
      </c>
      <c r="J3162" s="2437">
        <v>0</v>
      </c>
    </row>
    <row r="3163" spans="1:10" x14ac:dyDescent="0.2">
      <c r="A3163" s="2453" t="s">
        <v>1541</v>
      </c>
      <c r="B3163" s="2427">
        <v>8.5007999999999999</v>
      </c>
      <c r="C3163" s="2428">
        <v>10553660</v>
      </c>
      <c r="D3163" s="2429">
        <v>89.714552928000003</v>
      </c>
      <c r="E3163" s="2430">
        <v>0.5627467081091716</v>
      </c>
      <c r="F3163" s="2427">
        <v>6.7870161239057758E-2</v>
      </c>
      <c r="G3163" s="2429">
        <v>6.1056457606999918E-4</v>
      </c>
      <c r="H3163" s="2430">
        <v>1.7802281557901325</v>
      </c>
      <c r="I3163" s="2427">
        <v>0.12033650157926995</v>
      </c>
      <c r="J3163" s="2431">
        <v>1.3882202474859683E-3</v>
      </c>
    </row>
    <row r="3164" spans="1:10" x14ac:dyDescent="0.2">
      <c r="A3164" s="2453" t="s">
        <v>206</v>
      </c>
      <c r="B3164" s="2427">
        <v>326.25</v>
      </c>
      <c r="C3164" s="2428">
        <v>6960000</v>
      </c>
      <c r="D3164" s="2429">
        <v>2270.6999999999998</v>
      </c>
      <c r="E3164" s="2430">
        <v>21.597510060302234</v>
      </c>
      <c r="F3164" s="2427">
        <v>2.6047713279035611</v>
      </c>
      <c r="G3164" s="2429">
        <v>2.3432699621545882E-2</v>
      </c>
      <c r="H3164" s="2430">
        <v>45.058064064554095</v>
      </c>
      <c r="I3164" s="2427">
        <v>3.0457499393141068</v>
      </c>
      <c r="J3164" s="2431">
        <v>3.5136236129897414E-2</v>
      </c>
    </row>
    <row r="3165" spans="1:10" x14ac:dyDescent="0.2">
      <c r="A3165" s="2454" t="s">
        <v>310</v>
      </c>
      <c r="B3165" s="2434">
        <v>334.75080000000003</v>
      </c>
      <c r="C3165" s="2455"/>
      <c r="D3165" s="2435">
        <v>2360.4145529279999</v>
      </c>
      <c r="E3165" s="2436">
        <v>22.160256768411408</v>
      </c>
      <c r="F3165" s="2434">
        <v>2.6726414891426189</v>
      </c>
      <c r="G3165" s="2435">
        <v>2.4043264197615884E-2</v>
      </c>
      <c r="H3165" s="2436">
        <v>46.838292220344236</v>
      </c>
      <c r="I3165" s="2434">
        <v>3.1660864408933764</v>
      </c>
      <c r="J3165" s="2437">
        <v>3.6524456377383385E-2</v>
      </c>
    </row>
    <row r="3166" spans="1:10" x14ac:dyDescent="0.2">
      <c r="A3166" s="2453" t="s">
        <v>1839</v>
      </c>
      <c r="B3166" s="2427">
        <v>2</v>
      </c>
      <c r="C3166" s="2428">
        <v>39652080.629353955</v>
      </c>
      <c r="D3166" s="2429">
        <v>79.304161258707907</v>
      </c>
      <c r="E3166" s="2430">
        <v>0.13239852910530106</v>
      </c>
      <c r="F3166" s="2427">
        <v>1.5967946837722978E-2</v>
      </c>
      <c r="G3166" s="2429">
        <v>1.4364873331215865E-4</v>
      </c>
      <c r="H3166" s="2430">
        <v>1.5736521683095921</v>
      </c>
      <c r="I3166" s="2427">
        <v>0.10637276801914201</v>
      </c>
      <c r="J3166" s="2431">
        <v>1.2271324860481014E-3</v>
      </c>
    </row>
    <row r="3167" spans="1:10" x14ac:dyDescent="0.2">
      <c r="A3167" s="2454" t="s">
        <v>311</v>
      </c>
      <c r="B3167" s="2434">
        <v>2</v>
      </c>
      <c r="C3167" s="2433"/>
      <c r="D3167" s="2435">
        <v>79.304161258707907</v>
      </c>
      <c r="E3167" s="2436">
        <v>0.13239852910530106</v>
      </c>
      <c r="F3167" s="2434">
        <v>1.5967946837722978E-2</v>
      </c>
      <c r="G3167" s="2435">
        <v>1.4364873331215865E-4</v>
      </c>
      <c r="H3167" s="2436">
        <v>1.5736521683095921</v>
      </c>
      <c r="I3167" s="2434">
        <v>0.10637276801914201</v>
      </c>
      <c r="J3167" s="2437">
        <v>1.2271324860481014E-3</v>
      </c>
    </row>
    <row r="3168" spans="1:10" x14ac:dyDescent="0.2">
      <c r="A3168" s="2445" t="s">
        <v>129</v>
      </c>
      <c r="B3168" s="2446">
        <v>1510.5907999999999</v>
      </c>
      <c r="C3168" s="2447"/>
      <c r="D3168" s="2448">
        <v>5039.4974731865923</v>
      </c>
      <c r="E3168" s="2449">
        <v>100</v>
      </c>
      <c r="F3168" s="2446">
        <v>12.060516793976712</v>
      </c>
      <c r="G3168" s="2448">
        <v>0.10849722748650019</v>
      </c>
      <c r="H3168" s="2449">
        <v>100.00000000000001</v>
      </c>
      <c r="I3168" s="2446">
        <v>6.7596111873570521</v>
      </c>
      <c r="J3168" s="2450">
        <v>7.7979906281721717E-2</v>
      </c>
    </row>
    <row r="3169" spans="1:10" x14ac:dyDescent="0.2">
      <c r="A3169" s="2451" t="s">
        <v>1853</v>
      </c>
      <c r="B3169" s="2427"/>
      <c r="C3169" s="2452"/>
      <c r="D3169" s="2429"/>
      <c r="E3169" s="2430"/>
      <c r="F3169" s="2427">
        <v>0</v>
      </c>
      <c r="G3169" s="2429"/>
      <c r="H3169" s="2430"/>
      <c r="I3169" s="2427">
        <v>0</v>
      </c>
      <c r="J3169" s="2431">
        <v>0</v>
      </c>
    </row>
    <row r="3170" spans="1:10" x14ac:dyDescent="0.2">
      <c r="A3170" s="2426" t="s">
        <v>1543</v>
      </c>
      <c r="B3170" s="2427">
        <v>89.5</v>
      </c>
      <c r="C3170" s="2428">
        <v>13200000</v>
      </c>
      <c r="D3170" s="2429">
        <v>1181.4000000000001</v>
      </c>
      <c r="E3170" s="2430">
        <v>85.645933014354071</v>
      </c>
      <c r="F3170" s="2427">
        <v>0.71456562098810339</v>
      </c>
      <c r="G3170" s="2429">
        <v>6.4282808157191005E-3</v>
      </c>
      <c r="H3170" s="2430">
        <v>80.978819658646927</v>
      </c>
      <c r="I3170" s="2427">
        <v>1.5846430520569368</v>
      </c>
      <c r="J3170" s="2431">
        <v>1.8280684090307312E-2</v>
      </c>
    </row>
    <row r="3171" spans="1:10" x14ac:dyDescent="0.2">
      <c r="A3171" s="2426" t="s">
        <v>208</v>
      </c>
      <c r="B3171" s="2427">
        <v>0</v>
      </c>
      <c r="C3171" s="2428">
        <v>10000000</v>
      </c>
      <c r="D3171" s="2429">
        <v>0</v>
      </c>
      <c r="E3171" s="2430">
        <v>0</v>
      </c>
      <c r="F3171" s="2427">
        <v>0</v>
      </c>
      <c r="G3171" s="2429">
        <v>0</v>
      </c>
      <c r="H3171" s="2430">
        <v>0</v>
      </c>
      <c r="I3171" s="2427">
        <v>0</v>
      </c>
      <c r="J3171" s="2431">
        <v>0</v>
      </c>
    </row>
    <row r="3172" spans="1:10" x14ac:dyDescent="0.2">
      <c r="A3172" s="2426" t="s">
        <v>209</v>
      </c>
      <c r="B3172" s="2427">
        <v>0</v>
      </c>
      <c r="C3172" s="2428">
        <v>10000000</v>
      </c>
      <c r="D3172" s="2429">
        <v>0</v>
      </c>
      <c r="E3172" s="2430">
        <v>0</v>
      </c>
      <c r="F3172" s="2427">
        <v>0</v>
      </c>
      <c r="G3172" s="2429">
        <v>0</v>
      </c>
      <c r="H3172" s="2430">
        <v>0</v>
      </c>
      <c r="I3172" s="2427">
        <v>0</v>
      </c>
      <c r="J3172" s="2431">
        <v>0</v>
      </c>
    </row>
    <row r="3173" spans="1:10" x14ac:dyDescent="0.2">
      <c r="A3173" s="2426" t="s">
        <v>210</v>
      </c>
      <c r="B3173" s="2427">
        <v>15</v>
      </c>
      <c r="C3173" s="2428">
        <v>18500000</v>
      </c>
      <c r="D3173" s="2429">
        <v>277.5</v>
      </c>
      <c r="E3173" s="2430">
        <v>14.354066985645932</v>
      </c>
      <c r="F3173" s="2427">
        <v>0.11975960128292236</v>
      </c>
      <c r="G3173" s="2429">
        <v>1.07736549984119E-3</v>
      </c>
      <c r="H3173" s="2430">
        <v>19.021180341353073</v>
      </c>
      <c r="I3173" s="2427">
        <v>0.37221808612307422</v>
      </c>
      <c r="J3173" s="2431">
        <v>4.2939646479264251E-3</v>
      </c>
    </row>
    <row r="3174" spans="1:10" x14ac:dyDescent="0.2">
      <c r="A3174" s="2426" t="s">
        <v>1545</v>
      </c>
      <c r="B3174" s="2427">
        <v>0</v>
      </c>
      <c r="C3174" s="2428">
        <v>14200000</v>
      </c>
      <c r="D3174" s="2429">
        <v>0</v>
      </c>
      <c r="E3174" s="2430">
        <v>0</v>
      </c>
      <c r="F3174" s="2427">
        <v>0</v>
      </c>
      <c r="G3174" s="2429">
        <v>0</v>
      </c>
      <c r="H3174" s="2430">
        <v>0</v>
      </c>
      <c r="I3174" s="2427">
        <v>0</v>
      </c>
      <c r="J3174" s="2431">
        <v>0</v>
      </c>
    </row>
    <row r="3175" spans="1:10" x14ac:dyDescent="0.2">
      <c r="A3175" s="2426" t="s">
        <v>1546</v>
      </c>
      <c r="B3175" s="2427">
        <v>0</v>
      </c>
      <c r="C3175" s="2428">
        <v>10000000</v>
      </c>
      <c r="D3175" s="2429">
        <v>0</v>
      </c>
      <c r="E3175" s="2430">
        <v>0</v>
      </c>
      <c r="F3175" s="2427">
        <v>0</v>
      </c>
      <c r="G3175" s="2429">
        <v>0</v>
      </c>
      <c r="H3175" s="2430">
        <v>0</v>
      </c>
      <c r="I3175" s="2427">
        <v>0</v>
      </c>
      <c r="J3175" s="2431">
        <v>0</v>
      </c>
    </row>
    <row r="3176" spans="1:10" x14ac:dyDescent="0.2">
      <c r="A3176" s="2445" t="s">
        <v>121</v>
      </c>
      <c r="B3176" s="2446">
        <v>104.5</v>
      </c>
      <c r="C3176" s="2447"/>
      <c r="D3176" s="2448">
        <v>1458.9</v>
      </c>
      <c r="E3176" s="2449">
        <v>100</v>
      </c>
      <c r="F3176" s="2446">
        <v>0.83432522227102568</v>
      </c>
      <c r="G3176" s="2448">
        <v>7.5056463155602909E-3</v>
      </c>
      <c r="H3176" s="2449">
        <v>100</v>
      </c>
      <c r="I3176" s="2446">
        <v>1.956861138180011</v>
      </c>
      <c r="J3176" s="2450">
        <v>2.2574648738233737E-2</v>
      </c>
    </row>
    <row r="3177" spans="1:10" ht="14.25" thickBot="1" x14ac:dyDescent="0.25">
      <c r="A3177" s="2457" t="s">
        <v>1840</v>
      </c>
      <c r="B3177" s="2446">
        <v>12525.091799999998</v>
      </c>
      <c r="C3177" s="2458"/>
      <c r="D3177" s="2448">
        <v>74553.067232806192</v>
      </c>
      <c r="E3177" s="2459"/>
      <c r="F3177" s="2460">
        <v>100</v>
      </c>
      <c r="G3177" s="2461">
        <v>0.89960678584425247</v>
      </c>
      <c r="H3177" s="2462"/>
      <c r="I3177" s="2460">
        <v>100.00000000000001</v>
      </c>
      <c r="J3177" s="2463">
        <v>1.1536152615933397</v>
      </c>
    </row>
    <row r="3178" spans="1:10" ht="15" thickBot="1" x14ac:dyDescent="0.25">
      <c r="A3178" s="2464" t="s">
        <v>1841</v>
      </c>
      <c r="B3178" s="2465">
        <v>1392285.1624830281</v>
      </c>
      <c r="C3178" s="2466"/>
      <c r="D3178" s="2467">
        <v>6462559.0276810033</v>
      </c>
      <c r="E3178" s="2468"/>
      <c r="F3178" s="2469"/>
      <c r="G3178" s="2469"/>
      <c r="H3178" s="2469"/>
      <c r="I3178" s="2469"/>
      <c r="J3178" s="2469"/>
    </row>
    <row r="3179" spans="1:10" ht="16.5" thickBot="1" x14ac:dyDescent="0.3">
      <c r="A3179" s="2470" t="s">
        <v>1842</v>
      </c>
      <c r="B3179" s="2471">
        <v>0.89960678584425258</v>
      </c>
      <c r="C3179" s="2472"/>
      <c r="D3179" s="2473">
        <v>1.1536152615933395</v>
      </c>
      <c r="E3179" s="2468"/>
      <c r="F3179" s="2469"/>
      <c r="G3179" s="2469"/>
      <c r="H3179" s="2469"/>
      <c r="I3179" s="2469"/>
      <c r="J3179" s="2469"/>
    </row>
    <row r="3180" spans="1:10" x14ac:dyDescent="0.2">
      <c r="A3180" s="2474" t="s">
        <v>2023</v>
      </c>
      <c r="B3180" s="2474"/>
      <c r="C3180" s="2474"/>
      <c r="D3180" s="2475"/>
      <c r="E3180" s="2474"/>
      <c r="F3180" s="2474"/>
      <c r="H3180" s="2474"/>
      <c r="I3180" s="2474"/>
      <c r="J3180" s="2474"/>
    </row>
    <row r="3181" spans="1:10" x14ac:dyDescent="0.2">
      <c r="A3181" s="2474" t="s">
        <v>1843</v>
      </c>
      <c r="B3181" s="2474"/>
      <c r="C3181" s="2474"/>
      <c r="D3181" s="2474"/>
      <c r="E3181" s="2474"/>
      <c r="F3181" s="2474"/>
      <c r="G3181" s="2474"/>
      <c r="H3181" s="2474"/>
      <c r="I3181" s="2474"/>
      <c r="J3181" s="2474"/>
    </row>
    <row r="3182" spans="1:10" x14ac:dyDescent="0.2">
      <c r="A3182" s="2474" t="s">
        <v>2024</v>
      </c>
      <c r="B3182" s="2474"/>
      <c r="C3182" s="2474"/>
      <c r="D3182" s="2474"/>
      <c r="E3182" s="2474"/>
      <c r="F3182" s="2474"/>
      <c r="G3182" s="2474"/>
      <c r="H3182" s="2474"/>
      <c r="I3182" s="2474"/>
      <c r="J3182" s="2474"/>
    </row>
    <row r="3186" spans="1:10" ht="13.5" thickBot="1" x14ac:dyDescent="0.25">
      <c r="A3186" s="3321" t="s">
        <v>2021</v>
      </c>
      <c r="B3186" s="3321"/>
      <c r="C3186" s="3321"/>
      <c r="D3186" s="3321"/>
      <c r="E3186" s="3321"/>
      <c r="F3186" s="3321"/>
      <c r="G3186" s="3321"/>
      <c r="H3186" s="3321"/>
      <c r="I3186" s="3321"/>
      <c r="J3186" s="3321"/>
    </row>
    <row r="3187" spans="1:10" ht="13.5" customHeight="1" thickBot="1" x14ac:dyDescent="0.25">
      <c r="A3187" s="3322" t="s">
        <v>941</v>
      </c>
      <c r="B3187" s="3324" t="s">
        <v>1272</v>
      </c>
      <c r="C3187" s="3324" t="s">
        <v>1832</v>
      </c>
      <c r="D3187" s="3326" t="s">
        <v>1844</v>
      </c>
      <c r="E3187" s="3328" t="s">
        <v>1849</v>
      </c>
      <c r="F3187" s="3329"/>
      <c r="G3187" s="3330"/>
      <c r="H3187" s="3328" t="s">
        <v>1850</v>
      </c>
      <c r="I3187" s="3329"/>
      <c r="J3187" s="3331"/>
    </row>
    <row r="3188" spans="1:10" ht="13.5" customHeight="1" thickBot="1" x14ac:dyDescent="0.25">
      <c r="A3188" s="3323"/>
      <c r="B3188" s="3325"/>
      <c r="C3188" s="3325"/>
      <c r="D3188" s="3327"/>
      <c r="E3188" s="2415" t="s">
        <v>1848</v>
      </c>
      <c r="F3188" s="2416" t="s">
        <v>1231</v>
      </c>
      <c r="G3188" s="2417" t="s">
        <v>1833</v>
      </c>
      <c r="H3188" s="2415" t="s">
        <v>1848</v>
      </c>
      <c r="I3188" s="2416" t="s">
        <v>1231</v>
      </c>
      <c r="J3188" s="2418" t="s">
        <v>1833</v>
      </c>
    </row>
    <row r="3189" spans="1:10" x14ac:dyDescent="0.2">
      <c r="A3189" s="2419" t="s">
        <v>1851</v>
      </c>
      <c r="B3189" s="2420"/>
      <c r="C3189" s="2420"/>
      <c r="D3189" s="2421"/>
      <c r="E3189" s="2422"/>
      <c r="F3189" s="2423"/>
      <c r="G3189" s="2424"/>
      <c r="H3189" s="2422"/>
      <c r="I3189" s="2423"/>
      <c r="J3189" s="2425"/>
    </row>
    <row r="3190" spans="1:10" x14ac:dyDescent="0.2">
      <c r="A3190" s="2426" t="s">
        <v>410</v>
      </c>
      <c r="B3190" s="2427">
        <v>0</v>
      </c>
      <c r="C3190" s="2428">
        <v>5667200.0000000009</v>
      </c>
      <c r="D3190" s="2429">
        <v>0</v>
      </c>
      <c r="E3190" s="2430">
        <v>0</v>
      </c>
      <c r="F3190" s="2427">
        <v>0</v>
      </c>
      <c r="G3190" s="2429">
        <v>0</v>
      </c>
      <c r="H3190" s="2430">
        <v>0</v>
      </c>
      <c r="I3190" s="2427">
        <v>0</v>
      </c>
      <c r="J3190" s="2431">
        <v>0</v>
      </c>
    </row>
    <row r="3191" spans="1:10" x14ac:dyDescent="0.2">
      <c r="A3191" s="2426" t="s">
        <v>411</v>
      </c>
      <c r="B3191" s="2427">
        <v>0</v>
      </c>
      <c r="C3191" s="2428">
        <v>1753716.5000000002</v>
      </c>
      <c r="D3191" s="2429">
        <v>0</v>
      </c>
      <c r="E3191" s="2430">
        <v>0</v>
      </c>
      <c r="F3191" s="2427">
        <v>0</v>
      </c>
      <c r="G3191" s="2429">
        <v>0</v>
      </c>
      <c r="H3191" s="2430">
        <v>0</v>
      </c>
      <c r="I3191" s="2427">
        <v>0</v>
      </c>
      <c r="J3191" s="2431">
        <v>0</v>
      </c>
    </row>
    <row r="3192" spans="1:10" x14ac:dyDescent="0.2">
      <c r="A3192" s="2426" t="s">
        <v>278</v>
      </c>
      <c r="B3192" s="2427">
        <v>5306.2</v>
      </c>
      <c r="C3192" s="2428">
        <v>1637875</v>
      </c>
      <c r="D3192" s="2429">
        <v>8690.8923250000007</v>
      </c>
      <c r="E3192" s="2430">
        <v>7.1138105927752733</v>
      </c>
      <c r="F3192" s="2427">
        <v>6.8576264878750335</v>
      </c>
      <c r="G3192" s="2429">
        <v>0.38111445435048813</v>
      </c>
      <c r="H3192" s="2430">
        <v>3.8552799194113807</v>
      </c>
      <c r="I3192" s="2427">
        <v>3.6703272815241057</v>
      </c>
      <c r="J3192" s="2431">
        <v>0.1344806645134598</v>
      </c>
    </row>
    <row r="3193" spans="1:10" x14ac:dyDescent="0.2">
      <c r="A3193" s="2426" t="s">
        <v>200</v>
      </c>
      <c r="B3193" s="2427">
        <v>1547</v>
      </c>
      <c r="C3193" s="2428">
        <v>7709114.5</v>
      </c>
      <c r="D3193" s="2429">
        <v>11926.000131500001</v>
      </c>
      <c r="E3193" s="2430">
        <v>2.0740011659988973</v>
      </c>
      <c r="F3193" s="2427">
        <v>1.9993117818293085</v>
      </c>
      <c r="G3193" s="2429">
        <v>0.11111229521695472</v>
      </c>
      <c r="H3193" s="2430">
        <v>5.2903737736584411</v>
      </c>
      <c r="I3193" s="2427">
        <v>5.0365741520223617</v>
      </c>
      <c r="J3193" s="2431">
        <v>0.18453990254352037</v>
      </c>
    </row>
    <row r="3194" spans="1:10" x14ac:dyDescent="0.2">
      <c r="A3194" s="2426" t="s">
        <v>429</v>
      </c>
      <c r="B3194" s="2427">
        <v>0</v>
      </c>
      <c r="C3194" s="2428">
        <v>1255000</v>
      </c>
      <c r="D3194" s="2429">
        <v>0</v>
      </c>
      <c r="E3194" s="2430">
        <v>0</v>
      </c>
      <c r="F3194" s="2427">
        <v>0</v>
      </c>
      <c r="G3194" s="2429">
        <v>0</v>
      </c>
      <c r="H3194" s="2430">
        <v>0</v>
      </c>
      <c r="I3194" s="2427">
        <v>0</v>
      </c>
      <c r="J3194" s="2431">
        <v>0</v>
      </c>
    </row>
    <row r="3195" spans="1:10" x14ac:dyDescent="0.2">
      <c r="A3195" s="2432" t="s">
        <v>431</v>
      </c>
      <c r="B3195" s="2427">
        <v>0</v>
      </c>
      <c r="C3195" s="2428">
        <v>0</v>
      </c>
      <c r="D3195" s="2429">
        <v>0</v>
      </c>
      <c r="E3195" s="2430">
        <v>0</v>
      </c>
      <c r="F3195" s="2427">
        <v>0</v>
      </c>
      <c r="G3195" s="2429">
        <v>0</v>
      </c>
      <c r="H3195" s="2430">
        <v>0</v>
      </c>
      <c r="I3195" s="2427">
        <v>0</v>
      </c>
      <c r="J3195" s="2431">
        <v>0</v>
      </c>
    </row>
    <row r="3196" spans="1:10" x14ac:dyDescent="0.2">
      <c r="A3196" s="2432" t="s">
        <v>430</v>
      </c>
      <c r="B3196" s="2427">
        <v>0</v>
      </c>
      <c r="C3196" s="2428">
        <v>0</v>
      </c>
      <c r="D3196" s="2429">
        <v>0</v>
      </c>
      <c r="E3196" s="2430">
        <v>0</v>
      </c>
      <c r="F3196" s="2427">
        <v>0</v>
      </c>
      <c r="G3196" s="2429">
        <v>0</v>
      </c>
      <c r="H3196" s="2430">
        <v>0</v>
      </c>
      <c r="I3196" s="2427">
        <v>0</v>
      </c>
      <c r="J3196" s="2431">
        <v>0</v>
      </c>
    </row>
    <row r="3197" spans="1:10" x14ac:dyDescent="0.2">
      <c r="A3197" s="2433" t="s">
        <v>279</v>
      </c>
      <c r="B3197" s="2434">
        <v>6853.2</v>
      </c>
      <c r="C3197" s="2433"/>
      <c r="D3197" s="2435">
        <v>20616.892456500002</v>
      </c>
      <c r="E3197" s="2436">
        <v>9.1878117587741706</v>
      </c>
      <c r="F3197" s="2434">
        <v>8.8569382697043419</v>
      </c>
      <c r="G3197" s="2435">
        <v>0.49222674956744289</v>
      </c>
      <c r="H3197" s="2436">
        <v>9.1456536930698213</v>
      </c>
      <c r="I3197" s="2434">
        <v>8.7069014335464665</v>
      </c>
      <c r="J3197" s="2437">
        <v>0.31902056705698018</v>
      </c>
    </row>
    <row r="3198" spans="1:10" x14ac:dyDescent="0.2">
      <c r="A3198" s="2438" t="s">
        <v>412</v>
      </c>
      <c r="B3198" s="2427">
        <v>341</v>
      </c>
      <c r="C3198" s="2428">
        <v>4129499.9999999995</v>
      </c>
      <c r="D3198" s="2429">
        <v>1408.1594999999998</v>
      </c>
      <c r="E3198" s="2430">
        <v>0.45716509218204526</v>
      </c>
      <c r="F3198" s="2427">
        <v>0.44070156276909778</v>
      </c>
      <c r="G3198" s="2429">
        <v>2.4492109029723052E-2</v>
      </c>
      <c r="H3198" s="2430">
        <v>0.6246595678169754</v>
      </c>
      <c r="I3198" s="2427">
        <v>0.59469224060227233</v>
      </c>
      <c r="J3198" s="2431">
        <v>2.1789503105015314E-2</v>
      </c>
    </row>
    <row r="3199" spans="1:10" x14ac:dyDescent="0.2">
      <c r="A3199" s="2438" t="s">
        <v>413</v>
      </c>
      <c r="B3199" s="2427">
        <v>0</v>
      </c>
      <c r="C3199" s="2428">
        <v>1200000</v>
      </c>
      <c r="D3199" s="2429">
        <v>0</v>
      </c>
      <c r="E3199" s="2430">
        <v>0</v>
      </c>
      <c r="F3199" s="2427">
        <v>0</v>
      </c>
      <c r="G3199" s="2429">
        <v>0</v>
      </c>
      <c r="H3199" s="2430">
        <v>0</v>
      </c>
      <c r="I3199" s="2427">
        <v>0</v>
      </c>
      <c r="J3199" s="2431">
        <v>0</v>
      </c>
    </row>
    <row r="3200" spans="1:10" x14ac:dyDescent="0.2">
      <c r="A3200" s="2426" t="s">
        <v>90</v>
      </c>
      <c r="B3200" s="2427">
        <v>0</v>
      </c>
      <c r="C3200" s="2428">
        <v>1743000</v>
      </c>
      <c r="D3200" s="2429">
        <v>0</v>
      </c>
      <c r="E3200" s="2430">
        <v>0</v>
      </c>
      <c r="F3200" s="2427">
        <v>0</v>
      </c>
      <c r="G3200" s="2429">
        <v>0</v>
      </c>
      <c r="H3200" s="2430">
        <v>0</v>
      </c>
      <c r="I3200" s="2427">
        <v>0</v>
      </c>
      <c r="J3200" s="2431">
        <v>0</v>
      </c>
    </row>
    <row r="3201" spans="1:10" x14ac:dyDescent="0.2">
      <c r="A3201" s="2426" t="s">
        <v>417</v>
      </c>
      <c r="B3201" s="2427">
        <v>160</v>
      </c>
      <c r="C3201" s="2428">
        <v>2563999.9999999995</v>
      </c>
      <c r="D3201" s="2429">
        <v>410.23999999999995</v>
      </c>
      <c r="E3201" s="2430">
        <v>0.21450561510007984</v>
      </c>
      <c r="F3201" s="2427">
        <v>0.20678079191511914</v>
      </c>
      <c r="G3201" s="2429">
        <v>1.1491898664972692E-2</v>
      </c>
      <c r="H3201" s="2430">
        <v>0.18198246796704209</v>
      </c>
      <c r="I3201" s="2427">
        <v>0.17325206752834194</v>
      </c>
      <c r="J3201" s="2431">
        <v>6.3479497555507629E-3</v>
      </c>
    </row>
    <row r="3202" spans="1:10" x14ac:dyDescent="0.2">
      <c r="A3202" s="2426" t="s">
        <v>418</v>
      </c>
      <c r="B3202" s="2427">
        <v>182.6</v>
      </c>
      <c r="C3202" s="2428">
        <v>2222500</v>
      </c>
      <c r="D3202" s="2429">
        <v>405.82850000000002</v>
      </c>
      <c r="E3202" s="2430">
        <v>0.24480453323296614</v>
      </c>
      <c r="F3202" s="2427">
        <v>0.23598857877312973</v>
      </c>
      <c r="G3202" s="2429">
        <v>1.3115129351400084E-2</v>
      </c>
      <c r="H3202" s="2430">
        <v>0.1800255265243827</v>
      </c>
      <c r="I3202" s="2427">
        <v>0.17138900810970586</v>
      </c>
      <c r="J3202" s="2431">
        <v>6.2796873229585912E-3</v>
      </c>
    </row>
    <row r="3203" spans="1:10" x14ac:dyDescent="0.2">
      <c r="A3203" s="2426" t="s">
        <v>423</v>
      </c>
      <c r="B3203" s="2427">
        <v>0</v>
      </c>
      <c r="C3203" s="2428">
        <v>2531500</v>
      </c>
      <c r="D3203" s="2429">
        <v>0</v>
      </c>
      <c r="E3203" s="2430">
        <v>0</v>
      </c>
      <c r="F3203" s="2427">
        <v>0</v>
      </c>
      <c r="G3203" s="2429">
        <v>0</v>
      </c>
      <c r="H3203" s="2430">
        <v>0</v>
      </c>
      <c r="I3203" s="2427">
        <v>0</v>
      </c>
      <c r="J3203" s="2431">
        <v>0</v>
      </c>
    </row>
    <row r="3204" spans="1:10" x14ac:dyDescent="0.2">
      <c r="A3204" s="2426" t="s">
        <v>424</v>
      </c>
      <c r="B3204" s="2427">
        <v>37</v>
      </c>
      <c r="C3204" s="2428">
        <v>1369000</v>
      </c>
      <c r="D3204" s="2429">
        <v>50.652999999999999</v>
      </c>
      <c r="E3204" s="2430">
        <v>4.9604423491893472E-2</v>
      </c>
      <c r="F3204" s="2427">
        <v>4.7818058130371308E-2</v>
      </c>
      <c r="G3204" s="2429">
        <v>2.6575015662749354E-3</v>
      </c>
      <c r="H3204" s="2430">
        <v>2.2469671289817139E-2</v>
      </c>
      <c r="I3204" s="2427">
        <v>2.1391714548832649E-2</v>
      </c>
      <c r="J3204" s="2431">
        <v>7.8379168040150341E-4</v>
      </c>
    </row>
    <row r="3205" spans="1:10" x14ac:dyDescent="0.2">
      <c r="A3205" s="2426" t="s">
        <v>280</v>
      </c>
      <c r="B3205" s="2427">
        <v>198</v>
      </c>
      <c r="C3205" s="2428">
        <v>1574500</v>
      </c>
      <c r="D3205" s="2429">
        <v>311.75099999999998</v>
      </c>
      <c r="E3205" s="2430">
        <v>0.2654506986863488</v>
      </c>
      <c r="F3205" s="2427">
        <v>0.25589122999495995</v>
      </c>
      <c r="G3205" s="2429">
        <v>1.4221224597903707E-2</v>
      </c>
      <c r="H3205" s="2430">
        <v>0.13829274661464835</v>
      </c>
      <c r="I3205" s="2427">
        <v>0.13165831051098903</v>
      </c>
      <c r="J3205" s="2431">
        <v>4.8239559385791385E-3</v>
      </c>
    </row>
    <row r="3206" spans="1:10" x14ac:dyDescent="0.2">
      <c r="A3206" s="2426" t="s">
        <v>427</v>
      </c>
      <c r="B3206" s="2427">
        <v>0</v>
      </c>
      <c r="C3206" s="2428">
        <v>2072000</v>
      </c>
      <c r="D3206" s="2429">
        <v>0</v>
      </c>
      <c r="E3206" s="2430">
        <v>0</v>
      </c>
      <c r="F3206" s="2427">
        <v>0</v>
      </c>
      <c r="G3206" s="2429">
        <v>0</v>
      </c>
      <c r="H3206" s="2430">
        <v>0</v>
      </c>
      <c r="I3206" s="2427">
        <v>0</v>
      </c>
      <c r="J3206" s="2431">
        <v>0</v>
      </c>
    </row>
    <row r="3207" spans="1:10" x14ac:dyDescent="0.2">
      <c r="A3207" s="2426" t="s">
        <v>428</v>
      </c>
      <c r="B3207" s="2427">
        <v>0</v>
      </c>
      <c r="C3207" s="2428">
        <v>1326280</v>
      </c>
      <c r="D3207" s="2429">
        <v>0</v>
      </c>
      <c r="E3207" s="2430">
        <v>0</v>
      </c>
      <c r="F3207" s="2427">
        <v>0</v>
      </c>
      <c r="G3207" s="2429">
        <v>0</v>
      </c>
      <c r="H3207" s="2430">
        <v>0</v>
      </c>
      <c r="I3207" s="2427">
        <v>0</v>
      </c>
      <c r="J3207" s="2431">
        <v>0</v>
      </c>
    </row>
    <row r="3208" spans="1:10" x14ac:dyDescent="0.2">
      <c r="A3208" s="2439" t="s">
        <v>92</v>
      </c>
      <c r="B3208" s="2427">
        <v>1414</v>
      </c>
      <c r="C3208" s="2428">
        <v>2215500</v>
      </c>
      <c r="D3208" s="2429">
        <v>3132.7170000000001</v>
      </c>
      <c r="E3208" s="2430">
        <v>1.8956933734469557</v>
      </c>
      <c r="F3208" s="2427">
        <v>1.8274252485498657</v>
      </c>
      <c r="G3208" s="2429">
        <v>0.10155965445169618</v>
      </c>
      <c r="H3208" s="2430">
        <v>1.3896732914935361</v>
      </c>
      <c r="I3208" s="2427">
        <v>1.3230053072133017</v>
      </c>
      <c r="J3208" s="2431">
        <v>4.8474868648497753E-2</v>
      </c>
    </row>
    <row r="3209" spans="1:10" x14ac:dyDescent="0.2">
      <c r="A3209" s="2433" t="s">
        <v>281</v>
      </c>
      <c r="B3209" s="2434">
        <v>2332.6</v>
      </c>
      <c r="C3209" s="2433"/>
      <c r="D3209" s="2435">
        <v>5719.3490000000002</v>
      </c>
      <c r="E3209" s="2436">
        <v>3.1272237361402895</v>
      </c>
      <c r="F3209" s="2434">
        <v>3.0146054701325435</v>
      </c>
      <c r="G3209" s="2435">
        <v>0.16753751766197064</v>
      </c>
      <c r="H3209" s="2436">
        <v>2.5371032717064019</v>
      </c>
      <c r="I3209" s="2434">
        <v>2.4153886485134439</v>
      </c>
      <c r="J3209" s="2437">
        <v>8.8499756451003067E-2</v>
      </c>
    </row>
    <row r="3210" spans="1:10" x14ac:dyDescent="0.2">
      <c r="A3210" s="2440" t="s">
        <v>106</v>
      </c>
      <c r="B3210" s="2441">
        <v>9185.7999999999993</v>
      </c>
      <c r="C3210" s="2440"/>
      <c r="D3210" s="2442">
        <v>26336.2414565</v>
      </c>
      <c r="E3210" s="2443">
        <v>12.315035494914458</v>
      </c>
      <c r="F3210" s="2441">
        <v>11.871543739836884</v>
      </c>
      <c r="G3210" s="2442">
        <v>0.65976426722941339</v>
      </c>
      <c r="H3210" s="2443">
        <v>11.682756964776223</v>
      </c>
      <c r="I3210" s="2441">
        <v>11.12229008205991</v>
      </c>
      <c r="J3210" s="2444">
        <v>0.40752032350798328</v>
      </c>
    </row>
    <row r="3211" spans="1:10" x14ac:dyDescent="0.2">
      <c r="A3211" s="2426" t="s">
        <v>905</v>
      </c>
      <c r="B3211" s="2427">
        <v>28.5</v>
      </c>
      <c r="C3211" s="2428">
        <v>6100000</v>
      </c>
      <c r="D3211" s="2429">
        <v>173.85</v>
      </c>
      <c r="E3211" s="2430">
        <v>3.8208812689701721E-2</v>
      </c>
      <c r="F3211" s="2427">
        <v>3.6832828559880598E-2</v>
      </c>
      <c r="G3211" s="2429">
        <v>2.0469944496982607E-3</v>
      </c>
      <c r="H3211" s="2430">
        <v>7.7119861681138518E-2</v>
      </c>
      <c r="I3211" s="2427">
        <v>7.3420124658254315E-2</v>
      </c>
      <c r="J3211" s="2431">
        <v>2.690110825376609E-3</v>
      </c>
    </row>
    <row r="3212" spans="1:10" x14ac:dyDescent="0.2">
      <c r="A3212" s="2426" t="s">
        <v>906</v>
      </c>
      <c r="B3212" s="2427">
        <v>840</v>
      </c>
      <c r="C3212" s="2428">
        <v>3022000.0000000005</v>
      </c>
      <c r="D3212" s="2429">
        <v>2538.4800000000005</v>
      </c>
      <c r="E3212" s="2430">
        <v>1.1261544792754192</v>
      </c>
      <c r="F3212" s="2427">
        <v>1.0855991575543755</v>
      </c>
      <c r="G3212" s="2429">
        <v>6.0332467991106642E-2</v>
      </c>
      <c r="H3212" s="2430">
        <v>1.1260697525472336</v>
      </c>
      <c r="I3212" s="2427">
        <v>1.0720478460884986</v>
      </c>
      <c r="J3212" s="2431">
        <v>3.927979596204783E-2</v>
      </c>
    </row>
    <row r="3213" spans="1:10" x14ac:dyDescent="0.2">
      <c r="A3213" s="2426" t="s">
        <v>907</v>
      </c>
      <c r="B3213" s="2427">
        <v>0</v>
      </c>
      <c r="C3213" s="2428">
        <v>2324000</v>
      </c>
      <c r="D3213" s="2429">
        <v>0</v>
      </c>
      <c r="E3213" s="2430">
        <v>0</v>
      </c>
      <c r="F3213" s="2427">
        <v>0</v>
      </c>
      <c r="G3213" s="2429">
        <v>0</v>
      </c>
      <c r="H3213" s="2430">
        <v>0</v>
      </c>
      <c r="I3213" s="2427">
        <v>0</v>
      </c>
      <c r="J3213" s="2431">
        <v>0</v>
      </c>
    </row>
    <row r="3214" spans="1:10" x14ac:dyDescent="0.2">
      <c r="A3214" s="2439" t="s">
        <v>908</v>
      </c>
      <c r="B3214" s="2427">
        <v>3840</v>
      </c>
      <c r="C3214" s="2428">
        <v>2403999.9999999995</v>
      </c>
      <c r="D3214" s="2429">
        <v>9231.3599999999988</v>
      </c>
      <c r="E3214" s="2430">
        <v>5.1481347624019165</v>
      </c>
      <c r="F3214" s="2427">
        <v>4.9627390059628604</v>
      </c>
      <c r="G3214" s="2429">
        <v>0.27580556795934463</v>
      </c>
      <c r="H3214" s="2430">
        <v>4.0950313852677303</v>
      </c>
      <c r="I3214" s="2427">
        <v>3.8985769454427528</v>
      </c>
      <c r="J3214" s="2431">
        <v>0.14284372429651199</v>
      </c>
    </row>
    <row r="3215" spans="1:10" x14ac:dyDescent="0.2">
      <c r="A3215" s="2440" t="s">
        <v>282</v>
      </c>
      <c r="B3215" s="2441">
        <v>4708.5</v>
      </c>
      <c r="C3215" s="2440"/>
      <c r="D3215" s="2442">
        <v>11943.689999999999</v>
      </c>
      <c r="E3215" s="2443">
        <v>6.3124980543670386</v>
      </c>
      <c r="F3215" s="2441">
        <v>6.0851709920771162</v>
      </c>
      <c r="G3215" s="2442">
        <v>0.33818503040014952</v>
      </c>
      <c r="H3215" s="2443">
        <v>5.2982209994961016</v>
      </c>
      <c r="I3215" s="2441">
        <v>5.0440449161895051</v>
      </c>
      <c r="J3215" s="2444">
        <v>0.18481363108393642</v>
      </c>
    </row>
    <row r="3216" spans="1:10" x14ac:dyDescent="0.2">
      <c r="A3216" s="2426" t="s">
        <v>955</v>
      </c>
      <c r="B3216" s="2427">
        <v>1.7999999999999998</v>
      </c>
      <c r="C3216" s="2428">
        <v>12137000</v>
      </c>
      <c r="D3216" s="2429">
        <v>21.846599999999995</v>
      </c>
      <c r="E3216" s="2430">
        <v>2.4131881698758982E-3</v>
      </c>
      <c r="F3216" s="2427">
        <v>2.3262839090450907E-3</v>
      </c>
      <c r="G3216" s="2429">
        <v>1.2928385998094277E-4</v>
      </c>
      <c r="H3216" s="2430">
        <v>9.6911519712577551E-3</v>
      </c>
      <c r="I3216" s="2427">
        <v>9.226230056709913E-3</v>
      </c>
      <c r="J3216" s="2431">
        <v>3.3804874982843033E-4</v>
      </c>
    </row>
    <row r="3217" spans="1:10" x14ac:dyDescent="0.2">
      <c r="A3217" s="2426" t="s">
        <v>283</v>
      </c>
      <c r="B3217" s="2427">
        <v>3520.4317196546785</v>
      </c>
      <c r="C3217" s="2428">
        <v>13024549.999999996</v>
      </c>
      <c r="D3217" s="2429">
        <v>45852.03895422833</v>
      </c>
      <c r="E3217" s="2430">
        <v>4.7197023215147418</v>
      </c>
      <c r="F3217" s="2427">
        <v>4.5497353679581201</v>
      </c>
      <c r="G3217" s="2429">
        <v>0.25285277862016947</v>
      </c>
      <c r="H3217" s="2430">
        <v>20.339964923487287</v>
      </c>
      <c r="I3217" s="2427">
        <v>19.364178405835933</v>
      </c>
      <c r="J3217" s="2431">
        <v>0.70950282632361006</v>
      </c>
    </row>
    <row r="3218" spans="1:10" x14ac:dyDescent="0.2">
      <c r="A3218" s="2426" t="s">
        <v>69</v>
      </c>
      <c r="B3218" s="2427">
        <v>2780.655280345321</v>
      </c>
      <c r="C3218" s="2428">
        <v>14978232.499999994</v>
      </c>
      <c r="D3218" s="2429">
        <v>41649.301291364885</v>
      </c>
      <c r="E3218" s="2430">
        <v>3.727913570573488</v>
      </c>
      <c r="F3218" s="2427">
        <v>3.5936631307047695</v>
      </c>
      <c r="G3218" s="2429">
        <v>0.1997188043996854</v>
      </c>
      <c r="H3218" s="2430">
        <v>18.475630455600371</v>
      </c>
      <c r="I3218" s="2427">
        <v>17.589283248439475</v>
      </c>
      <c r="J3218" s="2431">
        <v>0.64447072921065662</v>
      </c>
    </row>
    <row r="3219" spans="1:10" x14ac:dyDescent="0.2">
      <c r="A3219" s="2426" t="s">
        <v>199</v>
      </c>
      <c r="B3219" s="2427">
        <v>21660</v>
      </c>
      <c r="C3219" s="2428">
        <v>3000000</v>
      </c>
      <c r="D3219" s="2429">
        <v>64980</v>
      </c>
      <c r="E3219" s="2430">
        <v>29.038697644173311</v>
      </c>
      <c r="F3219" s="2427">
        <v>27.992949705509258</v>
      </c>
      <c r="G3219" s="2429">
        <v>1.5557157817706784</v>
      </c>
      <c r="H3219" s="2430">
        <v>28.825128628359977</v>
      </c>
      <c r="I3219" s="2427">
        <v>27.442276101773743</v>
      </c>
      <c r="J3219" s="2431">
        <v>1.0054840462063392</v>
      </c>
    </row>
    <row r="3220" spans="1:10" x14ac:dyDescent="0.2">
      <c r="A3220" s="2426" t="s">
        <v>86</v>
      </c>
      <c r="B3220" s="2427">
        <v>22800</v>
      </c>
      <c r="C3220" s="2428">
        <v>170000</v>
      </c>
      <c r="D3220" s="2429">
        <v>3876</v>
      </c>
      <c r="E3220" s="2430">
        <v>30.567050151761382</v>
      </c>
      <c r="F3220" s="2427">
        <v>29.466262847904478</v>
      </c>
      <c r="G3220" s="2429">
        <v>1.6375955597586085</v>
      </c>
      <c r="H3220" s="2430">
        <v>1.7193936374811214</v>
      </c>
      <c r="I3220" s="2427">
        <v>1.636907697298785</v>
      </c>
      <c r="J3220" s="2431">
        <v>5.9976241352658832E-2</v>
      </c>
    </row>
    <row r="3221" spans="1:10" x14ac:dyDescent="0.2">
      <c r="A3221" s="2439" t="s">
        <v>213</v>
      </c>
      <c r="B3221" s="2427">
        <v>1841</v>
      </c>
      <c r="C3221" s="2428">
        <v>1850000.0000000005</v>
      </c>
      <c r="D3221" s="2429">
        <v>3405.8500000000008</v>
      </c>
      <c r="E3221" s="2430">
        <v>2.4681552337452941</v>
      </c>
      <c r="F3221" s="2427">
        <v>2.37927148697334</v>
      </c>
      <c r="G3221" s="2429">
        <v>0.13222865901384206</v>
      </c>
      <c r="H3221" s="2430">
        <v>1.5108350929347469</v>
      </c>
      <c r="I3221" s="2427">
        <v>1.4383545100219473</v>
      </c>
      <c r="J3221" s="2431">
        <v>5.2701259445550333E-2</v>
      </c>
    </row>
    <row r="3222" spans="1:10" x14ac:dyDescent="0.2">
      <c r="A3222" s="2433" t="s">
        <v>1834</v>
      </c>
      <c r="B3222" s="2434">
        <v>52603.887000000002</v>
      </c>
      <c r="C3222" s="2433"/>
      <c r="D3222" s="2435">
        <v>159785.03684559322</v>
      </c>
      <c r="E3222" s="2436">
        <v>70.523932109938087</v>
      </c>
      <c r="F3222" s="2434">
        <v>67.984208822959019</v>
      </c>
      <c r="G3222" s="2435">
        <v>3.7782408674229653</v>
      </c>
      <c r="H3222" s="2436">
        <v>70.880643889834758</v>
      </c>
      <c r="I3222" s="2434">
        <v>67.480226193426603</v>
      </c>
      <c r="J3222" s="2437">
        <v>2.4724731512886433</v>
      </c>
    </row>
    <row r="3223" spans="1:10" x14ac:dyDescent="0.2">
      <c r="A3223" s="2426" t="s">
        <v>961</v>
      </c>
      <c r="B3223" s="2427">
        <v>4526.4349999999995</v>
      </c>
      <c r="C3223" s="2428">
        <v>3668000</v>
      </c>
      <c r="D3223" s="2429">
        <v>16602.96358</v>
      </c>
      <c r="E3223" s="2430">
        <v>6.0684107742845619</v>
      </c>
      <c r="F3223" s="2427">
        <v>5.8498738365769523</v>
      </c>
      <c r="G3223" s="2429">
        <v>0.32510832708491039</v>
      </c>
      <c r="H3223" s="2430">
        <v>7.3650748046395194</v>
      </c>
      <c r="I3223" s="2427">
        <v>7.0117437776247122</v>
      </c>
      <c r="J3223" s="2431">
        <v>0.25691004923722505</v>
      </c>
    </row>
    <row r="3224" spans="1:10" x14ac:dyDescent="0.2">
      <c r="A3224" s="2426" t="s">
        <v>962</v>
      </c>
      <c r="B3224" s="2427">
        <v>0</v>
      </c>
      <c r="C3224" s="2428">
        <v>1999999.9999999998</v>
      </c>
      <c r="D3224" s="2429">
        <v>0</v>
      </c>
      <c r="E3224" s="2430">
        <v>0</v>
      </c>
      <c r="F3224" s="2427">
        <v>0</v>
      </c>
      <c r="G3224" s="2429">
        <v>0</v>
      </c>
      <c r="H3224" s="2430">
        <v>0</v>
      </c>
      <c r="I3224" s="2427">
        <v>0</v>
      </c>
      <c r="J3224" s="2431">
        <v>0</v>
      </c>
    </row>
    <row r="3225" spans="1:10" x14ac:dyDescent="0.2">
      <c r="A3225" s="2426" t="s">
        <v>963</v>
      </c>
      <c r="B3225" s="2427">
        <v>184</v>
      </c>
      <c r="C3225" s="2428">
        <v>1347999.9999999998</v>
      </c>
      <c r="D3225" s="2429">
        <v>248.03199999999998</v>
      </c>
      <c r="E3225" s="2430">
        <v>0.24668145736509184</v>
      </c>
      <c r="F3225" s="2427">
        <v>0.23779791070238704</v>
      </c>
      <c r="G3225" s="2429">
        <v>1.3215683464718598E-2</v>
      </c>
      <c r="H3225" s="2430">
        <v>0.11002699759848232</v>
      </c>
      <c r="I3225" s="2427">
        <v>0.10474857842528694</v>
      </c>
      <c r="J3225" s="2431">
        <v>3.8379842866828359E-3</v>
      </c>
    </row>
    <row r="3226" spans="1:10" x14ac:dyDescent="0.2">
      <c r="A3226" s="2426" t="s">
        <v>965</v>
      </c>
      <c r="B3226" s="2427">
        <v>92</v>
      </c>
      <c r="C3226" s="2428">
        <v>1599999.9999999995</v>
      </c>
      <c r="D3226" s="2429">
        <v>147.19999999999996</v>
      </c>
      <c r="E3226" s="2430">
        <v>0.12334072868254592</v>
      </c>
      <c r="F3226" s="2427">
        <v>0.11889895535119352</v>
      </c>
      <c r="G3226" s="2429">
        <v>6.6078417323592988E-3</v>
      </c>
      <c r="H3226" s="2430">
        <v>6.5297921423431632E-2</v>
      </c>
      <c r="I3226" s="2427">
        <v>6.216532844230678E-2</v>
      </c>
      <c r="J3226" s="2431">
        <v>2.2777354817108816E-3</v>
      </c>
    </row>
    <row r="3227" spans="1:10" x14ac:dyDescent="0.2">
      <c r="A3227" s="2426" t="s">
        <v>966</v>
      </c>
      <c r="B3227" s="2427">
        <v>0</v>
      </c>
      <c r="C3227" s="2428">
        <v>2244000</v>
      </c>
      <c r="D3227" s="2429">
        <v>0</v>
      </c>
      <c r="E3227" s="2430">
        <v>0</v>
      </c>
      <c r="F3227" s="2427">
        <v>0</v>
      </c>
      <c r="G3227" s="2429">
        <v>0</v>
      </c>
      <c r="H3227" s="2430">
        <v>0</v>
      </c>
      <c r="I3227" s="2427">
        <v>0</v>
      </c>
      <c r="J3227" s="2431">
        <v>0</v>
      </c>
    </row>
    <row r="3228" spans="1:10" x14ac:dyDescent="0.2">
      <c r="A3228" s="2426" t="s">
        <v>1499</v>
      </c>
      <c r="B3228" s="2427">
        <v>50</v>
      </c>
      <c r="C3228" s="2428">
        <v>4849999.9999999991</v>
      </c>
      <c r="D3228" s="2429">
        <v>242.49999999999994</v>
      </c>
      <c r="E3228" s="2430">
        <v>6.7033004718774963E-2</v>
      </c>
      <c r="F3228" s="2427">
        <v>6.4618997473474743E-2</v>
      </c>
      <c r="G3228" s="2429">
        <v>3.5912183328039664E-3</v>
      </c>
      <c r="H3228" s="2430">
        <v>0.10757300234498757</v>
      </c>
      <c r="I3228" s="2427">
        <v>0.10241231078301219</v>
      </c>
      <c r="J3228" s="2431">
        <v>3.7523835211609293E-3</v>
      </c>
    </row>
    <row r="3229" spans="1:10" x14ac:dyDescent="0.2">
      <c r="A3229" s="2426" t="s">
        <v>1575</v>
      </c>
      <c r="B3229" s="2427">
        <v>0</v>
      </c>
      <c r="C3229" s="2428">
        <v>2250000.0000000005</v>
      </c>
      <c r="D3229" s="2429">
        <v>0</v>
      </c>
      <c r="E3229" s="2430">
        <v>0</v>
      </c>
      <c r="F3229" s="2427">
        <v>0</v>
      </c>
      <c r="G3229" s="2429">
        <v>0</v>
      </c>
      <c r="H3229" s="2430">
        <v>0</v>
      </c>
      <c r="I3229" s="2427">
        <v>0</v>
      </c>
      <c r="J3229" s="2431">
        <v>0</v>
      </c>
    </row>
    <row r="3230" spans="1:10" x14ac:dyDescent="0.2">
      <c r="A3230" s="2426" t="s">
        <v>964</v>
      </c>
      <c r="B3230" s="2427">
        <v>70</v>
      </c>
      <c r="C3230" s="2428">
        <v>1556000</v>
      </c>
      <c r="D3230" s="2429">
        <v>108.92</v>
      </c>
      <c r="E3230" s="2430">
        <v>9.384620660628494E-2</v>
      </c>
      <c r="F3230" s="2427">
        <v>9.0466596462864632E-2</v>
      </c>
      <c r="G3230" s="2429">
        <v>5.0277056659255538E-3</v>
      </c>
      <c r="H3230" s="2430">
        <v>4.8316913053262057E-2</v>
      </c>
      <c r="I3230" s="2427">
        <v>4.5998964496848205E-2</v>
      </c>
      <c r="J3230" s="2431">
        <v>1.6854004664942207E-3</v>
      </c>
    </row>
    <row r="3231" spans="1:10" x14ac:dyDescent="0.2">
      <c r="A3231" s="2426" t="s">
        <v>969</v>
      </c>
      <c r="B3231" s="2427">
        <v>540</v>
      </c>
      <c r="C3231" s="2428">
        <v>4800000</v>
      </c>
      <c r="D3231" s="2429">
        <v>2592</v>
      </c>
      <c r="E3231" s="2430">
        <v>0.7239564509627695</v>
      </c>
      <c r="F3231" s="2427">
        <v>0.69788517271352712</v>
      </c>
      <c r="G3231" s="2429">
        <v>3.8785157994282837E-2</v>
      </c>
      <c r="H3231" s="2430">
        <v>1.1498112250647747</v>
      </c>
      <c r="I3231" s="2427">
        <v>1.094650348658011</v>
      </c>
      <c r="J3231" s="2431">
        <v>4.0107950873604664E-2</v>
      </c>
    </row>
    <row r="3232" spans="1:10" x14ac:dyDescent="0.2">
      <c r="A3232" s="2426" t="s">
        <v>968</v>
      </c>
      <c r="B3232" s="2427">
        <v>0</v>
      </c>
      <c r="C3232" s="2428">
        <v>3050000.0000000009</v>
      </c>
      <c r="D3232" s="2429">
        <v>0</v>
      </c>
      <c r="E3232" s="2430">
        <v>0</v>
      </c>
      <c r="F3232" s="2427">
        <v>0</v>
      </c>
      <c r="G3232" s="2429">
        <v>0</v>
      </c>
      <c r="H3232" s="2430">
        <v>0</v>
      </c>
      <c r="I3232" s="2427">
        <v>0</v>
      </c>
      <c r="J3232" s="2431">
        <v>0</v>
      </c>
    </row>
    <row r="3233" spans="1:10" x14ac:dyDescent="0.2">
      <c r="A3233" s="2426" t="s">
        <v>1013</v>
      </c>
      <c r="B3233" s="2427">
        <v>45</v>
      </c>
      <c r="C3233" s="2428">
        <v>1799999.9999999998</v>
      </c>
      <c r="D3233" s="2429">
        <v>80.999999999999986</v>
      </c>
      <c r="E3233" s="2430">
        <v>6.0329704246897466E-2</v>
      </c>
      <c r="F3233" s="2427">
        <v>5.8157097726127267E-2</v>
      </c>
      <c r="G3233" s="2429">
        <v>3.2320964995235699E-3</v>
      </c>
      <c r="H3233" s="2430">
        <v>3.5931600783274197E-2</v>
      </c>
      <c r="I3233" s="2427">
        <v>3.4207823395562838E-2</v>
      </c>
      <c r="J3233" s="2431">
        <v>1.2533734648001455E-3</v>
      </c>
    </row>
    <row r="3234" spans="1:10" x14ac:dyDescent="0.2">
      <c r="A3234" s="2426" t="s">
        <v>1014</v>
      </c>
      <c r="B3234" s="2427">
        <v>0</v>
      </c>
      <c r="C3234" s="2428">
        <v>2195000.0000000005</v>
      </c>
      <c r="D3234" s="2429">
        <v>0</v>
      </c>
      <c r="E3234" s="2430">
        <v>0</v>
      </c>
      <c r="F3234" s="2427">
        <v>0</v>
      </c>
      <c r="G3234" s="2429">
        <v>0</v>
      </c>
      <c r="H3234" s="2430">
        <v>0</v>
      </c>
      <c r="I3234" s="2427">
        <v>0</v>
      </c>
      <c r="J3234" s="2431">
        <v>0</v>
      </c>
    </row>
    <row r="3235" spans="1:10" x14ac:dyDescent="0.2">
      <c r="A3235" s="2426" t="s">
        <v>970</v>
      </c>
      <c r="B3235" s="2427">
        <v>592</v>
      </c>
      <c r="C3235" s="2428">
        <v>3100000.0000000005</v>
      </c>
      <c r="D3235" s="2429">
        <v>1835.2000000000003</v>
      </c>
      <c r="E3235" s="2430">
        <v>0.79367077587029555</v>
      </c>
      <c r="F3235" s="2427">
        <v>0.76508893008594092</v>
      </c>
      <c r="G3235" s="2429">
        <v>4.2520025060398967E-2</v>
      </c>
      <c r="H3235" s="2430">
        <v>0.81409473774647945</v>
      </c>
      <c r="I3235" s="2427">
        <v>0.77503947525354244</v>
      </c>
      <c r="J3235" s="2431">
        <v>2.8397419538286763E-2</v>
      </c>
    </row>
    <row r="3236" spans="1:10" x14ac:dyDescent="0.2">
      <c r="A3236" s="2426" t="s">
        <v>971</v>
      </c>
      <c r="B3236" s="2427">
        <v>0</v>
      </c>
      <c r="C3236" s="2428">
        <v>3010000</v>
      </c>
      <c r="D3236" s="2429">
        <v>0</v>
      </c>
      <c r="E3236" s="2430">
        <v>0</v>
      </c>
      <c r="F3236" s="2427">
        <v>0</v>
      </c>
      <c r="G3236" s="2429">
        <v>0</v>
      </c>
      <c r="H3236" s="2430">
        <v>0</v>
      </c>
      <c r="I3236" s="2427">
        <v>0</v>
      </c>
      <c r="J3236" s="2431">
        <v>0</v>
      </c>
    </row>
    <row r="3237" spans="1:10" x14ac:dyDescent="0.2">
      <c r="A3237" s="2426" t="s">
        <v>972</v>
      </c>
      <c r="B3237" s="2427">
        <v>0</v>
      </c>
      <c r="C3237" s="2428">
        <v>2744000.0000000005</v>
      </c>
      <c r="D3237" s="2429">
        <v>0</v>
      </c>
      <c r="E3237" s="2430">
        <v>0</v>
      </c>
      <c r="F3237" s="2427">
        <v>0</v>
      </c>
      <c r="G3237" s="2429">
        <v>0</v>
      </c>
      <c r="H3237" s="2430">
        <v>0</v>
      </c>
      <c r="I3237" s="2427">
        <v>0</v>
      </c>
      <c r="J3237" s="2431">
        <v>0</v>
      </c>
    </row>
    <row r="3238" spans="1:10" x14ac:dyDescent="0.2">
      <c r="A3238" s="2426" t="s">
        <v>973</v>
      </c>
      <c r="B3238" s="2427">
        <v>1305.5</v>
      </c>
      <c r="C3238" s="2428">
        <v>2549999.9999999991</v>
      </c>
      <c r="D3238" s="2429">
        <v>3329.0249999999987</v>
      </c>
      <c r="E3238" s="2430">
        <v>1.7502317532072142</v>
      </c>
      <c r="F3238" s="2427">
        <v>1.6872020240324255</v>
      </c>
      <c r="G3238" s="2429">
        <v>9.376671066951156E-2</v>
      </c>
      <c r="H3238" s="2430">
        <v>1.476755522191844</v>
      </c>
      <c r="I3238" s="2427">
        <v>1.4059098676470807</v>
      </c>
      <c r="J3238" s="2431">
        <v>5.151248887230004E-2</v>
      </c>
    </row>
    <row r="3239" spans="1:10" x14ac:dyDescent="0.2">
      <c r="A3239" s="2426" t="s">
        <v>974</v>
      </c>
      <c r="B3239" s="2427">
        <v>75</v>
      </c>
      <c r="C3239" s="2428">
        <v>1583999.9999999995</v>
      </c>
      <c r="D3239" s="2429">
        <v>118.79999999999997</v>
      </c>
      <c r="E3239" s="2430">
        <v>0.10054950707816245</v>
      </c>
      <c r="F3239" s="2427">
        <v>9.6928496210212114E-2</v>
      </c>
      <c r="G3239" s="2429">
        <v>5.3868274992059494E-3</v>
      </c>
      <c r="H3239" s="2430">
        <v>5.2699681148802156E-2</v>
      </c>
      <c r="I3239" s="2427">
        <v>5.0171474313492156E-2</v>
      </c>
      <c r="J3239" s="2431">
        <v>1.8382810817068797E-3</v>
      </c>
    </row>
    <row r="3240" spans="1:10" x14ac:dyDescent="0.2">
      <c r="A3240" s="2426" t="s">
        <v>975</v>
      </c>
      <c r="B3240" s="2427">
        <v>80</v>
      </c>
      <c r="C3240" s="2428">
        <v>2532000.0000000009</v>
      </c>
      <c r="D3240" s="2429">
        <v>202.56000000000006</v>
      </c>
      <c r="E3240" s="2430">
        <v>0.10725280755003992</v>
      </c>
      <c r="F3240" s="2427">
        <v>0.10339039595755957</v>
      </c>
      <c r="G3240" s="2429">
        <v>5.7459493324863459E-3</v>
      </c>
      <c r="H3240" s="2430">
        <v>8.9855617958765746E-2</v>
      </c>
      <c r="I3240" s="2427">
        <v>8.5544897617348278E-2</v>
      </c>
      <c r="J3240" s="2431">
        <v>3.1343620867891062E-3</v>
      </c>
    </row>
    <row r="3241" spans="1:10" x14ac:dyDescent="0.2">
      <c r="A3241" s="2426" t="s">
        <v>976</v>
      </c>
      <c r="B3241" s="2427">
        <v>112</v>
      </c>
      <c r="C3241" s="2428">
        <v>7394999.9999999991</v>
      </c>
      <c r="D3241" s="2429">
        <v>828.2399999999999</v>
      </c>
      <c r="E3241" s="2430">
        <v>0.15015393057005591</v>
      </c>
      <c r="F3241" s="2427">
        <v>0.14474655434058342</v>
      </c>
      <c r="G3241" s="2429">
        <v>8.0443290654808857E-3</v>
      </c>
      <c r="H3241" s="2430">
        <v>0.36740727200912376</v>
      </c>
      <c r="I3241" s="2427">
        <v>0.3497813290017403</v>
      </c>
      <c r="J3241" s="2431">
        <v>1.2815975783778672E-2</v>
      </c>
    </row>
    <row r="3242" spans="1:10" x14ac:dyDescent="0.2">
      <c r="A3242" s="2426" t="s">
        <v>286</v>
      </c>
      <c r="B3242" s="2427">
        <v>420</v>
      </c>
      <c r="C3242" s="2428">
        <v>2445000.0000000005</v>
      </c>
      <c r="D3242" s="2429">
        <v>1026.9000000000003</v>
      </c>
      <c r="E3242" s="2430">
        <v>0.56307723963770961</v>
      </c>
      <c r="F3242" s="2427">
        <v>0.54279957877718776</v>
      </c>
      <c r="G3242" s="2429">
        <v>3.0166233995553321E-2</v>
      </c>
      <c r="H3242" s="2430">
        <v>0.45553284993017651</v>
      </c>
      <c r="I3242" s="2427">
        <v>0.43367918327041355</v>
      </c>
      <c r="J3242" s="2431">
        <v>1.588999025929963E-2</v>
      </c>
    </row>
    <row r="3243" spans="1:10" x14ac:dyDescent="0.2">
      <c r="A3243" s="2439" t="s">
        <v>978</v>
      </c>
      <c r="B3243" s="2427">
        <v>0</v>
      </c>
      <c r="C3243" s="2428">
        <v>1850000.0000000002</v>
      </c>
      <c r="D3243" s="2429">
        <v>0</v>
      </c>
      <c r="E3243" s="2430">
        <v>0</v>
      </c>
      <c r="F3243" s="2427">
        <v>0</v>
      </c>
      <c r="G3243" s="2429">
        <v>0</v>
      </c>
      <c r="H3243" s="2430">
        <v>0</v>
      </c>
      <c r="I3243" s="2427">
        <v>0</v>
      </c>
      <c r="J3243" s="2431">
        <v>0</v>
      </c>
    </row>
    <row r="3244" spans="1:10" x14ac:dyDescent="0.2">
      <c r="A3244" s="2426" t="s">
        <v>1163</v>
      </c>
      <c r="B3244" s="2427">
        <v>0</v>
      </c>
      <c r="C3244" s="2428">
        <v>0</v>
      </c>
      <c r="D3244" s="2429">
        <v>0</v>
      </c>
      <c r="E3244" s="2430">
        <v>0</v>
      </c>
      <c r="F3244" s="2427">
        <v>0</v>
      </c>
      <c r="G3244" s="2429">
        <v>0</v>
      </c>
      <c r="H3244" s="2430">
        <v>0</v>
      </c>
      <c r="I3244" s="2427">
        <v>0</v>
      </c>
      <c r="J3244" s="2431">
        <v>0</v>
      </c>
    </row>
    <row r="3245" spans="1:10" x14ac:dyDescent="0.2">
      <c r="A3245" s="2433" t="s">
        <v>287</v>
      </c>
      <c r="B3245" s="2434">
        <v>8091.9349999999995</v>
      </c>
      <c r="C3245" s="2433"/>
      <c r="D3245" s="2435">
        <v>27363.34058</v>
      </c>
      <c r="E3245" s="2436">
        <v>10.848534340780404</v>
      </c>
      <c r="F3245" s="2434">
        <v>10.457854546410436</v>
      </c>
      <c r="G3245" s="2435">
        <v>0.5811981063971613</v>
      </c>
      <c r="H3245" s="2436">
        <v>12.138378145892926</v>
      </c>
      <c r="I3245" s="2434">
        <v>11.556053358929359</v>
      </c>
      <c r="J3245" s="2437">
        <v>0.42341339495383984</v>
      </c>
    </row>
    <row r="3246" spans="1:10" x14ac:dyDescent="0.2">
      <c r="A3246" s="2440" t="s">
        <v>1835</v>
      </c>
      <c r="B3246" s="2441">
        <v>60695.822</v>
      </c>
      <c r="C3246" s="2440"/>
      <c r="D3246" s="2442">
        <v>187148.37742559321</v>
      </c>
      <c r="E3246" s="2443">
        <v>81.372466450718491</v>
      </c>
      <c r="F3246" s="2441">
        <v>78.44206336936945</v>
      </c>
      <c r="G3246" s="2442">
        <v>4.3594389738201258</v>
      </c>
      <c r="H3246" s="2443">
        <v>83.019022035727673</v>
      </c>
      <c r="I3246" s="2441">
        <v>79.03627955235595</v>
      </c>
      <c r="J3246" s="2444">
        <v>2.8958865462424832</v>
      </c>
    </row>
    <row r="3247" spans="1:10" x14ac:dyDescent="0.2">
      <c r="A3247" s="2445" t="s">
        <v>194</v>
      </c>
      <c r="B3247" s="2446">
        <v>74590.122000000003</v>
      </c>
      <c r="C3247" s="2447"/>
      <c r="D3247" s="2448">
        <v>225428.3088820932</v>
      </c>
      <c r="E3247" s="2449">
        <v>99.999999999999986</v>
      </c>
      <c r="F3247" s="2446">
        <v>96.398778101283455</v>
      </c>
      <c r="G3247" s="2448">
        <v>5.3573882714496897</v>
      </c>
      <c r="H3247" s="2449">
        <v>100</v>
      </c>
      <c r="I3247" s="2446">
        <v>95.202614550605361</v>
      </c>
      <c r="J3247" s="2450">
        <v>3.4882205008344025</v>
      </c>
    </row>
    <row r="3248" spans="1:10" x14ac:dyDescent="0.2">
      <c r="A3248" s="2451" t="s">
        <v>1852</v>
      </c>
      <c r="B3248" s="2427"/>
      <c r="C3248" s="2452"/>
      <c r="D3248" s="2429"/>
      <c r="E3248" s="2430"/>
      <c r="F3248" s="2427">
        <v>0</v>
      </c>
      <c r="G3248" s="2429"/>
      <c r="H3248" s="2430"/>
      <c r="I3248" s="2427">
        <v>0</v>
      </c>
      <c r="J3248" s="2431">
        <v>0</v>
      </c>
    </row>
    <row r="3249" spans="1:10" x14ac:dyDescent="0.2">
      <c r="A3249" s="2453" t="s">
        <v>1836</v>
      </c>
      <c r="B3249" s="2427">
        <v>0</v>
      </c>
      <c r="C3249" s="2428">
        <v>8033612.4975057133</v>
      </c>
      <c r="D3249" s="2429">
        <v>0</v>
      </c>
      <c r="E3249" s="2430">
        <v>0</v>
      </c>
      <c r="F3249" s="2427">
        <v>0</v>
      </c>
      <c r="G3249" s="2429">
        <v>0</v>
      </c>
      <c r="H3249" s="2430">
        <v>0</v>
      </c>
      <c r="I3249" s="2427">
        <v>0</v>
      </c>
      <c r="J3249" s="2431">
        <v>0</v>
      </c>
    </row>
    <row r="3250" spans="1:10" x14ac:dyDescent="0.2">
      <c r="A3250" s="2453" t="s">
        <v>1837</v>
      </c>
      <c r="B3250" s="2427">
        <v>2295.12</v>
      </c>
      <c r="C3250" s="2428">
        <v>2214764.1578067578</v>
      </c>
      <c r="D3250" s="2429">
        <v>5083.1495138654464</v>
      </c>
      <c r="E3250" s="2430">
        <v>87.613242306852484</v>
      </c>
      <c r="F3250" s="2427">
        <v>2.9661670696264264</v>
      </c>
      <c r="G3250" s="2429">
        <v>0.16484554039970079</v>
      </c>
      <c r="H3250" s="2430">
        <v>54.527475781244874</v>
      </c>
      <c r="I3250" s="2427">
        <v>2.1467096402907444</v>
      </c>
      <c r="J3250" s="2431">
        <v>7.8655366892477915E-2</v>
      </c>
    </row>
    <row r="3251" spans="1:10" x14ac:dyDescent="0.2">
      <c r="A3251" s="2454" t="s">
        <v>309</v>
      </c>
      <c r="B3251" s="2434">
        <v>2295.12</v>
      </c>
      <c r="C3251" s="2433"/>
      <c r="D3251" s="2435">
        <v>5083.1495138654464</v>
      </c>
      <c r="E3251" s="2436">
        <v>87.613242306852484</v>
      </c>
      <c r="F3251" s="2434">
        <v>2.9661670696264264</v>
      </c>
      <c r="G3251" s="2435">
        <v>0.16484554039970079</v>
      </c>
      <c r="H3251" s="2436">
        <v>54.527475781244874</v>
      </c>
      <c r="I3251" s="2434">
        <v>2.1467096402907444</v>
      </c>
      <c r="J3251" s="2437">
        <v>7.8655366892477915E-2</v>
      </c>
    </row>
    <row r="3252" spans="1:10" x14ac:dyDescent="0.2">
      <c r="A3252" s="2453" t="s">
        <v>1838</v>
      </c>
      <c r="B3252" s="2427">
        <v>0</v>
      </c>
      <c r="C3252" s="2428">
        <v>10407427.50198495</v>
      </c>
      <c r="D3252" s="2429">
        <v>0</v>
      </c>
      <c r="E3252" s="2430">
        <v>0</v>
      </c>
      <c r="F3252" s="2427">
        <v>0</v>
      </c>
      <c r="G3252" s="2429">
        <v>0</v>
      </c>
      <c r="H3252" s="2430">
        <v>0</v>
      </c>
      <c r="I3252" s="2427">
        <v>0</v>
      </c>
      <c r="J3252" s="2431">
        <v>0</v>
      </c>
    </row>
    <row r="3253" spans="1:10" x14ac:dyDescent="0.2">
      <c r="A3253" s="2454" t="s">
        <v>315</v>
      </c>
      <c r="B3253" s="2434">
        <v>0</v>
      </c>
      <c r="C3253" s="2455"/>
      <c r="D3253" s="2435">
        <v>0</v>
      </c>
      <c r="E3253" s="2436">
        <v>0</v>
      </c>
      <c r="F3253" s="2434">
        <v>0</v>
      </c>
      <c r="G3253" s="2435">
        <v>0</v>
      </c>
      <c r="H3253" s="2436">
        <v>0</v>
      </c>
      <c r="I3253" s="2434">
        <v>0</v>
      </c>
      <c r="J3253" s="2437">
        <v>0</v>
      </c>
    </row>
    <row r="3254" spans="1:10" x14ac:dyDescent="0.2">
      <c r="A3254" s="2453" t="s">
        <v>1541</v>
      </c>
      <c r="B3254" s="2427">
        <v>133.584</v>
      </c>
      <c r="C3254" s="2428">
        <v>10553660</v>
      </c>
      <c r="D3254" s="2429">
        <v>1409.8001174400001</v>
      </c>
      <c r="E3254" s="2430">
        <v>5.0993967027077387</v>
      </c>
      <c r="F3254" s="2427">
        <v>0.17264128316993299</v>
      </c>
      <c r="G3254" s="2429">
        <v>9.5945861953857028E-3</v>
      </c>
      <c r="H3254" s="2430">
        <v>15.12307311646404</v>
      </c>
      <c r="I3254" s="2427">
        <v>0.59538510420285529</v>
      </c>
      <c r="J3254" s="2431">
        <v>2.1814889603350929E-2</v>
      </c>
    </row>
    <row r="3255" spans="1:10" x14ac:dyDescent="0.2">
      <c r="A3255" s="2453" t="s">
        <v>206</v>
      </c>
      <c r="B3255" s="2427">
        <v>145</v>
      </c>
      <c r="C3255" s="2428">
        <v>6960000</v>
      </c>
      <c r="D3255" s="2429">
        <v>1009.2</v>
      </c>
      <c r="E3255" s="2430">
        <v>5.535187761203602</v>
      </c>
      <c r="F3255" s="2427">
        <v>0.18739509267307672</v>
      </c>
      <c r="G3255" s="2429">
        <v>1.0414533165131502E-2</v>
      </c>
      <c r="H3255" s="2430">
        <v>10.82579381313256</v>
      </c>
      <c r="I3255" s="2427">
        <v>0.42620414038027188</v>
      </c>
      <c r="J3255" s="2431">
        <v>1.5616104946621075E-2</v>
      </c>
    </row>
    <row r="3256" spans="1:10" x14ac:dyDescent="0.2">
      <c r="A3256" s="2454" t="s">
        <v>310</v>
      </c>
      <c r="B3256" s="2434">
        <v>278.584</v>
      </c>
      <c r="C3256" s="2455"/>
      <c r="D3256" s="2435">
        <v>2419.0001174400004</v>
      </c>
      <c r="E3256" s="2436">
        <v>10.63458446391134</v>
      </c>
      <c r="F3256" s="2434">
        <v>0.36003637584300974</v>
      </c>
      <c r="G3256" s="2435">
        <v>2.0009119360517205E-2</v>
      </c>
      <c r="H3256" s="2436">
        <v>25.948866929596605</v>
      </c>
      <c r="I3256" s="2434">
        <v>1.0215892445831272</v>
      </c>
      <c r="J3256" s="2437">
        <v>3.7430994549972008E-2</v>
      </c>
    </row>
    <row r="3257" spans="1:10" x14ac:dyDescent="0.2">
      <c r="A3257" s="2453" t="s">
        <v>1839</v>
      </c>
      <c r="B3257" s="2427">
        <v>45.9</v>
      </c>
      <c r="C3257" s="2428">
        <v>39652080.629353955</v>
      </c>
      <c r="D3257" s="2429">
        <v>1820.0305008873465</v>
      </c>
      <c r="E3257" s="2430">
        <v>1.7521732292361747</v>
      </c>
      <c r="F3257" s="2427">
        <v>5.9320239680649804E-2</v>
      </c>
      <c r="G3257" s="2429">
        <v>3.2967384295140411E-3</v>
      </c>
      <c r="H3257" s="2430">
        <v>19.523657289158532</v>
      </c>
      <c r="I3257" s="2427">
        <v>0.76863311048014971</v>
      </c>
      <c r="J3257" s="2431">
        <v>2.8162690554803926E-2</v>
      </c>
    </row>
    <row r="3258" spans="1:10" x14ac:dyDescent="0.2">
      <c r="A3258" s="2454" t="s">
        <v>311</v>
      </c>
      <c r="B3258" s="2434">
        <v>45.9</v>
      </c>
      <c r="C3258" s="2433"/>
      <c r="D3258" s="2435">
        <v>1820.0305008873465</v>
      </c>
      <c r="E3258" s="2436">
        <v>1.7521732292361747</v>
      </c>
      <c r="F3258" s="2434">
        <v>5.9320239680649804E-2</v>
      </c>
      <c r="G3258" s="2435">
        <v>3.2967384295140411E-3</v>
      </c>
      <c r="H3258" s="2436">
        <v>19.523657289158532</v>
      </c>
      <c r="I3258" s="2434">
        <v>0.76863311048014971</v>
      </c>
      <c r="J3258" s="2437">
        <v>2.8162690554803926E-2</v>
      </c>
    </row>
    <row r="3259" spans="1:10" x14ac:dyDescent="0.2">
      <c r="A3259" s="2445" t="s">
        <v>129</v>
      </c>
      <c r="B3259" s="2446">
        <v>2619.6039999999998</v>
      </c>
      <c r="C3259" s="2447"/>
      <c r="D3259" s="2448">
        <v>9322.1801321927924</v>
      </c>
      <c r="E3259" s="2449">
        <v>100</v>
      </c>
      <c r="F3259" s="2446">
        <v>3.3855236851500861</v>
      </c>
      <c r="G3259" s="2448">
        <v>0.18815139818973203</v>
      </c>
      <c r="H3259" s="2449">
        <v>100.00000000000001</v>
      </c>
      <c r="I3259" s="2446">
        <v>3.9369319953540214</v>
      </c>
      <c r="J3259" s="2450">
        <v>0.14424905199725385</v>
      </c>
    </row>
    <row r="3260" spans="1:10" x14ac:dyDescent="0.2">
      <c r="A3260" s="2451" t="s">
        <v>1853</v>
      </c>
      <c r="B3260" s="2427"/>
      <c r="C3260" s="2452"/>
      <c r="D3260" s="2429"/>
      <c r="E3260" s="2430"/>
      <c r="F3260" s="2427">
        <v>0</v>
      </c>
      <c r="G3260" s="2429"/>
      <c r="H3260" s="2430"/>
      <c r="I3260" s="2427">
        <v>0</v>
      </c>
      <c r="J3260" s="2431">
        <v>0</v>
      </c>
    </row>
    <row r="3261" spans="1:10" x14ac:dyDescent="0.2">
      <c r="A3261" s="2426" t="s">
        <v>1543</v>
      </c>
      <c r="B3261" s="2427">
        <v>100</v>
      </c>
      <c r="C3261" s="2428">
        <v>13200000</v>
      </c>
      <c r="D3261" s="2429">
        <v>1320</v>
      </c>
      <c r="E3261" s="2430">
        <v>59.916117435590181</v>
      </c>
      <c r="F3261" s="2427">
        <v>0.12923799494694949</v>
      </c>
      <c r="G3261" s="2429">
        <v>7.1824366656079329E-3</v>
      </c>
      <c r="H3261" s="2430">
        <v>64.786865935360368</v>
      </c>
      <c r="I3261" s="2427">
        <v>0.55746082570546851</v>
      </c>
      <c r="J3261" s="2431">
        <v>2.042534535229867E-2</v>
      </c>
    </row>
    <row r="3262" spans="1:10" x14ac:dyDescent="0.2">
      <c r="A3262" s="2426" t="s">
        <v>208</v>
      </c>
      <c r="B3262" s="2427">
        <v>61.2</v>
      </c>
      <c r="C3262" s="2428">
        <v>10000000</v>
      </c>
      <c r="D3262" s="2429">
        <v>612</v>
      </c>
      <c r="E3262" s="2430">
        <v>36.668663870581192</v>
      </c>
      <c r="F3262" s="2427">
        <v>7.9093652907533091E-2</v>
      </c>
      <c r="G3262" s="2429">
        <v>4.3956512393520551E-3</v>
      </c>
      <c r="H3262" s="2430">
        <v>30.03754693366708</v>
      </c>
      <c r="I3262" s="2427">
        <v>0.2584591100998081</v>
      </c>
      <c r="J3262" s="2431">
        <v>9.4699328451566568E-3</v>
      </c>
    </row>
    <row r="3263" spans="1:10" x14ac:dyDescent="0.2">
      <c r="A3263" s="2426" t="s">
        <v>209</v>
      </c>
      <c r="B3263" s="2427">
        <v>0</v>
      </c>
      <c r="C3263" s="2428">
        <v>10000000</v>
      </c>
      <c r="D3263" s="2429">
        <v>0</v>
      </c>
      <c r="E3263" s="2430">
        <v>0</v>
      </c>
      <c r="F3263" s="2427">
        <v>0</v>
      </c>
      <c r="G3263" s="2429">
        <v>0</v>
      </c>
      <c r="H3263" s="2430">
        <v>0</v>
      </c>
      <c r="I3263" s="2427">
        <v>0</v>
      </c>
      <c r="J3263" s="2431">
        <v>0</v>
      </c>
    </row>
    <row r="3264" spans="1:10" x14ac:dyDescent="0.2">
      <c r="A3264" s="2426" t="s">
        <v>210</v>
      </c>
      <c r="B3264" s="2427">
        <v>5.7</v>
      </c>
      <c r="C3264" s="2428">
        <v>18500000</v>
      </c>
      <c r="D3264" s="2429">
        <v>105.45</v>
      </c>
      <c r="E3264" s="2430">
        <v>3.4152186938286406</v>
      </c>
      <c r="F3264" s="2427">
        <v>7.3665657119761198E-3</v>
      </c>
      <c r="G3264" s="2429">
        <v>4.0939888993965219E-4</v>
      </c>
      <c r="H3264" s="2430">
        <v>5.1755871309725396</v>
      </c>
      <c r="I3264" s="2427">
        <v>4.4533518235334593E-2</v>
      </c>
      <c r="J3264" s="2431">
        <v>1.6317065662120414E-3</v>
      </c>
    </row>
    <row r="3265" spans="1:10" x14ac:dyDescent="0.2">
      <c r="A3265" s="2426" t="s">
        <v>1545</v>
      </c>
      <c r="B3265" s="2427">
        <v>0</v>
      </c>
      <c r="C3265" s="2428">
        <v>14200000</v>
      </c>
      <c r="D3265" s="2429">
        <v>0</v>
      </c>
      <c r="E3265" s="2430">
        <v>0</v>
      </c>
      <c r="F3265" s="2427">
        <v>0</v>
      </c>
      <c r="G3265" s="2429">
        <v>0</v>
      </c>
      <c r="H3265" s="2430">
        <v>0</v>
      </c>
      <c r="I3265" s="2427">
        <v>0</v>
      </c>
      <c r="J3265" s="2431">
        <v>0</v>
      </c>
    </row>
    <row r="3266" spans="1:10" x14ac:dyDescent="0.2">
      <c r="A3266" s="2426" t="s">
        <v>1546</v>
      </c>
      <c r="B3266" s="2427">
        <v>0</v>
      </c>
      <c r="C3266" s="2428">
        <v>10000000</v>
      </c>
      <c r="D3266" s="2429">
        <v>0</v>
      </c>
      <c r="E3266" s="2430">
        <v>0</v>
      </c>
      <c r="F3266" s="2427">
        <v>0</v>
      </c>
      <c r="G3266" s="2429">
        <v>0</v>
      </c>
      <c r="H3266" s="2430">
        <v>0</v>
      </c>
      <c r="I3266" s="2427">
        <v>0</v>
      </c>
      <c r="J3266" s="2431">
        <v>0</v>
      </c>
    </row>
    <row r="3267" spans="1:10" x14ac:dyDescent="0.2">
      <c r="A3267" s="2445" t="s">
        <v>121</v>
      </c>
      <c r="B3267" s="2446">
        <v>166.89999999999998</v>
      </c>
      <c r="C3267" s="2447"/>
      <c r="D3267" s="2448">
        <v>2037.45</v>
      </c>
      <c r="E3267" s="2449">
        <v>100.00000000000001</v>
      </c>
      <c r="F3267" s="2446">
        <v>0.21569821356645863</v>
      </c>
      <c r="G3267" s="2448">
        <v>1.1987486794899639E-2</v>
      </c>
      <c r="H3267" s="2449">
        <v>99.999999999999986</v>
      </c>
      <c r="I3267" s="2446">
        <v>0.86045345404061124</v>
      </c>
      <c r="J3267" s="2450">
        <v>3.1526984763667373E-2</v>
      </c>
    </row>
    <row r="3268" spans="1:10" ht="14.25" thickBot="1" x14ac:dyDescent="0.25">
      <c r="A3268" s="2457" t="s">
        <v>1840</v>
      </c>
      <c r="B3268" s="2446">
        <v>77376.626000000004</v>
      </c>
      <c r="C3268" s="2458"/>
      <c r="D3268" s="2448">
        <v>236787.93901428601</v>
      </c>
      <c r="E3268" s="2459"/>
      <c r="F3268" s="2460">
        <v>100</v>
      </c>
      <c r="G3268" s="2461">
        <v>5.5575271564343218</v>
      </c>
      <c r="H3268" s="2462"/>
      <c r="I3268" s="2460">
        <v>99.999999999999986</v>
      </c>
      <c r="J3268" s="2463">
        <v>3.6639965375953238</v>
      </c>
    </row>
    <row r="3269" spans="1:10" ht="15" thickBot="1" x14ac:dyDescent="0.25">
      <c r="A3269" s="2464" t="s">
        <v>1841</v>
      </c>
      <c r="B3269" s="2465">
        <v>1392285.1624830281</v>
      </c>
      <c r="C3269" s="2466"/>
      <c r="D3269" s="2467">
        <v>6462559.0276810033</v>
      </c>
      <c r="E3269" s="2468"/>
      <c r="F3269" s="2469"/>
      <c r="G3269" s="2469"/>
      <c r="H3269" s="2469"/>
      <c r="I3269" s="2469"/>
      <c r="J3269" s="2469"/>
    </row>
    <row r="3270" spans="1:10" ht="16.5" thickBot="1" x14ac:dyDescent="0.3">
      <c r="A3270" s="2470" t="s">
        <v>1842</v>
      </c>
      <c r="B3270" s="2471">
        <v>5.5575271564343209</v>
      </c>
      <c r="C3270" s="2472"/>
      <c r="D3270" s="2473">
        <v>3.6639965375953243</v>
      </c>
      <c r="E3270" s="2468"/>
      <c r="F3270" s="2469"/>
      <c r="G3270" s="2469"/>
      <c r="H3270" s="2469"/>
      <c r="I3270" s="2469"/>
      <c r="J3270" s="2469"/>
    </row>
    <row r="3271" spans="1:10" x14ac:dyDescent="0.2">
      <c r="A3271" s="2474" t="s">
        <v>2023</v>
      </c>
      <c r="B3271" s="2474"/>
      <c r="C3271" s="2474"/>
      <c r="D3271" s="2475"/>
      <c r="E3271" s="2474"/>
      <c r="F3271" s="2474"/>
      <c r="H3271" s="2474"/>
      <c r="I3271" s="2474"/>
      <c r="J3271" s="2474"/>
    </row>
    <row r="3272" spans="1:10" x14ac:dyDescent="0.2">
      <c r="A3272" s="2474" t="s">
        <v>1843</v>
      </c>
      <c r="B3272" s="2474"/>
      <c r="C3272" s="2474"/>
      <c r="D3272" s="2474"/>
      <c r="E3272" s="2474"/>
      <c r="F3272" s="2474"/>
      <c r="G3272" s="2474"/>
      <c r="H3272" s="2474"/>
      <c r="I3272" s="2474"/>
      <c r="J3272" s="2474"/>
    </row>
    <row r="3273" spans="1:10" x14ac:dyDescent="0.2">
      <c r="A3273" s="2474" t="s">
        <v>2024</v>
      </c>
      <c r="B3273" s="2474"/>
      <c r="C3273" s="2474"/>
      <c r="D3273" s="2474"/>
      <c r="E3273" s="2474"/>
      <c r="F3273" s="2474"/>
      <c r="G3273" s="2474"/>
      <c r="H3273" s="2474"/>
      <c r="I3273" s="2474"/>
      <c r="J3273" s="2474"/>
    </row>
    <row r="3277" spans="1:10" ht="13.5" thickBot="1" x14ac:dyDescent="0.25">
      <c r="A3277" s="3321" t="s">
        <v>2021</v>
      </c>
      <c r="B3277" s="3321"/>
      <c r="C3277" s="3321"/>
      <c r="D3277" s="3321"/>
      <c r="E3277" s="3321"/>
      <c r="F3277" s="3321"/>
      <c r="G3277" s="3321"/>
      <c r="H3277" s="3321"/>
      <c r="I3277" s="3321"/>
      <c r="J3277" s="3321"/>
    </row>
    <row r="3278" spans="1:10" ht="13.5" customHeight="1" thickBot="1" x14ac:dyDescent="0.25">
      <c r="A3278" s="3322" t="s">
        <v>392</v>
      </c>
      <c r="B3278" s="3324" t="s">
        <v>1272</v>
      </c>
      <c r="C3278" s="3324" t="s">
        <v>1832</v>
      </c>
      <c r="D3278" s="3326" t="s">
        <v>1844</v>
      </c>
      <c r="E3278" s="3328" t="s">
        <v>1849</v>
      </c>
      <c r="F3278" s="3329"/>
      <c r="G3278" s="3330"/>
      <c r="H3278" s="3328" t="s">
        <v>1850</v>
      </c>
      <c r="I3278" s="3329"/>
      <c r="J3278" s="3331"/>
    </row>
    <row r="3279" spans="1:10" ht="13.5" customHeight="1" thickBot="1" x14ac:dyDescent="0.25">
      <c r="A3279" s="3323"/>
      <c r="B3279" s="3325"/>
      <c r="C3279" s="3325"/>
      <c r="D3279" s="3327"/>
      <c r="E3279" s="2415" t="s">
        <v>1848</v>
      </c>
      <c r="F3279" s="2416" t="s">
        <v>1231</v>
      </c>
      <c r="G3279" s="2417" t="s">
        <v>1833</v>
      </c>
      <c r="H3279" s="2415" t="s">
        <v>1848</v>
      </c>
      <c r="I3279" s="2416" t="s">
        <v>1231</v>
      </c>
      <c r="J3279" s="2418" t="s">
        <v>1833</v>
      </c>
    </row>
    <row r="3280" spans="1:10" x14ac:dyDescent="0.2">
      <c r="A3280" s="2419" t="s">
        <v>1851</v>
      </c>
      <c r="B3280" s="2420"/>
      <c r="C3280" s="2420"/>
      <c r="D3280" s="2421"/>
      <c r="E3280" s="2422"/>
      <c r="F3280" s="2423"/>
      <c r="G3280" s="2424"/>
      <c r="H3280" s="2422"/>
      <c r="I3280" s="2423"/>
      <c r="J3280" s="2425"/>
    </row>
    <row r="3281" spans="1:12" x14ac:dyDescent="0.2">
      <c r="A3281" s="2426" t="s">
        <v>410</v>
      </c>
      <c r="B3281" s="2427">
        <v>0</v>
      </c>
      <c r="C3281" s="2428">
        <v>5667200.0000000009</v>
      </c>
      <c r="D3281" s="2429">
        <v>0</v>
      </c>
      <c r="E3281" s="2430">
        <v>0</v>
      </c>
      <c r="F3281" s="2427">
        <v>0</v>
      </c>
      <c r="G3281" s="2429">
        <v>0</v>
      </c>
      <c r="H3281" s="2430">
        <v>0</v>
      </c>
      <c r="I3281" s="2427">
        <v>0</v>
      </c>
      <c r="J3281" s="2431">
        <v>0</v>
      </c>
      <c r="L3281" s="2480"/>
    </row>
    <row r="3282" spans="1:12" x14ac:dyDescent="0.2">
      <c r="A3282" s="2426" t="s">
        <v>411</v>
      </c>
      <c r="B3282" s="2427">
        <v>0</v>
      </c>
      <c r="C3282" s="2428">
        <v>1753716.5000000002</v>
      </c>
      <c r="D3282" s="2429">
        <v>0</v>
      </c>
      <c r="E3282" s="2430">
        <v>0</v>
      </c>
      <c r="F3282" s="2427">
        <v>0</v>
      </c>
      <c r="G3282" s="2429">
        <v>0</v>
      </c>
      <c r="H3282" s="2430">
        <v>0</v>
      </c>
      <c r="I3282" s="2427">
        <v>0</v>
      </c>
      <c r="J3282" s="2431">
        <v>0</v>
      </c>
      <c r="L3282" s="2482"/>
    </row>
    <row r="3283" spans="1:12" x14ac:dyDescent="0.2">
      <c r="A3283" s="2426" t="s">
        <v>278</v>
      </c>
      <c r="B3283" s="2427">
        <v>417</v>
      </c>
      <c r="C3283" s="2428">
        <v>1637875</v>
      </c>
      <c r="D3283" s="2429">
        <v>682.993875</v>
      </c>
      <c r="E3283" s="2430">
        <v>2.6778190659946901</v>
      </c>
      <c r="F3283" s="2427">
        <v>2.201472420777085</v>
      </c>
      <c r="G3283" s="2429">
        <v>2.9950760895585082E-2</v>
      </c>
      <c r="H3283" s="2430">
        <v>0.71337986740505155</v>
      </c>
      <c r="I3283" s="2427">
        <v>0.63828463737226837</v>
      </c>
      <c r="J3283" s="2431">
        <v>1.0568474068469478E-2</v>
      </c>
      <c r="L3283" s="2480"/>
    </row>
    <row r="3284" spans="1:12" x14ac:dyDescent="0.2">
      <c r="A3284" s="2426" t="s">
        <v>200</v>
      </c>
      <c r="B3284" s="2427">
        <v>125.79999999999998</v>
      </c>
      <c r="C3284" s="2428">
        <v>7709114.5</v>
      </c>
      <c r="D3284" s="2429">
        <v>969.80660409999996</v>
      </c>
      <c r="E3284" s="2430">
        <v>0.80784085971734287</v>
      </c>
      <c r="F3284" s="2427">
        <v>0.66413724348622849</v>
      </c>
      <c r="G3284" s="2429">
        <v>9.0355053253347792E-3</v>
      </c>
      <c r="H3284" s="2430">
        <v>1.0129527247098684</v>
      </c>
      <c r="I3284" s="2427">
        <v>0.90632241265589597</v>
      </c>
      <c r="J3284" s="2431">
        <v>1.500654152551704E-2</v>
      </c>
      <c r="L3284" s="2480"/>
    </row>
    <row r="3285" spans="1:12" x14ac:dyDescent="0.2">
      <c r="A3285" s="2426" t="s">
        <v>429</v>
      </c>
      <c r="B3285" s="2427">
        <v>0</v>
      </c>
      <c r="C3285" s="2428">
        <v>1255000</v>
      </c>
      <c r="D3285" s="2429">
        <v>0</v>
      </c>
      <c r="E3285" s="2430">
        <v>0</v>
      </c>
      <c r="F3285" s="2427">
        <v>0</v>
      </c>
      <c r="G3285" s="2429">
        <v>0</v>
      </c>
      <c r="H3285" s="2430">
        <v>0</v>
      </c>
      <c r="I3285" s="2427">
        <v>0</v>
      </c>
      <c r="J3285" s="2431">
        <v>0</v>
      </c>
      <c r="L3285" s="2480"/>
    </row>
    <row r="3286" spans="1:12" x14ac:dyDescent="0.2">
      <c r="A3286" s="2432" t="s">
        <v>431</v>
      </c>
      <c r="B3286" s="2427">
        <v>0</v>
      </c>
      <c r="C3286" s="2428">
        <v>0</v>
      </c>
      <c r="D3286" s="2429">
        <v>0</v>
      </c>
      <c r="E3286" s="2430">
        <v>0</v>
      </c>
      <c r="F3286" s="2427">
        <v>0</v>
      </c>
      <c r="G3286" s="2429">
        <v>0</v>
      </c>
      <c r="H3286" s="2430">
        <v>0</v>
      </c>
      <c r="I3286" s="2427">
        <v>0</v>
      </c>
      <c r="J3286" s="2431">
        <v>0</v>
      </c>
      <c r="L3286" s="2480"/>
    </row>
    <row r="3287" spans="1:12" x14ac:dyDescent="0.2">
      <c r="A3287" s="2432" t="s">
        <v>430</v>
      </c>
      <c r="B3287" s="2427">
        <v>0</v>
      </c>
      <c r="C3287" s="2428">
        <v>0</v>
      </c>
      <c r="D3287" s="2429">
        <v>0</v>
      </c>
      <c r="E3287" s="2430">
        <v>0</v>
      </c>
      <c r="F3287" s="2427">
        <v>0</v>
      </c>
      <c r="G3287" s="2429">
        <v>0</v>
      </c>
      <c r="H3287" s="2430">
        <v>0</v>
      </c>
      <c r="I3287" s="2427">
        <v>0</v>
      </c>
      <c r="J3287" s="2431">
        <v>0</v>
      </c>
      <c r="L3287" s="2480"/>
    </row>
    <row r="3288" spans="1:12" x14ac:dyDescent="0.2">
      <c r="A3288" s="2433" t="s">
        <v>279</v>
      </c>
      <c r="B3288" s="2434">
        <v>542.79999999999995</v>
      </c>
      <c r="C3288" s="2433"/>
      <c r="D3288" s="2435">
        <v>1652.8004790999998</v>
      </c>
      <c r="E3288" s="2436">
        <v>3.4856599257120333</v>
      </c>
      <c r="F3288" s="2434">
        <v>2.8656096642633133</v>
      </c>
      <c r="G3288" s="2435">
        <v>3.8986266220919857E-2</v>
      </c>
      <c r="H3288" s="2436">
        <v>1.7263325921149197</v>
      </c>
      <c r="I3288" s="2434">
        <v>1.5446070500281641</v>
      </c>
      <c r="J3288" s="2437">
        <v>2.5575015593986516E-2</v>
      </c>
      <c r="L3288" s="2480"/>
    </row>
    <row r="3289" spans="1:12" x14ac:dyDescent="0.2">
      <c r="A3289" s="2438" t="s">
        <v>412</v>
      </c>
      <c r="B3289" s="2427">
        <v>36</v>
      </c>
      <c r="C3289" s="2428">
        <v>4129499.9999999995</v>
      </c>
      <c r="D3289" s="2429">
        <v>148.66199999999998</v>
      </c>
      <c r="E3289" s="2430">
        <v>0.23117862440241929</v>
      </c>
      <c r="F3289" s="2427">
        <v>0.19005517301672678</v>
      </c>
      <c r="G3289" s="2429">
        <v>2.5856771996188559E-3</v>
      </c>
      <c r="H3289" s="2430">
        <v>0.15527588420638436</v>
      </c>
      <c r="I3289" s="2427">
        <v>0.13893048566656052</v>
      </c>
      <c r="J3289" s="2431">
        <v>2.3003580990632005E-3</v>
      </c>
      <c r="L3289" s="2480"/>
    </row>
    <row r="3290" spans="1:12" x14ac:dyDescent="0.2">
      <c r="A3290" s="2438" t="s">
        <v>413</v>
      </c>
      <c r="B3290" s="2427">
        <v>220</v>
      </c>
      <c r="C3290" s="2428">
        <v>1200000</v>
      </c>
      <c r="D3290" s="2429">
        <v>264</v>
      </c>
      <c r="E3290" s="2430">
        <v>1.4127582602370068</v>
      </c>
      <c r="F3290" s="2427">
        <v>1.1614482795466636</v>
      </c>
      <c r="G3290" s="2429">
        <v>1.5801360664337454E-2</v>
      </c>
      <c r="H3290" s="2430">
        <v>0.27574520341772257</v>
      </c>
      <c r="I3290" s="2427">
        <v>0.24671838274725205</v>
      </c>
      <c r="J3290" s="2431">
        <v>4.0850690704597337E-3</v>
      </c>
      <c r="L3290" s="2480"/>
    </row>
    <row r="3291" spans="1:12" x14ac:dyDescent="0.2">
      <c r="A3291" s="2426" t="s">
        <v>90</v>
      </c>
      <c r="B3291" s="2427">
        <v>0</v>
      </c>
      <c r="C3291" s="2428">
        <v>1743000</v>
      </c>
      <c r="D3291" s="2429">
        <v>0</v>
      </c>
      <c r="E3291" s="2430">
        <v>0</v>
      </c>
      <c r="F3291" s="2427">
        <v>0</v>
      </c>
      <c r="G3291" s="2429">
        <v>0</v>
      </c>
      <c r="H3291" s="2430">
        <v>0</v>
      </c>
      <c r="I3291" s="2427">
        <v>0</v>
      </c>
      <c r="J3291" s="2431">
        <v>0</v>
      </c>
      <c r="L3291" s="2480"/>
    </row>
    <row r="3292" spans="1:12" x14ac:dyDescent="0.2">
      <c r="A3292" s="2426" t="s">
        <v>417</v>
      </c>
      <c r="B3292" s="2427">
        <v>84</v>
      </c>
      <c r="C3292" s="2428">
        <v>2563999.9999999995</v>
      </c>
      <c r="D3292" s="2429">
        <v>215.37599999999998</v>
      </c>
      <c r="E3292" s="2430">
        <v>0.53941679027231182</v>
      </c>
      <c r="F3292" s="2427">
        <v>0.44346207037236246</v>
      </c>
      <c r="G3292" s="2429">
        <v>6.0332467991106638E-3</v>
      </c>
      <c r="H3292" s="2430">
        <v>0.22495795049733114</v>
      </c>
      <c r="I3292" s="2427">
        <v>0.20127734243398543</v>
      </c>
      <c r="J3292" s="2431">
        <v>3.3326736216641503E-3</v>
      </c>
    </row>
    <row r="3293" spans="1:12" x14ac:dyDescent="0.2">
      <c r="A3293" s="2426" t="s">
        <v>418</v>
      </c>
      <c r="B3293" s="2427">
        <v>96</v>
      </c>
      <c r="C3293" s="2428">
        <v>2222500</v>
      </c>
      <c r="D3293" s="2429">
        <v>213.36</v>
      </c>
      <c r="E3293" s="2430">
        <v>0.61647633173978489</v>
      </c>
      <c r="F3293" s="2427">
        <v>0.50681379471127141</v>
      </c>
      <c r="G3293" s="2429">
        <v>6.8951391989836167E-3</v>
      </c>
      <c r="H3293" s="2430">
        <v>0.22285225985305035</v>
      </c>
      <c r="I3293" s="2427">
        <v>0.1993933111475519</v>
      </c>
      <c r="J3293" s="2431">
        <v>3.3014785487624583E-3</v>
      </c>
    </row>
    <row r="3294" spans="1:12" x14ac:dyDescent="0.2">
      <c r="A3294" s="2426" t="s">
        <v>423</v>
      </c>
      <c r="B3294" s="2427">
        <v>40</v>
      </c>
      <c r="C3294" s="2428">
        <v>2531500</v>
      </c>
      <c r="D3294" s="2429">
        <v>101.26</v>
      </c>
      <c r="E3294" s="2430">
        <v>0.25686513822491036</v>
      </c>
      <c r="F3294" s="2427">
        <v>0.21117241446302976</v>
      </c>
      <c r="G3294" s="2429">
        <v>2.872974666243173E-3</v>
      </c>
      <c r="H3294" s="2430">
        <v>0.10576499734120678</v>
      </c>
      <c r="I3294" s="2427">
        <v>9.4631452412828582E-2</v>
      </c>
      <c r="J3294" s="2431">
        <v>1.5668715684649724E-3</v>
      </c>
    </row>
    <row r="3295" spans="1:12" x14ac:dyDescent="0.2">
      <c r="A3295" s="2426" t="s">
        <v>424</v>
      </c>
      <c r="B3295" s="2427">
        <v>0</v>
      </c>
      <c r="C3295" s="2428">
        <v>1369000</v>
      </c>
      <c r="D3295" s="2429">
        <v>0</v>
      </c>
      <c r="E3295" s="2430">
        <v>0</v>
      </c>
      <c r="F3295" s="2427">
        <v>0</v>
      </c>
      <c r="G3295" s="2429">
        <v>0</v>
      </c>
      <c r="H3295" s="2430">
        <v>0</v>
      </c>
      <c r="I3295" s="2427">
        <v>0</v>
      </c>
      <c r="J3295" s="2431">
        <v>0</v>
      </c>
    </row>
    <row r="3296" spans="1:12" x14ac:dyDescent="0.2">
      <c r="A3296" s="2426" t="s">
        <v>280</v>
      </c>
      <c r="B3296" s="2427">
        <v>254</v>
      </c>
      <c r="C3296" s="2428">
        <v>1574500</v>
      </c>
      <c r="D3296" s="2429">
        <v>399.923</v>
      </c>
      <c r="E3296" s="2430">
        <v>1.6310936277281807</v>
      </c>
      <c r="F3296" s="2427">
        <v>1.3409448318402388</v>
      </c>
      <c r="G3296" s="2429">
        <v>1.824338913064415E-2</v>
      </c>
      <c r="H3296" s="2430">
        <v>0.41771533706979502</v>
      </c>
      <c r="I3296" s="2427">
        <v>0.37374377190692915</v>
      </c>
      <c r="J3296" s="2431">
        <v>6.1883071131267732E-3</v>
      </c>
    </row>
    <row r="3297" spans="1:10" x14ac:dyDescent="0.2">
      <c r="A3297" s="2426" t="s">
        <v>427</v>
      </c>
      <c r="B3297" s="2427">
        <v>65</v>
      </c>
      <c r="C3297" s="2428">
        <v>2072000</v>
      </c>
      <c r="D3297" s="2429">
        <v>134.68</v>
      </c>
      <c r="E3297" s="2430">
        <v>0.41740584961547933</v>
      </c>
      <c r="F3297" s="2427">
        <v>0.34315517350242336</v>
      </c>
      <c r="G3297" s="2429">
        <v>4.6685838326451564E-3</v>
      </c>
      <c r="H3297" s="2430">
        <v>0.14067183331931396</v>
      </c>
      <c r="I3297" s="2427">
        <v>0.12586375677424208</v>
      </c>
      <c r="J3297" s="2431">
        <v>2.0840041757936253E-3</v>
      </c>
    </row>
    <row r="3298" spans="1:10" x14ac:dyDescent="0.2">
      <c r="A3298" s="2426" t="s">
        <v>428</v>
      </c>
      <c r="B3298" s="2427">
        <v>0</v>
      </c>
      <c r="C3298" s="2428">
        <v>1326280</v>
      </c>
      <c r="D3298" s="2429">
        <v>0</v>
      </c>
      <c r="E3298" s="2430">
        <v>0</v>
      </c>
      <c r="F3298" s="2427">
        <v>0</v>
      </c>
      <c r="G3298" s="2429">
        <v>0</v>
      </c>
      <c r="H3298" s="2430">
        <v>0</v>
      </c>
      <c r="I3298" s="2427">
        <v>0</v>
      </c>
      <c r="J3298" s="2431">
        <v>0</v>
      </c>
    </row>
    <row r="3299" spans="1:10" x14ac:dyDescent="0.2">
      <c r="A3299" s="2439" t="s">
        <v>92</v>
      </c>
      <c r="B3299" s="2427">
        <v>550</v>
      </c>
      <c r="C3299" s="2428">
        <v>2215500</v>
      </c>
      <c r="D3299" s="2429">
        <v>1218.5250000000001</v>
      </c>
      <c r="E3299" s="2430">
        <v>3.5318956505925176</v>
      </c>
      <c r="F3299" s="2427">
        <v>2.9036206988666593</v>
      </c>
      <c r="G3299" s="2429">
        <v>3.950340166084363E-2</v>
      </c>
      <c r="H3299" s="2430">
        <v>1.272736454524926</v>
      </c>
      <c r="I3299" s="2427">
        <v>1.1387595353677853</v>
      </c>
      <c r="J3299" s="2431">
        <v>1.8855146928340713E-2</v>
      </c>
    </row>
    <row r="3300" spans="1:10" x14ac:dyDescent="0.2">
      <c r="A3300" s="2433" t="s">
        <v>281</v>
      </c>
      <c r="B3300" s="2434">
        <v>1345</v>
      </c>
      <c r="C3300" s="2433"/>
      <c r="D3300" s="2435">
        <v>2695.7860000000001</v>
      </c>
      <c r="E3300" s="2436">
        <v>8.6370902728126104</v>
      </c>
      <c r="F3300" s="2434">
        <v>7.1006724363193747</v>
      </c>
      <c r="G3300" s="2435">
        <v>9.66037731524267E-2</v>
      </c>
      <c r="H3300" s="2436">
        <v>2.8157199202297303</v>
      </c>
      <c r="I3300" s="2434">
        <v>2.519318038457135</v>
      </c>
      <c r="J3300" s="2437">
        <v>4.1713909125675623E-2</v>
      </c>
    </row>
    <row r="3301" spans="1:10" x14ac:dyDescent="0.2">
      <c r="A3301" s="2440" t="s">
        <v>106</v>
      </c>
      <c r="B3301" s="2441">
        <v>1887.8</v>
      </c>
      <c r="C3301" s="2440"/>
      <c r="D3301" s="2442">
        <v>4348.5864791000004</v>
      </c>
      <c r="E3301" s="2443">
        <v>12.122750198524644</v>
      </c>
      <c r="F3301" s="2441">
        <v>9.9662821005826885</v>
      </c>
      <c r="G3301" s="2442">
        <v>0.13559003937334654</v>
      </c>
      <c r="H3301" s="2443">
        <v>4.5420525123446502</v>
      </c>
      <c r="I3301" s="2441">
        <v>4.0639250884853002</v>
      </c>
      <c r="J3301" s="2444">
        <v>6.7288924719662149E-2</v>
      </c>
    </row>
    <row r="3302" spans="1:10" x14ac:dyDescent="0.2">
      <c r="A3302" s="2426" t="s">
        <v>905</v>
      </c>
      <c r="B3302" s="2427">
        <v>4</v>
      </c>
      <c r="C3302" s="2428">
        <v>6100000</v>
      </c>
      <c r="D3302" s="2429">
        <v>24.4</v>
      </c>
      <c r="E3302" s="2430">
        <v>2.5686513822491035E-2</v>
      </c>
      <c r="F3302" s="2427">
        <v>2.1117241446302972E-2</v>
      </c>
      <c r="G3302" s="2429">
        <v>2.8729746662431731E-4</v>
      </c>
      <c r="H3302" s="2430">
        <v>2.5485541528001632E-2</v>
      </c>
      <c r="I3302" s="2427">
        <v>2.2802759617549052E-2</v>
      </c>
      <c r="J3302" s="2431">
        <v>3.7755941408794511E-4</v>
      </c>
    </row>
    <row r="3303" spans="1:10" x14ac:dyDescent="0.2">
      <c r="A3303" s="2426" t="s">
        <v>906</v>
      </c>
      <c r="B3303" s="2427">
        <v>135</v>
      </c>
      <c r="C3303" s="2428">
        <v>3022000.0000000005</v>
      </c>
      <c r="D3303" s="2429">
        <v>407.97000000000008</v>
      </c>
      <c r="E3303" s="2430">
        <v>0.86691984150907231</v>
      </c>
      <c r="F3303" s="2427">
        <v>0.71270689881272542</v>
      </c>
      <c r="G3303" s="2429">
        <v>9.6962894985707093E-3</v>
      </c>
      <c r="H3303" s="2430">
        <v>0.42612034332700116</v>
      </c>
      <c r="I3303" s="2427">
        <v>0.38126400988407738</v>
      </c>
      <c r="J3303" s="2431">
        <v>6.3128243510434025E-3</v>
      </c>
    </row>
    <row r="3304" spans="1:10" x14ac:dyDescent="0.2">
      <c r="A3304" s="2426" t="s">
        <v>907</v>
      </c>
      <c r="B3304" s="2427">
        <v>200</v>
      </c>
      <c r="C3304" s="2428">
        <v>2324000</v>
      </c>
      <c r="D3304" s="2429">
        <v>464.8</v>
      </c>
      <c r="E3304" s="2430">
        <v>1.2843256911245517</v>
      </c>
      <c r="F3304" s="2427">
        <v>1.0558620723151488</v>
      </c>
      <c r="G3304" s="2429">
        <v>1.4364873331215866E-2</v>
      </c>
      <c r="H3304" s="2430">
        <v>0.48547867632029346</v>
      </c>
      <c r="I3304" s="2427">
        <v>0.43437387992773774</v>
      </c>
      <c r="J3304" s="2431">
        <v>7.1921973634457743E-3</v>
      </c>
    </row>
    <row r="3305" spans="1:10" x14ac:dyDescent="0.2">
      <c r="A3305" s="2439" t="s">
        <v>908</v>
      </c>
      <c r="B3305" s="2427">
        <v>350</v>
      </c>
      <c r="C3305" s="2428">
        <v>2403999.9999999995</v>
      </c>
      <c r="D3305" s="2429">
        <v>841.39999999999986</v>
      </c>
      <c r="E3305" s="2430">
        <v>2.2475699594679655</v>
      </c>
      <c r="F3305" s="2427">
        <v>1.8477586265515105</v>
      </c>
      <c r="G3305" s="2429">
        <v>2.5138528329627766E-2</v>
      </c>
      <c r="H3305" s="2430">
        <v>0.87883338695330204</v>
      </c>
      <c r="I3305" s="2427">
        <v>0.78632139107400689</v>
      </c>
      <c r="J3305" s="2431">
        <v>1.30196102874425E-2</v>
      </c>
    </row>
    <row r="3306" spans="1:10" x14ac:dyDescent="0.2">
      <c r="A3306" s="2440" t="s">
        <v>282</v>
      </c>
      <c r="B3306" s="2441">
        <v>689</v>
      </c>
      <c r="C3306" s="2440"/>
      <c r="D3306" s="2442">
        <v>1738.57</v>
      </c>
      <c r="E3306" s="2443">
        <v>4.4245020059240812</v>
      </c>
      <c r="F3306" s="2441">
        <v>3.6374448391256871</v>
      </c>
      <c r="G3306" s="2442">
        <v>4.9486988626038661E-2</v>
      </c>
      <c r="H3306" s="2443">
        <v>1.8159179481285985</v>
      </c>
      <c r="I3306" s="2441">
        <v>1.6247620405033711</v>
      </c>
      <c r="J3306" s="2444">
        <v>2.690219141601962E-2</v>
      </c>
    </row>
    <row r="3307" spans="1:10" x14ac:dyDescent="0.2">
      <c r="A3307" s="2426" t="s">
        <v>955</v>
      </c>
      <c r="B3307" s="2427">
        <v>30.099999999999998</v>
      </c>
      <c r="C3307" s="2428">
        <v>12137000</v>
      </c>
      <c r="D3307" s="2429">
        <v>365.32369999999997</v>
      </c>
      <c r="E3307" s="2430">
        <v>0.19329101651424502</v>
      </c>
      <c r="F3307" s="2427">
        <v>0.15890724188342989</v>
      </c>
      <c r="G3307" s="2429">
        <v>2.1619134363479878E-3</v>
      </c>
      <c r="H3307" s="2430">
        <v>0.38157673473414799</v>
      </c>
      <c r="I3307" s="2427">
        <v>0.34140936531531169</v>
      </c>
      <c r="J3307" s="2431">
        <v>5.6529263165754186E-3</v>
      </c>
    </row>
    <row r="3308" spans="1:10" x14ac:dyDescent="0.2">
      <c r="A3308" s="2426" t="s">
        <v>283</v>
      </c>
      <c r="B3308" s="2427">
        <v>3050.499962639753</v>
      </c>
      <c r="C3308" s="2428">
        <v>13024549.999999996</v>
      </c>
      <c r="D3308" s="2429">
        <v>39731.38928839958</v>
      </c>
      <c r="E3308" s="2430">
        <v>19.5891773639636</v>
      </c>
      <c r="F3308" s="2427">
        <v>16.104536060750466</v>
      </c>
      <c r="G3308" s="2429">
        <v>0.21910022780099395</v>
      </c>
      <c r="H3308" s="2430">
        <v>41.499015232569953</v>
      </c>
      <c r="I3308" s="2427">
        <v>37.130545869452412</v>
      </c>
      <c r="J3308" s="2431">
        <v>0.61479344510771328</v>
      </c>
    </row>
    <row r="3309" spans="1:10" x14ac:dyDescent="0.2">
      <c r="A3309" s="2426" t="s">
        <v>69</v>
      </c>
      <c r="B3309" s="2427">
        <v>2409.4740373602463</v>
      </c>
      <c r="C3309" s="2428">
        <v>14978232.499999994</v>
      </c>
      <c r="D3309" s="2429">
        <v>36089.662334295441</v>
      </c>
      <c r="E3309" s="2430">
        <v>15.472747041396811</v>
      </c>
      <c r="F3309" s="2427">
        <v>12.720361251383688</v>
      </c>
      <c r="G3309" s="2429">
        <v>0.17305894670766611</v>
      </c>
      <c r="H3309" s="2430">
        <v>37.695270006239461</v>
      </c>
      <c r="I3309" s="2427">
        <v>33.727208806862834</v>
      </c>
      <c r="J3309" s="2431">
        <v>0.55844228547411345</v>
      </c>
    </row>
    <row r="3310" spans="1:10" x14ac:dyDescent="0.2">
      <c r="A3310" s="2426" t="s">
        <v>199</v>
      </c>
      <c r="B3310" s="2427">
        <v>27</v>
      </c>
      <c r="C3310" s="2428">
        <v>3000000</v>
      </c>
      <c r="D3310" s="2429">
        <v>81</v>
      </c>
      <c r="E3310" s="2430">
        <v>0.17338396830181449</v>
      </c>
      <c r="F3310" s="2427">
        <v>0.14254137976254508</v>
      </c>
      <c r="G3310" s="2429">
        <v>1.939257899714142E-3</v>
      </c>
      <c r="H3310" s="2430">
        <v>8.4603641957710335E-2</v>
      </c>
      <c r="I3310" s="2427">
        <v>7.5697685615634142E-2</v>
      </c>
      <c r="J3310" s="2431">
        <v>1.2533734648001458E-3</v>
      </c>
    </row>
    <row r="3311" spans="1:10" x14ac:dyDescent="0.2">
      <c r="A3311" s="2426" t="s">
        <v>86</v>
      </c>
      <c r="B3311" s="2427">
        <v>30</v>
      </c>
      <c r="C3311" s="2428">
        <v>170000</v>
      </c>
      <c r="D3311" s="2429">
        <v>5.0999999999999996</v>
      </c>
      <c r="E3311" s="2430">
        <v>0.19264885366868276</v>
      </c>
      <c r="F3311" s="2427">
        <v>0.1583793108472723</v>
      </c>
      <c r="G3311" s="2429">
        <v>2.1547309996823799E-3</v>
      </c>
      <c r="H3311" s="2430">
        <v>5.3268959751150953E-3</v>
      </c>
      <c r="I3311" s="2427">
        <v>4.7661505757991872E-3</v>
      </c>
      <c r="J3311" s="2431">
        <v>7.891610704297213E-5</v>
      </c>
    </row>
    <row r="3312" spans="1:10" x14ac:dyDescent="0.2">
      <c r="A3312" s="2439" t="s">
        <v>213</v>
      </c>
      <c r="B3312" s="2427">
        <v>1429</v>
      </c>
      <c r="C3312" s="2428">
        <v>1850000.0000000005</v>
      </c>
      <c r="D3312" s="2429">
        <v>2643.6500000000005</v>
      </c>
      <c r="E3312" s="2430">
        <v>9.176507063084923</v>
      </c>
      <c r="F3312" s="2427">
        <v>7.544134506691738</v>
      </c>
      <c r="G3312" s="2429">
        <v>0.10263701995153736</v>
      </c>
      <c r="H3312" s="2430">
        <v>2.761264420512358</v>
      </c>
      <c r="I3312" s="2427">
        <v>2.4705948960218675</v>
      </c>
      <c r="J3312" s="2431">
        <v>4.0907169879245753E-2</v>
      </c>
    </row>
    <row r="3313" spans="1:10" x14ac:dyDescent="0.2">
      <c r="A3313" s="2433" t="s">
        <v>1834</v>
      </c>
      <c r="B3313" s="2434">
        <v>6976.0739999999987</v>
      </c>
      <c r="C3313" s="2433"/>
      <c r="D3313" s="2435">
        <v>78916.125322695021</v>
      </c>
      <c r="E3313" s="2436">
        <v>44.797755306930071</v>
      </c>
      <c r="F3313" s="2434">
        <v>36.828859751319136</v>
      </c>
      <c r="G3313" s="2435">
        <v>0.50105209679594187</v>
      </c>
      <c r="H3313" s="2436">
        <v>82.427056931988744</v>
      </c>
      <c r="I3313" s="2434">
        <v>73.750222773843859</v>
      </c>
      <c r="J3313" s="2437">
        <v>1.2211281163494911</v>
      </c>
    </row>
    <row r="3314" spans="1:10" x14ac:dyDescent="0.2">
      <c r="A3314" s="2426" t="s">
        <v>961</v>
      </c>
      <c r="B3314" s="2427">
        <v>759</v>
      </c>
      <c r="C3314" s="2428">
        <v>3668000</v>
      </c>
      <c r="D3314" s="2429">
        <v>2784.0120000000002</v>
      </c>
      <c r="E3314" s="2430">
        <v>4.8740159978176738</v>
      </c>
      <c r="F3314" s="2427">
        <v>4.0069965644359895</v>
      </c>
      <c r="G3314" s="2429">
        <v>5.4514694291964212E-2</v>
      </c>
      <c r="H3314" s="2430">
        <v>2.9078710426415939</v>
      </c>
      <c r="I3314" s="2427">
        <v>2.6017687052611467</v>
      </c>
      <c r="J3314" s="2431">
        <v>4.3079095882533135E-2</v>
      </c>
    </row>
    <row r="3315" spans="1:10" x14ac:dyDescent="0.2">
      <c r="A3315" s="2426" t="s">
        <v>962</v>
      </c>
      <c r="B3315" s="2427">
        <v>0</v>
      </c>
      <c r="C3315" s="2428">
        <v>1999999.9999999998</v>
      </c>
      <c r="D3315" s="2429">
        <v>0</v>
      </c>
      <c r="E3315" s="2430">
        <v>0</v>
      </c>
      <c r="F3315" s="2427">
        <v>0</v>
      </c>
      <c r="G3315" s="2429">
        <v>0</v>
      </c>
      <c r="H3315" s="2430">
        <v>0</v>
      </c>
      <c r="I3315" s="2427">
        <v>0</v>
      </c>
      <c r="J3315" s="2431">
        <v>0</v>
      </c>
    </row>
    <row r="3316" spans="1:10" x14ac:dyDescent="0.2">
      <c r="A3316" s="2426" t="s">
        <v>963</v>
      </c>
      <c r="B3316" s="2427">
        <v>4350</v>
      </c>
      <c r="C3316" s="2428">
        <v>1347999.9999999998</v>
      </c>
      <c r="D3316" s="2429">
        <v>5863.7999999999993</v>
      </c>
      <c r="E3316" s="2430">
        <v>27.934083781959</v>
      </c>
      <c r="F3316" s="2427">
        <v>22.965000072854487</v>
      </c>
      <c r="G3316" s="2429">
        <v>0.31243599495394508</v>
      </c>
      <c r="H3316" s="2430">
        <v>6.1246769840940969</v>
      </c>
      <c r="I3316" s="2427">
        <v>5.4799517149747592</v>
      </c>
      <c r="J3316" s="2431">
        <v>9.0734954603643142E-2</v>
      </c>
    </row>
    <row r="3317" spans="1:10" x14ac:dyDescent="0.2">
      <c r="A3317" s="2426" t="s">
        <v>965</v>
      </c>
      <c r="B3317" s="2427">
        <v>280</v>
      </c>
      <c r="C3317" s="2428">
        <v>1599999.9999999995</v>
      </c>
      <c r="D3317" s="2429">
        <v>447.99999999999989</v>
      </c>
      <c r="E3317" s="2430">
        <v>1.7980559675743726</v>
      </c>
      <c r="F3317" s="2427">
        <v>1.4782069012412082</v>
      </c>
      <c r="G3317" s="2429">
        <v>2.0110822663702215E-2</v>
      </c>
      <c r="H3317" s="2430">
        <v>0.46793125428462007</v>
      </c>
      <c r="I3317" s="2427">
        <v>0.41867361920745794</v>
      </c>
      <c r="J3317" s="2431">
        <v>6.932238422598336E-3</v>
      </c>
    </row>
    <row r="3318" spans="1:10" x14ac:dyDescent="0.2">
      <c r="A3318" s="2426" t="s">
        <v>966</v>
      </c>
      <c r="B3318" s="2427">
        <v>0</v>
      </c>
      <c r="C3318" s="2428">
        <v>2244000</v>
      </c>
      <c r="D3318" s="2429">
        <v>0</v>
      </c>
      <c r="E3318" s="2430">
        <v>0</v>
      </c>
      <c r="F3318" s="2427">
        <v>0</v>
      </c>
      <c r="G3318" s="2429">
        <v>0</v>
      </c>
      <c r="H3318" s="2430">
        <v>0</v>
      </c>
      <c r="I3318" s="2427">
        <v>0</v>
      </c>
      <c r="J3318" s="2431">
        <v>0</v>
      </c>
    </row>
    <row r="3319" spans="1:10" x14ac:dyDescent="0.2">
      <c r="A3319" s="2426" t="s">
        <v>1499</v>
      </c>
      <c r="B3319" s="2427">
        <v>0</v>
      </c>
      <c r="C3319" s="2428">
        <v>4849999.9999999991</v>
      </c>
      <c r="D3319" s="2429">
        <v>0</v>
      </c>
      <c r="E3319" s="2430">
        <v>0</v>
      </c>
      <c r="F3319" s="2427">
        <v>0</v>
      </c>
      <c r="G3319" s="2429">
        <v>0</v>
      </c>
      <c r="H3319" s="2430">
        <v>0</v>
      </c>
      <c r="I3319" s="2427">
        <v>0</v>
      </c>
      <c r="J3319" s="2431">
        <v>0</v>
      </c>
    </row>
    <row r="3320" spans="1:10" x14ac:dyDescent="0.2">
      <c r="A3320" s="2426" t="s">
        <v>1575</v>
      </c>
      <c r="B3320" s="2427">
        <v>0</v>
      </c>
      <c r="C3320" s="2428">
        <v>2250000.0000000005</v>
      </c>
      <c r="D3320" s="2429">
        <v>0</v>
      </c>
      <c r="E3320" s="2430">
        <v>0</v>
      </c>
      <c r="F3320" s="2427">
        <v>0</v>
      </c>
      <c r="G3320" s="2429">
        <v>0</v>
      </c>
      <c r="H3320" s="2430">
        <v>0</v>
      </c>
      <c r="I3320" s="2427">
        <v>0</v>
      </c>
      <c r="J3320" s="2431">
        <v>0</v>
      </c>
    </row>
    <row r="3321" spans="1:10" x14ac:dyDescent="0.2">
      <c r="A3321" s="2426" t="s">
        <v>964</v>
      </c>
      <c r="B3321" s="2427">
        <v>0</v>
      </c>
      <c r="C3321" s="2428">
        <v>1556000</v>
      </c>
      <c r="D3321" s="2429">
        <v>0</v>
      </c>
      <c r="E3321" s="2430">
        <v>0</v>
      </c>
      <c r="F3321" s="2427">
        <v>0</v>
      </c>
      <c r="G3321" s="2429">
        <v>0</v>
      </c>
      <c r="H3321" s="2430">
        <v>0</v>
      </c>
      <c r="I3321" s="2427">
        <v>0</v>
      </c>
      <c r="J3321" s="2431">
        <v>0</v>
      </c>
    </row>
    <row r="3322" spans="1:10" x14ac:dyDescent="0.2">
      <c r="A3322" s="2426" t="s">
        <v>969</v>
      </c>
      <c r="B3322" s="2427">
        <v>10</v>
      </c>
      <c r="C3322" s="2428">
        <v>4800000</v>
      </c>
      <c r="D3322" s="2429">
        <v>48</v>
      </c>
      <c r="E3322" s="2430">
        <v>6.421628455622759E-2</v>
      </c>
      <c r="F3322" s="2427">
        <v>5.2793103615757439E-2</v>
      </c>
      <c r="G3322" s="2429">
        <v>7.1824366656079324E-4</v>
      </c>
      <c r="H3322" s="2430">
        <v>5.013549153049502E-2</v>
      </c>
      <c r="I3322" s="2427">
        <v>4.4857887772227649E-2</v>
      </c>
      <c r="J3322" s="2431">
        <v>7.4273983099267893E-4</v>
      </c>
    </row>
    <row r="3323" spans="1:10" x14ac:dyDescent="0.2">
      <c r="A3323" s="2426" t="s">
        <v>968</v>
      </c>
      <c r="B3323" s="2427">
        <v>162</v>
      </c>
      <c r="C3323" s="2428">
        <v>3050000.0000000009</v>
      </c>
      <c r="D3323" s="2429">
        <v>494.10000000000019</v>
      </c>
      <c r="E3323" s="2430">
        <v>1.040303809810887</v>
      </c>
      <c r="F3323" s="2427">
        <v>0.85524827857527042</v>
      </c>
      <c r="G3323" s="2429">
        <v>1.1635547398284851E-2</v>
      </c>
      <c r="H3323" s="2430">
        <v>0.5160822159420333</v>
      </c>
      <c r="I3323" s="2427">
        <v>0.46175588225536845</v>
      </c>
      <c r="J3323" s="2431">
        <v>7.6455781352808925E-3</v>
      </c>
    </row>
    <row r="3324" spans="1:10" x14ac:dyDescent="0.2">
      <c r="A3324" s="2426" t="s">
        <v>1013</v>
      </c>
      <c r="B3324" s="2427">
        <v>20</v>
      </c>
      <c r="C3324" s="2428">
        <v>1799999.9999999998</v>
      </c>
      <c r="D3324" s="2429">
        <v>35.999999999999993</v>
      </c>
      <c r="E3324" s="2430">
        <v>0.12843256911245518</v>
      </c>
      <c r="F3324" s="2427">
        <v>0.10558620723151488</v>
      </c>
      <c r="G3324" s="2429">
        <v>1.4364873331215865E-3</v>
      </c>
      <c r="H3324" s="2430">
        <v>3.760161864787126E-2</v>
      </c>
      <c r="I3324" s="2427">
        <v>3.3643415829170728E-2</v>
      </c>
      <c r="J3324" s="2431">
        <v>5.5705487324450912E-4</v>
      </c>
    </row>
    <row r="3325" spans="1:10" x14ac:dyDescent="0.2">
      <c r="A3325" s="2426" t="s">
        <v>1014</v>
      </c>
      <c r="B3325" s="2427">
        <v>9</v>
      </c>
      <c r="C3325" s="2428">
        <v>2195000.0000000005</v>
      </c>
      <c r="D3325" s="2429">
        <v>19.755000000000003</v>
      </c>
      <c r="E3325" s="2430">
        <v>5.7794656100604823E-2</v>
      </c>
      <c r="F3325" s="2427">
        <v>4.7513793254181695E-2</v>
      </c>
      <c r="G3325" s="2429">
        <v>6.4641929990471398E-4</v>
      </c>
      <c r="H3325" s="2430">
        <v>2.0633888233019357E-2</v>
      </c>
      <c r="I3325" s="2427">
        <v>1.8461824436257442E-2</v>
      </c>
      <c r="J3325" s="2431">
        <v>3.0568386169292449E-4</v>
      </c>
    </row>
    <row r="3326" spans="1:10" x14ac:dyDescent="0.2">
      <c r="A3326" s="2426" t="s">
        <v>970</v>
      </c>
      <c r="B3326" s="2427">
        <v>35</v>
      </c>
      <c r="C3326" s="2428">
        <v>3100000.0000000005</v>
      </c>
      <c r="D3326" s="2429">
        <v>108.50000000000001</v>
      </c>
      <c r="E3326" s="2430">
        <v>0.22475699594679657</v>
      </c>
      <c r="F3326" s="2427">
        <v>0.18477586265515103</v>
      </c>
      <c r="G3326" s="2429">
        <v>2.5138528329627769E-3</v>
      </c>
      <c r="H3326" s="2430">
        <v>0.11332710064705646</v>
      </c>
      <c r="I3326" s="2427">
        <v>0.10139751715180627</v>
      </c>
      <c r="J3326" s="2431">
        <v>1.6789014929730348E-3</v>
      </c>
    </row>
    <row r="3327" spans="1:10" x14ac:dyDescent="0.2">
      <c r="A3327" s="2426" t="s">
        <v>971</v>
      </c>
      <c r="B3327" s="2427">
        <v>19</v>
      </c>
      <c r="C3327" s="2428">
        <v>3010000</v>
      </c>
      <c r="D3327" s="2429">
        <v>57.19</v>
      </c>
      <c r="E3327" s="2430">
        <v>0.12201094065683242</v>
      </c>
      <c r="F3327" s="2427">
        <v>0.10030689686993913</v>
      </c>
      <c r="G3327" s="2429">
        <v>1.3646629664655072E-3</v>
      </c>
      <c r="H3327" s="2430">
        <v>5.9734349179771037E-2</v>
      </c>
      <c r="I3327" s="2427">
        <v>5.3446304201952066E-2</v>
      </c>
      <c r="J3327" s="2431">
        <v>8.8494356113481885E-4</v>
      </c>
    </row>
    <row r="3328" spans="1:10" x14ac:dyDescent="0.2">
      <c r="A3328" s="2426" t="s">
        <v>972</v>
      </c>
      <c r="B3328" s="2427">
        <v>175</v>
      </c>
      <c r="C3328" s="2428">
        <v>2744000.0000000005</v>
      </c>
      <c r="D3328" s="2429">
        <v>480.20000000000005</v>
      </c>
      <c r="E3328" s="2430">
        <v>1.1237849797339827</v>
      </c>
      <c r="F3328" s="2427">
        <v>0.92387931327575523</v>
      </c>
      <c r="G3328" s="2429">
        <v>1.2569264164813883E-2</v>
      </c>
      <c r="H3328" s="2430">
        <v>0.50156381318632737</v>
      </c>
      <c r="I3328" s="2427">
        <v>0.44876578558799413</v>
      </c>
      <c r="J3328" s="2431">
        <v>7.4304930592225928E-3</v>
      </c>
    </row>
    <row r="3329" spans="1:10" x14ac:dyDescent="0.2">
      <c r="A3329" s="2426" t="s">
        <v>973</v>
      </c>
      <c r="B3329" s="2427">
        <v>0</v>
      </c>
      <c r="C3329" s="2428">
        <v>2549999.9999999991</v>
      </c>
      <c r="D3329" s="2429">
        <v>0</v>
      </c>
      <c r="E3329" s="2430">
        <v>0</v>
      </c>
      <c r="F3329" s="2427">
        <v>0</v>
      </c>
      <c r="G3329" s="2429">
        <v>0</v>
      </c>
      <c r="H3329" s="2430">
        <v>0</v>
      </c>
      <c r="I3329" s="2427">
        <v>0</v>
      </c>
      <c r="J3329" s="2431">
        <v>0</v>
      </c>
    </row>
    <row r="3330" spans="1:10" x14ac:dyDescent="0.2">
      <c r="A3330" s="2426" t="s">
        <v>974</v>
      </c>
      <c r="B3330" s="2427">
        <v>42</v>
      </c>
      <c r="C3330" s="2428">
        <v>1583999.9999999995</v>
      </c>
      <c r="D3330" s="2429">
        <v>66.527999999999977</v>
      </c>
      <c r="E3330" s="2430">
        <v>0.26970839513615591</v>
      </c>
      <c r="F3330" s="2427">
        <v>0.22173103518618123</v>
      </c>
      <c r="G3330" s="2429">
        <v>3.0166233995553319E-3</v>
      </c>
      <c r="H3330" s="2430">
        <v>6.9487791261266071E-2</v>
      </c>
      <c r="I3330" s="2427">
        <v>6.21730324523075E-2</v>
      </c>
      <c r="J3330" s="2431">
        <v>1.0294374057558525E-3</v>
      </c>
    </row>
    <row r="3331" spans="1:10" x14ac:dyDescent="0.2">
      <c r="A3331" s="2426" t="s">
        <v>975</v>
      </c>
      <c r="B3331" s="2427">
        <v>15</v>
      </c>
      <c r="C3331" s="2428">
        <v>2532000.0000000009</v>
      </c>
      <c r="D3331" s="2429">
        <v>37.980000000000018</v>
      </c>
      <c r="E3331" s="2430">
        <v>9.6324426834341378E-2</v>
      </c>
      <c r="F3331" s="2427">
        <v>7.9189655423636152E-2</v>
      </c>
      <c r="G3331" s="2429">
        <v>1.07736549984119E-3</v>
      </c>
      <c r="H3331" s="2430">
        <v>3.9669707673504202E-2</v>
      </c>
      <c r="I3331" s="2427">
        <v>3.5493803699775145E-2</v>
      </c>
      <c r="J3331" s="2431">
        <v>5.8769289127295747E-4</v>
      </c>
    </row>
    <row r="3332" spans="1:10" x14ac:dyDescent="0.2">
      <c r="A3332" s="2426" t="s">
        <v>976</v>
      </c>
      <c r="B3332" s="2427">
        <v>3.5</v>
      </c>
      <c r="C3332" s="2428">
        <v>7394999.9999999991</v>
      </c>
      <c r="D3332" s="2429">
        <v>25.882499999999997</v>
      </c>
      <c r="E3332" s="2430">
        <v>2.2475699594679655E-2</v>
      </c>
      <c r="F3332" s="2427">
        <v>1.8477586265515104E-2</v>
      </c>
      <c r="G3332" s="2429">
        <v>2.5138528329627768E-4</v>
      </c>
      <c r="H3332" s="2430">
        <v>2.7033997073709105E-2</v>
      </c>
      <c r="I3332" s="2427">
        <v>2.4188214172180873E-2</v>
      </c>
      <c r="J3332" s="2431">
        <v>4.0049924324308351E-4</v>
      </c>
    </row>
    <row r="3333" spans="1:10" x14ac:dyDescent="0.2">
      <c r="A3333" s="2426" t="s">
        <v>286</v>
      </c>
      <c r="B3333" s="2427">
        <v>14</v>
      </c>
      <c r="C3333" s="2428">
        <v>2445000.0000000005</v>
      </c>
      <c r="D3333" s="2429">
        <v>34.230000000000004</v>
      </c>
      <c r="E3333" s="2430">
        <v>8.9902798378718618E-2</v>
      </c>
      <c r="F3333" s="2427">
        <v>7.3910345062060415E-2</v>
      </c>
      <c r="G3333" s="2429">
        <v>1.0055411331851107E-3</v>
      </c>
      <c r="H3333" s="2430">
        <v>3.5752872397684266E-2</v>
      </c>
      <c r="I3333" s="2427">
        <v>3.1989281217569845E-2</v>
      </c>
      <c r="J3333" s="2431">
        <v>5.2966634197665417E-4</v>
      </c>
    </row>
    <row r="3334" spans="1:10" x14ac:dyDescent="0.2">
      <c r="A3334" s="2439" t="s">
        <v>978</v>
      </c>
      <c r="B3334" s="2427">
        <v>126</v>
      </c>
      <c r="C3334" s="2428">
        <v>1850000.0000000002</v>
      </c>
      <c r="D3334" s="2429">
        <v>233.10000000000002</v>
      </c>
      <c r="E3334" s="2430">
        <v>0.80912518540846756</v>
      </c>
      <c r="F3334" s="2427">
        <v>0.66519310555854372</v>
      </c>
      <c r="G3334" s="2429">
        <v>9.0498701986659966E-3</v>
      </c>
      <c r="H3334" s="2430">
        <v>0.24347048074496647</v>
      </c>
      <c r="I3334" s="2427">
        <v>0.21784111749388052</v>
      </c>
      <c r="J3334" s="2431">
        <v>3.606930304258198E-3</v>
      </c>
    </row>
    <row r="3335" spans="1:10" x14ac:dyDescent="0.2">
      <c r="A3335" s="2426" t="s">
        <v>1163</v>
      </c>
      <c r="B3335" s="2427">
        <v>0</v>
      </c>
      <c r="C3335" s="2428">
        <v>0</v>
      </c>
      <c r="D3335" s="2429">
        <v>0</v>
      </c>
      <c r="E3335" s="2430">
        <v>0</v>
      </c>
      <c r="F3335" s="2427">
        <v>0</v>
      </c>
      <c r="G3335" s="2429">
        <v>0</v>
      </c>
      <c r="H3335" s="2430">
        <v>0</v>
      </c>
      <c r="I3335" s="2427">
        <v>0</v>
      </c>
      <c r="J3335" s="2431">
        <v>0</v>
      </c>
    </row>
    <row r="3336" spans="1:10" x14ac:dyDescent="0.2">
      <c r="A3336" s="2433" t="s">
        <v>287</v>
      </c>
      <c r="B3336" s="2434">
        <v>6019.5</v>
      </c>
      <c r="C3336" s="2433"/>
      <c r="D3336" s="2435">
        <v>10737.2775</v>
      </c>
      <c r="E3336" s="2436">
        <v>38.654992488621197</v>
      </c>
      <c r="F3336" s="2434">
        <v>31.778808721505186</v>
      </c>
      <c r="G3336" s="2435">
        <v>0.43234677508626951</v>
      </c>
      <c r="H3336" s="2436">
        <v>11.214972607538016</v>
      </c>
      <c r="I3336" s="2434">
        <v>10.034408105713855</v>
      </c>
      <c r="J3336" s="2437">
        <v>0.16614590990982281</v>
      </c>
    </row>
    <row r="3337" spans="1:10" x14ac:dyDescent="0.2">
      <c r="A3337" s="2440" t="s">
        <v>1835</v>
      </c>
      <c r="B3337" s="2441">
        <v>12995.573999999999</v>
      </c>
      <c r="C3337" s="2440"/>
      <c r="D3337" s="2442">
        <v>89653.402822695018</v>
      </c>
      <c r="E3337" s="2443">
        <v>83.452747795551261</v>
      </c>
      <c r="F3337" s="2441">
        <v>68.607668472824329</v>
      </c>
      <c r="G3337" s="2442">
        <v>0.93339887188221149</v>
      </c>
      <c r="H3337" s="2443">
        <v>93.642029539526746</v>
      </c>
      <c r="I3337" s="2441">
        <v>83.784630879557724</v>
      </c>
      <c r="J3337" s="2444">
        <v>1.3872740262593137</v>
      </c>
    </row>
    <row r="3338" spans="1:10" x14ac:dyDescent="0.2">
      <c r="A3338" s="2445" t="s">
        <v>194</v>
      </c>
      <c r="B3338" s="2446">
        <v>15572.374</v>
      </c>
      <c r="C3338" s="2447"/>
      <c r="D3338" s="2448">
        <v>95740.559301795016</v>
      </c>
      <c r="E3338" s="2449">
        <v>99.999999999999986</v>
      </c>
      <c r="F3338" s="2446">
        <v>82.21139541253271</v>
      </c>
      <c r="G3338" s="2448">
        <v>1.1184758998815967</v>
      </c>
      <c r="H3338" s="2449">
        <v>100</v>
      </c>
      <c r="I3338" s="2446">
        <v>89.473318008546386</v>
      </c>
      <c r="J3338" s="2450">
        <v>1.4814651423949954</v>
      </c>
    </row>
    <row r="3339" spans="1:10" x14ac:dyDescent="0.2">
      <c r="A3339" s="2451" t="s">
        <v>1852</v>
      </c>
      <c r="B3339" s="2427"/>
      <c r="C3339" s="2452"/>
      <c r="D3339" s="2429"/>
      <c r="E3339" s="2430"/>
      <c r="F3339" s="2427">
        <v>0</v>
      </c>
      <c r="G3339" s="2429"/>
      <c r="H3339" s="2430"/>
      <c r="I3339" s="2427">
        <v>0</v>
      </c>
      <c r="J3339" s="2431">
        <v>0</v>
      </c>
    </row>
    <row r="3340" spans="1:10" x14ac:dyDescent="0.2">
      <c r="A3340" s="2453" t="s">
        <v>1836</v>
      </c>
      <c r="B3340" s="2427">
        <v>0</v>
      </c>
      <c r="C3340" s="2428">
        <v>8033612.4975057133</v>
      </c>
      <c r="D3340" s="2429">
        <v>0</v>
      </c>
      <c r="E3340" s="2430">
        <v>0</v>
      </c>
      <c r="F3340" s="2427">
        <v>0</v>
      </c>
      <c r="G3340" s="2429">
        <v>0</v>
      </c>
      <c r="H3340" s="2430">
        <v>0</v>
      </c>
      <c r="I3340" s="2427">
        <v>0</v>
      </c>
      <c r="J3340" s="2431">
        <v>0</v>
      </c>
    </row>
    <row r="3341" spans="1:10" x14ac:dyDescent="0.2">
      <c r="A3341" s="2453" t="s">
        <v>1837</v>
      </c>
      <c r="B3341" s="2427">
        <v>2974.75</v>
      </c>
      <c r="C3341" s="2428">
        <v>2214764.1578067578</v>
      </c>
      <c r="D3341" s="2429">
        <v>6588.3696784356525</v>
      </c>
      <c r="E3341" s="2430">
        <v>90.572925705690892</v>
      </c>
      <c r="F3341" s="2427">
        <v>15.704628498097442</v>
      </c>
      <c r="G3341" s="2429">
        <v>0.21365953471017199</v>
      </c>
      <c r="H3341" s="2430">
        <v>64.912163155150381</v>
      </c>
      <c r="I3341" s="2427">
        <v>6.1570905757752925</v>
      </c>
      <c r="J3341" s="2431">
        <v>0.10194676211413722</v>
      </c>
    </row>
    <row r="3342" spans="1:10" x14ac:dyDescent="0.2">
      <c r="A3342" s="2454" t="s">
        <v>309</v>
      </c>
      <c r="B3342" s="2434">
        <v>2974.75</v>
      </c>
      <c r="C3342" s="2433"/>
      <c r="D3342" s="2435">
        <v>6588.3696784356525</v>
      </c>
      <c r="E3342" s="2436">
        <v>90.572925705690892</v>
      </c>
      <c r="F3342" s="2434">
        <v>15.704628498097442</v>
      </c>
      <c r="G3342" s="2435">
        <v>0.21365953471017199</v>
      </c>
      <c r="H3342" s="2436">
        <v>64.912163155150381</v>
      </c>
      <c r="I3342" s="2434">
        <v>6.1570905757752925</v>
      </c>
      <c r="J3342" s="2437">
        <v>0.10194676211413722</v>
      </c>
    </row>
    <row r="3343" spans="1:10" x14ac:dyDescent="0.2">
      <c r="A3343" s="2453" t="s">
        <v>1838</v>
      </c>
      <c r="B3343" s="2427">
        <v>0</v>
      </c>
      <c r="C3343" s="2428">
        <v>10407427.50198495</v>
      </c>
      <c r="D3343" s="2429">
        <v>0</v>
      </c>
      <c r="E3343" s="2430">
        <v>0</v>
      </c>
      <c r="F3343" s="2427">
        <v>0</v>
      </c>
      <c r="G3343" s="2429">
        <v>0</v>
      </c>
      <c r="H3343" s="2430">
        <v>0</v>
      </c>
      <c r="I3343" s="2427">
        <v>0</v>
      </c>
      <c r="J3343" s="2431">
        <v>0</v>
      </c>
    </row>
    <row r="3344" spans="1:10" x14ac:dyDescent="0.2">
      <c r="A3344" s="2454" t="s">
        <v>315</v>
      </c>
      <c r="B3344" s="2434">
        <v>0</v>
      </c>
      <c r="C3344" s="2455"/>
      <c r="D3344" s="2435">
        <v>0</v>
      </c>
      <c r="E3344" s="2436">
        <v>0</v>
      </c>
      <c r="F3344" s="2434">
        <v>0</v>
      </c>
      <c r="G3344" s="2435">
        <v>0</v>
      </c>
      <c r="H3344" s="2436">
        <v>0</v>
      </c>
      <c r="I3344" s="2434">
        <v>0</v>
      </c>
      <c r="J3344" s="2437">
        <v>0</v>
      </c>
    </row>
    <row r="3345" spans="1:10" x14ac:dyDescent="0.2">
      <c r="A3345" s="2453" t="s">
        <v>1541</v>
      </c>
      <c r="B3345" s="2427">
        <v>136.62</v>
      </c>
      <c r="C3345" s="2428">
        <v>10553660</v>
      </c>
      <c r="D3345" s="2429">
        <v>1441.8410292000001</v>
      </c>
      <c r="E3345" s="2430">
        <v>4.1597018606308058</v>
      </c>
      <c r="F3345" s="2427">
        <v>0.72125938159847813</v>
      </c>
      <c r="G3345" s="2429">
        <v>9.8126449725535574E-3</v>
      </c>
      <c r="H3345" s="2430">
        <v>14.205793648398179</v>
      </c>
      <c r="I3345" s="2427">
        <v>1.3474571473593084</v>
      </c>
      <c r="J3345" s="2431">
        <v>2.2310682548881633E-2</v>
      </c>
    </row>
    <row r="3346" spans="1:10" x14ac:dyDescent="0.2">
      <c r="A3346" s="2453" t="s">
        <v>206</v>
      </c>
      <c r="B3346" s="2427">
        <v>145</v>
      </c>
      <c r="C3346" s="2428">
        <v>6960000</v>
      </c>
      <c r="D3346" s="2429">
        <v>1009.2</v>
      </c>
      <c r="E3346" s="2430">
        <v>4.4148497276494423</v>
      </c>
      <c r="F3346" s="2427">
        <v>0.76550000242848282</v>
      </c>
      <c r="G3346" s="2429">
        <v>1.0414533165131502E-2</v>
      </c>
      <c r="H3346" s="2430">
        <v>9.9431814323649732</v>
      </c>
      <c r="I3346" s="2427">
        <v>0.94313709041108618</v>
      </c>
      <c r="J3346" s="2431">
        <v>1.5616104946621075E-2</v>
      </c>
    </row>
    <row r="3347" spans="1:10" x14ac:dyDescent="0.2">
      <c r="A3347" s="2454" t="s">
        <v>310</v>
      </c>
      <c r="B3347" s="2434">
        <v>281.62</v>
      </c>
      <c r="C3347" s="2455"/>
      <c r="D3347" s="2435">
        <v>2451.0410292000001</v>
      </c>
      <c r="E3347" s="2436">
        <v>8.574551588280249</v>
      </c>
      <c r="F3347" s="2434">
        <v>1.4867593840269608</v>
      </c>
      <c r="G3347" s="2435">
        <v>2.022717813768506E-2</v>
      </c>
      <c r="H3347" s="2436">
        <v>24.148975080763151</v>
      </c>
      <c r="I3347" s="2434">
        <v>2.2905942377703945</v>
      </c>
      <c r="J3347" s="2437">
        <v>3.7926787495502705E-2</v>
      </c>
    </row>
    <row r="3348" spans="1:10" x14ac:dyDescent="0.2">
      <c r="A3348" s="2453" t="s">
        <v>1839</v>
      </c>
      <c r="B3348" s="2427">
        <v>28</v>
      </c>
      <c r="C3348" s="2428">
        <v>39652080.629353955</v>
      </c>
      <c r="D3348" s="2429">
        <v>1110.2582576219108</v>
      </c>
      <c r="E3348" s="2430">
        <v>0.85252270602885794</v>
      </c>
      <c r="F3348" s="2427">
        <v>0.14782069012412083</v>
      </c>
      <c r="G3348" s="2429">
        <v>2.0110822663702214E-3</v>
      </c>
      <c r="H3348" s="2430">
        <v>10.938861764086475</v>
      </c>
      <c r="I3348" s="2427">
        <v>1.0375800066373475</v>
      </c>
      <c r="J3348" s="2431">
        <v>1.717985480467342E-2</v>
      </c>
    </row>
    <row r="3349" spans="1:10" x14ac:dyDescent="0.2">
      <c r="A3349" s="2454" t="s">
        <v>311</v>
      </c>
      <c r="B3349" s="2434">
        <v>28</v>
      </c>
      <c r="C3349" s="2433"/>
      <c r="D3349" s="2435">
        <v>1110.2582576219108</v>
      </c>
      <c r="E3349" s="2436">
        <v>0.85252270602885794</v>
      </c>
      <c r="F3349" s="2434">
        <v>0.14782069012412083</v>
      </c>
      <c r="G3349" s="2435">
        <v>2.0110822663702214E-3</v>
      </c>
      <c r="H3349" s="2436">
        <v>10.938861764086475</v>
      </c>
      <c r="I3349" s="2434">
        <v>1.0375800066373475</v>
      </c>
      <c r="J3349" s="2437">
        <v>1.717985480467342E-2</v>
      </c>
    </row>
    <row r="3350" spans="1:10" x14ac:dyDescent="0.2">
      <c r="A3350" s="2445" t="s">
        <v>129</v>
      </c>
      <c r="B3350" s="2446">
        <v>3284.37</v>
      </c>
      <c r="C3350" s="2447"/>
      <c r="D3350" s="2448">
        <v>10149.668965257562</v>
      </c>
      <c r="E3350" s="2449">
        <v>100</v>
      </c>
      <c r="F3350" s="2446">
        <v>17.339208572248523</v>
      </c>
      <c r="G3350" s="2448">
        <v>0.23589779511422726</v>
      </c>
      <c r="H3350" s="2449">
        <v>100</v>
      </c>
      <c r="I3350" s="2446">
        <v>9.4852648201830334</v>
      </c>
      <c r="J3350" s="2450">
        <v>0.15705340441431334</v>
      </c>
    </row>
    <row r="3351" spans="1:10" x14ac:dyDescent="0.2">
      <c r="A3351" s="2451" t="s">
        <v>1853</v>
      </c>
      <c r="B3351" s="2427"/>
      <c r="C3351" s="2452"/>
      <c r="D3351" s="2429"/>
      <c r="E3351" s="2430"/>
      <c r="F3351" s="2427">
        <v>0</v>
      </c>
      <c r="G3351" s="2429"/>
      <c r="H3351" s="2430"/>
      <c r="I3351" s="2427">
        <v>0</v>
      </c>
      <c r="J3351" s="2431">
        <v>0</v>
      </c>
    </row>
    <row r="3352" spans="1:10" x14ac:dyDescent="0.2">
      <c r="A3352" s="2426" t="s">
        <v>1543</v>
      </c>
      <c r="B3352" s="2427">
        <v>82.12</v>
      </c>
      <c r="C3352" s="2428">
        <v>13200000</v>
      </c>
      <c r="D3352" s="2429">
        <v>1083.9839999999999</v>
      </c>
      <c r="E3352" s="2430">
        <v>96.471030496687177</v>
      </c>
      <c r="F3352" s="2427">
        <v>0.43353696689260007</v>
      </c>
      <c r="G3352" s="2429">
        <v>5.898216989797235E-3</v>
      </c>
      <c r="H3352" s="2430">
        <v>97.273763819763772</v>
      </c>
      <c r="I3352" s="2427">
        <v>1.0130256795602168</v>
      </c>
      <c r="J3352" s="2431">
        <v>1.6773293603307669E-2</v>
      </c>
    </row>
    <row r="3353" spans="1:10" x14ac:dyDescent="0.2">
      <c r="A3353" s="2426" t="s">
        <v>208</v>
      </c>
      <c r="B3353" s="2427">
        <v>2.15</v>
      </c>
      <c r="C3353" s="2428">
        <v>10000000</v>
      </c>
      <c r="D3353" s="2429">
        <v>21.5</v>
      </c>
      <c r="E3353" s="2430">
        <v>2.5257271744748833</v>
      </c>
      <c r="F3353" s="2427">
        <v>1.1350517277387848E-2</v>
      </c>
      <c r="G3353" s="2429">
        <v>1.5442238831057055E-4</v>
      </c>
      <c r="H3353" s="2430">
        <v>1.9293512838980291</v>
      </c>
      <c r="I3353" s="2427">
        <v>2.0092595564643632E-2</v>
      </c>
      <c r="J3353" s="2431">
        <v>3.3268554929880413E-4</v>
      </c>
    </row>
    <row r="3354" spans="1:10" x14ac:dyDescent="0.2">
      <c r="A3354" s="2426" t="s">
        <v>209</v>
      </c>
      <c r="B3354" s="2427">
        <v>0.56999999999999995</v>
      </c>
      <c r="C3354" s="2428">
        <v>10000000</v>
      </c>
      <c r="D3354" s="2429">
        <v>5.6999999999999993</v>
      </c>
      <c r="E3354" s="2430">
        <v>0.66961139044217832</v>
      </c>
      <c r="F3354" s="2427">
        <v>3.0092069060981734E-3</v>
      </c>
      <c r="G3354" s="2429">
        <v>4.0939888993965216E-5</v>
      </c>
      <c r="H3354" s="2430">
        <v>0.51150243340552393</v>
      </c>
      <c r="I3354" s="2427">
        <v>5.3268741729520326E-3</v>
      </c>
      <c r="J3354" s="2431">
        <v>8.8200354930380607E-5</v>
      </c>
    </row>
    <row r="3355" spans="1:10" x14ac:dyDescent="0.2">
      <c r="A3355" s="2426" t="s">
        <v>210</v>
      </c>
      <c r="B3355" s="2427">
        <v>0</v>
      </c>
      <c r="C3355" s="2428">
        <v>18500000</v>
      </c>
      <c r="D3355" s="2429">
        <v>0</v>
      </c>
      <c r="E3355" s="2430">
        <v>0</v>
      </c>
      <c r="F3355" s="2427">
        <v>0</v>
      </c>
      <c r="G3355" s="2429">
        <v>0</v>
      </c>
      <c r="H3355" s="2430">
        <v>0</v>
      </c>
      <c r="I3355" s="2427">
        <v>0</v>
      </c>
      <c r="J3355" s="2431">
        <v>0</v>
      </c>
    </row>
    <row r="3356" spans="1:10" x14ac:dyDescent="0.2">
      <c r="A3356" s="2426" t="s">
        <v>1545</v>
      </c>
      <c r="B3356" s="2427">
        <v>8.1000000000000003E-2</v>
      </c>
      <c r="C3356" s="2428">
        <v>14200000</v>
      </c>
      <c r="D3356" s="2429">
        <v>1.1501999999999999</v>
      </c>
      <c r="E3356" s="2430">
        <v>9.5155302852309567E-2</v>
      </c>
      <c r="F3356" s="2427">
        <v>4.2762413928763523E-4</v>
      </c>
      <c r="G3356" s="2429">
        <v>5.8177736991424261E-6</v>
      </c>
      <c r="H3356" s="2430">
        <v>0.10321580682509363</v>
      </c>
      <c r="I3356" s="2427">
        <v>1.0749071357420048E-3</v>
      </c>
      <c r="J3356" s="2431">
        <v>1.7797903200162067E-5</v>
      </c>
    </row>
    <row r="3357" spans="1:10" x14ac:dyDescent="0.2">
      <c r="A3357" s="2426" t="s">
        <v>1546</v>
      </c>
      <c r="B3357" s="2427">
        <v>0.20300000000000001</v>
      </c>
      <c r="C3357" s="2428">
        <v>10000000</v>
      </c>
      <c r="D3357" s="2429">
        <v>2.0300000000000002</v>
      </c>
      <c r="E3357" s="2430">
        <v>0.2384756355434425</v>
      </c>
      <c r="F3357" s="2427">
        <v>1.071700003399876E-3</v>
      </c>
      <c r="G3357" s="2429">
        <v>1.4580346431184105E-5</v>
      </c>
      <c r="H3357" s="2430">
        <v>0.18216665610758137</v>
      </c>
      <c r="I3357" s="2427">
        <v>1.8971148370337944E-3</v>
      </c>
      <c r="J3357" s="2431">
        <v>3.1411705352398716E-5</v>
      </c>
    </row>
    <row r="3358" spans="1:10" x14ac:dyDescent="0.2">
      <c r="A3358" s="2445" t="s">
        <v>121</v>
      </c>
      <c r="B3358" s="2446">
        <v>85.124000000000009</v>
      </c>
      <c r="C3358" s="2447"/>
      <c r="D3358" s="2448">
        <v>1114.3642</v>
      </c>
      <c r="E3358" s="2449">
        <v>99.999999999999986</v>
      </c>
      <c r="F3358" s="2446">
        <v>0.44939601521877365</v>
      </c>
      <c r="G3358" s="2448">
        <v>6.1139773872320976E-3</v>
      </c>
      <c r="H3358" s="2449">
        <v>100</v>
      </c>
      <c r="I3358" s="2446">
        <v>1.0414171712705884</v>
      </c>
      <c r="J3358" s="2450">
        <v>1.7243389116089414E-2</v>
      </c>
    </row>
    <row r="3359" spans="1:10" ht="14.25" thickBot="1" x14ac:dyDescent="0.25">
      <c r="A3359" s="2457" t="s">
        <v>1840</v>
      </c>
      <c r="B3359" s="2446">
        <v>18941.867999999999</v>
      </c>
      <c r="C3359" s="2458"/>
      <c r="D3359" s="2448">
        <v>107004.59246705257</v>
      </c>
      <c r="E3359" s="2459"/>
      <c r="F3359" s="2460">
        <v>100</v>
      </c>
      <c r="G3359" s="2461">
        <v>1.3604876723830559</v>
      </c>
      <c r="H3359" s="2462"/>
      <c r="I3359" s="2460">
        <v>100.00000000000001</v>
      </c>
      <c r="J3359" s="2463">
        <v>1.6557619359253981</v>
      </c>
    </row>
    <row r="3360" spans="1:10" ht="15" thickBot="1" x14ac:dyDescent="0.25">
      <c r="A3360" s="2464" t="s">
        <v>1841</v>
      </c>
      <c r="B3360" s="2465">
        <v>1392285.1624830281</v>
      </c>
      <c r="C3360" s="2466"/>
      <c r="D3360" s="2467">
        <v>6462559.0276810033</v>
      </c>
      <c r="E3360" s="2468"/>
      <c r="F3360" s="2469"/>
      <c r="G3360" s="2469"/>
      <c r="H3360" s="2469"/>
      <c r="I3360" s="2469"/>
      <c r="J3360" s="2469"/>
    </row>
    <row r="3361" spans="1:10" ht="16.5" thickBot="1" x14ac:dyDescent="0.3">
      <c r="A3361" s="2470" t="s">
        <v>1842</v>
      </c>
      <c r="B3361" s="2471">
        <v>1.3604876723830559</v>
      </c>
      <c r="C3361" s="2472"/>
      <c r="D3361" s="2473">
        <v>1.6557619359253983</v>
      </c>
      <c r="E3361" s="2468"/>
      <c r="F3361" s="2469"/>
      <c r="G3361" s="2469"/>
      <c r="H3361" s="2469"/>
      <c r="I3361" s="2469"/>
      <c r="J3361" s="2469"/>
    </row>
    <row r="3362" spans="1:10" x14ac:dyDescent="0.2">
      <c r="A3362" s="2474" t="s">
        <v>2023</v>
      </c>
      <c r="B3362" s="2474"/>
      <c r="C3362" s="2474"/>
      <c r="D3362" s="2475"/>
      <c r="E3362" s="2474"/>
      <c r="F3362" s="2474"/>
      <c r="H3362" s="2474"/>
      <c r="I3362" s="2474"/>
      <c r="J3362" s="2474"/>
    </row>
    <row r="3363" spans="1:10" x14ac:dyDescent="0.2">
      <c r="A3363" s="2474" t="s">
        <v>1843</v>
      </c>
      <c r="B3363" s="2474"/>
      <c r="C3363" s="2474"/>
      <c r="D3363" s="2474"/>
      <c r="E3363" s="2474"/>
      <c r="F3363" s="2474"/>
      <c r="G3363" s="2474"/>
      <c r="H3363" s="2474"/>
      <c r="I3363" s="2474"/>
      <c r="J3363" s="2474"/>
    </row>
    <row r="3364" spans="1:10" x14ac:dyDescent="0.2">
      <c r="A3364" s="2474" t="s">
        <v>2024</v>
      </c>
      <c r="B3364" s="2474"/>
      <c r="C3364" s="2474"/>
      <c r="D3364" s="2474"/>
      <c r="E3364" s="2474"/>
      <c r="F3364" s="2474"/>
      <c r="G3364" s="2474"/>
      <c r="H3364" s="2474"/>
      <c r="I3364" s="2474"/>
      <c r="J3364" s="2474"/>
    </row>
    <row r="3368" spans="1:10" ht="30.75" customHeight="1" x14ac:dyDescent="0.2">
      <c r="A3368" s="3320" t="s">
        <v>2022</v>
      </c>
      <c r="B3368" s="3320"/>
      <c r="C3368" s="3320"/>
      <c r="D3368" s="3320"/>
      <c r="E3368" s="3320"/>
    </row>
    <row r="3369" spans="1:10" ht="36" x14ac:dyDescent="0.2">
      <c r="A3369" s="2485" t="s">
        <v>327</v>
      </c>
      <c r="B3369" s="2486" t="s">
        <v>1858</v>
      </c>
      <c r="C3369" s="2486" t="s">
        <v>1860</v>
      </c>
      <c r="D3369" s="2486" t="s">
        <v>1859</v>
      </c>
      <c r="E3369" s="2486" t="s">
        <v>1860</v>
      </c>
    </row>
    <row r="3370" spans="1:10" x14ac:dyDescent="0.2">
      <c r="A3370" s="2387" t="s">
        <v>352</v>
      </c>
      <c r="B3370" s="2409">
        <v>680007.16993302805</v>
      </c>
      <c r="C3370" s="2487">
        <v>48.841084302032648</v>
      </c>
      <c r="D3370" s="2409">
        <v>2818412.2822135016</v>
      </c>
      <c r="E3370" s="2487">
        <v>43.611397128311388</v>
      </c>
    </row>
    <row r="3371" spans="1:10" x14ac:dyDescent="0.2">
      <c r="A3371" s="2488" t="s">
        <v>353</v>
      </c>
      <c r="B3371" s="2404">
        <v>65575.763000000006</v>
      </c>
      <c r="C3371" s="2489">
        <v>4.7099376454641613</v>
      </c>
      <c r="D3371" s="2404">
        <v>325738.13550438138</v>
      </c>
      <c r="E3371" s="2489">
        <v>5.0403893273415532</v>
      </c>
    </row>
    <row r="3372" spans="1:10" x14ac:dyDescent="0.2">
      <c r="A3372" s="2488" t="s">
        <v>354</v>
      </c>
      <c r="B3372" s="2404">
        <v>47580.098329672503</v>
      </c>
      <c r="C3372" s="2489">
        <v>3.4174104279627056</v>
      </c>
      <c r="D3372" s="2404">
        <v>216166.93746220955</v>
      </c>
      <c r="E3372" s="2489">
        <v>3.3449123874351354</v>
      </c>
    </row>
    <row r="3373" spans="1:10" x14ac:dyDescent="0.2">
      <c r="A3373" s="2400" t="s">
        <v>355</v>
      </c>
      <c r="B3373" s="2404">
        <v>32156.793999999998</v>
      </c>
      <c r="C3373" s="2489">
        <v>2.3096413627400119</v>
      </c>
      <c r="D3373" s="2404">
        <v>184050.51914404734</v>
      </c>
      <c r="E3373" s="2489">
        <v>2.8479510725659276</v>
      </c>
    </row>
    <row r="3374" spans="1:10" x14ac:dyDescent="0.2">
      <c r="A3374" s="2400" t="s">
        <v>356</v>
      </c>
      <c r="B3374" s="2404">
        <v>20976.985000000001</v>
      </c>
      <c r="C3374" s="2489">
        <v>1.5066586619790763</v>
      </c>
      <c r="D3374" s="2404">
        <v>74429.113360841904</v>
      </c>
      <c r="E3374" s="2489">
        <v>1.1516972308034719</v>
      </c>
    </row>
    <row r="3375" spans="1:10" x14ac:dyDescent="0.2">
      <c r="A3375" s="2488" t="s">
        <v>357</v>
      </c>
      <c r="B3375" s="2404">
        <v>139936.9045</v>
      </c>
      <c r="C3375" s="2489">
        <v>10.050879537524757</v>
      </c>
      <c r="D3375" s="2404">
        <v>453058.51570821577</v>
      </c>
      <c r="E3375" s="2489">
        <v>7.0105126122273775</v>
      </c>
    </row>
    <row r="3376" spans="1:10" x14ac:dyDescent="0.2">
      <c r="A3376" s="2400" t="s">
        <v>358</v>
      </c>
      <c r="B3376" s="2404">
        <v>27362.977000000003</v>
      </c>
      <c r="C3376" s="2489">
        <v>1.965328492849866</v>
      </c>
      <c r="D3376" s="2404">
        <v>105236.57704425998</v>
      </c>
      <c r="E3376" s="2489">
        <v>1.6284041135021183</v>
      </c>
    </row>
    <row r="3377" spans="1:5" x14ac:dyDescent="0.2">
      <c r="A3377" s="2400" t="s">
        <v>359</v>
      </c>
      <c r="B3377" s="2404">
        <v>15484.137500000001</v>
      </c>
      <c r="C3377" s="2489">
        <v>1.1121383691531477</v>
      </c>
      <c r="D3377" s="2404">
        <v>101350.32879228609</v>
      </c>
      <c r="E3377" s="2489">
        <v>1.5682692932965627</v>
      </c>
    </row>
    <row r="3378" spans="1:5" x14ac:dyDescent="0.2">
      <c r="A3378" s="2400" t="s">
        <v>360</v>
      </c>
      <c r="B3378" s="2404">
        <v>14697.0425</v>
      </c>
      <c r="C3378" s="2489">
        <v>1.0556057692799807</v>
      </c>
      <c r="D3378" s="2404">
        <v>73662.614845457705</v>
      </c>
      <c r="E3378" s="2489">
        <v>1.1398366270998761</v>
      </c>
    </row>
    <row r="3379" spans="1:5" x14ac:dyDescent="0.2">
      <c r="A3379" s="2488" t="s">
        <v>1357</v>
      </c>
      <c r="B3379" s="2404">
        <v>98644.21699999999</v>
      </c>
      <c r="C3379" s="2489">
        <v>7.0850584103098537</v>
      </c>
      <c r="D3379" s="2404">
        <v>299883.3005341267</v>
      </c>
      <c r="E3379" s="2489">
        <v>4.6403181657550832</v>
      </c>
    </row>
    <row r="3380" spans="1:5" x14ac:dyDescent="0.2">
      <c r="A3380" s="2488" t="s">
        <v>362</v>
      </c>
      <c r="B3380" s="2404">
        <v>62199.391610475082</v>
      </c>
      <c r="C3380" s="2489">
        <v>4.4674319088158265</v>
      </c>
      <c r="D3380" s="2404">
        <v>366133.84484055056</v>
      </c>
      <c r="E3380" s="2489">
        <v>5.6654622924493792</v>
      </c>
    </row>
    <row r="3381" spans="1:5" x14ac:dyDescent="0.2">
      <c r="A3381" s="2400" t="s">
        <v>363</v>
      </c>
      <c r="B3381" s="2404">
        <v>18955.055</v>
      </c>
      <c r="C3381" s="2489">
        <v>1.3614348203061499</v>
      </c>
      <c r="D3381" s="2404">
        <v>92420.834514914503</v>
      </c>
      <c r="E3381" s="2489">
        <v>1.4300965626627071</v>
      </c>
    </row>
    <row r="3382" spans="1:5" x14ac:dyDescent="0.2">
      <c r="A3382" s="2400" t="s">
        <v>939</v>
      </c>
      <c r="B3382" s="2404">
        <v>53608.7045</v>
      </c>
      <c r="C3382" s="2489">
        <v>3.8504112479654102</v>
      </c>
      <c r="D3382" s="2404">
        <v>156978.47885699931</v>
      </c>
      <c r="E3382" s="2489">
        <v>2.4290451844944889</v>
      </c>
    </row>
    <row r="3383" spans="1:5" x14ac:dyDescent="0.2">
      <c r="A3383" s="2400" t="s">
        <v>365</v>
      </c>
      <c r="B3383" s="2404">
        <v>9486.6539928805214</v>
      </c>
      <c r="C3383" s="2489">
        <v>0.68137291472400963</v>
      </c>
      <c r="D3383" s="2404">
        <v>54524.288266505697</v>
      </c>
      <c r="E3383" s="2489">
        <v>0.84369501358459464</v>
      </c>
    </row>
    <row r="3384" spans="1:5" x14ac:dyDescent="0.2">
      <c r="A3384" s="2400" t="s">
        <v>366</v>
      </c>
      <c r="B3384" s="2404">
        <v>35085.82</v>
      </c>
      <c r="C3384" s="2489">
        <v>2.5200168001092016</v>
      </c>
      <c r="D3384" s="2404">
        <v>132054.06712260027</v>
      </c>
      <c r="E3384" s="2489">
        <v>2.0433711561778334</v>
      </c>
    </row>
    <row r="3385" spans="1:5" x14ac:dyDescent="0.2">
      <c r="A3385" s="2400" t="s">
        <v>1359</v>
      </c>
      <c r="B3385" s="2404">
        <v>38256.625999999997</v>
      </c>
      <c r="C3385" s="2489">
        <v>2.7477579328484976</v>
      </c>
      <c r="D3385" s="2404">
        <v>182724.72621610473</v>
      </c>
      <c r="E3385" s="2489">
        <v>2.8274360889152734</v>
      </c>
    </row>
    <row r="3386" spans="1:5" x14ac:dyDescent="0.2">
      <c r="A3386" s="2387" t="s">
        <v>368</v>
      </c>
      <c r="B3386" s="2409">
        <v>125123.87225</v>
      </c>
      <c r="C3386" s="2487">
        <v>8.9869428779124299</v>
      </c>
      <c r="D3386" s="2409">
        <v>597044.05913187342</v>
      </c>
      <c r="E3386" s="2487">
        <v>9.2385084078081388</v>
      </c>
    </row>
    <row r="3387" spans="1:5" x14ac:dyDescent="0.2">
      <c r="A3387" s="2400" t="s">
        <v>1226</v>
      </c>
      <c r="B3387" s="2404">
        <v>72527.115000000005</v>
      </c>
      <c r="C3387" s="2489">
        <v>5.2092141002676309</v>
      </c>
      <c r="D3387" s="2404">
        <v>380360.84105645778</v>
      </c>
      <c r="E3387" s="2489">
        <v>5.8856072250522216</v>
      </c>
    </row>
    <row r="3388" spans="1:5" x14ac:dyDescent="0.2">
      <c r="A3388" s="2400" t="s">
        <v>370</v>
      </c>
      <c r="B3388" s="2404">
        <v>12502.712000000001</v>
      </c>
      <c r="C3388" s="2489">
        <v>0.89799937088336312</v>
      </c>
      <c r="D3388" s="2404">
        <v>68477.233450404048</v>
      </c>
      <c r="E3388" s="2489">
        <v>1.0595993499958192</v>
      </c>
    </row>
    <row r="3389" spans="1:5" x14ac:dyDescent="0.2">
      <c r="A3389" s="2400" t="s">
        <v>371</v>
      </c>
      <c r="B3389" s="2404">
        <v>5951.6919999999991</v>
      </c>
      <c r="C3389" s="2489">
        <v>0.42747650843205409</v>
      </c>
      <c r="D3389" s="2404">
        <v>38521.780090386957</v>
      </c>
      <c r="E3389" s="2489">
        <v>0.59607625903898231</v>
      </c>
    </row>
    <row r="3390" spans="1:5" x14ac:dyDescent="0.2">
      <c r="A3390" s="2400" t="s">
        <v>372</v>
      </c>
      <c r="B3390" s="2404">
        <v>13379.05725</v>
      </c>
      <c r="C3390" s="2489">
        <v>0.96094231343667647</v>
      </c>
      <c r="D3390" s="2404">
        <v>53354.92800701446</v>
      </c>
      <c r="E3390" s="2489">
        <v>0.82560062938659318</v>
      </c>
    </row>
    <row r="3391" spans="1:5" x14ac:dyDescent="0.2">
      <c r="A3391" s="2400" t="s">
        <v>373</v>
      </c>
      <c r="B3391" s="2404">
        <v>20763.296000000002</v>
      </c>
      <c r="C3391" s="2489">
        <v>1.4913105848927055</v>
      </c>
      <c r="D3391" s="2404">
        <v>56329.27652761012</v>
      </c>
      <c r="E3391" s="2489">
        <v>0.87162494433452098</v>
      </c>
    </row>
    <row r="3392" spans="1:5" x14ac:dyDescent="0.2">
      <c r="A3392" s="2387" t="s">
        <v>374</v>
      </c>
      <c r="B3392" s="2409">
        <v>233403.32040000003</v>
      </c>
      <c r="C3392" s="2487">
        <v>16.764045663155962</v>
      </c>
      <c r="D3392" s="2409">
        <v>1246436.95746346</v>
      </c>
      <c r="E3392" s="2487">
        <v>19.287049481863317</v>
      </c>
    </row>
    <row r="3393" spans="1:5" x14ac:dyDescent="0.2">
      <c r="A3393" s="2488" t="s">
        <v>375</v>
      </c>
      <c r="B3393" s="2404">
        <v>71266.148000000001</v>
      </c>
      <c r="C3393" s="2489">
        <v>5.1186459441184144</v>
      </c>
      <c r="D3393" s="2404">
        <v>427177.58398861601</v>
      </c>
      <c r="E3393" s="2489">
        <v>6.6100376361576147</v>
      </c>
    </row>
    <row r="3394" spans="1:5" x14ac:dyDescent="0.2">
      <c r="A3394" s="2400" t="s">
        <v>376</v>
      </c>
      <c r="B3394" s="2404">
        <v>12968.3994</v>
      </c>
      <c r="C3394" s="2489">
        <v>0.9314470734480792</v>
      </c>
      <c r="D3394" s="2404">
        <v>49506.901970319479</v>
      </c>
      <c r="E3394" s="2489">
        <v>0.76605725005012937</v>
      </c>
    </row>
    <row r="3395" spans="1:5" x14ac:dyDescent="0.2">
      <c r="A3395" s="2400" t="s">
        <v>377</v>
      </c>
      <c r="B3395" s="2404">
        <v>17179.131999999998</v>
      </c>
      <c r="C3395" s="2489">
        <v>1.2338802756011853</v>
      </c>
      <c r="D3395" s="2404">
        <v>39063.420400088253</v>
      </c>
      <c r="E3395" s="2489">
        <v>0.60445746387411481</v>
      </c>
    </row>
    <row r="3396" spans="1:5" x14ac:dyDescent="0.2">
      <c r="A3396" s="2488" t="s">
        <v>378</v>
      </c>
      <c r="B3396" s="2404">
        <v>39909.116999999998</v>
      </c>
      <c r="C3396" s="2489">
        <v>2.8664470523283687</v>
      </c>
      <c r="D3396" s="2404">
        <v>209666.7324693728</v>
      </c>
      <c r="E3396" s="2489">
        <v>3.2443298633143574</v>
      </c>
    </row>
    <row r="3397" spans="1:5" x14ac:dyDescent="0.2">
      <c r="A3397" s="2400" t="s">
        <v>379</v>
      </c>
      <c r="B3397" s="2404">
        <v>19067.841</v>
      </c>
      <c r="C3397" s="2489">
        <v>1.3695356033238224</v>
      </c>
      <c r="D3397" s="2404">
        <v>107693.76315486099</v>
      </c>
      <c r="E3397" s="2489">
        <v>1.6664259884293133</v>
      </c>
    </row>
    <row r="3398" spans="1:5" x14ac:dyDescent="0.2">
      <c r="A3398" s="2400" t="s">
        <v>380</v>
      </c>
      <c r="B3398" s="2404">
        <v>22303.230500000001</v>
      </c>
      <c r="C3398" s="2489">
        <v>1.6019154050470517</v>
      </c>
      <c r="D3398" s="2404">
        <v>126326.12096378463</v>
      </c>
      <c r="E3398" s="2489">
        <v>1.9547383694708771</v>
      </c>
    </row>
    <row r="3399" spans="1:5" x14ac:dyDescent="0.2">
      <c r="A3399" s="2400" t="s">
        <v>381</v>
      </c>
      <c r="B3399" s="2404">
        <v>28672.366999999998</v>
      </c>
      <c r="C3399" s="2489">
        <v>2.0593746003056692</v>
      </c>
      <c r="D3399" s="2404">
        <v>185823.95604628284</v>
      </c>
      <c r="E3399" s="2489">
        <v>2.875392785587648</v>
      </c>
    </row>
    <row r="3400" spans="1:5" x14ac:dyDescent="0.2">
      <c r="A3400" s="2400" t="s">
        <v>382</v>
      </c>
      <c r="B3400" s="2404">
        <v>22037.085500000001</v>
      </c>
      <c r="C3400" s="2489">
        <v>1.5827997089833692</v>
      </c>
      <c r="D3400" s="2404">
        <v>101178.47847013501</v>
      </c>
      <c r="E3400" s="2489">
        <v>1.5656101249792598</v>
      </c>
    </row>
    <row r="3401" spans="1:5" x14ac:dyDescent="0.2">
      <c r="A3401" s="2387" t="s">
        <v>383</v>
      </c>
      <c r="B3401" s="2409">
        <v>353750.79990000004</v>
      </c>
      <c r="C3401" s="2487">
        <v>25.407927156898957</v>
      </c>
      <c r="D3401" s="2409">
        <v>1800665.7288721688</v>
      </c>
      <c r="E3401" s="2487">
        <v>27.863044982017154</v>
      </c>
    </row>
    <row r="3402" spans="1:5" x14ac:dyDescent="0.2">
      <c r="A3402" s="2400" t="s">
        <v>1361</v>
      </c>
      <c r="B3402" s="2404">
        <v>89438.505699999994</v>
      </c>
      <c r="C3402" s="2489">
        <v>6.4238640265686406</v>
      </c>
      <c r="D3402" s="2404">
        <v>586121.76932588033</v>
      </c>
      <c r="E3402" s="2489">
        <v>9.0694996643798813</v>
      </c>
    </row>
    <row r="3403" spans="1:5" x14ac:dyDescent="0.2">
      <c r="A3403" s="2400" t="s">
        <v>385</v>
      </c>
      <c r="B3403" s="2404">
        <v>44162.131999999998</v>
      </c>
      <c r="C3403" s="2489">
        <v>3.1719171610821739</v>
      </c>
      <c r="D3403" s="2404">
        <v>304741.79256557685</v>
      </c>
      <c r="E3403" s="2489">
        <v>4.7154972397200536</v>
      </c>
    </row>
    <row r="3404" spans="1:5" x14ac:dyDescent="0.2">
      <c r="A3404" s="2400" t="s">
        <v>386</v>
      </c>
      <c r="B3404" s="2404">
        <v>7910.3058999999985</v>
      </c>
      <c r="C3404" s="2489">
        <v>0.56815271132334755</v>
      </c>
      <c r="D3404" s="2404">
        <v>37435.84072534147</v>
      </c>
      <c r="E3404" s="2489">
        <v>0.57927270861268676</v>
      </c>
    </row>
    <row r="3405" spans="1:5" x14ac:dyDescent="0.2">
      <c r="A3405" s="2400" t="s">
        <v>387</v>
      </c>
      <c r="B3405" s="2404">
        <v>68914.038</v>
      </c>
      <c r="C3405" s="2489">
        <v>4.9497071330629838</v>
      </c>
      <c r="D3405" s="2404">
        <v>237296.65981603938</v>
      </c>
      <c r="E3405" s="2489">
        <v>3.6718683543102557</v>
      </c>
    </row>
    <row r="3406" spans="1:5" x14ac:dyDescent="0.2">
      <c r="A3406" s="2400" t="s">
        <v>388</v>
      </c>
      <c r="B3406" s="2404">
        <v>11329.3415</v>
      </c>
      <c r="C3406" s="2489">
        <v>0.81372277786793579</v>
      </c>
      <c r="D3406" s="2404">
        <v>68262.002366794142</v>
      </c>
      <c r="E3406" s="2489">
        <v>1.056268918773636</v>
      </c>
    </row>
    <row r="3407" spans="1:5" x14ac:dyDescent="0.2">
      <c r="A3407" s="2400" t="s">
        <v>389</v>
      </c>
      <c r="B3407" s="2404">
        <v>23152.890999999996</v>
      </c>
      <c r="C3407" s="2489">
        <v>1.6629417323322391</v>
      </c>
      <c r="D3407" s="2404">
        <v>148462.06535839176</v>
      </c>
      <c r="E3407" s="2489">
        <v>2.2972643611065822</v>
      </c>
    </row>
    <row r="3408" spans="1:5" x14ac:dyDescent="0.2">
      <c r="A3408" s="2400" t="s">
        <v>390</v>
      </c>
      <c r="B3408" s="2404">
        <v>12525.091799999998</v>
      </c>
      <c r="C3408" s="2489">
        <v>0.89960678584425258</v>
      </c>
      <c r="D3408" s="2404">
        <v>74553.067232806192</v>
      </c>
      <c r="E3408" s="2489">
        <v>1.1536152615933393</v>
      </c>
    </row>
    <row r="3409" spans="1:5" x14ac:dyDescent="0.2">
      <c r="A3409" s="2400" t="s">
        <v>941</v>
      </c>
      <c r="B3409" s="2404">
        <v>77376.626000000004</v>
      </c>
      <c r="C3409" s="2489">
        <v>5.5575271564343209</v>
      </c>
      <c r="D3409" s="2404">
        <v>236787.93901428601</v>
      </c>
      <c r="E3409" s="2489">
        <v>3.6639965375953238</v>
      </c>
    </row>
    <row r="3410" spans="1:5" x14ac:dyDescent="0.2">
      <c r="A3410" s="2400" t="s">
        <v>392</v>
      </c>
      <c r="B3410" s="2404">
        <v>18941.867999999999</v>
      </c>
      <c r="C3410" s="2489">
        <v>1.3604876723830559</v>
      </c>
      <c r="D3410" s="2404">
        <v>107004.59246705257</v>
      </c>
      <c r="E3410" s="2489">
        <v>1.6557619359253979</v>
      </c>
    </row>
    <row r="3411" spans="1:5" x14ac:dyDescent="0.2">
      <c r="A3411" s="2387" t="s">
        <v>393</v>
      </c>
      <c r="B3411" s="2409">
        <v>1392285.1624830281</v>
      </c>
      <c r="C3411" s="2409">
        <v>100</v>
      </c>
      <c r="D3411" s="2409">
        <v>6462559.0276810043</v>
      </c>
      <c r="E3411" s="2409">
        <v>100</v>
      </c>
    </row>
    <row r="3412" spans="1:5" x14ac:dyDescent="0.2">
      <c r="A3412" s="2474" t="s">
        <v>2023</v>
      </c>
    </row>
  </sheetData>
  <mergeCells count="260">
    <mergeCell ref="A1:J1"/>
    <mergeCell ref="A2:A3"/>
    <mergeCell ref="B2:B3"/>
    <mergeCell ref="C2:C3"/>
    <mergeCell ref="D2:D3"/>
    <mergeCell ref="E2:G2"/>
    <mergeCell ref="H2:J2"/>
    <mergeCell ref="A183:J183"/>
    <mergeCell ref="A184:A185"/>
    <mergeCell ref="B184:B185"/>
    <mergeCell ref="C184:C185"/>
    <mergeCell ref="D184:D185"/>
    <mergeCell ref="E184:G184"/>
    <mergeCell ref="H184:J184"/>
    <mergeCell ref="A92:J92"/>
    <mergeCell ref="A93:A94"/>
    <mergeCell ref="B93:B94"/>
    <mergeCell ref="C93:C94"/>
    <mergeCell ref="D93:D94"/>
    <mergeCell ref="E93:G93"/>
    <mergeCell ref="H93:J93"/>
    <mergeCell ref="A365:J365"/>
    <mergeCell ref="A366:A367"/>
    <mergeCell ref="B366:B367"/>
    <mergeCell ref="C366:C367"/>
    <mergeCell ref="D366:D367"/>
    <mergeCell ref="E366:G366"/>
    <mergeCell ref="H366:J366"/>
    <mergeCell ref="A274:J274"/>
    <mergeCell ref="A275:A276"/>
    <mergeCell ref="B275:B276"/>
    <mergeCell ref="C275:C276"/>
    <mergeCell ref="D275:D276"/>
    <mergeCell ref="E275:G275"/>
    <mergeCell ref="H275:J275"/>
    <mergeCell ref="A547:J547"/>
    <mergeCell ref="A548:A549"/>
    <mergeCell ref="B548:B549"/>
    <mergeCell ref="C548:C549"/>
    <mergeCell ref="D548:D549"/>
    <mergeCell ref="E548:G548"/>
    <mergeCell ref="H548:J548"/>
    <mergeCell ref="A456:J456"/>
    <mergeCell ref="A457:A458"/>
    <mergeCell ref="B457:B458"/>
    <mergeCell ref="C457:C458"/>
    <mergeCell ref="D457:D458"/>
    <mergeCell ref="E457:G457"/>
    <mergeCell ref="H457:J457"/>
    <mergeCell ref="A729:J729"/>
    <mergeCell ref="A730:A731"/>
    <mergeCell ref="B730:B731"/>
    <mergeCell ref="C730:C731"/>
    <mergeCell ref="D730:D731"/>
    <mergeCell ref="E730:G730"/>
    <mergeCell ref="H730:J730"/>
    <mergeCell ref="A638:J638"/>
    <mergeCell ref="A639:A640"/>
    <mergeCell ref="B639:B640"/>
    <mergeCell ref="C639:C640"/>
    <mergeCell ref="D639:D640"/>
    <mergeCell ref="E639:G639"/>
    <mergeCell ref="H639:J639"/>
    <mergeCell ref="A911:J911"/>
    <mergeCell ref="A912:A913"/>
    <mergeCell ref="B912:B913"/>
    <mergeCell ref="C912:C913"/>
    <mergeCell ref="D912:D913"/>
    <mergeCell ref="E912:G912"/>
    <mergeCell ref="H912:J912"/>
    <mergeCell ref="A820:J820"/>
    <mergeCell ref="A821:A822"/>
    <mergeCell ref="B821:B822"/>
    <mergeCell ref="C821:C822"/>
    <mergeCell ref="D821:D822"/>
    <mergeCell ref="E821:G821"/>
    <mergeCell ref="H821:J821"/>
    <mergeCell ref="A1093:J1093"/>
    <mergeCell ref="A1094:A1095"/>
    <mergeCell ref="B1094:B1095"/>
    <mergeCell ref="C1094:C1095"/>
    <mergeCell ref="D1094:D1095"/>
    <mergeCell ref="E1094:G1094"/>
    <mergeCell ref="H1094:J1094"/>
    <mergeCell ref="A1002:J1002"/>
    <mergeCell ref="A1003:A1004"/>
    <mergeCell ref="B1003:B1004"/>
    <mergeCell ref="C1003:C1004"/>
    <mergeCell ref="D1003:D1004"/>
    <mergeCell ref="E1003:G1003"/>
    <mergeCell ref="H1003:J1003"/>
    <mergeCell ref="A1275:J1275"/>
    <mergeCell ref="A1276:A1277"/>
    <mergeCell ref="B1276:B1277"/>
    <mergeCell ref="C1276:C1277"/>
    <mergeCell ref="D1276:D1277"/>
    <mergeCell ref="E1276:G1276"/>
    <mergeCell ref="H1276:J1276"/>
    <mergeCell ref="A1184:J1184"/>
    <mergeCell ref="A1185:A1186"/>
    <mergeCell ref="B1185:B1186"/>
    <mergeCell ref="C1185:C1186"/>
    <mergeCell ref="D1185:D1186"/>
    <mergeCell ref="E1185:G1185"/>
    <mergeCell ref="H1185:J1185"/>
    <mergeCell ref="A1457:J1457"/>
    <mergeCell ref="A1458:A1459"/>
    <mergeCell ref="B1458:B1459"/>
    <mergeCell ref="C1458:C1459"/>
    <mergeCell ref="D1458:D1459"/>
    <mergeCell ref="E1458:G1458"/>
    <mergeCell ref="H1458:J1458"/>
    <mergeCell ref="A1366:J1366"/>
    <mergeCell ref="A1367:A1368"/>
    <mergeCell ref="B1367:B1368"/>
    <mergeCell ref="C1367:C1368"/>
    <mergeCell ref="D1367:D1368"/>
    <mergeCell ref="E1367:G1367"/>
    <mergeCell ref="H1367:J1367"/>
    <mergeCell ref="A1639:J1639"/>
    <mergeCell ref="A1640:A1641"/>
    <mergeCell ref="B1640:B1641"/>
    <mergeCell ref="C1640:C1641"/>
    <mergeCell ref="D1640:D1641"/>
    <mergeCell ref="E1640:G1640"/>
    <mergeCell ref="H1640:J1640"/>
    <mergeCell ref="A1548:J1548"/>
    <mergeCell ref="A1549:A1550"/>
    <mergeCell ref="B1549:B1550"/>
    <mergeCell ref="C1549:C1550"/>
    <mergeCell ref="D1549:D1550"/>
    <mergeCell ref="E1549:G1549"/>
    <mergeCell ref="H1549:J1549"/>
    <mergeCell ref="A1821:J1821"/>
    <mergeCell ref="A1822:A1823"/>
    <mergeCell ref="B1822:B1823"/>
    <mergeCell ref="C1822:C1823"/>
    <mergeCell ref="D1822:D1823"/>
    <mergeCell ref="E1822:G1822"/>
    <mergeCell ref="H1822:J1822"/>
    <mergeCell ref="A1730:J1730"/>
    <mergeCell ref="A1731:A1732"/>
    <mergeCell ref="B1731:B1732"/>
    <mergeCell ref="C1731:C1732"/>
    <mergeCell ref="D1731:D1732"/>
    <mergeCell ref="E1731:G1731"/>
    <mergeCell ref="H1731:J1731"/>
    <mergeCell ref="A2003:J2003"/>
    <mergeCell ref="A2004:A2005"/>
    <mergeCell ref="B2004:B2005"/>
    <mergeCell ref="C2004:C2005"/>
    <mergeCell ref="D2004:D2005"/>
    <mergeCell ref="E2004:G2004"/>
    <mergeCell ref="H2004:J2004"/>
    <mergeCell ref="A1912:J1912"/>
    <mergeCell ref="A1913:A1914"/>
    <mergeCell ref="B1913:B1914"/>
    <mergeCell ref="C1913:C1914"/>
    <mergeCell ref="D1913:D1914"/>
    <mergeCell ref="E1913:G1913"/>
    <mergeCell ref="H1913:J1913"/>
    <mergeCell ref="A2185:J2185"/>
    <mergeCell ref="A2186:A2187"/>
    <mergeCell ref="B2186:B2187"/>
    <mergeCell ref="C2186:C2187"/>
    <mergeCell ref="D2186:D2187"/>
    <mergeCell ref="E2186:G2186"/>
    <mergeCell ref="H2186:J2186"/>
    <mergeCell ref="A2094:J2094"/>
    <mergeCell ref="A2095:A2096"/>
    <mergeCell ref="B2095:B2096"/>
    <mergeCell ref="C2095:C2096"/>
    <mergeCell ref="D2095:D2096"/>
    <mergeCell ref="E2095:G2095"/>
    <mergeCell ref="H2095:J2095"/>
    <mergeCell ref="A2367:J2367"/>
    <mergeCell ref="A2368:A2369"/>
    <mergeCell ref="B2368:B2369"/>
    <mergeCell ref="C2368:C2369"/>
    <mergeCell ref="D2368:D2369"/>
    <mergeCell ref="E2368:G2368"/>
    <mergeCell ref="H2368:J2368"/>
    <mergeCell ref="A2276:J2276"/>
    <mergeCell ref="A2277:A2278"/>
    <mergeCell ref="B2277:B2278"/>
    <mergeCell ref="C2277:C2278"/>
    <mergeCell ref="D2277:D2278"/>
    <mergeCell ref="E2277:G2277"/>
    <mergeCell ref="H2277:J2277"/>
    <mergeCell ref="A2549:J2549"/>
    <mergeCell ref="A2550:A2551"/>
    <mergeCell ref="B2550:B2551"/>
    <mergeCell ref="C2550:C2551"/>
    <mergeCell ref="D2550:D2551"/>
    <mergeCell ref="E2550:G2550"/>
    <mergeCell ref="H2550:J2550"/>
    <mergeCell ref="A2458:J2458"/>
    <mergeCell ref="A2459:A2460"/>
    <mergeCell ref="B2459:B2460"/>
    <mergeCell ref="C2459:C2460"/>
    <mergeCell ref="D2459:D2460"/>
    <mergeCell ref="E2459:G2459"/>
    <mergeCell ref="H2459:J2459"/>
    <mergeCell ref="A2731:J2731"/>
    <mergeCell ref="A2732:A2733"/>
    <mergeCell ref="B2732:B2733"/>
    <mergeCell ref="C2732:C2733"/>
    <mergeCell ref="D2732:D2733"/>
    <mergeCell ref="E2732:G2732"/>
    <mergeCell ref="H2732:J2732"/>
    <mergeCell ref="A2640:J2640"/>
    <mergeCell ref="A2641:A2642"/>
    <mergeCell ref="B2641:B2642"/>
    <mergeCell ref="C2641:C2642"/>
    <mergeCell ref="D2641:D2642"/>
    <mergeCell ref="E2641:G2641"/>
    <mergeCell ref="H2641:J2641"/>
    <mergeCell ref="A2913:J2913"/>
    <mergeCell ref="A2914:A2915"/>
    <mergeCell ref="B2914:B2915"/>
    <mergeCell ref="C2914:C2915"/>
    <mergeCell ref="D2914:D2915"/>
    <mergeCell ref="E2914:G2914"/>
    <mergeCell ref="H2914:J2914"/>
    <mergeCell ref="A2822:J2822"/>
    <mergeCell ref="A2823:A2824"/>
    <mergeCell ref="B2823:B2824"/>
    <mergeCell ref="C2823:C2824"/>
    <mergeCell ref="D2823:D2824"/>
    <mergeCell ref="E2823:G2823"/>
    <mergeCell ref="H2823:J2823"/>
    <mergeCell ref="A3095:J3095"/>
    <mergeCell ref="A3096:A3097"/>
    <mergeCell ref="B3096:B3097"/>
    <mergeCell ref="C3096:C3097"/>
    <mergeCell ref="D3096:D3097"/>
    <mergeCell ref="E3096:G3096"/>
    <mergeCell ref="H3096:J3096"/>
    <mergeCell ref="A3004:J3004"/>
    <mergeCell ref="A3005:A3006"/>
    <mergeCell ref="B3005:B3006"/>
    <mergeCell ref="C3005:C3006"/>
    <mergeCell ref="D3005:D3006"/>
    <mergeCell ref="E3005:G3005"/>
    <mergeCell ref="H3005:J3005"/>
    <mergeCell ref="A3368:E3368"/>
    <mergeCell ref="A3277:J3277"/>
    <mergeCell ref="A3278:A3279"/>
    <mergeCell ref="B3278:B3279"/>
    <mergeCell ref="C3278:C3279"/>
    <mergeCell ref="D3278:D3279"/>
    <mergeCell ref="E3278:G3278"/>
    <mergeCell ref="H3278:J3278"/>
    <mergeCell ref="A3186:J3186"/>
    <mergeCell ref="A3187:A3188"/>
    <mergeCell ref="B3187:B3188"/>
    <mergeCell ref="C3187:C3188"/>
    <mergeCell ref="D3187:D3188"/>
    <mergeCell ref="E3187:G3187"/>
    <mergeCell ref="H3187:J318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14"/>
  <sheetViews>
    <sheetView zoomScale="90" zoomScaleNormal="90" workbookViewId="0"/>
  </sheetViews>
  <sheetFormatPr baseColWidth="10" defaultColWidth="11.42578125" defaultRowHeight="12.75" x14ac:dyDescent="0.2"/>
  <cols>
    <col min="1" max="1" width="23.42578125" customWidth="1"/>
    <col min="2" max="2" width="17.42578125" customWidth="1"/>
    <col min="3" max="3" width="17" customWidth="1"/>
    <col min="4" max="4" width="18.85546875" customWidth="1"/>
    <col min="5" max="5" width="17.5703125" customWidth="1"/>
    <col min="6" max="8" width="15.42578125" customWidth="1"/>
    <col min="9" max="11" width="4.42578125" customWidth="1"/>
  </cols>
  <sheetData>
    <row r="2" spans="1:11" x14ac:dyDescent="0.2">
      <c r="A2" s="2794" t="s">
        <v>1936</v>
      </c>
      <c r="B2" s="2508"/>
      <c r="C2" s="2508"/>
      <c r="D2" s="2508"/>
      <c r="E2" s="2508"/>
      <c r="F2" s="2508"/>
      <c r="G2" s="2508"/>
      <c r="H2" s="2508"/>
      <c r="I2" s="2508"/>
      <c r="J2" s="2508"/>
      <c r="K2" s="2508"/>
    </row>
    <row r="3" spans="1:11" ht="15" x14ac:dyDescent="0.25">
      <c r="A3" s="21"/>
      <c r="B3" s="3"/>
      <c r="C3" s="3"/>
      <c r="D3" s="178"/>
      <c r="E3" s="22"/>
      <c r="F3" s="179"/>
      <c r="G3" s="179"/>
      <c r="H3" s="179"/>
      <c r="I3" s="177"/>
      <c r="J3" s="177"/>
      <c r="K3" s="177"/>
    </row>
    <row r="4" spans="1:11" ht="15.75" thickBot="1" x14ac:dyDescent="0.3">
      <c r="A4" s="21" t="s">
        <v>846</v>
      </c>
      <c r="B4" s="3"/>
      <c r="C4" s="3"/>
      <c r="D4" s="178"/>
      <c r="E4" s="177"/>
      <c r="F4" s="179"/>
      <c r="G4" s="179"/>
      <c r="H4" s="179"/>
      <c r="I4" s="177"/>
      <c r="J4" s="177"/>
      <c r="K4" s="177"/>
    </row>
    <row r="5" spans="1:11" ht="15.75" thickBot="1" x14ac:dyDescent="0.3">
      <c r="A5" s="172"/>
      <c r="B5" s="2795" t="s">
        <v>1939</v>
      </c>
      <c r="C5" s="2796"/>
      <c r="D5" s="2796"/>
      <c r="E5" s="2796"/>
      <c r="F5" s="2796"/>
      <c r="G5" s="2796"/>
      <c r="H5" s="2796"/>
      <c r="I5" s="2796"/>
      <c r="J5" s="2796"/>
      <c r="K5" s="2797"/>
    </row>
    <row r="6" spans="1:11" ht="15" x14ac:dyDescent="0.25">
      <c r="A6" s="173"/>
      <c r="B6" s="2798" t="s">
        <v>328</v>
      </c>
      <c r="C6" s="2799"/>
      <c r="D6" s="1051"/>
      <c r="E6" s="1052"/>
      <c r="F6" s="1051"/>
      <c r="G6" s="1051"/>
      <c r="H6" s="1051"/>
      <c r="I6" s="2800" t="s">
        <v>834</v>
      </c>
      <c r="J6" s="2801"/>
      <c r="K6" s="2802"/>
    </row>
    <row r="7" spans="1:11" ht="15" x14ac:dyDescent="0.25">
      <c r="A7" s="174" t="s">
        <v>327</v>
      </c>
      <c r="B7" s="1052" t="s">
        <v>835</v>
      </c>
      <c r="C7" s="1052" t="s">
        <v>836</v>
      </c>
      <c r="D7" s="1052" t="s">
        <v>837</v>
      </c>
      <c r="E7" s="1052" t="s">
        <v>838</v>
      </c>
      <c r="F7" s="1053" t="s">
        <v>329</v>
      </c>
      <c r="G7" s="1052" t="s">
        <v>337</v>
      </c>
      <c r="H7" s="1052" t="s">
        <v>338</v>
      </c>
      <c r="I7" s="2791" t="s">
        <v>839</v>
      </c>
      <c r="J7" s="2792"/>
      <c r="K7" s="2793"/>
    </row>
    <row r="8" spans="1:11" ht="15" x14ac:dyDescent="0.25">
      <c r="A8" s="173"/>
      <c r="B8" s="1052"/>
      <c r="C8" s="1052"/>
      <c r="D8" s="1052" t="s">
        <v>841</v>
      </c>
      <c r="E8" s="1052" t="s">
        <v>842</v>
      </c>
      <c r="F8" s="1052" t="s">
        <v>336</v>
      </c>
      <c r="G8" s="1052" t="s">
        <v>843</v>
      </c>
      <c r="H8" s="1052" t="s">
        <v>840</v>
      </c>
      <c r="I8" s="1054"/>
      <c r="J8" s="1054"/>
      <c r="K8" s="1055"/>
    </row>
    <row r="9" spans="1:11" ht="15" x14ac:dyDescent="0.25">
      <c r="A9" s="175"/>
      <c r="B9" s="1056" t="s">
        <v>345</v>
      </c>
      <c r="C9" s="1056" t="s">
        <v>844</v>
      </c>
      <c r="D9" s="1056" t="s">
        <v>346</v>
      </c>
      <c r="E9" s="1056" t="s">
        <v>344</v>
      </c>
      <c r="F9" s="1056" t="s">
        <v>441</v>
      </c>
      <c r="G9" s="1056" t="s">
        <v>347</v>
      </c>
      <c r="H9" s="1056" t="s">
        <v>348</v>
      </c>
      <c r="I9" s="1057" t="s">
        <v>349</v>
      </c>
      <c r="J9" s="1058" t="s">
        <v>350</v>
      </c>
      <c r="K9" s="1059" t="s">
        <v>351</v>
      </c>
    </row>
    <row r="10" spans="1:11" ht="15" x14ac:dyDescent="0.25">
      <c r="A10" s="1069" t="s">
        <v>352</v>
      </c>
      <c r="B10" s="1070">
        <v>38</v>
      </c>
      <c r="C10" s="1070">
        <v>41</v>
      </c>
      <c r="D10" s="1070">
        <v>111.6</v>
      </c>
      <c r="E10" s="1868">
        <v>2.7219512195121949</v>
      </c>
      <c r="F10" s="1072"/>
      <c r="G10" s="1072"/>
      <c r="H10" s="1072"/>
      <c r="I10" s="1071"/>
      <c r="J10" s="1071"/>
      <c r="K10" s="1073"/>
    </row>
    <row r="11" spans="1:11" ht="14.25" x14ac:dyDescent="0.2">
      <c r="A11" s="1063" t="s">
        <v>353</v>
      </c>
      <c r="B11" s="1064">
        <v>0</v>
      </c>
      <c r="C11" s="1064">
        <v>0</v>
      </c>
      <c r="D11" s="957">
        <v>0</v>
      </c>
      <c r="E11" s="1518">
        <v>0</v>
      </c>
      <c r="F11" s="248"/>
      <c r="G11" s="968"/>
      <c r="H11" s="968"/>
      <c r="I11" s="1066"/>
      <c r="J11" s="1066"/>
      <c r="K11" s="1067"/>
    </row>
    <row r="12" spans="1:11" ht="14.25" x14ac:dyDescent="0.2">
      <c r="A12" s="1063" t="s">
        <v>354</v>
      </c>
      <c r="B12" s="1064">
        <v>21</v>
      </c>
      <c r="C12" s="1064">
        <v>20</v>
      </c>
      <c r="D12" s="957">
        <v>50</v>
      </c>
      <c r="E12" s="1518">
        <v>2.5</v>
      </c>
      <c r="F12" s="1065" t="s">
        <v>1412</v>
      </c>
      <c r="G12" s="968">
        <v>6100000</v>
      </c>
      <c r="H12" s="968">
        <v>6741527.7291359399</v>
      </c>
      <c r="I12" s="1066"/>
      <c r="J12" s="1066"/>
      <c r="K12" s="1067"/>
    </row>
    <row r="13" spans="1:11" ht="14.25" x14ac:dyDescent="0.2">
      <c r="A13" s="1063" t="s">
        <v>355</v>
      </c>
      <c r="B13" s="957">
        <v>1</v>
      </c>
      <c r="C13" s="957">
        <v>1</v>
      </c>
      <c r="D13" s="957">
        <v>2</v>
      </c>
      <c r="E13" s="1518">
        <v>2</v>
      </c>
      <c r="F13" s="1065"/>
      <c r="G13" s="968">
        <v>6100000</v>
      </c>
      <c r="H13" s="968">
        <v>6741527.7291359399</v>
      </c>
      <c r="I13" s="1066"/>
      <c r="J13" s="1066"/>
      <c r="K13" s="1067"/>
    </row>
    <row r="14" spans="1:11" ht="14.25" x14ac:dyDescent="0.2">
      <c r="A14" s="1063" t="s">
        <v>356</v>
      </c>
      <c r="B14" s="957">
        <v>0</v>
      </c>
      <c r="C14" s="957">
        <v>0</v>
      </c>
      <c r="D14" s="957">
        <v>0</v>
      </c>
      <c r="E14" s="1518">
        <v>0</v>
      </c>
      <c r="F14" s="1065"/>
      <c r="G14" s="968"/>
      <c r="H14" s="968"/>
      <c r="I14" s="1066"/>
      <c r="J14" s="1066"/>
      <c r="K14" s="1067"/>
    </row>
    <row r="15" spans="1:11" ht="14.25" x14ac:dyDescent="0.2">
      <c r="A15" s="1063" t="s">
        <v>357</v>
      </c>
      <c r="B15" s="957">
        <v>4</v>
      </c>
      <c r="C15" s="957">
        <v>10</v>
      </c>
      <c r="D15" s="957">
        <v>25</v>
      </c>
      <c r="E15" s="1518">
        <v>2.5</v>
      </c>
      <c r="F15" s="1065" t="s">
        <v>1412</v>
      </c>
      <c r="G15" s="968">
        <v>6100000</v>
      </c>
      <c r="H15" s="968">
        <v>6741527.7291359399</v>
      </c>
      <c r="I15" s="1066"/>
      <c r="J15" s="1066"/>
      <c r="K15" s="1067"/>
    </row>
    <row r="16" spans="1:11" ht="14.25" x14ac:dyDescent="0.2">
      <c r="A16" s="1063" t="s">
        <v>358</v>
      </c>
      <c r="B16" s="957">
        <v>1</v>
      </c>
      <c r="C16" s="957">
        <v>1</v>
      </c>
      <c r="D16" s="957">
        <v>2</v>
      </c>
      <c r="E16" s="1518">
        <v>2</v>
      </c>
      <c r="F16" s="1065" t="s">
        <v>1412</v>
      </c>
      <c r="G16" s="968">
        <v>6100000</v>
      </c>
      <c r="H16" s="968">
        <v>6741527.7291359399</v>
      </c>
      <c r="I16" s="1066"/>
      <c r="J16" s="1066"/>
      <c r="K16" s="1067"/>
    </row>
    <row r="17" spans="1:11" ht="14.25" x14ac:dyDescent="0.2">
      <c r="A17" s="1063" t="s">
        <v>359</v>
      </c>
      <c r="B17" s="957">
        <v>3</v>
      </c>
      <c r="C17" s="957">
        <v>3</v>
      </c>
      <c r="D17" s="957">
        <v>9</v>
      </c>
      <c r="E17" s="1518">
        <v>3</v>
      </c>
      <c r="F17" s="1065" t="s">
        <v>1412</v>
      </c>
      <c r="G17" s="968">
        <v>6100000</v>
      </c>
      <c r="H17" s="968">
        <v>6741527.7291359399</v>
      </c>
      <c r="I17" s="1066"/>
      <c r="J17" s="1066"/>
      <c r="K17" s="1067"/>
    </row>
    <row r="18" spans="1:11" ht="14.25" x14ac:dyDescent="0.2">
      <c r="A18" s="1063" t="s">
        <v>360</v>
      </c>
      <c r="B18" s="957">
        <v>4</v>
      </c>
      <c r="C18" s="957">
        <v>4</v>
      </c>
      <c r="D18" s="957">
        <v>20</v>
      </c>
      <c r="E18" s="1518">
        <v>5</v>
      </c>
      <c r="F18" s="1065" t="s">
        <v>1412</v>
      </c>
      <c r="G18" s="968">
        <v>6100000</v>
      </c>
      <c r="H18" s="968">
        <v>6741527.7291359399</v>
      </c>
      <c r="I18" s="1066"/>
      <c r="J18" s="1066"/>
      <c r="K18" s="1067"/>
    </row>
    <row r="19" spans="1:11" ht="14.25" x14ac:dyDescent="0.2">
      <c r="A19" s="1063" t="s">
        <v>361</v>
      </c>
      <c r="B19" s="957">
        <v>4</v>
      </c>
      <c r="C19" s="957">
        <v>2</v>
      </c>
      <c r="D19" s="957">
        <v>3.6</v>
      </c>
      <c r="E19" s="1518">
        <v>1.8</v>
      </c>
      <c r="F19" s="1065" t="s">
        <v>1412</v>
      </c>
      <c r="G19" s="968">
        <v>6100000</v>
      </c>
      <c r="H19" s="968">
        <v>6741527.7291359399</v>
      </c>
      <c r="I19" s="1066"/>
      <c r="J19" s="1066"/>
      <c r="K19" s="1067"/>
    </row>
    <row r="20" spans="1:11" ht="14.25" x14ac:dyDescent="0.2">
      <c r="A20" s="1063" t="s">
        <v>362</v>
      </c>
      <c r="B20" s="957">
        <v>0</v>
      </c>
      <c r="C20" s="957">
        <v>0</v>
      </c>
      <c r="D20" s="957">
        <v>0</v>
      </c>
      <c r="E20" s="1518">
        <v>0</v>
      </c>
      <c r="F20" s="1065"/>
      <c r="G20" s="968"/>
      <c r="H20" s="968"/>
      <c r="I20" s="1066"/>
      <c r="J20" s="1066"/>
      <c r="K20" s="1067"/>
    </row>
    <row r="21" spans="1:11" ht="14.25" x14ac:dyDescent="0.2">
      <c r="A21" s="1063" t="s">
        <v>363</v>
      </c>
      <c r="B21" s="957">
        <v>0</v>
      </c>
      <c r="C21" s="957">
        <v>0</v>
      </c>
      <c r="D21" s="957">
        <v>0</v>
      </c>
      <c r="E21" s="1518">
        <v>0</v>
      </c>
      <c r="F21" s="248"/>
      <c r="G21" s="968"/>
      <c r="H21" s="968"/>
      <c r="I21" s="1066"/>
      <c r="J21" s="1066"/>
      <c r="K21" s="1067"/>
    </row>
    <row r="22" spans="1:11" ht="14.25" x14ac:dyDescent="0.2">
      <c r="A22" s="1063" t="s">
        <v>364</v>
      </c>
      <c r="B22" s="957">
        <v>0</v>
      </c>
      <c r="C22" s="957">
        <v>0</v>
      </c>
      <c r="D22" s="957">
        <v>0</v>
      </c>
      <c r="E22" s="1518">
        <v>0</v>
      </c>
      <c r="F22" s="248"/>
      <c r="G22" s="968"/>
      <c r="H22" s="968"/>
      <c r="I22" s="1066"/>
      <c r="J22" s="1066"/>
      <c r="K22" s="1067"/>
    </row>
    <row r="23" spans="1:11" ht="14.25" x14ac:dyDescent="0.2">
      <c r="A23" s="1063" t="s">
        <v>365</v>
      </c>
      <c r="B23" s="957">
        <v>0</v>
      </c>
      <c r="C23" s="957">
        <v>0</v>
      </c>
      <c r="D23" s="957">
        <v>0</v>
      </c>
      <c r="E23" s="1518">
        <v>0</v>
      </c>
      <c r="F23" s="1065"/>
      <c r="G23" s="968"/>
      <c r="H23" s="968"/>
      <c r="I23" s="1066"/>
      <c r="J23" s="1066"/>
      <c r="K23" s="1067"/>
    </row>
    <row r="24" spans="1:11" ht="14.25" x14ac:dyDescent="0.2">
      <c r="A24" s="1063" t="s">
        <v>366</v>
      </c>
      <c r="B24" s="957">
        <v>0</v>
      </c>
      <c r="C24" s="957">
        <v>0</v>
      </c>
      <c r="D24" s="957">
        <v>0</v>
      </c>
      <c r="E24" s="1518">
        <v>0</v>
      </c>
      <c r="F24" s="248"/>
      <c r="G24" s="968"/>
      <c r="H24" s="968"/>
      <c r="I24" s="1066"/>
      <c r="J24" s="1066"/>
      <c r="K24" s="1067"/>
    </row>
    <row r="25" spans="1:11" ht="14.25" x14ac:dyDescent="0.2">
      <c r="A25" s="1063" t="s">
        <v>367</v>
      </c>
      <c r="B25" s="957">
        <v>0</v>
      </c>
      <c r="C25" s="957">
        <v>0</v>
      </c>
      <c r="D25" s="957">
        <v>0</v>
      </c>
      <c r="E25" s="1518">
        <v>0</v>
      </c>
      <c r="F25" s="1065"/>
      <c r="G25" s="968"/>
      <c r="H25" s="968"/>
      <c r="I25" s="1066"/>
      <c r="J25" s="1066"/>
      <c r="K25" s="1067"/>
    </row>
    <row r="26" spans="1:11" ht="15" x14ac:dyDescent="0.25">
      <c r="A26" s="1074" t="s">
        <v>368</v>
      </c>
      <c r="B26" s="1075">
        <v>42</v>
      </c>
      <c r="C26" s="1075">
        <v>42</v>
      </c>
      <c r="D26" s="1075">
        <v>100.8</v>
      </c>
      <c r="E26" s="2335">
        <v>2.4</v>
      </c>
      <c r="F26" s="1077"/>
      <c r="G26" s="1078"/>
      <c r="H26" s="1078"/>
      <c r="I26" s="1076"/>
      <c r="J26" s="1076"/>
      <c r="K26" s="1079"/>
    </row>
    <row r="27" spans="1:11" ht="14.25" x14ac:dyDescent="0.2">
      <c r="A27" s="1063" t="s">
        <v>369</v>
      </c>
      <c r="B27" s="957">
        <v>42</v>
      </c>
      <c r="C27" s="957">
        <v>42</v>
      </c>
      <c r="D27" s="957">
        <v>100.8</v>
      </c>
      <c r="E27" s="248">
        <v>2.4</v>
      </c>
      <c r="F27" s="1065" t="s">
        <v>1412</v>
      </c>
      <c r="G27" s="968">
        <v>6100000</v>
      </c>
      <c r="H27" s="968">
        <v>6741527.7291359399</v>
      </c>
      <c r="I27" s="1066"/>
      <c r="J27" s="1066"/>
      <c r="K27" s="1067"/>
    </row>
    <row r="28" spans="1:11" ht="14.25" x14ac:dyDescent="0.2">
      <c r="A28" s="1063" t="s">
        <v>370</v>
      </c>
      <c r="B28" s="1064">
        <v>0</v>
      </c>
      <c r="C28" s="1064">
        <v>0</v>
      </c>
      <c r="D28" s="957">
        <v>0</v>
      </c>
      <c r="E28" s="1518">
        <v>0</v>
      </c>
      <c r="F28" s="248"/>
      <c r="G28" s="968"/>
      <c r="H28" s="968"/>
      <c r="I28" s="1066"/>
      <c r="J28" s="1066"/>
      <c r="K28" s="1067"/>
    </row>
    <row r="29" spans="1:11" ht="14.25" x14ac:dyDescent="0.2">
      <c r="A29" s="1063" t="s">
        <v>371</v>
      </c>
      <c r="B29" s="1064">
        <v>0</v>
      </c>
      <c r="C29" s="1064">
        <v>0</v>
      </c>
      <c r="D29" s="957">
        <v>0</v>
      </c>
      <c r="E29" s="1518">
        <v>0</v>
      </c>
      <c r="F29" s="248"/>
      <c r="G29" s="968"/>
      <c r="H29" s="968"/>
      <c r="I29" s="1066"/>
      <c r="J29" s="1066"/>
      <c r="K29" s="1067"/>
    </row>
    <row r="30" spans="1:11" ht="14.25" x14ac:dyDescent="0.2">
      <c r="A30" s="1063" t="s">
        <v>372</v>
      </c>
      <c r="B30" s="1064">
        <v>0</v>
      </c>
      <c r="C30" s="1064">
        <v>0</v>
      </c>
      <c r="D30" s="957">
        <v>0</v>
      </c>
      <c r="E30" s="1518">
        <v>0</v>
      </c>
      <c r="F30" s="248"/>
      <c r="G30" s="968"/>
      <c r="H30" s="968"/>
      <c r="I30" s="1066"/>
      <c r="J30" s="1066"/>
      <c r="K30" s="1067"/>
    </row>
    <row r="31" spans="1:11" ht="14.25" x14ac:dyDescent="0.2">
      <c r="A31" s="1063" t="s">
        <v>373</v>
      </c>
      <c r="B31" s="1064">
        <v>0</v>
      </c>
      <c r="C31" s="1064">
        <v>0</v>
      </c>
      <c r="D31" s="957">
        <v>0</v>
      </c>
      <c r="E31" s="1518">
        <v>0</v>
      </c>
      <c r="F31" s="248"/>
      <c r="G31" s="968"/>
      <c r="H31" s="968"/>
      <c r="I31" s="1066"/>
      <c r="J31" s="1066"/>
      <c r="K31" s="1067"/>
    </row>
    <row r="32" spans="1:11" ht="15" x14ac:dyDescent="0.25">
      <c r="A32" s="1074" t="s">
        <v>374</v>
      </c>
      <c r="B32" s="1075">
        <v>22</v>
      </c>
      <c r="C32" s="1075">
        <v>20</v>
      </c>
      <c r="D32" s="1075">
        <v>70</v>
      </c>
      <c r="E32" s="2335">
        <v>3.5</v>
      </c>
      <c r="F32" s="1077"/>
      <c r="G32" s="1078"/>
      <c r="H32" s="1078"/>
      <c r="I32" s="1076"/>
      <c r="J32" s="1076"/>
      <c r="K32" s="1079"/>
    </row>
    <row r="33" spans="1:11" ht="14.25" x14ac:dyDescent="0.2">
      <c r="A33" s="1063" t="s">
        <v>375</v>
      </c>
      <c r="B33" s="957">
        <v>0</v>
      </c>
      <c r="C33" s="957">
        <v>0</v>
      </c>
      <c r="D33" s="957">
        <v>0</v>
      </c>
      <c r="E33" s="248">
        <v>0</v>
      </c>
      <c r="F33" s="1065"/>
      <c r="G33" s="968"/>
      <c r="H33" s="968"/>
      <c r="I33" s="1066"/>
      <c r="J33" s="1066"/>
      <c r="K33" s="1067"/>
    </row>
    <row r="34" spans="1:11" ht="14.25" x14ac:dyDescent="0.2">
      <c r="A34" s="1063" t="s">
        <v>376</v>
      </c>
      <c r="B34" s="957">
        <v>0</v>
      </c>
      <c r="C34" s="957">
        <v>0</v>
      </c>
      <c r="D34" s="957">
        <v>0</v>
      </c>
      <c r="E34" s="248">
        <v>0</v>
      </c>
      <c r="F34" s="248"/>
      <c r="G34" s="968"/>
      <c r="H34" s="968"/>
      <c r="I34" s="1066"/>
      <c r="J34" s="1066"/>
      <c r="K34" s="1067"/>
    </row>
    <row r="35" spans="1:11" ht="14.25" x14ac:dyDescent="0.2">
      <c r="A35" s="1063" t="s">
        <v>377</v>
      </c>
      <c r="B35" s="957">
        <v>0</v>
      </c>
      <c r="C35" s="957">
        <v>0</v>
      </c>
      <c r="D35" s="957">
        <v>0</v>
      </c>
      <c r="E35" s="248">
        <v>0</v>
      </c>
      <c r="F35" s="1065"/>
      <c r="G35" s="968"/>
      <c r="H35" s="968"/>
      <c r="I35" s="1066"/>
      <c r="J35" s="1066"/>
      <c r="K35" s="1067"/>
    </row>
    <row r="36" spans="1:11" ht="14.25" x14ac:dyDescent="0.2">
      <c r="A36" s="1063" t="s">
        <v>378</v>
      </c>
      <c r="B36" s="957">
        <v>18</v>
      </c>
      <c r="C36" s="957">
        <v>16</v>
      </c>
      <c r="D36" s="957">
        <v>56</v>
      </c>
      <c r="E36" s="248">
        <v>3.5</v>
      </c>
      <c r="F36" s="1065" t="s">
        <v>1412</v>
      </c>
      <c r="G36" s="968">
        <v>6100000</v>
      </c>
      <c r="H36" s="968">
        <v>6741527.7291359399</v>
      </c>
      <c r="I36" s="1066"/>
      <c r="J36" s="1066"/>
      <c r="K36" s="1067"/>
    </row>
    <row r="37" spans="1:11" ht="14.25" x14ac:dyDescent="0.2">
      <c r="A37" s="1063" t="s">
        <v>379</v>
      </c>
      <c r="B37" s="957">
        <v>0</v>
      </c>
      <c r="C37" s="957">
        <v>0</v>
      </c>
      <c r="D37" s="957">
        <v>0</v>
      </c>
      <c r="E37" s="248">
        <v>0</v>
      </c>
      <c r="F37" s="1065"/>
      <c r="G37" s="968"/>
      <c r="H37" s="968"/>
      <c r="I37" s="1066"/>
      <c r="J37" s="1066"/>
      <c r="K37" s="1067"/>
    </row>
    <row r="38" spans="1:11" ht="14.25" x14ac:dyDescent="0.2">
      <c r="A38" s="1063" t="s">
        <v>380</v>
      </c>
      <c r="B38" s="1064">
        <v>4</v>
      </c>
      <c r="C38" s="1064">
        <v>4</v>
      </c>
      <c r="D38" s="957">
        <v>14</v>
      </c>
      <c r="E38" s="1518">
        <v>3.5</v>
      </c>
      <c r="F38" s="1065" t="s">
        <v>1412</v>
      </c>
      <c r="G38" s="968">
        <v>6100000</v>
      </c>
      <c r="H38" s="968">
        <v>6741527.7291359399</v>
      </c>
      <c r="I38" s="1066"/>
      <c r="J38" s="1066"/>
      <c r="K38" s="1067"/>
    </row>
    <row r="39" spans="1:11" ht="14.25" x14ac:dyDescent="0.2">
      <c r="A39" s="1063" t="s">
        <v>381</v>
      </c>
      <c r="B39" s="1064">
        <v>0</v>
      </c>
      <c r="C39" s="1064">
        <v>0</v>
      </c>
      <c r="D39" s="957">
        <v>0</v>
      </c>
      <c r="E39" s="1518">
        <v>0</v>
      </c>
      <c r="F39" s="248"/>
      <c r="G39" s="968"/>
      <c r="H39" s="968"/>
      <c r="I39" s="1066"/>
      <c r="J39" s="1066"/>
      <c r="K39" s="1067"/>
    </row>
    <row r="40" spans="1:11" ht="14.25" x14ac:dyDescent="0.2">
      <c r="A40" s="1063" t="s">
        <v>382</v>
      </c>
      <c r="B40" s="1064">
        <v>0</v>
      </c>
      <c r="C40" s="1064">
        <v>0</v>
      </c>
      <c r="D40" s="957">
        <v>0</v>
      </c>
      <c r="E40" s="1518">
        <v>0</v>
      </c>
      <c r="F40" s="1065"/>
      <c r="G40" s="968"/>
      <c r="H40" s="968"/>
      <c r="I40" s="1066"/>
      <c r="J40" s="1066"/>
      <c r="K40" s="1067"/>
    </row>
    <row r="41" spans="1:11" ht="15" x14ac:dyDescent="0.25">
      <c r="A41" s="1074" t="s">
        <v>383</v>
      </c>
      <c r="B41" s="1075">
        <v>33.5</v>
      </c>
      <c r="C41" s="1075">
        <v>32.5</v>
      </c>
      <c r="D41" s="1075">
        <v>55</v>
      </c>
      <c r="E41" s="2335">
        <v>1.6923076923076923</v>
      </c>
      <c r="F41" s="1077"/>
      <c r="G41" s="1078"/>
      <c r="H41" s="1078"/>
      <c r="I41" s="1076"/>
      <c r="J41" s="1076"/>
      <c r="K41" s="1079"/>
    </row>
    <row r="42" spans="1:11" ht="14.25" x14ac:dyDescent="0.2">
      <c r="A42" s="1063" t="s">
        <v>384</v>
      </c>
      <c r="B42" s="957">
        <v>0</v>
      </c>
      <c r="C42" s="957">
        <v>0</v>
      </c>
      <c r="D42" s="957">
        <v>0</v>
      </c>
      <c r="E42" s="1518">
        <v>0</v>
      </c>
      <c r="F42" s="1065"/>
      <c r="G42" s="968"/>
      <c r="H42" s="968"/>
      <c r="I42" s="1066"/>
      <c r="J42" s="1066"/>
      <c r="K42" s="1067"/>
    </row>
    <row r="43" spans="1:11" ht="14.25" x14ac:dyDescent="0.2">
      <c r="A43" s="1063" t="s">
        <v>385</v>
      </c>
      <c r="B43" s="957">
        <v>0</v>
      </c>
      <c r="C43" s="957">
        <v>0</v>
      </c>
      <c r="D43" s="957">
        <v>0</v>
      </c>
      <c r="E43" s="1518">
        <v>0</v>
      </c>
      <c r="F43" s="1065"/>
      <c r="G43" s="968"/>
      <c r="H43" s="968"/>
      <c r="I43" s="1066"/>
      <c r="J43" s="1066"/>
      <c r="K43" s="1067"/>
    </row>
    <row r="44" spans="1:11" ht="14.25" x14ac:dyDescent="0.2">
      <c r="A44" s="1063" t="s">
        <v>386</v>
      </c>
      <c r="B44" s="957">
        <v>0</v>
      </c>
      <c r="C44" s="957">
        <v>0</v>
      </c>
      <c r="D44" s="957">
        <v>0</v>
      </c>
      <c r="E44" s="248">
        <v>0</v>
      </c>
      <c r="F44" s="1065"/>
      <c r="G44" s="968"/>
      <c r="H44" s="968"/>
      <c r="I44" s="1066"/>
      <c r="J44" s="1066"/>
      <c r="K44" s="1067"/>
    </row>
    <row r="45" spans="1:11" ht="14.25" x14ac:dyDescent="0.2">
      <c r="A45" s="1063" t="s">
        <v>387</v>
      </c>
      <c r="B45" s="957">
        <v>12</v>
      </c>
      <c r="C45" s="957">
        <v>11</v>
      </c>
      <c r="D45" s="957">
        <v>22</v>
      </c>
      <c r="E45" s="248">
        <v>2</v>
      </c>
      <c r="F45" s="1065" t="s">
        <v>1412</v>
      </c>
      <c r="G45" s="968">
        <v>6100000</v>
      </c>
      <c r="H45" s="968">
        <v>6741527.7291359399</v>
      </c>
      <c r="I45" s="1066"/>
      <c r="J45" s="1066"/>
      <c r="K45" s="1067"/>
    </row>
    <row r="46" spans="1:11" ht="14.25" x14ac:dyDescent="0.2">
      <c r="A46" s="1063" t="s">
        <v>388</v>
      </c>
      <c r="B46" s="957">
        <v>0</v>
      </c>
      <c r="C46" s="957">
        <v>0</v>
      </c>
      <c r="D46" s="957">
        <v>0</v>
      </c>
      <c r="E46" s="248">
        <v>0</v>
      </c>
      <c r="F46" s="1065"/>
      <c r="G46" s="968"/>
      <c r="H46" s="968"/>
      <c r="I46" s="1066"/>
      <c r="J46" s="1066"/>
      <c r="K46" s="1067"/>
    </row>
    <row r="47" spans="1:11" ht="14.25" x14ac:dyDescent="0.2">
      <c r="A47" s="1063" t="s">
        <v>389</v>
      </c>
      <c r="B47" s="957">
        <v>0</v>
      </c>
      <c r="C47" s="957">
        <v>0</v>
      </c>
      <c r="D47" s="957">
        <v>0</v>
      </c>
      <c r="E47" s="248">
        <v>0</v>
      </c>
      <c r="F47" s="248"/>
      <c r="G47" s="968"/>
      <c r="H47" s="968"/>
      <c r="I47" s="1066"/>
      <c r="J47" s="1066"/>
      <c r="K47" s="1067"/>
    </row>
    <row r="48" spans="1:11" ht="14.25" x14ac:dyDescent="0.2">
      <c r="A48" s="1063" t="s">
        <v>390</v>
      </c>
      <c r="B48" s="957">
        <v>0.5</v>
      </c>
      <c r="C48" s="957">
        <v>0.5</v>
      </c>
      <c r="D48" s="957">
        <v>0.5</v>
      </c>
      <c r="E48" s="248">
        <v>1</v>
      </c>
      <c r="F48" s="1065" t="s">
        <v>1412</v>
      </c>
      <c r="G48" s="968">
        <v>6100000</v>
      </c>
      <c r="H48" s="968">
        <v>6741527.7291359399</v>
      </c>
      <c r="I48" s="1066"/>
      <c r="J48" s="1066"/>
      <c r="K48" s="1067"/>
    </row>
    <row r="49" spans="1:11" ht="14.25" x14ac:dyDescent="0.2">
      <c r="A49" s="1063" t="s">
        <v>391</v>
      </c>
      <c r="B49" s="957">
        <v>19</v>
      </c>
      <c r="C49" s="957">
        <v>19</v>
      </c>
      <c r="D49" s="957">
        <v>28.5</v>
      </c>
      <c r="E49" s="248">
        <v>1.5</v>
      </c>
      <c r="F49" s="1065" t="s">
        <v>1412</v>
      </c>
      <c r="G49" s="968">
        <v>6100000</v>
      </c>
      <c r="H49" s="968">
        <v>6741527.7291359399</v>
      </c>
      <c r="I49" s="1066"/>
      <c r="J49" s="1066"/>
      <c r="K49" s="1067"/>
    </row>
    <row r="50" spans="1:11" ht="14.25" x14ac:dyDescent="0.2">
      <c r="A50" s="1060" t="s">
        <v>392</v>
      </c>
      <c r="B50" s="957">
        <v>2</v>
      </c>
      <c r="C50" s="957">
        <v>2</v>
      </c>
      <c r="D50" s="957">
        <v>4</v>
      </c>
      <c r="E50" s="1518">
        <v>2</v>
      </c>
      <c r="F50" s="1065" t="s">
        <v>1412</v>
      </c>
      <c r="G50" s="968">
        <v>6100000</v>
      </c>
      <c r="H50" s="968">
        <v>6741527.7291359399</v>
      </c>
      <c r="I50" s="1061"/>
      <c r="J50" s="1061"/>
      <c r="K50" s="1062"/>
    </row>
    <row r="51" spans="1:11" ht="15.75" thickBot="1" x14ac:dyDescent="0.3">
      <c r="A51" s="1080" t="s">
        <v>393</v>
      </c>
      <c r="B51" s="1081">
        <v>135.5</v>
      </c>
      <c r="C51" s="1081">
        <v>135.5</v>
      </c>
      <c r="D51" s="1512">
        <v>337.4</v>
      </c>
      <c r="E51" s="1515">
        <v>2.4900369003690037</v>
      </c>
      <c r="F51" s="1520" t="s">
        <v>1412</v>
      </c>
      <c r="G51" s="1513">
        <v>6100000</v>
      </c>
      <c r="H51" s="1513">
        <v>6741527.7291359399</v>
      </c>
      <c r="I51" s="1086"/>
      <c r="J51" s="1086"/>
      <c r="K51" s="1087"/>
    </row>
    <row r="52" spans="1:11" x14ac:dyDescent="0.2">
      <c r="A52" s="7" t="s">
        <v>1934</v>
      </c>
      <c r="B52" s="8"/>
      <c r="C52" s="8"/>
      <c r="D52" s="8"/>
      <c r="E52" s="4"/>
      <c r="F52" s="5"/>
      <c r="G52" s="9"/>
      <c r="H52" s="8"/>
      <c r="I52" s="177"/>
      <c r="J52" s="177"/>
      <c r="K52" s="177"/>
    </row>
    <row r="53" spans="1:11" x14ac:dyDescent="0.2">
      <c r="A53" s="6"/>
      <c r="D53" s="176"/>
      <c r="E53" s="177"/>
      <c r="F53" s="176"/>
      <c r="G53" s="10"/>
      <c r="H53" s="176"/>
      <c r="I53" s="177"/>
      <c r="J53" s="177"/>
      <c r="K53" s="177"/>
    </row>
    <row r="54" spans="1:11" x14ac:dyDescent="0.2">
      <c r="A54" s="6"/>
      <c r="D54" s="176"/>
      <c r="E54" s="177"/>
      <c r="F54" s="176"/>
      <c r="G54" s="176"/>
      <c r="H54" s="176"/>
      <c r="I54" s="177"/>
      <c r="J54" s="177"/>
      <c r="K54" s="177"/>
    </row>
    <row r="55" spans="1:11" x14ac:dyDescent="0.2">
      <c r="A55" s="2794" t="s">
        <v>1936</v>
      </c>
      <c r="B55" s="2508"/>
      <c r="C55" s="2508"/>
      <c r="D55" s="2508"/>
      <c r="E55" s="2508"/>
      <c r="F55" s="2508"/>
      <c r="G55" s="2508"/>
      <c r="H55" s="2508"/>
      <c r="I55" s="2508"/>
      <c r="J55" s="2508"/>
      <c r="K55" s="2508"/>
    </row>
    <row r="56" spans="1:11" ht="14.25" x14ac:dyDescent="0.2">
      <c r="A56" s="39"/>
      <c r="D56" s="176"/>
      <c r="E56" s="177"/>
      <c r="F56" s="176"/>
      <c r="G56" s="176"/>
      <c r="H56" s="176"/>
      <c r="I56" s="177"/>
      <c r="J56" s="177"/>
      <c r="K56" s="177"/>
    </row>
    <row r="57" spans="1:11" ht="15.75" thickBot="1" x14ac:dyDescent="0.3">
      <c r="A57" s="21" t="s">
        <v>845</v>
      </c>
      <c r="B57" s="3"/>
      <c r="C57" s="3"/>
      <c r="D57" s="178"/>
      <c r="E57" s="177"/>
      <c r="F57" s="179"/>
      <c r="G57" s="179"/>
      <c r="H57" s="179"/>
      <c r="I57" s="177"/>
      <c r="J57" s="177"/>
      <c r="K57" s="177"/>
    </row>
    <row r="58" spans="1:11" ht="15.75" thickBot="1" x14ac:dyDescent="0.3">
      <c r="A58" s="172"/>
      <c r="B58" s="2795" t="s">
        <v>1939</v>
      </c>
      <c r="C58" s="2796"/>
      <c r="D58" s="2796"/>
      <c r="E58" s="2796"/>
      <c r="F58" s="2796"/>
      <c r="G58" s="2796"/>
      <c r="H58" s="2796"/>
      <c r="I58" s="2796"/>
      <c r="J58" s="2796"/>
      <c r="K58" s="2797"/>
    </row>
    <row r="59" spans="1:11" ht="15" x14ac:dyDescent="0.25">
      <c r="A59" s="173"/>
      <c r="B59" s="2798" t="s">
        <v>328</v>
      </c>
      <c r="C59" s="2799"/>
      <c r="D59" s="1051"/>
      <c r="E59" s="1052"/>
      <c r="F59" s="1051"/>
      <c r="G59" s="1051"/>
      <c r="H59" s="1051"/>
      <c r="I59" s="2800" t="s">
        <v>834</v>
      </c>
      <c r="J59" s="2801"/>
      <c r="K59" s="2802"/>
    </row>
    <row r="60" spans="1:11" ht="15" x14ac:dyDescent="0.25">
      <c r="A60" s="174" t="s">
        <v>327</v>
      </c>
      <c r="B60" s="1052" t="s">
        <v>835</v>
      </c>
      <c r="C60" s="1052" t="s">
        <v>836</v>
      </c>
      <c r="D60" s="1052" t="s">
        <v>837</v>
      </c>
      <c r="E60" s="1052" t="s">
        <v>838</v>
      </c>
      <c r="F60" s="1053" t="s">
        <v>329</v>
      </c>
      <c r="G60" s="1052" t="s">
        <v>337</v>
      </c>
      <c r="H60" s="1052" t="s">
        <v>338</v>
      </c>
      <c r="I60" s="2791" t="s">
        <v>839</v>
      </c>
      <c r="J60" s="2792"/>
      <c r="K60" s="2793"/>
    </row>
    <row r="61" spans="1:11" ht="15" x14ac:dyDescent="0.25">
      <c r="A61" s="173"/>
      <c r="B61" s="1052"/>
      <c r="C61" s="1052"/>
      <c r="D61" s="1052" t="s">
        <v>841</v>
      </c>
      <c r="E61" s="1052" t="s">
        <v>842</v>
      </c>
      <c r="F61" s="1052" t="s">
        <v>336</v>
      </c>
      <c r="G61" s="1052" t="s">
        <v>843</v>
      </c>
      <c r="H61" s="1052" t="s">
        <v>840</v>
      </c>
      <c r="I61" s="1054"/>
      <c r="J61" s="1054"/>
      <c r="K61" s="1055"/>
    </row>
    <row r="62" spans="1:11" ht="15" x14ac:dyDescent="0.25">
      <c r="A62" s="175"/>
      <c r="B62" s="1056" t="s">
        <v>345</v>
      </c>
      <c r="C62" s="1056" t="s">
        <v>844</v>
      </c>
      <c r="D62" s="1056" t="s">
        <v>346</v>
      </c>
      <c r="E62" s="1056" t="s">
        <v>344</v>
      </c>
      <c r="F62" s="1056" t="s">
        <v>441</v>
      </c>
      <c r="G62" s="1056" t="s">
        <v>347</v>
      </c>
      <c r="H62" s="1056" t="s">
        <v>348</v>
      </c>
      <c r="I62" s="1057" t="s">
        <v>349</v>
      </c>
      <c r="J62" s="1058" t="s">
        <v>350</v>
      </c>
      <c r="K62" s="1059" t="s">
        <v>351</v>
      </c>
    </row>
    <row r="63" spans="1:11" ht="15" x14ac:dyDescent="0.25">
      <c r="A63" s="1069" t="s">
        <v>352</v>
      </c>
      <c r="B63" s="1070">
        <v>96</v>
      </c>
      <c r="C63" s="1070">
        <v>95</v>
      </c>
      <c r="D63" s="1070">
        <v>903</v>
      </c>
      <c r="E63" s="1868">
        <v>9.5052631578947366</v>
      </c>
      <c r="F63" s="1072"/>
      <c r="G63" s="1072"/>
      <c r="H63" s="1072"/>
      <c r="I63" s="1071"/>
      <c r="J63" s="1071"/>
      <c r="K63" s="1073"/>
    </row>
    <row r="64" spans="1:11" ht="14.25" x14ac:dyDescent="0.2">
      <c r="A64" s="1063" t="s">
        <v>353</v>
      </c>
      <c r="B64" s="957">
        <v>8</v>
      </c>
      <c r="C64" s="957">
        <v>8</v>
      </c>
      <c r="D64" s="957">
        <v>64</v>
      </c>
      <c r="E64" s="248">
        <v>8</v>
      </c>
      <c r="F64" s="2336" t="s">
        <v>406</v>
      </c>
      <c r="G64" s="968">
        <v>3022000</v>
      </c>
      <c r="H64" s="968">
        <v>11689263.633119997</v>
      </c>
      <c r="I64" s="1066"/>
      <c r="J64" s="1066"/>
      <c r="K64" s="1067"/>
    </row>
    <row r="65" spans="1:11" ht="14.25" x14ac:dyDescent="0.2">
      <c r="A65" s="1063" t="s">
        <v>354</v>
      </c>
      <c r="B65" s="957">
        <v>4</v>
      </c>
      <c r="C65" s="957">
        <v>3</v>
      </c>
      <c r="D65" s="957">
        <v>24</v>
      </c>
      <c r="E65" s="248">
        <v>8</v>
      </c>
      <c r="F65" s="2336" t="s">
        <v>406</v>
      </c>
      <c r="G65" s="968">
        <v>3022000</v>
      </c>
      <c r="H65" s="968">
        <v>11689263.633119997</v>
      </c>
      <c r="I65" s="1066"/>
      <c r="J65" s="1066"/>
      <c r="K65" s="1067"/>
    </row>
    <row r="66" spans="1:11" ht="14.25" x14ac:dyDescent="0.2">
      <c r="A66" s="1063" t="s">
        <v>355</v>
      </c>
      <c r="B66" s="957">
        <v>14</v>
      </c>
      <c r="C66" s="957">
        <v>16</v>
      </c>
      <c r="D66" s="957">
        <v>128</v>
      </c>
      <c r="E66" s="248">
        <v>8</v>
      </c>
      <c r="F66" s="2336" t="s">
        <v>406</v>
      </c>
      <c r="G66" s="968">
        <v>3022000</v>
      </c>
      <c r="H66" s="968">
        <v>11689263.633119997</v>
      </c>
      <c r="I66" s="1066"/>
      <c r="J66" s="1066"/>
      <c r="K66" s="1067"/>
    </row>
    <row r="67" spans="1:11" ht="14.25" x14ac:dyDescent="0.2">
      <c r="A67" s="1063" t="s">
        <v>356</v>
      </c>
      <c r="B67" s="957">
        <v>7</v>
      </c>
      <c r="C67" s="957">
        <v>6</v>
      </c>
      <c r="D67" s="957">
        <v>42</v>
      </c>
      <c r="E67" s="248">
        <v>7</v>
      </c>
      <c r="F67" s="2336" t="s">
        <v>406</v>
      </c>
      <c r="G67" s="968">
        <v>3022000</v>
      </c>
      <c r="H67" s="968">
        <v>11689263.633119997</v>
      </c>
      <c r="I67" s="1066"/>
      <c r="J67" s="1066"/>
      <c r="K67" s="1067"/>
    </row>
    <row r="68" spans="1:11" ht="14.25" x14ac:dyDescent="0.2">
      <c r="A68" s="1063" t="s">
        <v>357</v>
      </c>
      <c r="B68" s="957">
        <v>26</v>
      </c>
      <c r="C68" s="957">
        <v>26</v>
      </c>
      <c r="D68" s="957">
        <v>286</v>
      </c>
      <c r="E68" s="248">
        <v>11</v>
      </c>
      <c r="F68" s="2336" t="s">
        <v>406</v>
      </c>
      <c r="G68" s="968">
        <v>3022000</v>
      </c>
      <c r="H68" s="968">
        <v>11689263.633119997</v>
      </c>
      <c r="I68" s="1066"/>
      <c r="J68" s="1066"/>
      <c r="K68" s="1067"/>
    </row>
    <row r="69" spans="1:11" ht="14.25" x14ac:dyDescent="0.2">
      <c r="A69" s="1063" t="s">
        <v>358</v>
      </c>
      <c r="B69" s="957">
        <v>16</v>
      </c>
      <c r="C69" s="957">
        <v>16</v>
      </c>
      <c r="D69" s="957">
        <v>192</v>
      </c>
      <c r="E69" s="248">
        <v>12</v>
      </c>
      <c r="F69" s="2336" t="s">
        <v>406</v>
      </c>
      <c r="G69" s="968">
        <v>3022000</v>
      </c>
      <c r="H69" s="968">
        <v>11689263.633119997</v>
      </c>
      <c r="I69" s="1066"/>
      <c r="J69" s="1066"/>
      <c r="K69" s="1067"/>
    </row>
    <row r="70" spans="1:11" ht="14.25" x14ac:dyDescent="0.2">
      <c r="A70" s="1063" t="s">
        <v>359</v>
      </c>
      <c r="B70" s="957">
        <v>6</v>
      </c>
      <c r="C70" s="957">
        <v>6</v>
      </c>
      <c r="D70" s="957">
        <v>48</v>
      </c>
      <c r="E70" s="248">
        <v>8</v>
      </c>
      <c r="F70" s="2336" t="s">
        <v>406</v>
      </c>
      <c r="G70" s="968">
        <v>3022000</v>
      </c>
      <c r="H70" s="968">
        <v>11689263.633119997</v>
      </c>
      <c r="I70" s="1066"/>
      <c r="J70" s="1066"/>
      <c r="K70" s="1067"/>
    </row>
    <row r="71" spans="1:11" ht="14.25" x14ac:dyDescent="0.2">
      <c r="A71" s="1063" t="s">
        <v>360</v>
      </c>
      <c r="B71" s="957">
        <v>5</v>
      </c>
      <c r="C71" s="957">
        <v>5</v>
      </c>
      <c r="D71" s="957">
        <v>35</v>
      </c>
      <c r="E71" s="248">
        <v>7</v>
      </c>
      <c r="F71" s="2336" t="s">
        <v>406</v>
      </c>
      <c r="G71" s="968">
        <v>3022000</v>
      </c>
      <c r="H71" s="968">
        <v>11689263.633119997</v>
      </c>
      <c r="I71" s="1066"/>
      <c r="J71" s="1066"/>
      <c r="K71" s="1067"/>
    </row>
    <row r="72" spans="1:11" ht="14.25" x14ac:dyDescent="0.2">
      <c r="A72" s="1063" t="s">
        <v>361</v>
      </c>
      <c r="B72" s="957">
        <v>5</v>
      </c>
      <c r="C72" s="957">
        <v>5</v>
      </c>
      <c r="D72" s="957">
        <v>50</v>
      </c>
      <c r="E72" s="248">
        <v>10</v>
      </c>
      <c r="F72" s="2336" t="s">
        <v>406</v>
      </c>
      <c r="G72" s="968">
        <v>3022000</v>
      </c>
      <c r="H72" s="968">
        <v>11689263.633119997</v>
      </c>
      <c r="I72" s="1066"/>
      <c r="J72" s="1066"/>
      <c r="K72" s="1067"/>
    </row>
    <row r="73" spans="1:11" ht="14.25" x14ac:dyDescent="0.2">
      <c r="A73" s="1063" t="s">
        <v>362</v>
      </c>
      <c r="B73" s="957">
        <v>0</v>
      </c>
      <c r="C73" s="957">
        <v>0</v>
      </c>
      <c r="D73" s="957">
        <v>0</v>
      </c>
      <c r="E73" s="248">
        <v>0</v>
      </c>
      <c r="F73" s="2336" t="s">
        <v>406</v>
      </c>
      <c r="G73" s="968">
        <v>3022000</v>
      </c>
      <c r="H73" s="968">
        <v>11689263.633119997</v>
      </c>
      <c r="I73" s="1066"/>
      <c r="J73" s="1066"/>
      <c r="K73" s="1067"/>
    </row>
    <row r="74" spans="1:11" ht="14.25" x14ac:dyDescent="0.2">
      <c r="A74" s="1063" t="s">
        <v>363</v>
      </c>
      <c r="B74" s="957">
        <v>1</v>
      </c>
      <c r="C74" s="957">
        <v>1</v>
      </c>
      <c r="D74" s="957">
        <v>10</v>
      </c>
      <c r="E74" s="248">
        <v>10</v>
      </c>
      <c r="F74" s="2336" t="s">
        <v>406</v>
      </c>
      <c r="G74" s="968">
        <v>3022000</v>
      </c>
      <c r="H74" s="968">
        <v>11689263.633119997</v>
      </c>
      <c r="I74" s="1066"/>
      <c r="J74" s="1066"/>
      <c r="K74" s="1067"/>
    </row>
    <row r="75" spans="1:11" ht="14.25" x14ac:dyDescent="0.2">
      <c r="A75" s="1063" t="s">
        <v>364</v>
      </c>
      <c r="B75" s="957">
        <v>2</v>
      </c>
      <c r="C75" s="957">
        <v>1</v>
      </c>
      <c r="D75" s="957">
        <v>6</v>
      </c>
      <c r="E75" s="248">
        <v>6</v>
      </c>
      <c r="F75" s="2336" t="s">
        <v>406</v>
      </c>
      <c r="G75" s="968">
        <v>3022000</v>
      </c>
      <c r="H75" s="968">
        <v>11689263.633119997</v>
      </c>
      <c r="I75" s="1066"/>
      <c r="J75" s="1066"/>
      <c r="K75" s="1067"/>
    </row>
    <row r="76" spans="1:11" ht="14.25" x14ac:dyDescent="0.2">
      <c r="A76" s="1063" t="s">
        <v>365</v>
      </c>
      <c r="B76" s="1064">
        <v>2</v>
      </c>
      <c r="C76" s="1064">
        <v>2</v>
      </c>
      <c r="D76" s="957">
        <v>18</v>
      </c>
      <c r="E76" s="1518">
        <v>9</v>
      </c>
      <c r="F76" s="2336" t="s">
        <v>406</v>
      </c>
      <c r="G76" s="968">
        <v>3022000</v>
      </c>
      <c r="H76" s="968">
        <v>11689263.633119997</v>
      </c>
      <c r="I76" s="1066"/>
      <c r="J76" s="1066"/>
      <c r="K76" s="1067"/>
    </row>
    <row r="77" spans="1:11" ht="14.25" x14ac:dyDescent="0.2">
      <c r="A77" s="1063" t="s">
        <v>366</v>
      </c>
      <c r="B77" s="1064"/>
      <c r="C77" s="1064"/>
      <c r="D77" s="957">
        <v>0</v>
      </c>
      <c r="E77" s="1518"/>
      <c r="F77" s="248"/>
      <c r="G77" s="968"/>
      <c r="H77" s="968"/>
      <c r="I77" s="1066"/>
      <c r="J77" s="1066"/>
      <c r="K77" s="1067"/>
    </row>
    <row r="78" spans="1:11" ht="14.25" x14ac:dyDescent="0.2">
      <c r="A78" s="1063" t="s">
        <v>367</v>
      </c>
      <c r="B78" s="1064">
        <v>0</v>
      </c>
      <c r="C78" s="1064">
        <v>0</v>
      </c>
      <c r="D78" s="957">
        <v>0</v>
      </c>
      <c r="E78" s="1518">
        <v>0</v>
      </c>
      <c r="F78" s="248"/>
      <c r="G78" s="968"/>
      <c r="H78" s="968"/>
      <c r="I78" s="1066"/>
      <c r="J78" s="1066"/>
      <c r="K78" s="1067"/>
    </row>
    <row r="79" spans="1:11" ht="15" x14ac:dyDescent="0.25">
      <c r="A79" s="1074" t="s">
        <v>368</v>
      </c>
      <c r="B79" s="1075">
        <v>57.3</v>
      </c>
      <c r="C79" s="1075">
        <v>49.3</v>
      </c>
      <c r="D79" s="1075">
        <v>536.1</v>
      </c>
      <c r="E79" s="2335">
        <v>10.874239350912781</v>
      </c>
      <c r="F79" s="1077"/>
      <c r="G79" s="1078"/>
      <c r="H79" s="1078"/>
      <c r="I79" s="1076"/>
      <c r="J79" s="1076"/>
      <c r="K79" s="1079"/>
    </row>
    <row r="80" spans="1:11" ht="14.25" x14ac:dyDescent="0.2">
      <c r="A80" s="1063" t="s">
        <v>369</v>
      </c>
      <c r="B80" s="957">
        <v>32</v>
      </c>
      <c r="C80" s="957">
        <v>24</v>
      </c>
      <c r="D80" s="957">
        <v>264</v>
      </c>
      <c r="E80" s="248">
        <v>11</v>
      </c>
      <c r="F80" s="2336" t="s">
        <v>406</v>
      </c>
      <c r="G80" s="968">
        <v>3022000</v>
      </c>
      <c r="H80" s="968">
        <v>11689263.633119997</v>
      </c>
      <c r="I80" s="1066"/>
      <c r="J80" s="1066"/>
      <c r="K80" s="1067"/>
    </row>
    <row r="81" spans="1:11" ht="14.25" x14ac:dyDescent="0.2">
      <c r="A81" s="1063" t="s">
        <v>370</v>
      </c>
      <c r="B81" s="957">
        <v>15</v>
      </c>
      <c r="C81" s="957">
        <v>15</v>
      </c>
      <c r="D81" s="957">
        <v>165</v>
      </c>
      <c r="E81" s="248">
        <v>11</v>
      </c>
      <c r="F81" s="2336" t="s">
        <v>406</v>
      </c>
      <c r="G81" s="968">
        <v>3022000</v>
      </c>
      <c r="H81" s="968">
        <v>11689263.633119997</v>
      </c>
      <c r="I81" s="1066"/>
      <c r="J81" s="1066"/>
      <c r="K81" s="1067"/>
    </row>
    <row r="82" spans="1:11" ht="14.25" x14ac:dyDescent="0.2">
      <c r="A82" s="1063" t="s">
        <v>371</v>
      </c>
      <c r="B82" s="957">
        <v>10</v>
      </c>
      <c r="C82" s="957">
        <v>10</v>
      </c>
      <c r="D82" s="957">
        <v>105</v>
      </c>
      <c r="E82" s="248">
        <v>10.5</v>
      </c>
      <c r="F82" s="2336" t="s">
        <v>406</v>
      </c>
      <c r="G82" s="968">
        <v>3022000</v>
      </c>
      <c r="H82" s="968">
        <v>11689263.633119997</v>
      </c>
      <c r="I82" s="1066"/>
      <c r="J82" s="1066"/>
      <c r="K82" s="1067"/>
    </row>
    <row r="83" spans="1:11" ht="14.25" x14ac:dyDescent="0.2">
      <c r="A83" s="1063" t="s">
        <v>372</v>
      </c>
      <c r="B83" s="957">
        <v>0.3</v>
      </c>
      <c r="C83" s="957">
        <v>0.3</v>
      </c>
      <c r="D83" s="957">
        <v>2.1</v>
      </c>
      <c r="E83" s="248">
        <v>7</v>
      </c>
      <c r="F83" s="2336" t="s">
        <v>406</v>
      </c>
      <c r="G83" s="968">
        <v>3022000</v>
      </c>
      <c r="H83" s="968">
        <v>11689263.633119997</v>
      </c>
      <c r="I83" s="1066"/>
      <c r="J83" s="1066"/>
      <c r="K83" s="1067"/>
    </row>
    <row r="84" spans="1:11" ht="14.25" x14ac:dyDescent="0.2">
      <c r="A84" s="1063" t="s">
        <v>373</v>
      </c>
      <c r="B84" s="957">
        <v>0</v>
      </c>
      <c r="C84" s="957">
        <v>0</v>
      </c>
      <c r="D84" s="957">
        <v>0</v>
      </c>
      <c r="E84" s="1518">
        <v>0</v>
      </c>
      <c r="F84" s="1511"/>
      <c r="G84" s="968"/>
      <c r="H84" s="968"/>
      <c r="I84" s="1066"/>
      <c r="J84" s="1066"/>
      <c r="K84" s="1067"/>
    </row>
    <row r="85" spans="1:11" ht="15" x14ac:dyDescent="0.25">
      <c r="A85" s="1074" t="s">
        <v>374</v>
      </c>
      <c r="B85" s="1075">
        <v>114</v>
      </c>
      <c r="C85" s="1075">
        <v>108</v>
      </c>
      <c r="D85" s="1075">
        <v>1432</v>
      </c>
      <c r="E85" s="2335">
        <v>13.25925925925926</v>
      </c>
      <c r="F85" s="1077"/>
      <c r="G85" s="1078"/>
      <c r="H85" s="1078"/>
      <c r="I85" s="1076"/>
      <c r="J85" s="1076"/>
      <c r="K85" s="1079"/>
    </row>
    <row r="86" spans="1:11" ht="14.25" x14ac:dyDescent="0.2">
      <c r="A86" s="1063" t="s">
        <v>375</v>
      </c>
      <c r="B86" s="957">
        <v>7</v>
      </c>
      <c r="C86" s="957">
        <v>5</v>
      </c>
      <c r="D86" s="957">
        <v>60</v>
      </c>
      <c r="E86" s="248">
        <v>12</v>
      </c>
      <c r="F86" s="2336" t="s">
        <v>406</v>
      </c>
      <c r="G86" s="968">
        <v>3022000</v>
      </c>
      <c r="H86" s="968">
        <v>11689263.633119997</v>
      </c>
      <c r="I86" s="1066"/>
      <c r="J86" s="1066"/>
      <c r="K86" s="1067"/>
    </row>
    <row r="87" spans="1:11" ht="14.25" x14ac:dyDescent="0.2">
      <c r="A87" s="1063" t="s">
        <v>376</v>
      </c>
      <c r="B87" s="957">
        <v>5</v>
      </c>
      <c r="C87" s="957">
        <v>5</v>
      </c>
      <c r="D87" s="957">
        <v>75</v>
      </c>
      <c r="E87" s="248">
        <v>15</v>
      </c>
      <c r="F87" s="2336" t="s">
        <v>406</v>
      </c>
      <c r="G87" s="968">
        <v>3022000</v>
      </c>
      <c r="H87" s="968">
        <v>11689263.633119997</v>
      </c>
      <c r="I87" s="1066"/>
      <c r="J87" s="1066"/>
      <c r="K87" s="1067"/>
    </row>
    <row r="88" spans="1:11" ht="14.25" x14ac:dyDescent="0.2">
      <c r="A88" s="1063" t="s">
        <v>377</v>
      </c>
      <c r="B88" s="957">
        <v>0</v>
      </c>
      <c r="C88" s="957">
        <v>0</v>
      </c>
      <c r="D88" s="957">
        <v>0</v>
      </c>
      <c r="E88" s="248">
        <v>0</v>
      </c>
      <c r="F88" s="248"/>
      <c r="G88" s="968"/>
      <c r="H88" s="968"/>
      <c r="I88" s="1066"/>
      <c r="J88" s="1066"/>
      <c r="K88" s="1067"/>
    </row>
    <row r="89" spans="1:11" ht="14.25" x14ac:dyDescent="0.2">
      <c r="A89" s="1063" t="s">
        <v>378</v>
      </c>
      <c r="B89" s="957">
        <v>13</v>
      </c>
      <c r="C89" s="957">
        <v>11</v>
      </c>
      <c r="D89" s="957">
        <v>154</v>
      </c>
      <c r="E89" s="248">
        <v>14</v>
      </c>
      <c r="F89" s="2336" t="s">
        <v>406</v>
      </c>
      <c r="G89" s="968">
        <v>3022000</v>
      </c>
      <c r="H89" s="968">
        <v>11689263.633119997</v>
      </c>
      <c r="I89" s="1066"/>
      <c r="J89" s="1066"/>
      <c r="K89" s="1067"/>
    </row>
    <row r="90" spans="1:11" ht="14.25" x14ac:dyDescent="0.2">
      <c r="A90" s="1063" t="s">
        <v>379</v>
      </c>
      <c r="B90" s="957">
        <v>24</v>
      </c>
      <c r="C90" s="957">
        <v>24</v>
      </c>
      <c r="D90" s="957">
        <v>336</v>
      </c>
      <c r="E90" s="248">
        <v>14</v>
      </c>
      <c r="F90" s="2336" t="s">
        <v>406</v>
      </c>
      <c r="G90" s="968">
        <v>3022000</v>
      </c>
      <c r="H90" s="968">
        <v>11689263.633119997</v>
      </c>
      <c r="I90" s="1066"/>
      <c r="J90" s="1066"/>
      <c r="K90" s="1067"/>
    </row>
    <row r="91" spans="1:11" ht="14.25" x14ac:dyDescent="0.2">
      <c r="A91" s="1063" t="s">
        <v>380</v>
      </c>
      <c r="B91" s="957">
        <v>6</v>
      </c>
      <c r="C91" s="957">
        <v>6</v>
      </c>
      <c r="D91" s="957">
        <v>81</v>
      </c>
      <c r="E91" s="248">
        <v>13.5</v>
      </c>
      <c r="F91" s="2336" t="s">
        <v>406</v>
      </c>
      <c r="G91" s="968">
        <v>3022000</v>
      </c>
      <c r="H91" s="968">
        <v>11689263.633119997</v>
      </c>
      <c r="I91" s="1066"/>
      <c r="J91" s="1066"/>
      <c r="K91" s="1067"/>
    </row>
    <row r="92" spans="1:11" ht="14.25" x14ac:dyDescent="0.2">
      <c r="A92" s="1063" t="s">
        <v>381</v>
      </c>
      <c r="B92" s="957">
        <v>12</v>
      </c>
      <c r="C92" s="957">
        <v>12</v>
      </c>
      <c r="D92" s="957">
        <v>96</v>
      </c>
      <c r="E92" s="248">
        <v>8</v>
      </c>
      <c r="F92" s="2336" t="s">
        <v>406</v>
      </c>
      <c r="G92" s="968">
        <v>3022000</v>
      </c>
      <c r="H92" s="968">
        <v>11689263.633119997</v>
      </c>
      <c r="I92" s="1066"/>
      <c r="J92" s="1066"/>
      <c r="K92" s="1067"/>
    </row>
    <row r="93" spans="1:11" ht="14.25" x14ac:dyDescent="0.2">
      <c r="A93" s="1063" t="s">
        <v>382</v>
      </c>
      <c r="B93" s="1064">
        <v>47</v>
      </c>
      <c r="C93" s="1064">
        <v>45</v>
      </c>
      <c r="D93" s="957">
        <v>630</v>
      </c>
      <c r="E93" s="1518">
        <v>14</v>
      </c>
      <c r="F93" s="2336" t="s">
        <v>406</v>
      </c>
      <c r="G93" s="968">
        <v>3022000</v>
      </c>
      <c r="H93" s="968">
        <v>11689263.633119997</v>
      </c>
      <c r="I93" s="1066"/>
      <c r="J93" s="1066"/>
      <c r="K93" s="1067"/>
    </row>
    <row r="94" spans="1:11" ht="15" x14ac:dyDescent="0.25">
      <c r="A94" s="1074" t="s">
        <v>383</v>
      </c>
      <c r="B94" s="1075">
        <v>337</v>
      </c>
      <c r="C94" s="1075">
        <v>326</v>
      </c>
      <c r="D94" s="1075">
        <v>3105</v>
      </c>
      <c r="E94" s="2335">
        <v>9.5245398773006134</v>
      </c>
      <c r="F94" s="1077"/>
      <c r="G94" s="1078"/>
      <c r="H94" s="1078"/>
      <c r="I94" s="1076"/>
      <c r="J94" s="1076"/>
      <c r="K94" s="1079"/>
    </row>
    <row r="95" spans="1:11" ht="14.25" x14ac:dyDescent="0.2">
      <c r="A95" s="1063" t="s">
        <v>384</v>
      </c>
      <c r="B95" s="957">
        <v>60</v>
      </c>
      <c r="C95" s="957">
        <v>55</v>
      </c>
      <c r="D95" s="957">
        <v>385</v>
      </c>
      <c r="E95" s="248">
        <v>7</v>
      </c>
      <c r="F95" s="2336" t="s">
        <v>406</v>
      </c>
      <c r="G95" s="968">
        <v>3022000</v>
      </c>
      <c r="H95" s="968">
        <v>11689263.633119997</v>
      </c>
      <c r="I95" s="1066"/>
      <c r="J95" s="1066"/>
      <c r="K95" s="1067"/>
    </row>
    <row r="96" spans="1:11" ht="14.25" x14ac:dyDescent="0.2">
      <c r="A96" s="1063" t="s">
        <v>385</v>
      </c>
      <c r="B96" s="957">
        <v>110</v>
      </c>
      <c r="C96" s="957">
        <v>110</v>
      </c>
      <c r="D96" s="957">
        <v>990</v>
      </c>
      <c r="E96" s="248">
        <v>9</v>
      </c>
      <c r="F96" s="2336" t="s">
        <v>406</v>
      </c>
      <c r="G96" s="968">
        <v>3022000</v>
      </c>
      <c r="H96" s="968">
        <v>11689263.633119997</v>
      </c>
      <c r="I96" s="1066"/>
      <c r="J96" s="1066"/>
      <c r="K96" s="1067"/>
    </row>
    <row r="97" spans="1:11" ht="14.25" x14ac:dyDescent="0.2">
      <c r="A97" s="1063" t="s">
        <v>386</v>
      </c>
      <c r="B97" s="957">
        <v>20</v>
      </c>
      <c r="C97" s="957">
        <v>19</v>
      </c>
      <c r="D97" s="957">
        <v>133</v>
      </c>
      <c r="E97" s="248">
        <v>7</v>
      </c>
      <c r="F97" s="2336" t="s">
        <v>406</v>
      </c>
      <c r="G97" s="968">
        <v>3022000</v>
      </c>
      <c r="H97" s="968">
        <v>11689263.633119997</v>
      </c>
      <c r="I97" s="1066"/>
      <c r="J97" s="1066"/>
      <c r="K97" s="1067"/>
    </row>
    <row r="98" spans="1:11" ht="14.25" x14ac:dyDescent="0.2">
      <c r="A98" s="1063" t="s">
        <v>387</v>
      </c>
      <c r="B98" s="957">
        <v>11</v>
      </c>
      <c r="C98" s="957">
        <v>10</v>
      </c>
      <c r="D98" s="957">
        <v>70</v>
      </c>
      <c r="E98" s="248">
        <v>7</v>
      </c>
      <c r="F98" s="2336" t="s">
        <v>406</v>
      </c>
      <c r="G98" s="968">
        <v>3022000</v>
      </c>
      <c r="H98" s="968">
        <v>11689263.633119997</v>
      </c>
      <c r="I98" s="1066"/>
      <c r="J98" s="1066"/>
      <c r="K98" s="1067"/>
    </row>
    <row r="99" spans="1:11" ht="14.25" x14ac:dyDescent="0.2">
      <c r="A99" s="1063" t="s">
        <v>388</v>
      </c>
      <c r="B99" s="957">
        <v>27</v>
      </c>
      <c r="C99" s="957">
        <v>23</v>
      </c>
      <c r="D99" s="957">
        <v>276</v>
      </c>
      <c r="E99" s="248">
        <v>12</v>
      </c>
      <c r="F99" s="2336" t="s">
        <v>406</v>
      </c>
      <c r="G99" s="968">
        <v>3022000</v>
      </c>
      <c r="H99" s="968">
        <v>11689263.633119997</v>
      </c>
      <c r="I99" s="1066"/>
      <c r="J99" s="1066"/>
      <c r="K99" s="1067"/>
    </row>
    <row r="100" spans="1:11" ht="14.25" x14ac:dyDescent="0.2">
      <c r="A100" s="1063" t="s">
        <v>389</v>
      </c>
      <c r="B100" s="957">
        <v>38</v>
      </c>
      <c r="C100" s="957">
        <v>38</v>
      </c>
      <c r="D100" s="957">
        <v>266</v>
      </c>
      <c r="E100" s="248">
        <v>7</v>
      </c>
      <c r="F100" s="2336" t="s">
        <v>406</v>
      </c>
      <c r="G100" s="968">
        <v>3022000</v>
      </c>
      <c r="H100" s="968">
        <v>11689263.633119997</v>
      </c>
      <c r="I100" s="1066"/>
      <c r="J100" s="1066"/>
      <c r="K100" s="1067"/>
    </row>
    <row r="101" spans="1:11" ht="14.25" x14ac:dyDescent="0.2">
      <c r="A101" s="1063" t="s">
        <v>390</v>
      </c>
      <c r="B101" s="957">
        <v>2</v>
      </c>
      <c r="C101" s="957">
        <v>2</v>
      </c>
      <c r="D101" s="957">
        <v>10</v>
      </c>
      <c r="E101" s="248">
        <v>5</v>
      </c>
      <c r="F101" s="2336" t="s">
        <v>406</v>
      </c>
      <c r="G101" s="968">
        <v>3022000</v>
      </c>
      <c r="H101" s="968">
        <v>11689263.633119997</v>
      </c>
      <c r="I101" s="1066"/>
      <c r="J101" s="1066"/>
      <c r="K101" s="1067"/>
    </row>
    <row r="102" spans="1:11" ht="14.25" x14ac:dyDescent="0.2">
      <c r="A102" s="1063" t="s">
        <v>391</v>
      </c>
      <c r="B102" s="957">
        <v>60</v>
      </c>
      <c r="C102" s="957">
        <v>60</v>
      </c>
      <c r="D102" s="957">
        <v>840</v>
      </c>
      <c r="E102" s="248">
        <v>14</v>
      </c>
      <c r="F102" s="2336" t="s">
        <v>406</v>
      </c>
      <c r="G102" s="968">
        <v>3022000</v>
      </c>
      <c r="H102" s="968">
        <v>11689263.633119997</v>
      </c>
      <c r="I102" s="1066"/>
      <c r="J102" s="1066"/>
      <c r="K102" s="1067"/>
    </row>
    <row r="103" spans="1:11" ht="14.25" x14ac:dyDescent="0.2">
      <c r="A103" s="1060" t="s">
        <v>392</v>
      </c>
      <c r="B103" s="957">
        <v>9</v>
      </c>
      <c r="C103" s="957">
        <v>9</v>
      </c>
      <c r="D103" s="957">
        <v>135</v>
      </c>
      <c r="E103" s="248">
        <v>15</v>
      </c>
      <c r="F103" s="2336" t="s">
        <v>406</v>
      </c>
      <c r="G103" s="968">
        <v>3022000</v>
      </c>
      <c r="H103" s="968">
        <v>11689263.633119997</v>
      </c>
      <c r="I103" s="1061"/>
      <c r="J103" s="1061"/>
      <c r="K103" s="1062"/>
    </row>
    <row r="104" spans="1:11" ht="15.75" thickBot="1" x14ac:dyDescent="0.3">
      <c r="A104" s="1080" t="s">
        <v>393</v>
      </c>
      <c r="B104" s="1081">
        <v>604.29999999999995</v>
      </c>
      <c r="C104" s="1081">
        <v>578.29999999999995</v>
      </c>
      <c r="D104" s="1512">
        <v>5976.1</v>
      </c>
      <c r="E104" s="1515">
        <v>10.333909735431439</v>
      </c>
      <c r="F104" s="1521" t="s">
        <v>406</v>
      </c>
      <c r="G104" s="1513">
        <v>3022000.0000000005</v>
      </c>
      <c r="H104" s="1513">
        <v>11689263.633119998</v>
      </c>
      <c r="I104" s="1086"/>
      <c r="J104" s="1086"/>
      <c r="K104" s="1087"/>
    </row>
    <row r="105" spans="1:11" x14ac:dyDescent="0.2">
      <c r="A105" s="7" t="s">
        <v>1934</v>
      </c>
      <c r="B105" s="8"/>
      <c r="C105" s="8"/>
      <c r="D105" s="8"/>
      <c r="E105" s="4"/>
      <c r="F105" s="5"/>
      <c r="G105" s="9"/>
      <c r="H105" s="8"/>
      <c r="I105" s="177"/>
      <c r="J105" s="177"/>
      <c r="K105" s="177"/>
    </row>
    <row r="106" spans="1:11" x14ac:dyDescent="0.2">
      <c r="A106" s="6"/>
      <c r="D106" s="176"/>
      <c r="E106" s="177"/>
      <c r="F106" s="176"/>
      <c r="G106" s="176"/>
      <c r="H106" s="176"/>
      <c r="I106" s="177"/>
      <c r="J106" s="177"/>
      <c r="K106" s="177"/>
    </row>
    <row r="107" spans="1:11" ht="14.25" x14ac:dyDescent="0.2">
      <c r="A107" s="39"/>
      <c r="D107" s="176"/>
      <c r="E107" s="177"/>
      <c r="F107" s="176"/>
      <c r="G107" s="176"/>
      <c r="H107" s="176"/>
      <c r="I107" s="177"/>
      <c r="J107" s="177"/>
      <c r="K107" s="177"/>
    </row>
    <row r="108" spans="1:11" x14ac:dyDescent="0.2">
      <c r="A108" s="2794" t="s">
        <v>1936</v>
      </c>
      <c r="B108" s="2508"/>
      <c r="C108" s="2508"/>
      <c r="D108" s="2508"/>
      <c r="E108" s="2508"/>
      <c r="F108" s="2508"/>
      <c r="G108" s="2508"/>
      <c r="H108" s="2508"/>
      <c r="I108" s="2508"/>
      <c r="J108" s="2508"/>
      <c r="K108" s="2508"/>
    </row>
    <row r="109" spans="1:11" ht="15" x14ac:dyDescent="0.25">
      <c r="A109" s="21"/>
      <c r="B109" s="3"/>
      <c r="C109" s="3"/>
      <c r="D109" s="178"/>
      <c r="E109" s="177"/>
      <c r="F109" s="179"/>
      <c r="G109" s="179"/>
      <c r="H109" s="179"/>
      <c r="I109" s="177"/>
      <c r="J109" s="177"/>
      <c r="K109" s="177"/>
    </row>
    <row r="110" spans="1:11" ht="15.75" thickBot="1" x14ac:dyDescent="0.3">
      <c r="A110" s="21" t="s">
        <v>847</v>
      </c>
      <c r="B110" s="3"/>
      <c r="C110" s="3"/>
      <c r="D110" s="178"/>
      <c r="E110" s="177"/>
      <c r="F110" s="179"/>
      <c r="G110" s="179"/>
      <c r="H110" s="179"/>
      <c r="I110" s="177"/>
      <c r="J110" s="177"/>
      <c r="K110" s="177"/>
    </row>
    <row r="111" spans="1:11" ht="15.75" thickBot="1" x14ac:dyDescent="0.3">
      <c r="A111" s="172"/>
      <c r="B111" s="2795" t="s">
        <v>1939</v>
      </c>
      <c r="C111" s="2796"/>
      <c r="D111" s="2796"/>
      <c r="E111" s="2796"/>
      <c r="F111" s="2796"/>
      <c r="G111" s="2796"/>
      <c r="H111" s="2796"/>
      <c r="I111" s="2796"/>
      <c r="J111" s="2796"/>
      <c r="K111" s="2797"/>
    </row>
    <row r="112" spans="1:11" ht="15" x14ac:dyDescent="0.25">
      <c r="A112" s="173"/>
      <c r="B112" s="2798" t="s">
        <v>328</v>
      </c>
      <c r="C112" s="2799"/>
      <c r="D112" s="1051"/>
      <c r="E112" s="1052"/>
      <c r="F112" s="1051"/>
      <c r="G112" s="1051"/>
      <c r="H112" s="1051"/>
      <c r="I112" s="2800" t="s">
        <v>834</v>
      </c>
      <c r="J112" s="2801"/>
      <c r="K112" s="2802"/>
    </row>
    <row r="113" spans="1:11" ht="15" x14ac:dyDescent="0.25">
      <c r="A113" s="174" t="s">
        <v>327</v>
      </c>
      <c r="B113" s="1052" t="s">
        <v>835</v>
      </c>
      <c r="C113" s="1052" t="s">
        <v>836</v>
      </c>
      <c r="D113" s="1052" t="s">
        <v>837</v>
      </c>
      <c r="E113" s="1052" t="s">
        <v>838</v>
      </c>
      <c r="F113" s="1053" t="s">
        <v>329</v>
      </c>
      <c r="G113" s="1052" t="s">
        <v>337</v>
      </c>
      <c r="H113" s="1052" t="s">
        <v>338</v>
      </c>
      <c r="I113" s="2791" t="s">
        <v>839</v>
      </c>
      <c r="J113" s="2792"/>
      <c r="K113" s="2793"/>
    </row>
    <row r="114" spans="1:11" ht="15" x14ac:dyDescent="0.25">
      <c r="A114" s="173"/>
      <c r="B114" s="1052"/>
      <c r="C114" s="1052"/>
      <c r="D114" s="1052" t="s">
        <v>841</v>
      </c>
      <c r="E114" s="1052" t="s">
        <v>842</v>
      </c>
      <c r="F114" s="1052" t="s">
        <v>336</v>
      </c>
      <c r="G114" s="1052" t="s">
        <v>843</v>
      </c>
      <c r="H114" s="1052" t="s">
        <v>840</v>
      </c>
      <c r="I114" s="1054"/>
      <c r="J114" s="1054"/>
      <c r="K114" s="1055"/>
    </row>
    <row r="115" spans="1:11" ht="15" x14ac:dyDescent="0.25">
      <c r="A115" s="175"/>
      <c r="B115" s="1056" t="s">
        <v>345</v>
      </c>
      <c r="C115" s="1056" t="s">
        <v>844</v>
      </c>
      <c r="D115" s="1056" t="s">
        <v>346</v>
      </c>
      <c r="E115" s="1056" t="s">
        <v>344</v>
      </c>
      <c r="F115" s="1056" t="s">
        <v>441</v>
      </c>
      <c r="G115" s="1056" t="s">
        <v>347</v>
      </c>
      <c r="H115" s="1056" t="s">
        <v>348</v>
      </c>
      <c r="I115" s="1057" t="s">
        <v>349</v>
      </c>
      <c r="J115" s="1058" t="s">
        <v>350</v>
      </c>
      <c r="K115" s="1059" t="s">
        <v>351</v>
      </c>
    </row>
    <row r="116" spans="1:11" ht="15" x14ac:dyDescent="0.25">
      <c r="A116" s="1069" t="s">
        <v>352</v>
      </c>
      <c r="B116" s="1070">
        <v>65.8</v>
      </c>
      <c r="C116" s="1070">
        <v>65.8</v>
      </c>
      <c r="D116" s="1070">
        <v>616.1</v>
      </c>
      <c r="E116" s="1868">
        <v>9.3632218844984809</v>
      </c>
      <c r="F116" s="1072"/>
      <c r="G116" s="1072"/>
      <c r="H116" s="1072"/>
      <c r="I116" s="1071"/>
      <c r="J116" s="1071"/>
      <c r="K116" s="1073"/>
    </row>
    <row r="117" spans="1:11" ht="14.25" x14ac:dyDescent="0.2">
      <c r="A117" s="1063" t="s">
        <v>353</v>
      </c>
      <c r="B117" s="957">
        <v>7</v>
      </c>
      <c r="C117" s="957">
        <v>7</v>
      </c>
      <c r="D117" s="957">
        <v>70</v>
      </c>
      <c r="E117" s="248">
        <v>10</v>
      </c>
      <c r="F117" s="2337" t="s">
        <v>1413</v>
      </c>
      <c r="G117" s="968">
        <v>2324000</v>
      </c>
      <c r="H117" s="968">
        <v>19221471.651039999</v>
      </c>
      <c r="I117" s="1066"/>
      <c r="J117" s="1066"/>
      <c r="K117" s="1067"/>
    </row>
    <row r="118" spans="1:11" ht="14.25" x14ac:dyDescent="0.2">
      <c r="A118" s="1063" t="s">
        <v>354</v>
      </c>
      <c r="B118" s="957">
        <v>8</v>
      </c>
      <c r="C118" s="957">
        <v>8</v>
      </c>
      <c r="D118" s="957">
        <v>72</v>
      </c>
      <c r="E118" s="248">
        <v>9</v>
      </c>
      <c r="F118" s="2337" t="s">
        <v>1413</v>
      </c>
      <c r="G118" s="968">
        <v>2324000</v>
      </c>
      <c r="H118" s="968">
        <v>19221471.651039999</v>
      </c>
      <c r="I118" s="1066"/>
      <c r="J118" s="1066"/>
      <c r="K118" s="1067"/>
    </row>
    <row r="119" spans="1:11" ht="14.25" x14ac:dyDescent="0.2">
      <c r="A119" s="2102" t="s">
        <v>355</v>
      </c>
      <c r="B119" s="957">
        <v>10</v>
      </c>
      <c r="C119" s="957">
        <v>10</v>
      </c>
      <c r="D119" s="957">
        <v>60</v>
      </c>
      <c r="E119" s="248">
        <v>6</v>
      </c>
      <c r="F119" s="2337" t="s">
        <v>1413</v>
      </c>
      <c r="G119" s="968">
        <v>2324000</v>
      </c>
      <c r="H119" s="968">
        <v>19221471.651039999</v>
      </c>
      <c r="I119" s="1066"/>
      <c r="J119" s="1066"/>
      <c r="K119" s="1067"/>
    </row>
    <row r="120" spans="1:11" ht="14.25" x14ac:dyDescent="0.2">
      <c r="A120" s="2102" t="s">
        <v>356</v>
      </c>
      <c r="B120" s="957">
        <v>3</v>
      </c>
      <c r="C120" s="957">
        <v>3</v>
      </c>
      <c r="D120" s="957">
        <v>24</v>
      </c>
      <c r="E120" s="248">
        <v>8</v>
      </c>
      <c r="F120" s="2337" t="s">
        <v>1413</v>
      </c>
      <c r="G120" s="968">
        <v>2324000</v>
      </c>
      <c r="H120" s="968">
        <v>19221471.651039999</v>
      </c>
      <c r="I120" s="1066"/>
      <c r="J120" s="1066"/>
      <c r="K120" s="1067"/>
    </row>
    <row r="121" spans="1:11" ht="14.25" x14ac:dyDescent="0.2">
      <c r="A121" s="2102" t="s">
        <v>357</v>
      </c>
      <c r="B121" s="957">
        <v>11</v>
      </c>
      <c r="C121" s="957">
        <v>11</v>
      </c>
      <c r="D121" s="957">
        <v>99</v>
      </c>
      <c r="E121" s="248">
        <v>9</v>
      </c>
      <c r="F121" s="2337" t="s">
        <v>1413</v>
      </c>
      <c r="G121" s="968">
        <v>2324000</v>
      </c>
      <c r="H121" s="968">
        <v>19221471.651039999</v>
      </c>
      <c r="I121" s="1066"/>
      <c r="J121" s="1066"/>
      <c r="K121" s="1067"/>
    </row>
    <row r="122" spans="1:11" ht="14.25" x14ac:dyDescent="0.2">
      <c r="A122" s="2102" t="s">
        <v>358</v>
      </c>
      <c r="B122" s="957">
        <v>10</v>
      </c>
      <c r="C122" s="957">
        <v>10</v>
      </c>
      <c r="D122" s="957">
        <v>100</v>
      </c>
      <c r="E122" s="248">
        <v>10</v>
      </c>
      <c r="F122" s="2337" t="s">
        <v>1413</v>
      </c>
      <c r="G122" s="968">
        <v>2324000</v>
      </c>
      <c r="H122" s="968">
        <v>19221471.651039999</v>
      </c>
      <c r="I122" s="1066"/>
      <c r="J122" s="1066"/>
      <c r="K122" s="1067"/>
    </row>
    <row r="123" spans="1:11" ht="14.25" x14ac:dyDescent="0.2">
      <c r="A123" s="2102" t="s">
        <v>359</v>
      </c>
      <c r="B123" s="1064">
        <v>3</v>
      </c>
      <c r="C123" s="1064">
        <v>3</v>
      </c>
      <c r="D123" s="957">
        <v>30</v>
      </c>
      <c r="E123" s="1518">
        <v>10</v>
      </c>
      <c r="F123" s="2337" t="s">
        <v>1413</v>
      </c>
      <c r="G123" s="968">
        <v>2324000</v>
      </c>
      <c r="H123" s="968">
        <v>19221471.651039999</v>
      </c>
      <c r="I123" s="1066"/>
      <c r="J123" s="1066"/>
      <c r="K123" s="1067"/>
    </row>
    <row r="124" spans="1:11" ht="14.25" x14ac:dyDescent="0.2">
      <c r="A124" s="2102" t="s">
        <v>360</v>
      </c>
      <c r="B124" s="1064">
        <v>0.5</v>
      </c>
      <c r="C124" s="1064">
        <v>0.5</v>
      </c>
      <c r="D124" s="957">
        <v>3.5</v>
      </c>
      <c r="E124" s="1518">
        <v>7</v>
      </c>
      <c r="F124" s="2337" t="s">
        <v>1413</v>
      </c>
      <c r="G124" s="968">
        <v>2324000</v>
      </c>
      <c r="H124" s="968">
        <v>19221471.651039999</v>
      </c>
      <c r="I124" s="1066"/>
      <c r="J124" s="1066"/>
      <c r="K124" s="1067"/>
    </row>
    <row r="125" spans="1:11" ht="14.25" x14ac:dyDescent="0.2">
      <c r="A125" s="2102" t="s">
        <v>361</v>
      </c>
      <c r="B125" s="1064">
        <v>4</v>
      </c>
      <c r="C125" s="1064">
        <v>4</v>
      </c>
      <c r="D125" s="957">
        <v>40</v>
      </c>
      <c r="E125" s="1518">
        <v>10</v>
      </c>
      <c r="F125" s="2337" t="s">
        <v>1413</v>
      </c>
      <c r="G125" s="968">
        <v>2324000</v>
      </c>
      <c r="H125" s="968">
        <v>19221471.651039999</v>
      </c>
      <c r="I125" s="1066"/>
      <c r="J125" s="1066"/>
      <c r="K125" s="1067"/>
    </row>
    <row r="126" spans="1:11" ht="14.25" x14ac:dyDescent="0.2">
      <c r="A126" s="2102" t="s">
        <v>362</v>
      </c>
      <c r="B126" s="1064">
        <v>0</v>
      </c>
      <c r="C126" s="1064">
        <v>0</v>
      </c>
      <c r="D126" s="957">
        <v>0</v>
      </c>
      <c r="E126" s="1518">
        <v>0</v>
      </c>
      <c r="F126" s="1523"/>
      <c r="G126" s="968"/>
      <c r="H126" s="968"/>
      <c r="I126" s="1066"/>
      <c r="J126" s="1066"/>
      <c r="K126" s="1067"/>
    </row>
    <row r="127" spans="1:11" ht="14.25" x14ac:dyDescent="0.2">
      <c r="A127" s="2102" t="s">
        <v>363</v>
      </c>
      <c r="B127" s="1064">
        <v>6</v>
      </c>
      <c r="C127" s="1064">
        <v>6</v>
      </c>
      <c r="D127" s="957">
        <v>78</v>
      </c>
      <c r="E127" s="1518">
        <v>13</v>
      </c>
      <c r="F127" s="2337" t="s">
        <v>1413</v>
      </c>
      <c r="G127" s="968">
        <v>2324000</v>
      </c>
      <c r="H127" s="968">
        <v>19221471.651039999</v>
      </c>
      <c r="I127" s="1066"/>
      <c r="J127" s="1066"/>
      <c r="K127" s="1067"/>
    </row>
    <row r="128" spans="1:11" ht="14.25" x14ac:dyDescent="0.2">
      <c r="A128" s="1063" t="s">
        <v>364</v>
      </c>
      <c r="B128" s="1064">
        <v>1</v>
      </c>
      <c r="C128" s="1064">
        <v>1</v>
      </c>
      <c r="D128" s="957">
        <v>12</v>
      </c>
      <c r="E128" s="1518">
        <v>12</v>
      </c>
      <c r="F128" s="2337" t="s">
        <v>1413</v>
      </c>
      <c r="G128" s="968">
        <v>2324000</v>
      </c>
      <c r="H128" s="968">
        <v>19221471.651039999</v>
      </c>
      <c r="I128" s="1066"/>
      <c r="J128" s="1066"/>
      <c r="K128" s="1067"/>
    </row>
    <row r="129" spans="1:11" ht="14.25" x14ac:dyDescent="0.2">
      <c r="A129" s="1063" t="s">
        <v>365</v>
      </c>
      <c r="B129" s="1064">
        <v>2.2999999999999998</v>
      </c>
      <c r="C129" s="1064">
        <v>2.2999999999999998</v>
      </c>
      <c r="D129" s="957">
        <v>27.599999999999998</v>
      </c>
      <c r="E129" s="1518">
        <v>12</v>
      </c>
      <c r="F129" s="2337" t="s">
        <v>1413</v>
      </c>
      <c r="G129" s="968">
        <v>2324000</v>
      </c>
      <c r="H129" s="968">
        <v>19221471.651039999</v>
      </c>
      <c r="I129" s="1066"/>
      <c r="J129" s="1066"/>
      <c r="K129" s="1067"/>
    </row>
    <row r="130" spans="1:11" ht="14.25" x14ac:dyDescent="0.2">
      <c r="A130" s="1063" t="s">
        <v>366</v>
      </c>
      <c r="B130" s="1064"/>
      <c r="C130" s="1064"/>
      <c r="D130" s="957">
        <v>0</v>
      </c>
      <c r="E130" s="1518"/>
      <c r="F130" s="1523"/>
      <c r="G130" s="968"/>
      <c r="H130" s="968"/>
      <c r="I130" s="1066"/>
      <c r="J130" s="1066"/>
      <c r="K130" s="1067"/>
    </row>
    <row r="131" spans="1:11" ht="14.25" x14ac:dyDescent="0.2">
      <c r="A131" s="1063" t="s">
        <v>367</v>
      </c>
      <c r="B131" s="1064">
        <v>0</v>
      </c>
      <c r="C131" s="1064">
        <v>0</v>
      </c>
      <c r="D131" s="957">
        <v>0</v>
      </c>
      <c r="E131" s="1518">
        <v>0</v>
      </c>
      <c r="F131" s="1523"/>
      <c r="G131" s="968"/>
      <c r="H131" s="968"/>
      <c r="I131" s="1066"/>
      <c r="J131" s="1066"/>
      <c r="K131" s="1067"/>
    </row>
    <row r="132" spans="1:11" ht="15" x14ac:dyDescent="0.25">
      <c r="A132" s="1074" t="s">
        <v>368</v>
      </c>
      <c r="B132" s="1075">
        <v>56</v>
      </c>
      <c r="C132" s="1075">
        <v>56</v>
      </c>
      <c r="D132" s="1075">
        <v>654</v>
      </c>
      <c r="E132" s="2335">
        <v>11.678571428571429</v>
      </c>
      <c r="F132" s="2338"/>
      <c r="G132" s="1078"/>
      <c r="H132" s="1078"/>
      <c r="I132" s="1076"/>
      <c r="J132" s="1076"/>
      <c r="K132" s="1079"/>
    </row>
    <row r="133" spans="1:11" ht="14.25" x14ac:dyDescent="0.2">
      <c r="A133" s="2102" t="s">
        <v>369</v>
      </c>
      <c r="B133" s="957">
        <v>42</v>
      </c>
      <c r="C133" s="957">
        <v>42</v>
      </c>
      <c r="D133" s="957">
        <v>504</v>
      </c>
      <c r="E133" s="248">
        <v>12</v>
      </c>
      <c r="F133" s="2337" t="s">
        <v>1413</v>
      </c>
      <c r="G133" s="968">
        <v>2324000</v>
      </c>
      <c r="H133" s="968">
        <v>19221471.651039999</v>
      </c>
      <c r="I133" s="1066"/>
      <c r="J133" s="1066"/>
      <c r="K133" s="1067"/>
    </row>
    <row r="134" spans="1:11" ht="14.25" x14ac:dyDescent="0.2">
      <c r="A134" s="2102" t="s">
        <v>370</v>
      </c>
      <c r="B134" s="957">
        <v>10</v>
      </c>
      <c r="C134" s="957">
        <v>10</v>
      </c>
      <c r="D134" s="957">
        <v>90</v>
      </c>
      <c r="E134" s="248">
        <v>9</v>
      </c>
      <c r="F134" s="2337" t="s">
        <v>1413</v>
      </c>
      <c r="G134" s="968">
        <v>2324000</v>
      </c>
      <c r="H134" s="968">
        <v>19221471.651039999</v>
      </c>
      <c r="I134" s="1066"/>
      <c r="J134" s="1066"/>
      <c r="K134" s="1067"/>
    </row>
    <row r="135" spans="1:11" ht="14.25" x14ac:dyDescent="0.2">
      <c r="A135" s="2102" t="s">
        <v>371</v>
      </c>
      <c r="B135" s="1064">
        <v>4</v>
      </c>
      <c r="C135" s="1064">
        <v>4</v>
      </c>
      <c r="D135" s="957">
        <v>60</v>
      </c>
      <c r="E135" s="1518">
        <v>15</v>
      </c>
      <c r="F135" s="2337" t="s">
        <v>1413</v>
      </c>
      <c r="G135" s="968">
        <v>2324000</v>
      </c>
      <c r="H135" s="968">
        <v>19221471.651039999</v>
      </c>
      <c r="I135" s="1066"/>
      <c r="J135" s="1066"/>
      <c r="K135" s="1067"/>
    </row>
    <row r="136" spans="1:11" ht="14.25" x14ac:dyDescent="0.2">
      <c r="A136" s="2102" t="s">
        <v>372</v>
      </c>
      <c r="B136" s="1064">
        <v>0</v>
      </c>
      <c r="C136" s="1064">
        <v>0</v>
      </c>
      <c r="D136" s="957">
        <v>0</v>
      </c>
      <c r="E136" s="1518">
        <v>0</v>
      </c>
      <c r="F136" s="1523"/>
      <c r="G136" s="968"/>
      <c r="H136" s="968"/>
      <c r="I136" s="1066"/>
      <c r="J136" s="1066"/>
      <c r="K136" s="1067"/>
    </row>
    <row r="137" spans="1:11" ht="14.25" x14ac:dyDescent="0.2">
      <c r="A137" s="1063" t="s">
        <v>373</v>
      </c>
      <c r="B137" s="1064">
        <v>0</v>
      </c>
      <c r="C137" s="1064">
        <v>0</v>
      </c>
      <c r="D137" s="957">
        <v>0</v>
      </c>
      <c r="E137" s="1518">
        <v>0</v>
      </c>
      <c r="F137" s="1523"/>
      <c r="G137" s="968"/>
      <c r="H137" s="968"/>
      <c r="I137" s="1066"/>
      <c r="J137" s="1066"/>
      <c r="K137" s="1067"/>
    </row>
    <row r="138" spans="1:11" ht="15" x14ac:dyDescent="0.25">
      <c r="A138" s="1074" t="s">
        <v>374</v>
      </c>
      <c r="B138" s="1075">
        <v>96</v>
      </c>
      <c r="C138" s="1075">
        <v>96</v>
      </c>
      <c r="D138" s="1075">
        <v>1010</v>
      </c>
      <c r="E138" s="2335">
        <v>10.520833333333334</v>
      </c>
      <c r="F138" s="2338"/>
      <c r="G138" s="1078"/>
      <c r="H138" s="1078"/>
      <c r="I138" s="1076"/>
      <c r="J138" s="1076"/>
      <c r="K138" s="1079"/>
    </row>
    <row r="139" spans="1:11" ht="14.25" x14ac:dyDescent="0.2">
      <c r="A139" s="2102" t="s">
        <v>375</v>
      </c>
      <c r="B139" s="957">
        <v>51</v>
      </c>
      <c r="C139" s="957">
        <v>51</v>
      </c>
      <c r="D139" s="957">
        <v>612</v>
      </c>
      <c r="E139" s="248">
        <v>12</v>
      </c>
      <c r="F139" s="2337" t="s">
        <v>1413</v>
      </c>
      <c r="G139" s="968">
        <v>2324000</v>
      </c>
      <c r="H139" s="968">
        <v>19221471.651039999</v>
      </c>
      <c r="I139" s="1066"/>
      <c r="J139" s="1066"/>
      <c r="K139" s="1067"/>
    </row>
    <row r="140" spans="1:11" ht="14.25" x14ac:dyDescent="0.2">
      <c r="A140" s="2102" t="s">
        <v>376</v>
      </c>
      <c r="B140" s="957">
        <v>3</v>
      </c>
      <c r="C140" s="957">
        <v>3</v>
      </c>
      <c r="D140" s="957">
        <v>48</v>
      </c>
      <c r="E140" s="248">
        <v>16</v>
      </c>
      <c r="F140" s="2337" t="s">
        <v>1413</v>
      </c>
      <c r="G140" s="968">
        <v>2324000</v>
      </c>
      <c r="H140" s="968">
        <v>19221471.651039999</v>
      </c>
      <c r="I140" s="1066"/>
      <c r="J140" s="1066"/>
      <c r="K140" s="1067"/>
    </row>
    <row r="141" spans="1:11" ht="14.25" x14ac:dyDescent="0.2">
      <c r="A141" s="2102" t="s">
        <v>377</v>
      </c>
      <c r="B141" s="957">
        <v>0</v>
      </c>
      <c r="C141" s="957">
        <v>0</v>
      </c>
      <c r="D141" s="957">
        <v>0</v>
      </c>
      <c r="E141" s="248">
        <v>0</v>
      </c>
      <c r="F141" s="2337"/>
      <c r="G141" s="968"/>
      <c r="H141" s="968"/>
      <c r="I141" s="1066"/>
      <c r="J141" s="1066"/>
      <c r="K141" s="1067"/>
    </row>
    <row r="142" spans="1:11" ht="14.25" x14ac:dyDescent="0.2">
      <c r="A142" s="2102" t="s">
        <v>378</v>
      </c>
      <c r="B142" s="957">
        <v>5</v>
      </c>
      <c r="C142" s="957">
        <v>5</v>
      </c>
      <c r="D142" s="957">
        <v>40</v>
      </c>
      <c r="E142" s="248">
        <v>8</v>
      </c>
      <c r="F142" s="2337" t="s">
        <v>1413</v>
      </c>
      <c r="G142" s="968">
        <v>2324000</v>
      </c>
      <c r="H142" s="968">
        <v>19221471.651039999</v>
      </c>
      <c r="I142" s="1066"/>
      <c r="J142" s="1066"/>
      <c r="K142" s="1067"/>
    </row>
    <row r="143" spans="1:11" ht="14.25" x14ac:dyDescent="0.2">
      <c r="A143" s="2102" t="s">
        <v>379</v>
      </c>
      <c r="B143" s="957">
        <v>20</v>
      </c>
      <c r="C143" s="957">
        <v>20</v>
      </c>
      <c r="D143" s="957">
        <v>140</v>
      </c>
      <c r="E143" s="248">
        <v>7</v>
      </c>
      <c r="F143" s="2337" t="s">
        <v>1413</v>
      </c>
      <c r="G143" s="968">
        <v>2324000</v>
      </c>
      <c r="H143" s="968">
        <v>19221471.651039999</v>
      </c>
      <c r="I143" s="1066"/>
      <c r="J143" s="1066"/>
      <c r="K143" s="1067"/>
    </row>
    <row r="144" spans="1:11" ht="14.25" x14ac:dyDescent="0.2">
      <c r="A144" s="2102" t="s">
        <v>380</v>
      </c>
      <c r="B144" s="957">
        <v>17</v>
      </c>
      <c r="C144" s="957">
        <v>17</v>
      </c>
      <c r="D144" s="957">
        <v>170</v>
      </c>
      <c r="E144" s="248">
        <v>10</v>
      </c>
      <c r="F144" s="2337" t="s">
        <v>1413</v>
      </c>
      <c r="G144" s="968">
        <v>2324000</v>
      </c>
      <c r="H144" s="968">
        <v>19221471.651039999</v>
      </c>
      <c r="I144" s="1066"/>
      <c r="J144" s="1066"/>
      <c r="K144" s="1067"/>
    </row>
    <row r="145" spans="1:11" ht="14.25" x14ac:dyDescent="0.2">
      <c r="A145" s="1063" t="s">
        <v>381</v>
      </c>
      <c r="B145" s="957">
        <v>0</v>
      </c>
      <c r="C145" s="957">
        <v>0</v>
      </c>
      <c r="D145" s="957">
        <v>0</v>
      </c>
      <c r="E145" s="248">
        <v>0</v>
      </c>
      <c r="F145" s="2337"/>
      <c r="G145" s="968"/>
      <c r="H145" s="968"/>
      <c r="I145" s="1066"/>
      <c r="J145" s="1066"/>
      <c r="K145" s="1067"/>
    </row>
    <row r="146" spans="1:11" ht="14.25" x14ac:dyDescent="0.2">
      <c r="A146" s="1063" t="s">
        <v>382</v>
      </c>
      <c r="B146" s="957">
        <v>0</v>
      </c>
      <c r="C146" s="1068">
        <v>0</v>
      </c>
      <c r="D146" s="957">
        <v>0</v>
      </c>
      <c r="E146" s="1518">
        <v>0</v>
      </c>
      <c r="F146" s="2337" t="s">
        <v>1413</v>
      </c>
      <c r="G146" s="968">
        <v>2324000</v>
      </c>
      <c r="H146" s="968">
        <v>19221471.651039999</v>
      </c>
      <c r="I146" s="1066"/>
      <c r="J146" s="1066"/>
      <c r="K146" s="1067"/>
    </row>
    <row r="147" spans="1:11" ht="15" x14ac:dyDescent="0.25">
      <c r="A147" s="1074" t="s">
        <v>383</v>
      </c>
      <c r="B147" s="1075">
        <v>148</v>
      </c>
      <c r="C147" s="1075">
        <v>146</v>
      </c>
      <c r="D147" s="1075">
        <v>1781</v>
      </c>
      <c r="E147" s="2335">
        <v>12.198630136986301</v>
      </c>
      <c r="F147" s="2338"/>
      <c r="G147" s="1078"/>
      <c r="H147" s="1078"/>
      <c r="I147" s="1076"/>
      <c r="J147" s="1076"/>
      <c r="K147" s="1079"/>
    </row>
    <row r="148" spans="1:11" ht="14.25" x14ac:dyDescent="0.2">
      <c r="A148" s="2102" t="s">
        <v>384</v>
      </c>
      <c r="B148" s="957">
        <v>25</v>
      </c>
      <c r="C148" s="957">
        <v>25</v>
      </c>
      <c r="D148" s="957">
        <v>325</v>
      </c>
      <c r="E148" s="248">
        <v>13</v>
      </c>
      <c r="F148" s="2337" t="s">
        <v>1413</v>
      </c>
      <c r="G148" s="968">
        <v>2324000</v>
      </c>
      <c r="H148" s="968">
        <v>19221471.651039999</v>
      </c>
      <c r="I148" s="1066"/>
      <c r="J148" s="1066"/>
      <c r="K148" s="1067"/>
    </row>
    <row r="149" spans="1:11" ht="14.25" x14ac:dyDescent="0.2">
      <c r="A149" s="2102" t="s">
        <v>385</v>
      </c>
      <c r="B149" s="957">
        <v>40</v>
      </c>
      <c r="C149" s="957">
        <v>40</v>
      </c>
      <c r="D149" s="957">
        <v>440</v>
      </c>
      <c r="E149" s="248">
        <v>11</v>
      </c>
      <c r="F149" s="2337" t="s">
        <v>1413</v>
      </c>
      <c r="G149" s="968">
        <v>2324000</v>
      </c>
      <c r="H149" s="968">
        <v>19221471.651039999</v>
      </c>
      <c r="I149" s="1066"/>
      <c r="J149" s="1066"/>
      <c r="K149" s="1067"/>
    </row>
    <row r="150" spans="1:11" ht="14.25" x14ac:dyDescent="0.2">
      <c r="A150" s="2102" t="s">
        <v>386</v>
      </c>
      <c r="B150" s="957">
        <v>7</v>
      </c>
      <c r="C150" s="957">
        <v>7</v>
      </c>
      <c r="D150" s="957">
        <v>105</v>
      </c>
      <c r="E150" s="248">
        <v>15</v>
      </c>
      <c r="F150" s="2337" t="s">
        <v>1413</v>
      </c>
      <c r="G150" s="968">
        <v>2324000</v>
      </c>
      <c r="H150" s="968">
        <v>19221471.651039999</v>
      </c>
      <c r="I150" s="1066"/>
      <c r="J150" s="1066"/>
      <c r="K150" s="1067"/>
    </row>
    <row r="151" spans="1:11" ht="14.25" x14ac:dyDescent="0.2">
      <c r="A151" s="2102" t="s">
        <v>387</v>
      </c>
      <c r="B151" s="957">
        <v>25</v>
      </c>
      <c r="C151" s="957">
        <v>23</v>
      </c>
      <c r="D151" s="957">
        <v>345</v>
      </c>
      <c r="E151" s="248">
        <v>15</v>
      </c>
      <c r="F151" s="2337" t="s">
        <v>1413</v>
      </c>
      <c r="G151" s="968">
        <v>2324000</v>
      </c>
      <c r="H151" s="968">
        <v>19221471.651039999</v>
      </c>
      <c r="I151" s="1066"/>
      <c r="J151" s="1066"/>
      <c r="K151" s="1067"/>
    </row>
    <row r="152" spans="1:11" ht="14.25" x14ac:dyDescent="0.2">
      <c r="A152" s="2102" t="s">
        <v>388</v>
      </c>
      <c r="B152" s="957">
        <v>3</v>
      </c>
      <c r="C152" s="957">
        <v>3</v>
      </c>
      <c r="D152" s="957">
        <v>42</v>
      </c>
      <c r="E152" s="248">
        <v>14</v>
      </c>
      <c r="F152" s="2337" t="s">
        <v>1413</v>
      </c>
      <c r="G152" s="968">
        <v>2324000</v>
      </c>
      <c r="H152" s="968">
        <v>19221471.651039999</v>
      </c>
      <c r="I152" s="1066"/>
      <c r="J152" s="1066"/>
      <c r="K152" s="1067"/>
    </row>
    <row r="153" spans="1:11" ht="14.25" x14ac:dyDescent="0.2">
      <c r="A153" s="2102" t="s">
        <v>389</v>
      </c>
      <c r="B153" s="957">
        <v>25</v>
      </c>
      <c r="C153" s="957">
        <v>25</v>
      </c>
      <c r="D153" s="957">
        <v>300</v>
      </c>
      <c r="E153" s="248">
        <v>12</v>
      </c>
      <c r="F153" s="2337" t="s">
        <v>1413</v>
      </c>
      <c r="G153" s="968">
        <v>2324000</v>
      </c>
      <c r="H153" s="968">
        <v>19221471.651039999</v>
      </c>
      <c r="I153" s="1066"/>
      <c r="J153" s="1066"/>
      <c r="K153" s="1067"/>
    </row>
    <row r="154" spans="1:11" ht="14.25" x14ac:dyDescent="0.2">
      <c r="A154" s="2102" t="s">
        <v>390</v>
      </c>
      <c r="B154" s="957">
        <v>3</v>
      </c>
      <c r="C154" s="957">
        <v>3</v>
      </c>
      <c r="D154" s="957">
        <v>24</v>
      </c>
      <c r="E154" s="248">
        <v>8</v>
      </c>
      <c r="F154" s="2337" t="s">
        <v>1413</v>
      </c>
      <c r="G154" s="968">
        <v>2324000</v>
      </c>
      <c r="H154" s="968">
        <v>19221471.651039999</v>
      </c>
      <c r="I154" s="1066"/>
      <c r="J154" s="1066"/>
      <c r="K154" s="1067"/>
    </row>
    <row r="155" spans="1:11" ht="14.25" x14ac:dyDescent="0.2">
      <c r="A155" s="2102" t="s">
        <v>391</v>
      </c>
      <c r="B155" s="957">
        <v>0</v>
      </c>
      <c r="C155" s="957">
        <v>0</v>
      </c>
      <c r="D155" s="957">
        <v>0</v>
      </c>
      <c r="E155" s="248">
        <v>0</v>
      </c>
      <c r="F155" s="2337"/>
      <c r="G155" s="968"/>
      <c r="H155" s="968"/>
      <c r="I155" s="968"/>
      <c r="J155" s="1066"/>
      <c r="K155" s="1067"/>
    </row>
    <row r="156" spans="1:11" ht="14.25" x14ac:dyDescent="0.2">
      <c r="A156" s="2103" t="s">
        <v>392</v>
      </c>
      <c r="B156" s="957">
        <v>20</v>
      </c>
      <c r="C156" s="957">
        <v>20</v>
      </c>
      <c r="D156" s="957">
        <v>200</v>
      </c>
      <c r="E156" s="248">
        <v>10</v>
      </c>
      <c r="F156" s="2337" t="s">
        <v>1413</v>
      </c>
      <c r="G156" s="968">
        <v>2324000</v>
      </c>
      <c r="H156" s="968">
        <v>19221471.651039999</v>
      </c>
      <c r="I156" s="968"/>
      <c r="J156" s="1061"/>
      <c r="K156" s="1062"/>
    </row>
    <row r="157" spans="1:11" ht="15.75" thickBot="1" x14ac:dyDescent="0.3">
      <c r="A157" s="1080" t="s">
        <v>393</v>
      </c>
      <c r="B157" s="1081">
        <v>365.8</v>
      </c>
      <c r="C157" s="1081">
        <v>363.8</v>
      </c>
      <c r="D157" s="1512">
        <v>4061.1</v>
      </c>
      <c r="E157" s="1515">
        <v>11.163001649257833</v>
      </c>
      <c r="F157" s="1522" t="s">
        <v>1413</v>
      </c>
      <c r="G157" s="1513">
        <v>2324000</v>
      </c>
      <c r="H157" s="1513">
        <v>19221471.651039995</v>
      </c>
      <c r="I157" s="1086"/>
      <c r="J157" s="1086"/>
      <c r="K157" s="1087"/>
    </row>
    <row r="158" spans="1:11" x14ac:dyDescent="0.2">
      <c r="A158" s="7" t="s">
        <v>1934</v>
      </c>
      <c r="B158" s="8"/>
      <c r="C158" s="8"/>
      <c r="D158" s="8"/>
      <c r="E158" s="4"/>
      <c r="F158" s="5"/>
      <c r="G158" s="9"/>
      <c r="H158" s="8"/>
      <c r="I158" s="177"/>
      <c r="J158" s="177"/>
      <c r="K158" s="177"/>
    </row>
    <row r="159" spans="1:11" x14ac:dyDescent="0.2">
      <c r="A159" s="6"/>
      <c r="D159" s="176"/>
      <c r="E159" s="177"/>
      <c r="F159" s="176"/>
      <c r="G159" s="176"/>
      <c r="H159" s="176"/>
      <c r="I159" s="177"/>
      <c r="J159" s="177"/>
      <c r="K159" s="177"/>
    </row>
    <row r="161" spans="1:11" x14ac:dyDescent="0.2">
      <c r="A161" s="2794" t="s">
        <v>1936</v>
      </c>
      <c r="B161" s="2508"/>
      <c r="C161" s="2508"/>
      <c r="D161" s="2508"/>
      <c r="E161" s="2508"/>
      <c r="F161" s="2508"/>
      <c r="G161" s="2508"/>
      <c r="H161" s="2508"/>
      <c r="I161" s="2508"/>
      <c r="J161" s="2508"/>
      <c r="K161" s="2508"/>
    </row>
    <row r="162" spans="1:11" ht="15" x14ac:dyDescent="0.25">
      <c r="A162" s="21"/>
      <c r="B162" s="3"/>
      <c r="C162" s="3"/>
      <c r="D162" s="3"/>
      <c r="E162" s="1"/>
      <c r="F162" s="6"/>
      <c r="G162" s="6"/>
      <c r="H162" s="6"/>
      <c r="I162" s="1"/>
      <c r="J162" s="1"/>
      <c r="K162" s="1"/>
    </row>
    <row r="163" spans="1:11" ht="15.75" thickBot="1" x14ac:dyDescent="0.3">
      <c r="A163" s="21" t="s">
        <v>833</v>
      </c>
      <c r="B163" s="3"/>
      <c r="C163" s="3"/>
      <c r="D163" s="3"/>
      <c r="E163" s="1"/>
      <c r="F163" s="6"/>
      <c r="G163" s="6"/>
      <c r="H163" s="6"/>
      <c r="I163" s="1"/>
      <c r="J163" s="1"/>
      <c r="K163" s="1"/>
    </row>
    <row r="164" spans="1:11" ht="14.1" customHeight="1" thickBot="1" x14ac:dyDescent="0.3">
      <c r="A164" s="172"/>
      <c r="B164" s="2795" t="s">
        <v>1939</v>
      </c>
      <c r="C164" s="2796"/>
      <c r="D164" s="2796"/>
      <c r="E164" s="2796"/>
      <c r="F164" s="2796"/>
      <c r="G164" s="2796"/>
      <c r="H164" s="2796"/>
      <c r="I164" s="2796"/>
      <c r="J164" s="2796"/>
      <c r="K164" s="2797"/>
    </row>
    <row r="165" spans="1:11" ht="14.1" customHeight="1" x14ac:dyDescent="0.25">
      <c r="A165" s="173"/>
      <c r="B165" s="2798" t="s">
        <v>328</v>
      </c>
      <c r="C165" s="2799"/>
      <c r="D165" s="1051"/>
      <c r="E165" s="1052"/>
      <c r="F165" s="1051"/>
      <c r="G165" s="1051"/>
      <c r="H165" s="1051"/>
      <c r="I165" s="2800" t="s">
        <v>834</v>
      </c>
      <c r="J165" s="2801"/>
      <c r="K165" s="2802"/>
    </row>
    <row r="166" spans="1:11" ht="14.1" customHeight="1" x14ac:dyDescent="0.25">
      <c r="A166" s="174" t="s">
        <v>327</v>
      </c>
      <c r="B166" s="1052" t="s">
        <v>835</v>
      </c>
      <c r="C166" s="1052" t="s">
        <v>836</v>
      </c>
      <c r="D166" s="1052" t="s">
        <v>837</v>
      </c>
      <c r="E166" s="1052" t="s">
        <v>838</v>
      </c>
      <c r="F166" s="1053" t="s">
        <v>329</v>
      </c>
      <c r="G166" s="1052" t="s">
        <v>337</v>
      </c>
      <c r="H166" s="1052" t="s">
        <v>338</v>
      </c>
      <c r="I166" s="2791" t="s">
        <v>839</v>
      </c>
      <c r="J166" s="2792"/>
      <c r="K166" s="2793"/>
    </row>
    <row r="167" spans="1:11" ht="14.1" customHeight="1" x14ac:dyDescent="0.25">
      <c r="A167" s="173"/>
      <c r="B167" s="1052"/>
      <c r="C167" s="1052"/>
      <c r="D167" s="1052" t="s">
        <v>841</v>
      </c>
      <c r="E167" s="1052" t="s">
        <v>842</v>
      </c>
      <c r="F167" s="1052" t="s">
        <v>336</v>
      </c>
      <c r="G167" s="1052" t="s">
        <v>843</v>
      </c>
      <c r="H167" s="1052" t="s">
        <v>840</v>
      </c>
      <c r="I167" s="1054"/>
      <c r="J167" s="1054"/>
      <c r="K167" s="1055"/>
    </row>
    <row r="168" spans="1:11" ht="14.1" customHeight="1" x14ac:dyDescent="0.25">
      <c r="A168" s="175"/>
      <c r="B168" s="1056" t="s">
        <v>345</v>
      </c>
      <c r="C168" s="1056" t="s">
        <v>844</v>
      </c>
      <c r="D168" s="1056" t="s">
        <v>346</v>
      </c>
      <c r="E168" s="1056" t="s">
        <v>344</v>
      </c>
      <c r="F168" s="1056" t="s">
        <v>441</v>
      </c>
      <c r="G168" s="1056" t="s">
        <v>347</v>
      </c>
      <c r="H168" s="1056" t="s">
        <v>348</v>
      </c>
      <c r="I168" s="1057" t="s">
        <v>349</v>
      </c>
      <c r="J168" s="1058" t="s">
        <v>350</v>
      </c>
      <c r="K168" s="1059" t="s">
        <v>351</v>
      </c>
    </row>
    <row r="169" spans="1:11" ht="14.1" customHeight="1" x14ac:dyDescent="0.25">
      <c r="A169" s="1069" t="s">
        <v>352</v>
      </c>
      <c r="B169" s="1070">
        <v>778</v>
      </c>
      <c r="C169" s="1070">
        <v>749</v>
      </c>
      <c r="D169" s="1070">
        <v>7531</v>
      </c>
      <c r="E169" s="1868">
        <v>10.054739652870493</v>
      </c>
      <c r="F169" s="1072"/>
      <c r="G169" s="1072"/>
      <c r="H169" s="1072"/>
      <c r="I169" s="1071"/>
      <c r="J169" s="1071"/>
      <c r="K169" s="1073"/>
    </row>
    <row r="170" spans="1:11" ht="14.1" customHeight="1" x14ac:dyDescent="0.2">
      <c r="A170" s="2102" t="s">
        <v>353</v>
      </c>
      <c r="B170" s="957">
        <v>80</v>
      </c>
      <c r="C170" s="957">
        <v>80</v>
      </c>
      <c r="D170" s="957">
        <v>960</v>
      </c>
      <c r="E170" s="248">
        <v>12</v>
      </c>
      <c r="F170" s="2336" t="s">
        <v>406</v>
      </c>
      <c r="G170" s="968">
        <v>2404000</v>
      </c>
      <c r="H170" s="968">
        <v>9195256.2799999993</v>
      </c>
      <c r="I170" s="1066"/>
      <c r="J170" s="1066"/>
      <c r="K170" s="1067"/>
    </row>
    <row r="171" spans="1:11" ht="14.1" customHeight="1" x14ac:dyDescent="0.2">
      <c r="A171" s="2102" t="s">
        <v>354</v>
      </c>
      <c r="B171" s="957">
        <v>75</v>
      </c>
      <c r="C171" s="957">
        <v>75</v>
      </c>
      <c r="D171" s="957">
        <v>900</v>
      </c>
      <c r="E171" s="248">
        <v>12</v>
      </c>
      <c r="F171" s="2336" t="s">
        <v>406</v>
      </c>
      <c r="G171" s="968">
        <v>2404000</v>
      </c>
      <c r="H171" s="968">
        <v>9195256.2799999993</v>
      </c>
      <c r="I171" s="1066"/>
      <c r="J171" s="1066"/>
      <c r="K171" s="1067"/>
    </row>
    <row r="172" spans="1:11" ht="14.1" customHeight="1" x14ac:dyDescent="0.2">
      <c r="A172" s="2102" t="s">
        <v>355</v>
      </c>
      <c r="B172" s="957">
        <v>20</v>
      </c>
      <c r="C172" s="957">
        <v>20</v>
      </c>
      <c r="D172" s="957">
        <v>140</v>
      </c>
      <c r="E172" s="248">
        <v>7</v>
      </c>
      <c r="F172" s="2336" t="s">
        <v>406</v>
      </c>
      <c r="G172" s="968">
        <v>2404000</v>
      </c>
      <c r="H172" s="968">
        <v>9195256.2799999993</v>
      </c>
      <c r="I172" s="1066"/>
      <c r="J172" s="1066"/>
      <c r="K172" s="1067"/>
    </row>
    <row r="173" spans="1:11" ht="14.1" customHeight="1" x14ac:dyDescent="0.2">
      <c r="A173" s="2102" t="s">
        <v>356</v>
      </c>
      <c r="B173" s="957">
        <v>17</v>
      </c>
      <c r="C173" s="957">
        <v>14</v>
      </c>
      <c r="D173" s="957">
        <v>168</v>
      </c>
      <c r="E173" s="248">
        <v>12</v>
      </c>
      <c r="F173" s="2336" t="s">
        <v>406</v>
      </c>
      <c r="G173" s="968">
        <v>2404000</v>
      </c>
      <c r="H173" s="968">
        <v>9195256.2799999993</v>
      </c>
      <c r="I173" s="1066"/>
      <c r="J173" s="1066"/>
      <c r="K173" s="1067"/>
    </row>
    <row r="174" spans="1:11" ht="14.1" customHeight="1" x14ac:dyDescent="0.2">
      <c r="A174" s="2102" t="s">
        <v>357</v>
      </c>
      <c r="B174" s="957">
        <v>110</v>
      </c>
      <c r="C174" s="957">
        <v>110</v>
      </c>
      <c r="D174" s="957">
        <v>1100</v>
      </c>
      <c r="E174" s="248">
        <v>10</v>
      </c>
      <c r="F174" s="2336" t="s">
        <v>406</v>
      </c>
      <c r="G174" s="968">
        <v>2404000</v>
      </c>
      <c r="H174" s="968">
        <v>9195256.2799999993</v>
      </c>
      <c r="I174" s="1066"/>
      <c r="J174" s="1066"/>
      <c r="K174" s="1067"/>
    </row>
    <row r="175" spans="1:11" ht="14.1" customHeight="1" x14ac:dyDescent="0.2">
      <c r="A175" s="2102" t="s">
        <v>358</v>
      </c>
      <c r="B175" s="957">
        <v>150</v>
      </c>
      <c r="C175" s="957">
        <v>130</v>
      </c>
      <c r="D175" s="957">
        <v>910</v>
      </c>
      <c r="E175" s="248">
        <v>7</v>
      </c>
      <c r="F175" s="2336" t="s">
        <v>406</v>
      </c>
      <c r="G175" s="968">
        <v>2404000</v>
      </c>
      <c r="H175" s="968">
        <v>9195256.2799999993</v>
      </c>
      <c r="I175" s="1066"/>
      <c r="J175" s="1066"/>
      <c r="K175" s="1067"/>
    </row>
    <row r="176" spans="1:11" ht="14.1" customHeight="1" x14ac:dyDescent="0.2">
      <c r="A176" s="2102" t="s">
        <v>359</v>
      </c>
      <c r="B176" s="957">
        <v>97</v>
      </c>
      <c r="C176" s="957">
        <v>96</v>
      </c>
      <c r="D176" s="957">
        <v>960</v>
      </c>
      <c r="E176" s="248">
        <v>10</v>
      </c>
      <c r="F176" s="2336" t="s">
        <v>406</v>
      </c>
      <c r="G176" s="968">
        <v>2404000</v>
      </c>
      <c r="H176" s="968">
        <v>9195256.2799999993</v>
      </c>
      <c r="I176" s="1066"/>
      <c r="J176" s="1066"/>
      <c r="K176" s="1067"/>
    </row>
    <row r="177" spans="1:11" ht="14.1" customHeight="1" x14ac:dyDescent="0.2">
      <c r="A177" s="2102" t="s">
        <v>360</v>
      </c>
      <c r="B177" s="957">
        <v>45</v>
      </c>
      <c r="C177" s="957">
        <v>45</v>
      </c>
      <c r="D177" s="957">
        <v>450</v>
      </c>
      <c r="E177" s="248">
        <v>10</v>
      </c>
      <c r="F177" s="2336" t="s">
        <v>406</v>
      </c>
      <c r="G177" s="968">
        <v>2404000</v>
      </c>
      <c r="H177" s="968">
        <v>9195256.2799999993</v>
      </c>
      <c r="I177" s="1066"/>
      <c r="J177" s="1066"/>
      <c r="K177" s="1067"/>
    </row>
    <row r="178" spans="1:11" ht="14.1" customHeight="1" x14ac:dyDescent="0.2">
      <c r="A178" s="2102" t="s">
        <v>361</v>
      </c>
      <c r="B178" s="957">
        <v>52</v>
      </c>
      <c r="C178" s="957">
        <v>52</v>
      </c>
      <c r="D178" s="957">
        <v>624</v>
      </c>
      <c r="E178" s="248">
        <v>12</v>
      </c>
      <c r="F178" s="2336" t="s">
        <v>406</v>
      </c>
      <c r="G178" s="968">
        <v>2404000</v>
      </c>
      <c r="H178" s="968">
        <v>9195256.2799999993</v>
      </c>
      <c r="I178" s="1066"/>
      <c r="J178" s="1066"/>
      <c r="K178" s="1067"/>
    </row>
    <row r="179" spans="1:11" ht="14.1" customHeight="1" x14ac:dyDescent="0.2">
      <c r="A179" s="2102" t="s">
        <v>362</v>
      </c>
      <c r="B179" s="957">
        <v>38</v>
      </c>
      <c r="C179" s="957">
        <v>36</v>
      </c>
      <c r="D179" s="957">
        <v>576</v>
      </c>
      <c r="E179" s="248">
        <v>16</v>
      </c>
      <c r="F179" s="2336" t="s">
        <v>406</v>
      </c>
      <c r="G179" s="968">
        <v>2404000</v>
      </c>
      <c r="H179" s="968">
        <v>9195256.2799999993</v>
      </c>
      <c r="I179" s="1066"/>
      <c r="J179" s="1066"/>
      <c r="K179" s="1067"/>
    </row>
    <row r="180" spans="1:11" ht="14.1" customHeight="1" x14ac:dyDescent="0.2">
      <c r="A180" s="2102" t="s">
        <v>363</v>
      </c>
      <c r="B180" s="957">
        <v>10</v>
      </c>
      <c r="C180" s="957">
        <v>10</v>
      </c>
      <c r="D180" s="957">
        <v>140</v>
      </c>
      <c r="E180" s="248">
        <v>14</v>
      </c>
      <c r="F180" s="2336" t="s">
        <v>406</v>
      </c>
      <c r="G180" s="968">
        <v>2404000</v>
      </c>
      <c r="H180" s="968">
        <v>9195256.2799999993</v>
      </c>
      <c r="I180" s="1066"/>
      <c r="J180" s="1066"/>
      <c r="K180" s="1067"/>
    </row>
    <row r="181" spans="1:11" ht="14.1" customHeight="1" x14ac:dyDescent="0.2">
      <c r="A181" s="2102" t="s">
        <v>364</v>
      </c>
      <c r="B181" s="957">
        <v>48</v>
      </c>
      <c r="C181" s="957">
        <v>48</v>
      </c>
      <c r="D181" s="957">
        <v>336</v>
      </c>
      <c r="E181" s="248">
        <v>7</v>
      </c>
      <c r="F181" s="2336" t="s">
        <v>406</v>
      </c>
      <c r="G181" s="968">
        <v>2404000</v>
      </c>
      <c r="H181" s="968">
        <v>9195256.2799999993</v>
      </c>
      <c r="I181" s="1066"/>
      <c r="J181" s="1066"/>
      <c r="K181" s="1067"/>
    </row>
    <row r="182" spans="1:11" ht="14.1" customHeight="1" x14ac:dyDescent="0.2">
      <c r="A182" s="2102" t="s">
        <v>365</v>
      </c>
      <c r="B182" s="957">
        <v>21</v>
      </c>
      <c r="C182" s="957">
        <v>21</v>
      </c>
      <c r="D182" s="957">
        <v>147</v>
      </c>
      <c r="E182" s="248">
        <v>7</v>
      </c>
      <c r="F182" s="2336" t="s">
        <v>406</v>
      </c>
      <c r="G182" s="968">
        <v>2404000</v>
      </c>
      <c r="H182" s="968">
        <v>9195256.2799999993</v>
      </c>
      <c r="I182" s="1066"/>
      <c r="J182" s="1066"/>
      <c r="K182" s="1067"/>
    </row>
    <row r="183" spans="1:11" ht="14.1" customHeight="1" x14ac:dyDescent="0.2">
      <c r="A183" s="2102" t="s">
        <v>366</v>
      </c>
      <c r="B183" s="1064">
        <v>15</v>
      </c>
      <c r="C183" s="1064">
        <v>12</v>
      </c>
      <c r="D183" s="957">
        <v>120</v>
      </c>
      <c r="E183" s="1518">
        <v>10</v>
      </c>
      <c r="F183" s="2336" t="s">
        <v>406</v>
      </c>
      <c r="G183" s="968">
        <v>2404000</v>
      </c>
      <c r="H183" s="968">
        <v>9195256.2799999993</v>
      </c>
      <c r="I183" s="1066"/>
      <c r="J183" s="1066"/>
      <c r="K183" s="1067"/>
    </row>
    <row r="184" spans="1:11" ht="14.1" customHeight="1" x14ac:dyDescent="0.2">
      <c r="A184" s="2102" t="s">
        <v>367</v>
      </c>
      <c r="B184" s="1064">
        <v>0</v>
      </c>
      <c r="C184" s="1064">
        <v>0</v>
      </c>
      <c r="D184" s="957">
        <v>0</v>
      </c>
      <c r="E184" s="1514">
        <v>0</v>
      </c>
      <c r="F184" s="248"/>
      <c r="G184" s="968"/>
      <c r="H184" s="968"/>
      <c r="I184" s="1066"/>
      <c r="J184" s="1066"/>
      <c r="K184" s="1067"/>
    </row>
    <row r="185" spans="1:11" ht="14.1" customHeight="1" x14ac:dyDescent="0.25">
      <c r="A185" s="1074" t="s">
        <v>368</v>
      </c>
      <c r="B185" s="1075">
        <v>581</v>
      </c>
      <c r="C185" s="1075">
        <v>570</v>
      </c>
      <c r="D185" s="1075">
        <v>7700</v>
      </c>
      <c r="E185" s="2335">
        <v>13.508771929824562</v>
      </c>
      <c r="F185" s="1077"/>
      <c r="G185" s="1078"/>
      <c r="H185" s="1078"/>
      <c r="I185" s="1076"/>
      <c r="J185" s="1076"/>
      <c r="K185" s="1079"/>
    </row>
    <row r="186" spans="1:11" ht="14.1" customHeight="1" x14ac:dyDescent="0.2">
      <c r="A186" s="2102" t="s">
        <v>369</v>
      </c>
      <c r="B186" s="957">
        <v>458</v>
      </c>
      <c r="C186" s="957">
        <v>454</v>
      </c>
      <c r="D186" s="957">
        <v>6356</v>
      </c>
      <c r="E186" s="248">
        <v>14</v>
      </c>
      <c r="F186" s="2336" t="s">
        <v>406</v>
      </c>
      <c r="G186" s="968">
        <v>2404000</v>
      </c>
      <c r="H186" s="968">
        <v>9195256.2799999993</v>
      </c>
      <c r="I186" s="1066"/>
      <c r="J186" s="1066"/>
      <c r="K186" s="1067"/>
    </row>
    <row r="187" spans="1:11" ht="14.1" customHeight="1" x14ac:dyDescent="0.2">
      <c r="A187" s="2102" t="s">
        <v>370</v>
      </c>
      <c r="B187" s="957">
        <v>40</v>
      </c>
      <c r="C187" s="957">
        <v>36</v>
      </c>
      <c r="D187" s="957">
        <v>504</v>
      </c>
      <c r="E187" s="248">
        <v>14</v>
      </c>
      <c r="F187" s="2336" t="s">
        <v>406</v>
      </c>
      <c r="G187" s="968">
        <v>2404000</v>
      </c>
      <c r="H187" s="968">
        <v>9195256.2799999993</v>
      </c>
      <c r="I187" s="1066"/>
      <c r="J187" s="1066"/>
      <c r="K187" s="1067"/>
    </row>
    <row r="188" spans="1:11" ht="14.1" customHeight="1" x14ac:dyDescent="0.2">
      <c r="A188" s="2102" t="s">
        <v>371</v>
      </c>
      <c r="B188" s="957">
        <v>31</v>
      </c>
      <c r="C188" s="957">
        <v>30</v>
      </c>
      <c r="D188" s="957">
        <v>240</v>
      </c>
      <c r="E188" s="248">
        <v>8</v>
      </c>
      <c r="F188" s="2336" t="s">
        <v>406</v>
      </c>
      <c r="G188" s="968">
        <v>2404000</v>
      </c>
      <c r="H188" s="968">
        <v>9195256.2799999993</v>
      </c>
      <c r="I188" s="1066"/>
      <c r="J188" s="1066"/>
      <c r="K188" s="1067"/>
    </row>
    <row r="189" spans="1:11" ht="14.1" customHeight="1" x14ac:dyDescent="0.2">
      <c r="A189" s="2102" t="s">
        <v>372</v>
      </c>
      <c r="B189" s="957">
        <v>23</v>
      </c>
      <c r="C189" s="957">
        <v>23</v>
      </c>
      <c r="D189" s="957">
        <v>276</v>
      </c>
      <c r="E189" s="248">
        <v>12</v>
      </c>
      <c r="F189" s="2336" t="s">
        <v>406</v>
      </c>
      <c r="G189" s="968">
        <v>2404000</v>
      </c>
      <c r="H189" s="968">
        <v>9195256.2799999993</v>
      </c>
      <c r="I189" s="1066"/>
      <c r="J189" s="1066"/>
      <c r="K189" s="1067"/>
    </row>
    <row r="190" spans="1:11" ht="14.1" customHeight="1" x14ac:dyDescent="0.2">
      <c r="A190" s="2102" t="s">
        <v>373</v>
      </c>
      <c r="B190" s="957">
        <v>29</v>
      </c>
      <c r="C190" s="957">
        <v>27</v>
      </c>
      <c r="D190" s="957">
        <v>324</v>
      </c>
      <c r="E190" s="248">
        <v>12</v>
      </c>
      <c r="F190" s="2336" t="s">
        <v>406</v>
      </c>
      <c r="G190" s="968">
        <v>2404000</v>
      </c>
      <c r="H190" s="968">
        <v>9195256.2799999993</v>
      </c>
      <c r="I190" s="1066"/>
      <c r="J190" s="1066"/>
      <c r="K190" s="1067"/>
    </row>
    <row r="191" spans="1:11" ht="14.1" customHeight="1" x14ac:dyDescent="0.25">
      <c r="A191" s="1074" t="s">
        <v>374</v>
      </c>
      <c r="B191" s="1075">
        <v>413</v>
      </c>
      <c r="C191" s="1075">
        <v>403</v>
      </c>
      <c r="D191" s="1075">
        <v>5667</v>
      </c>
      <c r="E191" s="2335">
        <v>14.062034739454095</v>
      </c>
      <c r="F191" s="1077"/>
      <c r="G191" s="1078"/>
      <c r="H191" s="1078"/>
      <c r="I191" s="1076"/>
      <c r="J191" s="1076"/>
      <c r="K191" s="1079"/>
    </row>
    <row r="192" spans="1:11" ht="14.1" customHeight="1" x14ac:dyDescent="0.2">
      <c r="A192" s="2102" t="s">
        <v>375</v>
      </c>
      <c r="B192" s="957">
        <v>26</v>
      </c>
      <c r="C192" s="957">
        <v>24</v>
      </c>
      <c r="D192" s="957">
        <v>336</v>
      </c>
      <c r="E192" s="248">
        <v>14</v>
      </c>
      <c r="F192" s="2336" t="s">
        <v>406</v>
      </c>
      <c r="G192" s="968">
        <v>2404000</v>
      </c>
      <c r="H192" s="968">
        <v>9195256.2799999993</v>
      </c>
      <c r="I192" s="1066"/>
      <c r="J192" s="1066"/>
      <c r="K192" s="1067"/>
    </row>
    <row r="193" spans="1:11" ht="14.1" customHeight="1" x14ac:dyDescent="0.2">
      <c r="A193" s="2102" t="s">
        <v>376</v>
      </c>
      <c r="B193" s="957">
        <v>35</v>
      </c>
      <c r="C193" s="957">
        <v>33</v>
      </c>
      <c r="D193" s="957">
        <v>462</v>
      </c>
      <c r="E193" s="248">
        <v>14</v>
      </c>
      <c r="F193" s="2336" t="s">
        <v>406</v>
      </c>
      <c r="G193" s="968">
        <v>2404000</v>
      </c>
      <c r="H193" s="968">
        <v>9195256.2799999993</v>
      </c>
      <c r="I193" s="1066"/>
      <c r="J193" s="1066"/>
      <c r="K193" s="1067"/>
    </row>
    <row r="194" spans="1:11" ht="14.1" customHeight="1" x14ac:dyDescent="0.2">
      <c r="A194" s="2102" t="s">
        <v>377</v>
      </c>
      <c r="B194" s="957">
        <v>10</v>
      </c>
      <c r="C194" s="957">
        <v>8</v>
      </c>
      <c r="D194" s="957">
        <v>96</v>
      </c>
      <c r="E194" s="248">
        <v>12</v>
      </c>
      <c r="F194" s="2336" t="s">
        <v>406</v>
      </c>
      <c r="G194" s="968">
        <v>2404000</v>
      </c>
      <c r="H194" s="968">
        <v>9195256.2799999993</v>
      </c>
      <c r="I194" s="1066"/>
      <c r="J194" s="1066"/>
      <c r="K194" s="1067"/>
    </row>
    <row r="195" spans="1:11" ht="14.1" customHeight="1" x14ac:dyDescent="0.2">
      <c r="A195" s="2102" t="s">
        <v>378</v>
      </c>
      <c r="B195" s="957">
        <v>150</v>
      </c>
      <c r="C195" s="957">
        <v>150</v>
      </c>
      <c r="D195" s="957">
        <v>2250</v>
      </c>
      <c r="E195" s="248">
        <v>15</v>
      </c>
      <c r="F195" s="2336" t="s">
        <v>406</v>
      </c>
      <c r="G195" s="968">
        <v>2404000</v>
      </c>
      <c r="H195" s="968">
        <v>9195256.2799999993</v>
      </c>
      <c r="I195" s="1066"/>
      <c r="J195" s="1066"/>
      <c r="K195" s="1067"/>
    </row>
    <row r="196" spans="1:11" ht="14.1" customHeight="1" x14ac:dyDescent="0.2">
      <c r="A196" s="2102" t="s">
        <v>379</v>
      </c>
      <c r="B196" s="957">
        <v>60</v>
      </c>
      <c r="C196" s="957">
        <v>57</v>
      </c>
      <c r="D196" s="957">
        <v>741</v>
      </c>
      <c r="E196" s="248">
        <v>13</v>
      </c>
      <c r="F196" s="2336" t="s">
        <v>406</v>
      </c>
      <c r="G196" s="968">
        <v>2404000</v>
      </c>
      <c r="H196" s="968">
        <v>9195256.2799999993</v>
      </c>
      <c r="I196" s="1066"/>
      <c r="J196" s="1066"/>
      <c r="K196" s="1067"/>
    </row>
    <row r="197" spans="1:11" ht="14.1" customHeight="1" x14ac:dyDescent="0.2">
      <c r="A197" s="2102" t="s">
        <v>380</v>
      </c>
      <c r="B197" s="957">
        <v>26</v>
      </c>
      <c r="C197" s="957">
        <v>26</v>
      </c>
      <c r="D197" s="957">
        <v>312</v>
      </c>
      <c r="E197" s="248">
        <v>12</v>
      </c>
      <c r="F197" s="2336" t="s">
        <v>406</v>
      </c>
      <c r="G197" s="968">
        <v>2404000</v>
      </c>
      <c r="H197" s="968">
        <v>9195256.2799999993</v>
      </c>
      <c r="I197" s="1066"/>
      <c r="J197" s="1066"/>
      <c r="K197" s="1067"/>
    </row>
    <row r="198" spans="1:11" ht="14.1" customHeight="1" x14ac:dyDescent="0.2">
      <c r="A198" s="2102" t="s">
        <v>381</v>
      </c>
      <c r="B198" s="957">
        <v>46</v>
      </c>
      <c r="C198" s="957">
        <v>45</v>
      </c>
      <c r="D198" s="957">
        <v>630</v>
      </c>
      <c r="E198" s="248">
        <v>14</v>
      </c>
      <c r="F198" s="2336" t="s">
        <v>406</v>
      </c>
      <c r="G198" s="968">
        <v>2404000</v>
      </c>
      <c r="H198" s="968">
        <v>9195256.2799999993</v>
      </c>
      <c r="I198" s="1066"/>
      <c r="J198" s="1066"/>
      <c r="K198" s="1067"/>
    </row>
    <row r="199" spans="1:11" ht="14.1" customHeight="1" x14ac:dyDescent="0.2">
      <c r="A199" s="2102" t="s">
        <v>382</v>
      </c>
      <c r="B199" s="957">
        <v>60</v>
      </c>
      <c r="C199" s="957">
        <v>60</v>
      </c>
      <c r="D199" s="957">
        <v>840</v>
      </c>
      <c r="E199" s="248">
        <v>14</v>
      </c>
      <c r="F199" s="2336" t="s">
        <v>406</v>
      </c>
      <c r="G199" s="968">
        <v>2404000</v>
      </c>
      <c r="H199" s="968">
        <v>9195256.2799999993</v>
      </c>
      <c r="I199" s="1066"/>
      <c r="J199" s="1066"/>
      <c r="K199" s="1067"/>
    </row>
    <row r="200" spans="1:11" ht="14.1" customHeight="1" x14ac:dyDescent="0.25">
      <c r="A200" s="1074" t="s">
        <v>383</v>
      </c>
      <c r="B200" s="1075">
        <v>2105</v>
      </c>
      <c r="C200" s="1075">
        <v>2061</v>
      </c>
      <c r="D200" s="1075">
        <v>17867</v>
      </c>
      <c r="E200" s="2335">
        <v>8.6690926734594864</v>
      </c>
      <c r="F200" s="1077"/>
      <c r="G200" s="1078"/>
      <c r="H200" s="1078"/>
      <c r="I200" s="1076"/>
      <c r="J200" s="1076"/>
      <c r="K200" s="1079"/>
    </row>
    <row r="201" spans="1:11" ht="14.1" customHeight="1" x14ac:dyDescent="0.2">
      <c r="A201" s="2102" t="s">
        <v>384</v>
      </c>
      <c r="B201" s="957">
        <v>480</v>
      </c>
      <c r="C201" s="957">
        <v>465</v>
      </c>
      <c r="D201" s="957">
        <v>3255</v>
      </c>
      <c r="E201" s="248">
        <v>7</v>
      </c>
      <c r="F201" s="2336" t="s">
        <v>406</v>
      </c>
      <c r="G201" s="968">
        <v>2404000</v>
      </c>
      <c r="H201" s="968">
        <v>9195256.2799999993</v>
      </c>
      <c r="I201" s="1066"/>
      <c r="J201" s="1066"/>
      <c r="K201" s="1067"/>
    </row>
    <row r="202" spans="1:11" ht="14.1" customHeight="1" x14ac:dyDescent="0.2">
      <c r="A202" s="2102" t="s">
        <v>385</v>
      </c>
      <c r="B202" s="957">
        <v>650</v>
      </c>
      <c r="C202" s="957">
        <v>650</v>
      </c>
      <c r="D202" s="957">
        <v>5200</v>
      </c>
      <c r="E202" s="248">
        <v>8</v>
      </c>
      <c r="F202" s="2336" t="s">
        <v>406</v>
      </c>
      <c r="G202" s="968">
        <v>2404000</v>
      </c>
      <c r="H202" s="968">
        <v>9195256.2799999993</v>
      </c>
      <c r="I202" s="1066"/>
      <c r="J202" s="1066"/>
      <c r="K202" s="1067"/>
    </row>
    <row r="203" spans="1:11" ht="14.1" customHeight="1" x14ac:dyDescent="0.2">
      <c r="A203" s="2102" t="s">
        <v>386</v>
      </c>
      <c r="B203" s="957">
        <v>36</v>
      </c>
      <c r="C203" s="957">
        <v>35</v>
      </c>
      <c r="D203" s="957">
        <v>350</v>
      </c>
      <c r="E203" s="248">
        <v>10</v>
      </c>
      <c r="F203" s="2336" t="s">
        <v>406</v>
      </c>
      <c r="G203" s="968">
        <v>2404000</v>
      </c>
      <c r="H203" s="968">
        <v>9195256.2799999993</v>
      </c>
      <c r="I203" s="1066"/>
      <c r="J203" s="1066"/>
      <c r="K203" s="1067"/>
    </row>
    <row r="204" spans="1:11" ht="14.1" customHeight="1" x14ac:dyDescent="0.2">
      <c r="A204" s="2102" t="s">
        <v>387</v>
      </c>
      <c r="B204" s="957">
        <v>200</v>
      </c>
      <c r="C204" s="957">
        <v>200</v>
      </c>
      <c r="D204" s="957">
        <v>1600</v>
      </c>
      <c r="E204" s="248">
        <v>8</v>
      </c>
      <c r="F204" s="2336" t="s">
        <v>406</v>
      </c>
      <c r="G204" s="968">
        <v>2404000</v>
      </c>
      <c r="H204" s="968">
        <v>9195256.2799999993</v>
      </c>
      <c r="I204" s="1066"/>
      <c r="J204" s="1066"/>
      <c r="K204" s="1067"/>
    </row>
    <row r="205" spans="1:11" ht="14.1" customHeight="1" x14ac:dyDescent="0.2">
      <c r="A205" s="2102" t="s">
        <v>388</v>
      </c>
      <c r="B205" s="957">
        <v>70</v>
      </c>
      <c r="C205" s="957">
        <v>62</v>
      </c>
      <c r="D205" s="957">
        <v>868</v>
      </c>
      <c r="E205" s="248">
        <v>14</v>
      </c>
      <c r="F205" s="2336" t="s">
        <v>406</v>
      </c>
      <c r="G205" s="968">
        <v>2404000</v>
      </c>
      <c r="H205" s="968">
        <v>9195256.2799999993</v>
      </c>
      <c r="I205" s="1066"/>
      <c r="J205" s="1066"/>
      <c r="K205" s="1067"/>
    </row>
    <row r="206" spans="1:11" ht="14.1" customHeight="1" x14ac:dyDescent="0.2">
      <c r="A206" s="2102" t="s">
        <v>389</v>
      </c>
      <c r="B206" s="957">
        <v>268</v>
      </c>
      <c r="C206" s="957">
        <v>268</v>
      </c>
      <c r="D206" s="957">
        <v>2144</v>
      </c>
      <c r="E206" s="248">
        <v>8</v>
      </c>
      <c r="F206" s="2336" t="s">
        <v>406</v>
      </c>
      <c r="G206" s="968">
        <v>2404000</v>
      </c>
      <c r="H206" s="968">
        <v>9195256.2799999993</v>
      </c>
      <c r="I206" s="1066"/>
      <c r="J206" s="1066"/>
      <c r="K206" s="1067"/>
    </row>
    <row r="207" spans="1:11" ht="14.1" customHeight="1" x14ac:dyDescent="0.2">
      <c r="A207" s="2102" t="s">
        <v>390</v>
      </c>
      <c r="B207" s="957">
        <v>26</v>
      </c>
      <c r="C207" s="957">
        <v>26</v>
      </c>
      <c r="D207" s="957">
        <v>260</v>
      </c>
      <c r="E207" s="248">
        <v>10</v>
      </c>
      <c r="F207" s="2336" t="s">
        <v>406</v>
      </c>
      <c r="G207" s="968">
        <v>2404000</v>
      </c>
      <c r="H207" s="968">
        <v>9195256.2799999993</v>
      </c>
      <c r="I207" s="1066"/>
      <c r="J207" s="1066"/>
      <c r="K207" s="1067"/>
    </row>
    <row r="208" spans="1:11" ht="14.1" customHeight="1" x14ac:dyDescent="0.2">
      <c r="A208" s="2102" t="s">
        <v>391</v>
      </c>
      <c r="B208" s="957">
        <v>340</v>
      </c>
      <c r="C208" s="957">
        <v>320</v>
      </c>
      <c r="D208" s="957">
        <v>3840</v>
      </c>
      <c r="E208" s="248">
        <v>12</v>
      </c>
      <c r="F208" s="2336" t="s">
        <v>406</v>
      </c>
      <c r="G208" s="968">
        <v>2404000</v>
      </c>
      <c r="H208" s="968">
        <v>9195256.2799999993</v>
      </c>
      <c r="I208" s="1066"/>
      <c r="J208" s="1066"/>
      <c r="K208" s="1067"/>
    </row>
    <row r="209" spans="1:11" ht="14.1" customHeight="1" x14ac:dyDescent="0.2">
      <c r="A209" s="2103" t="s">
        <v>392</v>
      </c>
      <c r="B209" s="957">
        <v>35</v>
      </c>
      <c r="C209" s="957">
        <v>35</v>
      </c>
      <c r="D209" s="957">
        <v>350</v>
      </c>
      <c r="E209" s="248">
        <v>10</v>
      </c>
      <c r="F209" s="2336" t="s">
        <v>406</v>
      </c>
      <c r="G209" s="968">
        <v>2404000</v>
      </c>
      <c r="H209" s="968">
        <v>9195256.2799999993</v>
      </c>
      <c r="I209" s="1061"/>
      <c r="J209" s="1061"/>
      <c r="K209" s="1062"/>
    </row>
    <row r="210" spans="1:11" ht="14.1" customHeight="1" thickBot="1" x14ac:dyDescent="0.3">
      <c r="A210" s="1080" t="s">
        <v>393</v>
      </c>
      <c r="B210" s="1081">
        <v>3877</v>
      </c>
      <c r="C210" s="1081">
        <v>3783</v>
      </c>
      <c r="D210" s="1512">
        <v>38765</v>
      </c>
      <c r="E210" s="1515">
        <v>10.247158339941844</v>
      </c>
      <c r="F210" s="2339" t="s">
        <v>406</v>
      </c>
      <c r="G210" s="1513">
        <v>2403999.9999999995</v>
      </c>
      <c r="H210" s="1513">
        <v>9195256.2799999993</v>
      </c>
      <c r="I210" s="1086"/>
      <c r="J210" s="1086"/>
      <c r="K210" s="1087"/>
    </row>
    <row r="211" spans="1:11" x14ac:dyDescent="0.2">
      <c r="A211" s="7" t="s">
        <v>1934</v>
      </c>
      <c r="B211" s="8"/>
      <c r="C211" s="8"/>
      <c r="D211" s="8"/>
      <c r="E211" s="4"/>
      <c r="F211" s="5"/>
      <c r="G211" s="9"/>
      <c r="H211" s="8"/>
      <c r="I211" s="177"/>
      <c r="J211" s="177"/>
      <c r="K211" s="177"/>
    </row>
    <row r="212" spans="1:11" x14ac:dyDescent="0.2">
      <c r="A212" s="6"/>
      <c r="D212" s="176"/>
      <c r="E212" s="177"/>
      <c r="F212" s="176"/>
      <c r="G212" s="176"/>
      <c r="H212" s="176"/>
      <c r="I212" s="177"/>
      <c r="J212" s="177"/>
      <c r="K212" s="177"/>
    </row>
    <row r="213" spans="1:11" x14ac:dyDescent="0.2">
      <c r="A213" s="6"/>
      <c r="D213" s="176"/>
      <c r="E213" s="177"/>
      <c r="F213" s="176"/>
      <c r="G213" s="176"/>
      <c r="H213" s="176"/>
      <c r="I213" s="177"/>
      <c r="J213" s="177"/>
      <c r="K213" s="177"/>
    </row>
    <row r="214" spans="1:11" x14ac:dyDescent="0.2">
      <c r="A214" s="6"/>
      <c r="C214" s="10"/>
      <c r="D214" s="176"/>
      <c r="E214" s="177"/>
      <c r="F214" s="176"/>
      <c r="G214" s="10"/>
      <c r="H214" s="176"/>
      <c r="I214" s="177"/>
      <c r="J214" s="177"/>
      <c r="K214" s="177"/>
    </row>
  </sheetData>
  <sheetProtection insertHyperlinks="0"/>
  <mergeCells count="20">
    <mergeCell ref="I166:K166"/>
    <mergeCell ref="A161:K161"/>
    <mergeCell ref="B164:K164"/>
    <mergeCell ref="B165:C165"/>
    <mergeCell ref="I165:K165"/>
    <mergeCell ref="A2:K2"/>
    <mergeCell ref="B5:K5"/>
    <mergeCell ref="B6:C6"/>
    <mergeCell ref="I6:K6"/>
    <mergeCell ref="B59:C59"/>
    <mergeCell ref="I59:K59"/>
    <mergeCell ref="I60:K60"/>
    <mergeCell ref="I7:K7"/>
    <mergeCell ref="A55:K55"/>
    <mergeCell ref="B58:K58"/>
    <mergeCell ref="I113:K113"/>
    <mergeCell ref="A108:K108"/>
    <mergeCell ref="B111:K111"/>
    <mergeCell ref="B112:C112"/>
    <mergeCell ref="I112:K112"/>
  </mergeCells>
  <phoneticPr fontId="13" type="noConversion"/>
  <pageMargins left="1.5748031496062993" right="0.39370078740157483" top="0.78740157480314965" bottom="0.39370078740157483" header="0.59055118110236227" footer="0"/>
  <pageSetup scale="7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23"/>
  <sheetViews>
    <sheetView workbookViewId="0"/>
  </sheetViews>
  <sheetFormatPr baseColWidth="10" defaultColWidth="11.42578125" defaultRowHeight="12.75" x14ac:dyDescent="0.2"/>
  <cols>
    <col min="1" max="1" width="18.7109375" customWidth="1"/>
    <col min="2" max="2" width="14.7109375" customWidth="1"/>
    <col min="3" max="4" width="17.140625" customWidth="1"/>
    <col min="5" max="6" width="12.7109375" customWidth="1"/>
    <col min="7" max="7" width="12.7109375" bestFit="1" customWidth="1"/>
    <col min="8" max="8" width="14.5703125" bestFit="1" customWidth="1"/>
    <col min="9" max="9" width="4.140625" customWidth="1"/>
    <col min="10" max="10" width="4.85546875" customWidth="1"/>
    <col min="11" max="11" width="4.28515625" customWidth="1"/>
  </cols>
  <sheetData>
    <row r="5" spans="1:11" ht="24.75" x14ac:dyDescent="0.5">
      <c r="A5" s="2809" t="s">
        <v>324</v>
      </c>
      <c r="B5" s="2809"/>
      <c r="C5" s="2809"/>
      <c r="D5" s="2809"/>
      <c r="E5" s="2809"/>
      <c r="F5" s="2809"/>
      <c r="G5" s="2809"/>
      <c r="H5" s="2809"/>
      <c r="I5" s="2809"/>
      <c r="J5" s="2809"/>
      <c r="K5" s="2809"/>
    </row>
    <row r="6" spans="1:11" ht="18" x14ac:dyDescent="0.25">
      <c r="A6" s="2509" t="s">
        <v>325</v>
      </c>
      <c r="B6" s="2509"/>
      <c r="C6" s="2509"/>
      <c r="D6" s="2509"/>
      <c r="E6" s="2509"/>
      <c r="F6" s="2509"/>
      <c r="G6" s="2509"/>
      <c r="H6" s="2509"/>
      <c r="I6" s="2509"/>
      <c r="J6" s="2509"/>
      <c r="K6" s="2509"/>
    </row>
    <row r="7" spans="1:11" ht="18" x14ac:dyDescent="0.25">
      <c r="A7" s="2509" t="s">
        <v>2038</v>
      </c>
      <c r="B7" s="2509"/>
      <c r="C7" s="2509"/>
      <c r="D7" s="2509"/>
      <c r="E7" s="2509"/>
      <c r="F7" s="2509"/>
      <c r="G7" s="2509"/>
      <c r="H7" s="2509"/>
      <c r="I7" s="2509"/>
      <c r="J7" s="2509"/>
      <c r="K7" s="2509"/>
    </row>
    <row r="9" spans="1:11" ht="13.5" thickBot="1" x14ac:dyDescent="0.25">
      <c r="A9" s="3"/>
      <c r="B9" s="3"/>
      <c r="C9" s="3"/>
      <c r="D9" s="3"/>
      <c r="E9" s="6"/>
      <c r="F9" s="6"/>
      <c r="G9" s="6"/>
      <c r="H9" s="6"/>
      <c r="I9" s="6"/>
      <c r="J9" s="6"/>
      <c r="K9" s="6"/>
    </row>
    <row r="10" spans="1:11" ht="16.5" thickBot="1" x14ac:dyDescent="0.25">
      <c r="A10" s="2810" t="s">
        <v>408</v>
      </c>
      <c r="B10" s="2813" t="s">
        <v>2039</v>
      </c>
      <c r="C10" s="2814"/>
      <c r="D10" s="2814"/>
      <c r="E10" s="2814"/>
      <c r="F10" s="2814"/>
      <c r="G10" s="2814"/>
      <c r="H10" s="2814"/>
      <c r="I10" s="2814"/>
      <c r="J10" s="2814"/>
      <c r="K10" s="2815"/>
    </row>
    <row r="11" spans="1:11" x14ac:dyDescent="0.2">
      <c r="A11" s="2811"/>
      <c r="B11" s="2816" t="s">
        <v>328</v>
      </c>
      <c r="C11" s="2817"/>
      <c r="D11" s="1088"/>
      <c r="E11" s="1088"/>
      <c r="F11" s="1088"/>
      <c r="G11" s="1088"/>
      <c r="H11" s="1088"/>
      <c r="I11" s="2803" t="s">
        <v>1127</v>
      </c>
      <c r="J11" s="2804"/>
      <c r="K11" s="2805"/>
    </row>
    <row r="12" spans="1:11" x14ac:dyDescent="0.2">
      <c r="A12" s="2811"/>
      <c r="B12" s="2054" t="s">
        <v>835</v>
      </c>
      <c r="C12" s="1089" t="s">
        <v>836</v>
      </c>
      <c r="D12" s="1089" t="s">
        <v>837</v>
      </c>
      <c r="E12" s="1089" t="s">
        <v>904</v>
      </c>
      <c r="F12" s="1089" t="s">
        <v>329</v>
      </c>
      <c r="G12" s="1089" t="s">
        <v>337</v>
      </c>
      <c r="H12" s="1089" t="s">
        <v>338</v>
      </c>
      <c r="I12" s="2806" t="s">
        <v>839</v>
      </c>
      <c r="J12" s="2807"/>
      <c r="K12" s="2808"/>
    </row>
    <row r="13" spans="1:11" x14ac:dyDescent="0.2">
      <c r="A13" s="2811"/>
      <c r="B13" s="2055"/>
      <c r="C13" s="1088"/>
      <c r="D13" s="1089" t="s">
        <v>841</v>
      </c>
      <c r="E13" s="1089" t="s">
        <v>842</v>
      </c>
      <c r="F13" s="1089" t="s">
        <v>336</v>
      </c>
      <c r="G13" s="1089" t="s">
        <v>843</v>
      </c>
      <c r="H13" s="1089" t="s">
        <v>840</v>
      </c>
      <c r="I13" s="1090"/>
      <c r="J13" s="1090"/>
      <c r="K13" s="2056"/>
    </row>
    <row r="14" spans="1:11" ht="13.5" thickBot="1" x14ac:dyDescent="0.25">
      <c r="A14" s="2812"/>
      <c r="B14" s="2057" t="s">
        <v>345</v>
      </c>
      <c r="C14" s="1091" t="s">
        <v>844</v>
      </c>
      <c r="D14" s="1091" t="s">
        <v>346</v>
      </c>
      <c r="E14" s="1091" t="s">
        <v>344</v>
      </c>
      <c r="F14" s="1091" t="s">
        <v>441</v>
      </c>
      <c r="G14" s="1091" t="s">
        <v>347</v>
      </c>
      <c r="H14" s="1091" t="s">
        <v>348</v>
      </c>
      <c r="I14" s="1092" t="s">
        <v>349</v>
      </c>
      <c r="J14" s="1093" t="s">
        <v>350</v>
      </c>
      <c r="K14" s="2058" t="s">
        <v>351</v>
      </c>
    </row>
    <row r="15" spans="1:11" x14ac:dyDescent="0.2">
      <c r="A15" s="216"/>
      <c r="B15" s="218"/>
      <c r="C15" s="217"/>
      <c r="D15" s="217"/>
      <c r="E15" s="217"/>
      <c r="F15" s="217"/>
      <c r="G15" s="217"/>
      <c r="H15" s="217"/>
      <c r="I15" s="218"/>
      <c r="J15" s="218"/>
      <c r="K15" s="219"/>
    </row>
    <row r="16" spans="1:11" ht="30" customHeight="1" x14ac:dyDescent="0.2">
      <c r="A16" s="220" t="s">
        <v>905</v>
      </c>
      <c r="B16" s="2059">
        <v>135.5</v>
      </c>
      <c r="C16" s="221">
        <v>135.5</v>
      </c>
      <c r="D16" s="221">
        <v>337.4</v>
      </c>
      <c r="E16" s="1809">
        <v>2.4900369003690037</v>
      </c>
      <c r="F16" s="1517" t="s">
        <v>1412</v>
      </c>
      <c r="G16" s="1516">
        <v>6100000</v>
      </c>
      <c r="H16" s="1516">
        <v>6741527.7291359399</v>
      </c>
      <c r="I16" s="221"/>
      <c r="J16" s="221"/>
      <c r="K16" s="2060"/>
    </row>
    <row r="17" spans="1:11" ht="30" customHeight="1" x14ac:dyDescent="0.2">
      <c r="A17" s="220" t="s">
        <v>906</v>
      </c>
      <c r="B17" s="2059">
        <v>604.29999999999995</v>
      </c>
      <c r="C17" s="221">
        <v>578.29999999999995</v>
      </c>
      <c r="D17" s="221">
        <v>5976.1</v>
      </c>
      <c r="E17" s="1809">
        <v>10.333909735431439</v>
      </c>
      <c r="F17" s="1517" t="s">
        <v>406</v>
      </c>
      <c r="G17" s="1516">
        <v>3022000.0000000005</v>
      </c>
      <c r="H17" s="1516">
        <v>11689263.633119998</v>
      </c>
      <c r="I17" s="221"/>
      <c r="J17" s="221"/>
      <c r="K17" s="1094"/>
    </row>
    <row r="18" spans="1:11" ht="30" customHeight="1" x14ac:dyDescent="0.2">
      <c r="A18" s="220" t="s">
        <v>907</v>
      </c>
      <c r="B18" s="2059">
        <v>365.8</v>
      </c>
      <c r="C18" s="221">
        <v>363.8</v>
      </c>
      <c r="D18" s="221">
        <v>4061.1</v>
      </c>
      <c r="E18" s="1809">
        <v>11.163001649257833</v>
      </c>
      <c r="F18" s="1517" t="s">
        <v>1413</v>
      </c>
      <c r="G18" s="1516">
        <v>2324000</v>
      </c>
      <c r="H18" s="1516">
        <v>19221471.651039995</v>
      </c>
      <c r="I18" s="221"/>
      <c r="J18" s="221"/>
      <c r="K18" s="1094"/>
    </row>
    <row r="19" spans="1:11" ht="30" customHeight="1" thickBot="1" x14ac:dyDescent="0.25">
      <c r="A19" s="222" t="s">
        <v>908</v>
      </c>
      <c r="B19" s="2061">
        <v>3877</v>
      </c>
      <c r="C19" s="2062">
        <v>3783</v>
      </c>
      <c r="D19" s="2062">
        <v>38765</v>
      </c>
      <c r="E19" s="2063">
        <v>10.247158339941844</v>
      </c>
      <c r="F19" s="2064" t="s">
        <v>406</v>
      </c>
      <c r="G19" s="2065">
        <v>2403999.9999999995</v>
      </c>
      <c r="H19" s="2065">
        <v>9195256.2799999993</v>
      </c>
      <c r="I19" s="2062"/>
      <c r="J19" s="2062"/>
      <c r="K19" s="2066"/>
    </row>
    <row r="20" spans="1:11" ht="30" customHeight="1" thickBot="1" x14ac:dyDescent="0.25">
      <c r="A20" s="1876" t="s">
        <v>433</v>
      </c>
      <c r="B20" s="1877">
        <v>4982.6000000000004</v>
      </c>
      <c r="C20" s="1878">
        <v>4860.6000000000004</v>
      </c>
      <c r="D20" s="1879">
        <v>49139.6</v>
      </c>
      <c r="E20" s="1095"/>
      <c r="F20" s="223"/>
      <c r="G20" s="223"/>
      <c r="H20" s="223"/>
      <c r="I20" s="223"/>
      <c r="J20" s="1096"/>
      <c r="K20" s="223"/>
    </row>
    <row r="21" spans="1:11" x14ac:dyDescent="0.2">
      <c r="A21" s="7" t="s">
        <v>1934</v>
      </c>
      <c r="B21" s="8"/>
      <c r="C21" s="8"/>
      <c r="D21" s="8"/>
      <c r="E21" s="4"/>
      <c r="F21" s="5"/>
      <c r="G21" s="9"/>
      <c r="H21" s="8"/>
      <c r="I21" s="9"/>
      <c r="J21" s="9"/>
      <c r="K21" s="9"/>
    </row>
    <row r="22" spans="1:11" x14ac:dyDescent="0.2">
      <c r="A22" s="7"/>
      <c r="B22" s="8"/>
      <c r="C22" s="8"/>
      <c r="D22" s="8"/>
      <c r="E22" s="8"/>
      <c r="F22" s="8"/>
    </row>
    <row r="23" spans="1:11" x14ac:dyDescent="0.2">
      <c r="A23" s="6"/>
      <c r="B23" s="8"/>
      <c r="C23" s="8"/>
      <c r="D23" s="8"/>
      <c r="E23" s="8"/>
      <c r="F23" s="8"/>
    </row>
  </sheetData>
  <mergeCells count="8">
    <mergeCell ref="I11:K11"/>
    <mergeCell ref="I12:K12"/>
    <mergeCell ref="A5:K5"/>
    <mergeCell ref="A6:K6"/>
    <mergeCell ref="A7:K7"/>
    <mergeCell ref="A10:A14"/>
    <mergeCell ref="B10:K10"/>
    <mergeCell ref="B11:C11"/>
  </mergeCells>
  <phoneticPr fontId="13" type="noConversion"/>
  <pageMargins left="1.3779527559055118" right="0.78740157480314965" top="0.98425196850393704" bottom="0.98425196850393704" header="0" footer="0"/>
  <pageSetup scale="80" orientation="landscape" horizontalDpi="4294967295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2"/>
  <sheetViews>
    <sheetView zoomScale="80" zoomScaleNormal="80" workbookViewId="0"/>
  </sheetViews>
  <sheetFormatPr baseColWidth="10" defaultColWidth="11.42578125" defaultRowHeight="12.75" x14ac:dyDescent="0.2"/>
  <cols>
    <col min="1" max="1" width="17.5703125" customWidth="1"/>
    <col min="2" max="2" width="15.42578125" customWidth="1"/>
    <col min="3" max="3" width="13.140625" customWidth="1"/>
    <col min="5" max="5" width="7.7109375" customWidth="1"/>
    <col min="6" max="6" width="5.5703125" customWidth="1"/>
    <col min="7" max="7" width="10.5703125" customWidth="1"/>
    <col min="8" max="8" width="4" customWidth="1"/>
    <col min="9" max="9" width="9.7109375" customWidth="1"/>
    <col min="10" max="10" width="7.42578125" customWidth="1"/>
    <col min="11" max="11" width="5.140625" customWidth="1"/>
    <col min="12" max="12" width="27.5703125" customWidth="1"/>
    <col min="13" max="13" width="15.28515625" customWidth="1"/>
    <col min="14" max="14" width="13.140625" customWidth="1"/>
    <col min="15" max="15" width="8.42578125" customWidth="1"/>
    <col min="16" max="16" width="6.140625" customWidth="1"/>
    <col min="17" max="17" width="9" customWidth="1"/>
    <col min="18" max="18" width="7.140625" customWidth="1"/>
    <col min="19" max="19" width="8.5703125" customWidth="1"/>
    <col min="20" max="20" width="6.85546875" customWidth="1"/>
  </cols>
  <sheetData>
    <row r="1" spans="1:20" ht="15.75" x14ac:dyDescent="0.25">
      <c r="A1" s="2256"/>
      <c r="B1" s="2255"/>
      <c r="C1" s="2255"/>
      <c r="D1" s="2255"/>
      <c r="E1" s="2255"/>
      <c r="F1" s="2255"/>
      <c r="G1" s="2255"/>
      <c r="H1" s="2255"/>
      <c r="I1" s="2255"/>
      <c r="J1" s="2255"/>
      <c r="K1" s="2255"/>
      <c r="L1" s="2255"/>
      <c r="M1" s="2255"/>
      <c r="N1" s="2255"/>
      <c r="O1" s="2255"/>
      <c r="P1" s="2255"/>
      <c r="Q1" s="2255"/>
      <c r="R1" s="2255"/>
      <c r="S1" s="2255"/>
      <c r="T1" s="2255"/>
    </row>
    <row r="2" spans="1:20" ht="19.5" x14ac:dyDescent="0.2">
      <c r="A2" s="2654" t="s">
        <v>1923</v>
      </c>
      <c r="B2" s="2654"/>
      <c r="C2" s="2654"/>
      <c r="D2" s="2654"/>
      <c r="E2" s="2654"/>
      <c r="F2" s="2654"/>
      <c r="G2" s="2654"/>
      <c r="H2" s="2654"/>
      <c r="I2" s="2654"/>
      <c r="J2" s="2654"/>
      <c r="K2" s="2654"/>
      <c r="L2" s="2654"/>
      <c r="M2" s="2654"/>
      <c r="N2" s="2654"/>
      <c r="O2" s="2654"/>
      <c r="P2" s="2654"/>
      <c r="Q2" s="2654"/>
      <c r="R2" s="2654"/>
      <c r="S2" s="2654"/>
      <c r="T2" s="2654"/>
    </row>
    <row r="3" spans="1:20" ht="17.25" thickBot="1" x14ac:dyDescent="0.25">
      <c r="A3" s="40"/>
      <c r="B3" s="40"/>
      <c r="C3" s="45"/>
      <c r="D3" s="45"/>
      <c r="E3" s="45"/>
      <c r="F3" s="45"/>
      <c r="G3" s="42"/>
      <c r="H3" s="42"/>
      <c r="I3" s="43"/>
      <c r="J3" s="44"/>
      <c r="K3" s="45"/>
      <c r="L3" s="45"/>
      <c r="M3" s="45"/>
      <c r="N3" s="45"/>
      <c r="O3" s="45"/>
      <c r="P3" s="45"/>
      <c r="Q3" s="45"/>
      <c r="R3" s="45"/>
      <c r="S3" s="45"/>
      <c r="T3" s="45"/>
    </row>
    <row r="4" spans="1:20" ht="18.600000000000001" customHeight="1" x14ac:dyDescent="0.3">
      <c r="A4" s="2612" t="s">
        <v>435</v>
      </c>
      <c r="B4" s="2613"/>
      <c r="C4" s="2618" t="s">
        <v>436</v>
      </c>
      <c r="D4" s="2619"/>
      <c r="E4" s="2619"/>
      <c r="F4" s="2620"/>
      <c r="G4" s="2624" t="s">
        <v>437</v>
      </c>
      <c r="H4" s="2625"/>
      <c r="I4" s="2624" t="s">
        <v>438</v>
      </c>
      <c r="J4" s="2625"/>
      <c r="K4" s="45"/>
      <c r="L4" s="2626" t="s">
        <v>435</v>
      </c>
      <c r="M4" s="2619" t="s">
        <v>436</v>
      </c>
      <c r="N4" s="2619"/>
      <c r="O4" s="2619"/>
      <c r="P4" s="2620"/>
      <c r="Q4" s="2624" t="s">
        <v>437</v>
      </c>
      <c r="R4" s="2625"/>
      <c r="S4" s="2618" t="s">
        <v>439</v>
      </c>
      <c r="T4" s="2649"/>
    </row>
    <row r="5" spans="1:20" ht="18.600000000000001" customHeight="1" thickBot="1" x14ac:dyDescent="0.35">
      <c r="A5" s="2614"/>
      <c r="B5" s="2615"/>
      <c r="C5" s="2621"/>
      <c r="D5" s="2622"/>
      <c r="E5" s="2622"/>
      <c r="F5" s="2623"/>
      <c r="G5" s="2629" t="s">
        <v>440</v>
      </c>
      <c r="H5" s="2630"/>
      <c r="I5" s="2629"/>
      <c r="J5" s="2630"/>
      <c r="K5" s="45"/>
      <c r="L5" s="2627"/>
      <c r="M5" s="2622"/>
      <c r="N5" s="2622"/>
      <c r="O5" s="2622"/>
      <c r="P5" s="2623"/>
      <c r="Q5" s="2629" t="s">
        <v>440</v>
      </c>
      <c r="R5" s="2630"/>
      <c r="S5" s="2631" t="s">
        <v>348</v>
      </c>
      <c r="T5" s="2650"/>
    </row>
    <row r="6" spans="1:20" ht="18.600000000000001" customHeight="1" x14ac:dyDescent="0.2">
      <c r="A6" s="2614"/>
      <c r="B6" s="2615"/>
      <c r="C6" s="53" t="s">
        <v>441</v>
      </c>
      <c r="D6" s="2670" t="s">
        <v>442</v>
      </c>
      <c r="E6" s="2631" t="s">
        <v>443</v>
      </c>
      <c r="F6" s="2632"/>
      <c r="G6" s="2629" t="s">
        <v>444</v>
      </c>
      <c r="H6" s="2630"/>
      <c r="I6" s="2629" t="s">
        <v>348</v>
      </c>
      <c r="J6" s="2630"/>
      <c r="K6" s="45"/>
      <c r="L6" s="2627"/>
      <c r="M6" s="51" t="s">
        <v>441</v>
      </c>
      <c r="N6" s="2670" t="s">
        <v>442</v>
      </c>
      <c r="O6" s="2631" t="s">
        <v>443</v>
      </c>
      <c r="P6" s="2632"/>
      <c r="Q6" s="2629" t="s">
        <v>444</v>
      </c>
      <c r="R6" s="2630"/>
      <c r="S6" s="2631"/>
      <c r="T6" s="2650"/>
    </row>
    <row r="7" spans="1:20" ht="18.600000000000001" customHeight="1" thickBot="1" x14ac:dyDescent="0.25">
      <c r="A7" s="2616"/>
      <c r="B7" s="2617"/>
      <c r="C7" s="54" t="s">
        <v>445</v>
      </c>
      <c r="D7" s="2634"/>
      <c r="E7" s="2621"/>
      <c r="F7" s="2623"/>
      <c r="G7" s="2561"/>
      <c r="H7" s="2562"/>
      <c r="I7" s="2561"/>
      <c r="J7" s="2562"/>
      <c r="K7" s="45"/>
      <c r="L7" s="2628"/>
      <c r="M7" s="50" t="s">
        <v>445</v>
      </c>
      <c r="N7" s="2634"/>
      <c r="O7" s="2621"/>
      <c r="P7" s="2623"/>
      <c r="Q7" s="2561"/>
      <c r="R7" s="2562"/>
      <c r="S7" s="2652"/>
      <c r="T7" s="2653"/>
    </row>
    <row r="8" spans="1:20" ht="18.600000000000001" customHeight="1" x14ac:dyDescent="0.3">
      <c r="A8" s="182" t="s">
        <v>446</v>
      </c>
      <c r="B8" s="183"/>
      <c r="C8" s="184"/>
      <c r="D8" s="170"/>
      <c r="E8" s="2576"/>
      <c r="F8" s="2650"/>
      <c r="G8" s="2559"/>
      <c r="H8" s="2818"/>
      <c r="I8" s="2559"/>
      <c r="J8" s="2819"/>
      <c r="K8" s="45"/>
      <c r="L8" s="119" t="s">
        <v>447</v>
      </c>
      <c r="M8" s="185"/>
      <c r="N8" s="186"/>
      <c r="O8" s="2605"/>
      <c r="P8" s="2606"/>
      <c r="Q8" s="2605"/>
      <c r="R8" s="2606"/>
      <c r="S8" s="2605"/>
      <c r="T8" s="2606"/>
    </row>
    <row r="9" spans="1:20" ht="18.600000000000001" customHeight="1" x14ac:dyDescent="0.35">
      <c r="A9" s="2822" t="s">
        <v>848</v>
      </c>
      <c r="B9" s="2823"/>
      <c r="C9" s="187"/>
      <c r="D9" s="170"/>
      <c r="E9" s="2576"/>
      <c r="F9" s="2650"/>
      <c r="G9" s="2559"/>
      <c r="H9" s="2818"/>
      <c r="I9" s="2565">
        <v>94000</v>
      </c>
      <c r="J9" s="2824"/>
      <c r="K9" s="45"/>
      <c r="L9" s="122"/>
      <c r="M9" s="188"/>
      <c r="N9" s="170"/>
      <c r="O9" s="2559"/>
      <c r="P9" s="2560"/>
      <c r="Q9" s="2559"/>
      <c r="R9" s="2560"/>
      <c r="S9" s="2559"/>
      <c r="T9" s="2560"/>
    </row>
    <row r="10" spans="1:20" ht="18.600000000000001" customHeight="1" x14ac:dyDescent="0.3">
      <c r="A10" s="2820" t="s">
        <v>849</v>
      </c>
      <c r="B10" s="2821"/>
      <c r="C10" s="187"/>
      <c r="D10" s="170"/>
      <c r="E10" s="2576"/>
      <c r="F10" s="2650"/>
      <c r="G10" s="2559"/>
      <c r="H10" s="2818"/>
      <c r="I10" s="2559">
        <v>0</v>
      </c>
      <c r="J10" s="2560"/>
      <c r="K10" s="45"/>
      <c r="L10" s="122" t="s">
        <v>450</v>
      </c>
      <c r="M10" s="170" t="s">
        <v>850</v>
      </c>
      <c r="N10" s="170" t="s">
        <v>851</v>
      </c>
      <c r="O10" s="2559">
        <v>10</v>
      </c>
      <c r="P10" s="2560"/>
      <c r="Q10" s="2559">
        <v>80809.281600000002</v>
      </c>
      <c r="R10" s="2560"/>
      <c r="S10" s="2559">
        <v>808092.81599999999</v>
      </c>
      <c r="T10" s="2560"/>
    </row>
    <row r="11" spans="1:20" ht="18.600000000000001" customHeight="1" x14ac:dyDescent="0.3">
      <c r="A11" s="148" t="s">
        <v>852</v>
      </c>
      <c r="B11" s="189"/>
      <c r="C11" s="187"/>
      <c r="D11" s="170"/>
      <c r="E11" s="2576"/>
      <c r="F11" s="2650"/>
      <c r="G11" s="2559"/>
      <c r="H11" s="2818"/>
      <c r="I11" s="2559">
        <v>0</v>
      </c>
      <c r="J11" s="2560"/>
      <c r="K11" s="45"/>
      <c r="L11" s="122" t="s">
        <v>853</v>
      </c>
      <c r="M11" s="188"/>
      <c r="N11" s="170"/>
      <c r="O11" s="2559"/>
      <c r="P11" s="2560"/>
      <c r="Q11" s="2559"/>
      <c r="R11" s="2560"/>
      <c r="S11" s="2559">
        <v>0</v>
      </c>
      <c r="T11" s="2560"/>
    </row>
    <row r="12" spans="1:20" ht="18.600000000000001" customHeight="1" x14ac:dyDescent="0.2">
      <c r="A12" s="2820" t="s">
        <v>854</v>
      </c>
      <c r="B12" s="2821"/>
      <c r="C12" s="187"/>
      <c r="D12" s="170"/>
      <c r="E12" s="2576"/>
      <c r="F12" s="2577"/>
      <c r="G12" s="2559"/>
      <c r="H12" s="2560"/>
      <c r="I12" s="2559">
        <v>0</v>
      </c>
      <c r="J12" s="2560"/>
      <c r="K12" s="45"/>
      <c r="L12" s="122" t="s">
        <v>855</v>
      </c>
      <c r="M12" s="170" t="s">
        <v>856</v>
      </c>
      <c r="N12" s="170" t="s">
        <v>857</v>
      </c>
      <c r="O12" s="2559">
        <v>6</v>
      </c>
      <c r="P12" s="2560"/>
      <c r="Q12" s="2559">
        <v>20168.716799999998</v>
      </c>
      <c r="R12" s="2560"/>
      <c r="S12" s="2559">
        <v>121012.3008</v>
      </c>
      <c r="T12" s="2560"/>
    </row>
    <row r="13" spans="1:20" ht="18.600000000000001" customHeight="1" x14ac:dyDescent="0.2">
      <c r="A13" s="2820" t="s">
        <v>858</v>
      </c>
      <c r="B13" s="2821"/>
      <c r="C13" s="187"/>
      <c r="D13" s="170"/>
      <c r="E13" s="2576"/>
      <c r="F13" s="2577"/>
      <c r="G13" s="2559"/>
      <c r="H13" s="2560"/>
      <c r="I13" s="2559">
        <v>0</v>
      </c>
      <c r="J13" s="2560"/>
      <c r="K13" s="45"/>
      <c r="L13" s="122" t="s">
        <v>859</v>
      </c>
      <c r="M13" s="170" t="s">
        <v>713</v>
      </c>
      <c r="N13" s="170" t="s">
        <v>473</v>
      </c>
      <c r="O13" s="2559">
        <v>8</v>
      </c>
      <c r="P13" s="2560"/>
      <c r="Q13" s="2559">
        <v>38296</v>
      </c>
      <c r="R13" s="2560"/>
      <c r="S13" s="2559">
        <v>306368</v>
      </c>
      <c r="T13" s="2560"/>
    </row>
    <row r="14" spans="1:20" ht="18.600000000000001" customHeight="1" x14ac:dyDescent="0.2">
      <c r="A14" s="2820" t="s">
        <v>860</v>
      </c>
      <c r="B14" s="2821"/>
      <c r="C14" s="187"/>
      <c r="D14" s="170"/>
      <c r="E14" s="2576"/>
      <c r="F14" s="2577"/>
      <c r="G14" s="2559"/>
      <c r="H14" s="2560"/>
      <c r="I14" s="2559">
        <v>0</v>
      </c>
      <c r="J14" s="2560"/>
      <c r="K14" s="45"/>
      <c r="L14" s="122" t="s">
        <v>861</v>
      </c>
      <c r="M14" s="170" t="s">
        <v>748</v>
      </c>
      <c r="N14" s="170" t="s">
        <v>740</v>
      </c>
      <c r="O14" s="2559">
        <v>20</v>
      </c>
      <c r="P14" s="2560"/>
      <c r="Q14" s="2559">
        <v>9373</v>
      </c>
      <c r="R14" s="2560"/>
      <c r="S14" s="2559">
        <v>187460</v>
      </c>
      <c r="T14" s="2560"/>
    </row>
    <row r="15" spans="1:20" ht="18.600000000000001" customHeight="1" x14ac:dyDescent="0.4">
      <c r="A15" s="2820" t="s">
        <v>862</v>
      </c>
      <c r="B15" s="2821"/>
      <c r="C15" s="187"/>
      <c r="D15" s="170" t="s">
        <v>496</v>
      </c>
      <c r="E15" s="2576">
        <v>2</v>
      </c>
      <c r="F15" s="2577"/>
      <c r="G15" s="2641">
        <v>47000</v>
      </c>
      <c r="H15" s="2642">
        <v>38202.400000000001</v>
      </c>
      <c r="I15" s="2559">
        <v>94000</v>
      </c>
      <c r="J15" s="2560"/>
      <c r="K15" s="45"/>
      <c r="L15" s="122" t="s">
        <v>863</v>
      </c>
      <c r="M15" s="170"/>
      <c r="N15" s="170"/>
      <c r="O15" s="2559"/>
      <c r="P15" s="2560"/>
      <c r="Q15" s="2559"/>
      <c r="R15" s="2560"/>
      <c r="S15" s="2559">
        <v>0</v>
      </c>
      <c r="T15" s="2560"/>
    </row>
    <row r="16" spans="1:20" ht="18.600000000000001" customHeight="1" x14ac:dyDescent="0.2">
      <c r="A16" s="148" t="s">
        <v>504</v>
      </c>
      <c r="B16" s="189"/>
      <c r="C16" s="187"/>
      <c r="D16" s="170"/>
      <c r="E16" s="2576"/>
      <c r="F16" s="2577"/>
      <c r="G16" s="2559"/>
      <c r="H16" s="2560"/>
      <c r="I16" s="2559">
        <v>0</v>
      </c>
      <c r="J16" s="2560"/>
      <c r="K16" s="45"/>
      <c r="L16" s="122" t="s">
        <v>534</v>
      </c>
      <c r="M16" s="170" t="s">
        <v>710</v>
      </c>
      <c r="N16" s="170" t="s">
        <v>556</v>
      </c>
      <c r="O16" s="2571">
        <v>1.4</v>
      </c>
      <c r="P16" s="2572"/>
      <c r="Q16" s="2559">
        <v>209550.95679999999</v>
      </c>
      <c r="R16" s="2560"/>
      <c r="S16" s="2559">
        <v>293371.33951999998</v>
      </c>
      <c r="T16" s="2560"/>
    </row>
    <row r="17" spans="1:20" ht="18.600000000000001" customHeight="1" x14ac:dyDescent="0.2">
      <c r="A17" s="2827" t="s">
        <v>457</v>
      </c>
      <c r="B17" s="2828"/>
      <c r="C17" s="187"/>
      <c r="D17" s="170"/>
      <c r="E17" s="2576"/>
      <c r="F17" s="2577"/>
      <c r="G17" s="2559"/>
      <c r="H17" s="2560"/>
      <c r="I17" s="2565">
        <v>302793.02399999998</v>
      </c>
      <c r="J17" s="2566"/>
      <c r="K17" s="45"/>
      <c r="L17" s="122" t="s">
        <v>535</v>
      </c>
      <c r="M17" s="170"/>
      <c r="N17" s="170"/>
      <c r="O17" s="2559"/>
      <c r="P17" s="2560"/>
      <c r="Q17" s="2559"/>
      <c r="R17" s="2560"/>
      <c r="S17" s="2559">
        <v>0</v>
      </c>
      <c r="T17" s="2560"/>
    </row>
    <row r="18" spans="1:20" ht="18.600000000000001" customHeight="1" x14ac:dyDescent="0.2">
      <c r="A18" s="190" t="s">
        <v>469</v>
      </c>
      <c r="B18" s="191"/>
      <c r="C18" s="187"/>
      <c r="D18" s="170" t="s">
        <v>794</v>
      </c>
      <c r="E18" s="2576">
        <v>1</v>
      </c>
      <c r="F18" s="2577"/>
      <c r="G18" s="2559">
        <v>201747.272</v>
      </c>
      <c r="H18" s="2560">
        <v>164101.78</v>
      </c>
      <c r="I18" s="2559">
        <v>201747.272</v>
      </c>
      <c r="J18" s="2560"/>
      <c r="K18" s="45"/>
      <c r="L18" s="122" t="s">
        <v>537</v>
      </c>
      <c r="M18" s="170" t="s">
        <v>864</v>
      </c>
      <c r="N18" s="170" t="s">
        <v>857</v>
      </c>
      <c r="O18" s="2559">
        <v>6</v>
      </c>
      <c r="P18" s="2560"/>
      <c r="Q18" s="2559">
        <v>21182.835200000001</v>
      </c>
      <c r="R18" s="2560"/>
      <c r="S18" s="2559">
        <v>127097.01120000001</v>
      </c>
      <c r="T18" s="2560"/>
    </row>
    <row r="19" spans="1:20" ht="18.600000000000001" customHeight="1" x14ac:dyDescent="0.2">
      <c r="A19" s="2825" t="s">
        <v>1658</v>
      </c>
      <c r="B19" s="2826"/>
      <c r="C19" s="187"/>
      <c r="D19" s="170" t="s">
        <v>794</v>
      </c>
      <c r="E19" s="2576">
        <v>1</v>
      </c>
      <c r="F19" s="2577"/>
      <c r="G19" s="2559">
        <v>101045.75199999999</v>
      </c>
      <c r="H19" s="2560">
        <v>82191.34</v>
      </c>
      <c r="I19" s="2559">
        <v>101045.75199999999</v>
      </c>
      <c r="J19" s="2560"/>
      <c r="K19" s="45"/>
      <c r="L19" s="122" t="s">
        <v>866</v>
      </c>
      <c r="M19" s="170"/>
      <c r="N19" s="170"/>
      <c r="O19" s="2559"/>
      <c r="P19" s="2560"/>
      <c r="Q19" s="2559"/>
      <c r="R19" s="2560"/>
      <c r="S19" s="2559">
        <v>0</v>
      </c>
      <c r="T19" s="2560"/>
    </row>
    <row r="20" spans="1:20" ht="18.600000000000001" customHeight="1" x14ac:dyDescent="0.2">
      <c r="A20" s="190" t="s">
        <v>474</v>
      </c>
      <c r="B20" s="191"/>
      <c r="C20" s="187"/>
      <c r="D20" s="170"/>
      <c r="E20" s="2576"/>
      <c r="F20" s="2577"/>
      <c r="G20" s="2559"/>
      <c r="H20" s="2560"/>
      <c r="I20" s="2559">
        <v>0</v>
      </c>
      <c r="J20" s="2560"/>
      <c r="K20" s="45"/>
      <c r="L20" s="122" t="s">
        <v>869</v>
      </c>
      <c r="M20" s="170"/>
      <c r="N20" s="170"/>
      <c r="O20" s="2559"/>
      <c r="P20" s="2560"/>
      <c r="Q20" s="2559"/>
      <c r="R20" s="2560"/>
      <c r="S20" s="2559">
        <v>0</v>
      </c>
      <c r="T20" s="2560"/>
    </row>
    <row r="21" spans="1:20" ht="18.600000000000001" customHeight="1" x14ac:dyDescent="0.3">
      <c r="A21" s="190" t="s">
        <v>870</v>
      </c>
      <c r="B21" s="191"/>
      <c r="C21" s="187"/>
      <c r="D21" s="170"/>
      <c r="E21" s="2576"/>
      <c r="F21" s="2650"/>
      <c r="G21" s="2559"/>
      <c r="H21" s="2818"/>
      <c r="I21" s="2559">
        <v>0</v>
      </c>
      <c r="J21" s="2560"/>
      <c r="K21" s="45"/>
      <c r="L21" s="122" t="s">
        <v>871</v>
      </c>
      <c r="M21" s="188"/>
      <c r="N21" s="170"/>
      <c r="O21" s="2559"/>
      <c r="P21" s="2560"/>
      <c r="Q21" s="2559"/>
      <c r="R21" s="2560"/>
      <c r="S21" s="2559">
        <v>0</v>
      </c>
      <c r="T21" s="2560"/>
    </row>
    <row r="22" spans="1:20" ht="18.600000000000001" customHeight="1" x14ac:dyDescent="0.3">
      <c r="A22" s="192" t="s">
        <v>872</v>
      </c>
      <c r="B22" s="52"/>
      <c r="C22" s="187"/>
      <c r="D22" s="170"/>
      <c r="E22" s="2576"/>
      <c r="F22" s="2650"/>
      <c r="G22" s="2559"/>
      <c r="H22" s="2818"/>
      <c r="I22" s="2559">
        <v>0</v>
      </c>
      <c r="J22" s="2560"/>
      <c r="K22" s="45"/>
      <c r="L22" s="122" t="s">
        <v>595</v>
      </c>
      <c r="M22" s="188"/>
      <c r="N22" s="170"/>
      <c r="O22" s="2559"/>
      <c r="P22" s="2560"/>
      <c r="Q22" s="2559"/>
      <c r="R22" s="2560"/>
      <c r="S22" s="2559">
        <v>0</v>
      </c>
      <c r="T22" s="2560"/>
    </row>
    <row r="23" spans="1:20" ht="18.600000000000001" customHeight="1" x14ac:dyDescent="0.3">
      <c r="A23" s="190" t="s">
        <v>873</v>
      </c>
      <c r="B23" s="191"/>
      <c r="C23" s="187"/>
      <c r="D23" s="170"/>
      <c r="E23" s="2576"/>
      <c r="F23" s="2650"/>
      <c r="G23" s="2559"/>
      <c r="H23" s="2818"/>
      <c r="I23" s="2559">
        <v>0</v>
      </c>
      <c r="J23" s="2560"/>
      <c r="K23" s="45"/>
      <c r="L23" s="122" t="s">
        <v>507</v>
      </c>
      <c r="M23" s="170" t="s">
        <v>725</v>
      </c>
      <c r="N23" s="170" t="s">
        <v>497</v>
      </c>
      <c r="O23" s="2559">
        <v>50</v>
      </c>
      <c r="P23" s="2560"/>
      <c r="Q23" s="2559">
        <v>5532.8464000000004</v>
      </c>
      <c r="R23" s="2560"/>
      <c r="S23" s="2559">
        <v>276642.32</v>
      </c>
      <c r="T23" s="2560"/>
    </row>
    <row r="24" spans="1:20" ht="18.600000000000001" customHeight="1" x14ac:dyDescent="0.3">
      <c r="A24" s="190" t="s">
        <v>504</v>
      </c>
      <c r="B24" s="191"/>
      <c r="C24" s="187"/>
      <c r="D24" s="170"/>
      <c r="E24" s="2576"/>
      <c r="F24" s="2650"/>
      <c r="G24" s="2559"/>
      <c r="H24" s="2818"/>
      <c r="I24" s="2559">
        <v>0</v>
      </c>
      <c r="J24" s="2560"/>
      <c r="K24" s="45"/>
      <c r="L24" s="122" t="s">
        <v>801</v>
      </c>
      <c r="M24" s="170" t="s">
        <v>900</v>
      </c>
      <c r="N24" s="170" t="s">
        <v>497</v>
      </c>
      <c r="O24" s="2559">
        <v>1</v>
      </c>
      <c r="P24" s="2560"/>
      <c r="Q24" s="2559">
        <v>14781.212799999999</v>
      </c>
      <c r="R24" s="2560"/>
      <c r="S24" s="2559">
        <v>14781.212799999999</v>
      </c>
      <c r="T24" s="2560"/>
    </row>
    <row r="25" spans="1:20" ht="18.600000000000001" customHeight="1" x14ac:dyDescent="0.35">
      <c r="A25" s="193" t="s">
        <v>490</v>
      </c>
      <c r="B25" s="194"/>
      <c r="C25" s="187"/>
      <c r="D25" s="170"/>
      <c r="E25" s="2576"/>
      <c r="F25" s="2650"/>
      <c r="G25" s="2559"/>
      <c r="H25" s="2818"/>
      <c r="I25" s="2565">
        <v>1410000</v>
      </c>
      <c r="J25" s="2824"/>
      <c r="K25" s="45"/>
      <c r="L25" s="122" t="s">
        <v>575</v>
      </c>
      <c r="M25" s="188"/>
      <c r="N25" s="170"/>
      <c r="O25" s="2559"/>
      <c r="P25" s="2560"/>
      <c r="Q25" s="2559"/>
      <c r="R25" s="2560"/>
      <c r="S25" s="2559">
        <v>0</v>
      </c>
      <c r="T25" s="2560"/>
    </row>
    <row r="26" spans="1:20" ht="18.600000000000001" customHeight="1" x14ac:dyDescent="0.4">
      <c r="A26" s="151" t="s">
        <v>852</v>
      </c>
      <c r="B26" s="195"/>
      <c r="C26" s="187"/>
      <c r="D26" s="170" t="s">
        <v>496</v>
      </c>
      <c r="E26" s="2559">
        <v>10</v>
      </c>
      <c r="F26" s="2560"/>
      <c r="G26" s="2641">
        <v>47000</v>
      </c>
      <c r="H26" s="2642">
        <v>38202.400000000001</v>
      </c>
      <c r="I26" s="2559">
        <v>470000</v>
      </c>
      <c r="J26" s="2560"/>
      <c r="K26" s="45"/>
      <c r="L26" s="122" t="s">
        <v>874</v>
      </c>
      <c r="M26" s="188"/>
      <c r="N26" s="170"/>
      <c r="O26" s="2559"/>
      <c r="P26" s="2560"/>
      <c r="Q26" s="2559"/>
      <c r="R26" s="2560"/>
      <c r="S26" s="2559">
        <v>0</v>
      </c>
      <c r="T26" s="2560"/>
    </row>
    <row r="27" spans="1:20" ht="18.600000000000001" customHeight="1" x14ac:dyDescent="0.4">
      <c r="A27" s="151" t="s">
        <v>495</v>
      </c>
      <c r="B27" s="195"/>
      <c r="C27" s="187"/>
      <c r="D27" s="170" t="s">
        <v>496</v>
      </c>
      <c r="E27" s="2559">
        <v>4</v>
      </c>
      <c r="F27" s="2560"/>
      <c r="G27" s="2641">
        <v>47000</v>
      </c>
      <c r="H27" s="2642">
        <v>38202.400000000001</v>
      </c>
      <c r="I27" s="2559">
        <v>188000</v>
      </c>
      <c r="J27" s="2560"/>
      <c r="K27" s="45"/>
      <c r="L27" s="196" t="s">
        <v>515</v>
      </c>
      <c r="M27" s="197"/>
      <c r="N27" s="120"/>
      <c r="O27" s="2559"/>
      <c r="P27" s="2560"/>
      <c r="Q27" s="2559"/>
      <c r="R27" s="2560"/>
      <c r="S27" s="2559">
        <v>0</v>
      </c>
      <c r="T27" s="2560"/>
    </row>
    <row r="28" spans="1:20" ht="18.600000000000001" customHeight="1" x14ac:dyDescent="0.2">
      <c r="A28" s="196" t="s">
        <v>875</v>
      </c>
      <c r="B28" s="198"/>
      <c r="C28" s="187"/>
      <c r="D28" s="170"/>
      <c r="E28" s="2559"/>
      <c r="F28" s="2560"/>
      <c r="G28" s="2559"/>
      <c r="H28" s="2560"/>
      <c r="I28" s="2559">
        <v>0</v>
      </c>
      <c r="J28" s="2560"/>
      <c r="K28" s="45"/>
      <c r="L28" s="199" t="s">
        <v>876</v>
      </c>
      <c r="M28" s="53"/>
      <c r="N28" s="200"/>
      <c r="O28" s="2829">
        <v>102.4</v>
      </c>
      <c r="P28" s="2830"/>
      <c r="Q28" s="2829"/>
      <c r="R28" s="2830"/>
      <c r="S28" s="2629">
        <v>2134825.0003199996</v>
      </c>
      <c r="T28" s="2630"/>
    </row>
    <row r="29" spans="1:20" ht="18.600000000000001" customHeight="1" x14ac:dyDescent="0.2">
      <c r="A29" s="196" t="s">
        <v>877</v>
      </c>
      <c r="B29" s="198"/>
      <c r="C29" s="187"/>
      <c r="D29" s="170"/>
      <c r="E29" s="2559"/>
      <c r="F29" s="2560"/>
      <c r="G29" s="2559"/>
      <c r="H29" s="2560"/>
      <c r="I29" s="2559">
        <v>0</v>
      </c>
      <c r="J29" s="2560"/>
      <c r="K29" s="45"/>
      <c r="L29" s="144" t="s">
        <v>577</v>
      </c>
      <c r="M29" s="145"/>
      <c r="N29" s="145"/>
      <c r="O29" s="146"/>
      <c r="P29" s="146"/>
      <c r="Q29" s="146"/>
      <c r="R29" s="146"/>
      <c r="S29" s="146"/>
      <c r="T29" s="147"/>
    </row>
    <row r="30" spans="1:20" ht="18.600000000000001" customHeight="1" x14ac:dyDescent="0.4">
      <c r="A30" s="2820" t="s">
        <v>526</v>
      </c>
      <c r="B30" s="2821"/>
      <c r="C30" s="187"/>
      <c r="D30" s="170" t="s">
        <v>496</v>
      </c>
      <c r="E30" s="2559">
        <v>4</v>
      </c>
      <c r="F30" s="2560"/>
      <c r="G30" s="2641">
        <v>47000</v>
      </c>
      <c r="H30" s="2642">
        <v>38202.400000000001</v>
      </c>
      <c r="I30" s="2559">
        <v>188000</v>
      </c>
      <c r="J30" s="2560"/>
      <c r="K30" s="45"/>
      <c r="L30" s="148" t="s">
        <v>525</v>
      </c>
      <c r="M30" s="149">
        <v>0.05</v>
      </c>
      <c r="N30" s="45"/>
      <c r="O30" s="26"/>
      <c r="P30" s="26"/>
      <c r="Q30" s="26"/>
      <c r="R30" s="26"/>
      <c r="S30" s="2575">
        <v>282341.80586981552</v>
      </c>
      <c r="T30" s="2560"/>
    </row>
    <row r="31" spans="1:20" ht="18.600000000000001" customHeight="1" x14ac:dyDescent="0.3">
      <c r="A31" s="2820" t="s">
        <v>878</v>
      </c>
      <c r="B31" s="2821"/>
      <c r="C31" s="187"/>
      <c r="D31" s="170"/>
      <c r="E31" s="2576"/>
      <c r="F31" s="2650"/>
      <c r="G31" s="2559"/>
      <c r="H31" s="2818"/>
      <c r="I31" s="2559">
        <v>0</v>
      </c>
      <c r="J31" s="2560"/>
      <c r="K31" s="45"/>
      <c r="L31" s="151" t="s">
        <v>527</v>
      </c>
      <c r="M31" s="45"/>
      <c r="N31" s="45"/>
      <c r="O31" s="26"/>
      <c r="P31" s="26"/>
      <c r="Q31" s="26"/>
      <c r="R31" s="26"/>
      <c r="S31" s="2575"/>
      <c r="T31" s="2560"/>
    </row>
    <row r="32" spans="1:20" ht="18.600000000000001" customHeight="1" x14ac:dyDescent="0.3">
      <c r="A32" s="2820" t="s">
        <v>879</v>
      </c>
      <c r="B32" s="2821"/>
      <c r="C32" s="187"/>
      <c r="D32" s="170"/>
      <c r="E32" s="2576"/>
      <c r="F32" s="2650"/>
      <c r="G32" s="2559"/>
      <c r="H32" s="2818"/>
      <c r="I32" s="2559">
        <v>0</v>
      </c>
      <c r="J32" s="2560"/>
      <c r="K32" s="45"/>
      <c r="L32" s="152" t="s">
        <v>529</v>
      </c>
      <c r="M32" s="45"/>
      <c r="N32" s="45"/>
      <c r="O32" s="26"/>
      <c r="P32" s="26"/>
      <c r="Q32" s="26"/>
      <c r="R32" s="26"/>
      <c r="S32" s="2575">
        <v>469904</v>
      </c>
      <c r="T32" s="2560"/>
    </row>
    <row r="33" spans="1:20" ht="18.600000000000001" customHeight="1" x14ac:dyDescent="0.4">
      <c r="A33" s="2820" t="s">
        <v>880</v>
      </c>
      <c r="B33" s="2821"/>
      <c r="C33" s="187"/>
      <c r="D33" s="170" t="s">
        <v>496</v>
      </c>
      <c r="E33" s="2576">
        <v>8</v>
      </c>
      <c r="F33" s="2650"/>
      <c r="G33" s="2641">
        <v>47000</v>
      </c>
      <c r="H33" s="2642">
        <v>38202.400000000001</v>
      </c>
      <c r="I33" s="2559">
        <v>376000</v>
      </c>
      <c r="J33" s="2560"/>
      <c r="K33" s="45"/>
      <c r="L33" s="152" t="s">
        <v>531</v>
      </c>
      <c r="M33" s="45"/>
      <c r="N33" s="45"/>
      <c r="O33" s="26"/>
      <c r="P33" s="26"/>
      <c r="Q33" s="26"/>
      <c r="R33" s="26"/>
      <c r="S33" s="2575">
        <v>282341.80586981552</v>
      </c>
      <c r="T33" s="2560"/>
    </row>
    <row r="34" spans="1:20" ht="18.600000000000001" customHeight="1" x14ac:dyDescent="0.4">
      <c r="A34" s="196" t="s">
        <v>881</v>
      </c>
      <c r="B34" s="198"/>
      <c r="C34" s="187"/>
      <c r="D34" s="170" t="s">
        <v>496</v>
      </c>
      <c r="E34" s="2576">
        <v>2</v>
      </c>
      <c r="F34" s="2650"/>
      <c r="G34" s="2641">
        <v>47000</v>
      </c>
      <c r="H34" s="2642">
        <v>38202.400000000001</v>
      </c>
      <c r="I34" s="2559">
        <v>94000</v>
      </c>
      <c r="J34" s="2560"/>
      <c r="K34" s="45"/>
      <c r="L34" s="166" t="s">
        <v>504</v>
      </c>
      <c r="M34" s="155"/>
      <c r="N34" s="155"/>
      <c r="O34" s="167"/>
      <c r="P34" s="167"/>
      <c r="Q34" s="167"/>
      <c r="R34" s="167"/>
      <c r="S34" s="2557">
        <v>60104</v>
      </c>
      <c r="T34" s="2558"/>
    </row>
    <row r="35" spans="1:20" ht="18.600000000000001" customHeight="1" x14ac:dyDescent="0.4">
      <c r="A35" s="2820" t="s">
        <v>882</v>
      </c>
      <c r="B35" s="2821"/>
      <c r="C35" s="187"/>
      <c r="D35" s="170" t="s">
        <v>496</v>
      </c>
      <c r="E35" s="2576">
        <v>2</v>
      </c>
      <c r="F35" s="2650"/>
      <c r="G35" s="2641">
        <v>47000</v>
      </c>
      <c r="H35" s="2642">
        <v>38202.400000000001</v>
      </c>
      <c r="I35" s="2559">
        <v>94000</v>
      </c>
      <c r="J35" s="2560"/>
      <c r="K35" s="45"/>
      <c r="L35" s="156" t="s">
        <v>533</v>
      </c>
      <c r="M35" s="201"/>
      <c r="N35" s="201"/>
      <c r="O35" s="202"/>
      <c r="P35" s="202"/>
      <c r="Q35" s="158"/>
      <c r="R35" s="158"/>
      <c r="S35" s="2587">
        <v>1094691.611739631</v>
      </c>
      <c r="T35" s="2588"/>
    </row>
    <row r="36" spans="1:20" ht="18.600000000000001" customHeight="1" x14ac:dyDescent="0.3">
      <c r="A36" s="196" t="s">
        <v>504</v>
      </c>
      <c r="B36" s="198"/>
      <c r="C36" s="187"/>
      <c r="D36" s="170"/>
      <c r="E36" s="2576"/>
      <c r="F36" s="2650"/>
      <c r="G36" s="2559"/>
      <c r="H36" s="2818"/>
      <c r="I36" s="2559">
        <v>0</v>
      </c>
      <c r="J36" s="2560"/>
      <c r="K36" s="45"/>
      <c r="L36" s="159"/>
      <c r="M36" s="45"/>
      <c r="N36" s="45"/>
      <c r="O36" s="26"/>
      <c r="P36" s="26"/>
      <c r="Q36" s="26"/>
      <c r="R36" s="26"/>
      <c r="S36" s="26"/>
      <c r="T36" s="150"/>
    </row>
    <row r="37" spans="1:20" ht="18.600000000000001" customHeight="1" thickBot="1" x14ac:dyDescent="0.25">
      <c r="A37" s="203" t="s">
        <v>883</v>
      </c>
      <c r="B37" s="204"/>
      <c r="C37" s="187"/>
      <c r="D37" s="139"/>
      <c r="E37" s="2573"/>
      <c r="F37" s="2574"/>
      <c r="G37" s="2831"/>
      <c r="H37" s="2832"/>
      <c r="I37" s="2565">
        <v>1705218.0930763099</v>
      </c>
      <c r="J37" s="2566"/>
      <c r="K37" s="45"/>
      <c r="L37" s="160" t="s">
        <v>583</v>
      </c>
      <c r="M37" s="205"/>
      <c r="N37" s="205"/>
      <c r="O37" s="205"/>
      <c r="P37" s="205"/>
      <c r="Q37" s="161"/>
      <c r="R37" s="161"/>
      <c r="S37" s="2580">
        <v>6741527.7291359399</v>
      </c>
      <c r="T37" s="2581"/>
    </row>
    <row r="38" spans="1:20" ht="18.600000000000001" customHeight="1" x14ac:dyDescent="0.4">
      <c r="A38" s="196" t="s">
        <v>884</v>
      </c>
      <c r="B38" s="198"/>
      <c r="C38" s="187"/>
      <c r="D38" s="170" t="s">
        <v>496</v>
      </c>
      <c r="E38" s="2559">
        <v>12</v>
      </c>
      <c r="F38" s="2560"/>
      <c r="G38" s="2641">
        <v>47000</v>
      </c>
      <c r="H38" s="2642">
        <v>38202.400000000001</v>
      </c>
      <c r="I38" s="2559">
        <v>564000</v>
      </c>
      <c r="J38" s="2560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ht="18.600000000000001" customHeight="1" x14ac:dyDescent="0.4">
      <c r="A39" s="2820" t="s">
        <v>885</v>
      </c>
      <c r="B39" s="2821"/>
      <c r="C39" s="187"/>
      <c r="D39" s="170" t="s">
        <v>496</v>
      </c>
      <c r="E39" s="2576">
        <v>17</v>
      </c>
      <c r="F39" s="2650"/>
      <c r="G39" s="2641">
        <v>47000</v>
      </c>
      <c r="H39" s="2642">
        <v>38202.400000000001</v>
      </c>
      <c r="I39" s="2559">
        <v>799000</v>
      </c>
      <c r="J39" s="2560"/>
      <c r="K39" s="45"/>
      <c r="L39" s="7" t="s">
        <v>1528</v>
      </c>
      <c r="M39" s="8"/>
      <c r="N39" s="8"/>
      <c r="O39" s="8"/>
      <c r="P39" s="4"/>
      <c r="Q39" s="5"/>
      <c r="R39" s="9"/>
      <c r="S39" s="45"/>
      <c r="T39" s="45"/>
    </row>
    <row r="40" spans="1:20" ht="18.600000000000001" customHeight="1" x14ac:dyDescent="0.4">
      <c r="A40" s="196" t="s">
        <v>724</v>
      </c>
      <c r="B40" s="198"/>
      <c r="C40" s="187"/>
      <c r="D40" s="170" t="s">
        <v>496</v>
      </c>
      <c r="E40" s="2576">
        <v>3</v>
      </c>
      <c r="F40" s="2650"/>
      <c r="G40" s="2641">
        <v>47000</v>
      </c>
      <c r="H40" s="2642">
        <v>38202.400000000001</v>
      </c>
      <c r="I40" s="2559">
        <v>141000</v>
      </c>
      <c r="J40" s="2560"/>
      <c r="K40" s="45"/>
      <c r="L40" s="597" t="s">
        <v>1583</v>
      </c>
      <c r="M40" s="206"/>
      <c r="N40" s="206"/>
      <c r="O40" s="206"/>
      <c r="P40" s="206"/>
      <c r="Q40" s="207"/>
      <c r="R40" s="45"/>
      <c r="S40" s="45"/>
      <c r="T40" s="45"/>
    </row>
    <row r="41" spans="1:20" ht="18.600000000000001" customHeight="1" x14ac:dyDescent="0.3">
      <c r="A41" s="196" t="s">
        <v>886</v>
      </c>
      <c r="B41" s="198"/>
      <c r="C41" s="187"/>
      <c r="D41" s="170"/>
      <c r="E41" s="2576"/>
      <c r="F41" s="2650"/>
      <c r="G41" s="2559"/>
      <c r="H41" s="2818"/>
      <c r="I41" s="2559">
        <v>0</v>
      </c>
      <c r="J41" s="2560"/>
      <c r="K41" s="45"/>
      <c r="L41" s="45"/>
      <c r="M41" s="206"/>
      <c r="N41" s="206"/>
      <c r="O41" s="206"/>
      <c r="P41" s="206"/>
      <c r="Q41" s="44"/>
      <c r="R41" s="45"/>
      <c r="S41" s="45"/>
      <c r="T41" s="45"/>
    </row>
    <row r="42" spans="1:20" ht="18.600000000000001" customHeight="1" x14ac:dyDescent="0.3">
      <c r="A42" s="196" t="s">
        <v>615</v>
      </c>
      <c r="B42" s="198"/>
      <c r="C42" s="187"/>
      <c r="D42" s="170" t="s">
        <v>887</v>
      </c>
      <c r="E42" s="2833">
        <v>2.4900369003690037</v>
      </c>
      <c r="F42" s="2650"/>
      <c r="G42" s="2559">
        <v>80809.281600000002</v>
      </c>
      <c r="H42" s="2818">
        <v>65730.600000000006</v>
      </c>
      <c r="I42" s="2559">
        <v>201218.09307630998</v>
      </c>
      <c r="J42" s="2560"/>
      <c r="K42" s="45"/>
      <c r="L42" s="45"/>
      <c r="M42" s="2834"/>
      <c r="N42" s="2834"/>
      <c r="O42" s="2834"/>
      <c r="P42" s="2834"/>
      <c r="Q42" s="44"/>
      <c r="R42" s="47"/>
      <c r="S42" s="45"/>
      <c r="T42" s="45"/>
    </row>
    <row r="43" spans="1:20" ht="18.600000000000001" customHeight="1" x14ac:dyDescent="0.2">
      <c r="A43" s="151"/>
      <c r="B43" s="195"/>
      <c r="C43" s="139"/>
      <c r="D43" s="139"/>
      <c r="E43" s="2573"/>
      <c r="F43" s="2574"/>
      <c r="G43" s="2831"/>
      <c r="H43" s="2832"/>
      <c r="I43" s="2831"/>
      <c r="J43" s="2832"/>
      <c r="K43" s="45"/>
      <c r="L43" s="45"/>
      <c r="M43" s="2834"/>
      <c r="N43" s="2834"/>
      <c r="O43" s="2834"/>
      <c r="P43" s="2834"/>
      <c r="Q43" s="44"/>
      <c r="R43" s="44"/>
      <c r="S43" s="45"/>
      <c r="T43" s="45"/>
    </row>
    <row r="44" spans="1:20" ht="18.600000000000001" customHeight="1" thickBot="1" x14ac:dyDescent="0.25">
      <c r="A44" s="208" t="s">
        <v>558</v>
      </c>
      <c r="B44" s="209"/>
      <c r="C44" s="210"/>
      <c r="D44" s="211"/>
      <c r="E44" s="2561">
        <v>64</v>
      </c>
      <c r="F44" s="2562"/>
      <c r="G44" s="2563"/>
      <c r="H44" s="2564"/>
      <c r="I44" s="2561">
        <v>3512011.1170763099</v>
      </c>
      <c r="J44" s="2562"/>
      <c r="K44" s="45"/>
      <c r="L44" s="45"/>
      <c r="M44" s="2834"/>
      <c r="N44" s="2834"/>
      <c r="O44" s="2834"/>
      <c r="P44" s="2834"/>
      <c r="Q44" s="44"/>
      <c r="R44" s="45"/>
      <c r="S44" s="45"/>
      <c r="T44" s="45"/>
    </row>
    <row r="45" spans="1:20" ht="17.100000000000001" customHeight="1" x14ac:dyDescent="0.3">
      <c r="A45" s="212"/>
      <c r="B45" s="212"/>
      <c r="C45" s="213"/>
      <c r="D45" s="214"/>
      <c r="E45" s="2835"/>
      <c r="F45" s="2836"/>
      <c r="G45" s="2575"/>
      <c r="H45" s="2837"/>
      <c r="I45" s="2575"/>
      <c r="J45" s="2838"/>
      <c r="K45" s="45"/>
      <c r="L45" s="45"/>
      <c r="M45" s="45"/>
      <c r="N45" s="45"/>
      <c r="O45" s="45"/>
      <c r="P45" s="45"/>
      <c r="Q45" s="45"/>
      <c r="R45" s="44"/>
      <c r="S45" s="45"/>
      <c r="T45" s="45"/>
    </row>
    <row r="46" spans="1:20" ht="17.100000000000001" customHeight="1" x14ac:dyDescent="0.2">
      <c r="A46" s="40"/>
      <c r="B46" s="40"/>
      <c r="C46" s="45"/>
      <c r="D46" s="45"/>
      <c r="E46" s="45"/>
      <c r="F46" s="45"/>
      <c r="G46" s="42"/>
      <c r="H46" s="42"/>
      <c r="I46" s="43"/>
      <c r="J46" s="44"/>
      <c r="K46" s="45"/>
      <c r="L46" s="40"/>
      <c r="M46" s="40"/>
      <c r="N46" s="45"/>
      <c r="O46" s="45"/>
      <c r="P46" s="45"/>
      <c r="Q46" s="45"/>
      <c r="R46" s="42"/>
      <c r="S46" s="45"/>
      <c r="T46" s="45"/>
    </row>
    <row r="47" spans="1:20" ht="20.25" customHeight="1" x14ac:dyDescent="0.2">
      <c r="A47" s="2654" t="s">
        <v>1920</v>
      </c>
      <c r="B47" s="2654"/>
      <c r="C47" s="2654"/>
      <c r="D47" s="2654"/>
      <c r="E47" s="2654"/>
      <c r="F47" s="2654"/>
      <c r="G47" s="2654"/>
      <c r="H47" s="2654"/>
      <c r="I47" s="2654"/>
      <c r="J47" s="2654"/>
      <c r="K47" s="2654"/>
      <c r="L47" s="2654"/>
      <c r="M47" s="2654"/>
      <c r="N47" s="2654"/>
      <c r="O47" s="2654"/>
      <c r="P47" s="2654"/>
      <c r="Q47" s="2654"/>
      <c r="R47" s="2654"/>
      <c r="S47" s="2654"/>
      <c r="T47" s="2654"/>
    </row>
    <row r="48" spans="1:20" ht="17.100000000000001" customHeight="1" thickBot="1" x14ac:dyDescent="0.25">
      <c r="A48" s="40"/>
      <c r="B48" s="40"/>
      <c r="C48" s="45"/>
      <c r="D48" s="45"/>
      <c r="E48" s="45"/>
      <c r="F48" s="45"/>
      <c r="G48" s="42"/>
      <c r="H48" s="42"/>
      <c r="I48" s="43"/>
      <c r="J48" s="44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ht="18.600000000000001" customHeight="1" x14ac:dyDescent="0.3">
      <c r="A49" s="2612" t="s">
        <v>435</v>
      </c>
      <c r="B49" s="2613"/>
      <c r="C49" s="2618" t="s">
        <v>436</v>
      </c>
      <c r="D49" s="2619"/>
      <c r="E49" s="2619"/>
      <c r="F49" s="2620"/>
      <c r="G49" s="2624" t="s">
        <v>437</v>
      </c>
      <c r="H49" s="2625"/>
      <c r="I49" s="2624" t="s">
        <v>438</v>
      </c>
      <c r="J49" s="2625"/>
      <c r="K49" s="45"/>
      <c r="L49" s="2626" t="s">
        <v>435</v>
      </c>
      <c r="M49" s="2619" t="s">
        <v>436</v>
      </c>
      <c r="N49" s="2619"/>
      <c r="O49" s="2619"/>
      <c r="P49" s="2620"/>
      <c r="Q49" s="2624" t="s">
        <v>437</v>
      </c>
      <c r="R49" s="2625"/>
      <c r="S49" s="2618" t="s">
        <v>439</v>
      </c>
      <c r="T49" s="2649"/>
    </row>
    <row r="50" spans="1:20" ht="18.600000000000001" customHeight="1" thickBot="1" x14ac:dyDescent="0.35">
      <c r="A50" s="2614"/>
      <c r="B50" s="2615"/>
      <c r="C50" s="2621"/>
      <c r="D50" s="2622"/>
      <c r="E50" s="2622"/>
      <c r="F50" s="2623"/>
      <c r="G50" s="2629" t="s">
        <v>440</v>
      </c>
      <c r="H50" s="2630"/>
      <c r="I50" s="2629"/>
      <c r="J50" s="2630"/>
      <c r="K50" s="45"/>
      <c r="L50" s="2627"/>
      <c r="M50" s="2622"/>
      <c r="N50" s="2622"/>
      <c r="O50" s="2622"/>
      <c r="P50" s="2623"/>
      <c r="Q50" s="2629" t="s">
        <v>440</v>
      </c>
      <c r="R50" s="2630"/>
      <c r="S50" s="2631" t="s">
        <v>348</v>
      </c>
      <c r="T50" s="2650"/>
    </row>
    <row r="51" spans="1:20" ht="18.600000000000001" customHeight="1" x14ac:dyDescent="0.2">
      <c r="A51" s="2614"/>
      <c r="B51" s="2615"/>
      <c r="C51" s="53" t="s">
        <v>441</v>
      </c>
      <c r="D51" s="2670" t="s">
        <v>442</v>
      </c>
      <c r="E51" s="2631" t="s">
        <v>443</v>
      </c>
      <c r="F51" s="2632"/>
      <c r="G51" s="2629" t="s">
        <v>444</v>
      </c>
      <c r="H51" s="2630"/>
      <c r="I51" s="2629" t="s">
        <v>348</v>
      </c>
      <c r="J51" s="2630"/>
      <c r="K51" s="45"/>
      <c r="L51" s="2627"/>
      <c r="M51" s="51" t="s">
        <v>441</v>
      </c>
      <c r="N51" s="2670" t="s">
        <v>442</v>
      </c>
      <c r="O51" s="2631" t="s">
        <v>443</v>
      </c>
      <c r="P51" s="2632"/>
      <c r="Q51" s="2629" t="s">
        <v>444</v>
      </c>
      <c r="R51" s="2630"/>
      <c r="S51" s="2631"/>
      <c r="T51" s="2650"/>
    </row>
    <row r="52" spans="1:20" ht="18.600000000000001" customHeight="1" thickBot="1" x14ac:dyDescent="0.25">
      <c r="A52" s="2616"/>
      <c r="B52" s="2617"/>
      <c r="C52" s="54" t="s">
        <v>445</v>
      </c>
      <c r="D52" s="2634"/>
      <c r="E52" s="2621"/>
      <c r="F52" s="2623"/>
      <c r="G52" s="2561"/>
      <c r="H52" s="2562"/>
      <c r="I52" s="2561"/>
      <c r="J52" s="2562"/>
      <c r="K52" s="45"/>
      <c r="L52" s="2628"/>
      <c r="M52" s="50" t="s">
        <v>445</v>
      </c>
      <c r="N52" s="2634"/>
      <c r="O52" s="2621"/>
      <c r="P52" s="2623"/>
      <c r="Q52" s="2561"/>
      <c r="R52" s="2562"/>
      <c r="S52" s="2652"/>
      <c r="T52" s="2653"/>
    </row>
    <row r="53" spans="1:20" ht="18.600000000000001" customHeight="1" x14ac:dyDescent="0.3">
      <c r="A53" s="182" t="s">
        <v>446</v>
      </c>
      <c r="B53" s="183"/>
      <c r="C53" s="184"/>
      <c r="D53" s="170"/>
      <c r="E53" s="2576"/>
      <c r="F53" s="2650"/>
      <c r="G53" s="2559"/>
      <c r="H53" s="2818"/>
      <c r="I53" s="2559"/>
      <c r="J53" s="2819"/>
      <c r="K53" s="45"/>
      <c r="L53" s="119" t="s">
        <v>447</v>
      </c>
      <c r="M53" s="185"/>
      <c r="N53" s="186"/>
      <c r="O53" s="2605"/>
      <c r="P53" s="2606"/>
      <c r="Q53" s="2605"/>
      <c r="R53" s="2606"/>
      <c r="S53" s="2605"/>
      <c r="T53" s="2606"/>
    </row>
    <row r="54" spans="1:20" ht="18.600000000000001" customHeight="1" x14ac:dyDescent="0.35">
      <c r="A54" s="2822" t="s">
        <v>848</v>
      </c>
      <c r="B54" s="2823"/>
      <c r="C54" s="187"/>
      <c r="D54" s="170"/>
      <c r="E54" s="2576"/>
      <c r="F54" s="2650"/>
      <c r="G54" s="2559"/>
      <c r="H54" s="2818"/>
      <c r="I54" s="2565">
        <v>0</v>
      </c>
      <c r="J54" s="2824"/>
      <c r="K54" s="45"/>
      <c r="L54" s="122"/>
      <c r="M54" s="188"/>
      <c r="N54" s="170"/>
      <c r="O54" s="2559"/>
      <c r="P54" s="2560"/>
      <c r="Q54" s="2559"/>
      <c r="R54" s="2560"/>
      <c r="S54" s="2559"/>
      <c r="T54" s="2560"/>
    </row>
    <row r="55" spans="1:20" ht="18.600000000000001" customHeight="1" x14ac:dyDescent="0.3">
      <c r="A55" s="2820" t="s">
        <v>849</v>
      </c>
      <c r="B55" s="2821"/>
      <c r="C55" s="187"/>
      <c r="D55" s="170"/>
      <c r="E55" s="2576"/>
      <c r="F55" s="2650"/>
      <c r="G55" s="2559"/>
      <c r="H55" s="2818"/>
      <c r="I55" s="2559">
        <v>0</v>
      </c>
      <c r="J55" s="2560"/>
      <c r="K55" s="45"/>
      <c r="L55" s="122" t="s">
        <v>450</v>
      </c>
      <c r="M55" s="170" t="s">
        <v>850</v>
      </c>
      <c r="N55" s="170" t="s">
        <v>497</v>
      </c>
      <c r="O55" s="2559">
        <v>10000</v>
      </c>
      <c r="P55" s="2560"/>
      <c r="Q55" s="2559">
        <v>621.80319999999995</v>
      </c>
      <c r="R55" s="2560"/>
      <c r="S55" s="2559">
        <v>6218031.9999999991</v>
      </c>
      <c r="T55" s="2560"/>
    </row>
    <row r="56" spans="1:20" ht="18.600000000000001" customHeight="1" x14ac:dyDescent="0.3">
      <c r="A56" s="148" t="s">
        <v>852</v>
      </c>
      <c r="B56" s="189"/>
      <c r="C56" s="187"/>
      <c r="D56" s="170"/>
      <c r="E56" s="2576"/>
      <c r="F56" s="2650"/>
      <c r="G56" s="2559"/>
      <c r="H56" s="2818"/>
      <c r="I56" s="2559">
        <v>0</v>
      </c>
      <c r="J56" s="2560"/>
      <c r="K56" s="45"/>
      <c r="L56" s="122" t="s">
        <v>853</v>
      </c>
      <c r="M56" s="188"/>
      <c r="N56" s="170"/>
      <c r="O56" s="2559"/>
      <c r="P56" s="2560"/>
      <c r="Q56" s="2559"/>
      <c r="R56" s="2560"/>
      <c r="S56" s="2559">
        <v>0</v>
      </c>
      <c r="T56" s="2560"/>
    </row>
    <row r="57" spans="1:20" ht="18.600000000000001" customHeight="1" x14ac:dyDescent="0.2">
      <c r="A57" s="2820" t="s">
        <v>854</v>
      </c>
      <c r="B57" s="2821"/>
      <c r="C57" s="187"/>
      <c r="D57" s="170"/>
      <c r="E57" s="2576"/>
      <c r="F57" s="2577"/>
      <c r="G57" s="2559"/>
      <c r="H57" s="2560"/>
      <c r="I57" s="2559">
        <v>0</v>
      </c>
      <c r="J57" s="2560"/>
      <c r="K57" s="45"/>
      <c r="L57" s="122" t="s">
        <v>855</v>
      </c>
      <c r="M57" s="170"/>
      <c r="N57" s="170"/>
      <c r="O57" s="2559"/>
      <c r="P57" s="2560"/>
      <c r="Q57" s="2559"/>
      <c r="R57" s="2560"/>
      <c r="S57" s="2559">
        <v>0</v>
      </c>
      <c r="T57" s="2560"/>
    </row>
    <row r="58" spans="1:20" ht="18.600000000000001" customHeight="1" x14ac:dyDescent="0.2">
      <c r="A58" s="2820" t="s">
        <v>858</v>
      </c>
      <c r="B58" s="2821"/>
      <c r="C58" s="187"/>
      <c r="D58" s="170"/>
      <c r="E58" s="2576"/>
      <c r="F58" s="2577"/>
      <c r="G58" s="2559"/>
      <c r="H58" s="2560"/>
      <c r="I58" s="2559">
        <v>0</v>
      </c>
      <c r="J58" s="2560"/>
      <c r="K58" s="45"/>
      <c r="L58" s="122" t="s">
        <v>859</v>
      </c>
      <c r="M58" s="170"/>
      <c r="N58" s="170"/>
      <c r="O58" s="2559"/>
      <c r="P58" s="2560"/>
      <c r="Q58" s="2559"/>
      <c r="R58" s="2560"/>
      <c r="S58" s="2559">
        <v>0</v>
      </c>
      <c r="T58" s="2560"/>
    </row>
    <row r="59" spans="1:20" ht="18.600000000000001" customHeight="1" x14ac:dyDescent="0.2">
      <c r="A59" s="2820" t="s">
        <v>860</v>
      </c>
      <c r="B59" s="2821"/>
      <c r="C59" s="187"/>
      <c r="D59" s="170"/>
      <c r="E59" s="2576"/>
      <c r="F59" s="2577"/>
      <c r="G59" s="2559"/>
      <c r="H59" s="2560"/>
      <c r="I59" s="2559">
        <v>0</v>
      </c>
      <c r="J59" s="2560"/>
      <c r="K59" s="45"/>
      <c r="L59" s="122" t="s">
        <v>861</v>
      </c>
      <c r="M59" s="170"/>
      <c r="N59" s="170"/>
      <c r="O59" s="2559"/>
      <c r="P59" s="2560"/>
      <c r="Q59" s="2559"/>
      <c r="R59" s="2560"/>
      <c r="S59" s="2559">
        <v>0</v>
      </c>
      <c r="T59" s="2560"/>
    </row>
    <row r="60" spans="1:20" ht="18.600000000000001" customHeight="1" x14ac:dyDescent="0.2">
      <c r="A60" s="2820" t="s">
        <v>862</v>
      </c>
      <c r="B60" s="2821"/>
      <c r="C60" s="187"/>
      <c r="D60" s="170"/>
      <c r="E60" s="2576"/>
      <c r="F60" s="2577"/>
      <c r="G60" s="2559"/>
      <c r="H60" s="2560"/>
      <c r="I60" s="2559">
        <v>0</v>
      </c>
      <c r="J60" s="2560"/>
      <c r="K60" s="45"/>
      <c r="L60" s="122" t="s">
        <v>863</v>
      </c>
      <c r="M60" s="170"/>
      <c r="N60" s="170"/>
      <c r="O60" s="2559"/>
      <c r="P60" s="2560"/>
      <c r="Q60" s="2559"/>
      <c r="R60" s="2560"/>
      <c r="S60" s="2559">
        <v>0</v>
      </c>
      <c r="T60" s="2560"/>
    </row>
    <row r="61" spans="1:20" ht="18.600000000000001" customHeight="1" x14ac:dyDescent="0.2">
      <c r="A61" s="148" t="s">
        <v>504</v>
      </c>
      <c r="B61" s="189"/>
      <c r="C61" s="187"/>
      <c r="D61" s="170"/>
      <c r="E61" s="2576"/>
      <c r="F61" s="2577"/>
      <c r="G61" s="2559"/>
      <c r="H61" s="2560"/>
      <c r="I61" s="2559">
        <v>0</v>
      </c>
      <c r="J61" s="2560"/>
      <c r="K61" s="45"/>
      <c r="L61" s="122" t="s">
        <v>534</v>
      </c>
      <c r="M61" s="170"/>
      <c r="N61" s="170"/>
      <c r="O61" s="2559"/>
      <c r="P61" s="2560"/>
      <c r="Q61" s="2559"/>
      <c r="R61" s="2560"/>
      <c r="S61" s="2559">
        <v>0</v>
      </c>
      <c r="T61" s="2560"/>
    </row>
    <row r="62" spans="1:20" ht="18.600000000000001" customHeight="1" x14ac:dyDescent="0.2">
      <c r="A62" s="2827" t="s">
        <v>560</v>
      </c>
      <c r="B62" s="2828"/>
      <c r="C62" s="187"/>
      <c r="D62" s="170"/>
      <c r="E62" s="2576"/>
      <c r="F62" s="2577"/>
      <c r="G62" s="2559"/>
      <c r="H62" s="2560"/>
      <c r="I62" s="2565">
        <v>470000</v>
      </c>
      <c r="J62" s="2566"/>
      <c r="K62" s="45"/>
      <c r="L62" s="122" t="s">
        <v>535</v>
      </c>
      <c r="M62" s="170" t="s">
        <v>590</v>
      </c>
      <c r="N62" s="170" t="s">
        <v>460</v>
      </c>
      <c r="O62" s="2559">
        <v>3</v>
      </c>
      <c r="P62" s="2560"/>
      <c r="Q62" s="2559">
        <v>223254</v>
      </c>
      <c r="R62" s="2560"/>
      <c r="S62" s="2559">
        <v>669762</v>
      </c>
      <c r="T62" s="2560"/>
    </row>
    <row r="63" spans="1:20" ht="18.600000000000001" customHeight="1" x14ac:dyDescent="0.4">
      <c r="A63" s="190" t="s">
        <v>469</v>
      </c>
      <c r="B63" s="191"/>
      <c r="C63" s="120" t="s">
        <v>496</v>
      </c>
      <c r="D63" s="170" t="s">
        <v>497</v>
      </c>
      <c r="E63" s="2576">
        <v>10</v>
      </c>
      <c r="F63" s="2577"/>
      <c r="G63" s="2641">
        <v>47000</v>
      </c>
      <c r="H63" s="2642">
        <v>38202.400000000001</v>
      </c>
      <c r="I63" s="2559">
        <v>470000</v>
      </c>
      <c r="J63" s="2560"/>
      <c r="K63" s="45"/>
      <c r="L63" s="122" t="s">
        <v>537</v>
      </c>
      <c r="M63" s="170" t="s">
        <v>864</v>
      </c>
      <c r="N63" s="170" t="s">
        <v>857</v>
      </c>
      <c r="O63" s="2559">
        <v>6</v>
      </c>
      <c r="P63" s="2560"/>
      <c r="Q63" s="2559">
        <v>21182.835200000001</v>
      </c>
      <c r="R63" s="2560"/>
      <c r="S63" s="2559">
        <v>127097.01120000001</v>
      </c>
      <c r="T63" s="2560"/>
    </row>
    <row r="64" spans="1:20" ht="18.600000000000001" customHeight="1" x14ac:dyDescent="0.2">
      <c r="A64" s="2825" t="s">
        <v>865</v>
      </c>
      <c r="B64" s="2826"/>
      <c r="C64" s="187"/>
      <c r="D64" s="170"/>
      <c r="E64" s="2576"/>
      <c r="F64" s="2577"/>
      <c r="G64" s="2559"/>
      <c r="H64" s="2560"/>
      <c r="I64" s="2559">
        <v>0</v>
      </c>
      <c r="J64" s="2560"/>
      <c r="K64" s="45"/>
      <c r="L64" s="122" t="s">
        <v>866</v>
      </c>
      <c r="M64" s="170"/>
      <c r="N64" s="170"/>
      <c r="O64" s="2559"/>
      <c r="P64" s="2560"/>
      <c r="Q64" s="2559"/>
      <c r="R64" s="2560"/>
      <c r="S64" s="2559">
        <v>0</v>
      </c>
      <c r="T64" s="2560"/>
    </row>
    <row r="65" spans="1:20" ht="18.600000000000001" customHeight="1" x14ac:dyDescent="0.2">
      <c r="A65" s="190" t="s">
        <v>474</v>
      </c>
      <c r="B65" s="191"/>
      <c r="C65" s="187"/>
      <c r="D65" s="170"/>
      <c r="E65" s="2576"/>
      <c r="F65" s="2577"/>
      <c r="G65" s="2559"/>
      <c r="H65" s="2560"/>
      <c r="I65" s="2559">
        <v>0</v>
      </c>
      <c r="J65" s="2560"/>
      <c r="K65" s="45"/>
      <c r="L65" s="122" t="s">
        <v>869</v>
      </c>
      <c r="M65" s="170"/>
      <c r="N65" s="170"/>
      <c r="O65" s="2559"/>
      <c r="P65" s="2560"/>
      <c r="Q65" s="2559"/>
      <c r="R65" s="2560"/>
      <c r="S65" s="2559">
        <v>0</v>
      </c>
      <c r="T65" s="2560"/>
    </row>
    <row r="66" spans="1:20" ht="18.600000000000001" customHeight="1" x14ac:dyDescent="0.3">
      <c r="A66" s="190" t="s">
        <v>870</v>
      </c>
      <c r="B66" s="191"/>
      <c r="C66" s="187"/>
      <c r="D66" s="170"/>
      <c r="E66" s="2576"/>
      <c r="F66" s="2650"/>
      <c r="G66" s="2559"/>
      <c r="H66" s="2818"/>
      <c r="I66" s="2559">
        <v>0</v>
      </c>
      <c r="J66" s="2560"/>
      <c r="K66" s="45"/>
      <c r="L66" s="122" t="s">
        <v>871</v>
      </c>
      <c r="M66" s="188"/>
      <c r="N66" s="170"/>
      <c r="O66" s="2559"/>
      <c r="P66" s="2560"/>
      <c r="Q66" s="2559"/>
      <c r="R66" s="2560"/>
      <c r="S66" s="2559">
        <v>0</v>
      </c>
      <c r="T66" s="2560"/>
    </row>
    <row r="67" spans="1:20" ht="18.600000000000001" customHeight="1" x14ac:dyDescent="0.3">
      <c r="A67" s="192" t="s">
        <v>872</v>
      </c>
      <c r="B67" s="52"/>
      <c r="C67" s="187"/>
      <c r="D67" s="170"/>
      <c r="E67" s="2576"/>
      <c r="F67" s="2650"/>
      <c r="G67" s="2559"/>
      <c r="H67" s="2818"/>
      <c r="I67" s="2559">
        <v>0</v>
      </c>
      <c r="J67" s="2560"/>
      <c r="K67" s="45"/>
      <c r="L67" s="122" t="s">
        <v>595</v>
      </c>
      <c r="M67" s="188"/>
      <c r="N67" s="170"/>
      <c r="O67" s="2559"/>
      <c r="P67" s="2560"/>
      <c r="Q67" s="2559"/>
      <c r="R67" s="2560"/>
      <c r="S67" s="2559">
        <v>0</v>
      </c>
      <c r="T67" s="2560"/>
    </row>
    <row r="68" spans="1:20" ht="18.600000000000001" customHeight="1" x14ac:dyDescent="0.3">
      <c r="A68" s="190" t="s">
        <v>873</v>
      </c>
      <c r="B68" s="191"/>
      <c r="C68" s="187"/>
      <c r="D68" s="170"/>
      <c r="E68" s="2576"/>
      <c r="F68" s="2650"/>
      <c r="G68" s="2559"/>
      <c r="H68" s="2818"/>
      <c r="I68" s="2559">
        <v>0</v>
      </c>
      <c r="J68" s="2560"/>
      <c r="K68" s="45"/>
      <c r="L68" s="122" t="s">
        <v>507</v>
      </c>
      <c r="M68" s="170" t="s">
        <v>596</v>
      </c>
      <c r="N68" s="170" t="s">
        <v>497</v>
      </c>
      <c r="O68" s="2559">
        <v>110</v>
      </c>
      <c r="P68" s="2560"/>
      <c r="Q68" s="2559">
        <v>5163.4799999999996</v>
      </c>
      <c r="R68" s="2560"/>
      <c r="S68" s="2559">
        <v>567982.79999999993</v>
      </c>
      <c r="T68" s="2560"/>
    </row>
    <row r="69" spans="1:20" ht="18.600000000000001" customHeight="1" x14ac:dyDescent="0.3">
      <c r="A69" s="190" t="s">
        <v>504</v>
      </c>
      <c r="B69" s="191"/>
      <c r="C69" s="187"/>
      <c r="D69" s="170"/>
      <c r="E69" s="2576"/>
      <c r="F69" s="2650"/>
      <c r="G69" s="2559"/>
      <c r="H69" s="2818"/>
      <c r="I69" s="2559">
        <v>0</v>
      </c>
      <c r="J69" s="2560"/>
      <c r="K69" s="45"/>
      <c r="L69" s="122" t="s">
        <v>801</v>
      </c>
      <c r="M69" s="170" t="s">
        <v>599</v>
      </c>
      <c r="N69" s="170" t="s">
        <v>497</v>
      </c>
      <c r="O69" s="2559">
        <v>1</v>
      </c>
      <c r="P69" s="2560"/>
      <c r="Q69" s="2559">
        <v>14781.212799999999</v>
      </c>
      <c r="R69" s="2560"/>
      <c r="S69" s="2559">
        <v>14781.212799999999</v>
      </c>
      <c r="T69" s="2560"/>
    </row>
    <row r="70" spans="1:20" ht="18.600000000000001" customHeight="1" x14ac:dyDescent="0.35">
      <c r="A70" s="193" t="s">
        <v>490</v>
      </c>
      <c r="B70" s="194"/>
      <c r="C70" s="187"/>
      <c r="D70" s="170"/>
      <c r="E70" s="2576"/>
      <c r="F70" s="2650"/>
      <c r="G70" s="2559"/>
      <c r="H70" s="2818"/>
      <c r="I70" s="2565">
        <v>940000</v>
      </c>
      <c r="J70" s="2824"/>
      <c r="K70" s="45"/>
      <c r="L70" s="122" t="s">
        <v>575</v>
      </c>
      <c r="M70" s="188"/>
      <c r="N70" s="170"/>
      <c r="O70" s="2559"/>
      <c r="P70" s="2560"/>
      <c r="Q70" s="2559"/>
      <c r="R70" s="2560"/>
      <c r="S70" s="2559">
        <v>0</v>
      </c>
      <c r="T70" s="2560"/>
    </row>
    <row r="71" spans="1:20" ht="18.600000000000001" customHeight="1" x14ac:dyDescent="0.4">
      <c r="A71" s="151" t="s">
        <v>888</v>
      </c>
      <c r="B71" s="195"/>
      <c r="C71" s="120" t="s">
        <v>496</v>
      </c>
      <c r="D71" s="170" t="s">
        <v>497</v>
      </c>
      <c r="E71" s="2559">
        <v>6</v>
      </c>
      <c r="F71" s="2560"/>
      <c r="G71" s="2641">
        <v>47000</v>
      </c>
      <c r="H71" s="2642">
        <v>38202.400000000001</v>
      </c>
      <c r="I71" s="2559">
        <v>282000</v>
      </c>
      <c r="J71" s="2560"/>
      <c r="K71" s="45"/>
      <c r="L71" s="122" t="s">
        <v>874</v>
      </c>
      <c r="M71" s="188"/>
      <c r="N71" s="170"/>
      <c r="O71" s="2559"/>
      <c r="P71" s="2560"/>
      <c r="Q71" s="2559"/>
      <c r="R71" s="2560"/>
      <c r="S71" s="2559">
        <v>0</v>
      </c>
      <c r="T71" s="2560"/>
    </row>
    <row r="72" spans="1:20" ht="18.600000000000001" customHeight="1" x14ac:dyDescent="0.4">
      <c r="A72" s="151" t="s">
        <v>495</v>
      </c>
      <c r="B72" s="195"/>
      <c r="C72" s="120" t="s">
        <v>496</v>
      </c>
      <c r="D72" s="170" t="s">
        <v>497</v>
      </c>
      <c r="E72" s="2559">
        <v>2</v>
      </c>
      <c r="F72" s="2560"/>
      <c r="G72" s="2641">
        <v>47000</v>
      </c>
      <c r="H72" s="2642">
        <v>38202.400000000001</v>
      </c>
      <c r="I72" s="2559">
        <v>94000</v>
      </c>
      <c r="J72" s="2560"/>
      <c r="K72" s="45"/>
      <c r="L72" s="196" t="s">
        <v>515</v>
      </c>
      <c r="M72" s="197"/>
      <c r="N72" s="120"/>
      <c r="O72" s="2559"/>
      <c r="P72" s="2560"/>
      <c r="Q72" s="2559"/>
      <c r="R72" s="2560"/>
      <c r="S72" s="2559">
        <v>0</v>
      </c>
      <c r="T72" s="2560"/>
    </row>
    <row r="73" spans="1:20" ht="18.600000000000001" customHeight="1" x14ac:dyDescent="0.2">
      <c r="A73" s="196" t="s">
        <v>875</v>
      </c>
      <c r="B73" s="198"/>
      <c r="C73" s="187"/>
      <c r="D73" s="170"/>
      <c r="E73" s="2559"/>
      <c r="F73" s="2560"/>
      <c r="G73" s="2559"/>
      <c r="H73" s="2560"/>
      <c r="I73" s="2559">
        <v>0</v>
      </c>
      <c r="J73" s="2560"/>
      <c r="K73" s="45"/>
      <c r="L73" s="199" t="s">
        <v>876</v>
      </c>
      <c r="M73" s="53"/>
      <c r="N73" s="200"/>
      <c r="O73" s="2829"/>
      <c r="P73" s="2830"/>
      <c r="Q73" s="2829"/>
      <c r="R73" s="2830"/>
      <c r="S73" s="2629">
        <v>7597655.0239999983</v>
      </c>
      <c r="T73" s="2630"/>
    </row>
    <row r="74" spans="1:20" ht="18.600000000000001" customHeight="1" x14ac:dyDescent="0.2">
      <c r="A74" s="196" t="s">
        <v>877</v>
      </c>
      <c r="B74" s="198"/>
      <c r="C74" s="187"/>
      <c r="D74" s="170"/>
      <c r="E74" s="2559"/>
      <c r="F74" s="2560"/>
      <c r="G74" s="2559"/>
      <c r="H74" s="2560"/>
      <c r="I74" s="2559">
        <v>0</v>
      </c>
      <c r="J74" s="2560"/>
      <c r="K74" s="45"/>
      <c r="L74" s="144" t="s">
        <v>577</v>
      </c>
      <c r="M74" s="145"/>
      <c r="N74" s="145"/>
      <c r="O74" s="146"/>
      <c r="P74" s="146"/>
      <c r="Q74" s="146"/>
      <c r="R74" s="146"/>
      <c r="S74" s="146"/>
      <c r="T74" s="147"/>
    </row>
    <row r="75" spans="1:20" ht="18.600000000000001" customHeight="1" x14ac:dyDescent="0.4">
      <c r="A75" s="2820" t="s">
        <v>526</v>
      </c>
      <c r="B75" s="2821"/>
      <c r="C75" s="120" t="s">
        <v>496</v>
      </c>
      <c r="D75" s="170" t="s">
        <v>497</v>
      </c>
      <c r="E75" s="2559">
        <v>8</v>
      </c>
      <c r="F75" s="2560"/>
      <c r="G75" s="2641">
        <v>47000</v>
      </c>
      <c r="H75" s="2642">
        <v>38202.400000000001</v>
      </c>
      <c r="I75" s="2559">
        <v>376000</v>
      </c>
      <c r="J75" s="2560"/>
      <c r="K75" s="45"/>
      <c r="L75" s="148" t="s">
        <v>525</v>
      </c>
      <c r="M75" s="149">
        <v>0.05</v>
      </c>
      <c r="N75" s="45"/>
      <c r="O75" s="26"/>
      <c r="P75" s="26"/>
      <c r="Q75" s="26"/>
      <c r="R75" s="26"/>
      <c r="S75" s="2575">
        <v>510964.34696</v>
      </c>
      <c r="T75" s="2560"/>
    </row>
    <row r="76" spans="1:20" ht="18.600000000000001" customHeight="1" x14ac:dyDescent="0.3">
      <c r="A76" s="2820" t="s">
        <v>878</v>
      </c>
      <c r="B76" s="2821"/>
      <c r="C76" s="187"/>
      <c r="D76" s="170"/>
      <c r="E76" s="2576"/>
      <c r="F76" s="2650"/>
      <c r="G76" s="2559"/>
      <c r="H76" s="2818"/>
      <c r="I76" s="2559">
        <v>0</v>
      </c>
      <c r="J76" s="2560"/>
      <c r="K76" s="45"/>
      <c r="L76" s="151" t="s">
        <v>527</v>
      </c>
      <c r="M76" s="45"/>
      <c r="N76" s="45"/>
      <c r="O76" s="26"/>
      <c r="P76" s="26"/>
      <c r="Q76" s="26"/>
      <c r="R76" s="26"/>
      <c r="S76" s="2575"/>
      <c r="T76" s="2560"/>
    </row>
    <row r="77" spans="1:20" ht="18.600000000000001" customHeight="1" x14ac:dyDescent="0.3">
      <c r="A77" s="2820" t="s">
        <v>879</v>
      </c>
      <c r="B77" s="2821"/>
      <c r="C77" s="187"/>
      <c r="D77" s="170"/>
      <c r="E77" s="2576"/>
      <c r="F77" s="2650"/>
      <c r="G77" s="2559"/>
      <c r="H77" s="2818"/>
      <c r="I77" s="2559">
        <v>0</v>
      </c>
      <c r="J77" s="2560"/>
      <c r="K77" s="45"/>
      <c r="L77" s="152" t="s">
        <v>529</v>
      </c>
      <c r="M77" s="45"/>
      <c r="N77" s="45"/>
      <c r="O77" s="26"/>
      <c r="P77" s="26"/>
      <c r="Q77" s="26"/>
      <c r="R77" s="26"/>
      <c r="S77" s="2575">
        <v>382480</v>
      </c>
      <c r="T77" s="2560"/>
    </row>
    <row r="78" spans="1:20" ht="18.600000000000001" customHeight="1" x14ac:dyDescent="0.4">
      <c r="A78" s="2820" t="s">
        <v>880</v>
      </c>
      <c r="B78" s="2821"/>
      <c r="C78" s="120" t="s">
        <v>496</v>
      </c>
      <c r="D78" s="170" t="s">
        <v>497</v>
      </c>
      <c r="E78" s="2576">
        <v>4</v>
      </c>
      <c r="F78" s="2650"/>
      <c r="G78" s="2641">
        <v>47000</v>
      </c>
      <c r="H78" s="2642">
        <v>38202.400000000001</v>
      </c>
      <c r="I78" s="2559">
        <v>188000</v>
      </c>
      <c r="J78" s="2560"/>
      <c r="K78" s="45"/>
      <c r="L78" s="152" t="s">
        <v>531</v>
      </c>
      <c r="M78" s="45"/>
      <c r="N78" s="45"/>
      <c r="O78" s="26"/>
      <c r="P78" s="26"/>
      <c r="Q78" s="26"/>
      <c r="R78" s="26"/>
      <c r="S78" s="2575">
        <v>510964.34696</v>
      </c>
      <c r="T78" s="2560"/>
    </row>
    <row r="79" spans="1:20" ht="18.600000000000001" customHeight="1" x14ac:dyDescent="0.3">
      <c r="A79" s="196" t="s">
        <v>881</v>
      </c>
      <c r="B79" s="198"/>
      <c r="C79" s="187"/>
      <c r="D79" s="170"/>
      <c r="E79" s="2576"/>
      <c r="F79" s="2650"/>
      <c r="G79" s="2559"/>
      <c r="H79" s="2560"/>
      <c r="I79" s="2559">
        <v>0</v>
      </c>
      <c r="J79" s="2560"/>
      <c r="K79" s="45"/>
      <c r="L79" s="166" t="s">
        <v>504</v>
      </c>
      <c r="M79" s="155"/>
      <c r="N79" s="155"/>
      <c r="O79" s="167"/>
      <c r="P79" s="167"/>
      <c r="Q79" s="167"/>
      <c r="R79" s="167"/>
      <c r="S79" s="2557">
        <v>65568</v>
      </c>
      <c r="T79" s="2558"/>
    </row>
    <row r="80" spans="1:20" ht="18.600000000000001" customHeight="1" x14ac:dyDescent="0.3">
      <c r="A80" s="2820" t="s">
        <v>882</v>
      </c>
      <c r="B80" s="2821"/>
      <c r="C80" s="187"/>
      <c r="D80" s="170"/>
      <c r="E80" s="2576"/>
      <c r="F80" s="2650"/>
      <c r="G80" s="2559"/>
      <c r="H80" s="2818"/>
      <c r="I80" s="2559">
        <v>0</v>
      </c>
      <c r="J80" s="2560"/>
      <c r="K80" s="45"/>
      <c r="L80" s="156" t="s">
        <v>533</v>
      </c>
      <c r="M80" s="201"/>
      <c r="N80" s="201"/>
      <c r="O80" s="202"/>
      <c r="P80" s="202"/>
      <c r="Q80" s="158"/>
      <c r="R80" s="158"/>
      <c r="S80" s="2587">
        <v>1469976.69392</v>
      </c>
      <c r="T80" s="2588"/>
    </row>
    <row r="81" spans="1:20" ht="18.600000000000001" customHeight="1" x14ac:dyDescent="0.3">
      <c r="A81" s="196" t="s">
        <v>504</v>
      </c>
      <c r="B81" s="198"/>
      <c r="C81" s="187"/>
      <c r="D81" s="170"/>
      <c r="E81" s="2576"/>
      <c r="F81" s="2650"/>
      <c r="G81" s="2559"/>
      <c r="H81" s="2818"/>
      <c r="I81" s="2559">
        <v>0</v>
      </c>
      <c r="J81" s="2560"/>
      <c r="K81" s="45"/>
      <c r="L81" s="159"/>
      <c r="M81" s="45"/>
      <c r="N81" s="45"/>
      <c r="O81" s="26"/>
      <c r="P81" s="26"/>
      <c r="Q81" s="26"/>
      <c r="R81" s="26"/>
      <c r="S81" s="26"/>
      <c r="T81" s="150"/>
    </row>
    <row r="82" spans="1:20" ht="18.600000000000001" customHeight="1" thickBot="1" x14ac:dyDescent="0.25">
      <c r="A82" s="203" t="s">
        <v>883</v>
      </c>
      <c r="B82" s="204"/>
      <c r="C82" s="187"/>
      <c r="D82" s="139"/>
      <c r="E82" s="2573"/>
      <c r="F82" s="2574"/>
      <c r="G82" s="2831"/>
      <c r="H82" s="2832"/>
      <c r="I82" s="2565">
        <v>1211631.9151999999</v>
      </c>
      <c r="J82" s="2566"/>
      <c r="K82" s="45"/>
      <c r="L82" s="160" t="s">
        <v>583</v>
      </c>
      <c r="M82" s="205"/>
      <c r="N82" s="205"/>
      <c r="O82" s="205"/>
      <c r="P82" s="205"/>
      <c r="Q82" s="161"/>
      <c r="R82" s="161"/>
      <c r="S82" s="2580">
        <v>11689263.633119997</v>
      </c>
      <c r="T82" s="2581"/>
    </row>
    <row r="83" spans="1:20" ht="18.600000000000001" customHeight="1" x14ac:dyDescent="0.4">
      <c r="A83" s="196" t="s">
        <v>884</v>
      </c>
      <c r="B83" s="198"/>
      <c r="C83" s="120" t="s">
        <v>496</v>
      </c>
      <c r="D83" s="170" t="s">
        <v>497</v>
      </c>
      <c r="E83" s="2559">
        <v>10</v>
      </c>
      <c r="F83" s="2560"/>
      <c r="G83" s="2641">
        <v>47000</v>
      </c>
      <c r="H83" s="2642">
        <v>38202.400000000001</v>
      </c>
      <c r="I83" s="2559">
        <v>470000</v>
      </c>
      <c r="J83" s="2560"/>
      <c r="K83" s="45"/>
      <c r="L83" s="45"/>
      <c r="M83" s="45"/>
      <c r="N83" s="45"/>
      <c r="O83" s="45"/>
      <c r="P83" s="45"/>
      <c r="Q83" s="45"/>
      <c r="R83" s="45"/>
      <c r="S83" s="45"/>
      <c r="T83" s="45"/>
    </row>
    <row r="84" spans="1:20" ht="18.600000000000001" customHeight="1" x14ac:dyDescent="0.3">
      <c r="A84" s="2820" t="s">
        <v>885</v>
      </c>
      <c r="B84" s="2821"/>
      <c r="C84" s="120"/>
      <c r="D84" s="170"/>
      <c r="E84" s="2576"/>
      <c r="F84" s="2650"/>
      <c r="G84" s="2559"/>
      <c r="H84" s="2818"/>
      <c r="I84" s="2559">
        <v>0</v>
      </c>
      <c r="J84" s="2560"/>
      <c r="K84" s="45"/>
      <c r="L84" s="7" t="s">
        <v>1528</v>
      </c>
      <c r="M84" s="8"/>
      <c r="N84" s="8"/>
      <c r="O84" s="8"/>
      <c r="P84" s="4"/>
      <c r="Q84" s="5"/>
      <c r="R84" s="9"/>
      <c r="S84" s="45"/>
      <c r="T84" s="45"/>
    </row>
    <row r="85" spans="1:20" ht="18.600000000000001" customHeight="1" x14ac:dyDescent="0.4">
      <c r="A85" s="196" t="s">
        <v>724</v>
      </c>
      <c r="B85" s="198"/>
      <c r="C85" s="120" t="s">
        <v>496</v>
      </c>
      <c r="D85" s="170" t="s">
        <v>497</v>
      </c>
      <c r="E85" s="2576">
        <v>5</v>
      </c>
      <c r="F85" s="2650"/>
      <c r="G85" s="2641">
        <v>47000</v>
      </c>
      <c r="H85" s="2642">
        <v>38202.400000000001</v>
      </c>
      <c r="I85" s="2559">
        <v>235000</v>
      </c>
      <c r="J85" s="2560"/>
      <c r="K85" s="45"/>
      <c r="L85" s="597" t="s">
        <v>1583</v>
      </c>
      <c r="M85" s="206"/>
      <c r="N85" s="206"/>
      <c r="O85" s="206"/>
      <c r="P85" s="206"/>
      <c r="Q85" s="207"/>
      <c r="R85" s="45"/>
      <c r="S85" s="45"/>
      <c r="T85" s="45"/>
    </row>
    <row r="86" spans="1:20" ht="18.600000000000001" customHeight="1" x14ac:dyDescent="0.3">
      <c r="A86" s="196" t="s">
        <v>886</v>
      </c>
      <c r="B86" s="198"/>
      <c r="C86" s="187"/>
      <c r="D86" s="170"/>
      <c r="E86" s="2576"/>
      <c r="F86" s="2650"/>
      <c r="G86" s="2559"/>
      <c r="H86" s="2818"/>
      <c r="I86" s="2559">
        <v>0</v>
      </c>
      <c r="J86" s="2560"/>
      <c r="K86" s="45"/>
      <c r="L86" s="45"/>
      <c r="M86" s="206"/>
      <c r="N86" s="206"/>
      <c r="O86" s="206"/>
      <c r="P86" s="206"/>
      <c r="Q86" s="44"/>
      <c r="R86" s="45"/>
      <c r="S86" s="45"/>
      <c r="T86" s="45"/>
    </row>
    <row r="87" spans="1:20" ht="18.600000000000001" customHeight="1" x14ac:dyDescent="0.3">
      <c r="A87" s="196" t="s">
        <v>615</v>
      </c>
      <c r="B87" s="198"/>
      <c r="C87" s="120"/>
      <c r="D87" s="170" t="s">
        <v>460</v>
      </c>
      <c r="E87" s="2576">
        <v>131</v>
      </c>
      <c r="F87" s="2650"/>
      <c r="G87" s="2559">
        <v>3867.4191999999998</v>
      </c>
      <c r="H87" s="2818">
        <v>3146.08</v>
      </c>
      <c r="I87" s="2559">
        <v>506631.91519999999</v>
      </c>
      <c r="J87" s="2560"/>
      <c r="K87" s="45"/>
      <c r="L87" s="45"/>
      <c r="M87" s="2834"/>
      <c r="N87" s="2834"/>
      <c r="O87" s="2834"/>
      <c r="P87" s="2834"/>
      <c r="Q87" s="44"/>
      <c r="R87" s="47"/>
      <c r="S87" s="45"/>
      <c r="T87" s="45"/>
    </row>
    <row r="88" spans="1:20" ht="18.600000000000001" customHeight="1" x14ac:dyDescent="0.2">
      <c r="A88" s="151"/>
      <c r="B88" s="195"/>
      <c r="C88" s="139"/>
      <c r="D88" s="139"/>
      <c r="E88" s="2573"/>
      <c r="F88" s="2574"/>
      <c r="G88" s="2831"/>
      <c r="H88" s="2832"/>
      <c r="I88" s="2831"/>
      <c r="J88" s="2832"/>
      <c r="K88" s="45"/>
      <c r="L88" s="45"/>
      <c r="M88" s="2834"/>
      <c r="N88" s="2834"/>
      <c r="O88" s="2834"/>
      <c r="P88" s="2834"/>
      <c r="Q88" s="44"/>
      <c r="R88" s="44"/>
      <c r="S88" s="45"/>
      <c r="T88" s="45"/>
    </row>
    <row r="89" spans="1:20" ht="18.600000000000001" customHeight="1" thickBot="1" x14ac:dyDescent="0.25">
      <c r="A89" s="208" t="s">
        <v>558</v>
      </c>
      <c r="B89" s="209"/>
      <c r="C89" s="210"/>
      <c r="D89" s="211"/>
      <c r="E89" s="2561">
        <v>45</v>
      </c>
      <c r="F89" s="2562"/>
      <c r="G89" s="2563"/>
      <c r="H89" s="2564"/>
      <c r="I89" s="2561">
        <v>2621631.9151999997</v>
      </c>
      <c r="J89" s="2562"/>
      <c r="K89" s="45"/>
      <c r="L89" s="45"/>
      <c r="M89" s="2834"/>
      <c r="N89" s="2834"/>
      <c r="O89" s="2834"/>
      <c r="P89" s="2834"/>
      <c r="Q89" s="44"/>
      <c r="R89" s="45"/>
      <c r="S89" s="45"/>
      <c r="T89" s="45"/>
    </row>
    <row r="90" spans="1:20" ht="17.100000000000001" customHeight="1" x14ac:dyDescent="0.3">
      <c r="A90" s="212"/>
      <c r="B90" s="212"/>
      <c r="C90" s="213"/>
      <c r="D90" s="214"/>
      <c r="E90" s="2835"/>
      <c r="F90" s="2836"/>
      <c r="G90" s="2575"/>
      <c r="H90" s="2837"/>
      <c r="I90" s="2575"/>
      <c r="J90" s="2838"/>
      <c r="K90" s="45"/>
      <c r="L90" s="45"/>
      <c r="M90" s="45"/>
      <c r="N90" s="45"/>
      <c r="O90" s="45"/>
      <c r="P90" s="45"/>
      <c r="Q90" s="45"/>
      <c r="R90" s="44"/>
      <c r="S90" s="45"/>
      <c r="T90" s="45"/>
    </row>
    <row r="91" spans="1:20" ht="17.100000000000001" customHeight="1" x14ac:dyDescent="0.2">
      <c r="A91" s="212"/>
      <c r="B91" s="212"/>
      <c r="C91" s="213"/>
      <c r="D91" s="214"/>
      <c r="E91" s="26"/>
      <c r="F91" s="26"/>
      <c r="G91" s="26"/>
      <c r="H91" s="26"/>
      <c r="I91" s="26"/>
      <c r="J91" s="26"/>
      <c r="K91" s="215"/>
      <c r="L91" s="45"/>
      <c r="M91" s="45"/>
      <c r="N91" s="45"/>
      <c r="O91" s="45"/>
      <c r="P91" s="45"/>
      <c r="Q91" s="45"/>
      <c r="R91" s="44"/>
      <c r="S91" s="45"/>
      <c r="T91" s="45"/>
    </row>
    <row r="92" spans="1:20" ht="17.100000000000001" customHeight="1" x14ac:dyDescent="0.2">
      <c r="A92" s="2654" t="s">
        <v>1921</v>
      </c>
      <c r="B92" s="2654"/>
      <c r="C92" s="2654"/>
      <c r="D92" s="2654"/>
      <c r="E92" s="2654"/>
      <c r="F92" s="2654"/>
      <c r="G92" s="2654"/>
      <c r="H92" s="2654"/>
      <c r="I92" s="2654"/>
      <c r="J92" s="2654"/>
      <c r="K92" s="2654"/>
      <c r="L92" s="2654"/>
      <c r="M92" s="2654"/>
      <c r="N92" s="2654"/>
      <c r="O92" s="2654"/>
      <c r="P92" s="2654"/>
      <c r="Q92" s="2654"/>
      <c r="R92" s="2654"/>
      <c r="S92" s="2654"/>
      <c r="T92" s="2654"/>
    </row>
    <row r="93" spans="1:20" ht="17.100000000000001" customHeight="1" thickBot="1" x14ac:dyDescent="0.25">
      <c r="A93" s="40"/>
      <c r="B93" s="40"/>
      <c r="C93" s="45"/>
      <c r="D93" s="45"/>
      <c r="E93" s="45"/>
      <c r="F93" s="45"/>
      <c r="G93" s="42"/>
      <c r="H93" s="42"/>
      <c r="I93" s="43"/>
      <c r="J93" s="44"/>
      <c r="K93" s="45"/>
      <c r="L93" s="45"/>
      <c r="M93" s="45"/>
      <c r="N93" s="45"/>
      <c r="O93" s="45"/>
      <c r="P93" s="45"/>
      <c r="Q93" s="45"/>
      <c r="R93" s="45"/>
      <c r="S93" s="45"/>
      <c r="T93" s="45"/>
    </row>
    <row r="94" spans="1:20" ht="18.600000000000001" customHeight="1" x14ac:dyDescent="0.3">
      <c r="A94" s="2612" t="s">
        <v>435</v>
      </c>
      <c r="B94" s="2613"/>
      <c r="C94" s="2618" t="s">
        <v>436</v>
      </c>
      <c r="D94" s="2619"/>
      <c r="E94" s="2619"/>
      <c r="F94" s="2620"/>
      <c r="G94" s="2624" t="s">
        <v>437</v>
      </c>
      <c r="H94" s="2625"/>
      <c r="I94" s="2624" t="s">
        <v>438</v>
      </c>
      <c r="J94" s="2625"/>
      <c r="K94" s="45"/>
      <c r="L94" s="2626" t="s">
        <v>435</v>
      </c>
      <c r="M94" s="2619" t="s">
        <v>436</v>
      </c>
      <c r="N94" s="2619"/>
      <c r="O94" s="2619"/>
      <c r="P94" s="2620"/>
      <c r="Q94" s="2624" t="s">
        <v>437</v>
      </c>
      <c r="R94" s="2625"/>
      <c r="S94" s="2618" t="s">
        <v>439</v>
      </c>
      <c r="T94" s="2649"/>
    </row>
    <row r="95" spans="1:20" ht="18.600000000000001" customHeight="1" thickBot="1" x14ac:dyDescent="0.35">
      <c r="A95" s="2614"/>
      <c r="B95" s="2615"/>
      <c r="C95" s="2621"/>
      <c r="D95" s="2622"/>
      <c r="E95" s="2622"/>
      <c r="F95" s="2623"/>
      <c r="G95" s="2629" t="s">
        <v>440</v>
      </c>
      <c r="H95" s="2630"/>
      <c r="I95" s="2629"/>
      <c r="J95" s="2630"/>
      <c r="K95" s="45"/>
      <c r="L95" s="2627"/>
      <c r="M95" s="2622"/>
      <c r="N95" s="2622"/>
      <c r="O95" s="2622"/>
      <c r="P95" s="2623"/>
      <c r="Q95" s="2629" t="s">
        <v>440</v>
      </c>
      <c r="R95" s="2630"/>
      <c r="S95" s="2631" t="s">
        <v>348</v>
      </c>
      <c r="T95" s="2650"/>
    </row>
    <row r="96" spans="1:20" ht="18.600000000000001" customHeight="1" x14ac:dyDescent="0.2">
      <c r="A96" s="2614"/>
      <c r="B96" s="2615"/>
      <c r="C96" s="53" t="s">
        <v>441</v>
      </c>
      <c r="D96" s="2670" t="s">
        <v>442</v>
      </c>
      <c r="E96" s="2631" t="s">
        <v>443</v>
      </c>
      <c r="F96" s="2632"/>
      <c r="G96" s="2629" t="s">
        <v>444</v>
      </c>
      <c r="H96" s="2630"/>
      <c r="I96" s="2629" t="s">
        <v>348</v>
      </c>
      <c r="J96" s="2630"/>
      <c r="K96" s="45"/>
      <c r="L96" s="2627"/>
      <c r="M96" s="51" t="s">
        <v>441</v>
      </c>
      <c r="N96" s="2670" t="s">
        <v>442</v>
      </c>
      <c r="O96" s="2631" t="s">
        <v>443</v>
      </c>
      <c r="P96" s="2632"/>
      <c r="Q96" s="2629" t="s">
        <v>444</v>
      </c>
      <c r="R96" s="2630"/>
      <c r="S96" s="2631"/>
      <c r="T96" s="2650"/>
    </row>
    <row r="97" spans="1:20" ht="18.600000000000001" customHeight="1" thickBot="1" x14ac:dyDescent="0.25">
      <c r="A97" s="2616"/>
      <c r="B97" s="2617"/>
      <c r="C97" s="54" t="s">
        <v>445</v>
      </c>
      <c r="D97" s="2634"/>
      <c r="E97" s="2621"/>
      <c r="F97" s="2623"/>
      <c r="G97" s="2561"/>
      <c r="H97" s="2562"/>
      <c r="I97" s="2561"/>
      <c r="J97" s="2562"/>
      <c r="K97" s="45"/>
      <c r="L97" s="2628"/>
      <c r="M97" s="50" t="s">
        <v>445</v>
      </c>
      <c r="N97" s="2634"/>
      <c r="O97" s="2621"/>
      <c r="P97" s="2623"/>
      <c r="Q97" s="2561"/>
      <c r="R97" s="2562"/>
      <c r="S97" s="2652"/>
      <c r="T97" s="2653"/>
    </row>
    <row r="98" spans="1:20" ht="18.600000000000001" customHeight="1" x14ac:dyDescent="0.3">
      <c r="A98" s="182" t="s">
        <v>446</v>
      </c>
      <c r="B98" s="183"/>
      <c r="C98" s="184"/>
      <c r="D98" s="170"/>
      <c r="E98" s="2576"/>
      <c r="F98" s="2650"/>
      <c r="G98" s="2559"/>
      <c r="H98" s="2818"/>
      <c r="I98" s="2559"/>
      <c r="J98" s="2819"/>
      <c r="K98" s="45"/>
      <c r="L98" s="119" t="s">
        <v>447</v>
      </c>
      <c r="M98" s="185"/>
      <c r="N98" s="186"/>
      <c r="O98" s="2605"/>
      <c r="P98" s="2606"/>
      <c r="Q98" s="2605"/>
      <c r="R98" s="2606"/>
      <c r="S98" s="2605"/>
      <c r="T98" s="2606"/>
    </row>
    <row r="99" spans="1:20" ht="18.600000000000001" customHeight="1" x14ac:dyDescent="0.35">
      <c r="A99" s="2822" t="s">
        <v>848</v>
      </c>
      <c r="B99" s="2823"/>
      <c r="C99" s="187"/>
      <c r="D99" s="170"/>
      <c r="E99" s="2576"/>
      <c r="F99" s="2650"/>
      <c r="G99" s="2559"/>
      <c r="H99" s="2818"/>
      <c r="I99" s="2565">
        <v>0</v>
      </c>
      <c r="J99" s="2824"/>
      <c r="K99" s="45"/>
      <c r="L99" s="122"/>
      <c r="M99" s="188"/>
      <c r="N99" s="170"/>
      <c r="O99" s="2559"/>
      <c r="P99" s="2560"/>
      <c r="Q99" s="2559"/>
      <c r="R99" s="2560"/>
      <c r="S99" s="2559"/>
      <c r="T99" s="2560"/>
    </row>
    <row r="100" spans="1:20" ht="18.600000000000001" customHeight="1" x14ac:dyDescent="0.3">
      <c r="A100" s="2820" t="s">
        <v>849</v>
      </c>
      <c r="B100" s="2821"/>
      <c r="C100" s="187"/>
      <c r="D100" s="170"/>
      <c r="E100" s="2576"/>
      <c r="F100" s="2650"/>
      <c r="G100" s="2559"/>
      <c r="H100" s="2818"/>
      <c r="I100" s="2559">
        <v>0</v>
      </c>
      <c r="J100" s="2560"/>
      <c r="K100" s="45"/>
      <c r="L100" s="122" t="s">
        <v>450</v>
      </c>
      <c r="M100" s="170" t="s">
        <v>889</v>
      </c>
      <c r="N100" s="170" t="s">
        <v>597</v>
      </c>
      <c r="O100" s="2559">
        <v>8000</v>
      </c>
      <c r="P100" s="2560"/>
      <c r="Q100" s="2559">
        <v>491.76</v>
      </c>
      <c r="R100" s="2560"/>
      <c r="S100" s="2559">
        <v>3934080</v>
      </c>
      <c r="T100" s="2560"/>
    </row>
    <row r="101" spans="1:20" ht="18.600000000000001" customHeight="1" x14ac:dyDescent="0.3">
      <c r="A101" s="148" t="s">
        <v>852</v>
      </c>
      <c r="B101" s="189"/>
      <c r="C101" s="187"/>
      <c r="D101" s="170"/>
      <c r="E101" s="2576"/>
      <c r="F101" s="2650"/>
      <c r="G101" s="2559"/>
      <c r="H101" s="2818"/>
      <c r="I101" s="2559">
        <v>0</v>
      </c>
      <c r="J101" s="2560"/>
      <c r="K101" s="45"/>
      <c r="L101" s="122" t="s">
        <v>853</v>
      </c>
      <c r="M101" s="188"/>
      <c r="N101" s="170"/>
      <c r="O101" s="2559"/>
      <c r="P101" s="2560"/>
      <c r="Q101" s="2559"/>
      <c r="R101" s="2560"/>
      <c r="S101" s="2559">
        <v>0</v>
      </c>
      <c r="T101" s="2560"/>
    </row>
    <row r="102" spans="1:20" ht="18.600000000000001" customHeight="1" x14ac:dyDescent="0.2">
      <c r="A102" s="2820" t="s">
        <v>854</v>
      </c>
      <c r="B102" s="2821"/>
      <c r="C102" s="187"/>
      <c r="D102" s="170"/>
      <c r="E102" s="2576"/>
      <c r="F102" s="2577"/>
      <c r="G102" s="2559"/>
      <c r="H102" s="2560"/>
      <c r="I102" s="2559">
        <v>0</v>
      </c>
      <c r="J102" s="2560"/>
      <c r="K102" s="45"/>
      <c r="L102" s="122" t="s">
        <v>855</v>
      </c>
      <c r="M102" s="170"/>
      <c r="N102" s="170"/>
      <c r="O102" s="2559"/>
      <c r="P102" s="2560"/>
      <c r="Q102" s="2559"/>
      <c r="R102" s="2560"/>
      <c r="S102" s="2559">
        <v>0</v>
      </c>
      <c r="T102" s="2560"/>
    </row>
    <row r="103" spans="1:20" ht="18.600000000000001" customHeight="1" x14ac:dyDescent="0.2">
      <c r="A103" s="2820" t="s">
        <v>858</v>
      </c>
      <c r="B103" s="2821"/>
      <c r="C103" s="187"/>
      <c r="D103" s="170"/>
      <c r="E103" s="2576"/>
      <c r="F103" s="2577"/>
      <c r="G103" s="2559"/>
      <c r="H103" s="2560"/>
      <c r="I103" s="2559">
        <v>0</v>
      </c>
      <c r="J103" s="2560"/>
      <c r="K103" s="45"/>
      <c r="L103" s="122" t="s">
        <v>859</v>
      </c>
      <c r="M103" s="170"/>
      <c r="N103" s="170"/>
      <c r="O103" s="2559"/>
      <c r="P103" s="2560"/>
      <c r="Q103" s="2559"/>
      <c r="R103" s="2560"/>
      <c r="S103" s="2559">
        <v>0</v>
      </c>
      <c r="T103" s="2560"/>
    </row>
    <row r="104" spans="1:20" ht="18.600000000000001" customHeight="1" x14ac:dyDescent="0.2">
      <c r="A104" s="2820" t="s">
        <v>860</v>
      </c>
      <c r="B104" s="2821"/>
      <c r="C104" s="187"/>
      <c r="D104" s="170"/>
      <c r="E104" s="2576"/>
      <c r="F104" s="2577"/>
      <c r="G104" s="2559"/>
      <c r="H104" s="2560"/>
      <c r="I104" s="2559">
        <v>0</v>
      </c>
      <c r="J104" s="2560"/>
      <c r="K104" s="45"/>
      <c r="L104" s="122" t="s">
        <v>861</v>
      </c>
      <c r="M104" s="170"/>
      <c r="N104" s="170"/>
      <c r="O104" s="2559"/>
      <c r="P104" s="2560"/>
      <c r="Q104" s="2559"/>
      <c r="R104" s="2560"/>
      <c r="S104" s="2559">
        <v>0</v>
      </c>
      <c r="T104" s="2560"/>
    </row>
    <row r="105" spans="1:20" ht="18.600000000000001" customHeight="1" x14ac:dyDescent="0.2">
      <c r="A105" s="2820" t="s">
        <v>862</v>
      </c>
      <c r="B105" s="2821"/>
      <c r="C105" s="187"/>
      <c r="D105" s="170"/>
      <c r="E105" s="2576"/>
      <c r="F105" s="2577"/>
      <c r="G105" s="2559"/>
      <c r="H105" s="2560"/>
      <c r="I105" s="2559">
        <v>0</v>
      </c>
      <c r="J105" s="2560"/>
      <c r="K105" s="45"/>
      <c r="L105" s="122" t="s">
        <v>863</v>
      </c>
      <c r="M105" s="170"/>
      <c r="N105" s="170"/>
      <c r="O105" s="2559"/>
      <c r="P105" s="2560"/>
      <c r="Q105" s="2559"/>
      <c r="R105" s="2560"/>
      <c r="S105" s="2559">
        <v>0</v>
      </c>
      <c r="T105" s="2560"/>
    </row>
    <row r="106" spans="1:20" ht="18.600000000000001" customHeight="1" x14ac:dyDescent="0.2">
      <c r="A106" s="2839" t="s">
        <v>890</v>
      </c>
      <c r="B106" s="2840"/>
      <c r="C106" s="187"/>
      <c r="D106" s="170"/>
      <c r="E106" s="2576"/>
      <c r="F106" s="2577"/>
      <c r="G106" s="2559"/>
      <c r="H106" s="2560"/>
      <c r="I106" s="2559">
        <v>0</v>
      </c>
      <c r="J106" s="2560"/>
      <c r="K106" s="45"/>
      <c r="L106" s="122" t="s">
        <v>534</v>
      </c>
      <c r="M106" s="170"/>
      <c r="N106" s="170"/>
      <c r="O106" s="2559"/>
      <c r="P106" s="2560"/>
      <c r="Q106" s="2559"/>
      <c r="R106" s="2560"/>
      <c r="S106" s="2559">
        <v>0</v>
      </c>
      <c r="T106" s="2560"/>
    </row>
    <row r="107" spans="1:20" ht="18.600000000000001" customHeight="1" x14ac:dyDescent="0.2">
      <c r="A107" s="2827" t="s">
        <v>560</v>
      </c>
      <c r="B107" s="2828"/>
      <c r="C107" s="187"/>
      <c r="D107" s="170"/>
      <c r="E107" s="2576"/>
      <c r="F107" s="2577"/>
      <c r="G107" s="2559"/>
      <c r="H107" s="2560"/>
      <c r="I107" s="2565">
        <v>376000</v>
      </c>
      <c r="J107" s="2566"/>
      <c r="K107" s="45"/>
      <c r="L107" s="122" t="s">
        <v>535</v>
      </c>
      <c r="M107" s="170" t="s">
        <v>590</v>
      </c>
      <c r="N107" s="170" t="s">
        <v>460</v>
      </c>
      <c r="O107" s="2559">
        <v>3</v>
      </c>
      <c r="P107" s="2560"/>
      <c r="Q107" s="2559">
        <v>223254</v>
      </c>
      <c r="R107" s="2560"/>
      <c r="S107" s="2559">
        <v>669762</v>
      </c>
      <c r="T107" s="2560"/>
    </row>
    <row r="108" spans="1:20" ht="18.600000000000001" customHeight="1" x14ac:dyDescent="0.4">
      <c r="A108" s="190" t="s">
        <v>469</v>
      </c>
      <c r="B108" s="191"/>
      <c r="C108" s="120" t="s">
        <v>496</v>
      </c>
      <c r="D108" s="170" t="s">
        <v>497</v>
      </c>
      <c r="E108" s="2576">
        <v>8</v>
      </c>
      <c r="F108" s="2577"/>
      <c r="G108" s="2641">
        <v>47000</v>
      </c>
      <c r="H108" s="2642">
        <v>38202.400000000001</v>
      </c>
      <c r="I108" s="2559">
        <v>376000</v>
      </c>
      <c r="J108" s="2560"/>
      <c r="K108" s="45"/>
      <c r="L108" s="122" t="s">
        <v>537</v>
      </c>
      <c r="M108" s="170"/>
      <c r="N108" s="170"/>
      <c r="O108" s="2559"/>
      <c r="P108" s="2560"/>
      <c r="Q108" s="2559"/>
      <c r="R108" s="2560"/>
      <c r="S108" s="2559">
        <v>0</v>
      </c>
      <c r="T108" s="2560"/>
    </row>
    <row r="109" spans="1:20" ht="18.600000000000001" customHeight="1" x14ac:dyDescent="0.2">
      <c r="A109" s="2825" t="s">
        <v>865</v>
      </c>
      <c r="B109" s="2826"/>
      <c r="C109" s="187"/>
      <c r="D109" s="170"/>
      <c r="E109" s="2576"/>
      <c r="F109" s="2577"/>
      <c r="G109" s="2559"/>
      <c r="H109" s="2560"/>
      <c r="I109" s="2559">
        <v>0</v>
      </c>
      <c r="J109" s="2560"/>
      <c r="K109" s="45"/>
      <c r="L109" s="122" t="s">
        <v>866</v>
      </c>
      <c r="M109" s="170"/>
      <c r="N109" s="170"/>
      <c r="O109" s="2559"/>
      <c r="P109" s="2560"/>
      <c r="Q109" s="2559"/>
      <c r="R109" s="2560"/>
      <c r="S109" s="2559">
        <v>0</v>
      </c>
      <c r="T109" s="2560"/>
    </row>
    <row r="110" spans="1:20" ht="18.600000000000001" customHeight="1" x14ac:dyDescent="0.2">
      <c r="A110" s="190" t="s">
        <v>474</v>
      </c>
      <c r="B110" s="191"/>
      <c r="C110" s="187"/>
      <c r="D110" s="170"/>
      <c r="E110" s="2576"/>
      <c r="F110" s="2577"/>
      <c r="G110" s="2559"/>
      <c r="H110" s="2560"/>
      <c r="I110" s="2559">
        <v>0</v>
      </c>
      <c r="J110" s="2560"/>
      <c r="K110" s="45"/>
      <c r="L110" s="122" t="s">
        <v>869</v>
      </c>
      <c r="M110" s="170" t="s">
        <v>710</v>
      </c>
      <c r="N110" s="170" t="s">
        <v>556</v>
      </c>
      <c r="O110" s="2571">
        <v>0.5</v>
      </c>
      <c r="P110" s="2572"/>
      <c r="Q110" s="2559">
        <v>207632</v>
      </c>
      <c r="R110" s="2560"/>
      <c r="S110" s="2559">
        <v>103816</v>
      </c>
      <c r="T110" s="2560"/>
    </row>
    <row r="111" spans="1:20" ht="18.600000000000001" customHeight="1" x14ac:dyDescent="0.3">
      <c r="A111" s="190" t="s">
        <v>870</v>
      </c>
      <c r="B111" s="191"/>
      <c r="C111" s="187"/>
      <c r="D111" s="170"/>
      <c r="E111" s="2576"/>
      <c r="F111" s="2650"/>
      <c r="G111" s="2559"/>
      <c r="H111" s="2818"/>
      <c r="I111" s="2559">
        <v>0</v>
      </c>
      <c r="J111" s="2560"/>
      <c r="K111" s="45"/>
      <c r="L111" s="122" t="s">
        <v>871</v>
      </c>
      <c r="M111" s="188"/>
      <c r="N111" s="170"/>
      <c r="O111" s="2559"/>
      <c r="P111" s="2560"/>
      <c r="Q111" s="2559"/>
      <c r="R111" s="2560"/>
      <c r="S111" s="2559">
        <v>0</v>
      </c>
      <c r="T111" s="2560"/>
    </row>
    <row r="112" spans="1:20" ht="18.600000000000001" customHeight="1" x14ac:dyDescent="0.3">
      <c r="A112" s="192" t="s">
        <v>872</v>
      </c>
      <c r="B112" s="52"/>
      <c r="C112" s="187"/>
      <c r="D112" s="170"/>
      <c r="E112" s="2576"/>
      <c r="F112" s="2650"/>
      <c r="G112" s="2559"/>
      <c r="H112" s="2818"/>
      <c r="I112" s="2559">
        <v>0</v>
      </c>
      <c r="J112" s="2560"/>
      <c r="K112" s="45"/>
      <c r="L112" s="122" t="s">
        <v>595</v>
      </c>
      <c r="M112" s="188"/>
      <c r="N112" s="170"/>
      <c r="O112" s="2559"/>
      <c r="P112" s="2560"/>
      <c r="Q112" s="2559"/>
      <c r="R112" s="2560"/>
      <c r="S112" s="2559">
        <v>0</v>
      </c>
      <c r="T112" s="2560"/>
    </row>
    <row r="113" spans="1:20" ht="18.600000000000001" customHeight="1" x14ac:dyDescent="0.3">
      <c r="A113" s="190" t="s">
        <v>873</v>
      </c>
      <c r="B113" s="191"/>
      <c r="C113" s="187"/>
      <c r="D113" s="170"/>
      <c r="E113" s="2576"/>
      <c r="F113" s="2650"/>
      <c r="G113" s="2559"/>
      <c r="H113" s="2818"/>
      <c r="I113" s="2559">
        <v>0</v>
      </c>
      <c r="J113" s="2560"/>
      <c r="K113" s="45"/>
      <c r="L113" s="122" t="s">
        <v>507</v>
      </c>
      <c r="M113" s="170" t="s">
        <v>891</v>
      </c>
      <c r="N113" s="170" t="s">
        <v>597</v>
      </c>
      <c r="O113" s="2559">
        <v>120</v>
      </c>
      <c r="P113" s="2560"/>
      <c r="Q113" s="2559">
        <v>5682.56</v>
      </c>
      <c r="R113" s="2560"/>
      <c r="S113" s="2559">
        <v>681907.20000000007</v>
      </c>
      <c r="T113" s="2560"/>
    </row>
    <row r="114" spans="1:20" ht="18.600000000000001" customHeight="1" x14ac:dyDescent="0.3">
      <c r="A114" s="190" t="s">
        <v>504</v>
      </c>
      <c r="B114" s="191"/>
      <c r="C114" s="187"/>
      <c r="D114" s="170"/>
      <c r="E114" s="2576"/>
      <c r="F114" s="2650"/>
      <c r="G114" s="2559"/>
      <c r="H114" s="2818"/>
      <c r="I114" s="2559">
        <v>0</v>
      </c>
      <c r="J114" s="2560"/>
      <c r="K114" s="45"/>
      <c r="L114" s="122" t="s">
        <v>801</v>
      </c>
      <c r="M114" s="170" t="s">
        <v>599</v>
      </c>
      <c r="N114" s="170" t="s">
        <v>597</v>
      </c>
      <c r="O114" s="2559">
        <v>1</v>
      </c>
      <c r="P114" s="2560"/>
      <c r="Q114" s="2559">
        <v>16392</v>
      </c>
      <c r="R114" s="2560"/>
      <c r="S114" s="2559">
        <v>16392</v>
      </c>
      <c r="T114" s="2560"/>
    </row>
    <row r="115" spans="1:20" ht="18.600000000000001" customHeight="1" x14ac:dyDescent="0.35">
      <c r="A115" s="193" t="s">
        <v>490</v>
      </c>
      <c r="B115" s="194"/>
      <c r="C115" s="187"/>
      <c r="D115" s="170"/>
      <c r="E115" s="2576"/>
      <c r="F115" s="2650"/>
      <c r="G115" s="2559"/>
      <c r="H115" s="2818"/>
      <c r="I115" s="2565">
        <v>1081000</v>
      </c>
      <c r="J115" s="2824"/>
      <c r="K115" s="45"/>
      <c r="L115" s="122" t="s">
        <v>575</v>
      </c>
      <c r="M115" s="188"/>
      <c r="N115" s="170"/>
      <c r="O115" s="2559"/>
      <c r="P115" s="2560"/>
      <c r="Q115" s="2559"/>
      <c r="R115" s="2560"/>
      <c r="S115" s="2559">
        <v>0</v>
      </c>
      <c r="T115" s="2560"/>
    </row>
    <row r="116" spans="1:20" ht="18.600000000000001" customHeight="1" x14ac:dyDescent="0.4">
      <c r="A116" s="151" t="s">
        <v>852</v>
      </c>
      <c r="B116" s="195"/>
      <c r="C116" s="120" t="s">
        <v>496</v>
      </c>
      <c r="D116" s="170" t="s">
        <v>497</v>
      </c>
      <c r="E116" s="2559">
        <v>7</v>
      </c>
      <c r="F116" s="2560"/>
      <c r="G116" s="2641">
        <v>47000</v>
      </c>
      <c r="H116" s="2642">
        <v>38202.400000000001</v>
      </c>
      <c r="I116" s="2559">
        <v>329000</v>
      </c>
      <c r="J116" s="2560"/>
      <c r="K116" s="45"/>
      <c r="L116" s="122" t="s">
        <v>874</v>
      </c>
      <c r="M116" s="188"/>
      <c r="N116" s="170"/>
      <c r="O116" s="2559"/>
      <c r="P116" s="2560"/>
      <c r="Q116" s="2559"/>
      <c r="R116" s="2560"/>
      <c r="S116" s="2559">
        <v>0</v>
      </c>
      <c r="T116" s="2560"/>
    </row>
    <row r="117" spans="1:20" ht="18.600000000000001" customHeight="1" x14ac:dyDescent="0.4">
      <c r="A117" s="151" t="s">
        <v>495</v>
      </c>
      <c r="B117" s="195"/>
      <c r="C117" s="120" t="s">
        <v>496</v>
      </c>
      <c r="D117" s="170" t="s">
        <v>497</v>
      </c>
      <c r="E117" s="2559">
        <v>1</v>
      </c>
      <c r="F117" s="2560"/>
      <c r="G117" s="2641">
        <v>47000</v>
      </c>
      <c r="H117" s="2642">
        <v>38202.400000000001</v>
      </c>
      <c r="I117" s="2559">
        <v>47000</v>
      </c>
      <c r="J117" s="2560"/>
      <c r="K117" s="45"/>
      <c r="L117" s="196" t="s">
        <v>515</v>
      </c>
      <c r="M117" s="197"/>
      <c r="N117" s="120"/>
      <c r="O117" s="2559"/>
      <c r="P117" s="2560"/>
      <c r="Q117" s="2559"/>
      <c r="R117" s="2560"/>
      <c r="S117" s="2559">
        <v>0</v>
      </c>
      <c r="T117" s="2560"/>
    </row>
    <row r="118" spans="1:20" ht="18.600000000000001" customHeight="1" x14ac:dyDescent="0.2">
      <c r="A118" s="196" t="s">
        <v>875</v>
      </c>
      <c r="B118" s="198"/>
      <c r="C118" s="187"/>
      <c r="D118" s="170"/>
      <c r="E118" s="2559"/>
      <c r="F118" s="2560"/>
      <c r="G118" s="2559"/>
      <c r="H118" s="2560"/>
      <c r="I118" s="2559">
        <v>0</v>
      </c>
      <c r="J118" s="2560"/>
      <c r="K118" s="45"/>
      <c r="L118" s="199" t="s">
        <v>876</v>
      </c>
      <c r="M118" s="53"/>
      <c r="N118" s="200"/>
      <c r="O118" s="2829"/>
      <c r="P118" s="2830"/>
      <c r="Q118" s="2829"/>
      <c r="R118" s="2830"/>
      <c r="S118" s="2629">
        <v>5405957.2000000002</v>
      </c>
      <c r="T118" s="2630"/>
    </row>
    <row r="119" spans="1:20" ht="18.600000000000001" customHeight="1" x14ac:dyDescent="0.4">
      <c r="A119" s="196" t="s">
        <v>877</v>
      </c>
      <c r="B119" s="198"/>
      <c r="C119" s="120" t="s">
        <v>496</v>
      </c>
      <c r="D119" s="170" t="s">
        <v>497</v>
      </c>
      <c r="E119" s="2559">
        <v>3</v>
      </c>
      <c r="F119" s="2560"/>
      <c r="G119" s="2641">
        <v>47000</v>
      </c>
      <c r="H119" s="2642">
        <v>38202.400000000001</v>
      </c>
      <c r="I119" s="2559">
        <v>141000</v>
      </c>
      <c r="J119" s="2560"/>
      <c r="K119" s="45"/>
      <c r="L119" s="144" t="s">
        <v>577</v>
      </c>
      <c r="M119" s="145"/>
      <c r="N119" s="145"/>
      <c r="O119" s="146"/>
      <c r="P119" s="146"/>
      <c r="Q119" s="146"/>
      <c r="R119" s="146"/>
      <c r="S119" s="146"/>
      <c r="T119" s="147"/>
    </row>
    <row r="120" spans="1:20" ht="18.600000000000001" customHeight="1" x14ac:dyDescent="0.4">
      <c r="A120" s="2820" t="s">
        <v>526</v>
      </c>
      <c r="B120" s="2821"/>
      <c r="C120" s="120" t="s">
        <v>496</v>
      </c>
      <c r="D120" s="170" t="s">
        <v>497</v>
      </c>
      <c r="E120" s="2559">
        <v>10</v>
      </c>
      <c r="F120" s="2560"/>
      <c r="G120" s="2641">
        <v>47000</v>
      </c>
      <c r="H120" s="2642">
        <v>38202.400000000001</v>
      </c>
      <c r="I120" s="2559">
        <v>470000</v>
      </c>
      <c r="J120" s="2560"/>
      <c r="K120" s="45"/>
      <c r="L120" s="148" t="s">
        <v>525</v>
      </c>
      <c r="M120" s="149">
        <v>0.05</v>
      </c>
      <c r="N120" s="45"/>
      <c r="O120" s="26"/>
      <c r="P120" s="26"/>
      <c r="Q120" s="26"/>
      <c r="R120" s="26"/>
      <c r="S120" s="2575">
        <v>395116.74000000005</v>
      </c>
      <c r="T120" s="2560"/>
    </row>
    <row r="121" spans="1:20" ht="18.600000000000001" customHeight="1" x14ac:dyDescent="0.3">
      <c r="A121" s="2820" t="s">
        <v>878</v>
      </c>
      <c r="B121" s="2821"/>
      <c r="C121" s="187"/>
      <c r="D121" s="170"/>
      <c r="E121" s="2576"/>
      <c r="F121" s="2650"/>
      <c r="G121" s="2559"/>
      <c r="H121" s="2818"/>
      <c r="I121" s="2559">
        <v>0</v>
      </c>
      <c r="J121" s="2560"/>
      <c r="K121" s="45"/>
      <c r="L121" s="151" t="s">
        <v>527</v>
      </c>
      <c r="M121" s="45"/>
      <c r="N121" s="45"/>
      <c r="O121" s="26"/>
      <c r="P121" s="26"/>
      <c r="Q121" s="26"/>
      <c r="R121" s="26"/>
      <c r="S121" s="2575"/>
      <c r="T121" s="2560"/>
    </row>
    <row r="122" spans="1:20" ht="18.600000000000001" customHeight="1" x14ac:dyDescent="0.3">
      <c r="A122" s="2820" t="s">
        <v>879</v>
      </c>
      <c r="B122" s="2821"/>
      <c r="C122" s="187"/>
      <c r="D122" s="170"/>
      <c r="E122" s="2576"/>
      <c r="F122" s="2650"/>
      <c r="G122" s="2559"/>
      <c r="H122" s="2818"/>
      <c r="I122" s="2559">
        <v>0</v>
      </c>
      <c r="J122" s="2560"/>
      <c r="K122" s="45"/>
      <c r="L122" s="152" t="s">
        <v>529</v>
      </c>
      <c r="M122" s="45"/>
      <c r="N122" s="45"/>
      <c r="O122" s="26"/>
      <c r="P122" s="26"/>
      <c r="Q122" s="26"/>
      <c r="R122" s="26"/>
      <c r="S122" s="2575">
        <v>437120</v>
      </c>
      <c r="T122" s="2560"/>
    </row>
    <row r="123" spans="1:20" ht="18.600000000000001" customHeight="1" x14ac:dyDescent="0.4">
      <c r="A123" s="2820" t="s">
        <v>880</v>
      </c>
      <c r="B123" s="2821"/>
      <c r="C123" s="120" t="s">
        <v>496</v>
      </c>
      <c r="D123" s="170" t="s">
        <v>497</v>
      </c>
      <c r="E123" s="2576">
        <v>2</v>
      </c>
      <c r="F123" s="2650"/>
      <c r="G123" s="2641">
        <v>47000</v>
      </c>
      <c r="H123" s="2642">
        <v>38202.400000000001</v>
      </c>
      <c r="I123" s="2559">
        <v>94000</v>
      </c>
      <c r="J123" s="2560"/>
      <c r="K123" s="45"/>
      <c r="L123" s="152" t="s">
        <v>726</v>
      </c>
      <c r="M123" s="45"/>
      <c r="N123" s="45"/>
      <c r="O123" s="26"/>
      <c r="P123" s="26"/>
      <c r="Q123" s="26"/>
      <c r="R123" s="26"/>
      <c r="S123" s="2575">
        <v>395116.74000000005</v>
      </c>
      <c r="T123" s="2560"/>
    </row>
    <row r="124" spans="1:20" ht="18.600000000000001" customHeight="1" x14ac:dyDescent="0.3">
      <c r="A124" s="196" t="s">
        <v>881</v>
      </c>
      <c r="B124" s="198"/>
      <c r="C124" s="187"/>
      <c r="D124" s="170"/>
      <c r="E124" s="2576"/>
      <c r="F124" s="2650"/>
      <c r="G124" s="2559"/>
      <c r="H124" s="2818"/>
      <c r="I124" s="2559">
        <v>0</v>
      </c>
      <c r="J124" s="2560"/>
      <c r="K124" s="45"/>
      <c r="L124" s="166" t="s">
        <v>504</v>
      </c>
      <c r="M124" s="155"/>
      <c r="N124" s="155"/>
      <c r="O124" s="167"/>
      <c r="P124" s="167"/>
      <c r="Q124" s="167"/>
      <c r="R124" s="167"/>
      <c r="S124" s="2557">
        <v>65568</v>
      </c>
      <c r="T124" s="2558"/>
    </row>
    <row r="125" spans="1:20" ht="18.600000000000001" customHeight="1" x14ac:dyDescent="0.3">
      <c r="A125" s="2820" t="s">
        <v>882</v>
      </c>
      <c r="B125" s="2821"/>
      <c r="C125" s="187"/>
      <c r="D125" s="170"/>
      <c r="E125" s="2576"/>
      <c r="F125" s="2650"/>
      <c r="G125" s="2559"/>
      <c r="H125" s="2818"/>
      <c r="I125" s="2559">
        <v>0</v>
      </c>
      <c r="J125" s="2560"/>
      <c r="K125" s="45"/>
      <c r="L125" s="156" t="s">
        <v>533</v>
      </c>
      <c r="M125" s="201"/>
      <c r="N125" s="201"/>
      <c r="O125" s="202"/>
      <c r="P125" s="202"/>
      <c r="Q125" s="158"/>
      <c r="R125" s="158"/>
      <c r="S125" s="2587">
        <v>1292921.48</v>
      </c>
      <c r="T125" s="2588"/>
    </row>
    <row r="126" spans="1:20" ht="18.600000000000001" customHeight="1" x14ac:dyDescent="0.3">
      <c r="A126" s="196" t="s">
        <v>504</v>
      </c>
      <c r="B126" s="198"/>
      <c r="C126" s="187"/>
      <c r="D126" s="170"/>
      <c r="E126" s="2576"/>
      <c r="F126" s="2650"/>
      <c r="G126" s="2559"/>
      <c r="H126" s="2818"/>
      <c r="I126" s="2559">
        <v>0</v>
      </c>
      <c r="J126" s="2560"/>
      <c r="K126" s="45"/>
      <c r="L126" s="159"/>
      <c r="M126" s="45"/>
      <c r="N126" s="45"/>
      <c r="O126" s="26"/>
      <c r="P126" s="26"/>
      <c r="Q126" s="26"/>
      <c r="R126" s="26"/>
      <c r="S126" s="26"/>
      <c r="T126" s="150"/>
    </row>
    <row r="127" spans="1:20" ht="18.600000000000001" customHeight="1" thickBot="1" x14ac:dyDescent="0.25">
      <c r="A127" s="203" t="s">
        <v>883</v>
      </c>
      <c r="B127" s="204"/>
      <c r="C127" s="187"/>
      <c r="D127" s="139"/>
      <c r="E127" s="2573"/>
      <c r="F127" s="2574"/>
      <c r="G127" s="2831"/>
      <c r="H127" s="2832"/>
      <c r="I127" s="2565">
        <v>1039377.6000000001</v>
      </c>
      <c r="J127" s="2566"/>
      <c r="K127" s="45"/>
      <c r="L127" s="160" t="s">
        <v>583</v>
      </c>
      <c r="M127" s="205"/>
      <c r="N127" s="205"/>
      <c r="O127" s="205"/>
      <c r="P127" s="205"/>
      <c r="Q127" s="161"/>
      <c r="R127" s="161"/>
      <c r="S127" s="2580">
        <v>9195256.2799999993</v>
      </c>
      <c r="T127" s="2581"/>
    </row>
    <row r="128" spans="1:20" ht="18.600000000000001" customHeight="1" x14ac:dyDescent="0.4">
      <c r="A128" s="2839" t="s">
        <v>892</v>
      </c>
      <c r="B128" s="2840"/>
      <c r="C128" s="120" t="s">
        <v>496</v>
      </c>
      <c r="D128" s="170" t="s">
        <v>497</v>
      </c>
      <c r="E128" s="2559">
        <v>10</v>
      </c>
      <c r="F128" s="2560"/>
      <c r="G128" s="2641">
        <v>47000</v>
      </c>
      <c r="H128" s="2642">
        <v>38202.400000000001</v>
      </c>
      <c r="I128" s="2559">
        <v>470000</v>
      </c>
      <c r="J128" s="2560"/>
      <c r="K128" s="45"/>
      <c r="L128" s="45"/>
      <c r="M128" s="45"/>
      <c r="N128" s="45"/>
      <c r="O128" s="45"/>
      <c r="P128" s="45"/>
      <c r="Q128" s="45"/>
      <c r="R128" s="45"/>
      <c r="S128" s="45"/>
      <c r="T128" s="45"/>
    </row>
    <row r="129" spans="1:20" ht="18.600000000000001" customHeight="1" x14ac:dyDescent="0.4">
      <c r="A129" s="196" t="s">
        <v>893</v>
      </c>
      <c r="B129" s="198"/>
      <c r="C129" s="120" t="s">
        <v>496</v>
      </c>
      <c r="D129" s="170" t="s">
        <v>497</v>
      </c>
      <c r="E129" s="2576">
        <v>3</v>
      </c>
      <c r="F129" s="2650"/>
      <c r="G129" s="2641">
        <v>47000</v>
      </c>
      <c r="H129" s="2642">
        <v>38202.400000000001</v>
      </c>
      <c r="I129" s="2559">
        <v>141000</v>
      </c>
      <c r="J129" s="2560"/>
      <c r="K129" s="45"/>
      <c r="L129" s="7" t="s">
        <v>1528</v>
      </c>
      <c r="M129" s="8"/>
      <c r="N129" s="8"/>
      <c r="O129" s="8"/>
      <c r="P129" s="4"/>
      <c r="Q129" s="5"/>
      <c r="R129" s="9"/>
      <c r="S129" s="45"/>
      <c r="T129" s="45"/>
    </row>
    <row r="130" spans="1:20" ht="18.600000000000001" customHeight="1" x14ac:dyDescent="0.3">
      <c r="A130" s="196" t="s">
        <v>728</v>
      </c>
      <c r="B130" s="198"/>
      <c r="C130" s="187"/>
      <c r="D130" s="170"/>
      <c r="E130" s="2576"/>
      <c r="F130" s="2650"/>
      <c r="G130" s="2559"/>
      <c r="H130" s="2818"/>
      <c r="I130" s="2559">
        <v>0</v>
      </c>
      <c r="J130" s="2560"/>
      <c r="K130" s="45"/>
      <c r="L130" s="597" t="s">
        <v>1583</v>
      </c>
      <c r="M130" s="206"/>
      <c r="N130" s="206"/>
      <c r="O130" s="206"/>
      <c r="P130" s="206"/>
      <c r="Q130" s="207"/>
      <c r="R130" s="45"/>
      <c r="S130" s="45"/>
      <c r="T130" s="45"/>
    </row>
    <row r="131" spans="1:20" ht="18.600000000000001" customHeight="1" x14ac:dyDescent="0.3">
      <c r="A131" s="196" t="s">
        <v>886</v>
      </c>
      <c r="B131" s="198"/>
      <c r="C131" s="187"/>
      <c r="D131" s="170"/>
      <c r="E131" s="2576"/>
      <c r="F131" s="2650"/>
      <c r="G131" s="2559"/>
      <c r="H131" s="2818"/>
      <c r="I131" s="2559">
        <v>0</v>
      </c>
      <c r="J131" s="2560"/>
      <c r="K131" s="45"/>
      <c r="L131" s="45"/>
      <c r="M131" s="206"/>
      <c r="N131" s="206"/>
      <c r="O131" s="206"/>
      <c r="P131" s="206"/>
      <c r="Q131" s="44"/>
      <c r="R131" s="45"/>
      <c r="S131" s="45"/>
      <c r="T131" s="45"/>
    </row>
    <row r="132" spans="1:20" ht="18.600000000000001" customHeight="1" x14ac:dyDescent="0.3">
      <c r="A132" s="196" t="s">
        <v>615</v>
      </c>
      <c r="B132" s="198"/>
      <c r="C132" s="187"/>
      <c r="D132" s="170" t="s">
        <v>460</v>
      </c>
      <c r="E132" s="2576">
        <v>112</v>
      </c>
      <c r="F132" s="2650"/>
      <c r="G132" s="2559">
        <v>3824.8</v>
      </c>
      <c r="H132" s="2560">
        <v>3146.08</v>
      </c>
      <c r="I132" s="2559">
        <v>428377.60000000003</v>
      </c>
      <c r="J132" s="2560"/>
      <c r="K132" s="45"/>
      <c r="L132" s="45"/>
      <c r="M132" s="2834"/>
      <c r="N132" s="2834"/>
      <c r="O132" s="2834"/>
      <c r="P132" s="2834"/>
      <c r="Q132" s="44"/>
      <c r="R132" s="47"/>
      <c r="S132" s="45"/>
      <c r="T132" s="45"/>
    </row>
    <row r="133" spans="1:20" ht="18.600000000000001" customHeight="1" x14ac:dyDescent="0.2">
      <c r="A133" s="151"/>
      <c r="B133" s="195"/>
      <c r="C133" s="139"/>
      <c r="D133" s="139"/>
      <c r="E133" s="2573"/>
      <c r="F133" s="2574"/>
      <c r="G133" s="2831"/>
      <c r="H133" s="2832"/>
      <c r="I133" s="2831"/>
      <c r="J133" s="2832"/>
      <c r="K133" s="45"/>
      <c r="L133" s="45"/>
      <c r="M133" s="2834"/>
      <c r="N133" s="2834"/>
      <c r="O133" s="2834"/>
      <c r="P133" s="2834"/>
      <c r="Q133" s="44"/>
      <c r="R133" s="44"/>
      <c r="S133" s="45"/>
      <c r="T133" s="45"/>
    </row>
    <row r="134" spans="1:20" ht="18.600000000000001" customHeight="1" thickBot="1" x14ac:dyDescent="0.25">
      <c r="A134" s="208" t="s">
        <v>558</v>
      </c>
      <c r="B134" s="209"/>
      <c r="C134" s="210"/>
      <c r="D134" s="211"/>
      <c r="E134" s="2561">
        <v>44</v>
      </c>
      <c r="F134" s="2562"/>
      <c r="G134" s="2563"/>
      <c r="H134" s="2564"/>
      <c r="I134" s="2561">
        <v>2496377.6</v>
      </c>
      <c r="J134" s="2562"/>
      <c r="K134" s="45"/>
      <c r="L134" s="45"/>
      <c r="M134" s="2834"/>
      <c r="N134" s="2834"/>
      <c r="O134" s="2834"/>
      <c r="P134" s="2834"/>
      <c r="Q134" s="44"/>
      <c r="R134" s="45"/>
      <c r="S134" s="45"/>
      <c r="T134" s="45"/>
    </row>
    <row r="135" spans="1:20" ht="17.100000000000001" customHeight="1" x14ac:dyDescent="0.3">
      <c r="A135" s="212"/>
      <c r="B135" s="212"/>
      <c r="C135" s="213"/>
      <c r="D135" s="214"/>
      <c r="E135" s="2835"/>
      <c r="F135" s="2836"/>
      <c r="G135" s="2575"/>
      <c r="H135" s="2837"/>
      <c r="I135" s="2575"/>
      <c r="J135" s="2838"/>
      <c r="K135" s="45"/>
      <c r="L135" s="45"/>
      <c r="M135" s="45"/>
      <c r="N135" s="45"/>
      <c r="O135" s="45"/>
      <c r="P135" s="45"/>
      <c r="Q135" s="45"/>
      <c r="R135" s="44"/>
      <c r="S135" s="44"/>
      <c r="T135" s="45"/>
    </row>
    <row r="136" spans="1:20" ht="17.100000000000001" customHeight="1" x14ac:dyDescent="0.2">
      <c r="A136" s="40"/>
      <c r="B136" s="40"/>
      <c r="C136" s="45"/>
      <c r="D136" s="45"/>
      <c r="E136" s="45"/>
      <c r="F136" s="45"/>
      <c r="G136" s="42"/>
      <c r="H136" s="42"/>
      <c r="I136" s="43"/>
      <c r="J136" s="44"/>
      <c r="K136" s="45"/>
      <c r="L136" s="40"/>
      <c r="M136" s="40"/>
      <c r="N136" s="45"/>
      <c r="O136" s="45"/>
      <c r="P136" s="45"/>
      <c r="Q136" s="45"/>
      <c r="R136" s="42"/>
      <c r="S136" s="45"/>
      <c r="T136" s="45"/>
    </row>
    <row r="137" spans="1:20" ht="17.100000000000001" customHeight="1" x14ac:dyDescent="0.2">
      <c r="A137" s="2654" t="s">
        <v>1922</v>
      </c>
      <c r="B137" s="2654"/>
      <c r="C137" s="2654"/>
      <c r="D137" s="2654"/>
      <c r="E137" s="2654"/>
      <c r="F137" s="2654"/>
      <c r="G137" s="2654"/>
      <c r="H137" s="2654"/>
      <c r="I137" s="2654"/>
      <c r="J137" s="2654"/>
      <c r="K137" s="2654"/>
      <c r="L137" s="2654"/>
      <c r="M137" s="2654"/>
      <c r="N137" s="2654"/>
      <c r="O137" s="2654"/>
      <c r="P137" s="2654"/>
      <c r="Q137" s="2654"/>
      <c r="R137" s="2654"/>
      <c r="S137" s="2654"/>
      <c r="T137" s="2654"/>
    </row>
    <row r="138" spans="1:20" ht="17.100000000000001" customHeight="1" thickBot="1" x14ac:dyDescent="0.25">
      <c r="A138" s="40"/>
      <c r="B138" s="40"/>
      <c r="C138" s="45"/>
      <c r="D138" s="45"/>
      <c r="E138" s="45"/>
      <c r="F138" s="45"/>
      <c r="G138" s="42"/>
      <c r="H138" s="42"/>
      <c r="I138" s="43"/>
      <c r="J138" s="44"/>
      <c r="K138" s="45"/>
      <c r="L138" s="45"/>
      <c r="M138" s="45"/>
      <c r="N138" s="45"/>
      <c r="O138" s="45"/>
      <c r="P138" s="45"/>
      <c r="Q138" s="45"/>
      <c r="R138" s="45"/>
      <c r="S138" s="45"/>
      <c r="T138" s="45"/>
    </row>
    <row r="139" spans="1:20" ht="18.600000000000001" customHeight="1" x14ac:dyDescent="0.3">
      <c r="A139" s="2612" t="s">
        <v>435</v>
      </c>
      <c r="B139" s="2613"/>
      <c r="C139" s="2618" t="s">
        <v>436</v>
      </c>
      <c r="D139" s="2619"/>
      <c r="E139" s="2619"/>
      <c r="F139" s="2620"/>
      <c r="G139" s="2624" t="s">
        <v>437</v>
      </c>
      <c r="H139" s="2625"/>
      <c r="I139" s="2624" t="s">
        <v>438</v>
      </c>
      <c r="J139" s="2625"/>
      <c r="K139" s="45"/>
      <c r="L139" s="2626" t="s">
        <v>435</v>
      </c>
      <c r="M139" s="2619" t="s">
        <v>436</v>
      </c>
      <c r="N139" s="2619"/>
      <c r="O139" s="2619"/>
      <c r="P139" s="2620"/>
      <c r="Q139" s="2624" t="s">
        <v>437</v>
      </c>
      <c r="R139" s="2625"/>
      <c r="S139" s="2618" t="s">
        <v>439</v>
      </c>
      <c r="T139" s="2649"/>
    </row>
    <row r="140" spans="1:20" ht="18.600000000000001" customHeight="1" thickBot="1" x14ac:dyDescent="0.35">
      <c r="A140" s="2614"/>
      <c r="B140" s="2615"/>
      <c r="C140" s="2621"/>
      <c r="D140" s="2622"/>
      <c r="E140" s="2622"/>
      <c r="F140" s="2623"/>
      <c r="G140" s="2629" t="s">
        <v>440</v>
      </c>
      <c r="H140" s="2630"/>
      <c r="I140" s="2629"/>
      <c r="J140" s="2630"/>
      <c r="K140" s="45"/>
      <c r="L140" s="2627"/>
      <c r="M140" s="2622"/>
      <c r="N140" s="2622"/>
      <c r="O140" s="2622"/>
      <c r="P140" s="2623"/>
      <c r="Q140" s="2629" t="s">
        <v>440</v>
      </c>
      <c r="R140" s="2630"/>
      <c r="S140" s="2631" t="s">
        <v>348</v>
      </c>
      <c r="T140" s="2650"/>
    </row>
    <row r="141" spans="1:20" ht="18.600000000000001" customHeight="1" x14ac:dyDescent="0.2">
      <c r="A141" s="2614"/>
      <c r="B141" s="2615"/>
      <c r="C141" s="53" t="s">
        <v>441</v>
      </c>
      <c r="D141" s="2670" t="s">
        <v>442</v>
      </c>
      <c r="E141" s="2631" t="s">
        <v>443</v>
      </c>
      <c r="F141" s="2632"/>
      <c r="G141" s="2629" t="s">
        <v>444</v>
      </c>
      <c r="H141" s="2630"/>
      <c r="I141" s="2629" t="s">
        <v>348</v>
      </c>
      <c r="J141" s="2630"/>
      <c r="K141" s="45"/>
      <c r="L141" s="2627"/>
      <c r="M141" s="51" t="s">
        <v>441</v>
      </c>
      <c r="N141" s="2670" t="s">
        <v>442</v>
      </c>
      <c r="O141" s="2631" t="s">
        <v>443</v>
      </c>
      <c r="P141" s="2632"/>
      <c r="Q141" s="2629" t="s">
        <v>444</v>
      </c>
      <c r="R141" s="2630"/>
      <c r="S141" s="2631"/>
      <c r="T141" s="2650"/>
    </row>
    <row r="142" spans="1:20" ht="18.600000000000001" customHeight="1" thickBot="1" x14ac:dyDescent="0.25">
      <c r="A142" s="2616"/>
      <c r="B142" s="2617"/>
      <c r="C142" s="54" t="s">
        <v>445</v>
      </c>
      <c r="D142" s="2634"/>
      <c r="E142" s="2621"/>
      <c r="F142" s="2623"/>
      <c r="G142" s="2561"/>
      <c r="H142" s="2562"/>
      <c r="I142" s="2561"/>
      <c r="J142" s="2562"/>
      <c r="K142" s="45"/>
      <c r="L142" s="2628"/>
      <c r="M142" s="50" t="s">
        <v>445</v>
      </c>
      <c r="N142" s="2634"/>
      <c r="O142" s="2621"/>
      <c r="P142" s="2623"/>
      <c r="Q142" s="2561"/>
      <c r="R142" s="2562"/>
      <c r="S142" s="2652"/>
      <c r="T142" s="2653"/>
    </row>
    <row r="143" spans="1:20" ht="18.600000000000001" customHeight="1" x14ac:dyDescent="0.3">
      <c r="A143" s="182" t="s">
        <v>446</v>
      </c>
      <c r="B143" s="183"/>
      <c r="C143" s="184"/>
      <c r="D143" s="170"/>
      <c r="E143" s="2576"/>
      <c r="F143" s="2650"/>
      <c r="G143" s="2559"/>
      <c r="H143" s="2818"/>
      <c r="I143" s="2559"/>
      <c r="J143" s="2819"/>
      <c r="K143" s="45"/>
      <c r="L143" s="119" t="s">
        <v>447</v>
      </c>
      <c r="M143" s="185"/>
      <c r="N143" s="186"/>
      <c r="O143" s="2605"/>
      <c r="P143" s="2606"/>
      <c r="Q143" s="2605"/>
      <c r="R143" s="2606"/>
      <c r="S143" s="2605"/>
      <c r="T143" s="2606"/>
    </row>
    <row r="144" spans="1:20" ht="18.600000000000001" customHeight="1" x14ac:dyDescent="0.35">
      <c r="A144" s="2822" t="s">
        <v>848</v>
      </c>
      <c r="B144" s="2823"/>
      <c r="C144" s="187"/>
      <c r="D144" s="170"/>
      <c r="E144" s="2576"/>
      <c r="F144" s="2650"/>
      <c r="G144" s="2559"/>
      <c r="H144" s="2818"/>
      <c r="I144" s="2565">
        <v>0</v>
      </c>
      <c r="J144" s="2824"/>
      <c r="K144" s="45"/>
      <c r="L144" s="122"/>
      <c r="M144" s="188"/>
      <c r="N144" s="170"/>
      <c r="O144" s="2559"/>
      <c r="P144" s="2560"/>
      <c r="Q144" s="2559"/>
      <c r="R144" s="2560"/>
      <c r="S144" s="2559"/>
      <c r="T144" s="2560"/>
    </row>
    <row r="145" spans="1:20" ht="18.600000000000001" customHeight="1" x14ac:dyDescent="0.3">
      <c r="A145" s="2820" t="s">
        <v>849</v>
      </c>
      <c r="B145" s="2821"/>
      <c r="C145" s="187"/>
      <c r="D145" s="170"/>
      <c r="E145" s="2576"/>
      <c r="F145" s="2650"/>
      <c r="G145" s="2559"/>
      <c r="H145" s="2818"/>
      <c r="I145" s="2559">
        <v>0</v>
      </c>
      <c r="J145" s="2560"/>
      <c r="K145" s="45"/>
      <c r="L145" s="122" t="s">
        <v>450</v>
      </c>
      <c r="M145" s="170" t="s">
        <v>894</v>
      </c>
      <c r="N145" s="170" t="s">
        <v>460</v>
      </c>
      <c r="O145" s="2559">
        <v>80</v>
      </c>
      <c r="P145" s="2560"/>
      <c r="Q145" s="2559">
        <v>89787.7264</v>
      </c>
      <c r="R145" s="2560"/>
      <c r="S145" s="2559">
        <v>7183018.1119999997</v>
      </c>
      <c r="T145" s="2560"/>
    </row>
    <row r="146" spans="1:20" ht="18.600000000000001" customHeight="1" x14ac:dyDescent="0.3">
      <c r="A146" s="148" t="s">
        <v>852</v>
      </c>
      <c r="B146" s="189"/>
      <c r="C146" s="187"/>
      <c r="D146" s="170"/>
      <c r="E146" s="2576"/>
      <c r="F146" s="2650"/>
      <c r="G146" s="2559"/>
      <c r="H146" s="2818"/>
      <c r="I146" s="2559">
        <v>0</v>
      </c>
      <c r="J146" s="2560"/>
      <c r="K146" s="45"/>
      <c r="L146" s="122" t="s">
        <v>853</v>
      </c>
      <c r="M146" s="188"/>
      <c r="N146" s="170"/>
      <c r="O146" s="2559"/>
      <c r="P146" s="2560"/>
      <c r="Q146" s="2559"/>
      <c r="R146" s="2560"/>
      <c r="S146" s="2559">
        <v>0</v>
      </c>
      <c r="T146" s="2560"/>
    </row>
    <row r="147" spans="1:20" ht="18.600000000000001" customHeight="1" x14ac:dyDescent="0.2">
      <c r="A147" s="2820" t="s">
        <v>854</v>
      </c>
      <c r="B147" s="2821"/>
      <c r="C147" s="187"/>
      <c r="D147" s="170"/>
      <c r="E147" s="2576"/>
      <c r="F147" s="2577"/>
      <c r="G147" s="2559"/>
      <c r="H147" s="2560"/>
      <c r="I147" s="2559">
        <v>0</v>
      </c>
      <c r="J147" s="2560"/>
      <c r="K147" s="45"/>
      <c r="L147" s="122" t="s">
        <v>855</v>
      </c>
      <c r="M147" s="170"/>
      <c r="N147" s="170"/>
      <c r="O147" s="2559"/>
      <c r="P147" s="2560"/>
      <c r="Q147" s="2559"/>
      <c r="R147" s="2560"/>
      <c r="S147" s="2559">
        <v>0</v>
      </c>
      <c r="T147" s="2560"/>
    </row>
    <row r="148" spans="1:20" ht="18.600000000000001" customHeight="1" x14ac:dyDescent="0.2">
      <c r="A148" s="2820" t="s">
        <v>858</v>
      </c>
      <c r="B148" s="2821"/>
      <c r="C148" s="187"/>
      <c r="D148" s="170"/>
      <c r="E148" s="2576"/>
      <c r="F148" s="2577"/>
      <c r="G148" s="2559"/>
      <c r="H148" s="2560"/>
      <c r="I148" s="2559">
        <v>0</v>
      </c>
      <c r="J148" s="2560"/>
      <c r="K148" s="45"/>
      <c r="L148" s="122" t="s">
        <v>861</v>
      </c>
      <c r="M148" s="170" t="s">
        <v>895</v>
      </c>
      <c r="N148" s="170" t="s">
        <v>460</v>
      </c>
      <c r="O148" s="2559">
        <v>3</v>
      </c>
      <c r="P148" s="2560"/>
      <c r="Q148" s="2559">
        <v>74040.478399999993</v>
      </c>
      <c r="R148" s="2560"/>
      <c r="S148" s="2559">
        <v>222121.43519999998</v>
      </c>
      <c r="T148" s="2560"/>
    </row>
    <row r="149" spans="1:20" ht="18.600000000000001" customHeight="1" x14ac:dyDescent="0.2">
      <c r="A149" s="2820" t="s">
        <v>860</v>
      </c>
      <c r="B149" s="2821"/>
      <c r="C149" s="187"/>
      <c r="D149" s="170"/>
      <c r="E149" s="2576"/>
      <c r="F149" s="2577"/>
      <c r="G149" s="2559"/>
      <c r="H149" s="2560"/>
      <c r="I149" s="2559">
        <v>0</v>
      </c>
      <c r="J149" s="2560"/>
      <c r="K149" s="45"/>
      <c r="L149" s="122" t="s">
        <v>861</v>
      </c>
      <c r="M149" s="170" t="s">
        <v>896</v>
      </c>
      <c r="N149" s="170" t="s">
        <v>732</v>
      </c>
      <c r="O149" s="2559">
        <v>2</v>
      </c>
      <c r="P149" s="2560"/>
      <c r="Q149" s="2559">
        <v>85643.828800000003</v>
      </c>
      <c r="R149" s="2560"/>
      <c r="S149" s="2559">
        <v>171287.65760000001</v>
      </c>
      <c r="T149" s="2560"/>
    </row>
    <row r="150" spans="1:20" ht="18.600000000000001" customHeight="1" x14ac:dyDescent="0.2">
      <c r="A150" s="2820" t="s">
        <v>862</v>
      </c>
      <c r="B150" s="2821"/>
      <c r="C150" s="187"/>
      <c r="D150" s="170"/>
      <c r="E150" s="2576"/>
      <c r="F150" s="2577"/>
      <c r="G150" s="2559"/>
      <c r="H150" s="2560"/>
      <c r="I150" s="2559">
        <v>0</v>
      </c>
      <c r="J150" s="2560"/>
      <c r="K150" s="45"/>
      <c r="L150" s="122" t="s">
        <v>863</v>
      </c>
      <c r="M150" s="170" t="s">
        <v>612</v>
      </c>
      <c r="N150" s="170" t="s">
        <v>740</v>
      </c>
      <c r="O150" s="2559">
        <v>2</v>
      </c>
      <c r="P150" s="2560"/>
      <c r="Q150" s="2559">
        <v>139863.10079999999</v>
      </c>
      <c r="R150" s="2560"/>
      <c r="S150" s="2559">
        <v>279726.20159999997</v>
      </c>
      <c r="T150" s="2560"/>
    </row>
    <row r="151" spans="1:20" ht="18.600000000000001" customHeight="1" x14ac:dyDescent="0.2">
      <c r="A151" s="2839" t="s">
        <v>890</v>
      </c>
      <c r="B151" s="2840"/>
      <c r="C151" s="187"/>
      <c r="D151" s="170"/>
      <c r="E151" s="2576"/>
      <c r="F151" s="2577"/>
      <c r="G151" s="2559"/>
      <c r="H151" s="2560"/>
      <c r="I151" s="2559">
        <v>0</v>
      </c>
      <c r="J151" s="2560"/>
      <c r="K151" s="45"/>
      <c r="L151" s="122" t="s">
        <v>534</v>
      </c>
      <c r="M151" s="170"/>
      <c r="N151" s="170"/>
      <c r="O151" s="2559"/>
      <c r="P151" s="2560"/>
      <c r="Q151" s="2559"/>
      <c r="R151" s="2560"/>
      <c r="S151" s="2559">
        <v>0</v>
      </c>
      <c r="T151" s="2560"/>
    </row>
    <row r="152" spans="1:20" ht="18.600000000000001" customHeight="1" x14ac:dyDescent="0.2">
      <c r="A152" s="2827" t="s">
        <v>560</v>
      </c>
      <c r="B152" s="2828"/>
      <c r="C152" s="187"/>
      <c r="D152" s="170"/>
      <c r="E152" s="2576"/>
      <c r="F152" s="2577"/>
      <c r="G152" s="2559"/>
      <c r="H152" s="2560"/>
      <c r="I152" s="2565">
        <v>940000</v>
      </c>
      <c r="J152" s="2566"/>
      <c r="K152" s="45"/>
      <c r="L152" s="122" t="s">
        <v>535</v>
      </c>
      <c r="M152" s="170" t="s">
        <v>590</v>
      </c>
      <c r="N152" s="170" t="s">
        <v>897</v>
      </c>
      <c r="O152" s="2559">
        <v>6</v>
      </c>
      <c r="P152" s="2560"/>
      <c r="Q152" s="2559">
        <v>223254</v>
      </c>
      <c r="R152" s="2560"/>
      <c r="S152" s="2559">
        <v>1339524</v>
      </c>
      <c r="T152" s="2560"/>
    </row>
    <row r="153" spans="1:20" ht="18.600000000000001" customHeight="1" x14ac:dyDescent="0.4">
      <c r="A153" s="190" t="s">
        <v>898</v>
      </c>
      <c r="B153" s="191"/>
      <c r="C153" s="120" t="s">
        <v>496</v>
      </c>
      <c r="D153" s="170" t="s">
        <v>899</v>
      </c>
      <c r="E153" s="2576">
        <v>20</v>
      </c>
      <c r="F153" s="2577"/>
      <c r="G153" s="2641">
        <v>47000</v>
      </c>
      <c r="H153" s="2642">
        <v>38202.400000000001</v>
      </c>
      <c r="I153" s="2559">
        <v>940000</v>
      </c>
      <c r="J153" s="2560"/>
      <c r="K153" s="45"/>
      <c r="L153" s="122" t="s">
        <v>537</v>
      </c>
      <c r="M153" s="170"/>
      <c r="N153" s="170"/>
      <c r="O153" s="2559"/>
      <c r="P153" s="2560"/>
      <c r="Q153" s="2559"/>
      <c r="R153" s="2560"/>
      <c r="S153" s="2559">
        <v>0</v>
      </c>
      <c r="T153" s="2560"/>
    </row>
    <row r="154" spans="1:20" ht="18.600000000000001" customHeight="1" x14ac:dyDescent="0.2">
      <c r="A154" s="2825" t="s">
        <v>865</v>
      </c>
      <c r="B154" s="2826"/>
      <c r="C154" s="187"/>
      <c r="D154" s="170"/>
      <c r="E154" s="2576"/>
      <c r="F154" s="2577"/>
      <c r="G154" s="2559"/>
      <c r="H154" s="2560"/>
      <c r="I154" s="2559">
        <v>0</v>
      </c>
      <c r="J154" s="2560"/>
      <c r="K154" s="45"/>
      <c r="L154" s="122" t="s">
        <v>866</v>
      </c>
      <c r="M154" s="170"/>
      <c r="N154" s="170"/>
      <c r="O154" s="2559"/>
      <c r="P154" s="2560"/>
      <c r="Q154" s="2559"/>
      <c r="R154" s="2560"/>
      <c r="S154" s="2559">
        <v>0</v>
      </c>
      <c r="T154" s="2560"/>
    </row>
    <row r="155" spans="1:20" ht="18.600000000000001" customHeight="1" x14ac:dyDescent="0.2">
      <c r="A155" s="190" t="s">
        <v>474</v>
      </c>
      <c r="B155" s="191"/>
      <c r="C155" s="187"/>
      <c r="D155" s="170"/>
      <c r="E155" s="2576"/>
      <c r="F155" s="2577"/>
      <c r="G155" s="2559"/>
      <c r="H155" s="2560"/>
      <c r="I155" s="2559">
        <v>0</v>
      </c>
      <c r="J155" s="2560"/>
      <c r="K155" s="45"/>
      <c r="L155" s="122" t="s">
        <v>869</v>
      </c>
      <c r="M155" s="170"/>
      <c r="N155" s="170"/>
      <c r="O155" s="2559"/>
      <c r="P155" s="2560"/>
      <c r="Q155" s="2559"/>
      <c r="R155" s="2560"/>
      <c r="S155" s="2559">
        <v>0</v>
      </c>
      <c r="T155" s="2560"/>
    </row>
    <row r="156" spans="1:20" ht="18.600000000000001" customHeight="1" x14ac:dyDescent="0.3">
      <c r="A156" s="190" t="s">
        <v>870</v>
      </c>
      <c r="B156" s="191"/>
      <c r="C156" s="187"/>
      <c r="D156" s="170"/>
      <c r="E156" s="2576"/>
      <c r="F156" s="2650"/>
      <c r="G156" s="2559"/>
      <c r="H156" s="2818"/>
      <c r="I156" s="2559">
        <v>0</v>
      </c>
      <c r="J156" s="2560"/>
      <c r="K156" s="45"/>
      <c r="L156" s="122" t="s">
        <v>871</v>
      </c>
      <c r="M156" s="188"/>
      <c r="N156" s="170"/>
      <c r="O156" s="2559"/>
      <c r="P156" s="2560"/>
      <c r="Q156" s="2559"/>
      <c r="R156" s="2560"/>
      <c r="S156" s="2559">
        <v>0</v>
      </c>
      <c r="T156" s="2560"/>
    </row>
    <row r="157" spans="1:20" ht="18.600000000000001" customHeight="1" x14ac:dyDescent="0.3">
      <c r="A157" s="192" t="s">
        <v>872</v>
      </c>
      <c r="B157" s="52"/>
      <c r="C157" s="187"/>
      <c r="D157" s="170"/>
      <c r="E157" s="2576"/>
      <c r="F157" s="2650"/>
      <c r="G157" s="2559"/>
      <c r="H157" s="2818"/>
      <c r="I157" s="2559">
        <v>0</v>
      </c>
      <c r="J157" s="2560"/>
      <c r="K157" s="45"/>
      <c r="L157" s="122" t="s">
        <v>595</v>
      </c>
      <c r="M157" s="188"/>
      <c r="N157" s="170"/>
      <c r="O157" s="2559"/>
      <c r="P157" s="2560"/>
      <c r="Q157" s="2559"/>
      <c r="R157" s="2560"/>
      <c r="S157" s="2559">
        <v>0</v>
      </c>
      <c r="T157" s="2560"/>
    </row>
    <row r="158" spans="1:20" ht="18.600000000000001" customHeight="1" x14ac:dyDescent="0.3">
      <c r="A158" s="190" t="s">
        <v>873</v>
      </c>
      <c r="B158" s="191"/>
      <c r="C158" s="187"/>
      <c r="D158" s="170"/>
      <c r="E158" s="2576"/>
      <c r="F158" s="2650"/>
      <c r="G158" s="2559"/>
      <c r="H158" s="2818"/>
      <c r="I158" s="2559">
        <v>0</v>
      </c>
      <c r="J158" s="2560"/>
      <c r="K158" s="45"/>
      <c r="L158" s="122" t="s">
        <v>507</v>
      </c>
      <c r="M158" s="170" t="s">
        <v>735</v>
      </c>
      <c r="N158" s="170" t="s">
        <v>497</v>
      </c>
      <c r="O158" s="2559">
        <v>160</v>
      </c>
      <c r="P158" s="2560"/>
      <c r="Q158" s="2559">
        <v>5163.4799999999996</v>
      </c>
      <c r="R158" s="2560"/>
      <c r="S158" s="2559">
        <v>826156.79999999993</v>
      </c>
      <c r="T158" s="2560"/>
    </row>
    <row r="159" spans="1:20" ht="18.600000000000001" customHeight="1" x14ac:dyDescent="0.3">
      <c r="A159" s="190" t="s">
        <v>504</v>
      </c>
      <c r="B159" s="191"/>
      <c r="C159" s="187"/>
      <c r="D159" s="170"/>
      <c r="E159" s="2576"/>
      <c r="F159" s="2650"/>
      <c r="G159" s="2559"/>
      <c r="H159" s="2818"/>
      <c r="I159" s="2559">
        <v>0</v>
      </c>
      <c r="J159" s="2560"/>
      <c r="K159" s="45"/>
      <c r="L159" s="122" t="s">
        <v>801</v>
      </c>
      <c r="M159" s="170" t="s">
        <v>900</v>
      </c>
      <c r="N159" s="170" t="s">
        <v>497</v>
      </c>
      <c r="O159" s="2559">
        <v>1</v>
      </c>
      <c r="P159" s="2560"/>
      <c r="Q159" s="2559">
        <v>14781.212799999999</v>
      </c>
      <c r="R159" s="2560"/>
      <c r="S159" s="2559">
        <v>14781.212799999999</v>
      </c>
      <c r="T159" s="2560"/>
    </row>
    <row r="160" spans="1:20" ht="18.600000000000001" customHeight="1" x14ac:dyDescent="0.35">
      <c r="A160" s="193" t="s">
        <v>490</v>
      </c>
      <c r="B160" s="194"/>
      <c r="C160" s="187"/>
      <c r="D160" s="170"/>
      <c r="E160" s="2576"/>
      <c r="F160" s="2650"/>
      <c r="G160" s="2559"/>
      <c r="H160" s="2818"/>
      <c r="I160" s="2565">
        <v>4512000</v>
      </c>
      <c r="J160" s="2824"/>
      <c r="K160" s="45"/>
      <c r="L160" s="122" t="s">
        <v>575</v>
      </c>
      <c r="M160" s="188"/>
      <c r="N160" s="170"/>
      <c r="O160" s="2559"/>
      <c r="P160" s="2560"/>
      <c r="Q160" s="2559"/>
      <c r="R160" s="2560"/>
      <c r="S160" s="2559">
        <v>0</v>
      </c>
      <c r="T160" s="2560"/>
    </row>
    <row r="161" spans="1:20" ht="18.600000000000001" customHeight="1" x14ac:dyDescent="0.4">
      <c r="A161" s="151" t="s">
        <v>901</v>
      </c>
      <c r="B161" s="195"/>
      <c r="C161" s="120" t="s">
        <v>496</v>
      </c>
      <c r="D161" s="170" t="s">
        <v>899</v>
      </c>
      <c r="E161" s="2559">
        <v>45</v>
      </c>
      <c r="F161" s="2560"/>
      <c r="G161" s="2641">
        <v>47000</v>
      </c>
      <c r="H161" s="2642">
        <v>38202.400000000001</v>
      </c>
      <c r="I161" s="2559">
        <v>2115000</v>
      </c>
      <c r="J161" s="2560"/>
      <c r="K161" s="45"/>
      <c r="L161" s="122" t="s">
        <v>874</v>
      </c>
      <c r="M161" s="188"/>
      <c r="N161" s="170"/>
      <c r="O161" s="2559"/>
      <c r="P161" s="2560"/>
      <c r="Q161" s="2559"/>
      <c r="R161" s="2560"/>
      <c r="S161" s="2559">
        <v>0</v>
      </c>
      <c r="T161" s="2560"/>
    </row>
    <row r="162" spans="1:20" ht="18.600000000000001" customHeight="1" x14ac:dyDescent="0.2">
      <c r="A162" s="151" t="s">
        <v>902</v>
      </c>
      <c r="B162" s="195"/>
      <c r="C162" s="187"/>
      <c r="D162" s="170"/>
      <c r="E162" s="2559"/>
      <c r="F162" s="2560"/>
      <c r="G162" s="2559"/>
      <c r="H162" s="2560"/>
      <c r="I162" s="2559">
        <v>0</v>
      </c>
      <c r="J162" s="2560"/>
      <c r="K162" s="45"/>
      <c r="L162" s="196" t="s">
        <v>515</v>
      </c>
      <c r="M162" s="197"/>
      <c r="N162" s="120"/>
      <c r="O162" s="2559"/>
      <c r="P162" s="2560"/>
      <c r="Q162" s="2559"/>
      <c r="R162" s="2560"/>
      <c r="S162" s="2559">
        <v>0</v>
      </c>
      <c r="T162" s="2560"/>
    </row>
    <row r="163" spans="1:20" ht="18.600000000000001" customHeight="1" x14ac:dyDescent="0.2">
      <c r="A163" s="196" t="s">
        <v>875</v>
      </c>
      <c r="B163" s="198"/>
      <c r="C163" s="187"/>
      <c r="D163" s="170"/>
      <c r="E163" s="2559"/>
      <c r="F163" s="2560"/>
      <c r="G163" s="2559"/>
      <c r="H163" s="2560"/>
      <c r="I163" s="2559">
        <v>0</v>
      </c>
      <c r="J163" s="2560"/>
      <c r="K163" s="45"/>
      <c r="L163" s="199" t="s">
        <v>876</v>
      </c>
      <c r="M163" s="53"/>
      <c r="N163" s="200"/>
      <c r="O163" s="2829"/>
      <c r="P163" s="2830"/>
      <c r="Q163" s="2829"/>
      <c r="R163" s="2830"/>
      <c r="S163" s="2629">
        <v>10036615.419199999</v>
      </c>
      <c r="T163" s="2630"/>
    </row>
    <row r="164" spans="1:20" ht="18.600000000000001" customHeight="1" x14ac:dyDescent="0.4">
      <c r="A164" s="196" t="s">
        <v>877</v>
      </c>
      <c r="B164" s="198"/>
      <c r="C164" s="120" t="s">
        <v>496</v>
      </c>
      <c r="D164" s="170" t="s">
        <v>899</v>
      </c>
      <c r="E164" s="2559">
        <v>8</v>
      </c>
      <c r="F164" s="2560"/>
      <c r="G164" s="2641">
        <v>47000</v>
      </c>
      <c r="H164" s="2642">
        <v>38202.400000000001</v>
      </c>
      <c r="I164" s="2559">
        <v>376000</v>
      </c>
      <c r="J164" s="2560"/>
      <c r="K164" s="45"/>
      <c r="L164" s="144" t="s">
        <v>577</v>
      </c>
      <c r="M164" s="145"/>
      <c r="N164" s="145"/>
      <c r="O164" s="146"/>
      <c r="P164" s="146"/>
      <c r="Q164" s="146"/>
      <c r="R164" s="146"/>
      <c r="S164" s="146"/>
      <c r="T164" s="147"/>
    </row>
    <row r="165" spans="1:20" ht="18.600000000000001" customHeight="1" x14ac:dyDescent="0.4">
      <c r="A165" s="2820" t="s">
        <v>526</v>
      </c>
      <c r="B165" s="2821"/>
      <c r="C165" s="120" t="s">
        <v>496</v>
      </c>
      <c r="D165" s="170" t="s">
        <v>899</v>
      </c>
      <c r="E165" s="2559">
        <v>25</v>
      </c>
      <c r="F165" s="2560"/>
      <c r="G165" s="2641">
        <v>47000</v>
      </c>
      <c r="H165" s="2642">
        <v>38202.400000000001</v>
      </c>
      <c r="I165" s="2559">
        <v>1175000</v>
      </c>
      <c r="J165" s="2560"/>
      <c r="K165" s="45"/>
      <c r="L165" s="148" t="s">
        <v>525</v>
      </c>
      <c r="M165" s="149">
        <v>0.05</v>
      </c>
      <c r="N165" s="45"/>
      <c r="O165" s="26"/>
      <c r="P165" s="26"/>
      <c r="Q165" s="26"/>
      <c r="R165" s="26"/>
      <c r="S165" s="2575">
        <v>834461.80232000002</v>
      </c>
      <c r="T165" s="2560"/>
    </row>
    <row r="166" spans="1:20" ht="18.600000000000001" customHeight="1" x14ac:dyDescent="0.3">
      <c r="A166" s="2820" t="s">
        <v>878</v>
      </c>
      <c r="B166" s="2821"/>
      <c r="C166" s="187"/>
      <c r="D166" s="170"/>
      <c r="E166" s="2576"/>
      <c r="F166" s="2650"/>
      <c r="G166" s="2559"/>
      <c r="H166" s="2818"/>
      <c r="I166" s="2559">
        <v>0</v>
      </c>
      <c r="J166" s="2560"/>
      <c r="K166" s="45"/>
      <c r="L166" s="151" t="s">
        <v>527</v>
      </c>
      <c r="M166" s="45"/>
      <c r="N166" s="45"/>
      <c r="O166" s="26"/>
      <c r="P166" s="26"/>
      <c r="Q166" s="26"/>
      <c r="R166" s="26"/>
      <c r="S166" s="2575">
        <v>163920</v>
      </c>
      <c r="T166" s="2560"/>
    </row>
    <row r="167" spans="1:20" ht="18.600000000000001" customHeight="1" x14ac:dyDescent="0.3">
      <c r="A167" s="2820" t="s">
        <v>879</v>
      </c>
      <c r="B167" s="2821"/>
      <c r="C167" s="187"/>
      <c r="D167" s="170"/>
      <c r="E167" s="2576"/>
      <c r="F167" s="2650"/>
      <c r="G167" s="2559"/>
      <c r="H167" s="2818"/>
      <c r="I167" s="2559">
        <v>0</v>
      </c>
      <c r="J167" s="2560"/>
      <c r="K167" s="45"/>
      <c r="L167" s="152" t="s">
        <v>529</v>
      </c>
      <c r="M167" s="45"/>
      <c r="N167" s="45"/>
      <c r="O167" s="26"/>
      <c r="P167" s="26"/>
      <c r="Q167" s="26"/>
      <c r="R167" s="26"/>
      <c r="S167" s="2575">
        <v>546400</v>
      </c>
      <c r="T167" s="2560"/>
    </row>
    <row r="168" spans="1:20" ht="18.600000000000001" customHeight="1" x14ac:dyDescent="0.4">
      <c r="A168" s="2820" t="s">
        <v>880</v>
      </c>
      <c r="B168" s="2821"/>
      <c r="C168" s="120" t="s">
        <v>496</v>
      </c>
      <c r="D168" s="170" t="s">
        <v>899</v>
      </c>
      <c r="E168" s="2576">
        <v>10</v>
      </c>
      <c r="F168" s="2650"/>
      <c r="G168" s="2641">
        <v>47000</v>
      </c>
      <c r="H168" s="2642">
        <v>38202.400000000001</v>
      </c>
      <c r="I168" s="2559">
        <v>470000</v>
      </c>
      <c r="J168" s="2560"/>
      <c r="K168" s="45"/>
      <c r="L168" s="152" t="s">
        <v>726</v>
      </c>
      <c r="M168" s="45"/>
      <c r="N168" s="45"/>
      <c r="O168" s="26"/>
      <c r="P168" s="26"/>
      <c r="Q168" s="26"/>
      <c r="R168" s="26"/>
      <c r="S168" s="2575">
        <v>834461.80232000002</v>
      </c>
      <c r="T168" s="2560"/>
    </row>
    <row r="169" spans="1:20" ht="18.600000000000001" customHeight="1" x14ac:dyDescent="0.4">
      <c r="A169" s="196" t="s">
        <v>881</v>
      </c>
      <c r="B169" s="198"/>
      <c r="C169" s="120" t="s">
        <v>496</v>
      </c>
      <c r="D169" s="170" t="s">
        <v>899</v>
      </c>
      <c r="E169" s="2576">
        <v>4</v>
      </c>
      <c r="F169" s="2650"/>
      <c r="G169" s="2641">
        <v>47000</v>
      </c>
      <c r="H169" s="2642">
        <v>38202.400000000001</v>
      </c>
      <c r="I169" s="2559">
        <v>188000</v>
      </c>
      <c r="J169" s="2560"/>
      <c r="K169" s="45"/>
      <c r="L169" s="166" t="s">
        <v>504</v>
      </c>
      <c r="M169" s="155"/>
      <c r="N169" s="155"/>
      <c r="O169" s="167"/>
      <c r="P169" s="167"/>
      <c r="Q169" s="167"/>
      <c r="R169" s="167"/>
      <c r="S169" s="2557">
        <v>152992</v>
      </c>
      <c r="T169" s="2558"/>
    </row>
    <row r="170" spans="1:20" ht="18.600000000000001" customHeight="1" x14ac:dyDescent="0.4">
      <c r="A170" s="2820" t="s">
        <v>882</v>
      </c>
      <c r="B170" s="2821"/>
      <c r="C170" s="120" t="s">
        <v>496</v>
      </c>
      <c r="D170" s="170" t="s">
        <v>899</v>
      </c>
      <c r="E170" s="2576">
        <v>4</v>
      </c>
      <c r="F170" s="2650"/>
      <c r="G170" s="2641">
        <v>47000</v>
      </c>
      <c r="H170" s="2642">
        <v>38202.400000000001</v>
      </c>
      <c r="I170" s="2559">
        <v>188000</v>
      </c>
      <c r="J170" s="2560"/>
      <c r="K170" s="45"/>
      <c r="L170" s="156" t="s">
        <v>533</v>
      </c>
      <c r="M170" s="201"/>
      <c r="N170" s="201"/>
      <c r="O170" s="202"/>
      <c r="P170" s="202"/>
      <c r="Q170" s="158"/>
      <c r="R170" s="158"/>
      <c r="S170" s="2587">
        <v>2532235.60464</v>
      </c>
      <c r="T170" s="2588"/>
    </row>
    <row r="171" spans="1:20" ht="18.600000000000001" customHeight="1" x14ac:dyDescent="0.3">
      <c r="A171" s="196" t="s">
        <v>504</v>
      </c>
      <c r="B171" s="198"/>
      <c r="C171" s="187"/>
      <c r="D171" s="170"/>
      <c r="E171" s="2576"/>
      <c r="F171" s="2650"/>
      <c r="G171" s="2559"/>
      <c r="H171" s="2818"/>
      <c r="I171" s="2559">
        <v>0</v>
      </c>
      <c r="J171" s="2560"/>
      <c r="K171" s="45"/>
      <c r="L171" s="159"/>
      <c r="M171" s="45"/>
      <c r="N171" s="45"/>
      <c r="O171" s="26"/>
      <c r="P171" s="26"/>
      <c r="Q171" s="26"/>
      <c r="R171" s="26"/>
      <c r="S171" s="26"/>
      <c r="T171" s="150"/>
    </row>
    <row r="172" spans="1:20" ht="18.600000000000001" customHeight="1" thickBot="1" x14ac:dyDescent="0.25">
      <c r="A172" s="203" t="s">
        <v>883</v>
      </c>
      <c r="B172" s="204"/>
      <c r="C172" s="187"/>
      <c r="D172" s="139"/>
      <c r="E172" s="2573"/>
      <c r="F172" s="2574"/>
      <c r="G172" s="2831"/>
      <c r="H172" s="2832"/>
      <c r="I172" s="2565">
        <v>1200620.6272</v>
      </c>
      <c r="J172" s="2566"/>
      <c r="K172" s="45"/>
      <c r="L172" s="160" t="s">
        <v>583</v>
      </c>
      <c r="M172" s="205"/>
      <c r="N172" s="205"/>
      <c r="O172" s="205"/>
      <c r="P172" s="205"/>
      <c r="Q172" s="161"/>
      <c r="R172" s="161"/>
      <c r="S172" s="2580">
        <v>19221471.651039999</v>
      </c>
      <c r="T172" s="2581"/>
    </row>
    <row r="173" spans="1:20" ht="18.600000000000001" customHeight="1" x14ac:dyDescent="0.4">
      <c r="A173" s="2839" t="s">
        <v>892</v>
      </c>
      <c r="B173" s="2840"/>
      <c r="C173" s="120" t="s">
        <v>496</v>
      </c>
      <c r="D173" s="170" t="s">
        <v>899</v>
      </c>
      <c r="E173" s="2559">
        <v>12</v>
      </c>
      <c r="F173" s="2560"/>
      <c r="G173" s="2641">
        <v>47000</v>
      </c>
      <c r="H173" s="2642">
        <v>38202.400000000001</v>
      </c>
      <c r="I173" s="2559">
        <v>564000</v>
      </c>
      <c r="J173" s="2560"/>
      <c r="K173" s="45"/>
      <c r="L173" s="45"/>
      <c r="M173" s="45"/>
      <c r="N173" s="45"/>
      <c r="O173" s="45"/>
      <c r="P173" s="45"/>
      <c r="Q173" s="45"/>
      <c r="R173" s="45"/>
      <c r="S173" s="45"/>
      <c r="T173" s="45"/>
    </row>
    <row r="174" spans="1:20" ht="18.600000000000001" customHeight="1" x14ac:dyDescent="0.4">
      <c r="A174" s="2820" t="s">
        <v>903</v>
      </c>
      <c r="B174" s="2821"/>
      <c r="C174" s="120" t="s">
        <v>496</v>
      </c>
      <c r="D174" s="170" t="s">
        <v>899</v>
      </c>
      <c r="E174" s="2576">
        <v>4</v>
      </c>
      <c r="F174" s="2650"/>
      <c r="G174" s="2641">
        <v>47000</v>
      </c>
      <c r="H174" s="2642">
        <v>38202.400000000001</v>
      </c>
      <c r="I174" s="2559">
        <v>188000</v>
      </c>
      <c r="J174" s="2560"/>
      <c r="K174" s="45"/>
      <c r="L174" s="7" t="s">
        <v>1528</v>
      </c>
      <c r="M174" s="8"/>
      <c r="N174" s="8"/>
      <c r="O174" s="8"/>
      <c r="P174" s="4"/>
      <c r="Q174" s="5"/>
      <c r="R174" s="9"/>
      <c r="S174" s="45"/>
      <c r="T174" s="45"/>
    </row>
    <row r="175" spans="1:20" ht="18.600000000000001" customHeight="1" x14ac:dyDescent="0.3">
      <c r="A175" s="196" t="s">
        <v>728</v>
      </c>
      <c r="B175" s="198"/>
      <c r="C175" s="187"/>
      <c r="D175" s="170"/>
      <c r="E175" s="2576"/>
      <c r="F175" s="2650"/>
      <c r="G175" s="2559"/>
      <c r="H175" s="2818"/>
      <c r="I175" s="2559">
        <v>0</v>
      </c>
      <c r="J175" s="2560"/>
      <c r="K175" s="45"/>
      <c r="L175" s="597" t="s">
        <v>1583</v>
      </c>
      <c r="M175" s="206"/>
      <c r="N175" s="206"/>
      <c r="O175" s="206"/>
      <c r="P175" s="206"/>
      <c r="Q175" s="207"/>
      <c r="R175" s="45"/>
      <c r="S175" s="45"/>
      <c r="T175" s="45"/>
    </row>
    <row r="176" spans="1:20" ht="18.600000000000001" customHeight="1" x14ac:dyDescent="0.3">
      <c r="A176" s="196" t="s">
        <v>886</v>
      </c>
      <c r="B176" s="198"/>
      <c r="C176" s="187"/>
      <c r="D176" s="170"/>
      <c r="E176" s="2576"/>
      <c r="F176" s="2650"/>
      <c r="G176" s="2559"/>
      <c r="H176" s="2818"/>
      <c r="I176" s="2559">
        <v>0</v>
      </c>
      <c r="J176" s="2560"/>
      <c r="K176" s="45"/>
      <c r="L176" s="45"/>
      <c r="M176" s="206"/>
      <c r="N176" s="206"/>
      <c r="O176" s="206"/>
      <c r="P176" s="206"/>
      <c r="Q176" s="44"/>
      <c r="R176" s="45"/>
      <c r="S176" s="45"/>
      <c r="T176" s="45"/>
    </row>
    <row r="177" spans="1:20" ht="18.600000000000001" customHeight="1" x14ac:dyDescent="0.3">
      <c r="A177" s="196" t="s">
        <v>615</v>
      </c>
      <c r="B177" s="198"/>
      <c r="C177" s="120"/>
      <c r="D177" s="170" t="s">
        <v>460</v>
      </c>
      <c r="E177" s="2576">
        <v>116</v>
      </c>
      <c r="F177" s="2650"/>
      <c r="G177" s="2559">
        <v>3867.4191999999998</v>
      </c>
      <c r="H177" s="2818">
        <v>3146.08</v>
      </c>
      <c r="I177" s="2559">
        <v>448620.62719999999</v>
      </c>
      <c r="J177" s="2560"/>
      <c r="K177" s="45"/>
      <c r="L177" s="45"/>
      <c r="M177" s="2834"/>
      <c r="N177" s="2834"/>
      <c r="O177" s="2834"/>
      <c r="P177" s="2834"/>
      <c r="Q177" s="44"/>
      <c r="R177" s="47"/>
      <c r="S177" s="45"/>
      <c r="T177" s="45"/>
    </row>
    <row r="178" spans="1:20" ht="18.600000000000001" customHeight="1" x14ac:dyDescent="0.2">
      <c r="A178" s="151"/>
      <c r="B178" s="195"/>
      <c r="C178" s="139"/>
      <c r="D178" s="139"/>
      <c r="E178" s="2573"/>
      <c r="F178" s="2574"/>
      <c r="G178" s="2831"/>
      <c r="H178" s="2832"/>
      <c r="I178" s="2831"/>
      <c r="J178" s="2832"/>
      <c r="K178" s="45"/>
      <c r="L178" s="45"/>
      <c r="M178" s="2834"/>
      <c r="N178" s="2834"/>
      <c r="O178" s="2834"/>
      <c r="P178" s="2834"/>
      <c r="Q178" s="44"/>
      <c r="R178" s="44"/>
      <c r="S178" s="45"/>
      <c r="T178" s="45"/>
    </row>
    <row r="179" spans="1:20" ht="18.600000000000001" customHeight="1" thickBot="1" x14ac:dyDescent="0.25">
      <c r="A179" s="208" t="s">
        <v>558</v>
      </c>
      <c r="B179" s="209"/>
      <c r="C179" s="210"/>
      <c r="D179" s="211"/>
      <c r="E179" s="2561">
        <v>132</v>
      </c>
      <c r="F179" s="2562"/>
      <c r="G179" s="2563"/>
      <c r="H179" s="2564"/>
      <c r="I179" s="2561">
        <v>6652620.6272</v>
      </c>
      <c r="J179" s="2562"/>
      <c r="K179" s="45"/>
      <c r="L179" s="45"/>
      <c r="M179" s="2834"/>
      <c r="N179" s="2834"/>
      <c r="O179" s="2834"/>
      <c r="P179" s="2834"/>
      <c r="Q179" s="44"/>
      <c r="R179" s="45"/>
      <c r="S179" s="45"/>
      <c r="T179" s="45"/>
    </row>
    <row r="180" spans="1:20" ht="17.100000000000001" customHeight="1" x14ac:dyDescent="0.3">
      <c r="A180" s="212"/>
      <c r="B180" s="212"/>
      <c r="C180" s="213"/>
      <c r="D180" s="214"/>
      <c r="E180" s="2835"/>
      <c r="F180" s="2836"/>
      <c r="G180" s="2575"/>
      <c r="H180" s="2837"/>
      <c r="I180" s="2575"/>
      <c r="J180" s="2838"/>
      <c r="K180" s="45"/>
      <c r="L180" s="45"/>
      <c r="M180" s="45"/>
      <c r="N180" s="45"/>
      <c r="O180" s="45"/>
      <c r="P180" s="45"/>
      <c r="Q180" s="45"/>
      <c r="R180" s="44"/>
      <c r="S180" s="45"/>
      <c r="T180" s="45"/>
    </row>
    <row r="181" spans="1:20" ht="16.5" x14ac:dyDescent="0.2">
      <c r="A181" s="40"/>
      <c r="B181" s="40"/>
      <c r="C181" s="45"/>
      <c r="D181" s="45"/>
      <c r="E181" s="45"/>
      <c r="F181" s="45"/>
      <c r="G181" s="42"/>
      <c r="H181" s="42"/>
      <c r="I181" s="43"/>
      <c r="J181" s="44"/>
      <c r="K181" s="45"/>
      <c r="L181" s="45"/>
      <c r="M181" s="45"/>
      <c r="N181" s="45"/>
      <c r="O181" s="45"/>
      <c r="P181" s="45"/>
      <c r="Q181" s="45"/>
      <c r="R181" s="45"/>
      <c r="S181" s="44"/>
      <c r="T181" s="45"/>
    </row>
    <row r="182" spans="1:20" ht="16.5" x14ac:dyDescent="0.2">
      <c r="A182" s="40"/>
      <c r="B182" s="40"/>
      <c r="C182" s="45"/>
      <c r="D182" s="45"/>
      <c r="E182" s="45"/>
      <c r="F182" s="45"/>
      <c r="G182" s="42"/>
      <c r="H182" s="42"/>
      <c r="I182" s="43"/>
      <c r="J182" s="44"/>
      <c r="K182" s="45"/>
      <c r="L182" s="45"/>
      <c r="M182" s="45"/>
      <c r="N182" s="45"/>
      <c r="O182" s="45"/>
      <c r="P182" s="45"/>
      <c r="Q182" s="45"/>
      <c r="R182" s="45"/>
      <c r="S182" s="45"/>
      <c r="T182" s="45"/>
    </row>
  </sheetData>
  <mergeCells count="891">
    <mergeCell ref="A139:B142"/>
    <mergeCell ref="A137:T137"/>
    <mergeCell ref="C139:F140"/>
    <mergeCell ref="G139:H139"/>
    <mergeCell ref="Q139:R139"/>
    <mergeCell ref="S139:T139"/>
    <mergeCell ref="E135:F135"/>
    <mergeCell ref="M177:P177"/>
    <mergeCell ref="M179:P179"/>
    <mergeCell ref="E178:F178"/>
    <mergeCell ref="G178:H178"/>
    <mergeCell ref="I178:J178"/>
    <mergeCell ref="M178:P178"/>
    <mergeCell ref="E172:F172"/>
    <mergeCell ref="G172:H172"/>
    <mergeCell ref="I172:J172"/>
    <mergeCell ref="S172:T172"/>
    <mergeCell ref="A173:B173"/>
    <mergeCell ref="E173:F173"/>
    <mergeCell ref="G173:H173"/>
    <mergeCell ref="I173:J173"/>
    <mergeCell ref="A174:B174"/>
    <mergeCell ref="E174:F174"/>
    <mergeCell ref="G174:H174"/>
    <mergeCell ref="E180:F180"/>
    <mergeCell ref="G180:H180"/>
    <mergeCell ref="I180:J180"/>
    <mergeCell ref="E179:F179"/>
    <mergeCell ref="G179:H179"/>
    <mergeCell ref="I179:J179"/>
    <mergeCell ref="E175:F175"/>
    <mergeCell ref="G175:H175"/>
    <mergeCell ref="I175:J175"/>
    <mergeCell ref="E176:F176"/>
    <mergeCell ref="G176:H176"/>
    <mergeCell ref="I176:J176"/>
    <mergeCell ref="E177:F177"/>
    <mergeCell ref="G177:H177"/>
    <mergeCell ref="I177:J177"/>
    <mergeCell ref="I174:J174"/>
    <mergeCell ref="E169:F169"/>
    <mergeCell ref="G169:H169"/>
    <mergeCell ref="I169:J169"/>
    <mergeCell ref="S169:T169"/>
    <mergeCell ref="A170:B170"/>
    <mergeCell ref="E170:F170"/>
    <mergeCell ref="G170:H170"/>
    <mergeCell ref="I170:J170"/>
    <mergeCell ref="E171:F171"/>
    <mergeCell ref="G171:H171"/>
    <mergeCell ref="I171:J171"/>
    <mergeCell ref="S167:T167"/>
    <mergeCell ref="A168:B168"/>
    <mergeCell ref="E168:F168"/>
    <mergeCell ref="G168:H168"/>
    <mergeCell ref="I168:J168"/>
    <mergeCell ref="S168:T168"/>
    <mergeCell ref="A167:B167"/>
    <mergeCell ref="E167:F167"/>
    <mergeCell ref="G167:H167"/>
    <mergeCell ref="I167:J167"/>
    <mergeCell ref="E164:F164"/>
    <mergeCell ref="G164:H164"/>
    <mergeCell ref="I164:J164"/>
    <mergeCell ref="A165:B165"/>
    <mergeCell ref="E165:F165"/>
    <mergeCell ref="G165:H165"/>
    <mergeCell ref="I165:J165"/>
    <mergeCell ref="S165:T165"/>
    <mergeCell ref="A166:B166"/>
    <mergeCell ref="E166:F166"/>
    <mergeCell ref="G166:H166"/>
    <mergeCell ref="I166:J166"/>
    <mergeCell ref="S166:T166"/>
    <mergeCell ref="Q163:R163"/>
    <mergeCell ref="S163:T163"/>
    <mergeCell ref="E162:F162"/>
    <mergeCell ref="G162:H162"/>
    <mergeCell ref="E163:F163"/>
    <mergeCell ref="G163:H163"/>
    <mergeCell ref="I163:J163"/>
    <mergeCell ref="O163:P163"/>
    <mergeCell ref="I162:J162"/>
    <mergeCell ref="O162:P162"/>
    <mergeCell ref="E160:F160"/>
    <mergeCell ref="G160:H160"/>
    <mergeCell ref="I160:J160"/>
    <mergeCell ref="O160:P160"/>
    <mergeCell ref="Q162:R162"/>
    <mergeCell ref="S162:T162"/>
    <mergeCell ref="E161:F161"/>
    <mergeCell ref="G161:H161"/>
    <mergeCell ref="I161:J161"/>
    <mergeCell ref="O161:P161"/>
    <mergeCell ref="Q160:R160"/>
    <mergeCell ref="S160:T160"/>
    <mergeCell ref="Q161:R161"/>
    <mergeCell ref="S161:T161"/>
    <mergeCell ref="Q159:R159"/>
    <mergeCell ref="S159:T159"/>
    <mergeCell ref="E158:F158"/>
    <mergeCell ref="G158:H158"/>
    <mergeCell ref="E159:F159"/>
    <mergeCell ref="G159:H159"/>
    <mergeCell ref="I159:J159"/>
    <mergeCell ref="O159:P159"/>
    <mergeCell ref="I158:J158"/>
    <mergeCell ref="O158:P158"/>
    <mergeCell ref="E156:F156"/>
    <mergeCell ref="G156:H156"/>
    <mergeCell ref="I156:J156"/>
    <mergeCell ref="O156:P156"/>
    <mergeCell ref="Q158:R158"/>
    <mergeCell ref="S158:T158"/>
    <mergeCell ref="E157:F157"/>
    <mergeCell ref="G157:H157"/>
    <mergeCell ref="I157:J157"/>
    <mergeCell ref="O157:P157"/>
    <mergeCell ref="Q156:R156"/>
    <mergeCell ref="S156:T156"/>
    <mergeCell ref="Q157:R157"/>
    <mergeCell ref="S157:T157"/>
    <mergeCell ref="A154:B154"/>
    <mergeCell ref="E154:F154"/>
    <mergeCell ref="G154:H154"/>
    <mergeCell ref="I154:J154"/>
    <mergeCell ref="O154:P154"/>
    <mergeCell ref="Q154:R154"/>
    <mergeCell ref="S154:T154"/>
    <mergeCell ref="E155:F155"/>
    <mergeCell ref="G155:H155"/>
    <mergeCell ref="I155:J155"/>
    <mergeCell ref="O155:P155"/>
    <mergeCell ref="Q155:R155"/>
    <mergeCell ref="S155:T155"/>
    <mergeCell ref="A152:B152"/>
    <mergeCell ref="E152:F152"/>
    <mergeCell ref="G152:H152"/>
    <mergeCell ref="I152:J152"/>
    <mergeCell ref="O152:P152"/>
    <mergeCell ref="Q152:R152"/>
    <mergeCell ref="S152:T152"/>
    <mergeCell ref="E153:F153"/>
    <mergeCell ref="G153:H153"/>
    <mergeCell ref="I153:J153"/>
    <mergeCell ref="O153:P153"/>
    <mergeCell ref="Q153:R153"/>
    <mergeCell ref="S153:T153"/>
    <mergeCell ref="A151:B151"/>
    <mergeCell ref="E151:F151"/>
    <mergeCell ref="G151:H151"/>
    <mergeCell ref="I151:J151"/>
    <mergeCell ref="O151:P151"/>
    <mergeCell ref="Q151:R151"/>
    <mergeCell ref="S151:T151"/>
    <mergeCell ref="A150:B150"/>
    <mergeCell ref="E150:F150"/>
    <mergeCell ref="Q149:R149"/>
    <mergeCell ref="S149:T149"/>
    <mergeCell ref="A148:B148"/>
    <mergeCell ref="E148:F148"/>
    <mergeCell ref="G148:H148"/>
    <mergeCell ref="I148:J148"/>
    <mergeCell ref="O148:P148"/>
    <mergeCell ref="Q148:R148"/>
    <mergeCell ref="G150:H150"/>
    <mergeCell ref="I150:J150"/>
    <mergeCell ref="O150:P150"/>
    <mergeCell ref="Q150:R150"/>
    <mergeCell ref="S148:T148"/>
    <mergeCell ref="A149:B149"/>
    <mergeCell ref="E149:F149"/>
    <mergeCell ref="G149:H149"/>
    <mergeCell ref="I149:J149"/>
    <mergeCell ref="O149:P149"/>
    <mergeCell ref="S150:T150"/>
    <mergeCell ref="I146:J146"/>
    <mergeCell ref="O146:P146"/>
    <mergeCell ref="O144:P144"/>
    <mergeCell ref="O145:P145"/>
    <mergeCell ref="Q146:R146"/>
    <mergeCell ref="Q143:R143"/>
    <mergeCell ref="Q144:R144"/>
    <mergeCell ref="S146:T146"/>
    <mergeCell ref="A147:B147"/>
    <mergeCell ref="E147:F147"/>
    <mergeCell ref="G147:H147"/>
    <mergeCell ref="I147:J147"/>
    <mergeCell ref="O147:P147"/>
    <mergeCell ref="Q147:R147"/>
    <mergeCell ref="S147:T147"/>
    <mergeCell ref="E146:F146"/>
    <mergeCell ref="G146:H146"/>
    <mergeCell ref="E143:F143"/>
    <mergeCell ref="G143:H143"/>
    <mergeCell ref="I143:J143"/>
    <mergeCell ref="O143:P143"/>
    <mergeCell ref="S144:T144"/>
    <mergeCell ref="Q145:R145"/>
    <mergeCell ref="S145:T145"/>
    <mergeCell ref="A144:B144"/>
    <mergeCell ref="A145:B145"/>
    <mergeCell ref="E145:F145"/>
    <mergeCell ref="G145:H145"/>
    <mergeCell ref="I145:J145"/>
    <mergeCell ref="S170:T170"/>
    <mergeCell ref="E134:F134"/>
    <mergeCell ref="G134:H134"/>
    <mergeCell ref="I134:J134"/>
    <mergeCell ref="M134:P134"/>
    <mergeCell ref="S143:T143"/>
    <mergeCell ref="G140:H140"/>
    <mergeCell ref="Q140:R140"/>
    <mergeCell ref="D141:D142"/>
    <mergeCell ref="E141:F142"/>
    <mergeCell ref="G141:H142"/>
    <mergeCell ref="I141:J141"/>
    <mergeCell ref="S140:T140"/>
    <mergeCell ref="N141:N142"/>
    <mergeCell ref="O141:P142"/>
    <mergeCell ref="Q141:R142"/>
    <mergeCell ref="S141:T142"/>
    <mergeCell ref="I139:J140"/>
    <mergeCell ref="L139:L142"/>
    <mergeCell ref="M139:P140"/>
    <mergeCell ref="E144:F144"/>
    <mergeCell ref="G144:H144"/>
    <mergeCell ref="I144:J144"/>
    <mergeCell ref="I142:J142"/>
    <mergeCell ref="E132:F132"/>
    <mergeCell ref="G132:H132"/>
    <mergeCell ref="I132:J132"/>
    <mergeCell ref="M132:P132"/>
    <mergeCell ref="E133:F133"/>
    <mergeCell ref="G133:H133"/>
    <mergeCell ref="I133:J133"/>
    <mergeCell ref="M133:P133"/>
    <mergeCell ref="G135:H135"/>
    <mergeCell ref="I135:J135"/>
    <mergeCell ref="E129:F129"/>
    <mergeCell ref="G129:H129"/>
    <mergeCell ref="I129:J129"/>
    <mergeCell ref="E130:F130"/>
    <mergeCell ref="G130:H130"/>
    <mergeCell ref="I130:J130"/>
    <mergeCell ref="E131:F131"/>
    <mergeCell ref="G131:H131"/>
    <mergeCell ref="I131:J131"/>
    <mergeCell ref="E126:F126"/>
    <mergeCell ref="G126:H126"/>
    <mergeCell ref="I126:J126"/>
    <mergeCell ref="E127:F127"/>
    <mergeCell ref="G127:H127"/>
    <mergeCell ref="I127:J127"/>
    <mergeCell ref="S127:T127"/>
    <mergeCell ref="A128:B128"/>
    <mergeCell ref="E128:F128"/>
    <mergeCell ref="G128:H128"/>
    <mergeCell ref="I128:J128"/>
    <mergeCell ref="E124:F124"/>
    <mergeCell ref="G124:H124"/>
    <mergeCell ref="I124:J124"/>
    <mergeCell ref="S124:T124"/>
    <mergeCell ref="A125:B125"/>
    <mergeCell ref="E125:F125"/>
    <mergeCell ref="G125:H125"/>
    <mergeCell ref="I125:J125"/>
    <mergeCell ref="S125:T125"/>
    <mergeCell ref="S122:T122"/>
    <mergeCell ref="A123:B123"/>
    <mergeCell ref="E123:F123"/>
    <mergeCell ref="G123:H123"/>
    <mergeCell ref="I123:J123"/>
    <mergeCell ref="S123:T123"/>
    <mergeCell ref="A122:B122"/>
    <mergeCell ref="E122:F122"/>
    <mergeCell ref="G122:H122"/>
    <mergeCell ref="I122:J122"/>
    <mergeCell ref="E119:F119"/>
    <mergeCell ref="G119:H119"/>
    <mergeCell ref="I119:J119"/>
    <mergeCell ref="A120:B120"/>
    <mergeCell ref="E120:F120"/>
    <mergeCell ref="G120:H120"/>
    <mergeCell ref="I120:J120"/>
    <mergeCell ref="S120:T120"/>
    <mergeCell ref="A121:B121"/>
    <mergeCell ref="E121:F121"/>
    <mergeCell ref="G121:H121"/>
    <mergeCell ref="I121:J121"/>
    <mergeCell ref="S121:T121"/>
    <mergeCell ref="Q118:R118"/>
    <mergeCell ref="S118:T118"/>
    <mergeCell ref="E117:F117"/>
    <mergeCell ref="G117:H117"/>
    <mergeCell ref="E118:F118"/>
    <mergeCell ref="G118:H118"/>
    <mergeCell ref="I118:J118"/>
    <mergeCell ref="O118:P118"/>
    <mergeCell ref="I117:J117"/>
    <mergeCell ref="O117:P117"/>
    <mergeCell ref="E115:F115"/>
    <mergeCell ref="G115:H115"/>
    <mergeCell ref="I115:J115"/>
    <mergeCell ref="O115:P115"/>
    <mergeCell ref="Q117:R117"/>
    <mergeCell ref="S117:T117"/>
    <mergeCell ref="E116:F116"/>
    <mergeCell ref="G116:H116"/>
    <mergeCell ref="I116:J116"/>
    <mergeCell ref="O116:P116"/>
    <mergeCell ref="Q115:R115"/>
    <mergeCell ref="S115:T115"/>
    <mergeCell ref="Q116:R116"/>
    <mergeCell ref="S116:T116"/>
    <mergeCell ref="Q114:R114"/>
    <mergeCell ref="S114:T114"/>
    <mergeCell ref="E113:F113"/>
    <mergeCell ref="G113:H113"/>
    <mergeCell ref="E114:F114"/>
    <mergeCell ref="G114:H114"/>
    <mergeCell ref="I114:J114"/>
    <mergeCell ref="O114:P114"/>
    <mergeCell ref="I113:J113"/>
    <mergeCell ref="O113:P113"/>
    <mergeCell ref="Q113:R113"/>
    <mergeCell ref="S113:T113"/>
    <mergeCell ref="E112:F112"/>
    <mergeCell ref="G112:H112"/>
    <mergeCell ref="I112:J112"/>
    <mergeCell ref="O112:P112"/>
    <mergeCell ref="Q111:R111"/>
    <mergeCell ref="S111:T111"/>
    <mergeCell ref="Q112:R112"/>
    <mergeCell ref="S112:T112"/>
    <mergeCell ref="E110:F110"/>
    <mergeCell ref="G110:H110"/>
    <mergeCell ref="I110:J110"/>
    <mergeCell ref="O110:P110"/>
    <mergeCell ref="Q110:R110"/>
    <mergeCell ref="S110:T110"/>
    <mergeCell ref="E111:F111"/>
    <mergeCell ref="G111:H111"/>
    <mergeCell ref="I111:J111"/>
    <mergeCell ref="O111:P111"/>
    <mergeCell ref="E108:F108"/>
    <mergeCell ref="G108:H108"/>
    <mergeCell ref="I108:J108"/>
    <mergeCell ref="O108:P108"/>
    <mergeCell ref="Q108:R108"/>
    <mergeCell ref="S108:T108"/>
    <mergeCell ref="A109:B109"/>
    <mergeCell ref="E109:F109"/>
    <mergeCell ref="G109:H109"/>
    <mergeCell ref="I109:J109"/>
    <mergeCell ref="O109:P109"/>
    <mergeCell ref="Q109:R109"/>
    <mergeCell ref="S109:T109"/>
    <mergeCell ref="A107:B107"/>
    <mergeCell ref="E107:F107"/>
    <mergeCell ref="G107:H107"/>
    <mergeCell ref="I107:J107"/>
    <mergeCell ref="O107:P107"/>
    <mergeCell ref="Q107:R107"/>
    <mergeCell ref="S107:T107"/>
    <mergeCell ref="A106:B106"/>
    <mergeCell ref="E106:F106"/>
    <mergeCell ref="Q105:R105"/>
    <mergeCell ref="S105:T105"/>
    <mergeCell ref="A104:B104"/>
    <mergeCell ref="E104:F104"/>
    <mergeCell ref="G104:H104"/>
    <mergeCell ref="I104:J104"/>
    <mergeCell ref="O104:P104"/>
    <mergeCell ref="Q104:R104"/>
    <mergeCell ref="G106:H106"/>
    <mergeCell ref="I106:J106"/>
    <mergeCell ref="O106:P106"/>
    <mergeCell ref="Q106:R106"/>
    <mergeCell ref="S104:T104"/>
    <mergeCell ref="A105:B105"/>
    <mergeCell ref="E105:F105"/>
    <mergeCell ref="G105:H105"/>
    <mergeCell ref="I105:J105"/>
    <mergeCell ref="O105:P105"/>
    <mergeCell ref="S106:T106"/>
    <mergeCell ref="S102:T102"/>
    <mergeCell ref="E101:F101"/>
    <mergeCell ref="A103:B103"/>
    <mergeCell ref="E103:F103"/>
    <mergeCell ref="G103:H103"/>
    <mergeCell ref="I103:J103"/>
    <mergeCell ref="O103:P103"/>
    <mergeCell ref="Q103:R103"/>
    <mergeCell ref="S103:T103"/>
    <mergeCell ref="A102:B102"/>
    <mergeCell ref="E102:F102"/>
    <mergeCell ref="G102:H102"/>
    <mergeCell ref="I102:J102"/>
    <mergeCell ref="O102:P102"/>
    <mergeCell ref="Q102:R102"/>
    <mergeCell ref="G101:H101"/>
    <mergeCell ref="I101:J101"/>
    <mergeCell ref="O101:P101"/>
    <mergeCell ref="Q101:R101"/>
    <mergeCell ref="A99:B99"/>
    <mergeCell ref="E99:F99"/>
    <mergeCell ref="G99:H99"/>
    <mergeCell ref="I99:J99"/>
    <mergeCell ref="O99:P99"/>
    <mergeCell ref="E98:F98"/>
    <mergeCell ref="G98:H98"/>
    <mergeCell ref="S101:T101"/>
    <mergeCell ref="Q99:R99"/>
    <mergeCell ref="S99:T99"/>
    <mergeCell ref="A100:B100"/>
    <mergeCell ref="E100:F100"/>
    <mergeCell ref="G100:H100"/>
    <mergeCell ref="I100:J100"/>
    <mergeCell ref="O100:P100"/>
    <mergeCell ref="I98:J98"/>
    <mergeCell ref="O98:P98"/>
    <mergeCell ref="Q98:R98"/>
    <mergeCell ref="G96:H97"/>
    <mergeCell ref="I96:J96"/>
    <mergeCell ref="D96:D97"/>
    <mergeCell ref="E96:F97"/>
    <mergeCell ref="S98:T98"/>
    <mergeCell ref="Q100:R100"/>
    <mergeCell ref="S100:T100"/>
    <mergeCell ref="A92:T92"/>
    <mergeCell ref="C94:F95"/>
    <mergeCell ref="G94:H94"/>
    <mergeCell ref="I94:J95"/>
    <mergeCell ref="L94:L97"/>
    <mergeCell ref="M94:P95"/>
    <mergeCell ref="Q94:R94"/>
    <mergeCell ref="S94:T94"/>
    <mergeCell ref="G95:H95"/>
    <mergeCell ref="Q95:R95"/>
    <mergeCell ref="S95:T95"/>
    <mergeCell ref="N96:N97"/>
    <mergeCell ref="O96:P97"/>
    <mergeCell ref="Q96:R97"/>
    <mergeCell ref="S96:T97"/>
    <mergeCell ref="I97:J97"/>
    <mergeCell ref="A94:B97"/>
    <mergeCell ref="G87:H87"/>
    <mergeCell ref="I87:J87"/>
    <mergeCell ref="M87:P87"/>
    <mergeCell ref="E88:F88"/>
    <mergeCell ref="G88:H88"/>
    <mergeCell ref="I88:J88"/>
    <mergeCell ref="M88:P88"/>
    <mergeCell ref="E90:F90"/>
    <mergeCell ref="G90:H90"/>
    <mergeCell ref="I90:J90"/>
    <mergeCell ref="E89:F89"/>
    <mergeCell ref="G89:H89"/>
    <mergeCell ref="I89:J89"/>
    <mergeCell ref="M89:P89"/>
    <mergeCell ref="E87:F87"/>
    <mergeCell ref="A84:B84"/>
    <mergeCell ref="E84:F84"/>
    <mergeCell ref="G84:H84"/>
    <mergeCell ref="I84:J84"/>
    <mergeCell ref="E85:F85"/>
    <mergeCell ref="G85:H85"/>
    <mergeCell ref="I85:J85"/>
    <mergeCell ref="E86:F86"/>
    <mergeCell ref="G86:H86"/>
    <mergeCell ref="I86:J86"/>
    <mergeCell ref="E81:F81"/>
    <mergeCell ref="G81:H81"/>
    <mergeCell ref="I81:J81"/>
    <mergeCell ref="E82:F82"/>
    <mergeCell ref="G82:H82"/>
    <mergeCell ref="I82:J82"/>
    <mergeCell ref="S82:T82"/>
    <mergeCell ref="E83:F83"/>
    <mergeCell ref="G83:H83"/>
    <mergeCell ref="I83:J83"/>
    <mergeCell ref="E79:F79"/>
    <mergeCell ref="G79:H79"/>
    <mergeCell ref="I79:J79"/>
    <mergeCell ref="S79:T79"/>
    <mergeCell ref="A80:B80"/>
    <mergeCell ref="E80:F80"/>
    <mergeCell ref="G80:H80"/>
    <mergeCell ref="I80:J80"/>
    <mergeCell ref="S80:T80"/>
    <mergeCell ref="S77:T77"/>
    <mergeCell ref="A78:B78"/>
    <mergeCell ref="E78:F78"/>
    <mergeCell ref="G78:H78"/>
    <mergeCell ref="I78:J78"/>
    <mergeCell ref="S78:T78"/>
    <mergeCell ref="A77:B77"/>
    <mergeCell ref="E77:F77"/>
    <mergeCell ref="G77:H77"/>
    <mergeCell ref="I77:J77"/>
    <mergeCell ref="S75:T75"/>
    <mergeCell ref="A76:B76"/>
    <mergeCell ref="E76:F76"/>
    <mergeCell ref="G76:H76"/>
    <mergeCell ref="I76:J76"/>
    <mergeCell ref="S76:T76"/>
    <mergeCell ref="A75:B75"/>
    <mergeCell ref="E75:F75"/>
    <mergeCell ref="G75:H75"/>
    <mergeCell ref="I75:J75"/>
    <mergeCell ref="Q73:R73"/>
    <mergeCell ref="S73:T73"/>
    <mergeCell ref="E74:F74"/>
    <mergeCell ref="G74:H74"/>
    <mergeCell ref="I74:J74"/>
    <mergeCell ref="E73:F73"/>
    <mergeCell ref="G73:H73"/>
    <mergeCell ref="I73:J73"/>
    <mergeCell ref="O73:P73"/>
    <mergeCell ref="Q72:R72"/>
    <mergeCell ref="S72:T72"/>
    <mergeCell ref="E71:F71"/>
    <mergeCell ref="G71:H71"/>
    <mergeCell ref="E72:F72"/>
    <mergeCell ref="G72:H72"/>
    <mergeCell ref="I72:J72"/>
    <mergeCell ref="O72:P72"/>
    <mergeCell ref="I71:J71"/>
    <mergeCell ref="O71:P71"/>
    <mergeCell ref="E69:F69"/>
    <mergeCell ref="G69:H69"/>
    <mergeCell ref="I69:J69"/>
    <mergeCell ref="O69:P69"/>
    <mergeCell ref="Q71:R71"/>
    <mergeCell ref="S71:T71"/>
    <mergeCell ref="E70:F70"/>
    <mergeCell ref="G70:H70"/>
    <mergeCell ref="I70:J70"/>
    <mergeCell ref="O70:P70"/>
    <mergeCell ref="Q69:R69"/>
    <mergeCell ref="S69:T69"/>
    <mergeCell ref="Q70:R70"/>
    <mergeCell ref="S70:T70"/>
    <mergeCell ref="Q68:R68"/>
    <mergeCell ref="S68:T68"/>
    <mergeCell ref="E67:F67"/>
    <mergeCell ref="G67:H67"/>
    <mergeCell ref="E68:F68"/>
    <mergeCell ref="G68:H68"/>
    <mergeCell ref="I68:J68"/>
    <mergeCell ref="O68:P68"/>
    <mergeCell ref="I67:J67"/>
    <mergeCell ref="O67:P67"/>
    <mergeCell ref="E65:F65"/>
    <mergeCell ref="G65:H65"/>
    <mergeCell ref="I65:J65"/>
    <mergeCell ref="O65:P65"/>
    <mergeCell ref="Q67:R67"/>
    <mergeCell ref="S67:T67"/>
    <mergeCell ref="E66:F66"/>
    <mergeCell ref="G66:H66"/>
    <mergeCell ref="I66:J66"/>
    <mergeCell ref="O66:P66"/>
    <mergeCell ref="Q65:R65"/>
    <mergeCell ref="S65:T65"/>
    <mergeCell ref="Q66:R66"/>
    <mergeCell ref="S66:T66"/>
    <mergeCell ref="I63:J63"/>
    <mergeCell ref="O63:P63"/>
    <mergeCell ref="Q61:R61"/>
    <mergeCell ref="I61:J61"/>
    <mergeCell ref="O61:P61"/>
    <mergeCell ref="Q63:R63"/>
    <mergeCell ref="S63:T63"/>
    <mergeCell ref="A64:B64"/>
    <mergeCell ref="E64:F64"/>
    <mergeCell ref="G64:H64"/>
    <mergeCell ref="I64:J64"/>
    <mergeCell ref="O64:P64"/>
    <mergeCell ref="Q64:R64"/>
    <mergeCell ref="S64:T64"/>
    <mergeCell ref="E63:F63"/>
    <mergeCell ref="G63:H63"/>
    <mergeCell ref="S61:T61"/>
    <mergeCell ref="A62:B62"/>
    <mergeCell ref="E62:F62"/>
    <mergeCell ref="G62:H62"/>
    <mergeCell ref="I62:J62"/>
    <mergeCell ref="O62:P62"/>
    <mergeCell ref="Q62:R62"/>
    <mergeCell ref="S62:T62"/>
    <mergeCell ref="E61:F61"/>
    <mergeCell ref="G61:H61"/>
    <mergeCell ref="A60:B60"/>
    <mergeCell ref="E60:F60"/>
    <mergeCell ref="G60:H60"/>
    <mergeCell ref="I60:J60"/>
    <mergeCell ref="O60:P60"/>
    <mergeCell ref="Q60:R60"/>
    <mergeCell ref="S60:T60"/>
    <mergeCell ref="A59:B59"/>
    <mergeCell ref="E59:F59"/>
    <mergeCell ref="Q58:R58"/>
    <mergeCell ref="S58:T58"/>
    <mergeCell ref="A57:B57"/>
    <mergeCell ref="E57:F57"/>
    <mergeCell ref="G57:H57"/>
    <mergeCell ref="I57:J57"/>
    <mergeCell ref="O57:P57"/>
    <mergeCell ref="Q57:R57"/>
    <mergeCell ref="G59:H59"/>
    <mergeCell ref="I59:J59"/>
    <mergeCell ref="O59:P59"/>
    <mergeCell ref="Q59:R59"/>
    <mergeCell ref="S57:T57"/>
    <mergeCell ref="A58:B58"/>
    <mergeCell ref="E58:F58"/>
    <mergeCell ref="G58:H58"/>
    <mergeCell ref="I58:J58"/>
    <mergeCell ref="O58:P58"/>
    <mergeCell ref="S59:T59"/>
    <mergeCell ref="A55:B55"/>
    <mergeCell ref="E55:F55"/>
    <mergeCell ref="G55:H55"/>
    <mergeCell ref="I55:J55"/>
    <mergeCell ref="O55:P55"/>
    <mergeCell ref="Q55:R55"/>
    <mergeCell ref="S55:T55"/>
    <mergeCell ref="E56:F56"/>
    <mergeCell ref="G56:H56"/>
    <mergeCell ref="I56:J56"/>
    <mergeCell ref="O56:P56"/>
    <mergeCell ref="Q56:R56"/>
    <mergeCell ref="S56:T56"/>
    <mergeCell ref="A54:B54"/>
    <mergeCell ref="E54:F54"/>
    <mergeCell ref="G54:H54"/>
    <mergeCell ref="I54:J54"/>
    <mergeCell ref="O54:P54"/>
    <mergeCell ref="Q54:R54"/>
    <mergeCell ref="S54:T54"/>
    <mergeCell ref="E53:F53"/>
    <mergeCell ref="G53:H53"/>
    <mergeCell ref="I53:J53"/>
    <mergeCell ref="O53:P53"/>
    <mergeCell ref="N51:N52"/>
    <mergeCell ref="O51:P52"/>
    <mergeCell ref="Q53:R53"/>
    <mergeCell ref="S50:T50"/>
    <mergeCell ref="Q51:R52"/>
    <mergeCell ref="S51:T52"/>
    <mergeCell ref="M49:P50"/>
    <mergeCell ref="Q49:R49"/>
    <mergeCell ref="S53:T53"/>
    <mergeCell ref="M42:P42"/>
    <mergeCell ref="M44:P44"/>
    <mergeCell ref="D51:D52"/>
    <mergeCell ref="E51:F52"/>
    <mergeCell ref="G51:H52"/>
    <mergeCell ref="I51:J51"/>
    <mergeCell ref="I52:J52"/>
    <mergeCell ref="A47:T47"/>
    <mergeCell ref="C49:F50"/>
    <mergeCell ref="G49:H49"/>
    <mergeCell ref="A49:B52"/>
    <mergeCell ref="E43:F43"/>
    <mergeCell ref="G43:H43"/>
    <mergeCell ref="I43:J43"/>
    <mergeCell ref="M43:P43"/>
    <mergeCell ref="E44:F44"/>
    <mergeCell ref="G44:H44"/>
    <mergeCell ref="I44:J44"/>
    <mergeCell ref="S49:T49"/>
    <mergeCell ref="G50:H50"/>
    <mergeCell ref="Q50:R50"/>
    <mergeCell ref="E45:F45"/>
    <mergeCell ref="G45:H45"/>
    <mergeCell ref="I45:J45"/>
    <mergeCell ref="I49:J50"/>
    <mergeCell ref="L49:L52"/>
    <mergeCell ref="A39:B39"/>
    <mergeCell ref="E39:F39"/>
    <mergeCell ref="G39:H39"/>
    <mergeCell ref="I39:J39"/>
    <mergeCell ref="E42:F42"/>
    <mergeCell ref="E40:F40"/>
    <mergeCell ref="G40:H40"/>
    <mergeCell ref="I40:J40"/>
    <mergeCell ref="E41:F41"/>
    <mergeCell ref="G41:H41"/>
    <mergeCell ref="I41:J41"/>
    <mergeCell ref="G42:H42"/>
    <mergeCell ref="I42:J42"/>
    <mergeCell ref="E36:F36"/>
    <mergeCell ref="G36:H36"/>
    <mergeCell ref="I36:J36"/>
    <mergeCell ref="E37:F37"/>
    <mergeCell ref="G37:H37"/>
    <mergeCell ref="I37:J37"/>
    <mergeCell ref="S37:T37"/>
    <mergeCell ref="E38:F38"/>
    <mergeCell ref="G38:H38"/>
    <mergeCell ref="I38:J38"/>
    <mergeCell ref="E34:F34"/>
    <mergeCell ref="G34:H34"/>
    <mergeCell ref="I34:J34"/>
    <mergeCell ref="S34:T34"/>
    <mergeCell ref="A35:B35"/>
    <mergeCell ref="E35:F35"/>
    <mergeCell ref="G35:H35"/>
    <mergeCell ref="I35:J35"/>
    <mergeCell ref="S35:T35"/>
    <mergeCell ref="S32:T32"/>
    <mergeCell ref="A33:B33"/>
    <mergeCell ref="E33:F33"/>
    <mergeCell ref="G33:H33"/>
    <mergeCell ref="I33:J33"/>
    <mergeCell ref="S33:T33"/>
    <mergeCell ref="A32:B32"/>
    <mergeCell ref="E32:F32"/>
    <mergeCell ref="G32:H32"/>
    <mergeCell ref="I32:J32"/>
    <mergeCell ref="S30:T30"/>
    <mergeCell ref="A31:B31"/>
    <mergeCell ref="E31:F31"/>
    <mergeCell ref="G31:H31"/>
    <mergeCell ref="I31:J31"/>
    <mergeCell ref="S31:T31"/>
    <mergeCell ref="A30:B30"/>
    <mergeCell ref="E30:F30"/>
    <mergeCell ref="G30:H30"/>
    <mergeCell ref="I30:J30"/>
    <mergeCell ref="Q28:R28"/>
    <mergeCell ref="S28:T28"/>
    <mergeCell ref="E29:F29"/>
    <mergeCell ref="G29:H29"/>
    <mergeCell ref="I29:J29"/>
    <mergeCell ref="E28:F28"/>
    <mergeCell ref="G28:H28"/>
    <mergeCell ref="I28:J28"/>
    <mergeCell ref="O28:P28"/>
    <mergeCell ref="Q27:R27"/>
    <mergeCell ref="S27:T27"/>
    <mergeCell ref="E26:F26"/>
    <mergeCell ref="G26:H26"/>
    <mergeCell ref="E27:F27"/>
    <mergeCell ref="G27:H27"/>
    <mergeCell ref="I27:J27"/>
    <mergeCell ref="O27:P27"/>
    <mergeCell ref="I26:J26"/>
    <mergeCell ref="O26:P26"/>
    <mergeCell ref="E24:F24"/>
    <mergeCell ref="G24:H24"/>
    <mergeCell ref="I24:J24"/>
    <mergeCell ref="O24:P24"/>
    <mergeCell ref="Q26:R26"/>
    <mergeCell ref="S26:T26"/>
    <mergeCell ref="E25:F25"/>
    <mergeCell ref="G25:H25"/>
    <mergeCell ref="I25:J25"/>
    <mergeCell ref="O25:P25"/>
    <mergeCell ref="Q24:R24"/>
    <mergeCell ref="S24:T24"/>
    <mergeCell ref="Q25:R25"/>
    <mergeCell ref="S25:T25"/>
    <mergeCell ref="Q23:R23"/>
    <mergeCell ref="S23:T23"/>
    <mergeCell ref="E22:F22"/>
    <mergeCell ref="G22:H22"/>
    <mergeCell ref="E23:F23"/>
    <mergeCell ref="G23:H23"/>
    <mergeCell ref="I23:J23"/>
    <mergeCell ref="O23:P23"/>
    <mergeCell ref="I22:J22"/>
    <mergeCell ref="O22:P22"/>
    <mergeCell ref="E20:F20"/>
    <mergeCell ref="G20:H20"/>
    <mergeCell ref="I20:J20"/>
    <mergeCell ref="O20:P20"/>
    <mergeCell ref="Q22:R22"/>
    <mergeCell ref="S22:T22"/>
    <mergeCell ref="E21:F21"/>
    <mergeCell ref="G21:H21"/>
    <mergeCell ref="I21:J21"/>
    <mergeCell ref="O21:P21"/>
    <mergeCell ref="Q20:R20"/>
    <mergeCell ref="S20:T20"/>
    <mergeCell ref="Q21:R21"/>
    <mergeCell ref="S21:T21"/>
    <mergeCell ref="I18:J18"/>
    <mergeCell ref="O18:P18"/>
    <mergeCell ref="Q16:R16"/>
    <mergeCell ref="I16:J16"/>
    <mergeCell ref="O16:P16"/>
    <mergeCell ref="Q18:R18"/>
    <mergeCell ref="S18:T18"/>
    <mergeCell ref="A19:B19"/>
    <mergeCell ref="E19:F19"/>
    <mergeCell ref="G19:H19"/>
    <mergeCell ref="I19:J19"/>
    <mergeCell ref="O19:P19"/>
    <mergeCell ref="Q19:R19"/>
    <mergeCell ref="S19:T19"/>
    <mergeCell ref="E18:F18"/>
    <mergeCell ref="G18:H18"/>
    <mergeCell ref="S16:T16"/>
    <mergeCell ref="A17:B17"/>
    <mergeCell ref="E17:F17"/>
    <mergeCell ref="G17:H17"/>
    <mergeCell ref="I17:J17"/>
    <mergeCell ref="O17:P17"/>
    <mergeCell ref="Q17:R17"/>
    <mergeCell ref="S17:T17"/>
    <mergeCell ref="E16:F16"/>
    <mergeCell ref="G16:H16"/>
    <mergeCell ref="A15:B15"/>
    <mergeCell ref="E15:F15"/>
    <mergeCell ref="G15:H15"/>
    <mergeCell ref="I15:J15"/>
    <mergeCell ref="O15:P15"/>
    <mergeCell ref="Q15:R15"/>
    <mergeCell ref="S15:T15"/>
    <mergeCell ref="A14:B14"/>
    <mergeCell ref="E14:F14"/>
    <mergeCell ref="G14:H14"/>
    <mergeCell ref="I14:J14"/>
    <mergeCell ref="O14:P14"/>
    <mergeCell ref="Q14:R14"/>
    <mergeCell ref="S12:T12"/>
    <mergeCell ref="A13:B13"/>
    <mergeCell ref="E13:F13"/>
    <mergeCell ref="G13:H13"/>
    <mergeCell ref="I13:J13"/>
    <mergeCell ref="O13:P13"/>
    <mergeCell ref="S14:T14"/>
    <mergeCell ref="E11:F11"/>
    <mergeCell ref="G11:H11"/>
    <mergeCell ref="I11:J11"/>
    <mergeCell ref="O11:P11"/>
    <mergeCell ref="Q11:R11"/>
    <mergeCell ref="S11:T11"/>
    <mergeCell ref="Q13:R13"/>
    <mergeCell ref="S13:T13"/>
    <mergeCell ref="A12:B12"/>
    <mergeCell ref="E12:F12"/>
    <mergeCell ref="G12:H12"/>
    <mergeCell ref="I12:J12"/>
    <mergeCell ref="O12:P12"/>
    <mergeCell ref="Q12:R12"/>
    <mergeCell ref="G8:H8"/>
    <mergeCell ref="I8:J8"/>
    <mergeCell ref="O8:P8"/>
    <mergeCell ref="L4:L7"/>
    <mergeCell ref="M4:P5"/>
    <mergeCell ref="S9:T9"/>
    <mergeCell ref="E8:F8"/>
    <mergeCell ref="A10:B10"/>
    <mergeCell ref="E10:F10"/>
    <mergeCell ref="G10:H10"/>
    <mergeCell ref="I10:J10"/>
    <mergeCell ref="O10:P10"/>
    <mergeCell ref="Q10:R10"/>
    <mergeCell ref="S10:T10"/>
    <mergeCell ref="A9:B9"/>
    <mergeCell ref="E9:F9"/>
    <mergeCell ref="G9:H9"/>
    <mergeCell ref="I9:J9"/>
    <mergeCell ref="O9:P9"/>
    <mergeCell ref="Q9:R9"/>
    <mergeCell ref="Q8:R8"/>
    <mergeCell ref="S8:T8"/>
    <mergeCell ref="E6:F7"/>
    <mergeCell ref="N6:N7"/>
    <mergeCell ref="A2:T2"/>
    <mergeCell ref="Q6:R7"/>
    <mergeCell ref="S6:T7"/>
    <mergeCell ref="C4:F5"/>
    <mergeCell ref="G4:H4"/>
    <mergeCell ref="I4:J5"/>
    <mergeCell ref="G5:H5"/>
    <mergeCell ref="D6:D7"/>
    <mergeCell ref="A4:B7"/>
    <mergeCell ref="O6:P7"/>
    <mergeCell ref="I6:J6"/>
    <mergeCell ref="I7:J7"/>
    <mergeCell ref="G6:H7"/>
    <mergeCell ref="Q4:R4"/>
    <mergeCell ref="S4:T4"/>
    <mergeCell ref="Q5:R5"/>
    <mergeCell ref="S5:T5"/>
  </mergeCells>
  <phoneticPr fontId="13" type="noConversion"/>
  <pageMargins left="0.59055118110236227" right="0.59055118110236227" top="0.98425196850393704" bottom="0.78740157480314965" header="0.59055118110236227" footer="0"/>
  <pageSetup scale="60" orientation="landscape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1537"/>
  <sheetViews>
    <sheetView zoomScale="80" zoomScaleNormal="80" workbookViewId="0">
      <selection sqref="A1:O1"/>
    </sheetView>
  </sheetViews>
  <sheetFormatPr baseColWidth="10" defaultColWidth="11.42578125" defaultRowHeight="12.75" x14ac:dyDescent="0.2"/>
  <cols>
    <col min="1" max="1" width="18.5703125" customWidth="1"/>
    <col min="2" max="3" width="13" customWidth="1"/>
    <col min="4" max="4" width="14" customWidth="1"/>
    <col min="5" max="15" width="13" customWidth="1"/>
    <col min="16" max="16" width="7.7109375" customWidth="1"/>
    <col min="17" max="17" width="7" customWidth="1"/>
    <col min="18" max="18" width="6.85546875" customWidth="1"/>
    <col min="19" max="19" width="8.42578125" customWidth="1"/>
    <col min="20" max="20" width="6.140625" customWidth="1"/>
    <col min="21" max="22" width="8.42578125" customWidth="1"/>
    <col min="23" max="23" width="12.28515625" customWidth="1"/>
    <col min="24" max="24" width="8.42578125" customWidth="1"/>
    <col min="25" max="25" width="10.7109375" customWidth="1"/>
    <col min="26" max="27" width="8.42578125" customWidth="1"/>
    <col min="29" max="34" width="13.42578125" customWidth="1"/>
  </cols>
  <sheetData>
    <row r="1" spans="1:34" ht="15" x14ac:dyDescent="0.25">
      <c r="A1" s="2843" t="s">
        <v>1931</v>
      </c>
      <c r="B1" s="2843"/>
      <c r="C1" s="2843"/>
      <c r="D1" s="2843"/>
      <c r="E1" s="2843"/>
      <c r="F1" s="2843"/>
      <c r="G1" s="2843"/>
      <c r="H1" s="2843"/>
      <c r="I1" s="2843"/>
      <c r="J1" s="2843"/>
      <c r="K1" s="2843"/>
      <c r="L1" s="2843"/>
      <c r="M1" s="2843"/>
      <c r="N1" s="2843"/>
      <c r="O1" s="2843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</row>
    <row r="2" spans="1:34" ht="15" x14ac:dyDescent="0.25">
      <c r="A2" s="2370"/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</row>
    <row r="3" spans="1:34" x14ac:dyDescent="0.2">
      <c r="A3" s="8"/>
      <c r="B3" s="8"/>
      <c r="C3" s="224"/>
      <c r="D3" s="224"/>
      <c r="E3" s="224"/>
      <c r="F3" s="224"/>
      <c r="G3" s="224"/>
      <c r="H3" s="224"/>
      <c r="I3" s="224"/>
      <c r="J3" s="224"/>
      <c r="K3" s="240"/>
      <c r="L3" s="241"/>
      <c r="M3" s="240"/>
      <c r="N3" s="240"/>
      <c r="O3" s="240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34" ht="13.5" thickBot="1" x14ac:dyDescent="0.25">
      <c r="A4" s="225" t="s">
        <v>946</v>
      </c>
      <c r="B4" s="225"/>
      <c r="C4" s="224"/>
      <c r="D4" s="224"/>
      <c r="E4" s="224"/>
      <c r="F4" s="224"/>
      <c r="G4" s="224"/>
      <c r="H4" s="224"/>
      <c r="I4" s="224"/>
      <c r="J4" s="224"/>
      <c r="K4" s="240"/>
      <c r="L4" s="241"/>
      <c r="M4" s="240"/>
      <c r="N4" s="240"/>
      <c r="O4" s="240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ht="14.45" customHeight="1" x14ac:dyDescent="0.2">
      <c r="A5" s="2844" t="s">
        <v>327</v>
      </c>
      <c r="B5" s="2847" t="s">
        <v>1932</v>
      </c>
      <c r="C5" s="2848"/>
      <c r="D5" s="2848"/>
      <c r="E5" s="2848"/>
      <c r="F5" s="2848"/>
      <c r="G5" s="2848"/>
      <c r="H5" s="2848"/>
      <c r="I5" s="2848"/>
      <c r="J5" s="2848"/>
      <c r="K5" s="2848"/>
      <c r="L5" s="2848"/>
      <c r="M5" s="2848"/>
      <c r="N5" s="2848"/>
      <c r="O5" s="284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228" t="s">
        <v>910</v>
      </c>
      <c r="AD5" s="229"/>
      <c r="AE5" s="229"/>
      <c r="AF5" s="229"/>
      <c r="AG5" s="229"/>
      <c r="AH5" s="243"/>
    </row>
    <row r="6" spans="1:34" ht="14.45" customHeight="1" x14ac:dyDescent="0.2">
      <c r="A6" s="2845"/>
      <c r="B6" s="2850" t="s">
        <v>191</v>
      </c>
      <c r="C6" s="2850"/>
      <c r="D6" s="2850"/>
      <c r="E6" s="2850"/>
      <c r="F6" s="2850"/>
      <c r="G6" s="2850"/>
      <c r="H6" s="2850"/>
      <c r="I6" s="2850"/>
      <c r="J6" s="2119"/>
      <c r="K6" s="2119" t="s">
        <v>904</v>
      </c>
      <c r="L6" s="2119"/>
      <c r="M6" s="1122" t="s">
        <v>437</v>
      </c>
      <c r="N6" s="1122" t="s">
        <v>911</v>
      </c>
      <c r="O6" s="1127" t="s">
        <v>911</v>
      </c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230" t="s">
        <v>333</v>
      </c>
      <c r="AD6" s="231" t="s">
        <v>333</v>
      </c>
      <c r="AE6" s="231" t="s">
        <v>333</v>
      </c>
      <c r="AF6" s="231" t="s">
        <v>333</v>
      </c>
      <c r="AG6" s="231" t="s">
        <v>333</v>
      </c>
      <c r="AH6" s="231" t="s">
        <v>333</v>
      </c>
    </row>
    <row r="7" spans="1:34" ht="14.45" customHeight="1" x14ac:dyDescent="0.2">
      <c r="A7" s="2845"/>
      <c r="B7" s="2119" t="s">
        <v>433</v>
      </c>
      <c r="C7" s="2119"/>
      <c r="D7" s="2841" t="s">
        <v>1865</v>
      </c>
      <c r="E7" s="2119"/>
      <c r="F7" s="2119"/>
      <c r="G7" s="2119" t="s">
        <v>912</v>
      </c>
      <c r="H7" s="2119"/>
      <c r="I7" s="2119" t="s">
        <v>433</v>
      </c>
      <c r="J7" s="2138" t="s">
        <v>913</v>
      </c>
      <c r="K7" s="2138" t="s">
        <v>842</v>
      </c>
      <c r="L7" s="2138" t="s">
        <v>329</v>
      </c>
      <c r="M7" s="1123" t="s">
        <v>914</v>
      </c>
      <c r="N7" s="1123" t="s">
        <v>915</v>
      </c>
      <c r="O7" s="1128" t="s">
        <v>914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230" t="s">
        <v>913</v>
      </c>
      <c r="AD7" s="231" t="s">
        <v>916</v>
      </c>
      <c r="AE7" s="231" t="s">
        <v>917</v>
      </c>
      <c r="AF7" s="231" t="s">
        <v>918</v>
      </c>
      <c r="AG7" s="231" t="s">
        <v>192</v>
      </c>
      <c r="AH7" s="231" t="s">
        <v>918</v>
      </c>
    </row>
    <row r="8" spans="1:34" ht="14.45" customHeight="1" x14ac:dyDescent="0.2">
      <c r="A8" s="2845"/>
      <c r="B8" s="2138" t="s">
        <v>920</v>
      </c>
      <c r="C8" s="2138" t="s">
        <v>922</v>
      </c>
      <c r="D8" s="2842"/>
      <c r="E8" s="2138" t="s">
        <v>867</v>
      </c>
      <c r="F8" s="2138" t="s">
        <v>921</v>
      </c>
      <c r="G8" s="2138" t="s">
        <v>923</v>
      </c>
      <c r="H8" s="2138" t="s">
        <v>836</v>
      </c>
      <c r="I8" s="2138" t="s">
        <v>835</v>
      </c>
      <c r="J8" s="2138" t="s">
        <v>924</v>
      </c>
      <c r="K8" s="2138" t="s">
        <v>925</v>
      </c>
      <c r="L8" s="2138" t="s">
        <v>336</v>
      </c>
      <c r="M8" s="1123" t="s">
        <v>926</v>
      </c>
      <c r="N8" s="1123" t="s">
        <v>927</v>
      </c>
      <c r="O8" s="1128" t="s">
        <v>928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230"/>
      <c r="AD8" s="231" t="s">
        <v>843</v>
      </c>
      <c r="AE8" s="231"/>
      <c r="AF8" s="231" t="s">
        <v>929</v>
      </c>
      <c r="AG8" s="231"/>
      <c r="AH8" s="231" t="s">
        <v>930</v>
      </c>
    </row>
    <row r="9" spans="1:34" ht="14.45" customHeight="1" thickBot="1" x14ac:dyDescent="0.25">
      <c r="A9" s="2846"/>
      <c r="B9" s="1881">
        <v>44926</v>
      </c>
      <c r="C9" s="2139">
        <v>2023</v>
      </c>
      <c r="D9" s="2139">
        <v>2023</v>
      </c>
      <c r="E9" s="2139">
        <v>2023</v>
      </c>
      <c r="F9" s="2139">
        <v>2023</v>
      </c>
      <c r="G9" s="2139" t="s">
        <v>931</v>
      </c>
      <c r="H9" s="2139">
        <v>2023</v>
      </c>
      <c r="I9" s="1881">
        <v>45291</v>
      </c>
      <c r="J9" s="1881" t="s">
        <v>1933</v>
      </c>
      <c r="K9" s="1881" t="s">
        <v>1933</v>
      </c>
      <c r="L9" s="2139" t="s">
        <v>441</v>
      </c>
      <c r="M9" s="1125" t="s">
        <v>932</v>
      </c>
      <c r="N9" s="1125" t="s">
        <v>933</v>
      </c>
      <c r="O9" s="1129" t="s">
        <v>933</v>
      </c>
      <c r="P9" s="2002"/>
      <c r="Q9" s="2002"/>
      <c r="R9" s="2002"/>
      <c r="S9" s="2002"/>
      <c r="T9" s="2002"/>
      <c r="U9" s="2002"/>
      <c r="V9" s="2002"/>
      <c r="W9" s="2002"/>
      <c r="X9" s="2002"/>
      <c r="Y9" s="2002"/>
      <c r="Z9" s="9"/>
      <c r="AA9" s="9"/>
      <c r="AB9" s="9"/>
      <c r="AC9" s="232"/>
      <c r="AD9" s="233" t="s">
        <v>934</v>
      </c>
      <c r="AE9" s="233"/>
      <c r="AF9" s="233" t="s">
        <v>935</v>
      </c>
      <c r="AG9" s="233"/>
      <c r="AH9" s="233" t="s">
        <v>936</v>
      </c>
    </row>
    <row r="10" spans="1:34" ht="14.45" customHeight="1" x14ac:dyDescent="0.2">
      <c r="A10" s="1135" t="s">
        <v>352</v>
      </c>
      <c r="B10" s="1136">
        <v>4128.3499999999995</v>
      </c>
      <c r="C10" s="1136">
        <v>66</v>
      </c>
      <c r="D10" s="1136">
        <v>97</v>
      </c>
      <c r="E10" s="1136">
        <v>17</v>
      </c>
      <c r="F10" s="1136">
        <v>17</v>
      </c>
      <c r="G10" s="1136">
        <v>233</v>
      </c>
      <c r="H10" s="1136">
        <v>3764.3500000000004</v>
      </c>
      <c r="I10" s="1136">
        <v>4160.3499999999995</v>
      </c>
      <c r="J10" s="1136">
        <v>3061.1479999999997</v>
      </c>
      <c r="K10" s="1527">
        <v>0.81319430977459572</v>
      </c>
      <c r="L10" s="380"/>
      <c r="M10" s="1138"/>
      <c r="N10" s="1138"/>
      <c r="O10" s="113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1155"/>
      <c r="AD10" s="1156"/>
      <c r="AE10" s="1156"/>
      <c r="AF10" s="1156"/>
      <c r="AG10" s="1156"/>
      <c r="AH10" s="1156"/>
    </row>
    <row r="11" spans="1:34" ht="14.45" customHeight="1" x14ac:dyDescent="0.2">
      <c r="A11" s="962" t="s">
        <v>353</v>
      </c>
      <c r="B11" s="1147">
        <v>474</v>
      </c>
      <c r="C11" s="2155">
        <v>5</v>
      </c>
      <c r="D11" s="2155">
        <v>1</v>
      </c>
      <c r="E11" s="2155"/>
      <c r="F11" s="2155"/>
      <c r="G11" s="2155">
        <v>23</v>
      </c>
      <c r="H11" s="1147">
        <v>450</v>
      </c>
      <c r="I11" s="1147">
        <v>479</v>
      </c>
      <c r="J11" s="1147">
        <v>382.92500000000001</v>
      </c>
      <c r="K11" s="2155">
        <v>0.85</v>
      </c>
      <c r="L11" s="1066" t="s">
        <v>987</v>
      </c>
      <c r="M11" s="959">
        <v>12137000</v>
      </c>
      <c r="N11" s="959">
        <v>22836230.630399995</v>
      </c>
      <c r="O11" s="1149">
        <v>6629975.2879552003</v>
      </c>
      <c r="P11" s="950"/>
      <c r="Q11" s="950"/>
      <c r="R11" s="950"/>
      <c r="S11" s="950"/>
      <c r="T11" s="950"/>
      <c r="U11" s="950"/>
      <c r="V11" s="950"/>
      <c r="W11" s="950"/>
      <c r="X11" s="950"/>
      <c r="Y11" s="950"/>
      <c r="Z11" s="9"/>
      <c r="AA11" s="9"/>
      <c r="AB11" s="9"/>
      <c r="AC11" s="237">
        <f>MAX(J11/J51)</f>
        <v>7.4613179595662327E-2</v>
      </c>
      <c r="AD11" s="235">
        <f t="shared" ref="AD11:AD25" si="0">MAX(M11*AC11)</f>
        <v>905580.16075255361</v>
      </c>
      <c r="AE11" s="238">
        <f>MAX(I11/I51)</f>
        <v>6.410303592781115E-2</v>
      </c>
      <c r="AF11" s="235">
        <f t="shared" ref="AF11:AF25" si="1">MAX(N11*AE11)</f>
        <v>1463871.7125563123</v>
      </c>
      <c r="AG11" s="238">
        <f>MAX(H11/H51)</f>
        <v>6.9607237296485838E-2</v>
      </c>
      <c r="AH11" s="235">
        <f t="shared" ref="AH11:AH25" si="2">MAX(O11*AG11)</f>
        <v>461494.26313853468</v>
      </c>
    </row>
    <row r="12" spans="1:34" ht="14.45" customHeight="1" x14ac:dyDescent="0.2">
      <c r="A12" s="962" t="s">
        <v>354</v>
      </c>
      <c r="B12" s="1147">
        <v>60</v>
      </c>
      <c r="C12" s="2155">
        <v>1</v>
      </c>
      <c r="D12" s="2155"/>
      <c r="E12" s="2155"/>
      <c r="F12" s="2155"/>
      <c r="G12" s="2155">
        <v>13</v>
      </c>
      <c r="H12" s="1147">
        <v>47</v>
      </c>
      <c r="I12" s="1147">
        <v>61</v>
      </c>
      <c r="J12" s="1147">
        <v>35.25</v>
      </c>
      <c r="K12" s="2155">
        <v>0.75</v>
      </c>
      <c r="L12" s="1066" t="s">
        <v>987</v>
      </c>
      <c r="M12" s="959">
        <v>12137000</v>
      </c>
      <c r="N12" s="959">
        <v>22836230.630399995</v>
      </c>
      <c r="O12" s="1149">
        <v>6629975.2879552003</v>
      </c>
      <c r="P12" s="9"/>
      <c r="Q12" s="950"/>
      <c r="R12" s="950"/>
      <c r="S12" s="950"/>
      <c r="T12" s="9"/>
      <c r="U12" s="9"/>
      <c r="V12" s="9"/>
      <c r="Z12" s="9"/>
      <c r="AA12" s="9"/>
      <c r="AB12" s="9"/>
      <c r="AC12" s="237">
        <f>MAX(J12/J51)</f>
        <v>6.8684849010827113E-3</v>
      </c>
      <c r="AD12" s="235">
        <f t="shared" si="0"/>
        <v>83362.801244440867</v>
      </c>
      <c r="AE12" s="238">
        <f>MAX(I12/I51)</f>
        <v>8.1634346379884769E-3</v>
      </c>
      <c r="AF12" s="235">
        <f t="shared" si="1"/>
        <v>186422.07612930075</v>
      </c>
      <c r="AG12" s="238">
        <f>MAX(H12/H51)</f>
        <v>7.2700892287440762E-3</v>
      </c>
      <c r="AH12" s="235">
        <f t="shared" si="2"/>
        <v>48200.511927802509</v>
      </c>
    </row>
    <row r="13" spans="1:34" ht="14.45" customHeight="1" x14ac:dyDescent="0.2">
      <c r="A13" s="962" t="s">
        <v>355</v>
      </c>
      <c r="B13" s="1147">
        <v>129.5</v>
      </c>
      <c r="C13" s="2155"/>
      <c r="D13" s="2155"/>
      <c r="E13" s="2155"/>
      <c r="F13" s="2155"/>
      <c r="G13" s="2155">
        <v>15</v>
      </c>
      <c r="H13" s="1147">
        <v>114.5</v>
      </c>
      <c r="I13" s="1147">
        <v>129.5</v>
      </c>
      <c r="J13" s="1147">
        <v>148.85</v>
      </c>
      <c r="K13" s="2155">
        <v>1.3</v>
      </c>
      <c r="L13" s="1066" t="s">
        <v>987</v>
      </c>
      <c r="M13" s="959">
        <v>12137000</v>
      </c>
      <c r="N13" s="959">
        <v>22836230.630399995</v>
      </c>
      <c r="O13" s="1149">
        <v>6629975.2879552003</v>
      </c>
      <c r="P13" s="9"/>
      <c r="Q13" s="950"/>
      <c r="R13" s="950"/>
      <c r="S13" s="397"/>
      <c r="W13" s="9"/>
      <c r="X13" s="9"/>
      <c r="Y13" s="950"/>
      <c r="Z13" s="9"/>
      <c r="AA13" s="9"/>
      <c r="AB13" s="9"/>
      <c r="AC13" s="237">
        <f>MAX(J13/J51)</f>
        <v>2.9003517092940752E-2</v>
      </c>
      <c r="AD13" s="235">
        <f t="shared" si="0"/>
        <v>352015.68695702188</v>
      </c>
      <c r="AE13" s="238">
        <f>MAX(I13/I51)</f>
        <v>1.7330570256057505E-2</v>
      </c>
      <c r="AF13" s="235">
        <f t="shared" si="1"/>
        <v>395764.89932367945</v>
      </c>
      <c r="AG13" s="238">
        <f>MAX(H13/H51)</f>
        <v>1.7711174823216953E-2</v>
      </c>
      <c r="AH13" s="235">
        <f t="shared" si="2"/>
        <v>117424.6513985827</v>
      </c>
    </row>
    <row r="14" spans="1:34" ht="14.45" customHeight="1" x14ac:dyDescent="0.2">
      <c r="A14" s="962" t="s">
        <v>356</v>
      </c>
      <c r="B14" s="1147">
        <v>307</v>
      </c>
      <c r="C14" s="2155">
        <v>5</v>
      </c>
      <c r="D14" s="2155">
        <v>22</v>
      </c>
      <c r="E14" s="2155"/>
      <c r="F14" s="2155"/>
      <c r="G14" s="2155">
        <v>2</v>
      </c>
      <c r="H14" s="1147">
        <v>283</v>
      </c>
      <c r="I14" s="1147">
        <v>312</v>
      </c>
      <c r="J14" s="1147">
        <v>205.79999999999998</v>
      </c>
      <c r="K14" s="2155">
        <v>0.7</v>
      </c>
      <c r="L14" s="1066" t="s">
        <v>987</v>
      </c>
      <c r="M14" s="959">
        <v>12137000</v>
      </c>
      <c r="N14" s="959">
        <v>22836230.630399995</v>
      </c>
      <c r="O14" s="1149">
        <v>6629975.2879552003</v>
      </c>
      <c r="P14" s="9"/>
      <c r="Q14" s="950"/>
      <c r="R14" s="950"/>
      <c r="S14" s="397"/>
      <c r="W14" s="9"/>
      <c r="X14" s="9"/>
      <c r="Y14" s="950"/>
      <c r="Z14" s="9"/>
      <c r="AA14" s="9"/>
      <c r="AB14" s="9"/>
      <c r="AC14" s="237">
        <f>MAX(J14/J51)</f>
        <v>4.0100260784193528E-2</v>
      </c>
      <c r="AD14" s="235">
        <f t="shared" si="0"/>
        <v>486696.86513775686</v>
      </c>
      <c r="AE14" s="238">
        <f>MAX(I14/I51)</f>
        <v>4.17539607713509E-2</v>
      </c>
      <c r="AF14" s="235">
        <f t="shared" si="1"/>
        <v>953503.07790724316</v>
      </c>
      <c r="AG14" s="238">
        <f>MAX(H14/H51)</f>
        <v>4.3775218122012204E-2</v>
      </c>
      <c r="AH14" s="235">
        <f t="shared" si="2"/>
        <v>290228.61437378958</v>
      </c>
    </row>
    <row r="15" spans="1:34" ht="14.45" customHeight="1" x14ac:dyDescent="0.2">
      <c r="A15" s="962" t="s">
        <v>357</v>
      </c>
      <c r="B15" s="1147">
        <v>486.03000000000003</v>
      </c>
      <c r="C15" s="2155">
        <v>2</v>
      </c>
      <c r="D15" s="2155">
        <v>8</v>
      </c>
      <c r="E15" s="2155">
        <v>0</v>
      </c>
      <c r="F15" s="2155">
        <v>0</v>
      </c>
      <c r="G15" s="2155">
        <v>17</v>
      </c>
      <c r="H15" s="1147">
        <v>461.03000000000003</v>
      </c>
      <c r="I15" s="1147">
        <v>488.03000000000003</v>
      </c>
      <c r="J15" s="1147">
        <v>558.03600000000006</v>
      </c>
      <c r="K15" s="2155">
        <v>1.2</v>
      </c>
      <c r="L15" s="1066" t="s">
        <v>987</v>
      </c>
      <c r="M15" s="959">
        <v>12137000</v>
      </c>
      <c r="N15" s="959">
        <v>22836230.630399995</v>
      </c>
      <c r="O15" s="1149">
        <v>6629975.2879552003</v>
      </c>
      <c r="P15" s="9"/>
      <c r="Q15" s="950"/>
      <c r="R15" s="950"/>
      <c r="S15" s="397"/>
      <c r="W15" s="9"/>
      <c r="X15" s="9"/>
      <c r="Y15" s="950"/>
      <c r="Z15" s="9"/>
      <c r="AA15" s="9"/>
      <c r="AB15" s="9"/>
      <c r="AC15" s="237">
        <f>MAX(J15/J51)</f>
        <v>0.10873366922725083</v>
      </c>
      <c r="AD15" s="235">
        <f t="shared" si="0"/>
        <v>1319700.5434111434</v>
      </c>
      <c r="AE15" s="238">
        <f>MAX(I15/I51)</f>
        <v>6.5311491907828145E-2</v>
      </c>
      <c r="AF15" s="235">
        <f t="shared" si="1"/>
        <v>1491468.2920226664</v>
      </c>
      <c r="AG15" s="238">
        <f>MAX(H15/H51)</f>
        <v>7.131338802399749E-2</v>
      </c>
      <c r="AH15" s="235">
        <f t="shared" si="2"/>
        <v>472806.00029946369</v>
      </c>
    </row>
    <row r="16" spans="1:34" ht="14.45" customHeight="1" x14ac:dyDescent="0.2">
      <c r="A16" s="962" t="s">
        <v>358</v>
      </c>
      <c r="B16" s="1147">
        <v>292.5</v>
      </c>
      <c r="C16" s="2155">
        <v>4</v>
      </c>
      <c r="D16" s="2155">
        <v>0</v>
      </c>
      <c r="E16" s="2155">
        <v>0</v>
      </c>
      <c r="F16" s="2155">
        <v>0</v>
      </c>
      <c r="G16" s="2155">
        <v>4</v>
      </c>
      <c r="H16" s="1147">
        <v>288.5</v>
      </c>
      <c r="I16" s="1147">
        <v>296.5</v>
      </c>
      <c r="J16" s="1147">
        <v>201.95</v>
      </c>
      <c r="K16" s="2155">
        <v>0.7</v>
      </c>
      <c r="L16" s="1066" t="s">
        <v>987</v>
      </c>
      <c r="M16" s="959">
        <v>12137000</v>
      </c>
      <c r="N16" s="959">
        <v>22836230.630399995</v>
      </c>
      <c r="O16" s="1149">
        <v>6629975.2879552003</v>
      </c>
      <c r="P16" s="9"/>
      <c r="Q16" s="950"/>
      <c r="R16" s="950"/>
      <c r="S16" s="2004"/>
      <c r="T16" s="2005"/>
      <c r="U16" s="2005"/>
      <c r="V16" s="2005"/>
      <c r="W16" s="9"/>
      <c r="X16" s="9"/>
      <c r="Y16" s="950"/>
      <c r="Z16" s="9"/>
      <c r="AA16" s="9"/>
      <c r="AB16" s="9"/>
      <c r="AC16" s="237">
        <f>MAX(J16/J51)</f>
        <v>3.9350085837550453E-2</v>
      </c>
      <c r="AD16" s="235">
        <f t="shared" si="0"/>
        <v>477591.99181034986</v>
      </c>
      <c r="AE16" s="238">
        <f>MAX(I16/I51)</f>
        <v>3.9679645412517763E-2</v>
      </c>
      <c r="AF16" s="235">
        <f t="shared" si="1"/>
        <v>906133.53397274879</v>
      </c>
      <c r="AG16" s="238">
        <f>MAX(H16/H51)</f>
        <v>4.4625973244524809E-2</v>
      </c>
      <c r="AH16" s="235">
        <f t="shared" si="2"/>
        <v>295869.09981214942</v>
      </c>
    </row>
    <row r="17" spans="1:38" ht="14.45" customHeight="1" x14ac:dyDescent="0.2">
      <c r="A17" s="962" t="s">
        <v>937</v>
      </c>
      <c r="B17" s="1147">
        <v>134.54999999999998</v>
      </c>
      <c r="C17" s="2155">
        <v>3</v>
      </c>
      <c r="D17" s="2155">
        <v>0</v>
      </c>
      <c r="E17" s="2155">
        <v>2</v>
      </c>
      <c r="F17" s="2155">
        <v>0</v>
      </c>
      <c r="G17" s="2155">
        <v>30</v>
      </c>
      <c r="H17" s="1147">
        <v>102.54999999999998</v>
      </c>
      <c r="I17" s="1147">
        <v>135.54999999999998</v>
      </c>
      <c r="J17" s="1147">
        <v>73.835999999999984</v>
      </c>
      <c r="K17" s="2155">
        <v>0.72</v>
      </c>
      <c r="L17" s="1066" t="s">
        <v>987</v>
      </c>
      <c r="M17" s="959">
        <v>12137000</v>
      </c>
      <c r="N17" s="959">
        <v>22836230.630399995</v>
      </c>
      <c r="O17" s="1149">
        <v>6629975.2879552003</v>
      </c>
      <c r="P17" s="9"/>
      <c r="Q17" s="950"/>
      <c r="R17" s="950"/>
      <c r="S17" s="2004"/>
      <c r="T17" s="2005"/>
      <c r="U17" s="2005"/>
      <c r="V17" s="2005"/>
      <c r="Z17" s="9"/>
      <c r="AA17" s="9"/>
      <c r="AB17" s="9"/>
      <c r="AC17" s="237">
        <f>MAX(J17/J51)</f>
        <v>1.4386991522165757E-2</v>
      </c>
      <c r="AD17" s="235">
        <f t="shared" si="0"/>
        <v>174614.91610452579</v>
      </c>
      <c r="AE17" s="238">
        <f>MAX(I17/I51)</f>
        <v>1.8140222379989145E-2</v>
      </c>
      <c r="AF17" s="235">
        <f t="shared" si="1"/>
        <v>414254.30195617559</v>
      </c>
      <c r="AG17" s="238">
        <f>MAX(H17/H51)</f>
        <v>1.586271596612138E-2</v>
      </c>
      <c r="AH17" s="235">
        <f t="shared" si="2"/>
        <v>105169.41485523715</v>
      </c>
    </row>
    <row r="18" spans="1:38" ht="14.45" customHeight="1" x14ac:dyDescent="0.2">
      <c r="A18" s="962" t="s">
        <v>360</v>
      </c>
      <c r="B18" s="1147">
        <v>198.2</v>
      </c>
      <c r="C18" s="2155">
        <v>10</v>
      </c>
      <c r="D18" s="2155">
        <v>5</v>
      </c>
      <c r="E18" s="2155">
        <v>1</v>
      </c>
      <c r="F18" s="2155">
        <v>1</v>
      </c>
      <c r="G18" s="2155">
        <v>6</v>
      </c>
      <c r="H18" s="1147">
        <v>185.2</v>
      </c>
      <c r="I18" s="1147">
        <v>206.2</v>
      </c>
      <c r="J18" s="1147">
        <v>131.38999999999999</v>
      </c>
      <c r="K18" s="2155">
        <v>0.7</v>
      </c>
      <c r="L18" s="1066" t="s">
        <v>987</v>
      </c>
      <c r="M18" s="959">
        <v>12137000</v>
      </c>
      <c r="N18" s="959">
        <v>22836230.630399995</v>
      </c>
      <c r="O18" s="1149">
        <v>6629975.2879552003</v>
      </c>
      <c r="P18" s="9"/>
      <c r="Q18" s="950"/>
      <c r="R18" s="950"/>
      <c r="S18" s="2004"/>
      <c r="T18" s="2005"/>
      <c r="U18" s="2005"/>
      <c r="V18" s="2005"/>
      <c r="W18" s="9"/>
      <c r="X18" s="9"/>
      <c r="Y18" s="950"/>
      <c r="Z18" s="9"/>
      <c r="AA18" s="9"/>
      <c r="AB18" s="9"/>
      <c r="AC18" s="237">
        <f>MAX(J18/J51)</f>
        <v>2.5601424997255526E-2</v>
      </c>
      <c r="AD18" s="235">
        <f t="shared" si="0"/>
        <v>310724.49519169034</v>
      </c>
      <c r="AE18" s="238">
        <f>MAX(I18/I51)</f>
        <v>2.7595085612347931E-2</v>
      </c>
      <c r="AF18" s="235">
        <f t="shared" si="1"/>
        <v>630167.73930920998</v>
      </c>
      <c r="AG18" s="238">
        <f>MAX(H18/H51)</f>
        <v>2.8647245216242612E-2</v>
      </c>
      <c r="AH18" s="235">
        <f t="shared" si="2"/>
        <v>189930.52785168134</v>
      </c>
    </row>
    <row r="19" spans="1:38" ht="14.45" customHeight="1" x14ac:dyDescent="0.2">
      <c r="A19" s="962" t="s">
        <v>938</v>
      </c>
      <c r="B19" s="1147">
        <v>289.27</v>
      </c>
      <c r="C19" s="2155">
        <v>7</v>
      </c>
      <c r="D19" s="2155">
        <v>15</v>
      </c>
      <c r="E19" s="2155">
        <v>2</v>
      </c>
      <c r="F19" s="2155">
        <v>0</v>
      </c>
      <c r="G19" s="2155">
        <v>35</v>
      </c>
      <c r="H19" s="1147">
        <v>237.26999999999998</v>
      </c>
      <c r="I19" s="1147">
        <v>294.27</v>
      </c>
      <c r="J19" s="1147">
        <v>195.816</v>
      </c>
      <c r="K19" s="2155">
        <v>0.8</v>
      </c>
      <c r="L19" s="1066" t="s">
        <v>987</v>
      </c>
      <c r="M19" s="959">
        <v>12137000</v>
      </c>
      <c r="N19" s="959">
        <v>22836230.630399995</v>
      </c>
      <c r="O19" s="1149">
        <v>6629975.2879552003</v>
      </c>
      <c r="P19" s="9"/>
      <c r="Q19" s="950"/>
      <c r="R19" s="950"/>
      <c r="S19" s="2004"/>
      <c r="T19" s="2005"/>
      <c r="U19" s="2005"/>
      <c r="V19" s="2005"/>
      <c r="W19" s="9"/>
      <c r="X19" s="9"/>
      <c r="Y19" s="950"/>
      <c r="Z19" s="9"/>
      <c r="AA19" s="9"/>
      <c r="AB19" s="9"/>
      <c r="AC19" s="237">
        <f>MAX(J19/J51)</f>
        <v>3.8154872039444315E-2</v>
      </c>
      <c r="AD19" s="235">
        <f t="shared" si="0"/>
        <v>463085.68194273568</v>
      </c>
      <c r="AE19" s="238">
        <f>MAX(I19/I51)</f>
        <v>3.9381211654440473E-2</v>
      </c>
      <c r="AF19" s="235">
        <f t="shared" si="1"/>
        <v>899318.43184539874</v>
      </c>
      <c r="AG19" s="238">
        <f>MAX(H19/H51)</f>
        <v>3.670157598519376E-2</v>
      </c>
      <c r="AH19" s="235">
        <f t="shared" si="2"/>
        <v>243330.54181084468</v>
      </c>
      <c r="AL19" s="397"/>
    </row>
    <row r="20" spans="1:38" ht="14.45" customHeight="1" x14ac:dyDescent="0.2">
      <c r="A20" s="962" t="s">
        <v>362</v>
      </c>
      <c r="B20" s="1147">
        <v>899.14</v>
      </c>
      <c r="C20" s="2155">
        <v>7</v>
      </c>
      <c r="D20" s="2155">
        <v>14</v>
      </c>
      <c r="E20" s="2155">
        <v>0</v>
      </c>
      <c r="F20" s="2155">
        <v>10</v>
      </c>
      <c r="G20" s="2155">
        <v>20</v>
      </c>
      <c r="H20" s="1147">
        <v>855.14</v>
      </c>
      <c r="I20" s="1147">
        <v>896.14</v>
      </c>
      <c r="J20" s="1147">
        <v>517.28399999999999</v>
      </c>
      <c r="K20" s="2155">
        <v>0.6</v>
      </c>
      <c r="L20" s="1066" t="s">
        <v>987</v>
      </c>
      <c r="M20" s="959">
        <v>12137000</v>
      </c>
      <c r="N20" s="959">
        <v>22836230.630399995</v>
      </c>
      <c r="O20" s="1149">
        <v>6629975.2879552003</v>
      </c>
      <c r="P20" s="9"/>
      <c r="Q20" s="950"/>
      <c r="R20" s="950"/>
      <c r="S20" s="2004"/>
      <c r="T20" s="2005"/>
      <c r="U20" s="2005"/>
      <c r="V20" s="2005"/>
      <c r="W20" s="9"/>
      <c r="X20" s="9"/>
      <c r="Y20" s="950"/>
      <c r="Z20" s="9"/>
      <c r="AA20" s="9"/>
      <c r="AB20" s="9"/>
      <c r="AC20" s="237">
        <f>MAX(J20/J51)</f>
        <v>0.10079311612969274</v>
      </c>
      <c r="AD20" s="235">
        <f t="shared" si="0"/>
        <v>1223326.0504660809</v>
      </c>
      <c r="AE20" s="238">
        <f>MAX(I20/I51)</f>
        <v>0.11992754617191793</v>
      </c>
      <c r="AF20" s="235">
        <f t="shared" si="1"/>
        <v>2738693.1033198619</v>
      </c>
      <c r="AG20" s="238">
        <f>MAX(H20/H51)</f>
        <v>0.13227540644825977</v>
      </c>
      <c r="AH20" s="235">
        <f t="shared" si="2"/>
        <v>876982.67595619231</v>
      </c>
    </row>
    <row r="21" spans="1:38" ht="14.45" customHeight="1" x14ac:dyDescent="0.2">
      <c r="A21" s="962" t="s">
        <v>363</v>
      </c>
      <c r="B21" s="1147">
        <v>59</v>
      </c>
      <c r="C21" s="2155">
        <v>2</v>
      </c>
      <c r="D21" s="2155">
        <v>17</v>
      </c>
      <c r="E21" s="2155">
        <v>0</v>
      </c>
      <c r="F21" s="2155">
        <v>0</v>
      </c>
      <c r="G21" s="2155">
        <v>2</v>
      </c>
      <c r="H21" s="1147">
        <v>40</v>
      </c>
      <c r="I21" s="1147">
        <v>61</v>
      </c>
      <c r="J21" s="1147">
        <v>31.525000000000002</v>
      </c>
      <c r="K21" s="2155">
        <v>0.65</v>
      </c>
      <c r="L21" s="1066" t="s">
        <v>987</v>
      </c>
      <c r="M21" s="959">
        <v>12137000</v>
      </c>
      <c r="N21" s="959">
        <v>22836230.630399995</v>
      </c>
      <c r="O21" s="1149">
        <v>6629975.2879552003</v>
      </c>
      <c r="P21" s="9"/>
      <c r="Q21" s="950"/>
      <c r="R21" s="950"/>
      <c r="S21" s="2004"/>
      <c r="T21" s="2005"/>
      <c r="U21" s="2005"/>
      <c r="V21" s="2005"/>
      <c r="AB21" s="9"/>
      <c r="AC21" s="237">
        <f>MAX(J21/J51)</f>
        <v>6.1426662838760986E-3</v>
      </c>
      <c r="AD21" s="235">
        <f t="shared" si="0"/>
        <v>74553.540687404209</v>
      </c>
      <c r="AE21" s="238">
        <f>MAX(I21/I51)</f>
        <v>8.1634346379884769E-3</v>
      </c>
      <c r="AF21" s="235">
        <f t="shared" si="1"/>
        <v>186422.07612930075</v>
      </c>
      <c r="AG21" s="238">
        <f>MAX(H21/H51)</f>
        <v>6.1873099819098522E-3</v>
      </c>
      <c r="AH21" s="235">
        <f t="shared" si="2"/>
        <v>41021.712278980856</v>
      </c>
    </row>
    <row r="22" spans="1:38" ht="14.45" customHeight="1" x14ac:dyDescent="0.2">
      <c r="A22" s="962" t="s">
        <v>939</v>
      </c>
      <c r="B22" s="1147">
        <v>584.16000000000008</v>
      </c>
      <c r="C22" s="2155">
        <v>2</v>
      </c>
      <c r="D22" s="2155">
        <v>0</v>
      </c>
      <c r="E22" s="2155">
        <v>1</v>
      </c>
      <c r="F22" s="2155">
        <v>1</v>
      </c>
      <c r="G22" s="2155">
        <v>28</v>
      </c>
      <c r="H22" s="1147">
        <v>554.16000000000008</v>
      </c>
      <c r="I22" s="1147">
        <v>584.16000000000008</v>
      </c>
      <c r="J22" s="1147">
        <v>471.03600000000006</v>
      </c>
      <c r="K22" s="2155">
        <v>0.85</v>
      </c>
      <c r="L22" s="1066" t="s">
        <v>987</v>
      </c>
      <c r="M22" s="959">
        <v>12137000</v>
      </c>
      <c r="N22" s="959">
        <v>22836230.630399995</v>
      </c>
      <c r="O22" s="1149">
        <v>6629975.2879552003</v>
      </c>
      <c r="P22" s="9"/>
      <c r="Q22" s="950"/>
      <c r="R22" s="950"/>
      <c r="S22" s="2004"/>
      <c r="T22" s="2005"/>
      <c r="U22" s="2005"/>
      <c r="V22" s="2005"/>
      <c r="W22" s="9"/>
      <c r="X22" s="9"/>
      <c r="Y22" s="950"/>
      <c r="Z22" s="9"/>
      <c r="AA22" s="9"/>
      <c r="AB22" s="9"/>
      <c r="AC22" s="237">
        <f>MAX(J22/J51)</f>
        <v>9.1781663939472236E-2</v>
      </c>
      <c r="AD22" s="235">
        <f t="shared" si="0"/>
        <v>1113954.0552333745</v>
      </c>
      <c r="AE22" s="238">
        <f>MAX(I22/I51)</f>
        <v>7.8176261936513919E-2</v>
      </c>
      <c r="AF22" s="235">
        <f t="shared" si="1"/>
        <v>1785251.1474047923</v>
      </c>
      <c r="AG22" s="238">
        <f>MAX(H22/H51)</f>
        <v>8.5718992489379101E-2</v>
      </c>
      <c r="AH22" s="235">
        <f t="shared" si="2"/>
        <v>568314.80191300088</v>
      </c>
    </row>
    <row r="23" spans="1:38" ht="14.45" customHeight="1" x14ac:dyDescent="0.2">
      <c r="A23" s="962" t="s">
        <v>365</v>
      </c>
      <c r="B23" s="1147">
        <v>75</v>
      </c>
      <c r="C23" s="2155">
        <v>5</v>
      </c>
      <c r="D23" s="2155">
        <v>5</v>
      </c>
      <c r="E23" s="2155">
        <v>1</v>
      </c>
      <c r="F23" s="2155">
        <v>0</v>
      </c>
      <c r="G23" s="2155">
        <v>3</v>
      </c>
      <c r="H23" s="1147">
        <v>66</v>
      </c>
      <c r="I23" s="1147">
        <v>79</v>
      </c>
      <c r="J23" s="1147">
        <v>47.949999999999996</v>
      </c>
      <c r="K23" s="2155">
        <v>0.7</v>
      </c>
      <c r="L23" s="1066" t="s">
        <v>987</v>
      </c>
      <c r="M23" s="959">
        <v>12137000</v>
      </c>
      <c r="N23" s="959">
        <v>22836230.630399995</v>
      </c>
      <c r="O23" s="1149">
        <v>6629975.2879552003</v>
      </c>
      <c r="P23" s="9"/>
      <c r="Q23" s="950"/>
      <c r="R23" s="950"/>
      <c r="S23" s="950"/>
      <c r="T23" s="950"/>
      <c r="U23" s="950"/>
      <c r="V23" s="950"/>
      <c r="W23" s="9"/>
      <c r="X23" s="9"/>
      <c r="Y23" s="950"/>
      <c r="Z23" s="9"/>
      <c r="AA23" s="9"/>
      <c r="AB23" s="9"/>
      <c r="AC23" s="237">
        <f>MAX(J23/J51)</f>
        <v>9.3430879718274032E-3</v>
      </c>
      <c r="AD23" s="235">
        <f t="shared" si="0"/>
        <v>113397.05871406919</v>
      </c>
      <c r="AE23" s="238">
        <f>MAX(I23/I51)</f>
        <v>1.0572316990181798E-2</v>
      </c>
      <c r="AF23" s="235">
        <f t="shared" si="1"/>
        <v>241431.86908548785</v>
      </c>
      <c r="AG23" s="238">
        <f>MAX(H23/H51)</f>
        <v>1.0209061470151257E-2</v>
      </c>
      <c r="AH23" s="235">
        <f t="shared" si="2"/>
        <v>67685.825260318423</v>
      </c>
    </row>
    <row r="24" spans="1:38" ht="14.45" customHeight="1" x14ac:dyDescent="0.2">
      <c r="A24" s="962" t="s">
        <v>366</v>
      </c>
      <c r="B24" s="1147">
        <v>72</v>
      </c>
      <c r="C24" s="2155">
        <v>5</v>
      </c>
      <c r="D24" s="2155">
        <v>10</v>
      </c>
      <c r="E24" s="2155">
        <v>10</v>
      </c>
      <c r="F24" s="2155">
        <v>5</v>
      </c>
      <c r="G24" s="2155">
        <v>30</v>
      </c>
      <c r="H24" s="1147">
        <v>17</v>
      </c>
      <c r="I24" s="1147">
        <v>62</v>
      </c>
      <c r="J24" s="1147">
        <v>15.399999999999999</v>
      </c>
      <c r="K24" s="2155">
        <v>0.7</v>
      </c>
      <c r="L24" s="1066" t="s">
        <v>987</v>
      </c>
      <c r="M24" s="959">
        <v>12137000</v>
      </c>
      <c r="N24" s="959">
        <v>22836230.630399995</v>
      </c>
      <c r="O24" s="1149">
        <v>6629975.2879552003</v>
      </c>
      <c r="P24" s="9"/>
      <c r="Q24" s="950"/>
      <c r="R24" s="950"/>
      <c r="S24" s="2004"/>
      <c r="T24" s="2005"/>
      <c r="U24" s="2005"/>
      <c r="V24" s="2005"/>
      <c r="W24" s="9"/>
      <c r="X24" s="9"/>
      <c r="Y24" s="950"/>
      <c r="Z24" s="9"/>
      <c r="AA24" s="9"/>
      <c r="AB24" s="9"/>
      <c r="AC24" s="237">
        <f>MAX(J24/J51)</f>
        <v>3.0006997865723046E-3</v>
      </c>
      <c r="AD24" s="235">
        <f t="shared" si="0"/>
        <v>36419.493309628058</v>
      </c>
      <c r="AE24" s="238">
        <f>MAX(I24/I51)</f>
        <v>8.2972614353325497E-3</v>
      </c>
      <c r="AF24" s="235">
        <f t="shared" si="1"/>
        <v>189478.17573797778</v>
      </c>
      <c r="AG24" s="238">
        <f>MAX(H24/H51)</f>
        <v>2.629606742311687E-3</v>
      </c>
      <c r="AH24" s="235">
        <f t="shared" si="2"/>
        <v>17434.227718566864</v>
      </c>
    </row>
    <row r="25" spans="1:38" ht="14.45" customHeight="1" x14ac:dyDescent="0.2">
      <c r="A25" s="962" t="s">
        <v>367</v>
      </c>
      <c r="B25" s="1147">
        <v>68</v>
      </c>
      <c r="C25" s="2155">
        <v>8</v>
      </c>
      <c r="D25" s="2155"/>
      <c r="E25" s="2155"/>
      <c r="F25" s="2155"/>
      <c r="G25" s="2155">
        <v>5</v>
      </c>
      <c r="H25" s="1147">
        <v>63</v>
      </c>
      <c r="I25" s="1147">
        <v>76</v>
      </c>
      <c r="J25" s="1147">
        <v>44.099999999999994</v>
      </c>
      <c r="K25" s="2155">
        <v>0.7</v>
      </c>
      <c r="L25" s="1066" t="s">
        <v>987</v>
      </c>
      <c r="M25" s="959">
        <v>12137000</v>
      </c>
      <c r="N25" s="959">
        <v>22836230.630399995</v>
      </c>
      <c r="O25" s="1149">
        <v>6629975.2879552003</v>
      </c>
      <c r="P25" s="9"/>
      <c r="Q25" s="950"/>
      <c r="R25" s="950"/>
      <c r="S25" s="2004"/>
      <c r="T25" s="2005"/>
      <c r="U25" s="2005"/>
      <c r="V25" s="2005"/>
      <c r="Z25" s="9"/>
      <c r="AA25" s="9"/>
      <c r="AB25" s="9"/>
      <c r="AC25" s="237">
        <f>MAX(J25/J51)</f>
        <v>8.5929130251843275E-3</v>
      </c>
      <c r="AD25" s="235">
        <f t="shared" si="0"/>
        <v>104292.18538666218</v>
      </c>
      <c r="AE25" s="238">
        <f>MAX(I25/I51)</f>
        <v>1.0170836598149578E-2</v>
      </c>
      <c r="AF25" s="235">
        <f t="shared" si="1"/>
        <v>232263.57025945667</v>
      </c>
      <c r="AG25" s="238">
        <f>MAX(H25/H51)</f>
        <v>9.7450132215080171E-3</v>
      </c>
      <c r="AH25" s="235">
        <f t="shared" si="2"/>
        <v>64609.196839394848</v>
      </c>
    </row>
    <row r="26" spans="1:38" ht="14.45" customHeight="1" x14ac:dyDescent="0.2">
      <c r="A26" s="434" t="s">
        <v>940</v>
      </c>
      <c r="B26" s="1150">
        <v>1066.76</v>
      </c>
      <c r="C26" s="1150">
        <v>51</v>
      </c>
      <c r="D26" s="1150">
        <v>51</v>
      </c>
      <c r="E26" s="1150">
        <v>4</v>
      </c>
      <c r="F26" s="1150">
        <v>2</v>
      </c>
      <c r="G26" s="1150">
        <v>85</v>
      </c>
      <c r="H26" s="1150">
        <v>924.76</v>
      </c>
      <c r="I26" s="1150">
        <v>1111.76</v>
      </c>
      <c r="J26" s="1150">
        <v>709.51199999999994</v>
      </c>
      <c r="K26" s="1528">
        <v>0.76723906743371251</v>
      </c>
      <c r="L26" s="1152"/>
      <c r="M26" s="996"/>
      <c r="N26" s="996"/>
      <c r="O26" s="1153"/>
      <c r="P26" s="9"/>
      <c r="Q26" s="950"/>
      <c r="R26" s="950"/>
      <c r="S26" s="2004"/>
      <c r="T26" s="2005"/>
      <c r="U26" s="2005"/>
      <c r="V26" s="2005"/>
      <c r="W26" s="9"/>
      <c r="X26" s="9"/>
      <c r="Y26" s="950"/>
      <c r="Z26" s="9"/>
      <c r="AA26" s="9"/>
      <c r="AB26" s="9"/>
      <c r="AC26" s="1157"/>
      <c r="AD26" s="1156"/>
      <c r="AE26" s="1158"/>
      <c r="AF26" s="1156"/>
      <c r="AG26" s="1158"/>
      <c r="AH26" s="1156"/>
    </row>
    <row r="27" spans="1:38" ht="14.45" customHeight="1" x14ac:dyDescent="0.2">
      <c r="A27" s="962" t="s">
        <v>369</v>
      </c>
      <c r="B27" s="1147">
        <v>466.8</v>
      </c>
      <c r="C27" s="2155">
        <v>25</v>
      </c>
      <c r="D27" s="2155">
        <v>1</v>
      </c>
      <c r="E27" s="2155">
        <v>2</v>
      </c>
      <c r="F27" s="2155">
        <v>1</v>
      </c>
      <c r="G27" s="2155">
        <v>20</v>
      </c>
      <c r="H27" s="1147">
        <v>442.8</v>
      </c>
      <c r="I27" s="1147">
        <v>488.8</v>
      </c>
      <c r="J27" s="1147">
        <v>354.64000000000004</v>
      </c>
      <c r="K27" s="2155">
        <v>0.8</v>
      </c>
      <c r="L27" s="1066" t="s">
        <v>987</v>
      </c>
      <c r="M27" s="959">
        <v>12137000</v>
      </c>
      <c r="N27" s="959">
        <v>22836230.630399995</v>
      </c>
      <c r="O27" s="1149">
        <v>6629975.2879552003</v>
      </c>
      <c r="P27" s="9"/>
      <c r="Q27" s="950"/>
      <c r="R27" s="950"/>
      <c r="S27" s="397"/>
      <c r="W27" s="9"/>
      <c r="X27" s="9"/>
      <c r="Y27" s="950"/>
      <c r="Z27" s="9"/>
      <c r="AA27" s="9"/>
      <c r="AB27" s="9"/>
      <c r="AC27" s="237">
        <f>MAX(J27/J51)</f>
        <v>6.9101829370779369E-2</v>
      </c>
      <c r="AD27" s="235">
        <f>MAX(M27*AC27)</f>
        <v>838688.90307314915</v>
      </c>
      <c r="AE27" s="238">
        <f>MAX(I27/I51)</f>
        <v>6.5414538541783071E-2</v>
      </c>
      <c r="AF27" s="235">
        <f>MAX(N27*AE27)</f>
        <v>1493821.4887213476</v>
      </c>
      <c r="AG27" s="238">
        <f>MAX(H27/H51)</f>
        <v>6.8493521499742069E-2</v>
      </c>
      <c r="AH27" s="235">
        <f>MAX(O27*AG27)</f>
        <v>454110.35492831812</v>
      </c>
    </row>
    <row r="28" spans="1:38" ht="14.45" customHeight="1" x14ac:dyDescent="0.2">
      <c r="A28" s="962" t="s">
        <v>370</v>
      </c>
      <c r="B28" s="1147">
        <v>2</v>
      </c>
      <c r="C28" s="2155">
        <v>0</v>
      </c>
      <c r="D28" s="2155">
        <v>0</v>
      </c>
      <c r="E28" s="2155">
        <v>0</v>
      </c>
      <c r="F28" s="2155">
        <v>0</v>
      </c>
      <c r="G28" s="2155">
        <v>2</v>
      </c>
      <c r="H28" s="1147">
        <v>0</v>
      </c>
      <c r="I28" s="1147">
        <v>2</v>
      </c>
      <c r="J28" s="1147">
        <v>0</v>
      </c>
      <c r="K28" s="2155">
        <v>0.65</v>
      </c>
      <c r="L28" s="1066" t="s">
        <v>987</v>
      </c>
      <c r="M28" s="959">
        <v>12137000</v>
      </c>
      <c r="N28" s="959">
        <v>22836230.630399995</v>
      </c>
      <c r="O28" s="1149"/>
      <c r="P28" s="9"/>
      <c r="Q28" s="950"/>
      <c r="R28" s="950"/>
      <c r="S28" s="2004"/>
      <c r="T28" s="2005"/>
      <c r="U28" s="2005"/>
      <c r="V28" s="2005"/>
      <c r="W28" s="9"/>
      <c r="X28" s="9"/>
      <c r="Y28" s="950"/>
      <c r="Z28" s="9"/>
      <c r="AA28" s="9"/>
      <c r="AB28" s="9"/>
      <c r="AC28" s="237">
        <f>MAX(J28/J51)</f>
        <v>0</v>
      </c>
      <c r="AD28" s="235">
        <f>MAX(M28*AC28)</f>
        <v>0</v>
      </c>
      <c r="AE28" s="238">
        <f>MAX(I28/I51)</f>
        <v>2.6765359468814678E-4</v>
      </c>
      <c r="AF28" s="235">
        <f>MAX(N28*AE28)</f>
        <v>6112.199217354123</v>
      </c>
      <c r="AG28" s="238">
        <f>MAX(H28/H51)</f>
        <v>0</v>
      </c>
      <c r="AH28" s="235">
        <f>MAX(O28*AG28)</f>
        <v>0</v>
      </c>
    </row>
    <row r="29" spans="1:38" ht="14.45" customHeight="1" x14ac:dyDescent="0.2">
      <c r="A29" s="962" t="s">
        <v>371</v>
      </c>
      <c r="B29" s="1147">
        <v>40.300000000000011</v>
      </c>
      <c r="C29" s="2155">
        <v>3</v>
      </c>
      <c r="D29" s="2155">
        <v>0</v>
      </c>
      <c r="E29" s="2155">
        <v>0</v>
      </c>
      <c r="F29" s="2155">
        <v>0</v>
      </c>
      <c r="G29" s="2155">
        <v>20</v>
      </c>
      <c r="H29" s="1147">
        <v>20.300000000000011</v>
      </c>
      <c r="I29" s="1147">
        <v>43.300000000000011</v>
      </c>
      <c r="J29" s="1147">
        <v>14.210000000000006</v>
      </c>
      <c r="K29" s="2155">
        <v>0.7</v>
      </c>
      <c r="L29" s="1066" t="s">
        <v>987</v>
      </c>
      <c r="M29" s="959">
        <v>12137000</v>
      </c>
      <c r="N29" s="959">
        <v>22836230.630399995</v>
      </c>
      <c r="O29" s="1149">
        <v>6629975.2879552003</v>
      </c>
      <c r="P29" s="9"/>
      <c r="Q29" s="950"/>
      <c r="R29" s="950"/>
      <c r="S29" s="2004"/>
      <c r="T29" s="2005"/>
      <c r="U29" s="2005"/>
      <c r="V29" s="2005"/>
      <c r="W29" s="9"/>
      <c r="X29" s="9"/>
      <c r="Y29" s="950"/>
      <c r="Z29" s="9"/>
      <c r="AA29" s="9"/>
      <c r="AB29" s="9"/>
      <c r="AC29" s="237">
        <f>MAX(J29/J51)</f>
        <v>2.7688275303371737E-3</v>
      </c>
      <c r="AD29" s="235">
        <f>MAX(M29*AC29)</f>
        <v>33605.259735702275</v>
      </c>
      <c r="AE29" s="238">
        <f>MAX(I29/I51)</f>
        <v>5.7947003249983796E-3</v>
      </c>
      <c r="AF29" s="235">
        <f>MAX(N29*AE29)</f>
        <v>132329.11305571679</v>
      </c>
      <c r="AG29" s="238">
        <f>MAX(H29/H51)</f>
        <v>3.1400598158192517E-3</v>
      </c>
      <c r="AH29" s="235">
        <f>MAX(O29*AG29)</f>
        <v>20818.518981582798</v>
      </c>
    </row>
    <row r="30" spans="1:38" ht="14.45" customHeight="1" x14ac:dyDescent="0.2">
      <c r="A30" s="962" t="s">
        <v>372</v>
      </c>
      <c r="B30" s="1147">
        <v>301.89999999999998</v>
      </c>
      <c r="C30" s="2155">
        <v>9</v>
      </c>
      <c r="D30" s="2155">
        <v>20</v>
      </c>
      <c r="E30" s="2155">
        <v>2</v>
      </c>
      <c r="F30" s="2155">
        <v>1</v>
      </c>
      <c r="G30" s="2155">
        <v>28</v>
      </c>
      <c r="H30" s="1147">
        <v>250.89999999999998</v>
      </c>
      <c r="I30" s="1147">
        <v>307.89999999999998</v>
      </c>
      <c r="J30" s="1147">
        <v>182.62999999999997</v>
      </c>
      <c r="K30" s="2155">
        <v>0.7</v>
      </c>
      <c r="L30" s="1066" t="s">
        <v>987</v>
      </c>
      <c r="M30" s="959">
        <v>12137000</v>
      </c>
      <c r="N30" s="959">
        <v>22836230.630399995</v>
      </c>
      <c r="O30" s="1149">
        <v>6629975.2879552003</v>
      </c>
      <c r="P30" s="9"/>
      <c r="Q30" s="950"/>
      <c r="R30" s="950"/>
      <c r="S30" s="2004"/>
      <c r="T30" s="2005"/>
      <c r="U30" s="2005"/>
      <c r="V30" s="2005"/>
      <c r="W30" s="9"/>
      <c r="X30" s="9"/>
      <c r="Y30" s="950"/>
      <c r="Z30" s="9"/>
      <c r="AA30" s="9"/>
      <c r="AB30" s="9"/>
      <c r="AC30" s="237">
        <f>MAX(J30/J51)</f>
        <v>3.5585571559850648E-2</v>
      </c>
      <c r="AD30" s="235">
        <f>MAX(M30*AC30)</f>
        <v>431902.08202190732</v>
      </c>
      <c r="AE30" s="238">
        <f>MAX(I30/I51)</f>
        <v>4.1205270902240194E-2</v>
      </c>
      <c r="AF30" s="235">
        <f>MAX(N30*AE30)</f>
        <v>940973.06951166713</v>
      </c>
      <c r="AG30" s="238">
        <f>MAX(H30/H51)</f>
        <v>3.8809901861529543E-2</v>
      </c>
      <c r="AH30" s="235">
        <f>MAX(O30*AG30)</f>
        <v>257308.69026990738</v>
      </c>
    </row>
    <row r="31" spans="1:38" ht="14.45" customHeight="1" x14ac:dyDescent="0.2">
      <c r="A31" s="962" t="s">
        <v>373</v>
      </c>
      <c r="B31" s="1147">
        <v>255.76</v>
      </c>
      <c r="C31" s="2155">
        <v>14</v>
      </c>
      <c r="D31" s="2155">
        <v>30</v>
      </c>
      <c r="E31" s="2155">
        <v>0</v>
      </c>
      <c r="F31" s="2155">
        <v>0</v>
      </c>
      <c r="G31" s="2155">
        <v>15</v>
      </c>
      <c r="H31" s="1147">
        <v>210.76</v>
      </c>
      <c r="I31" s="1147">
        <v>269.76</v>
      </c>
      <c r="J31" s="1147">
        <v>158.03199999999998</v>
      </c>
      <c r="K31" s="2155">
        <v>0.7</v>
      </c>
      <c r="L31" s="1066" t="s">
        <v>987</v>
      </c>
      <c r="M31" s="959">
        <v>12137000</v>
      </c>
      <c r="N31" s="959">
        <v>22836230.630399995</v>
      </c>
      <c r="O31" s="1149">
        <v>6629975.2879552003</v>
      </c>
      <c r="P31" s="9"/>
      <c r="Q31" s="950"/>
      <c r="R31" s="950"/>
      <c r="S31" s="950"/>
      <c r="T31" s="950"/>
      <c r="U31" s="950"/>
      <c r="V31" s="950"/>
      <c r="W31" s="950"/>
      <c r="X31" s="950"/>
      <c r="Y31" s="950"/>
      <c r="Z31" s="9"/>
      <c r="AA31" s="9"/>
      <c r="AB31" s="9"/>
      <c r="AC31" s="237">
        <f>MAX(J31/J51)</f>
        <v>3.0792635628025613E-2</v>
      </c>
      <c r="AD31" s="235">
        <f>MAX(M31*AC31)</f>
        <v>373730.21861734684</v>
      </c>
      <c r="AE31" s="238">
        <f>MAX(I31/I51)</f>
        <v>3.6101116851537239E-2</v>
      </c>
      <c r="AF31" s="235">
        <f>MAX(N31*AE31)</f>
        <v>824413.4304367241</v>
      </c>
      <c r="AG31" s="238">
        <f>MAX(H31/H51)</f>
        <v>3.2600936294683011E-2</v>
      </c>
      <c r="AH31" s="235">
        <f>MAX(O31*AG31)</f>
        <v>216143.40199795013</v>
      </c>
    </row>
    <row r="32" spans="1:38" ht="14.45" customHeight="1" x14ac:dyDescent="0.2">
      <c r="A32" s="1154" t="s">
        <v>374</v>
      </c>
      <c r="B32" s="1150">
        <v>1637.2249999999997</v>
      </c>
      <c r="C32" s="1150">
        <v>71</v>
      </c>
      <c r="D32" s="1150">
        <v>88</v>
      </c>
      <c r="E32" s="1150">
        <v>7</v>
      </c>
      <c r="F32" s="1150">
        <v>9</v>
      </c>
      <c r="G32" s="1150">
        <v>182.5</v>
      </c>
      <c r="H32" s="1150">
        <v>1350.7249999999997</v>
      </c>
      <c r="I32" s="1150">
        <v>1692.2249999999997</v>
      </c>
      <c r="J32" s="1150">
        <v>1055.55</v>
      </c>
      <c r="K32" s="1528">
        <v>0.78146921097928901</v>
      </c>
      <c r="L32" s="1152"/>
      <c r="M32" s="996"/>
      <c r="N32" s="996"/>
      <c r="O32" s="1153"/>
      <c r="P32" s="9"/>
      <c r="Q32" s="950"/>
      <c r="R32" s="950"/>
      <c r="S32" s="2004"/>
      <c r="T32" s="2005"/>
      <c r="U32" s="2005"/>
      <c r="V32" s="2005"/>
      <c r="W32" s="9"/>
      <c r="X32" s="9"/>
      <c r="Y32" s="950"/>
      <c r="Z32" s="9"/>
      <c r="AA32" s="9"/>
      <c r="AB32" s="9"/>
      <c r="AC32" s="1157"/>
      <c r="AD32" s="1156"/>
      <c r="AE32" s="1158"/>
      <c r="AF32" s="1156"/>
      <c r="AG32" s="1158"/>
      <c r="AH32" s="1156"/>
    </row>
    <row r="33" spans="1:34" ht="14.45" customHeight="1" x14ac:dyDescent="0.2">
      <c r="A33" s="962" t="s">
        <v>375</v>
      </c>
      <c r="B33" s="1147">
        <v>274</v>
      </c>
      <c r="C33" s="2155">
        <v>23</v>
      </c>
      <c r="D33" s="2155">
        <v>40</v>
      </c>
      <c r="E33" s="2155">
        <v>0</v>
      </c>
      <c r="F33" s="2155">
        <v>2</v>
      </c>
      <c r="G33" s="2155">
        <v>90</v>
      </c>
      <c r="H33" s="1147">
        <v>142</v>
      </c>
      <c r="I33" s="1147">
        <v>295</v>
      </c>
      <c r="J33" s="1147">
        <v>129.6</v>
      </c>
      <c r="K33" s="2155">
        <v>0.8</v>
      </c>
      <c r="L33" s="1066" t="s">
        <v>987</v>
      </c>
      <c r="M33" s="959">
        <v>12137000</v>
      </c>
      <c r="N33" s="959">
        <v>22836230.630399995</v>
      </c>
      <c r="O33" s="1149">
        <v>6629975.2879552003</v>
      </c>
      <c r="P33" s="950"/>
      <c r="Q33" s="950"/>
      <c r="R33" s="950"/>
      <c r="S33" s="2004"/>
      <c r="T33" s="2005"/>
      <c r="U33" s="2005"/>
      <c r="V33" s="2005"/>
      <c r="W33" s="9"/>
      <c r="X33" s="9"/>
      <c r="Y33" s="950"/>
      <c r="Z33" s="9"/>
      <c r="AA33" s="9"/>
      <c r="AB33" s="9"/>
      <c r="AC33" s="237">
        <f>MAX(J33/J51)</f>
        <v>2.525264235972537E-2</v>
      </c>
      <c r="AD33" s="235">
        <f t="shared" ref="AD33:AD40" si="3">MAX(M33*AC33)</f>
        <v>306491.32031998679</v>
      </c>
      <c r="AE33" s="238">
        <f>MAX(I33/I51)</f>
        <v>3.9478905216501652E-2</v>
      </c>
      <c r="AF33" s="235">
        <f t="shared" ref="AF33:AF40" si="4">MAX(N33*AE33)</f>
        <v>901549.38455973309</v>
      </c>
      <c r="AG33" s="238">
        <f>MAX(H33/H51)</f>
        <v>2.1964950435779975E-2</v>
      </c>
      <c r="AH33" s="235">
        <f t="shared" ref="AH33:AH40" si="5">MAX(O33*AG33)</f>
        <v>145627.07859038204</v>
      </c>
    </row>
    <row r="34" spans="1:34" ht="14.45" customHeight="1" x14ac:dyDescent="0.2">
      <c r="A34" s="962" t="s">
        <v>376</v>
      </c>
      <c r="B34" s="1147">
        <v>161.13100000000003</v>
      </c>
      <c r="C34" s="2155">
        <v>4</v>
      </c>
      <c r="D34" s="2155">
        <v>5</v>
      </c>
      <c r="E34" s="2155">
        <v>0</v>
      </c>
      <c r="F34" s="2155">
        <v>0</v>
      </c>
      <c r="G34" s="2155">
        <v>3.5</v>
      </c>
      <c r="H34" s="1147">
        <v>152.63100000000003</v>
      </c>
      <c r="I34" s="1147">
        <v>165.13100000000003</v>
      </c>
      <c r="J34" s="1147">
        <v>155.13100000000003</v>
      </c>
      <c r="K34" s="2155">
        <v>1</v>
      </c>
      <c r="L34" s="1066" t="s">
        <v>987</v>
      </c>
      <c r="M34" s="959">
        <v>12137000</v>
      </c>
      <c r="N34" s="959">
        <v>22836230.630399995</v>
      </c>
      <c r="O34" s="1149">
        <v>6629975.2879552003</v>
      </c>
      <c r="P34" s="9"/>
      <c r="Q34" s="950"/>
      <c r="R34" s="950"/>
      <c r="S34" s="2004"/>
      <c r="T34" s="2005"/>
      <c r="U34" s="2005"/>
      <c r="V34" s="2005"/>
      <c r="W34" s="9"/>
      <c r="X34" s="9"/>
      <c r="Y34" s="950"/>
      <c r="Z34" s="9"/>
      <c r="AA34" s="9"/>
      <c r="AB34" s="9"/>
      <c r="AC34" s="237">
        <f>MAX(J34/J51)</f>
        <v>3.0227373934464178E-2</v>
      </c>
      <c r="AD34" s="235">
        <f t="shared" si="3"/>
        <v>366869.63744259172</v>
      </c>
      <c r="AE34" s="238">
        <f>MAX(I34/I51)</f>
        <v>2.2098952872224187E-2</v>
      </c>
      <c r="AF34" s="235">
        <f t="shared" si="4"/>
        <v>504656.7844804519</v>
      </c>
      <c r="AG34" s="238">
        <f>MAX(H34/H51)</f>
        <v>2.3609382746222072E-2</v>
      </c>
      <c r="AH34" s="235">
        <f t="shared" si="5"/>
        <v>156529.62417132821</v>
      </c>
    </row>
    <row r="35" spans="1:34" ht="14.45" customHeight="1" x14ac:dyDescent="0.2">
      <c r="A35" s="962" t="s">
        <v>377</v>
      </c>
      <c r="B35" s="1147">
        <v>6</v>
      </c>
      <c r="C35" s="2155">
        <v>1</v>
      </c>
      <c r="D35" s="2155"/>
      <c r="E35" s="2155"/>
      <c r="F35" s="2155"/>
      <c r="G35" s="2155">
        <v>0</v>
      </c>
      <c r="H35" s="2155">
        <v>6</v>
      </c>
      <c r="I35" s="1147">
        <v>7</v>
      </c>
      <c r="J35" s="1147">
        <v>3.5999999999999996</v>
      </c>
      <c r="K35" s="2155">
        <v>0.6</v>
      </c>
      <c r="L35" s="1066" t="s">
        <v>987</v>
      </c>
      <c r="M35" s="959">
        <v>12137000</v>
      </c>
      <c r="N35" s="959">
        <v>22836230.630399995</v>
      </c>
      <c r="O35" s="1149">
        <v>6629975.2879552003</v>
      </c>
      <c r="P35" s="9"/>
      <c r="Q35" s="950"/>
      <c r="R35" s="950"/>
      <c r="S35" s="2004"/>
      <c r="T35" s="2005"/>
      <c r="U35" s="2005"/>
      <c r="V35" s="2005"/>
      <c r="W35" s="9"/>
      <c r="X35" s="9"/>
      <c r="Y35" s="950"/>
      <c r="Z35" s="9"/>
      <c r="AA35" s="9"/>
      <c r="AB35" s="9"/>
      <c r="AC35" s="237">
        <f>MAX(J35/J51)</f>
        <v>7.014622877701491E-4</v>
      </c>
      <c r="AD35" s="235">
        <f t="shared" si="3"/>
        <v>8513.647786666299</v>
      </c>
      <c r="AE35" s="238">
        <f>MAX(I35/I51)</f>
        <v>9.3678758140851369E-4</v>
      </c>
      <c r="AF35" s="235">
        <f t="shared" si="4"/>
        <v>21392.697260739427</v>
      </c>
      <c r="AG35" s="238">
        <f>MAX(H35/H51)</f>
        <v>9.2809649728647784E-4</v>
      </c>
      <c r="AH35" s="235">
        <f t="shared" si="5"/>
        <v>6153.2568418471283</v>
      </c>
    </row>
    <row r="36" spans="1:34" ht="14.45" customHeight="1" x14ac:dyDescent="0.2">
      <c r="A36" s="962" t="s">
        <v>378</v>
      </c>
      <c r="B36" s="1147">
        <v>492.44999999999993</v>
      </c>
      <c r="C36" s="2155">
        <v>13</v>
      </c>
      <c r="D36" s="2155">
        <v>7</v>
      </c>
      <c r="E36" s="2155">
        <v>0</v>
      </c>
      <c r="F36" s="2155">
        <v>0</v>
      </c>
      <c r="G36" s="2155">
        <v>19</v>
      </c>
      <c r="H36" s="1147">
        <v>466.44999999999993</v>
      </c>
      <c r="I36" s="1147">
        <v>505.44999999999993</v>
      </c>
      <c r="J36" s="1147">
        <v>328.96499999999992</v>
      </c>
      <c r="K36" s="2155">
        <v>0.7</v>
      </c>
      <c r="L36" s="1066" t="s">
        <v>987</v>
      </c>
      <c r="M36" s="959">
        <v>12137000</v>
      </c>
      <c r="N36" s="959">
        <v>22836230.630399995</v>
      </c>
      <c r="O36" s="1149">
        <v>6629975.2879552003</v>
      </c>
      <c r="P36" s="9"/>
      <c r="Q36" s="950"/>
      <c r="R36" s="950"/>
      <c r="S36" s="2004"/>
      <c r="T36" s="2005"/>
      <c r="U36" s="2005"/>
      <c r="V36" s="2005"/>
      <c r="W36" s="9"/>
      <c r="X36" s="9"/>
      <c r="Y36" s="950"/>
      <c r="Z36" s="9"/>
      <c r="AA36" s="9"/>
      <c r="AB36" s="9"/>
      <c r="AC36" s="237">
        <f>MAX(J36/J51)</f>
        <v>6.4099039304529745E-2</v>
      </c>
      <c r="AD36" s="235">
        <f t="shared" si="3"/>
        <v>777970.04003907752</v>
      </c>
      <c r="AE36" s="238">
        <f>MAX(I36/I51)</f>
        <v>6.7642754717561884E-2</v>
      </c>
      <c r="AF36" s="235">
        <f t="shared" si="4"/>
        <v>1544705.5472058204</v>
      </c>
      <c r="AG36" s="238">
        <f>MAX(H36/H51)</f>
        <v>7.2151768526546256E-2</v>
      </c>
      <c r="AH36" s="235">
        <f t="shared" si="5"/>
        <v>478364.44231326546</v>
      </c>
    </row>
    <row r="37" spans="1:34" ht="14.45" customHeight="1" x14ac:dyDescent="0.2">
      <c r="A37" s="962" t="s">
        <v>379</v>
      </c>
      <c r="B37" s="1147">
        <v>109.3</v>
      </c>
      <c r="C37" s="2155"/>
      <c r="D37" s="2155"/>
      <c r="E37" s="2155"/>
      <c r="F37" s="2155"/>
      <c r="G37" s="2155">
        <v>0</v>
      </c>
      <c r="H37" s="1147">
        <v>109.3</v>
      </c>
      <c r="I37" s="1147">
        <v>109.3</v>
      </c>
      <c r="J37" s="1147">
        <v>78.695999999999998</v>
      </c>
      <c r="K37" s="2155">
        <v>0.72</v>
      </c>
      <c r="L37" s="1066" t="s">
        <v>987</v>
      </c>
      <c r="M37" s="959">
        <v>12137000</v>
      </c>
      <c r="N37" s="959">
        <v>22836230.630399995</v>
      </c>
      <c r="O37" s="1149">
        <v>6629975.2879552003</v>
      </c>
      <c r="P37" s="9"/>
      <c r="Q37" s="950"/>
      <c r="R37" s="950"/>
      <c r="S37" s="397"/>
      <c r="W37" s="9"/>
      <c r="X37" s="9"/>
      <c r="Y37" s="950"/>
      <c r="Z37" s="9"/>
      <c r="AA37" s="9"/>
      <c r="AB37" s="9"/>
      <c r="AC37" s="237">
        <f>MAX(J37/J51)</f>
        <v>1.5333965610655462E-2</v>
      </c>
      <c r="AD37" s="235">
        <f t="shared" si="3"/>
        <v>186108.34061652533</v>
      </c>
      <c r="AE37" s="238">
        <f>MAX(I37/I51)</f>
        <v>1.4627268949707221E-2</v>
      </c>
      <c r="AF37" s="235">
        <f t="shared" si="4"/>
        <v>334031.68722840282</v>
      </c>
      <c r="AG37" s="238">
        <f>MAX(H37/H51)</f>
        <v>1.6906824525568669E-2</v>
      </c>
      <c r="AH37" s="235">
        <f t="shared" si="5"/>
        <v>112091.82880231518</v>
      </c>
    </row>
    <row r="38" spans="1:34" ht="14.45" customHeight="1" x14ac:dyDescent="0.2">
      <c r="A38" s="962" t="s">
        <v>380</v>
      </c>
      <c r="B38" s="1147">
        <v>198.87</v>
      </c>
      <c r="C38" s="2155">
        <v>12</v>
      </c>
      <c r="D38" s="2155">
        <v>10</v>
      </c>
      <c r="E38" s="2155">
        <v>0</v>
      </c>
      <c r="F38" s="2155">
        <v>4</v>
      </c>
      <c r="G38" s="2155">
        <v>45</v>
      </c>
      <c r="H38" s="1147">
        <v>139.87</v>
      </c>
      <c r="I38" s="1147">
        <v>206.87</v>
      </c>
      <c r="J38" s="1147">
        <v>108.6525</v>
      </c>
      <c r="K38" s="2155">
        <v>0.75</v>
      </c>
      <c r="L38" s="1066" t="s">
        <v>987</v>
      </c>
      <c r="M38" s="959">
        <v>12137000</v>
      </c>
      <c r="N38" s="959">
        <v>22836230.630399995</v>
      </c>
      <c r="O38" s="1149">
        <v>6629975.2879552003</v>
      </c>
      <c r="P38" s="9"/>
      <c r="Q38" s="950"/>
      <c r="R38" s="950"/>
      <c r="S38" s="2004"/>
      <c r="T38" s="2005"/>
      <c r="U38" s="2005"/>
      <c r="V38" s="2005"/>
      <c r="W38" s="9"/>
      <c r="X38" s="9"/>
      <c r="Y38" s="950"/>
      <c r="Z38" s="9"/>
      <c r="AA38" s="9"/>
      <c r="AB38" s="9"/>
      <c r="AC38" s="237">
        <f>MAX(J38/J51)</f>
        <v>2.1171008672762816E-2</v>
      </c>
      <c r="AD38" s="235">
        <f t="shared" si="3"/>
        <v>256952.53226132228</v>
      </c>
      <c r="AE38" s="238">
        <f>MAX(I38/I51)</f>
        <v>2.7684749566568464E-2</v>
      </c>
      <c r="AF38" s="235">
        <f t="shared" si="4"/>
        <v>632215.32604702376</v>
      </c>
      <c r="AG38" s="238">
        <f>MAX(H38/H51)</f>
        <v>2.1635476179243277E-2</v>
      </c>
      <c r="AH38" s="235">
        <f t="shared" si="5"/>
        <v>143442.67241152632</v>
      </c>
    </row>
    <row r="39" spans="1:34" ht="14.45" customHeight="1" x14ac:dyDescent="0.2">
      <c r="A39" s="962" t="s">
        <v>381</v>
      </c>
      <c r="B39" s="1147">
        <v>122</v>
      </c>
      <c r="C39" s="2155">
        <v>8</v>
      </c>
      <c r="D39" s="2155"/>
      <c r="E39" s="2155"/>
      <c r="F39" s="2155"/>
      <c r="G39" s="2155">
        <v>25</v>
      </c>
      <c r="H39" s="1147">
        <v>97</v>
      </c>
      <c r="I39" s="1147">
        <v>130</v>
      </c>
      <c r="J39" s="1147">
        <v>63.050000000000004</v>
      </c>
      <c r="K39" s="2155">
        <v>0.65</v>
      </c>
      <c r="L39" s="1066" t="s">
        <v>987</v>
      </c>
      <c r="M39" s="959">
        <v>12137000</v>
      </c>
      <c r="N39" s="959">
        <v>22836230.630399995</v>
      </c>
      <c r="O39" s="1149">
        <v>6629975.2879552003</v>
      </c>
      <c r="P39" s="9"/>
      <c r="Q39" s="950"/>
      <c r="R39" s="950"/>
      <c r="S39" s="2004"/>
      <c r="T39" s="2005"/>
      <c r="U39" s="2005"/>
      <c r="V39" s="2005"/>
      <c r="W39" s="950"/>
      <c r="X39" s="950"/>
      <c r="Y39" s="950"/>
      <c r="Z39" s="9"/>
      <c r="AA39" s="9"/>
      <c r="AB39" s="9"/>
      <c r="AC39" s="237">
        <f>MAX(J39/J51)</f>
        <v>1.2285332567752197E-2</v>
      </c>
      <c r="AD39" s="235">
        <f t="shared" si="3"/>
        <v>149107.08137480842</v>
      </c>
      <c r="AE39" s="238">
        <f>MAX(I39/I51)</f>
        <v>1.739748365472954E-2</v>
      </c>
      <c r="AF39" s="235">
        <f t="shared" si="4"/>
        <v>397292.94912801794</v>
      </c>
      <c r="AG39" s="238">
        <f>MAX(H39/H51)</f>
        <v>1.5004226706131392E-2</v>
      </c>
      <c r="AH39" s="235">
        <f t="shared" si="5"/>
        <v>99477.652276528577</v>
      </c>
    </row>
    <row r="40" spans="1:34" ht="14.45" customHeight="1" x14ac:dyDescent="0.2">
      <c r="A40" s="962" t="s">
        <v>382</v>
      </c>
      <c r="B40" s="1147">
        <v>273.47399999999999</v>
      </c>
      <c r="C40" s="2155">
        <v>10</v>
      </c>
      <c r="D40" s="2155">
        <v>26</v>
      </c>
      <c r="E40" s="2155">
        <v>7</v>
      </c>
      <c r="F40" s="2155">
        <v>3</v>
      </c>
      <c r="G40" s="2155">
        <v>0</v>
      </c>
      <c r="H40" s="1147">
        <v>237.47399999999999</v>
      </c>
      <c r="I40" s="1147">
        <v>273.47399999999999</v>
      </c>
      <c r="J40" s="1147">
        <v>187.85550000000001</v>
      </c>
      <c r="K40" s="2155">
        <v>0.75</v>
      </c>
      <c r="L40" s="1066" t="s">
        <v>987</v>
      </c>
      <c r="M40" s="959">
        <v>12137000</v>
      </c>
      <c r="N40" s="959">
        <v>22836230.630399995</v>
      </c>
      <c r="O40" s="1149">
        <v>6629975.2879552003</v>
      </c>
      <c r="P40" s="9"/>
      <c r="Q40" s="950"/>
      <c r="R40" s="950"/>
      <c r="S40" s="2004"/>
      <c r="T40" s="2005"/>
      <c r="U40" s="2005"/>
      <c r="V40" s="2005"/>
      <c r="W40" s="9"/>
      <c r="X40" s="9"/>
      <c r="Y40" s="9"/>
      <c r="Z40" s="9"/>
      <c r="AA40" s="9"/>
      <c r="AB40" s="9"/>
      <c r="AC40" s="237">
        <f>MAX(J40/J51)</f>
        <v>3.6603763555612574E-2</v>
      </c>
      <c r="AD40" s="235">
        <f t="shared" si="3"/>
        <v>444259.87827446981</v>
      </c>
      <c r="AE40" s="238">
        <f>MAX(I40/I51)</f>
        <v>3.6598149576873122E-2</v>
      </c>
      <c r="AF40" s="235">
        <f t="shared" si="4"/>
        <v>835763.78438335063</v>
      </c>
      <c r="AG40" s="238">
        <f>MAX(H40/H51)</f>
        <v>3.6733131266101504E-2</v>
      </c>
      <c r="AH40" s="235">
        <f t="shared" si="5"/>
        <v>243539.7525434675</v>
      </c>
    </row>
    <row r="41" spans="1:34" ht="14.45" customHeight="1" x14ac:dyDescent="0.2">
      <c r="A41" s="1154" t="s">
        <v>383</v>
      </c>
      <c r="B41" s="1150">
        <v>490.01</v>
      </c>
      <c r="C41" s="1150">
        <v>24</v>
      </c>
      <c r="D41" s="1150">
        <v>9</v>
      </c>
      <c r="E41" s="1150">
        <v>2</v>
      </c>
      <c r="F41" s="1150">
        <v>4</v>
      </c>
      <c r="G41" s="1150">
        <v>50</v>
      </c>
      <c r="H41" s="1150">
        <v>425.01</v>
      </c>
      <c r="I41" s="1150">
        <v>508.01</v>
      </c>
      <c r="J41" s="1150">
        <v>305.92619999999999</v>
      </c>
      <c r="K41" s="1528">
        <v>0.71980941624902939</v>
      </c>
      <c r="L41" s="1152"/>
      <c r="M41" s="996"/>
      <c r="N41" s="996"/>
      <c r="O41" s="1153"/>
      <c r="P41" s="9"/>
      <c r="Q41" s="950"/>
      <c r="R41" s="950"/>
      <c r="S41" s="397"/>
      <c r="W41" s="9"/>
      <c r="X41" s="9"/>
      <c r="Y41" s="950"/>
      <c r="Z41" s="9"/>
      <c r="AA41" s="9"/>
      <c r="AB41" s="9"/>
      <c r="AC41" s="1157"/>
      <c r="AD41" s="1156"/>
      <c r="AE41" s="1158"/>
      <c r="AF41" s="1156"/>
      <c r="AG41" s="1158"/>
      <c r="AH41" s="1156"/>
    </row>
    <row r="42" spans="1:34" ht="14.45" customHeight="1" x14ac:dyDescent="0.2">
      <c r="A42" s="962" t="s">
        <v>384</v>
      </c>
      <c r="B42" s="1147">
        <v>63.510000000000005</v>
      </c>
      <c r="C42" s="2155">
        <v>2</v>
      </c>
      <c r="D42" s="2155">
        <v>0</v>
      </c>
      <c r="E42" s="2155">
        <v>0</v>
      </c>
      <c r="F42" s="2155">
        <v>0</v>
      </c>
      <c r="G42" s="2155">
        <v>0</v>
      </c>
      <c r="H42" s="1147">
        <v>63.510000000000005</v>
      </c>
      <c r="I42" s="1147">
        <v>65.510000000000005</v>
      </c>
      <c r="J42" s="1147">
        <v>39.376200000000004</v>
      </c>
      <c r="K42" s="2155">
        <v>0.62</v>
      </c>
      <c r="L42" s="1066" t="s">
        <v>987</v>
      </c>
      <c r="M42" s="959">
        <v>12137000</v>
      </c>
      <c r="N42" s="959">
        <v>22836230.630399995</v>
      </c>
      <c r="O42" s="1149">
        <v>6629975.2879552003</v>
      </c>
      <c r="P42" s="9"/>
      <c r="Q42" s="950"/>
      <c r="R42" s="950"/>
      <c r="S42" s="2004"/>
      <c r="T42" s="2005"/>
      <c r="U42" s="2005"/>
      <c r="V42" s="2005"/>
      <c r="W42" s="9"/>
      <c r="X42" s="9"/>
      <c r="Y42" s="950"/>
      <c r="Z42" s="9"/>
      <c r="AA42" s="9"/>
      <c r="AB42" s="9"/>
      <c r="AC42" s="237">
        <f>MAX(J42/J51)</f>
        <v>7.6724775932485983E-3</v>
      </c>
      <c r="AD42" s="235">
        <f t="shared" ref="AD42:AD50" si="6">MAX(M42*AC42)</f>
        <v>93120.860549258243</v>
      </c>
      <c r="AE42" s="238">
        <f>MAX(I42/I51)</f>
        <v>8.7669934940102483E-3</v>
      </c>
      <c r="AF42" s="235">
        <f t="shared" ref="AF42:AF50" si="7">MAX(N42*AE42)</f>
        <v>200205.08536443432</v>
      </c>
      <c r="AG42" s="238">
        <f>MAX(H42/H51)</f>
        <v>9.8239014237773686E-3</v>
      </c>
      <c r="AH42" s="235">
        <f t="shared" ref="AH42:AH50" si="8">MAX(O42*AG42)</f>
        <v>65132.223670951862</v>
      </c>
    </row>
    <row r="43" spans="1:34" ht="14.45" customHeight="1" x14ac:dyDescent="0.2">
      <c r="A43" s="962" t="s">
        <v>385</v>
      </c>
      <c r="B43" s="1147">
        <v>13</v>
      </c>
      <c r="C43" s="1147">
        <v>4</v>
      </c>
      <c r="D43" s="1147">
        <v>1</v>
      </c>
      <c r="E43" s="1147">
        <v>0</v>
      </c>
      <c r="F43" s="1147">
        <v>1</v>
      </c>
      <c r="G43" s="1147">
        <v>1</v>
      </c>
      <c r="H43" s="1147">
        <v>10</v>
      </c>
      <c r="I43" s="1147">
        <v>16</v>
      </c>
      <c r="J43" s="1147">
        <v>6.3</v>
      </c>
      <c r="K43" s="1147">
        <v>0.6</v>
      </c>
      <c r="L43" s="1066" t="s">
        <v>987</v>
      </c>
      <c r="M43" s="959">
        <v>12137000</v>
      </c>
      <c r="N43" s="959">
        <v>22836230.630399995</v>
      </c>
      <c r="O43" s="1149">
        <v>6629975.2879552003</v>
      </c>
      <c r="P43" s="9"/>
      <c r="Q43" s="950"/>
      <c r="R43" s="950"/>
      <c r="S43" s="2004"/>
      <c r="T43" s="2005"/>
      <c r="U43" s="2005"/>
      <c r="V43" s="2005"/>
      <c r="W43" s="9"/>
      <c r="X43" s="9"/>
      <c r="Y43" s="950"/>
      <c r="Z43" s="9"/>
      <c r="AA43" s="9"/>
      <c r="AB43" s="9"/>
      <c r="AC43" s="237">
        <f>MAX(J43/J51)</f>
        <v>1.227559003597761E-3</v>
      </c>
      <c r="AD43" s="235">
        <f t="shared" si="6"/>
        <v>14898.883626666026</v>
      </c>
      <c r="AE43" s="238">
        <f>MAX(I43/I51)</f>
        <v>2.1412287575051743E-3</v>
      </c>
      <c r="AF43" s="235">
        <f t="shared" si="7"/>
        <v>48897.593738832984</v>
      </c>
      <c r="AG43" s="238">
        <f>MAX(H43/H51)</f>
        <v>1.5468274954774631E-3</v>
      </c>
      <c r="AH43" s="235">
        <f t="shared" si="8"/>
        <v>10255.428069745214</v>
      </c>
    </row>
    <row r="44" spans="1:34" ht="14.45" customHeight="1" x14ac:dyDescent="0.2">
      <c r="A44" s="962" t="s">
        <v>386</v>
      </c>
      <c r="B44" s="1147">
        <v>140.5</v>
      </c>
      <c r="C44" s="1739">
        <v>5</v>
      </c>
      <c r="D44" s="1739">
        <v>0</v>
      </c>
      <c r="E44" s="1739">
        <v>0</v>
      </c>
      <c r="F44" s="1739">
        <v>0</v>
      </c>
      <c r="G44" s="1739">
        <v>0</v>
      </c>
      <c r="H44" s="1147">
        <v>140.5</v>
      </c>
      <c r="I44" s="1147">
        <v>145.5</v>
      </c>
      <c r="J44" s="1147">
        <v>98.35</v>
      </c>
      <c r="K44" s="1739">
        <v>0.7</v>
      </c>
      <c r="L44" s="1066" t="s">
        <v>987</v>
      </c>
      <c r="M44" s="959">
        <v>12137000</v>
      </c>
      <c r="N44" s="959">
        <v>22836230.630399995</v>
      </c>
      <c r="O44" s="1149">
        <v>6629975.2879552003</v>
      </c>
      <c r="P44" s="9"/>
      <c r="Q44" s="950"/>
      <c r="R44" s="950"/>
      <c r="S44" s="2004"/>
      <c r="T44" s="2005"/>
      <c r="U44" s="2005"/>
      <c r="V44" s="2005"/>
      <c r="W44" s="9"/>
      <c r="X44" s="9"/>
      <c r="Y44" s="950"/>
      <c r="Z44" s="9"/>
      <c r="AA44" s="9"/>
      <c r="AB44" s="9"/>
      <c r="AC44" s="237">
        <f>MAX(J44/J51)</f>
        <v>1.9163560000609491E-2</v>
      </c>
      <c r="AD44" s="235">
        <f t="shared" si="6"/>
        <v>232588.1277273974</v>
      </c>
      <c r="AE44" s="238">
        <f>MAX(I44/I51)</f>
        <v>1.947179901356268E-2</v>
      </c>
      <c r="AF44" s="235">
        <f t="shared" si="7"/>
        <v>444662.49306251248</v>
      </c>
      <c r="AG44" s="238">
        <f>MAX(H44/H51)</f>
        <v>2.1732926311458355E-2</v>
      </c>
      <c r="AH44" s="235">
        <f t="shared" si="8"/>
        <v>144088.76437992026</v>
      </c>
    </row>
    <row r="45" spans="1:34" ht="14.45" customHeight="1" x14ac:dyDescent="0.2">
      <c r="A45" s="962" t="s">
        <v>387</v>
      </c>
      <c r="B45" s="1147">
        <v>23.5</v>
      </c>
      <c r="C45" s="1739">
        <v>1</v>
      </c>
      <c r="D45" s="1739">
        <v>3</v>
      </c>
      <c r="E45" s="1739">
        <v>2</v>
      </c>
      <c r="F45" s="1739">
        <v>3</v>
      </c>
      <c r="G45" s="1739">
        <v>3</v>
      </c>
      <c r="H45" s="1147">
        <v>12.5</v>
      </c>
      <c r="I45" s="1147">
        <v>19.5</v>
      </c>
      <c r="J45" s="1147">
        <v>8.4</v>
      </c>
      <c r="K45" s="1739">
        <v>0.6</v>
      </c>
      <c r="L45" s="1066" t="s">
        <v>987</v>
      </c>
      <c r="M45" s="959">
        <v>12137000</v>
      </c>
      <c r="N45" s="959">
        <v>22836230.630399995</v>
      </c>
      <c r="O45" s="1149">
        <v>6629975.2879552003</v>
      </c>
      <c r="P45" s="9"/>
      <c r="Q45" s="950"/>
      <c r="R45" s="950"/>
      <c r="S45" s="2004"/>
      <c r="T45" s="2005"/>
      <c r="U45" s="2005"/>
      <c r="V45" s="2005"/>
      <c r="W45" s="9"/>
      <c r="X45" s="9"/>
      <c r="Y45" s="950"/>
      <c r="Z45" s="9"/>
      <c r="AA45" s="9"/>
      <c r="AB45" s="9"/>
      <c r="AC45" s="237">
        <f>MAX(J45/J51)</f>
        <v>1.6367453381303482E-3</v>
      </c>
      <c r="AD45" s="235">
        <f t="shared" si="6"/>
        <v>19865.178168888036</v>
      </c>
      <c r="AE45" s="238">
        <f>MAX(I45/I51)</f>
        <v>2.6096225482094312E-3</v>
      </c>
      <c r="AF45" s="235">
        <f t="shared" si="7"/>
        <v>59593.942369202698</v>
      </c>
      <c r="AG45" s="238">
        <f>MAX(H45/H51)</f>
        <v>1.9335343693468287E-3</v>
      </c>
      <c r="AH45" s="235">
        <f t="shared" si="8"/>
        <v>12819.285087181517</v>
      </c>
    </row>
    <row r="46" spans="1:34" ht="14.45" customHeight="1" x14ac:dyDescent="0.2">
      <c r="A46" s="962" t="s">
        <v>388</v>
      </c>
      <c r="B46" s="1147">
        <v>68</v>
      </c>
      <c r="C46" s="1147">
        <v>10</v>
      </c>
      <c r="D46" s="1147">
        <v>5</v>
      </c>
      <c r="E46" s="1147">
        <v>0</v>
      </c>
      <c r="F46" s="1147">
        <v>0</v>
      </c>
      <c r="G46" s="1147">
        <v>0</v>
      </c>
      <c r="H46" s="1147">
        <v>63</v>
      </c>
      <c r="I46" s="1147">
        <v>78</v>
      </c>
      <c r="J46" s="1147">
        <v>58.95</v>
      </c>
      <c r="K46" s="1147">
        <v>0.9</v>
      </c>
      <c r="L46" s="1066" t="s">
        <v>987</v>
      </c>
      <c r="M46" s="959">
        <v>12137000</v>
      </c>
      <c r="N46" s="959">
        <v>22836230.630399995</v>
      </c>
      <c r="O46" s="1149">
        <v>6629975.2879552003</v>
      </c>
      <c r="P46" s="9"/>
      <c r="Q46" s="950"/>
      <c r="R46" s="950"/>
      <c r="S46" s="2004"/>
      <c r="T46" s="2005"/>
      <c r="U46" s="2005"/>
      <c r="V46" s="2005"/>
      <c r="Z46" s="9"/>
      <c r="AA46" s="9"/>
      <c r="AB46" s="9"/>
      <c r="AC46" s="237">
        <f>MAX(J46/J51)</f>
        <v>1.1486444962236194E-2</v>
      </c>
      <c r="AD46" s="235">
        <f t="shared" si="6"/>
        <v>139410.98250666069</v>
      </c>
      <c r="AE46" s="238">
        <f>MAX(I46/I51)</f>
        <v>1.0438490192837725E-2</v>
      </c>
      <c r="AF46" s="235">
        <f t="shared" si="7"/>
        <v>238375.76947681079</v>
      </c>
      <c r="AG46" s="238">
        <f>MAX(H46/H51)</f>
        <v>9.7450132215080171E-3</v>
      </c>
      <c r="AH46" s="235">
        <f t="shared" si="8"/>
        <v>64609.196839394848</v>
      </c>
    </row>
    <row r="47" spans="1:34" ht="14.45" customHeight="1" x14ac:dyDescent="0.2">
      <c r="A47" s="962" t="s">
        <v>389</v>
      </c>
      <c r="B47" s="1147">
        <v>0</v>
      </c>
      <c r="C47" s="2155">
        <v>0</v>
      </c>
      <c r="D47" s="2155"/>
      <c r="E47" s="2155"/>
      <c r="F47" s="2155"/>
      <c r="G47" s="2155">
        <v>0</v>
      </c>
      <c r="H47" s="1147">
        <v>0</v>
      </c>
      <c r="I47" s="1147">
        <v>0</v>
      </c>
      <c r="J47" s="1147">
        <v>0</v>
      </c>
      <c r="K47" s="2155"/>
      <c r="L47" s="1066"/>
      <c r="M47" s="959"/>
      <c r="N47" s="959"/>
      <c r="O47" s="1149"/>
      <c r="P47" s="9"/>
      <c r="Q47" s="950"/>
      <c r="R47" s="950"/>
      <c r="S47" s="2004"/>
      <c r="T47" s="2005"/>
      <c r="U47" s="2005"/>
      <c r="V47" s="2005"/>
      <c r="Z47" s="9"/>
      <c r="AA47" s="9"/>
      <c r="AB47" s="9"/>
      <c r="AC47" s="237">
        <f>MAX(J47/J51)</f>
        <v>0</v>
      </c>
      <c r="AD47" s="235">
        <f t="shared" si="6"/>
        <v>0</v>
      </c>
      <c r="AE47" s="238">
        <f>MAX(I47/I51)</f>
        <v>0</v>
      </c>
      <c r="AF47" s="235">
        <f t="shared" si="7"/>
        <v>0</v>
      </c>
      <c r="AG47" s="238">
        <f>MAX(H47/H51)</f>
        <v>0</v>
      </c>
      <c r="AH47" s="235">
        <f t="shared" si="8"/>
        <v>0</v>
      </c>
    </row>
    <row r="48" spans="1:34" ht="14.45" customHeight="1" x14ac:dyDescent="0.2">
      <c r="A48" s="962" t="s">
        <v>390</v>
      </c>
      <c r="B48" s="1147">
        <v>134.5</v>
      </c>
      <c r="C48" s="1147">
        <v>2</v>
      </c>
      <c r="D48" s="1147"/>
      <c r="E48" s="1147"/>
      <c r="F48" s="1147"/>
      <c r="G48" s="1147">
        <v>45</v>
      </c>
      <c r="H48" s="1147">
        <v>89.5</v>
      </c>
      <c r="I48" s="1147">
        <v>136.5</v>
      </c>
      <c r="J48" s="1147">
        <v>62.65</v>
      </c>
      <c r="K48" s="1147">
        <v>0.7</v>
      </c>
      <c r="L48" s="1066" t="s">
        <v>987</v>
      </c>
      <c r="M48" s="959">
        <v>12137000</v>
      </c>
      <c r="N48" s="959">
        <v>22836230.630399995</v>
      </c>
      <c r="O48" s="1149">
        <v>6629975.2879552003</v>
      </c>
      <c r="P48" s="9"/>
      <c r="Q48" s="950"/>
      <c r="R48" s="950"/>
      <c r="S48" s="397"/>
      <c r="Z48" s="9"/>
      <c r="AA48" s="9"/>
      <c r="AB48" s="9"/>
      <c r="AC48" s="237">
        <f>MAX(J48/J51)</f>
        <v>1.2207392313555512E-2</v>
      </c>
      <c r="AD48" s="235">
        <f t="shared" si="6"/>
        <v>148161.12050962326</v>
      </c>
      <c r="AE48" s="238">
        <f>MAX(I48/I51)</f>
        <v>1.8267357837466018E-2</v>
      </c>
      <c r="AF48" s="235">
        <f t="shared" si="7"/>
        <v>417157.5965844189</v>
      </c>
      <c r="AG48" s="238">
        <f>MAX(H48/H51)</f>
        <v>1.3844106084523295E-2</v>
      </c>
      <c r="AH48" s="235">
        <f t="shared" si="8"/>
        <v>91786.08122421967</v>
      </c>
    </row>
    <row r="49" spans="1:34" ht="14.45" customHeight="1" x14ac:dyDescent="0.2">
      <c r="A49" s="962" t="s">
        <v>941</v>
      </c>
      <c r="B49" s="1147">
        <v>3</v>
      </c>
      <c r="C49" s="1147"/>
      <c r="D49" s="1147"/>
      <c r="E49" s="1147"/>
      <c r="F49" s="1147"/>
      <c r="G49" s="1147">
        <v>0</v>
      </c>
      <c r="H49" s="1147">
        <v>3</v>
      </c>
      <c r="I49" s="1147">
        <v>3</v>
      </c>
      <c r="J49" s="1147">
        <v>1.7999999999999998</v>
      </c>
      <c r="K49" s="1147">
        <v>0.6</v>
      </c>
      <c r="L49" s="1066" t="s">
        <v>987</v>
      </c>
      <c r="M49" s="959">
        <v>12137000</v>
      </c>
      <c r="N49" s="959">
        <v>22836230.630399995</v>
      </c>
      <c r="O49" s="1149">
        <v>6629975.2879552003</v>
      </c>
      <c r="P49" s="9"/>
      <c r="Q49" s="950"/>
      <c r="R49" s="950"/>
      <c r="S49" s="950"/>
      <c r="T49" s="9"/>
      <c r="U49" s="9"/>
      <c r="V49" s="9"/>
      <c r="W49" s="9"/>
      <c r="X49" s="9"/>
      <c r="Y49" s="950"/>
      <c r="Z49" s="9"/>
      <c r="AA49" s="9"/>
      <c r="AB49" s="9"/>
      <c r="AC49" s="237">
        <f>MAX(J49/J51)</f>
        <v>3.5073114388507455E-4</v>
      </c>
      <c r="AD49" s="235">
        <f t="shared" si="6"/>
        <v>4256.8238933331495</v>
      </c>
      <c r="AE49" s="238">
        <f>MAX(I49/I51)</f>
        <v>4.0148039203222018E-4</v>
      </c>
      <c r="AF49" s="235">
        <f t="shared" si="7"/>
        <v>9168.2988260311849</v>
      </c>
      <c r="AG49" s="238">
        <f>MAX(H49/H51)</f>
        <v>4.6404824864323892E-4</v>
      </c>
      <c r="AH49" s="235">
        <f t="shared" si="8"/>
        <v>3076.6284209235641</v>
      </c>
    </row>
    <row r="50" spans="1:34" ht="14.45" customHeight="1" thickBot="1" x14ac:dyDescent="0.25">
      <c r="A50" s="1140" t="s">
        <v>392</v>
      </c>
      <c r="B50" s="2156">
        <v>44</v>
      </c>
      <c r="C50" s="2157">
        <v>0</v>
      </c>
      <c r="D50" s="2157">
        <v>0</v>
      </c>
      <c r="E50" s="2157">
        <v>0</v>
      </c>
      <c r="F50" s="2157">
        <v>0</v>
      </c>
      <c r="G50" s="2157">
        <v>1</v>
      </c>
      <c r="H50" s="2158">
        <v>43</v>
      </c>
      <c r="I50" s="1147">
        <v>44</v>
      </c>
      <c r="J50" s="1147">
        <v>30.099999999999998</v>
      </c>
      <c r="K50" s="2157">
        <v>0.7</v>
      </c>
      <c r="L50" s="1066" t="s">
        <v>987</v>
      </c>
      <c r="M50" s="959">
        <v>12137000</v>
      </c>
      <c r="N50" s="959">
        <v>22836230.630399995</v>
      </c>
      <c r="O50" s="1149">
        <v>6629975.2879552003</v>
      </c>
      <c r="P50" s="9"/>
      <c r="Q50" s="950"/>
      <c r="R50" s="950"/>
      <c r="S50" s="950"/>
      <c r="T50" s="9"/>
      <c r="U50" s="9"/>
      <c r="V50" s="9"/>
      <c r="W50" s="9"/>
      <c r="X50" s="9"/>
      <c r="Y50" s="950"/>
      <c r="Z50" s="9"/>
      <c r="AA50" s="9"/>
      <c r="AB50" s="9"/>
      <c r="AC50" s="237">
        <f>MAX(J50/J51)</f>
        <v>5.8650041283004137E-3</v>
      </c>
      <c r="AD50" s="235">
        <f t="shared" si="6"/>
        <v>71183.555105182124</v>
      </c>
      <c r="AE50" s="238">
        <f>MAX(I50/I51)</f>
        <v>5.888379083139229E-3</v>
      </c>
      <c r="AF50" s="235">
        <f t="shared" si="7"/>
        <v>134468.38278179069</v>
      </c>
      <c r="AG50" s="238">
        <f>MAX(H50/H51)</f>
        <v>6.651358230553091E-3</v>
      </c>
      <c r="AH50" s="235">
        <f t="shared" si="8"/>
        <v>44098.340699904424</v>
      </c>
    </row>
    <row r="51" spans="1:34" ht="14.45" customHeight="1" thickBot="1" x14ac:dyDescent="0.25">
      <c r="A51" s="405" t="s">
        <v>942</v>
      </c>
      <c r="B51" s="1132">
        <v>7322.3449999999993</v>
      </c>
      <c r="C51" s="1132">
        <v>212</v>
      </c>
      <c r="D51" s="1132">
        <v>245</v>
      </c>
      <c r="E51" s="1132">
        <v>30</v>
      </c>
      <c r="F51" s="1132">
        <v>32</v>
      </c>
      <c r="G51" s="1132">
        <v>550.5</v>
      </c>
      <c r="H51" s="1132">
        <v>6464.8450000000003</v>
      </c>
      <c r="I51" s="1132">
        <v>7472.3449999999993</v>
      </c>
      <c r="J51" s="1132">
        <v>5132.1361999999999</v>
      </c>
      <c r="K51" s="1133">
        <v>0.76486658037555255</v>
      </c>
      <c r="L51" s="1525" t="s">
        <v>987</v>
      </c>
      <c r="M51" s="1134">
        <v>12137000</v>
      </c>
      <c r="N51" s="1134">
        <v>22836230.630400006</v>
      </c>
      <c r="O51" s="506">
        <v>6629975.2879551994</v>
      </c>
      <c r="P51" s="9"/>
      <c r="Q51" s="950"/>
      <c r="R51" s="950"/>
      <c r="S51" s="1967"/>
      <c r="T51" s="9"/>
      <c r="U51" s="9"/>
      <c r="V51" s="9"/>
      <c r="W51" s="9"/>
      <c r="X51" s="9"/>
      <c r="Y51" s="950"/>
      <c r="Z51" s="9"/>
      <c r="AA51" s="9"/>
      <c r="AB51" s="9"/>
      <c r="AC51" s="1159">
        <f t="shared" ref="AC51:AH51" si="9">SUM(AC11:AC50)</f>
        <v>0.99999999999999978</v>
      </c>
      <c r="AD51" s="1160">
        <f t="shared" si="9"/>
        <v>12137000</v>
      </c>
      <c r="AE51" s="1161">
        <f t="shared" si="9"/>
        <v>1.0000000000000002</v>
      </c>
      <c r="AF51" s="1160">
        <f t="shared" si="9"/>
        <v>22836230.630400006</v>
      </c>
      <c r="AG51" s="1161">
        <f t="shared" si="9"/>
        <v>0.99999999999999978</v>
      </c>
      <c r="AH51" s="1160">
        <f t="shared" si="9"/>
        <v>6629975.2879551994</v>
      </c>
    </row>
    <row r="52" spans="1:34" x14ac:dyDescent="0.2">
      <c r="A52" s="7" t="s">
        <v>1934</v>
      </c>
      <c r="B52" s="8"/>
      <c r="C52" s="8"/>
      <c r="D52" s="8"/>
      <c r="E52" s="4"/>
      <c r="F52" s="5"/>
      <c r="G52" s="9"/>
      <c r="H52" s="8"/>
      <c r="I52" s="224"/>
      <c r="J52" s="224"/>
      <c r="K52" s="240"/>
      <c r="L52" s="241"/>
      <c r="M52" s="240"/>
      <c r="N52" s="240"/>
      <c r="O52" s="240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</row>
    <row r="53" spans="1:34" x14ac:dyDescent="0.2">
      <c r="A53" s="34" t="s">
        <v>1608</v>
      </c>
      <c r="B53" s="224"/>
      <c r="C53" s="224"/>
      <c r="D53" s="224"/>
      <c r="E53" s="224"/>
      <c r="F53" s="224"/>
      <c r="G53" s="224"/>
      <c r="H53" s="224"/>
      <c r="I53" s="247"/>
      <c r="J53" s="247"/>
      <c r="K53" s="240"/>
      <c r="L53" s="241"/>
      <c r="M53" s="240"/>
      <c r="N53" s="240"/>
      <c r="O53" s="240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1:34" x14ac:dyDescent="0.2">
      <c r="A54" s="7" t="s">
        <v>1885</v>
      </c>
      <c r="B54" s="224"/>
      <c r="C54" s="224"/>
      <c r="D54" s="224"/>
      <c r="E54" s="224"/>
      <c r="F54" s="224"/>
      <c r="G54" s="224"/>
      <c r="H54" s="247"/>
      <c r="I54" s="224"/>
      <c r="J54" s="247"/>
      <c r="K54" s="1544"/>
      <c r="L54" s="241"/>
      <c r="M54" s="240"/>
      <c r="N54" s="240"/>
      <c r="O54" s="240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1:34" x14ac:dyDescent="0.2">
      <c r="A55" s="7"/>
      <c r="B55" s="224"/>
      <c r="C55" s="224"/>
      <c r="D55" s="224"/>
      <c r="E55" s="224"/>
      <c r="F55" s="224"/>
      <c r="G55" s="224"/>
      <c r="H55" s="224"/>
      <c r="I55" s="249"/>
      <c r="J55" s="224"/>
      <c r="K55" s="1544"/>
      <c r="L55" s="241"/>
      <c r="M55" s="240"/>
      <c r="N55" s="240"/>
      <c r="O55" s="240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1:34" x14ac:dyDescent="0.2">
      <c r="A56" s="7"/>
      <c r="B56" s="224"/>
      <c r="C56" s="224"/>
      <c r="D56" s="224"/>
      <c r="E56" s="224"/>
      <c r="F56" s="224"/>
      <c r="G56" s="224"/>
      <c r="H56" s="224"/>
      <c r="I56" s="249"/>
      <c r="J56" s="224"/>
      <c r="K56" s="240"/>
      <c r="L56" s="241"/>
      <c r="M56" s="240"/>
      <c r="N56" s="240"/>
      <c r="O56" s="240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</row>
    <row r="57" spans="1:34" ht="15" x14ac:dyDescent="0.25">
      <c r="A57" s="2843" t="s">
        <v>1931</v>
      </c>
      <c r="B57" s="2843"/>
      <c r="C57" s="2843"/>
      <c r="D57" s="2843"/>
      <c r="E57" s="2843"/>
      <c r="F57" s="2843"/>
      <c r="G57" s="2843"/>
      <c r="H57" s="2843"/>
      <c r="I57" s="2843"/>
      <c r="J57" s="2843"/>
      <c r="K57" s="2843"/>
      <c r="L57" s="2843"/>
      <c r="M57" s="2843"/>
      <c r="N57" s="2843"/>
      <c r="O57" s="2843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</row>
    <row r="58" spans="1:34" ht="13.5" thickBot="1" x14ac:dyDescent="0.25">
      <c r="A58" s="8" t="s">
        <v>1824</v>
      </c>
      <c r="B58" s="225"/>
      <c r="C58" s="224"/>
      <c r="D58" s="224"/>
      <c r="E58" s="224"/>
      <c r="F58" s="224"/>
      <c r="G58" s="224"/>
      <c r="H58" s="224"/>
      <c r="I58" s="224"/>
      <c r="J58" s="224"/>
      <c r="K58" s="240"/>
      <c r="L58" s="241"/>
      <c r="M58" s="240"/>
      <c r="N58" s="240"/>
      <c r="O58" s="240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</row>
    <row r="59" spans="1:34" ht="15" customHeight="1" x14ac:dyDescent="0.2">
      <c r="A59" s="2844" t="s">
        <v>327</v>
      </c>
      <c r="B59" s="2847" t="s">
        <v>1932</v>
      </c>
      <c r="C59" s="2848"/>
      <c r="D59" s="2848"/>
      <c r="E59" s="2848"/>
      <c r="F59" s="2848"/>
      <c r="G59" s="2848"/>
      <c r="H59" s="2848"/>
      <c r="I59" s="2848"/>
      <c r="J59" s="2848"/>
      <c r="K59" s="2848"/>
      <c r="L59" s="2848"/>
      <c r="M59" s="2848"/>
      <c r="N59" s="2848"/>
      <c r="O59" s="284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228" t="s">
        <v>910</v>
      </c>
      <c r="AD59" s="229"/>
      <c r="AE59" s="229"/>
      <c r="AF59" s="229"/>
      <c r="AG59" s="229"/>
      <c r="AH59" s="243"/>
    </row>
    <row r="60" spans="1:34" ht="15" customHeight="1" x14ac:dyDescent="0.2">
      <c r="A60" s="2845"/>
      <c r="B60" s="2850" t="s">
        <v>191</v>
      </c>
      <c r="C60" s="2850"/>
      <c r="D60" s="2850"/>
      <c r="E60" s="2850"/>
      <c r="F60" s="2850"/>
      <c r="G60" s="2850"/>
      <c r="H60" s="2850"/>
      <c r="I60" s="2850"/>
      <c r="J60" s="2119"/>
      <c r="K60" s="2119" t="s">
        <v>904</v>
      </c>
      <c r="L60" s="2119"/>
      <c r="M60" s="1122" t="s">
        <v>437</v>
      </c>
      <c r="N60" s="1122" t="s">
        <v>911</v>
      </c>
      <c r="O60" s="1127" t="s">
        <v>911</v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230" t="s">
        <v>333</v>
      </c>
      <c r="AD60" s="231" t="s">
        <v>333</v>
      </c>
      <c r="AE60" s="231" t="s">
        <v>333</v>
      </c>
      <c r="AF60" s="231" t="s">
        <v>333</v>
      </c>
      <c r="AG60" s="231" t="s">
        <v>333</v>
      </c>
      <c r="AH60" s="231" t="s">
        <v>333</v>
      </c>
    </row>
    <row r="61" spans="1:34" ht="15" customHeight="1" x14ac:dyDescent="0.2">
      <c r="A61" s="2845"/>
      <c r="B61" s="2119" t="s">
        <v>433</v>
      </c>
      <c r="C61" s="2119"/>
      <c r="D61" s="2841" t="s">
        <v>1865</v>
      </c>
      <c r="E61" s="2119"/>
      <c r="F61" s="2119"/>
      <c r="G61" s="2119" t="s">
        <v>912</v>
      </c>
      <c r="H61" s="2119"/>
      <c r="I61" s="2119" t="s">
        <v>433</v>
      </c>
      <c r="J61" s="2138" t="s">
        <v>913</v>
      </c>
      <c r="K61" s="2138" t="s">
        <v>842</v>
      </c>
      <c r="L61" s="2138" t="s">
        <v>329</v>
      </c>
      <c r="M61" s="1123" t="s">
        <v>914</v>
      </c>
      <c r="N61" s="1123" t="s">
        <v>915</v>
      </c>
      <c r="O61" s="1128" t="s">
        <v>914</v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230" t="s">
        <v>913</v>
      </c>
      <c r="AD61" s="231" t="s">
        <v>916</v>
      </c>
      <c r="AE61" s="231" t="s">
        <v>917</v>
      </c>
      <c r="AF61" s="231" t="s">
        <v>918</v>
      </c>
      <c r="AG61" s="231" t="s">
        <v>192</v>
      </c>
      <c r="AH61" s="231" t="s">
        <v>918</v>
      </c>
    </row>
    <row r="62" spans="1:34" ht="15" customHeight="1" x14ac:dyDescent="0.2">
      <c r="A62" s="2845"/>
      <c r="B62" s="2138" t="s">
        <v>920</v>
      </c>
      <c r="C62" s="2138" t="s">
        <v>922</v>
      </c>
      <c r="D62" s="2842"/>
      <c r="E62" s="2138" t="s">
        <v>867</v>
      </c>
      <c r="F62" s="2138" t="s">
        <v>921</v>
      </c>
      <c r="G62" s="2138" t="s">
        <v>923</v>
      </c>
      <c r="H62" s="2138" t="s">
        <v>836</v>
      </c>
      <c r="I62" s="2138" t="s">
        <v>835</v>
      </c>
      <c r="J62" s="2138" t="s">
        <v>1941</v>
      </c>
      <c r="K62" s="2138" t="s">
        <v>925</v>
      </c>
      <c r="L62" s="2138" t="s">
        <v>336</v>
      </c>
      <c r="M62" s="1123" t="s">
        <v>926</v>
      </c>
      <c r="N62" s="1123" t="s">
        <v>927</v>
      </c>
      <c r="O62" s="1128" t="s">
        <v>928</v>
      </c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230"/>
      <c r="AD62" s="231" t="s">
        <v>843</v>
      </c>
      <c r="AE62" s="231"/>
      <c r="AF62" s="231" t="s">
        <v>929</v>
      </c>
      <c r="AG62" s="231"/>
      <c r="AH62" s="231" t="s">
        <v>930</v>
      </c>
    </row>
    <row r="63" spans="1:34" ht="15" customHeight="1" thickBot="1" x14ac:dyDescent="0.25">
      <c r="A63" s="2846"/>
      <c r="B63" s="1881">
        <v>44926</v>
      </c>
      <c r="C63" s="2139">
        <v>2023</v>
      </c>
      <c r="D63" s="2139">
        <v>2023</v>
      </c>
      <c r="E63" s="2139">
        <v>2023</v>
      </c>
      <c r="F63" s="2139">
        <v>2023</v>
      </c>
      <c r="G63" s="2139" t="s">
        <v>931</v>
      </c>
      <c r="H63" s="1126">
        <v>2023</v>
      </c>
      <c r="I63" s="1881">
        <v>45291</v>
      </c>
      <c r="J63" s="1881" t="s">
        <v>1933</v>
      </c>
      <c r="K63" s="1881" t="s">
        <v>1902</v>
      </c>
      <c r="L63" s="2139" t="s">
        <v>441</v>
      </c>
      <c r="M63" s="2139" t="s">
        <v>1940</v>
      </c>
      <c r="N63" s="1125" t="s">
        <v>933</v>
      </c>
      <c r="O63" s="1129" t="s">
        <v>933</v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232"/>
      <c r="AD63" s="233" t="s">
        <v>934</v>
      </c>
      <c r="AE63" s="233"/>
      <c r="AF63" s="233" t="s">
        <v>935</v>
      </c>
      <c r="AG63" s="233"/>
      <c r="AH63" s="233" t="s">
        <v>936</v>
      </c>
    </row>
    <row r="64" spans="1:34" ht="15" customHeight="1" x14ac:dyDescent="0.2">
      <c r="A64" s="1135" t="s">
        <v>352</v>
      </c>
      <c r="B64" s="1130">
        <v>32435.790000000005</v>
      </c>
      <c r="C64" s="1130">
        <v>737.16000000000008</v>
      </c>
      <c r="D64" s="1130">
        <v>2194.16</v>
      </c>
      <c r="E64" s="1130">
        <v>0</v>
      </c>
      <c r="F64" s="1130">
        <v>0</v>
      </c>
      <c r="G64" s="1130">
        <v>5570.1799999999994</v>
      </c>
      <c r="H64" s="1130">
        <v>27284.77</v>
      </c>
      <c r="I64" s="1136">
        <v>32854.950000000004</v>
      </c>
      <c r="J64" s="1136">
        <v>36666.639933028106</v>
      </c>
      <c r="K64" s="1535">
        <v>1.3438500648174092</v>
      </c>
      <c r="L64" s="380"/>
      <c r="M64" s="1138"/>
      <c r="N64" s="1138"/>
      <c r="O64" s="1139"/>
      <c r="P64" s="9"/>
      <c r="Q64" s="950"/>
      <c r="R64" s="950"/>
      <c r="S64" s="950"/>
      <c r="T64" s="950"/>
      <c r="U64" s="950"/>
      <c r="V64" s="950"/>
      <c r="W64" s="950"/>
      <c r="X64" s="9"/>
      <c r="Y64" s="2004"/>
      <c r="Z64" s="9"/>
      <c r="AA64" s="9"/>
      <c r="AB64" s="9"/>
      <c r="AC64" s="1155"/>
      <c r="AD64" s="1156"/>
      <c r="AE64" s="1156"/>
      <c r="AF64" s="1156"/>
      <c r="AG64" s="1156"/>
      <c r="AH64" s="1156"/>
    </row>
    <row r="65" spans="1:34" ht="15" customHeight="1" x14ac:dyDescent="0.2">
      <c r="A65" s="962" t="s">
        <v>353</v>
      </c>
      <c r="B65" s="1739">
        <v>4471.3100000000004</v>
      </c>
      <c r="C65" s="1147">
        <v>80.61</v>
      </c>
      <c r="D65" s="1147">
        <v>221.02</v>
      </c>
      <c r="E65" s="1147"/>
      <c r="F65" s="1147"/>
      <c r="G65" s="1147">
        <v>586.96</v>
      </c>
      <c r="H65" s="1146">
        <v>4035.7200000000003</v>
      </c>
      <c r="I65" s="1147">
        <v>4622.68</v>
      </c>
      <c r="J65" s="1630">
        <v>5650.0079999999998</v>
      </c>
      <c r="K65" s="1147">
        <v>1.4</v>
      </c>
      <c r="L65" s="2029" t="s">
        <v>619</v>
      </c>
      <c r="M65" s="959">
        <v>13024550</v>
      </c>
      <c r="N65" s="959">
        <v>18838120</v>
      </c>
      <c r="O65" s="1149">
        <v>12064621.666666666</v>
      </c>
      <c r="P65" s="950"/>
      <c r="Q65" s="950"/>
      <c r="R65" s="950"/>
      <c r="S65" s="950"/>
      <c r="T65" s="950"/>
      <c r="U65" s="950"/>
      <c r="V65" s="950"/>
      <c r="W65" s="950"/>
      <c r="X65" s="9"/>
      <c r="Y65" s="2004"/>
      <c r="Z65" s="9"/>
      <c r="AA65" s="9"/>
      <c r="AB65" s="9"/>
      <c r="AC65" s="237">
        <f>MAX(J65/J105)</f>
        <v>3.2720939722927597E-2</v>
      </c>
      <c r="AD65" s="235">
        <f t="shared" ref="AD65:AD79" si="10">MAX(M65*AC65)</f>
        <v>426175.51546825666</v>
      </c>
      <c r="AE65" s="238">
        <f>MAX(I65/I105)</f>
        <v>3.1236088741228896E-2</v>
      </c>
      <c r="AF65" s="235">
        <f t="shared" ref="AF65:AF79" si="11">MAX(N65*AE65)</f>
        <v>588429.18803791888</v>
      </c>
      <c r="AG65" s="238">
        <f>MAX(H65/H105)</f>
        <v>3.3236712875161958E-2</v>
      </c>
      <c r="AH65" s="235">
        <f t="shared" ref="AH65:AH79" si="12">MAX(O65*AG65)</f>
        <v>400988.36628245789</v>
      </c>
    </row>
    <row r="66" spans="1:34" ht="15" customHeight="1" x14ac:dyDescent="0.2">
      <c r="A66" s="962" t="s">
        <v>354</v>
      </c>
      <c r="B66" s="1739">
        <v>1172.58</v>
      </c>
      <c r="C66" s="1147">
        <v>21.84</v>
      </c>
      <c r="D66" s="1147">
        <v>57.980000000000004</v>
      </c>
      <c r="E66" s="1147"/>
      <c r="F66" s="1147"/>
      <c r="G66" s="1147">
        <v>161.61000000000001</v>
      </c>
      <c r="H66" s="1146">
        <v>1043.7399999999998</v>
      </c>
      <c r="I66" s="1147">
        <v>1205.3499999999999</v>
      </c>
      <c r="J66" s="1630">
        <v>1348.1933296724999</v>
      </c>
      <c r="K66" s="1147">
        <v>1.291694607538755</v>
      </c>
      <c r="L66" s="2029" t="s">
        <v>619</v>
      </c>
      <c r="M66" s="959">
        <v>13024550</v>
      </c>
      <c r="N66" s="959">
        <v>18838120</v>
      </c>
      <c r="O66" s="1149">
        <v>12064621.666666666</v>
      </c>
      <c r="P66" s="950"/>
      <c r="Q66" s="950"/>
      <c r="R66" s="950"/>
      <c r="S66" s="950"/>
      <c r="T66" s="950"/>
      <c r="U66" s="950"/>
      <c r="V66" s="950"/>
      <c r="W66" s="950"/>
      <c r="X66" s="9"/>
      <c r="Y66" s="2004"/>
      <c r="Z66" s="9"/>
      <c r="AA66" s="9"/>
      <c r="AB66" s="9"/>
      <c r="AC66" s="237">
        <f>MAX(J66/J105)</f>
        <v>7.8078035774581077E-3</v>
      </c>
      <c r="AD66" s="235">
        <f t="shared" si="10"/>
        <v>101693.128084782</v>
      </c>
      <c r="AE66" s="238">
        <f>MAX(I66/I105)</f>
        <v>8.1447168231935253E-3</v>
      </c>
      <c r="AF66" s="235">
        <f t="shared" si="11"/>
        <v>153431.15288133841</v>
      </c>
      <c r="AG66" s="238">
        <f>MAX(H66/H105)</f>
        <v>8.5958606385778836E-3</v>
      </c>
      <c r="AH66" s="235">
        <f t="shared" si="12"/>
        <v>103705.8065038339</v>
      </c>
    </row>
    <row r="67" spans="1:34" ht="15" customHeight="1" x14ac:dyDescent="0.2">
      <c r="A67" s="962" t="s">
        <v>355</v>
      </c>
      <c r="B67" s="1739">
        <v>6073.83</v>
      </c>
      <c r="C67" s="1147">
        <v>180.87</v>
      </c>
      <c r="D67" s="1147">
        <v>447.76</v>
      </c>
      <c r="E67" s="1147"/>
      <c r="F67" s="1147"/>
      <c r="G67" s="1147">
        <v>1148.8900000000001</v>
      </c>
      <c r="H67" s="1146">
        <v>5104.53</v>
      </c>
      <c r="I67" s="1147">
        <v>6253.42</v>
      </c>
      <c r="J67" s="1630">
        <v>7656.7950000000001</v>
      </c>
      <c r="K67" s="1147">
        <v>1.5</v>
      </c>
      <c r="L67" s="2029" t="s">
        <v>619</v>
      </c>
      <c r="M67" s="959">
        <v>13024550</v>
      </c>
      <c r="N67" s="959">
        <v>18838120</v>
      </c>
      <c r="O67" s="1149">
        <v>12064621.666666666</v>
      </c>
      <c r="P67" s="9"/>
      <c r="Q67" s="950"/>
      <c r="R67" s="950"/>
      <c r="S67" s="950"/>
      <c r="T67" s="950"/>
      <c r="U67" s="950"/>
      <c r="V67" s="950"/>
      <c r="W67" s="950"/>
      <c r="X67" s="9"/>
      <c r="Y67" s="2004"/>
      <c r="Z67" s="9"/>
      <c r="AA67" s="9"/>
      <c r="AB67" s="9"/>
      <c r="AC67" s="237">
        <f>MAX(J67/J105)</f>
        <v>4.4342862464232517E-2</v>
      </c>
      <c r="AD67" s="235">
        <f t="shared" si="10"/>
        <v>577545.82930851961</v>
      </c>
      <c r="AE67" s="238">
        <f>MAX(I67/I105)</f>
        <v>4.2255224687016098E-2</v>
      </c>
      <c r="AF67" s="235">
        <f t="shared" si="11"/>
        <v>796008.99328097166</v>
      </c>
      <c r="AG67" s="238">
        <f>MAX(H67/H105)</f>
        <v>4.2039040858298016E-2</v>
      </c>
      <c r="AH67" s="235">
        <f t="shared" si="12"/>
        <v>507185.12318490748</v>
      </c>
    </row>
    <row r="68" spans="1:34" ht="15" customHeight="1" x14ac:dyDescent="0.2">
      <c r="A68" s="962" t="s">
        <v>356</v>
      </c>
      <c r="B68" s="1739">
        <v>854.17</v>
      </c>
      <c r="C68" s="1147">
        <v>26.64</v>
      </c>
      <c r="D68" s="1147">
        <v>31.64</v>
      </c>
      <c r="E68" s="1147"/>
      <c r="F68" s="1147"/>
      <c r="G68" s="1147">
        <v>114</v>
      </c>
      <c r="H68" s="1146">
        <v>748.55</v>
      </c>
      <c r="I68" s="1147">
        <v>862.55</v>
      </c>
      <c r="J68" s="1630">
        <v>973.11500000000001</v>
      </c>
      <c r="K68" s="1147">
        <v>1.3</v>
      </c>
      <c r="L68" s="2029" t="s">
        <v>619</v>
      </c>
      <c r="M68" s="959">
        <v>13024550</v>
      </c>
      <c r="N68" s="959">
        <v>18838120</v>
      </c>
      <c r="O68" s="1149">
        <v>12064621.666666666</v>
      </c>
      <c r="P68" s="9"/>
      <c r="Q68" s="950"/>
      <c r="R68" s="950"/>
      <c r="S68" s="950"/>
      <c r="T68" s="950"/>
      <c r="U68" s="950"/>
      <c r="V68" s="950"/>
      <c r="W68" s="950"/>
      <c r="X68" s="9"/>
      <c r="Y68" s="2004"/>
      <c r="Z68" s="9"/>
      <c r="AA68" s="9"/>
      <c r="AB68" s="9"/>
      <c r="AC68" s="237">
        <f>MAX(J68/J105)</f>
        <v>5.6356092342659857E-3</v>
      </c>
      <c r="AD68" s="235">
        <f t="shared" si="10"/>
        <v>73401.274252159041</v>
      </c>
      <c r="AE68" s="238">
        <f>MAX(I68/I105)</f>
        <v>5.82836976467049E-3</v>
      </c>
      <c r="AF68" s="235">
        <f t="shared" si="11"/>
        <v>109795.52903123446</v>
      </c>
      <c r="AG68" s="238">
        <f>MAX(H68/H105)</f>
        <v>6.1647838360199625E-3</v>
      </c>
      <c r="AH68" s="235">
        <f t="shared" si="12"/>
        <v>74375.784638362878</v>
      </c>
    </row>
    <row r="69" spans="1:34" ht="15" customHeight="1" x14ac:dyDescent="0.2">
      <c r="A69" s="962" t="s">
        <v>357</v>
      </c>
      <c r="B69" s="1739">
        <v>1940.73</v>
      </c>
      <c r="C69" s="248">
        <v>59.12</v>
      </c>
      <c r="D69" s="248">
        <v>170.21</v>
      </c>
      <c r="E69" s="248"/>
      <c r="F69" s="248"/>
      <c r="G69" s="1147">
        <v>394.71</v>
      </c>
      <c r="H69" s="1146">
        <v>1631.12</v>
      </c>
      <c r="I69" s="1147">
        <v>2025.83</v>
      </c>
      <c r="J69" s="1630">
        <v>2120.4560000000001</v>
      </c>
      <c r="K69" s="248">
        <v>1.3</v>
      </c>
      <c r="L69" s="2029" t="s">
        <v>619</v>
      </c>
      <c r="M69" s="959">
        <v>13024550</v>
      </c>
      <c r="N69" s="959">
        <v>18838120</v>
      </c>
      <c r="O69" s="1149">
        <v>12064621.666666666</v>
      </c>
      <c r="P69" s="9"/>
      <c r="Q69" s="950"/>
      <c r="R69" s="950"/>
      <c r="S69" s="950"/>
      <c r="T69" s="950"/>
      <c r="U69" s="950"/>
      <c r="V69" s="950"/>
      <c r="W69" s="950"/>
      <c r="X69" s="9"/>
      <c r="Y69" s="2004"/>
      <c r="Z69" s="9"/>
      <c r="AA69" s="9"/>
      <c r="AB69" s="9"/>
      <c r="AC69" s="237">
        <f>MAX(J69/J105)</f>
        <v>1.2280214994584109E-2</v>
      </c>
      <c r="AD69" s="235">
        <f t="shared" si="10"/>
        <v>159944.27420771046</v>
      </c>
      <c r="AE69" s="238">
        <f>MAX(I69/I105)</f>
        <v>1.3688813773534774E-2</v>
      </c>
      <c r="AF69" s="235">
        <f t="shared" si="11"/>
        <v>257871.5165235009</v>
      </c>
      <c r="AG69" s="238">
        <f>MAX(H69/H105)</f>
        <v>1.3433307341672408E-2</v>
      </c>
      <c r="AH69" s="235">
        <f t="shared" si="12"/>
        <v>162067.77080933333</v>
      </c>
    </row>
    <row r="70" spans="1:34" ht="15" customHeight="1" x14ac:dyDescent="0.2">
      <c r="A70" s="962" t="s">
        <v>358</v>
      </c>
      <c r="B70" s="1739">
        <v>1939.07</v>
      </c>
      <c r="C70" s="1147">
        <v>78.06</v>
      </c>
      <c r="D70" s="1147">
        <v>115.68</v>
      </c>
      <c r="E70" s="1147"/>
      <c r="F70" s="1147"/>
      <c r="G70" s="1147">
        <v>358.71</v>
      </c>
      <c r="H70" s="1146">
        <v>1539.1599999999999</v>
      </c>
      <c r="I70" s="1147">
        <v>1897.87</v>
      </c>
      <c r="J70" s="1630">
        <v>1846.9919999999997</v>
      </c>
      <c r="K70" s="1147">
        <v>1.2</v>
      </c>
      <c r="L70" s="2029" t="s">
        <v>619</v>
      </c>
      <c r="M70" s="959">
        <v>13024550</v>
      </c>
      <c r="N70" s="959">
        <v>18838120</v>
      </c>
      <c r="O70" s="1149">
        <v>12064621.666666666</v>
      </c>
      <c r="P70" s="9"/>
      <c r="Q70" s="950"/>
      <c r="R70" s="950"/>
      <c r="S70" s="950"/>
      <c r="T70" s="950"/>
      <c r="U70" s="950"/>
      <c r="V70" s="950"/>
      <c r="W70" s="950"/>
      <c r="X70" s="9"/>
      <c r="Y70" s="2004"/>
      <c r="Z70" s="9"/>
      <c r="AA70" s="9"/>
      <c r="AB70" s="9"/>
      <c r="AC70" s="237">
        <f>MAX(J70/J105)</f>
        <v>1.0696500589154827E-2</v>
      </c>
      <c r="AD70" s="235">
        <f t="shared" si="10"/>
        <v>139317.10674847651</v>
      </c>
      <c r="AE70" s="238">
        <f>MAX(I70/I105)</f>
        <v>1.2824170338270458E-2</v>
      </c>
      <c r="AF70" s="235">
        <f t="shared" si="11"/>
        <v>241583.25973277946</v>
      </c>
      <c r="AG70" s="238">
        <f>MAX(H70/H105)</f>
        <v>1.2675958438378846E-2</v>
      </c>
      <c r="AH70" s="235">
        <f t="shared" si="12"/>
        <v>152930.6428214316</v>
      </c>
    </row>
    <row r="71" spans="1:34" ht="15" customHeight="1" x14ac:dyDescent="0.2">
      <c r="A71" s="962" t="s">
        <v>937</v>
      </c>
      <c r="B71" s="1739">
        <v>913.29</v>
      </c>
      <c r="C71" s="1147">
        <v>25.48</v>
      </c>
      <c r="D71" s="1147">
        <v>91.24</v>
      </c>
      <c r="E71" s="1147"/>
      <c r="F71" s="1147"/>
      <c r="G71" s="1147">
        <v>222.35</v>
      </c>
      <c r="H71" s="1146">
        <v>711.06</v>
      </c>
      <c r="I71" s="1147">
        <v>933.41</v>
      </c>
      <c r="J71" s="1630">
        <v>995.48399999999981</v>
      </c>
      <c r="K71" s="1147">
        <v>1.4</v>
      </c>
      <c r="L71" s="2029" t="s">
        <v>619</v>
      </c>
      <c r="M71" s="959">
        <v>13024550</v>
      </c>
      <c r="N71" s="959">
        <v>18838120</v>
      </c>
      <c r="O71" s="1149">
        <v>12064621.666666666</v>
      </c>
      <c r="P71" s="9"/>
      <c r="Q71" s="950"/>
      <c r="R71" s="950"/>
      <c r="S71" s="950"/>
      <c r="T71" s="950"/>
      <c r="U71" s="950"/>
      <c r="V71" s="950"/>
      <c r="W71" s="950"/>
      <c r="X71" s="9"/>
      <c r="Y71" s="2004"/>
      <c r="Z71" s="9"/>
      <c r="AA71" s="9"/>
      <c r="AB71" s="9"/>
      <c r="AC71" s="237">
        <f>MAX(J71/J105)</f>
        <v>5.7651550155572969E-3</v>
      </c>
      <c r="AD71" s="235">
        <f t="shared" si="10"/>
        <v>75088.549757876797</v>
      </c>
      <c r="AE71" s="238">
        <f>MAX(I71/I105)</f>
        <v>6.3071805947957594E-3</v>
      </c>
      <c r="AF71" s="235">
        <f t="shared" si="11"/>
        <v>118815.42490643389</v>
      </c>
      <c r="AG71" s="238">
        <f>MAX(H71/H105)</f>
        <v>5.8560299170935196E-3</v>
      </c>
      <c r="AH71" s="235">
        <f t="shared" si="12"/>
        <v>70650.785418414671</v>
      </c>
    </row>
    <row r="72" spans="1:34" ht="15" customHeight="1" x14ac:dyDescent="0.2">
      <c r="A72" s="962" t="s">
        <v>360</v>
      </c>
      <c r="B72" s="1739">
        <v>2563.1799999999998</v>
      </c>
      <c r="C72" s="1147">
        <v>55.85</v>
      </c>
      <c r="D72" s="1147">
        <v>128.85</v>
      </c>
      <c r="E72" s="1147"/>
      <c r="F72" s="1147"/>
      <c r="G72" s="1147">
        <v>415.76</v>
      </c>
      <c r="H72" s="1146">
        <v>2222.5299999999997</v>
      </c>
      <c r="I72" s="1147">
        <v>2638.29</v>
      </c>
      <c r="J72" s="1630">
        <v>2444.7829999999999</v>
      </c>
      <c r="K72" s="1147">
        <v>1.1000000000000001</v>
      </c>
      <c r="L72" s="2029" t="s">
        <v>619</v>
      </c>
      <c r="M72" s="959">
        <v>13024550</v>
      </c>
      <c r="N72" s="959">
        <v>18838120</v>
      </c>
      <c r="O72" s="1149">
        <v>12064621.666666666</v>
      </c>
      <c r="P72" s="9"/>
      <c r="Q72" s="950"/>
      <c r="R72" s="950"/>
      <c r="S72" s="950"/>
      <c r="T72" s="950"/>
      <c r="U72" s="950"/>
      <c r="V72" s="950"/>
      <c r="W72" s="950"/>
      <c r="X72" s="9"/>
      <c r="Y72" s="2004"/>
      <c r="Z72" s="9"/>
      <c r="AA72" s="9"/>
      <c r="AB72" s="9"/>
      <c r="AC72" s="237">
        <f>MAX(J72/J105)</f>
        <v>1.4158492727556864E-2</v>
      </c>
      <c r="AD72" s="235">
        <f t="shared" si="10"/>
        <v>184407.99645470074</v>
      </c>
      <c r="AE72" s="238">
        <f>MAX(I72/I105)</f>
        <v>1.7827290784803787E-2</v>
      </c>
      <c r="AF72" s="235">
        <f t="shared" si="11"/>
        <v>335832.64307902794</v>
      </c>
      <c r="AG72" s="238">
        <f>MAX(H72/H105)</f>
        <v>1.8303943649815572E-2</v>
      </c>
      <c r="AH72" s="235">
        <f t="shared" si="12"/>
        <v>220830.15514301069</v>
      </c>
    </row>
    <row r="73" spans="1:34" ht="15" customHeight="1" x14ac:dyDescent="0.2">
      <c r="A73" s="962" t="s">
        <v>938</v>
      </c>
      <c r="B73" s="1739">
        <v>2571.79</v>
      </c>
      <c r="C73" s="1147">
        <v>42.8</v>
      </c>
      <c r="D73" s="1147">
        <v>146.32999999999998</v>
      </c>
      <c r="E73" s="1147"/>
      <c r="F73" s="1147"/>
      <c r="G73" s="1147">
        <v>389.02</v>
      </c>
      <c r="H73" s="1146">
        <v>2178.27</v>
      </c>
      <c r="I73" s="1147">
        <v>2567.29</v>
      </c>
      <c r="J73" s="1630">
        <v>2831.7510000000002</v>
      </c>
      <c r="K73" s="1147">
        <v>1.3</v>
      </c>
      <c r="L73" s="2029" t="s">
        <v>619</v>
      </c>
      <c r="M73" s="959">
        <v>13024550</v>
      </c>
      <c r="N73" s="959">
        <v>18838120</v>
      </c>
      <c r="O73" s="1149">
        <v>12064621.666666666</v>
      </c>
      <c r="P73" s="9"/>
      <c r="Q73" s="950"/>
      <c r="R73" s="950"/>
      <c r="S73" s="950"/>
      <c r="T73" s="950"/>
      <c r="U73" s="950"/>
      <c r="V73" s="950"/>
      <c r="W73" s="950"/>
      <c r="X73" s="9"/>
      <c r="Y73" s="2004"/>
      <c r="Z73" s="9"/>
      <c r="AA73" s="9"/>
      <c r="AB73" s="9"/>
      <c r="AC73" s="237">
        <f>MAX(J73/J105)</f>
        <v>1.6399543820352105E-2</v>
      </c>
      <c r="AD73" s="235">
        <f t="shared" si="10"/>
        <v>213596.678465367</v>
      </c>
      <c r="AE73" s="238">
        <f>MAX(I73/I105)</f>
        <v>1.7347533955296392E-2</v>
      </c>
      <c r="AF73" s="235">
        <f t="shared" si="11"/>
        <v>326794.92635394807</v>
      </c>
      <c r="AG73" s="238">
        <f>MAX(H73/H105)</f>
        <v>1.7939434488661015E-2</v>
      </c>
      <c r="AH73" s="235">
        <f t="shared" si="12"/>
        <v>216432.49001964694</v>
      </c>
    </row>
    <row r="74" spans="1:34" ht="15" customHeight="1" x14ac:dyDescent="0.2">
      <c r="A74" s="962" t="s">
        <v>362</v>
      </c>
      <c r="B74" s="1739">
        <v>750.82</v>
      </c>
      <c r="C74" s="1147">
        <v>22.34</v>
      </c>
      <c r="D74" s="1147">
        <v>50.02</v>
      </c>
      <c r="E74" s="1147"/>
      <c r="F74" s="1147"/>
      <c r="G74" s="1147">
        <v>137.44999999999999</v>
      </c>
      <c r="H74" s="1146">
        <v>633.1099999999999</v>
      </c>
      <c r="I74" s="1147">
        <v>770.56</v>
      </c>
      <c r="J74" s="1630">
        <v>890.86761047508605</v>
      </c>
      <c r="K74" s="1147">
        <v>1.4071292673865303</v>
      </c>
      <c r="L74" s="2029" t="s">
        <v>619</v>
      </c>
      <c r="M74" s="959">
        <v>13024550</v>
      </c>
      <c r="N74" s="959">
        <v>18838120</v>
      </c>
      <c r="O74" s="1149">
        <v>12064621.666666666</v>
      </c>
      <c r="P74" s="9"/>
      <c r="Q74" s="950"/>
      <c r="R74" s="950"/>
      <c r="S74" s="950"/>
      <c r="T74" s="950"/>
      <c r="U74" s="950"/>
      <c r="V74" s="950"/>
      <c r="W74" s="950"/>
      <c r="X74" s="9"/>
      <c r="Y74" s="2004"/>
      <c r="Z74" s="9"/>
      <c r="AA74" s="9"/>
      <c r="AB74" s="9"/>
      <c r="AC74" s="237">
        <f>MAX(J74/J105)</f>
        <v>5.1592892228584167E-3</v>
      </c>
      <c r="AD74" s="235">
        <f t="shared" si="10"/>
        <v>67197.420447580589</v>
      </c>
      <c r="AE74" s="238">
        <f>MAX(I74/I105)</f>
        <v>5.2067805992284423E-3</v>
      </c>
      <c r="AF74" s="235">
        <f t="shared" si="11"/>
        <v>98085.957741937309</v>
      </c>
      <c r="AG74" s="238">
        <f>MAX(H74/H105)</f>
        <v>5.2140622462395272E-3</v>
      </c>
      <c r="AH74" s="235">
        <f t="shared" si="12"/>
        <v>62905.688347330062</v>
      </c>
    </row>
    <row r="75" spans="1:34" ht="15" customHeight="1" x14ac:dyDescent="0.2">
      <c r="A75" s="962" t="s">
        <v>363</v>
      </c>
      <c r="B75" s="1739">
        <v>3129</v>
      </c>
      <c r="C75" s="1147">
        <v>38.119999999999997</v>
      </c>
      <c r="D75" s="1147">
        <v>237.25</v>
      </c>
      <c r="E75" s="1147"/>
      <c r="F75" s="1147"/>
      <c r="G75" s="1147">
        <v>506.01</v>
      </c>
      <c r="H75" s="1146">
        <v>2408.6000000000004</v>
      </c>
      <c r="I75" s="1147">
        <v>2914.61</v>
      </c>
      <c r="J75" s="1630">
        <v>3612.9000000000005</v>
      </c>
      <c r="K75" s="1147">
        <v>1.5</v>
      </c>
      <c r="L75" s="2029" t="s">
        <v>619</v>
      </c>
      <c r="M75" s="959">
        <v>13024550</v>
      </c>
      <c r="N75" s="959">
        <v>18838120</v>
      </c>
      <c r="O75" s="1149">
        <v>12064621.666666666</v>
      </c>
      <c r="P75" s="9"/>
      <c r="Q75" s="950"/>
      <c r="R75" s="950"/>
      <c r="S75" s="950"/>
      <c r="T75" s="950"/>
      <c r="U75" s="950"/>
      <c r="V75" s="950"/>
      <c r="W75" s="950"/>
      <c r="X75" s="9"/>
      <c r="Y75" s="2004"/>
      <c r="Z75" s="9"/>
      <c r="AA75" s="9"/>
      <c r="AB75" s="9"/>
      <c r="AC75" s="237">
        <f>MAX(J75/J105)</f>
        <v>2.0923418714622197E-2</v>
      </c>
      <c r="AD75" s="235">
        <f t="shared" si="10"/>
        <v>272518.11321953253</v>
      </c>
      <c r="AE75" s="238">
        <f>MAX(I75/I105)</f>
        <v>1.969442327958525E-2</v>
      </c>
      <c r="AF75" s="235">
        <f t="shared" si="11"/>
        <v>371005.9090716205</v>
      </c>
      <c r="AG75" s="238">
        <f>MAX(H75/H105)</f>
        <v>1.9836348069517982E-2</v>
      </c>
      <c r="AH75" s="235">
        <f t="shared" si="12"/>
        <v>239318.03470704815</v>
      </c>
    </row>
    <row r="76" spans="1:34" ht="15" customHeight="1" x14ac:dyDescent="0.2">
      <c r="A76" s="962" t="s">
        <v>939</v>
      </c>
      <c r="B76" s="1739">
        <v>3276.29</v>
      </c>
      <c r="C76" s="1147">
        <v>54.94</v>
      </c>
      <c r="D76" s="1147">
        <v>264.19</v>
      </c>
      <c r="E76" s="1147"/>
      <c r="F76" s="1147"/>
      <c r="G76" s="1147">
        <v>575.37</v>
      </c>
      <c r="H76" s="1146">
        <v>2763.59</v>
      </c>
      <c r="I76" s="1147">
        <v>3338.96</v>
      </c>
      <c r="J76" s="1630">
        <v>3454.4875000000002</v>
      </c>
      <c r="K76" s="1147">
        <v>1.25</v>
      </c>
      <c r="L76" s="2029" t="s">
        <v>619</v>
      </c>
      <c r="M76" s="959">
        <v>13024550</v>
      </c>
      <c r="N76" s="959">
        <v>18838120</v>
      </c>
      <c r="O76" s="1149">
        <v>12064621.666666666</v>
      </c>
      <c r="P76" s="9"/>
      <c r="Q76" s="950"/>
      <c r="R76" s="950"/>
      <c r="S76" s="950"/>
      <c r="T76" s="950"/>
      <c r="U76" s="950"/>
      <c r="V76" s="950"/>
      <c r="W76" s="950"/>
      <c r="X76" s="9"/>
      <c r="Y76" s="2004"/>
      <c r="Z76" s="9"/>
      <c r="AA76" s="9"/>
      <c r="AB76" s="9"/>
      <c r="AC76" s="237">
        <f>MAX(J76/J105)</f>
        <v>2.0006003046563272E-2</v>
      </c>
      <c r="AD76" s="235">
        <f t="shared" si="10"/>
        <v>260569.18698011566</v>
      </c>
      <c r="AE76" s="238">
        <f>MAX(I76/I105)</f>
        <v>2.2561814978197415E-2</v>
      </c>
      <c r="AF76" s="235">
        <f t="shared" si="11"/>
        <v>425022.17797708028</v>
      </c>
      <c r="AG76" s="238">
        <f>MAX(H76/H105)</f>
        <v>2.2759915785700902E-2</v>
      </c>
      <c r="AH76" s="235">
        <f t="shared" si="12"/>
        <v>274589.77311967581</v>
      </c>
    </row>
    <row r="77" spans="1:34" ht="15" customHeight="1" x14ac:dyDescent="0.2">
      <c r="A77" s="962" t="s">
        <v>365</v>
      </c>
      <c r="B77" s="1739">
        <v>2779.73</v>
      </c>
      <c r="C77" s="1147">
        <v>50.49</v>
      </c>
      <c r="D77" s="1147">
        <v>231.99</v>
      </c>
      <c r="E77" s="1147"/>
      <c r="F77" s="1147"/>
      <c r="G77" s="1147">
        <v>559.34</v>
      </c>
      <c r="H77" s="1146">
        <v>2264.79</v>
      </c>
      <c r="I77" s="1147">
        <v>2824.13</v>
      </c>
      <c r="J77" s="1630">
        <v>2840.8074928805222</v>
      </c>
      <c r="K77" s="1147">
        <v>1.2543359397032494</v>
      </c>
      <c r="L77" s="2029" t="s">
        <v>619</v>
      </c>
      <c r="M77" s="959">
        <v>13024550</v>
      </c>
      <c r="N77" s="959">
        <v>18838120</v>
      </c>
      <c r="O77" s="1149">
        <v>12064621.666666666</v>
      </c>
      <c r="P77" s="247"/>
      <c r="Q77" s="950"/>
      <c r="R77" s="950"/>
      <c r="S77" s="950"/>
      <c r="T77" s="950"/>
      <c r="U77" s="950"/>
      <c r="V77" s="950"/>
      <c r="W77" s="950"/>
      <c r="X77" s="9"/>
      <c r="Y77" s="2005"/>
      <c r="Z77" s="9"/>
      <c r="AA77" s="9"/>
      <c r="AB77" s="9"/>
      <c r="AC77" s="237">
        <f>MAX(J77/J105)</f>
        <v>1.6451992765140269E-2</v>
      </c>
      <c r="AD77" s="235">
        <f t="shared" si="10"/>
        <v>214279.8023692077</v>
      </c>
      <c r="AE77" s="238">
        <f>MAX(I77/I105)</f>
        <v>1.9083037393193291E-2</v>
      </c>
      <c r="AF77" s="235">
        <f t="shared" si="11"/>
        <v>359488.54837746237</v>
      </c>
      <c r="AG77" s="238">
        <f>MAX(H77/H105)</f>
        <v>1.8651981542955918E-2</v>
      </c>
      <c r="AH77" s="235">
        <f t="shared" si="12"/>
        <v>225029.10064941272</v>
      </c>
    </row>
    <row r="78" spans="1:34" ht="15" customHeight="1" x14ac:dyDescent="0.2">
      <c r="A78" s="962" t="s">
        <v>366</v>
      </c>
      <c r="B78" s="956"/>
      <c r="C78" s="1146">
        <v>0</v>
      </c>
      <c r="D78" s="1146">
        <v>0</v>
      </c>
      <c r="E78" s="1146"/>
      <c r="F78" s="1146"/>
      <c r="G78" s="1147">
        <v>0</v>
      </c>
      <c r="H78" s="1146">
        <v>0</v>
      </c>
      <c r="I78" s="1147">
        <v>0</v>
      </c>
      <c r="J78" s="1630">
        <v>0</v>
      </c>
      <c r="K78" s="1147"/>
      <c r="L78" s="1547"/>
      <c r="M78" s="1147"/>
      <c r="N78" s="959"/>
      <c r="O78" s="1149"/>
      <c r="P78" s="9"/>
      <c r="Q78" s="950"/>
      <c r="R78" s="950"/>
      <c r="S78" s="950"/>
      <c r="T78" s="950"/>
      <c r="U78" s="950"/>
      <c r="V78" s="950"/>
      <c r="W78" s="950"/>
      <c r="X78" s="9"/>
      <c r="Y78" s="2005"/>
      <c r="Z78" s="9"/>
      <c r="AA78" s="9"/>
      <c r="AB78" s="9"/>
      <c r="AC78" s="237">
        <f>MAX(J78/J105)</f>
        <v>0</v>
      </c>
      <c r="AD78" s="235">
        <f t="shared" si="10"/>
        <v>0</v>
      </c>
      <c r="AE78" s="238">
        <f>MAX(I78/I105)</f>
        <v>0</v>
      </c>
      <c r="AF78" s="235">
        <f t="shared" si="11"/>
        <v>0</v>
      </c>
      <c r="AG78" s="238">
        <f>MAX(H78/H105)</f>
        <v>0</v>
      </c>
      <c r="AH78" s="235">
        <f t="shared" si="12"/>
        <v>0</v>
      </c>
    </row>
    <row r="79" spans="1:34" ht="15" customHeight="1" x14ac:dyDescent="0.2">
      <c r="A79" s="962" t="s">
        <v>367</v>
      </c>
      <c r="B79" s="956"/>
      <c r="C79" s="1146">
        <v>0</v>
      </c>
      <c r="D79" s="1146">
        <v>0</v>
      </c>
      <c r="E79" s="1146"/>
      <c r="F79" s="1146"/>
      <c r="G79" s="1147">
        <v>0</v>
      </c>
      <c r="H79" s="1146">
        <v>0</v>
      </c>
      <c r="I79" s="1147">
        <v>0</v>
      </c>
      <c r="J79" s="1630">
        <v>0</v>
      </c>
      <c r="K79" s="1147"/>
      <c r="L79" s="1547"/>
      <c r="M79" s="1147"/>
      <c r="N79" s="959"/>
      <c r="O79" s="1149"/>
      <c r="P79" s="9"/>
      <c r="Q79" s="950"/>
      <c r="R79" s="950"/>
      <c r="S79" s="950"/>
      <c r="T79" s="950"/>
      <c r="U79" s="950"/>
      <c r="V79" s="950"/>
      <c r="W79" s="950"/>
      <c r="X79" s="9"/>
      <c r="Y79" s="2005"/>
      <c r="Z79" s="9"/>
      <c r="AA79" s="9"/>
      <c r="AB79" s="9"/>
      <c r="AC79" s="237">
        <f>MAX(J79/J105)</f>
        <v>0</v>
      </c>
      <c r="AD79" s="235">
        <f t="shared" si="10"/>
        <v>0</v>
      </c>
      <c r="AE79" s="238">
        <f>MAX(I79/I105)</f>
        <v>0</v>
      </c>
      <c r="AF79" s="235">
        <f t="shared" si="11"/>
        <v>0</v>
      </c>
      <c r="AG79" s="238">
        <f>MAX(H79/H105)</f>
        <v>0</v>
      </c>
      <c r="AH79" s="235">
        <f t="shared" si="12"/>
        <v>0</v>
      </c>
    </row>
    <row r="80" spans="1:34" ht="15" customHeight="1" x14ac:dyDescent="0.2">
      <c r="A80" s="434" t="s">
        <v>940</v>
      </c>
      <c r="B80" s="1002">
        <v>18123.38</v>
      </c>
      <c r="C80" s="1002">
        <v>289.64000000000004</v>
      </c>
      <c r="D80" s="1002">
        <v>1426.5600000000002</v>
      </c>
      <c r="E80" s="1002">
        <v>0</v>
      </c>
      <c r="F80" s="1002">
        <v>0</v>
      </c>
      <c r="G80" s="1002">
        <v>3206.0499999999997</v>
      </c>
      <c r="H80" s="1002">
        <v>15149.609999999999</v>
      </c>
      <c r="I80" s="1150">
        <v>18355.66</v>
      </c>
      <c r="J80" s="1150">
        <v>21916.552</v>
      </c>
      <c r="K80" s="1150">
        <v>1.4466743368311132</v>
      </c>
      <c r="L80" s="1152"/>
      <c r="M80" s="996"/>
      <c r="N80" s="435"/>
      <c r="O80" s="436"/>
      <c r="P80" s="9"/>
      <c r="Q80" s="950"/>
      <c r="R80" s="950"/>
      <c r="S80" s="950"/>
      <c r="T80" s="950"/>
      <c r="U80" s="950"/>
      <c r="V80" s="950"/>
      <c r="W80" s="950"/>
      <c r="X80" s="9"/>
      <c r="Y80" s="2004"/>
      <c r="Z80" s="9"/>
      <c r="AA80" s="9"/>
      <c r="AB80" s="9"/>
      <c r="AC80" s="1157"/>
      <c r="AD80" s="1156"/>
      <c r="AE80" s="1158"/>
      <c r="AF80" s="1156"/>
      <c r="AG80" s="1158"/>
      <c r="AH80" s="1156"/>
    </row>
    <row r="81" spans="1:34" ht="15" customHeight="1" x14ac:dyDescent="0.2">
      <c r="A81" s="962" t="s">
        <v>369</v>
      </c>
      <c r="B81" s="1739">
        <v>11282.44</v>
      </c>
      <c r="C81" s="1147">
        <v>179.81</v>
      </c>
      <c r="D81" s="1147">
        <v>885.69</v>
      </c>
      <c r="E81" s="1147"/>
      <c r="F81" s="1147"/>
      <c r="G81" s="1147">
        <v>1972.42</v>
      </c>
      <c r="H81" s="1146">
        <v>9476.39</v>
      </c>
      <c r="I81" s="1147">
        <v>11448.81</v>
      </c>
      <c r="J81" s="1630">
        <v>14214.584999999999</v>
      </c>
      <c r="K81" s="1147">
        <v>1.5</v>
      </c>
      <c r="L81" s="2029" t="s">
        <v>619</v>
      </c>
      <c r="M81" s="959">
        <v>13024550</v>
      </c>
      <c r="N81" s="959">
        <v>18838120</v>
      </c>
      <c r="O81" s="1149">
        <v>12064621.666666666</v>
      </c>
      <c r="P81" s="9"/>
      <c r="Q81" s="950"/>
      <c r="R81" s="950"/>
      <c r="S81" s="950"/>
      <c r="T81" s="950"/>
      <c r="U81" s="950"/>
      <c r="V81" s="950"/>
      <c r="W81" s="950"/>
      <c r="X81" s="9"/>
      <c r="Y81" s="2004"/>
      <c r="Z81" s="9"/>
      <c r="AA81" s="9"/>
      <c r="AB81" s="9"/>
      <c r="AC81" s="237">
        <f>MAX(J81/J105)</f>
        <v>8.2321047858946533E-2</v>
      </c>
      <c r="AD81" s="235">
        <f>MAX(M81*AC81)</f>
        <v>1072194.6038912421</v>
      </c>
      <c r="AE81" s="238">
        <f>MAX(I81/I105)</f>
        <v>7.7361194186374299E-2</v>
      </c>
      <c r="AF81" s="235">
        <f>MAX(N81*AE81)</f>
        <v>1457339.4594262214</v>
      </c>
      <c r="AG81" s="238">
        <f>MAX(H81/H105)</f>
        <v>7.8044079748608927E-2</v>
      </c>
      <c r="AH81" s="235">
        <f>MAX(O81*AG81)</f>
        <v>941572.29549012845</v>
      </c>
    </row>
    <row r="82" spans="1:34" ht="15" customHeight="1" x14ac:dyDescent="0.2">
      <c r="A82" s="962" t="s">
        <v>370</v>
      </c>
      <c r="B82" s="1739">
        <v>2620.6799999999998</v>
      </c>
      <c r="C82" s="1147">
        <v>32.270000000000003</v>
      </c>
      <c r="D82" s="1147">
        <v>201.58</v>
      </c>
      <c r="E82" s="1147"/>
      <c r="F82" s="1147"/>
      <c r="G82" s="1147">
        <v>494.41</v>
      </c>
      <c r="H82" s="1146">
        <v>2099.9900000000002</v>
      </c>
      <c r="I82" s="1147">
        <v>2594.4</v>
      </c>
      <c r="J82" s="1630">
        <v>2939.9860000000003</v>
      </c>
      <c r="K82" s="1147">
        <v>1.4</v>
      </c>
      <c r="L82" s="2029" t="s">
        <v>619</v>
      </c>
      <c r="M82" s="959">
        <v>13024550</v>
      </c>
      <c r="N82" s="959">
        <v>18838120</v>
      </c>
      <c r="O82" s="1149">
        <v>12064621.666666666</v>
      </c>
      <c r="P82" s="9"/>
      <c r="Q82" s="950"/>
      <c r="R82" s="950"/>
      <c r="S82" s="950"/>
      <c r="T82" s="950"/>
      <c r="U82" s="950"/>
      <c r="V82" s="950"/>
      <c r="W82" s="950"/>
      <c r="X82" s="9"/>
      <c r="Y82" s="2004"/>
      <c r="Z82" s="9"/>
      <c r="AA82" s="9"/>
      <c r="AB82" s="9"/>
      <c r="AC82" s="237">
        <f>MAX(J82/J105)</f>
        <v>1.7026366102888886E-2</v>
      </c>
      <c r="AD82" s="235">
        <f>MAX(M82*AC82)</f>
        <v>221760.75662538144</v>
      </c>
      <c r="AE82" s="238">
        <f>MAX(I82/I105)</f>
        <v>1.7530719978506894E-2</v>
      </c>
      <c r="AF82" s="235">
        <f>MAX(N82*AE82)</f>
        <v>330245.80664151028</v>
      </c>
      <c r="AG82" s="238">
        <f>MAX(H82/H105)</f>
        <v>1.729474905858468E-2</v>
      </c>
      <c r="AH82" s="235">
        <f>MAX(O82*AG82)</f>
        <v>208654.60421176365</v>
      </c>
    </row>
    <row r="83" spans="1:34" ht="15" customHeight="1" x14ac:dyDescent="0.2">
      <c r="A83" s="962" t="s">
        <v>371</v>
      </c>
      <c r="B83" s="1739">
        <v>1862.95</v>
      </c>
      <c r="C83" s="1147">
        <v>37.270000000000003</v>
      </c>
      <c r="D83" s="1147">
        <v>146.44999999999999</v>
      </c>
      <c r="E83" s="1147"/>
      <c r="F83" s="1147"/>
      <c r="G83" s="1147">
        <v>337.77</v>
      </c>
      <c r="H83" s="1146">
        <v>1585.92</v>
      </c>
      <c r="I83" s="1147">
        <v>1923.69</v>
      </c>
      <c r="J83" s="1630">
        <v>2061.6960000000004</v>
      </c>
      <c r="K83" s="1147">
        <v>1.3</v>
      </c>
      <c r="L83" s="2029" t="s">
        <v>619</v>
      </c>
      <c r="M83" s="959">
        <v>13024550</v>
      </c>
      <c r="N83" s="959">
        <v>18838120</v>
      </c>
      <c r="O83" s="1149">
        <v>12064621.666666666</v>
      </c>
      <c r="P83" s="9"/>
      <c r="Q83" s="950"/>
      <c r="R83" s="950"/>
      <c r="S83" s="950"/>
      <c r="T83" s="950"/>
      <c r="U83" s="950"/>
      <c r="V83" s="950"/>
      <c r="W83" s="950"/>
      <c r="X83" s="9"/>
      <c r="Y83" s="2004"/>
      <c r="Z83" s="9"/>
      <c r="AA83" s="9"/>
      <c r="AB83" s="9"/>
      <c r="AC83" s="237">
        <f>MAX(J83/J105)</f>
        <v>1.1939917703302536E-2</v>
      </c>
      <c r="AD83" s="235">
        <f>MAX(M83*AC83)</f>
        <v>155512.05512254903</v>
      </c>
      <c r="AE83" s="238">
        <f>MAX(I83/I105)</f>
        <v>1.29986396528885E-2</v>
      </c>
      <c r="AF83" s="235">
        <f>MAX(N83*AE83)</f>
        <v>244869.93361787189</v>
      </c>
      <c r="AG83" s="238">
        <f>MAX(H83/H105)</f>
        <v>1.3061056684551172E-2</v>
      </c>
      <c r="AH83" s="235">
        <f>MAX(O83*AG83)</f>
        <v>157576.70746599758</v>
      </c>
    </row>
    <row r="84" spans="1:34" ht="15" customHeight="1" x14ac:dyDescent="0.2">
      <c r="A84" s="962" t="s">
        <v>372</v>
      </c>
      <c r="B84" s="1739">
        <v>1680.33</v>
      </c>
      <c r="C84" s="1147">
        <v>26.94</v>
      </c>
      <c r="D84" s="1147">
        <v>155.66</v>
      </c>
      <c r="E84" s="1147"/>
      <c r="F84" s="1147"/>
      <c r="G84" s="1147">
        <v>303.2</v>
      </c>
      <c r="H84" s="1146">
        <v>1403.3999999999999</v>
      </c>
      <c r="I84" s="1147">
        <v>1706.6</v>
      </c>
      <c r="J84" s="1630">
        <v>1824.4199999999998</v>
      </c>
      <c r="K84" s="1147">
        <v>1.3</v>
      </c>
      <c r="L84" s="2029" t="s">
        <v>619</v>
      </c>
      <c r="M84" s="959">
        <v>13024550</v>
      </c>
      <c r="N84" s="959">
        <v>18838120</v>
      </c>
      <c r="O84" s="1149">
        <v>12064621.666666666</v>
      </c>
      <c r="P84" s="224"/>
      <c r="Q84" s="950"/>
      <c r="R84" s="950"/>
      <c r="S84" s="950"/>
      <c r="T84" s="950"/>
      <c r="U84" s="950"/>
      <c r="V84" s="950"/>
      <c r="W84" s="950"/>
      <c r="X84" s="9"/>
      <c r="Y84" s="2004"/>
      <c r="Z84" s="9"/>
      <c r="AA84" s="9"/>
      <c r="AB84" s="9"/>
      <c r="AC84" s="237">
        <f>MAX(J84/J105)</f>
        <v>1.0565779172224812E-2</v>
      </c>
      <c r="AD84" s="235">
        <f>MAX(M84*AC84)</f>
        <v>137614.51911760066</v>
      </c>
      <c r="AE84" s="238">
        <f>MAX(I84/I105)</f>
        <v>1.1531732468131306E-2</v>
      </c>
      <c r="AF84" s="235">
        <f>MAX(N84*AE84)</f>
        <v>217236.1600425537</v>
      </c>
      <c r="AG84" s="238">
        <f>MAX(H84/H105)</f>
        <v>1.1557888765573995E-2</v>
      </c>
      <c r="AH84" s="235">
        <f>MAX(O84*AG84)</f>
        <v>139441.55522206728</v>
      </c>
    </row>
    <row r="85" spans="1:34" ht="15" customHeight="1" x14ac:dyDescent="0.2">
      <c r="A85" s="962" t="s">
        <v>373</v>
      </c>
      <c r="B85" s="1739">
        <v>676.98</v>
      </c>
      <c r="C85" s="1147">
        <v>13.35</v>
      </c>
      <c r="D85" s="1147">
        <v>37.18</v>
      </c>
      <c r="E85" s="1147"/>
      <c r="F85" s="1147"/>
      <c r="G85" s="1147">
        <v>98.25</v>
      </c>
      <c r="H85" s="1146">
        <v>583.91</v>
      </c>
      <c r="I85" s="1147">
        <v>682.16</v>
      </c>
      <c r="J85" s="1630">
        <v>875.86500000000001</v>
      </c>
      <c r="K85" s="1147">
        <v>1.5</v>
      </c>
      <c r="L85" s="2029" t="s">
        <v>619</v>
      </c>
      <c r="M85" s="959">
        <v>13024550</v>
      </c>
      <c r="N85" s="959">
        <v>18838120</v>
      </c>
      <c r="O85" s="1149">
        <v>12064621.666666666</v>
      </c>
      <c r="P85" s="224"/>
      <c r="Q85" s="950"/>
      <c r="R85" s="950"/>
      <c r="S85" s="950"/>
      <c r="T85" s="950"/>
      <c r="U85" s="950"/>
      <c r="V85" s="950"/>
      <c r="W85" s="950"/>
      <c r="X85" s="9"/>
      <c r="Y85" s="2005"/>
      <c r="Z85" s="9"/>
      <c r="AA85" s="9"/>
      <c r="AB85" s="9"/>
      <c r="AC85" s="237">
        <f>MAX(J85/J105)</f>
        <v>5.0724044763161367E-3</v>
      </c>
      <c r="AD85" s="235">
        <f>MAX(M85*AC85)</f>
        <v>66065.785722003333</v>
      </c>
      <c r="AE85" s="238">
        <f>MAX(I85/I105)</f>
        <v>4.6094495607995152E-3</v>
      </c>
      <c r="AF85" s="235">
        <f>MAX(N85*AE85)</f>
        <v>86833.363960288567</v>
      </c>
      <c r="AG85" s="238">
        <f>MAX(H85/H105)</f>
        <v>4.8088690530898618E-3</v>
      </c>
      <c r="AH85" s="235">
        <f>MAX(O85*AG85)</f>
        <v>58017.185770070762</v>
      </c>
    </row>
    <row r="86" spans="1:34" ht="15" customHeight="1" x14ac:dyDescent="0.2">
      <c r="A86" s="1154" t="s">
        <v>374</v>
      </c>
      <c r="B86" s="1002">
        <v>35869.770000000004</v>
      </c>
      <c r="C86" s="1002">
        <v>678.9</v>
      </c>
      <c r="D86" s="1002">
        <v>3414.21</v>
      </c>
      <c r="E86" s="1002">
        <v>0</v>
      </c>
      <c r="F86" s="1002">
        <v>0</v>
      </c>
      <c r="G86" s="1002">
        <v>7282.76</v>
      </c>
      <c r="H86" s="1002">
        <v>29273.499999999996</v>
      </c>
      <c r="I86" s="1150">
        <v>36556.259999999995</v>
      </c>
      <c r="J86" s="1150">
        <v>42638.274000000005</v>
      </c>
      <c r="K86" s="1150">
        <v>1.4565485507370151</v>
      </c>
      <c r="L86" s="1152"/>
      <c r="M86" s="996"/>
      <c r="N86" s="435"/>
      <c r="O86" s="436"/>
      <c r="P86" s="9"/>
      <c r="Q86" s="950"/>
      <c r="R86" s="950"/>
      <c r="S86" s="950"/>
      <c r="T86" s="950"/>
      <c r="U86" s="950"/>
      <c r="V86" s="950"/>
      <c r="W86" s="950"/>
      <c r="X86" s="9"/>
      <c r="Y86" s="2004"/>
      <c r="Z86" s="9"/>
      <c r="AA86" s="9"/>
      <c r="AB86" s="9"/>
      <c r="AC86" s="1157"/>
      <c r="AD86" s="1156"/>
      <c r="AE86" s="1158"/>
      <c r="AF86" s="1156"/>
      <c r="AG86" s="1158"/>
      <c r="AH86" s="1156"/>
    </row>
    <row r="87" spans="1:34" ht="15" customHeight="1" x14ac:dyDescent="0.2">
      <c r="A87" s="962" t="s">
        <v>375</v>
      </c>
      <c r="B87" s="1739">
        <v>9194.99</v>
      </c>
      <c r="C87" s="1147">
        <v>140.27000000000001</v>
      </c>
      <c r="D87" s="1147">
        <v>778.5</v>
      </c>
      <c r="E87" s="1147"/>
      <c r="F87" s="1147"/>
      <c r="G87" s="1147">
        <v>1608.79</v>
      </c>
      <c r="H87" s="1146">
        <v>7736.1799999999994</v>
      </c>
      <c r="I87" s="1147">
        <v>9344.9699999999993</v>
      </c>
      <c r="J87" s="1630">
        <v>12377.887999999999</v>
      </c>
      <c r="K87" s="1147">
        <v>1.6</v>
      </c>
      <c r="L87" s="2029" t="s">
        <v>619</v>
      </c>
      <c r="M87" s="959">
        <v>13024550</v>
      </c>
      <c r="N87" s="959">
        <v>18838120</v>
      </c>
      <c r="O87" s="1149">
        <v>12064621.666666666</v>
      </c>
      <c r="P87" s="9"/>
      <c r="Q87" s="950"/>
      <c r="R87" s="950"/>
      <c r="S87" s="950"/>
      <c r="T87" s="950"/>
      <c r="U87" s="950"/>
      <c r="V87" s="950"/>
      <c r="W87" s="950"/>
      <c r="X87" s="9"/>
      <c r="Y87" s="2004"/>
      <c r="Z87" s="9"/>
      <c r="AA87" s="9"/>
      <c r="AB87" s="9"/>
      <c r="AC87" s="237">
        <f>MAX(J87/J105)</f>
        <v>7.1684168791468758E-2</v>
      </c>
      <c r="AD87" s="235">
        <f t="shared" ref="AD87:AD94" si="13">MAX(M87*AC87)</f>
        <v>933654.04063292441</v>
      </c>
      <c r="AE87" s="238">
        <f>MAX(I87/I105)</f>
        <v>6.3145256042841325E-2</v>
      </c>
      <c r="AF87" s="235">
        <f t="shared" ref="AF87:AF94" si="14">MAX(N87*AE87)</f>
        <v>1189537.9107657701</v>
      </c>
      <c r="AG87" s="238">
        <f>MAX(H87/H105)</f>
        <v>6.371234709310121E-2</v>
      </c>
      <c r="AH87" s="235">
        <f t="shared" ref="AH87:AH94" si="15">MAX(O87*AG87)</f>
        <v>768665.36317361589</v>
      </c>
    </row>
    <row r="88" spans="1:34" ht="15" customHeight="1" x14ac:dyDescent="0.2">
      <c r="A88" s="962" t="s">
        <v>376</v>
      </c>
      <c r="B88" s="1739">
        <v>1308.42</v>
      </c>
      <c r="C88" s="1147">
        <v>7.42</v>
      </c>
      <c r="D88" s="1147">
        <v>142.42000000000002</v>
      </c>
      <c r="E88" s="1147"/>
      <c r="F88" s="1147"/>
      <c r="G88" s="1147">
        <v>285.31</v>
      </c>
      <c r="H88" s="1146">
        <v>1042.1200000000001</v>
      </c>
      <c r="I88" s="1147">
        <v>1327.43</v>
      </c>
      <c r="J88" s="1630">
        <v>1354.7560000000003</v>
      </c>
      <c r="K88" s="1147">
        <v>1.3</v>
      </c>
      <c r="L88" s="2029" t="s">
        <v>619</v>
      </c>
      <c r="M88" s="959">
        <v>13024550</v>
      </c>
      <c r="N88" s="959">
        <v>18838120</v>
      </c>
      <c r="O88" s="1149">
        <v>12064621.666666666</v>
      </c>
      <c r="P88" s="9"/>
      <c r="Q88" s="950"/>
      <c r="R88" s="950"/>
      <c r="S88" s="950"/>
      <c r="T88" s="950"/>
      <c r="U88" s="950"/>
      <c r="V88" s="950"/>
      <c r="W88" s="950"/>
      <c r="X88" s="9"/>
      <c r="Y88" s="2004"/>
      <c r="Z88" s="9"/>
      <c r="AA88" s="9"/>
      <c r="AB88" s="9"/>
      <c r="AC88" s="237">
        <f>MAX(J88/J105)</f>
        <v>7.8458100263352742E-3</v>
      </c>
      <c r="AD88" s="235">
        <f t="shared" si="13"/>
        <v>102188.14497850509</v>
      </c>
      <c r="AE88" s="238">
        <f>MAX(I88/I105)</f>
        <v>8.9696282844084971E-3</v>
      </c>
      <c r="AF88" s="235">
        <f t="shared" si="14"/>
        <v>168970.93397708141</v>
      </c>
      <c r="AG88" s="238">
        <f>MAX(H88/H105)</f>
        <v>8.5825189114863733E-3</v>
      </c>
      <c r="AH88" s="235">
        <f t="shared" si="15"/>
        <v>103544.84361409491</v>
      </c>
    </row>
    <row r="89" spans="1:34" ht="15" customHeight="1" x14ac:dyDescent="0.2">
      <c r="A89" s="962" t="s">
        <v>377</v>
      </c>
      <c r="B89" s="1739">
        <v>93.69</v>
      </c>
      <c r="C89" s="1147">
        <v>3.37</v>
      </c>
      <c r="D89" s="1147">
        <v>11.51</v>
      </c>
      <c r="E89" s="1147"/>
      <c r="F89" s="1147"/>
      <c r="G89" s="1147">
        <v>35.89</v>
      </c>
      <c r="H89" s="1146">
        <v>62.629999999999995</v>
      </c>
      <c r="I89" s="2155">
        <v>98.52</v>
      </c>
      <c r="J89" s="2160">
        <v>87.681999999999988</v>
      </c>
      <c r="K89" s="1147">
        <v>1.4</v>
      </c>
      <c r="L89" s="2029" t="s">
        <v>619</v>
      </c>
      <c r="M89" s="959">
        <v>13024550</v>
      </c>
      <c r="N89" s="959">
        <v>18838120</v>
      </c>
      <c r="O89" s="1149">
        <v>12064621.666666666</v>
      </c>
      <c r="P89" s="9"/>
      <c r="Q89" s="950"/>
      <c r="R89" s="950"/>
      <c r="S89" s="950"/>
      <c r="T89" s="950"/>
      <c r="U89" s="950"/>
      <c r="V89" s="950"/>
      <c r="W89" s="950"/>
      <c r="X89" s="9"/>
      <c r="Y89" s="2004"/>
      <c r="Z89" s="9"/>
      <c r="AA89" s="9"/>
      <c r="AB89" s="9"/>
      <c r="AC89" s="237">
        <f>MAX(J89/J105)</f>
        <v>5.0779351759957462E-4</v>
      </c>
      <c r="AD89" s="235">
        <f t="shared" si="13"/>
        <v>6613.7820596515394</v>
      </c>
      <c r="AE89" s="238">
        <f>MAX(I89/I105)</f>
        <v>6.6571327947984081E-4</v>
      </c>
      <c r="AF89" s="235">
        <f t="shared" si="14"/>
        <v>12540.786644434778</v>
      </c>
      <c r="AG89" s="238">
        <f>MAX(H89/H105)</f>
        <v>5.1579775786511292E-4</v>
      </c>
      <c r="AH89" s="235">
        <f t="shared" si="15"/>
        <v>6222.9048051575282</v>
      </c>
    </row>
    <row r="90" spans="1:34" ht="15" customHeight="1" x14ac:dyDescent="0.2">
      <c r="A90" s="962" t="s">
        <v>378</v>
      </c>
      <c r="B90" s="1739">
        <v>5175.55</v>
      </c>
      <c r="C90" s="1147">
        <v>68.349999999999994</v>
      </c>
      <c r="D90" s="1147">
        <v>563.37</v>
      </c>
      <c r="E90" s="1147"/>
      <c r="F90" s="1147"/>
      <c r="G90" s="1147">
        <v>1230.98</v>
      </c>
      <c r="H90" s="1146">
        <v>4006.7599999999998</v>
      </c>
      <c r="I90" s="1147">
        <v>5237.74</v>
      </c>
      <c r="J90" s="1630">
        <v>5609.463999999999</v>
      </c>
      <c r="K90" s="1147">
        <v>1.4</v>
      </c>
      <c r="L90" s="2029" t="s">
        <v>619</v>
      </c>
      <c r="M90" s="959">
        <v>13024550</v>
      </c>
      <c r="N90" s="959">
        <v>18838120</v>
      </c>
      <c r="O90" s="1149">
        <v>12064621.666666666</v>
      </c>
      <c r="P90" s="224"/>
      <c r="Q90" s="950"/>
      <c r="R90" s="950"/>
      <c r="S90" s="950"/>
      <c r="T90" s="950"/>
      <c r="U90" s="950"/>
      <c r="V90" s="950"/>
      <c r="W90" s="950"/>
      <c r="X90" s="9"/>
      <c r="Y90" s="2004"/>
      <c r="Z90" s="9"/>
      <c r="AA90" s="9"/>
      <c r="AB90" s="9"/>
      <c r="AC90" s="237">
        <f>MAX(J90/J105)</f>
        <v>3.2486136908466731E-2</v>
      </c>
      <c r="AD90" s="235">
        <f t="shared" si="13"/>
        <v>423117.31447117036</v>
      </c>
      <c r="AE90" s="238">
        <f>MAX(I90/I105)</f>
        <v>3.5392134312451695E-2</v>
      </c>
      <c r="AF90" s="235">
        <f t="shared" si="14"/>
        <v>666721.2732340825</v>
      </c>
      <c r="AG90" s="238">
        <f>MAX(H90/H105)</f>
        <v>3.2998208914316138E-2</v>
      </c>
      <c r="AH90" s="235">
        <f t="shared" si="15"/>
        <v>398110.90622885159</v>
      </c>
    </row>
    <row r="91" spans="1:34" ht="15" customHeight="1" x14ac:dyDescent="0.2">
      <c r="A91" s="962" t="s">
        <v>379</v>
      </c>
      <c r="B91" s="1739">
        <v>4588.41</v>
      </c>
      <c r="C91" s="1147">
        <v>70.11</v>
      </c>
      <c r="D91" s="1147">
        <v>402.4</v>
      </c>
      <c r="E91" s="1147"/>
      <c r="F91" s="1147"/>
      <c r="G91" s="1147">
        <v>823.51</v>
      </c>
      <c r="H91" s="1146">
        <v>3866.37</v>
      </c>
      <c r="I91" s="1147">
        <v>4689.88</v>
      </c>
      <c r="J91" s="1630">
        <v>5026.2809999999999</v>
      </c>
      <c r="K91" s="1147">
        <v>1.3</v>
      </c>
      <c r="L91" s="2029" t="s">
        <v>619</v>
      </c>
      <c r="M91" s="959">
        <v>13024550</v>
      </c>
      <c r="N91" s="959">
        <v>18838120</v>
      </c>
      <c r="O91" s="1149">
        <v>12064621.666666666</v>
      </c>
      <c r="P91" s="224"/>
      <c r="Q91" s="950"/>
      <c r="R91" s="950"/>
      <c r="S91" s="950"/>
      <c r="T91" s="950"/>
      <c r="U91" s="950"/>
      <c r="V91" s="950"/>
      <c r="W91" s="950"/>
      <c r="X91" s="9"/>
      <c r="Y91" s="2004"/>
      <c r="Z91" s="9"/>
      <c r="AA91" s="9"/>
      <c r="AB91" s="9"/>
      <c r="AC91" s="237">
        <f>MAX(J91/J105)</f>
        <v>2.9108744205582762E-2</v>
      </c>
      <c r="AD91" s="235">
        <f t="shared" si="13"/>
        <v>379128.29434282298</v>
      </c>
      <c r="AE91" s="238">
        <f>MAX(I91/I105)</f>
        <v>3.1690168444649981E-2</v>
      </c>
      <c r="AF91" s="235">
        <f t="shared" si="14"/>
        <v>596983.19598052965</v>
      </c>
      <c r="AG91" s="238">
        <f>MAX(H91/H105)</f>
        <v>3.1842008256058381E-2</v>
      </c>
      <c r="AH91" s="235">
        <f t="shared" si="15"/>
        <v>384161.78271622083</v>
      </c>
    </row>
    <row r="92" spans="1:34" ht="15" customHeight="1" x14ac:dyDescent="0.2">
      <c r="A92" s="962" t="s">
        <v>380</v>
      </c>
      <c r="B92" s="1739">
        <v>4768.2299999999996</v>
      </c>
      <c r="C92" s="1147">
        <v>45.15</v>
      </c>
      <c r="D92" s="1147">
        <v>494.59000000000003</v>
      </c>
      <c r="E92" s="1147"/>
      <c r="F92" s="1147"/>
      <c r="G92" s="1147">
        <v>897.58</v>
      </c>
      <c r="H92" s="1146">
        <v>3836.3199999999997</v>
      </c>
      <c r="I92" s="1147">
        <v>4733.8999999999996</v>
      </c>
      <c r="J92" s="1630">
        <v>5370.847999999999</v>
      </c>
      <c r="K92" s="1147">
        <v>1.4</v>
      </c>
      <c r="L92" s="2029" t="s">
        <v>619</v>
      </c>
      <c r="M92" s="959">
        <v>13024550</v>
      </c>
      <c r="N92" s="959">
        <v>18838120</v>
      </c>
      <c r="O92" s="1149">
        <v>12064621.666666666</v>
      </c>
      <c r="P92" s="224"/>
      <c r="Q92" s="950"/>
      <c r="R92" s="950"/>
      <c r="S92" s="950"/>
      <c r="T92" s="950"/>
      <c r="U92" s="950"/>
      <c r="V92" s="950"/>
      <c r="W92" s="950"/>
      <c r="X92" s="9"/>
      <c r="Y92" s="2004"/>
      <c r="Z92" s="9"/>
      <c r="AA92" s="9"/>
      <c r="AB92" s="9"/>
      <c r="AC92" s="237">
        <f>MAX(J92/J105)</f>
        <v>3.1104238023911865E-2</v>
      </c>
      <c r="AD92" s="235">
        <f t="shared" si="13"/>
        <v>405118.70335434127</v>
      </c>
      <c r="AE92" s="238">
        <f>MAX(I92/I105)</f>
        <v>3.1987617678944563E-2</v>
      </c>
      <c r="AF92" s="235">
        <f t="shared" si="14"/>
        <v>602586.58035007911</v>
      </c>
      <c r="AG92" s="238">
        <f>MAX(H92/H105)</f>
        <v>3.1594527454144816E-2</v>
      </c>
      <c r="AH92" s="235">
        <f t="shared" si="15"/>
        <v>381176.02047137037</v>
      </c>
    </row>
    <row r="93" spans="1:34" ht="15" customHeight="1" x14ac:dyDescent="0.2">
      <c r="A93" s="962" t="s">
        <v>381</v>
      </c>
      <c r="B93" s="1739">
        <v>7351.79</v>
      </c>
      <c r="C93" s="1147">
        <v>298.83999999999997</v>
      </c>
      <c r="D93" s="1147">
        <v>682.05</v>
      </c>
      <c r="E93" s="1147"/>
      <c r="F93" s="1147"/>
      <c r="G93" s="1147">
        <v>1682.86</v>
      </c>
      <c r="H93" s="1146">
        <v>5989.87</v>
      </c>
      <c r="I93" s="1147">
        <v>7672.73</v>
      </c>
      <c r="J93" s="1630">
        <v>8984.8050000000003</v>
      </c>
      <c r="K93" s="1147">
        <v>1.5</v>
      </c>
      <c r="L93" s="2029" t="s">
        <v>619</v>
      </c>
      <c r="M93" s="959">
        <v>13024550</v>
      </c>
      <c r="N93" s="959">
        <v>18838120</v>
      </c>
      <c r="O93" s="1149">
        <v>12064621.666666666</v>
      </c>
      <c r="P93" s="224"/>
      <c r="Q93" s="950"/>
      <c r="R93" s="950"/>
      <c r="S93" s="950"/>
      <c r="T93" s="950"/>
      <c r="U93" s="950"/>
      <c r="V93" s="950"/>
      <c r="W93" s="950"/>
      <c r="X93" s="9"/>
      <c r="Y93" s="2004"/>
      <c r="Z93" s="9"/>
      <c r="AA93" s="9"/>
      <c r="AB93" s="9"/>
      <c r="AC93" s="237">
        <f>MAX(J93/J105)</f>
        <v>5.2033778151687311E-2</v>
      </c>
      <c r="AD93" s="235">
        <f t="shared" si="13"/>
        <v>677716.54522555892</v>
      </c>
      <c r="AE93" s="238">
        <f>MAX(I93/I105)</f>
        <v>5.1845698851637825E-2</v>
      </c>
      <c r="AF93" s="235">
        <f t="shared" si="14"/>
        <v>976675.49645101558</v>
      </c>
      <c r="AG93" s="238">
        <f>MAX(H93/H105)</f>
        <v>4.9330377070150151E-2</v>
      </c>
      <c r="AH93" s="235">
        <f t="shared" si="15"/>
        <v>595152.33602537005</v>
      </c>
    </row>
    <row r="94" spans="1:34" ht="15" customHeight="1" x14ac:dyDescent="0.2">
      <c r="A94" s="962" t="s">
        <v>382</v>
      </c>
      <c r="B94" s="1739">
        <v>3388.69</v>
      </c>
      <c r="C94" s="1147">
        <v>45.39</v>
      </c>
      <c r="D94" s="1147">
        <v>339.37</v>
      </c>
      <c r="E94" s="1147"/>
      <c r="F94" s="1147"/>
      <c r="G94" s="1147">
        <v>717.84</v>
      </c>
      <c r="H94" s="1146">
        <v>2733.25</v>
      </c>
      <c r="I94" s="1147">
        <v>3451.09</v>
      </c>
      <c r="J94" s="1630">
        <v>3826.5499999999997</v>
      </c>
      <c r="K94" s="1147">
        <v>1.4</v>
      </c>
      <c r="L94" s="2029" t="s">
        <v>619</v>
      </c>
      <c r="M94" s="959">
        <v>13024550</v>
      </c>
      <c r="N94" s="959">
        <v>18838120</v>
      </c>
      <c r="O94" s="1149">
        <v>12064621.666666666</v>
      </c>
      <c r="P94" s="224"/>
      <c r="Q94" s="950"/>
      <c r="R94" s="950"/>
      <c r="S94" s="950"/>
      <c r="T94" s="950"/>
      <c r="U94" s="950"/>
      <c r="V94" s="950"/>
      <c r="W94" s="950"/>
      <c r="X94" s="9"/>
      <c r="Y94" s="2005"/>
      <c r="Z94" s="9"/>
      <c r="AA94" s="9"/>
      <c r="AB94" s="9"/>
      <c r="AC94" s="237">
        <f>MAX(J94/J105)</f>
        <v>2.2160731789542351E-2</v>
      </c>
      <c r="AD94" s="235">
        <f t="shared" si="13"/>
        <v>288633.55922948383</v>
      </c>
      <c r="AE94" s="238">
        <f>MAX(I94/I105)</f>
        <v>2.3319492911896913E-2</v>
      </c>
      <c r="AF94" s="235">
        <f t="shared" si="14"/>
        <v>439295.4058134635</v>
      </c>
      <c r="AG94" s="238">
        <f>MAX(H94/H105)</f>
        <v>2.2510046649925272E-2</v>
      </c>
      <c r="AH94" s="235">
        <f t="shared" si="15"/>
        <v>271575.19653036585</v>
      </c>
    </row>
    <row r="95" spans="1:34" ht="15" customHeight="1" x14ac:dyDescent="0.2">
      <c r="A95" s="1154" t="s">
        <v>383</v>
      </c>
      <c r="B95" s="1002">
        <v>59311.83</v>
      </c>
      <c r="C95" s="1002">
        <v>868.78</v>
      </c>
      <c r="D95" s="1002">
        <v>5416.94</v>
      </c>
      <c r="E95" s="1002">
        <v>0</v>
      </c>
      <c r="F95" s="1002">
        <v>0</v>
      </c>
      <c r="G95" s="1002">
        <v>10509.09</v>
      </c>
      <c r="H95" s="1002">
        <v>49715.679999999993</v>
      </c>
      <c r="I95" s="1150">
        <v>60224.770000000011</v>
      </c>
      <c r="J95" s="1150">
        <v>71451.081000000006</v>
      </c>
      <c r="K95" s="1150">
        <v>1.4371940804188943</v>
      </c>
      <c r="L95" s="1152"/>
      <c r="M95" s="996"/>
      <c r="N95" s="435"/>
      <c r="O95" s="436"/>
      <c r="P95" s="9"/>
      <c r="Q95" s="950"/>
      <c r="R95" s="950"/>
      <c r="S95" s="950"/>
      <c r="T95" s="950"/>
      <c r="U95" s="950"/>
      <c r="V95" s="950"/>
      <c r="W95" s="950"/>
      <c r="X95" s="9"/>
      <c r="Y95" s="2004"/>
      <c r="Z95" s="9"/>
      <c r="AA95" s="9"/>
      <c r="AB95" s="9"/>
      <c r="AC95" s="1157"/>
      <c r="AD95" s="1156"/>
      <c r="AE95" s="1158"/>
      <c r="AF95" s="1156"/>
      <c r="AG95" s="1158"/>
      <c r="AH95" s="1156"/>
    </row>
    <row r="96" spans="1:34" ht="15" customHeight="1" x14ac:dyDescent="0.2">
      <c r="A96" s="962" t="s">
        <v>384</v>
      </c>
      <c r="B96" s="1739">
        <v>17641.91</v>
      </c>
      <c r="C96" s="1147">
        <v>198.3</v>
      </c>
      <c r="D96" s="1147">
        <v>1590.5900000000001</v>
      </c>
      <c r="E96" s="1147"/>
      <c r="F96" s="1147"/>
      <c r="G96" s="1147">
        <v>3034.88</v>
      </c>
      <c r="H96" s="1146">
        <v>14718.45</v>
      </c>
      <c r="I96" s="1147">
        <v>17753.330000000002</v>
      </c>
      <c r="J96" s="1630">
        <v>23549.520000000004</v>
      </c>
      <c r="K96" s="1147">
        <v>1.6</v>
      </c>
      <c r="L96" s="2029" t="s">
        <v>619</v>
      </c>
      <c r="M96" s="959">
        <v>13024550</v>
      </c>
      <c r="N96" s="959">
        <v>18838120</v>
      </c>
      <c r="O96" s="1149">
        <v>12064621.666666666</v>
      </c>
      <c r="P96" s="9"/>
      <c r="Q96" s="950"/>
      <c r="R96" s="950"/>
      <c r="S96" s="950"/>
      <c r="T96" s="950"/>
      <c r="U96" s="950"/>
      <c r="V96" s="950"/>
      <c r="W96" s="950"/>
      <c r="X96" s="9"/>
      <c r="Y96" s="2004"/>
      <c r="Z96" s="9"/>
      <c r="AA96" s="9"/>
      <c r="AB96" s="9"/>
      <c r="AC96" s="237">
        <f>MAX(J96/J105)</f>
        <v>0.13638253687851026</v>
      </c>
      <c r="AD96" s="235">
        <f t="shared" ref="AD96:AD104" si="16">MAX(M96*AC96)</f>
        <v>1776321.1707010008</v>
      </c>
      <c r="AE96" s="238">
        <f>MAX(I96/I105)</f>
        <v>0.11996170864786687</v>
      </c>
      <c r="AF96" s="235">
        <f t="shared" ref="AF96:AF104" si="17">MAX(N96*AE96)</f>
        <v>2259853.0629135538</v>
      </c>
      <c r="AG96" s="238">
        <f>MAX(H96/H105)</f>
        <v>0.12121576735190438</v>
      </c>
      <c r="AH96" s="235">
        <f t="shared" ref="AH96:AH104" si="18">MAX(O96*AG96)</f>
        <v>1462422.3731354114</v>
      </c>
    </row>
    <row r="97" spans="1:34" ht="15" customHeight="1" x14ac:dyDescent="0.2">
      <c r="A97" s="962" t="s">
        <v>385</v>
      </c>
      <c r="B97" s="1739">
        <v>13828.74</v>
      </c>
      <c r="C97" s="1147">
        <v>235.01</v>
      </c>
      <c r="D97" s="1147">
        <v>1395.1100000000001</v>
      </c>
      <c r="E97" s="1147"/>
      <c r="F97" s="1147"/>
      <c r="G97" s="1147">
        <v>2652.68</v>
      </c>
      <c r="H97" s="1146">
        <v>11531.94</v>
      </c>
      <c r="I97" s="1147">
        <v>14184.62</v>
      </c>
      <c r="J97" s="1630">
        <v>17297.91</v>
      </c>
      <c r="K97" s="1147">
        <v>1.5</v>
      </c>
      <c r="L97" s="2029" t="s">
        <v>619</v>
      </c>
      <c r="M97" s="959">
        <v>13024550</v>
      </c>
      <c r="N97" s="959">
        <v>18838120</v>
      </c>
      <c r="O97" s="1149">
        <v>12064621.666666666</v>
      </c>
      <c r="P97" s="9"/>
      <c r="Q97" s="950"/>
      <c r="R97" s="950"/>
      <c r="S97" s="950"/>
      <c r="T97" s="950"/>
      <c r="U97" s="950"/>
      <c r="V97" s="950"/>
      <c r="W97" s="950"/>
      <c r="X97" s="9"/>
      <c r="Y97" s="2004"/>
      <c r="Z97" s="9"/>
      <c r="AA97" s="9"/>
      <c r="AB97" s="9"/>
      <c r="AC97" s="237">
        <f>MAX(J97/J105)</f>
        <v>0.10017753434023927</v>
      </c>
      <c r="AD97" s="235">
        <f t="shared" si="16"/>
        <v>1304767.3048911633</v>
      </c>
      <c r="AE97" s="238">
        <f>MAX(I97/I105)</f>
        <v>9.5847441112214174E-2</v>
      </c>
      <c r="AF97" s="235">
        <f t="shared" si="17"/>
        <v>1805585.597364824</v>
      </c>
      <c r="AG97" s="238">
        <f>MAX(H97/H105)</f>
        <v>9.4972837231917781E-2</v>
      </c>
      <c r="AH97" s="235">
        <f t="shared" si="18"/>
        <v>1145811.3498130019</v>
      </c>
    </row>
    <row r="98" spans="1:34" ht="15" customHeight="1" x14ac:dyDescent="0.2">
      <c r="A98" s="962" t="s">
        <v>386</v>
      </c>
      <c r="B98" s="1739">
        <v>1159.49</v>
      </c>
      <c r="C98" s="1147">
        <v>16.829999999999998</v>
      </c>
      <c r="D98" s="1147">
        <v>104.73</v>
      </c>
      <c r="E98" s="1147"/>
      <c r="F98" s="1147"/>
      <c r="G98" s="1147">
        <v>217.67</v>
      </c>
      <c r="H98" s="1146">
        <v>987.74000000000012</v>
      </c>
      <c r="I98" s="1147">
        <v>1205.4100000000001</v>
      </c>
      <c r="J98" s="1630">
        <v>1382.836</v>
      </c>
      <c r="K98" s="1147">
        <v>1.4</v>
      </c>
      <c r="L98" s="2029" t="s">
        <v>619</v>
      </c>
      <c r="M98" s="959">
        <v>13024550</v>
      </c>
      <c r="N98" s="959">
        <v>18838120</v>
      </c>
      <c r="O98" s="1149">
        <v>12064621.666666666</v>
      </c>
      <c r="P98" s="9"/>
      <c r="Q98" s="950"/>
      <c r="R98" s="950"/>
      <c r="S98" s="950"/>
      <c r="T98" s="950"/>
      <c r="U98" s="950"/>
      <c r="V98" s="950"/>
      <c r="W98" s="950"/>
      <c r="X98" s="9"/>
      <c r="Y98" s="2004"/>
      <c r="Z98" s="9"/>
      <c r="AA98" s="9"/>
      <c r="AB98" s="9"/>
      <c r="AC98" s="237">
        <f>MAX(J98/J105)</f>
        <v>8.0084299708415123E-3</v>
      </c>
      <c r="AD98" s="235">
        <f t="shared" si="16"/>
        <v>104306.19657672381</v>
      </c>
      <c r="AE98" s="238">
        <f>MAX(I98/I105)</f>
        <v>8.1451222515001517E-3</v>
      </c>
      <c r="AF98" s="235">
        <f t="shared" si="17"/>
        <v>153438.79038843003</v>
      </c>
      <c r="AG98" s="238">
        <f>MAX(H98/H105)</f>
        <v>8.1346651341798921E-3</v>
      </c>
      <c r="AH98" s="235">
        <f t="shared" si="18"/>
        <v>98141.657228904631</v>
      </c>
    </row>
    <row r="99" spans="1:34" ht="15" customHeight="1" x14ac:dyDescent="0.2">
      <c r="A99" s="962" t="s">
        <v>387</v>
      </c>
      <c r="B99" s="1739">
        <v>4737.09</v>
      </c>
      <c r="C99" s="1147">
        <v>73.88</v>
      </c>
      <c r="D99" s="1147">
        <v>435.29</v>
      </c>
      <c r="E99" s="1147"/>
      <c r="F99" s="1147"/>
      <c r="G99" s="1147">
        <v>802.07</v>
      </c>
      <c r="H99" s="1146">
        <v>4095.15</v>
      </c>
      <c r="I99" s="1147">
        <v>4897.22</v>
      </c>
      <c r="J99" s="1630">
        <v>5323.6950000000006</v>
      </c>
      <c r="K99" s="1147">
        <v>1.3</v>
      </c>
      <c r="L99" s="2029" t="s">
        <v>619</v>
      </c>
      <c r="M99" s="959">
        <v>13024550</v>
      </c>
      <c r="N99" s="959">
        <v>18838120</v>
      </c>
      <c r="O99" s="1149">
        <v>12064621.666666666</v>
      </c>
      <c r="P99" s="9"/>
      <c r="Q99" s="950"/>
      <c r="R99" s="950"/>
      <c r="S99" s="950"/>
      <c r="T99" s="950"/>
      <c r="U99" s="950"/>
      <c r="V99" s="950"/>
      <c r="W99" s="950"/>
      <c r="X99" s="9"/>
      <c r="Y99" s="2004"/>
      <c r="Z99" s="9"/>
      <c r="AA99" s="9"/>
      <c r="AB99" s="9"/>
      <c r="AC99" s="237">
        <f>MAX(J99/J105)</f>
        <v>3.0831160451144684E-2</v>
      </c>
      <c r="AD99" s="235">
        <f t="shared" si="16"/>
        <v>401561.99085395649</v>
      </c>
      <c r="AE99" s="238">
        <f>MAX(I99/I105)</f>
        <v>3.3091193529580454E-2</v>
      </c>
      <c r="AF99" s="235">
        <f t="shared" si="17"/>
        <v>623375.87465346011</v>
      </c>
      <c r="AG99" s="238">
        <f>MAX(H99/H105)</f>
        <v>3.3726156604204333E-2</v>
      </c>
      <c r="AH99" s="235">
        <f t="shared" si="18"/>
        <v>406893.31970047666</v>
      </c>
    </row>
    <row r="100" spans="1:34" ht="15" customHeight="1" x14ac:dyDescent="0.2">
      <c r="A100" s="962" t="s">
        <v>388</v>
      </c>
      <c r="B100" s="1739">
        <v>3016.33</v>
      </c>
      <c r="C100" s="1147">
        <v>43.85</v>
      </c>
      <c r="D100" s="1147">
        <v>240.97</v>
      </c>
      <c r="E100" s="1147"/>
      <c r="F100" s="1147"/>
      <c r="G100" s="1147">
        <v>444.79</v>
      </c>
      <c r="H100" s="1146">
        <v>2600.3000000000002</v>
      </c>
      <c r="I100" s="1147">
        <v>3045.09</v>
      </c>
      <c r="J100" s="1630">
        <v>3380.3900000000003</v>
      </c>
      <c r="K100" s="1147">
        <v>1.3</v>
      </c>
      <c r="L100" s="2029" t="s">
        <v>619</v>
      </c>
      <c r="M100" s="959">
        <v>13024550</v>
      </c>
      <c r="N100" s="959">
        <v>18838120</v>
      </c>
      <c r="O100" s="1149">
        <v>12064621.666666666</v>
      </c>
      <c r="P100" s="224"/>
      <c r="S100" s="950"/>
      <c r="AB100" s="9"/>
      <c r="AC100" s="237">
        <f>MAX(J100/J105)</f>
        <v>1.9576881560165443E-2</v>
      </c>
      <c r="AD100" s="235">
        <f t="shared" si="16"/>
        <v>254980.07272445282</v>
      </c>
      <c r="AE100" s="238">
        <f>MAX(I100/I105)</f>
        <v>2.0576094703727857E-2</v>
      </c>
      <c r="AF100" s="235">
        <f t="shared" si="17"/>
        <v>387614.9411601898</v>
      </c>
      <c r="AG100" s="238">
        <f>MAX(H100/H105)</f>
        <v>2.1415119108680394E-2</v>
      </c>
      <c r="AH100" s="235">
        <f t="shared" si="18"/>
        <v>258365.30999283283</v>
      </c>
    </row>
    <row r="101" spans="1:34" ht="15" customHeight="1" x14ac:dyDescent="0.2">
      <c r="A101" s="962" t="s">
        <v>389</v>
      </c>
      <c r="B101" s="1739">
        <v>4531.49</v>
      </c>
      <c r="C101" s="1147">
        <v>60.77</v>
      </c>
      <c r="D101" s="1147">
        <v>360.88</v>
      </c>
      <c r="E101" s="1147"/>
      <c r="F101" s="1147"/>
      <c r="G101" s="1147">
        <v>717.88</v>
      </c>
      <c r="H101" s="1146">
        <v>3851.8599999999997</v>
      </c>
      <c r="I101" s="1147">
        <v>4569.74</v>
      </c>
      <c r="J101" s="1630">
        <v>5007.4179999999997</v>
      </c>
      <c r="K101" s="1147">
        <v>1.3</v>
      </c>
      <c r="L101" s="2029" t="s">
        <v>619</v>
      </c>
      <c r="M101" s="959">
        <v>13024550</v>
      </c>
      <c r="N101" s="959">
        <v>18838120</v>
      </c>
      <c r="O101" s="1149">
        <v>12064621.666666666</v>
      </c>
      <c r="P101" s="224"/>
      <c r="Q101" s="950"/>
      <c r="R101" s="950"/>
      <c r="S101" s="950"/>
      <c r="T101" s="950"/>
      <c r="U101" s="950"/>
      <c r="V101" s="950"/>
      <c r="W101" s="950"/>
      <c r="X101" s="9"/>
      <c r="Y101" s="2004"/>
      <c r="Z101" s="9"/>
      <c r="AA101" s="9"/>
      <c r="AB101" s="9"/>
      <c r="AC101" s="237">
        <f>MAX(J101/J105)</f>
        <v>2.8999502752120467E-2</v>
      </c>
      <c r="AD101" s="235">
        <f t="shared" si="16"/>
        <v>377705.47357013065</v>
      </c>
      <c r="AE101" s="238">
        <f>MAX(I101/I105)</f>
        <v>3.0878365832015912E-2</v>
      </c>
      <c r="AF101" s="235">
        <f t="shared" si="17"/>
        <v>581690.36094741558</v>
      </c>
      <c r="AG101" s="238">
        <f>MAX(H101/H105)</f>
        <v>3.1722509206615256E-2</v>
      </c>
      <c r="AH101" s="235">
        <f t="shared" si="18"/>
        <v>382720.07189516322</v>
      </c>
    </row>
    <row r="102" spans="1:34" ht="15" customHeight="1" x14ac:dyDescent="0.2">
      <c r="A102" s="962" t="s">
        <v>390</v>
      </c>
      <c r="B102" s="1739">
        <v>3549.28</v>
      </c>
      <c r="C102" s="1147">
        <v>58.29</v>
      </c>
      <c r="D102" s="1147">
        <v>349.58000000000004</v>
      </c>
      <c r="E102" s="1147"/>
      <c r="F102" s="1147"/>
      <c r="G102" s="1147">
        <v>684.52</v>
      </c>
      <c r="H102" s="1146">
        <v>2883.27</v>
      </c>
      <c r="I102" s="1147">
        <v>3567.79</v>
      </c>
      <c r="J102" s="1630">
        <v>3748.2510000000002</v>
      </c>
      <c r="K102" s="1147">
        <v>1.3</v>
      </c>
      <c r="L102" s="2029" t="s">
        <v>619</v>
      </c>
      <c r="M102" s="959">
        <v>13024550</v>
      </c>
      <c r="N102" s="959">
        <v>18838120</v>
      </c>
      <c r="O102" s="1149">
        <v>12064621.666666666</v>
      </c>
      <c r="P102" s="224"/>
      <c r="Q102" s="950"/>
      <c r="R102" s="950"/>
      <c r="S102" s="950"/>
      <c r="T102" s="950"/>
      <c r="U102" s="950"/>
      <c r="V102" s="950"/>
      <c r="W102" s="950"/>
      <c r="X102" s="9"/>
      <c r="Y102" s="2004"/>
      <c r="Z102" s="9"/>
      <c r="AA102" s="9"/>
      <c r="AB102" s="9"/>
      <c r="AC102" s="237">
        <f>MAX(J102/J105)</f>
        <v>2.170727812020852E-2</v>
      </c>
      <c r="AD102" s="235">
        <f t="shared" si="16"/>
        <v>282727.52924056188</v>
      </c>
      <c r="AE102" s="238">
        <f>MAX(I102/I105)</f>
        <v>2.4108050968284424E-2</v>
      </c>
      <c r="AF102" s="235">
        <f t="shared" si="17"/>
        <v>454150.35710665816</v>
      </c>
      <c r="AG102" s="238">
        <f>MAX(H102/H105)</f>
        <v>2.374555646367147E-2</v>
      </c>
      <c r="AH102" s="235">
        <f t="shared" si="18"/>
        <v>286481.15499866754</v>
      </c>
    </row>
    <row r="103" spans="1:34" ht="15" customHeight="1" x14ac:dyDescent="0.2">
      <c r="A103" s="962" t="s">
        <v>941</v>
      </c>
      <c r="B103" s="1739">
        <v>5838.28</v>
      </c>
      <c r="C103" s="1147">
        <v>91.26</v>
      </c>
      <c r="D103" s="1147">
        <v>507.01</v>
      </c>
      <c r="E103" s="1147"/>
      <c r="F103" s="1147"/>
      <c r="G103" s="1147">
        <v>1062.25</v>
      </c>
      <c r="H103" s="1146">
        <v>4846.99</v>
      </c>
      <c r="I103" s="1147">
        <v>5909.24</v>
      </c>
      <c r="J103" s="1630">
        <v>6301.0869999999995</v>
      </c>
      <c r="K103" s="1147">
        <v>1.3</v>
      </c>
      <c r="L103" s="2029" t="s">
        <v>619</v>
      </c>
      <c r="M103" s="959">
        <v>13024550</v>
      </c>
      <c r="N103" s="959">
        <v>18838120</v>
      </c>
      <c r="O103" s="1149">
        <v>12064621.666666666</v>
      </c>
      <c r="P103" s="224"/>
      <c r="Q103" s="950"/>
      <c r="R103" s="950"/>
      <c r="S103" s="950"/>
      <c r="T103" s="950"/>
      <c r="U103" s="950"/>
      <c r="V103" s="950"/>
      <c r="W103" s="950"/>
      <c r="X103" s="9"/>
      <c r="Y103" s="2004"/>
      <c r="Z103" s="9"/>
      <c r="AA103" s="9"/>
      <c r="AB103" s="9"/>
      <c r="AC103" s="237">
        <f>MAX(J103/J105)</f>
        <v>3.6491539112143326E-2</v>
      </c>
      <c r="AD103" s="235">
        <f t="shared" si="16"/>
        <v>475285.87574306637</v>
      </c>
      <c r="AE103" s="238">
        <f>MAX(I103/I105)</f>
        <v>3.9929552777440667E-2</v>
      </c>
      <c r="AF103" s="235">
        <f t="shared" si="17"/>
        <v>752197.70676776057</v>
      </c>
      <c r="AG103" s="238">
        <f>MAX(H103/H105)</f>
        <v>3.9918035676107674E-2</v>
      </c>
      <c r="AH103" s="235">
        <f t="shared" si="18"/>
        <v>481595.99810874159</v>
      </c>
    </row>
    <row r="104" spans="1:34" ht="15" customHeight="1" thickBot="1" x14ac:dyDescent="0.25">
      <c r="A104" s="1140" t="s">
        <v>392</v>
      </c>
      <c r="B104" s="1740">
        <v>5009.22</v>
      </c>
      <c r="C104" s="1142">
        <v>90.59</v>
      </c>
      <c r="D104" s="1142">
        <v>432.78000000000003</v>
      </c>
      <c r="E104" s="1142"/>
      <c r="F104" s="1142"/>
      <c r="G104" s="1147">
        <v>892.35</v>
      </c>
      <c r="H104" s="1146">
        <v>4199.9799999999996</v>
      </c>
      <c r="I104" s="1147">
        <v>5092.33</v>
      </c>
      <c r="J104" s="1630">
        <v>5459.9739999999993</v>
      </c>
      <c r="K104" s="1147">
        <v>1.3</v>
      </c>
      <c r="L104" s="2029" t="s">
        <v>619</v>
      </c>
      <c r="M104" s="959">
        <v>13024550</v>
      </c>
      <c r="N104" s="959">
        <v>18838120</v>
      </c>
      <c r="O104" s="1149">
        <v>12064621.666666666</v>
      </c>
      <c r="P104" s="224"/>
      <c r="Q104" s="950"/>
      <c r="R104" s="950"/>
      <c r="S104" s="950"/>
      <c r="T104" s="950"/>
      <c r="U104" s="950"/>
      <c r="V104" s="950"/>
      <c r="W104" s="950"/>
      <c r="X104" s="9"/>
      <c r="Y104" s="2004"/>
      <c r="Z104" s="9"/>
      <c r="AA104" s="9"/>
      <c r="AB104" s="9"/>
      <c r="AC104" s="237">
        <f>MAX(J104/J105)</f>
        <v>3.162039419107935E-2</v>
      </c>
      <c r="AD104" s="235">
        <f t="shared" si="16"/>
        <v>411841.40516142256</v>
      </c>
      <c r="AE104" s="238">
        <f>MAX(I104/I105)</f>
        <v>3.4409578811343662E-2</v>
      </c>
      <c r="AF104" s="235">
        <f t="shared" si="17"/>
        <v>648211.77479754924</v>
      </c>
      <c r="AG104" s="238">
        <f>MAX(H104/H105)</f>
        <v>3.4589498117169354E-2</v>
      </c>
      <c r="AH104" s="235">
        <f t="shared" si="18"/>
        <v>417309.20842352725</v>
      </c>
    </row>
    <row r="105" spans="1:34" ht="15" customHeight="1" thickBot="1" x14ac:dyDescent="0.25">
      <c r="A105" s="405" t="s">
        <v>942</v>
      </c>
      <c r="B105" s="1132">
        <v>145740.77000000002</v>
      </c>
      <c r="C105" s="1132">
        <v>2574.4800000000005</v>
      </c>
      <c r="D105" s="1132">
        <v>12451.869999999999</v>
      </c>
      <c r="E105" s="1131">
        <v>0</v>
      </c>
      <c r="F105" s="1131">
        <v>0</v>
      </c>
      <c r="G105" s="1131">
        <v>26568.080000000002</v>
      </c>
      <c r="H105" s="1131">
        <v>121423.55999999998</v>
      </c>
      <c r="I105" s="1132">
        <v>147991.64000000001</v>
      </c>
      <c r="J105" s="1132">
        <v>172672.54693302812</v>
      </c>
      <c r="K105" s="1132">
        <v>1.4220678996154301</v>
      </c>
      <c r="L105" s="1525" t="s">
        <v>619</v>
      </c>
      <c r="M105" s="1134">
        <v>13024549.999999996</v>
      </c>
      <c r="N105" s="1134">
        <v>18838119.999999996</v>
      </c>
      <c r="O105" s="506">
        <v>12064621.666666666</v>
      </c>
      <c r="P105" s="950"/>
      <c r="Q105" s="1994"/>
      <c r="R105" s="1994"/>
      <c r="S105" s="1994"/>
      <c r="T105" s="1994"/>
      <c r="U105" s="1994"/>
      <c r="V105" s="1994"/>
      <c r="W105" s="1994"/>
      <c r="X105" s="950"/>
      <c r="Y105" s="2004"/>
      <c r="Z105" s="9"/>
      <c r="AA105" s="9"/>
      <c r="AB105" s="9"/>
      <c r="AC105" s="1159">
        <f t="shared" ref="AC105:AH105" si="19">SUM(AC65:AC104)</f>
        <v>0.99999999999999989</v>
      </c>
      <c r="AD105" s="1160">
        <f t="shared" si="19"/>
        <v>13024549.999999996</v>
      </c>
      <c r="AE105" s="1161">
        <f t="shared" si="19"/>
        <v>1.0000000000000002</v>
      </c>
      <c r="AF105" s="1160">
        <f t="shared" si="19"/>
        <v>18838119.999999996</v>
      </c>
      <c r="AG105" s="1161">
        <f t="shared" si="19"/>
        <v>1.0000000000000002</v>
      </c>
      <c r="AH105" s="1160">
        <f t="shared" si="19"/>
        <v>12064621.666666666</v>
      </c>
    </row>
    <row r="106" spans="1:34" x14ac:dyDescent="0.2">
      <c r="A106" s="7" t="s">
        <v>1934</v>
      </c>
      <c r="B106" s="8"/>
      <c r="C106" s="8"/>
      <c r="D106" s="8"/>
      <c r="E106" s="4"/>
      <c r="F106" s="5"/>
      <c r="G106" s="9"/>
      <c r="H106" s="8"/>
      <c r="I106" s="247"/>
      <c r="J106" s="247"/>
      <c r="K106" s="247"/>
      <c r="L106" s="241"/>
      <c r="M106" s="240"/>
      <c r="N106" s="240"/>
      <c r="O106" s="240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x14ac:dyDescent="0.2">
      <c r="A107" s="7" t="s">
        <v>1899</v>
      </c>
      <c r="B107" s="224"/>
      <c r="C107" s="224"/>
      <c r="D107" s="247"/>
      <c r="E107" s="34" t="s">
        <v>1942</v>
      </c>
      <c r="F107" s="224"/>
      <c r="I107" s="34"/>
      <c r="J107" s="247"/>
      <c r="K107" s="249"/>
      <c r="L107" s="2075"/>
      <c r="M107" s="240"/>
      <c r="N107" s="240"/>
      <c r="O107" s="240"/>
      <c r="P107" s="9"/>
      <c r="Q107" s="180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x14ac:dyDescent="0.2">
      <c r="A108" s="7" t="s">
        <v>1793</v>
      </c>
      <c r="C108" s="224"/>
      <c r="D108" s="224"/>
      <c r="E108" s="247"/>
      <c r="F108" s="9"/>
      <c r="H108" s="224"/>
      <c r="I108" s="2223"/>
      <c r="J108" s="224"/>
      <c r="K108" s="247"/>
      <c r="L108" s="241"/>
      <c r="M108" s="240"/>
      <c r="N108" s="240"/>
      <c r="O108" s="240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x14ac:dyDescent="0.2">
      <c r="A109" s="7"/>
      <c r="B109" s="10"/>
      <c r="C109" s="249"/>
      <c r="D109" s="249"/>
      <c r="E109" s="249"/>
      <c r="F109" s="2257"/>
      <c r="G109" s="10"/>
      <c r="H109" s="249"/>
      <c r="I109" s="249"/>
      <c r="J109" s="249"/>
      <c r="K109" s="247"/>
      <c r="L109" s="2263"/>
      <c r="M109" s="249"/>
      <c r="N109" s="249"/>
      <c r="O109" s="24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5" x14ac:dyDescent="0.25">
      <c r="A110" s="2843" t="s">
        <v>1931</v>
      </c>
      <c r="B110" s="2843"/>
      <c r="C110" s="2843"/>
      <c r="D110" s="2843"/>
      <c r="E110" s="2843"/>
      <c r="F110" s="2843"/>
      <c r="G110" s="2843"/>
      <c r="H110" s="2843"/>
      <c r="I110" s="2843"/>
      <c r="J110" s="2843"/>
      <c r="K110" s="2843"/>
      <c r="L110" s="2843"/>
      <c r="M110" s="2843"/>
      <c r="N110" s="2843"/>
      <c r="O110" s="2843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3.5" thickBot="1" x14ac:dyDescent="0.25">
      <c r="A111" s="225" t="s">
        <v>944</v>
      </c>
      <c r="B111" s="225"/>
      <c r="C111" s="224"/>
      <c r="D111" s="224"/>
      <c r="E111" s="224"/>
      <c r="F111" s="224"/>
      <c r="G111" s="224"/>
      <c r="H111" s="224"/>
      <c r="I111" s="224"/>
      <c r="J111" s="224"/>
      <c r="K111" s="240"/>
      <c r="L111" s="241"/>
      <c r="M111" s="240"/>
      <c r="N111" s="240"/>
      <c r="O111" s="240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5" customHeight="1" x14ac:dyDescent="0.2">
      <c r="A112" s="2844" t="s">
        <v>327</v>
      </c>
      <c r="B112" s="2847" t="s">
        <v>1932</v>
      </c>
      <c r="C112" s="2848"/>
      <c r="D112" s="2848"/>
      <c r="E112" s="2848"/>
      <c r="F112" s="2848"/>
      <c r="G112" s="2848"/>
      <c r="H112" s="2848"/>
      <c r="I112" s="2848"/>
      <c r="J112" s="2848"/>
      <c r="K112" s="2848"/>
      <c r="L112" s="2848"/>
      <c r="M112" s="2848"/>
      <c r="N112" s="2848"/>
      <c r="O112" s="284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228" t="s">
        <v>910</v>
      </c>
      <c r="AD112" s="229"/>
      <c r="AE112" s="229"/>
      <c r="AF112" s="229"/>
      <c r="AG112" s="229"/>
      <c r="AH112" s="243"/>
    </row>
    <row r="113" spans="1:34" ht="15" customHeight="1" x14ac:dyDescent="0.2">
      <c r="A113" s="2845"/>
      <c r="B113" s="2850" t="s">
        <v>191</v>
      </c>
      <c r="C113" s="2850"/>
      <c r="D113" s="2850"/>
      <c r="E113" s="2850"/>
      <c r="F113" s="2850"/>
      <c r="G113" s="2850"/>
      <c r="H113" s="2850"/>
      <c r="I113" s="2850"/>
      <c r="J113" s="2119"/>
      <c r="K113" s="2119" t="s">
        <v>904</v>
      </c>
      <c r="L113" s="2119"/>
      <c r="M113" s="1122" t="s">
        <v>437</v>
      </c>
      <c r="N113" s="1122" t="s">
        <v>911</v>
      </c>
      <c r="O113" s="1127" t="s">
        <v>911</v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230" t="s">
        <v>333</v>
      </c>
      <c r="AD113" s="231" t="s">
        <v>333</v>
      </c>
      <c r="AE113" s="231" t="s">
        <v>333</v>
      </c>
      <c r="AF113" s="231" t="s">
        <v>333</v>
      </c>
      <c r="AG113" s="231" t="s">
        <v>333</v>
      </c>
      <c r="AH113" s="231" t="s">
        <v>333</v>
      </c>
    </row>
    <row r="114" spans="1:34" ht="15" customHeight="1" x14ac:dyDescent="0.2">
      <c r="A114" s="2845"/>
      <c r="B114" s="2119" t="s">
        <v>433</v>
      </c>
      <c r="C114" s="2119"/>
      <c r="D114" s="2841" t="s">
        <v>1865</v>
      </c>
      <c r="E114" s="2119"/>
      <c r="F114" s="2119"/>
      <c r="G114" s="2119" t="s">
        <v>912</v>
      </c>
      <c r="H114" s="2119"/>
      <c r="I114" s="2119" t="s">
        <v>433</v>
      </c>
      <c r="J114" s="2138" t="s">
        <v>913</v>
      </c>
      <c r="K114" s="2138" t="s">
        <v>842</v>
      </c>
      <c r="L114" s="2138" t="s">
        <v>329</v>
      </c>
      <c r="M114" s="1123" t="s">
        <v>914</v>
      </c>
      <c r="N114" s="1123" t="s">
        <v>915</v>
      </c>
      <c r="O114" s="1128" t="s">
        <v>914</v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230" t="s">
        <v>913</v>
      </c>
      <c r="AD114" s="231" t="s">
        <v>916</v>
      </c>
      <c r="AE114" s="231" t="s">
        <v>917</v>
      </c>
      <c r="AF114" s="231" t="s">
        <v>918</v>
      </c>
      <c r="AG114" s="231" t="s">
        <v>192</v>
      </c>
      <c r="AH114" s="231" t="s">
        <v>918</v>
      </c>
    </row>
    <row r="115" spans="1:34" ht="15" customHeight="1" x14ac:dyDescent="0.2">
      <c r="A115" s="2845"/>
      <c r="B115" s="2138" t="s">
        <v>920</v>
      </c>
      <c r="C115" s="2138" t="s">
        <v>922</v>
      </c>
      <c r="D115" s="2842"/>
      <c r="E115" s="2138" t="s">
        <v>867</v>
      </c>
      <c r="F115" s="2138" t="s">
        <v>921</v>
      </c>
      <c r="G115" s="2138" t="s">
        <v>923</v>
      </c>
      <c r="H115" s="2138" t="s">
        <v>836</v>
      </c>
      <c r="I115" s="2138" t="s">
        <v>835</v>
      </c>
      <c r="J115" s="2138" t="s">
        <v>924</v>
      </c>
      <c r="K115" s="2138" t="s">
        <v>925</v>
      </c>
      <c r="L115" s="2138" t="s">
        <v>336</v>
      </c>
      <c r="M115" s="1123" t="s">
        <v>926</v>
      </c>
      <c r="N115" s="1123" t="s">
        <v>927</v>
      </c>
      <c r="O115" s="1128" t="s">
        <v>928</v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230"/>
      <c r="AD115" s="231" t="s">
        <v>843</v>
      </c>
      <c r="AE115" s="231"/>
      <c r="AF115" s="231" t="s">
        <v>929</v>
      </c>
      <c r="AG115" s="231"/>
      <c r="AH115" s="231" t="s">
        <v>930</v>
      </c>
    </row>
    <row r="116" spans="1:34" ht="15" customHeight="1" thickBot="1" x14ac:dyDescent="0.25">
      <c r="A116" s="2846"/>
      <c r="B116" s="1881">
        <v>44926</v>
      </c>
      <c r="C116" s="2139">
        <v>2023</v>
      </c>
      <c r="D116" s="2139">
        <v>2023</v>
      </c>
      <c r="E116" s="2139">
        <v>2023</v>
      </c>
      <c r="F116" s="2139">
        <v>2023</v>
      </c>
      <c r="G116" s="2139" t="s">
        <v>931</v>
      </c>
      <c r="H116" s="1126">
        <v>2023</v>
      </c>
      <c r="I116" s="1881">
        <v>45291</v>
      </c>
      <c r="J116" s="1881" t="s">
        <v>1933</v>
      </c>
      <c r="K116" s="1881" t="s">
        <v>1933</v>
      </c>
      <c r="L116" s="2139" t="s">
        <v>441</v>
      </c>
      <c r="M116" s="1125" t="s">
        <v>932</v>
      </c>
      <c r="N116" s="1125" t="s">
        <v>933</v>
      </c>
      <c r="O116" s="1129" t="s">
        <v>933</v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232"/>
      <c r="AD116" s="233" t="s">
        <v>934</v>
      </c>
      <c r="AE116" s="233"/>
      <c r="AF116" s="233" t="s">
        <v>935</v>
      </c>
      <c r="AG116" s="233"/>
      <c r="AH116" s="233" t="s">
        <v>936</v>
      </c>
    </row>
    <row r="117" spans="1:34" ht="15" customHeight="1" x14ac:dyDescent="0.2">
      <c r="A117" s="1135" t="s">
        <v>352</v>
      </c>
      <c r="B117" s="1130">
        <v>2846.5</v>
      </c>
      <c r="C117" s="1130">
        <v>78</v>
      </c>
      <c r="D117" s="1130">
        <v>123</v>
      </c>
      <c r="E117" s="1130">
        <v>7</v>
      </c>
      <c r="F117" s="1130">
        <v>9</v>
      </c>
      <c r="G117" s="1130">
        <v>1239.5</v>
      </c>
      <c r="H117" s="1130">
        <v>1468</v>
      </c>
      <c r="I117" s="1130">
        <v>2908.5</v>
      </c>
      <c r="J117" s="1136">
        <v>8741.3374999999996</v>
      </c>
      <c r="K117" s="1535">
        <v>5.9545895776566757</v>
      </c>
      <c r="L117" s="380"/>
      <c r="M117" s="1138"/>
      <c r="N117" s="1138"/>
      <c r="O117" s="1139"/>
      <c r="P117" s="9"/>
      <c r="Q117" s="9"/>
      <c r="Z117" s="9"/>
      <c r="AA117" s="9"/>
      <c r="AB117" s="9"/>
      <c r="AC117" s="1155"/>
      <c r="AD117" s="1156"/>
      <c r="AE117" s="1156"/>
      <c r="AF117" s="1156"/>
      <c r="AG117" s="1156"/>
      <c r="AH117" s="1156"/>
    </row>
    <row r="118" spans="1:34" ht="15" customHeight="1" x14ac:dyDescent="0.2">
      <c r="A118" s="962" t="s">
        <v>353</v>
      </c>
      <c r="B118" s="957">
        <v>857.1</v>
      </c>
      <c r="C118" s="1146"/>
      <c r="D118" s="1146">
        <v>35</v>
      </c>
      <c r="E118" s="1146"/>
      <c r="F118" s="1146"/>
      <c r="G118" s="1146">
        <v>401.1</v>
      </c>
      <c r="H118" s="1146">
        <v>421</v>
      </c>
      <c r="I118" s="1146">
        <v>857.1</v>
      </c>
      <c r="J118" s="1147">
        <v>1684</v>
      </c>
      <c r="K118" s="1147">
        <v>4</v>
      </c>
      <c r="L118" s="1066" t="s">
        <v>1128</v>
      </c>
      <c r="M118" s="959">
        <v>3000000</v>
      </c>
      <c r="N118" s="959">
        <v>16946495.760480002</v>
      </c>
      <c r="O118" s="1149">
        <v>17178290.749955527</v>
      </c>
      <c r="P118" s="950"/>
      <c r="Q118" s="950"/>
      <c r="R118" s="2257"/>
      <c r="S118" s="950"/>
      <c r="T118" s="950"/>
      <c r="U118" s="950"/>
      <c r="V118" s="950"/>
      <c r="W118" s="950"/>
      <c r="X118" s="950"/>
      <c r="Y118" s="950"/>
      <c r="Z118" s="9"/>
      <c r="AA118" s="9"/>
      <c r="AB118" s="9"/>
      <c r="AC118" s="237">
        <f>MAX(J118/J158)</f>
        <v>2.9114367815172865E-2</v>
      </c>
      <c r="AD118" s="235">
        <f t="shared" ref="AD118:AD132" si="20">MAX(M118*AC118)</f>
        <v>87343.103445518602</v>
      </c>
      <c r="AE118" s="238">
        <f>MAX(I118/I158)</f>
        <v>5.9407352912738146E-2</v>
      </c>
      <c r="AF118" s="235">
        <f t="shared" ref="AF118:AF132" si="21">MAX(N118*AE118)</f>
        <v>1006746.4542770563</v>
      </c>
      <c r="AG118" s="238">
        <f>MAX(H118/H158)</f>
        <v>6.2407352505188259E-2</v>
      </c>
      <c r="AH118" s="235">
        <f t="shared" ref="AH118:AH132" si="22">MAX(O118*AG118)</f>
        <v>1072051.6462690893</v>
      </c>
    </row>
    <row r="119" spans="1:34" ht="15" customHeight="1" x14ac:dyDescent="0.2">
      <c r="A119" s="962" t="s">
        <v>354</v>
      </c>
      <c r="B119" s="957">
        <v>130</v>
      </c>
      <c r="C119" s="1146"/>
      <c r="D119" s="1146"/>
      <c r="E119" s="1146"/>
      <c r="F119" s="1146"/>
      <c r="G119" s="1146">
        <v>70.25</v>
      </c>
      <c r="H119" s="1146">
        <v>59.75</v>
      </c>
      <c r="I119" s="1146">
        <v>130</v>
      </c>
      <c r="J119" s="1147">
        <v>504.88749999999993</v>
      </c>
      <c r="K119" s="1147">
        <v>8.4499999999999993</v>
      </c>
      <c r="L119" s="1066" t="s">
        <v>1128</v>
      </c>
      <c r="M119" s="959">
        <v>3000000</v>
      </c>
      <c r="N119" s="959">
        <v>16946495.760480002</v>
      </c>
      <c r="O119" s="1149">
        <v>17178290.749955527</v>
      </c>
      <c r="P119" s="9"/>
      <c r="Q119" s="2005"/>
      <c r="R119" s="2257"/>
      <c r="S119" s="950"/>
      <c r="T119" s="950"/>
      <c r="U119" s="2006"/>
      <c r="V119" s="950"/>
      <c r="W119" s="950"/>
      <c r="X119" s="950"/>
      <c r="Y119" s="950"/>
      <c r="Z119" s="9"/>
      <c r="AA119" s="9"/>
      <c r="AB119" s="9"/>
      <c r="AC119" s="237">
        <f>MAX(J119/J158)</f>
        <v>8.728907589241738E-3</v>
      </c>
      <c r="AD119" s="235">
        <f t="shared" si="20"/>
        <v>26186.722767725216</v>
      </c>
      <c r="AE119" s="238">
        <f>MAX(I119/I158)</f>
        <v>9.0105657200512876E-3</v>
      </c>
      <c r="AF119" s="235">
        <f t="shared" si="21"/>
        <v>152697.51377437558</v>
      </c>
      <c r="AG119" s="238">
        <f>MAX(H119/H158)</f>
        <v>8.8571005040023725E-3</v>
      </c>
      <c r="AH119" s="235">
        <f t="shared" si="22"/>
        <v>152149.84765933041</v>
      </c>
    </row>
    <row r="120" spans="1:34" ht="15" customHeight="1" x14ac:dyDescent="0.2">
      <c r="A120" s="962" t="s">
        <v>355</v>
      </c>
      <c r="B120" s="957">
        <v>71</v>
      </c>
      <c r="C120" s="1146">
        <v>3</v>
      </c>
      <c r="D120" s="1146">
        <v>8</v>
      </c>
      <c r="E120" s="1146"/>
      <c r="F120" s="1146"/>
      <c r="G120" s="1146">
        <v>35</v>
      </c>
      <c r="H120" s="1146">
        <v>28</v>
      </c>
      <c r="I120" s="1146">
        <v>74</v>
      </c>
      <c r="J120" s="1147">
        <v>126</v>
      </c>
      <c r="K120" s="1147">
        <v>4.5</v>
      </c>
      <c r="L120" s="1066" t="s">
        <v>1128</v>
      </c>
      <c r="M120" s="959">
        <v>3000000</v>
      </c>
      <c r="N120" s="959">
        <v>16946495.760480002</v>
      </c>
      <c r="O120" s="1149">
        <v>17178290.749955527</v>
      </c>
      <c r="P120" s="9"/>
      <c r="Q120" s="2005"/>
      <c r="R120" s="2257"/>
      <c r="S120" s="950"/>
      <c r="T120" s="950"/>
      <c r="U120" s="9"/>
      <c r="V120" s="2006"/>
      <c r="W120" s="2006"/>
      <c r="X120" s="2005"/>
      <c r="Y120" s="2005"/>
      <c r="Z120" s="9"/>
      <c r="AA120" s="9"/>
      <c r="AB120" s="9"/>
      <c r="AC120" s="237">
        <f>MAX(J120/J158)</f>
        <v>2.1783909410402502E-3</v>
      </c>
      <c r="AD120" s="235">
        <f t="shared" si="20"/>
        <v>6535.1728231207508</v>
      </c>
      <c r="AE120" s="238">
        <f>MAX(I120/I158)</f>
        <v>5.1290912560291941E-3</v>
      </c>
      <c r="AF120" s="235">
        <f t="shared" si="21"/>
        <v>86920.123225413787</v>
      </c>
      <c r="AG120" s="238">
        <f>MAX(H120/H158)</f>
        <v>4.1506077675659654E-3</v>
      </c>
      <c r="AH120" s="235">
        <f t="shared" si="22"/>
        <v>71300.347020271991</v>
      </c>
    </row>
    <row r="121" spans="1:34" ht="15" customHeight="1" x14ac:dyDescent="0.2">
      <c r="A121" s="962" t="s">
        <v>356</v>
      </c>
      <c r="B121" s="957">
        <v>117.6</v>
      </c>
      <c r="C121" s="1146"/>
      <c r="D121" s="1146">
        <v>36</v>
      </c>
      <c r="E121" s="1146"/>
      <c r="F121" s="1146"/>
      <c r="G121" s="1146">
        <v>56.599999999999994</v>
      </c>
      <c r="H121" s="1146">
        <v>25</v>
      </c>
      <c r="I121" s="1146">
        <v>117.6</v>
      </c>
      <c r="J121" s="1147">
        <v>112.75</v>
      </c>
      <c r="K121" s="1147">
        <v>4.51</v>
      </c>
      <c r="L121" s="1066" t="s">
        <v>1128</v>
      </c>
      <c r="M121" s="959">
        <v>3000000</v>
      </c>
      <c r="N121" s="959">
        <v>16946495.760480002</v>
      </c>
      <c r="O121" s="1149">
        <v>17178290.749955527</v>
      </c>
      <c r="P121" s="9"/>
      <c r="Q121" s="2005"/>
      <c r="R121" s="2257"/>
      <c r="S121" s="950"/>
      <c r="T121" s="950"/>
      <c r="U121" s="9"/>
      <c r="V121" s="2005"/>
      <c r="W121" s="2005"/>
      <c r="X121" s="2005"/>
      <c r="Y121" s="2005"/>
      <c r="Z121" s="9"/>
      <c r="AA121" s="9"/>
      <c r="AB121" s="9"/>
      <c r="AC121" s="237">
        <f>MAX(J121/J158)</f>
        <v>1.9493141158911762E-3</v>
      </c>
      <c r="AD121" s="235">
        <f t="shared" si="20"/>
        <v>5847.9423476735283</v>
      </c>
      <c r="AE121" s="238">
        <f>MAX(I121/I158)</f>
        <v>8.1510963744463941E-3</v>
      </c>
      <c r="AF121" s="235">
        <f t="shared" si="21"/>
        <v>138132.52015281972</v>
      </c>
      <c r="AG121" s="238">
        <f>MAX(H121/H158)</f>
        <v>3.7058997924696115E-3</v>
      </c>
      <c r="AH121" s="235">
        <f t="shared" si="22"/>
        <v>63661.024125242839</v>
      </c>
    </row>
    <row r="122" spans="1:34" ht="15" customHeight="1" x14ac:dyDescent="0.2">
      <c r="A122" s="962" t="s">
        <v>357</v>
      </c>
      <c r="B122" s="957">
        <v>215</v>
      </c>
      <c r="C122" s="1146">
        <v>0</v>
      </c>
      <c r="D122" s="1146">
        <v>18</v>
      </c>
      <c r="E122" s="1146">
        <v>0</v>
      </c>
      <c r="F122" s="1146">
        <v>0</v>
      </c>
      <c r="G122" s="1146">
        <v>81</v>
      </c>
      <c r="H122" s="1146">
        <v>116</v>
      </c>
      <c r="I122" s="1146">
        <v>215</v>
      </c>
      <c r="J122" s="1147">
        <v>696</v>
      </c>
      <c r="K122" s="1147">
        <v>6</v>
      </c>
      <c r="L122" s="1066" t="s">
        <v>1128</v>
      </c>
      <c r="M122" s="959">
        <v>3000000</v>
      </c>
      <c r="N122" s="959">
        <v>16946495.760480002</v>
      </c>
      <c r="O122" s="1149">
        <v>17178290.749955527</v>
      </c>
      <c r="P122" s="9"/>
      <c r="Q122" s="2005"/>
      <c r="R122" s="2257"/>
      <c r="S122" s="950"/>
      <c r="T122" s="950"/>
      <c r="U122" s="9"/>
      <c r="V122" s="2005"/>
      <c r="W122" s="2005"/>
      <c r="X122" s="2005"/>
      <c r="Y122" s="2005"/>
      <c r="Z122" s="9"/>
      <c r="AA122" s="9"/>
      <c r="AB122" s="9"/>
      <c r="AC122" s="237">
        <f>MAX(J122/J158)</f>
        <v>1.2033016626698523E-2</v>
      </c>
      <c r="AD122" s="235">
        <f t="shared" si="20"/>
        <v>36099.049880095568</v>
      </c>
      <c r="AE122" s="238">
        <f>MAX(I122/I158)</f>
        <v>1.4902089460084821E-2</v>
      </c>
      <c r="AF122" s="235">
        <f t="shared" si="21"/>
        <v>252538.19585762115</v>
      </c>
      <c r="AG122" s="238">
        <f>MAX(H122/H158)</f>
        <v>1.7195375037058997E-2</v>
      </c>
      <c r="AH122" s="235">
        <f t="shared" si="22"/>
        <v>295387.15194112674</v>
      </c>
    </row>
    <row r="123" spans="1:34" ht="15" customHeight="1" x14ac:dyDescent="0.2">
      <c r="A123" s="962" t="s">
        <v>358</v>
      </c>
      <c r="B123" s="957">
        <v>414.4</v>
      </c>
      <c r="C123" s="1146">
        <v>0</v>
      </c>
      <c r="D123" s="1146">
        <v>0</v>
      </c>
      <c r="E123" s="1146">
        <v>0</v>
      </c>
      <c r="F123" s="1146">
        <v>0</v>
      </c>
      <c r="G123" s="1146">
        <v>199.39999999999998</v>
      </c>
      <c r="H123" s="1146">
        <v>215</v>
      </c>
      <c r="I123" s="1146">
        <v>414.4</v>
      </c>
      <c r="J123" s="1147">
        <v>1290</v>
      </c>
      <c r="K123" s="1147">
        <v>6</v>
      </c>
      <c r="L123" s="1066" t="s">
        <v>1128</v>
      </c>
      <c r="M123" s="959">
        <v>3000000</v>
      </c>
      <c r="N123" s="959">
        <v>16946495.760480002</v>
      </c>
      <c r="O123" s="1149">
        <v>17178290.749955527</v>
      </c>
      <c r="P123" s="9"/>
      <c r="Q123" s="2005"/>
      <c r="R123" s="2257"/>
      <c r="S123" s="950"/>
      <c r="T123" s="950"/>
      <c r="U123" s="2005"/>
      <c r="V123" s="2005"/>
      <c r="W123" s="2005"/>
      <c r="X123" s="2005"/>
      <c r="Y123" s="2005"/>
      <c r="Z123" s="9"/>
      <c r="AA123" s="9"/>
      <c r="AB123" s="9"/>
      <c r="AC123" s="237">
        <f>MAX(J123/J158)</f>
        <v>2.2302573920173988E-2</v>
      </c>
      <c r="AD123" s="235">
        <f t="shared" si="20"/>
        <v>66907.721760521963</v>
      </c>
      <c r="AE123" s="238">
        <f>MAX(I123/I158)</f>
        <v>2.8722911033763485E-2</v>
      </c>
      <c r="AF123" s="235">
        <f t="shared" si="21"/>
        <v>486752.69006231718</v>
      </c>
      <c r="AG123" s="238">
        <f>MAX(H123/H158)</f>
        <v>3.1870738215238663E-2</v>
      </c>
      <c r="AH123" s="235">
        <f t="shared" si="22"/>
        <v>547484.80747708841</v>
      </c>
    </row>
    <row r="124" spans="1:34" ht="15" customHeight="1" x14ac:dyDescent="0.2">
      <c r="A124" s="962" t="s">
        <v>937</v>
      </c>
      <c r="B124" s="957">
        <v>20</v>
      </c>
      <c r="C124" s="1146">
        <v>0</v>
      </c>
      <c r="D124" s="1146">
        <v>0</v>
      </c>
      <c r="E124" s="1146">
        <v>0</v>
      </c>
      <c r="F124" s="1146">
        <v>0</v>
      </c>
      <c r="G124" s="1146">
        <v>8</v>
      </c>
      <c r="H124" s="1146">
        <v>12</v>
      </c>
      <c r="I124" s="1146">
        <v>20</v>
      </c>
      <c r="J124" s="1147">
        <v>78</v>
      </c>
      <c r="K124" s="1147">
        <v>6.5</v>
      </c>
      <c r="L124" s="1066" t="s">
        <v>1128</v>
      </c>
      <c r="M124" s="959">
        <v>3000000</v>
      </c>
      <c r="N124" s="959">
        <v>16946495.760480002</v>
      </c>
      <c r="O124" s="1149">
        <v>17178290.749955527</v>
      </c>
      <c r="P124" s="9"/>
      <c r="Q124" s="9"/>
      <c r="R124" s="2257"/>
      <c r="S124" s="950"/>
      <c r="T124" s="950"/>
      <c r="U124" s="2005"/>
      <c r="V124" s="2005"/>
      <c r="W124" s="2005"/>
      <c r="X124" s="2005"/>
      <c r="Y124" s="2005"/>
      <c r="Z124" s="9"/>
      <c r="AA124" s="9"/>
      <c r="AB124" s="9"/>
      <c r="AC124" s="237">
        <f>MAX(J124/J158)</f>
        <v>1.348527725405869E-3</v>
      </c>
      <c r="AD124" s="235">
        <f t="shared" si="20"/>
        <v>4045.5831762176072</v>
      </c>
      <c r="AE124" s="238">
        <f>MAX(I124/I158)</f>
        <v>1.3862408800078903E-3</v>
      </c>
      <c r="AF124" s="235">
        <f t="shared" si="21"/>
        <v>23491.925196057779</v>
      </c>
      <c r="AG124" s="238">
        <f>MAX(H124/H158)</f>
        <v>1.7788319003854136E-3</v>
      </c>
      <c r="AH124" s="235">
        <f t="shared" si="22"/>
        <v>30557.291580116562</v>
      </c>
    </row>
    <row r="125" spans="1:34" ht="15" customHeight="1" x14ac:dyDescent="0.2">
      <c r="A125" s="962" t="s">
        <v>360</v>
      </c>
      <c r="B125" s="957">
        <v>174.39999999999998</v>
      </c>
      <c r="C125" s="1146">
        <v>0</v>
      </c>
      <c r="D125" s="1146">
        <v>0</v>
      </c>
      <c r="E125" s="1146">
        <v>1</v>
      </c>
      <c r="F125" s="1146">
        <v>0</v>
      </c>
      <c r="G125" s="1146">
        <v>71.399999999999977</v>
      </c>
      <c r="H125" s="1146">
        <v>102</v>
      </c>
      <c r="I125" s="1146">
        <v>173.39999999999998</v>
      </c>
      <c r="J125" s="1147">
        <v>510</v>
      </c>
      <c r="K125" s="1147">
        <v>5</v>
      </c>
      <c r="L125" s="1066" t="s">
        <v>1128</v>
      </c>
      <c r="M125" s="959">
        <v>3000000</v>
      </c>
      <c r="N125" s="959">
        <v>16946495.760480002</v>
      </c>
      <c r="O125" s="1149">
        <v>17178290.749955527</v>
      </c>
      <c r="P125" s="9"/>
      <c r="Q125" s="2005"/>
      <c r="R125" s="2257"/>
      <c r="S125" s="950"/>
      <c r="T125" s="950"/>
      <c r="U125" s="2005"/>
      <c r="V125" s="2005"/>
      <c r="W125" s="2005"/>
      <c r="X125" s="2005"/>
      <c r="Y125" s="2005"/>
      <c r="Z125" s="9"/>
      <c r="AA125" s="9"/>
      <c r="AB125" s="9"/>
      <c r="AC125" s="237">
        <f>MAX(J125/J158)</f>
        <v>8.8172966661152971E-3</v>
      </c>
      <c r="AD125" s="235">
        <f t="shared" si="20"/>
        <v>26451.88999834589</v>
      </c>
      <c r="AE125" s="238">
        <f>MAX(I125/I158)</f>
        <v>1.2018708429668408E-2</v>
      </c>
      <c r="AF125" s="235">
        <f t="shared" si="21"/>
        <v>203674.99144982093</v>
      </c>
      <c r="AG125" s="238">
        <f>MAX(H125/H158)</f>
        <v>1.5120071153276016E-2</v>
      </c>
      <c r="AH125" s="235">
        <f t="shared" si="22"/>
        <v>259736.9784309908</v>
      </c>
    </row>
    <row r="126" spans="1:34" ht="15" customHeight="1" x14ac:dyDescent="0.2">
      <c r="A126" s="962" t="s">
        <v>938</v>
      </c>
      <c r="B126" s="957">
        <v>211</v>
      </c>
      <c r="C126" s="1146">
        <v>0</v>
      </c>
      <c r="D126" s="1146">
        <v>3</v>
      </c>
      <c r="E126" s="1146">
        <v>0</v>
      </c>
      <c r="F126" s="1146">
        <v>0</v>
      </c>
      <c r="G126" s="1146">
        <v>56</v>
      </c>
      <c r="H126" s="1146">
        <v>152</v>
      </c>
      <c r="I126" s="1146">
        <v>211</v>
      </c>
      <c r="J126" s="1147">
        <v>1368</v>
      </c>
      <c r="K126" s="1147">
        <v>9</v>
      </c>
      <c r="L126" s="1066" t="s">
        <v>1128</v>
      </c>
      <c r="M126" s="959">
        <v>3000000</v>
      </c>
      <c r="N126" s="959">
        <v>16946495.760480002</v>
      </c>
      <c r="O126" s="1149">
        <v>17178290.749955527</v>
      </c>
      <c r="P126" s="9"/>
      <c r="Q126" s="2005"/>
      <c r="R126" s="2257"/>
      <c r="S126" s="950"/>
      <c r="T126" s="950"/>
      <c r="U126" s="2005"/>
      <c r="V126" s="2005"/>
      <c r="W126" s="2005"/>
      <c r="X126" s="2005"/>
      <c r="Y126" s="2005"/>
      <c r="Z126" s="9"/>
      <c r="AA126" s="9"/>
      <c r="AB126" s="9"/>
      <c r="AC126" s="237">
        <f>MAX(J126/J158)</f>
        <v>2.3651101645579858E-2</v>
      </c>
      <c r="AD126" s="235">
        <f t="shared" si="20"/>
        <v>70953.304936739572</v>
      </c>
      <c r="AE126" s="238">
        <f>MAX(I126/I158)</f>
        <v>1.4624841284083243E-2</v>
      </c>
      <c r="AF126" s="235">
        <f t="shared" si="21"/>
        <v>247839.81081840958</v>
      </c>
      <c r="AG126" s="238">
        <f>MAX(H126/H158)</f>
        <v>2.2531870738215238E-2</v>
      </c>
      <c r="AH126" s="235">
        <f t="shared" si="22"/>
        <v>387059.02668147645</v>
      </c>
    </row>
    <row r="127" spans="1:34" ht="15" customHeight="1" x14ac:dyDescent="0.2">
      <c r="A127" s="962" t="s">
        <v>362</v>
      </c>
      <c r="B127" s="957">
        <v>78</v>
      </c>
      <c r="C127" s="1146">
        <v>3</v>
      </c>
      <c r="D127" s="1146">
        <v>2</v>
      </c>
      <c r="E127" s="1146">
        <v>0</v>
      </c>
      <c r="F127" s="1146">
        <v>0</v>
      </c>
      <c r="G127" s="1146">
        <v>32</v>
      </c>
      <c r="H127" s="1146">
        <v>44</v>
      </c>
      <c r="I127" s="1146">
        <v>81</v>
      </c>
      <c r="J127" s="1147">
        <v>220</v>
      </c>
      <c r="K127" s="1147">
        <v>5</v>
      </c>
      <c r="L127" s="1066" t="s">
        <v>1128</v>
      </c>
      <c r="M127" s="959">
        <v>3000000</v>
      </c>
      <c r="N127" s="959">
        <v>16946495.760480002</v>
      </c>
      <c r="O127" s="1149">
        <v>17178290.749955527</v>
      </c>
      <c r="P127" s="9"/>
      <c r="Q127" s="2005"/>
      <c r="R127" s="2257"/>
      <c r="S127" s="950"/>
      <c r="T127" s="950"/>
      <c r="U127" s="9"/>
      <c r="Z127" s="9"/>
      <c r="AA127" s="9"/>
      <c r="AB127" s="9"/>
      <c r="AC127" s="237">
        <f>MAX(J127/J158)</f>
        <v>3.8035397383242462E-3</v>
      </c>
      <c r="AD127" s="235">
        <f t="shared" si="20"/>
        <v>11410.619214972739</v>
      </c>
      <c r="AE127" s="238">
        <f>MAX(I127/I158)</f>
        <v>5.6142755640319559E-3</v>
      </c>
      <c r="AF127" s="235">
        <f t="shared" si="21"/>
        <v>95142.297044034014</v>
      </c>
      <c r="AG127" s="238">
        <f>MAX(H127/H158)</f>
        <v>6.5223836347465163E-3</v>
      </c>
      <c r="AH127" s="235">
        <f t="shared" si="22"/>
        <v>112043.40246042739</v>
      </c>
    </row>
    <row r="128" spans="1:34" ht="15" customHeight="1" x14ac:dyDescent="0.2">
      <c r="A128" s="962" t="s">
        <v>363</v>
      </c>
      <c r="B128" s="957">
        <v>295</v>
      </c>
      <c r="C128" s="1146">
        <v>50</v>
      </c>
      <c r="D128" s="1146">
        <v>8</v>
      </c>
      <c r="E128" s="1146">
        <v>0</v>
      </c>
      <c r="F128" s="1146">
        <v>0</v>
      </c>
      <c r="G128" s="1146">
        <v>160</v>
      </c>
      <c r="H128" s="1146">
        <v>127</v>
      </c>
      <c r="I128" s="1146">
        <v>345</v>
      </c>
      <c r="J128" s="1147">
        <v>838.19999999999993</v>
      </c>
      <c r="K128" s="1147">
        <v>6.6</v>
      </c>
      <c r="L128" s="1066" t="s">
        <v>1128</v>
      </c>
      <c r="M128" s="959">
        <v>3000000</v>
      </c>
      <c r="N128" s="959">
        <v>16946495.760480002</v>
      </c>
      <c r="O128" s="1149">
        <v>17178290.749955527</v>
      </c>
      <c r="P128" s="9"/>
      <c r="Q128" s="2005"/>
      <c r="R128" s="2257"/>
      <c r="S128" s="950"/>
      <c r="T128" s="950"/>
      <c r="U128" s="2005"/>
      <c r="V128" s="2005"/>
      <c r="W128" s="2005"/>
      <c r="X128" s="2005"/>
      <c r="Y128" s="2005"/>
      <c r="Z128" s="9"/>
      <c r="AA128" s="9"/>
      <c r="AB128" s="9"/>
      <c r="AC128" s="237">
        <f>MAX(J128/J158)</f>
        <v>1.4491486403015376E-2</v>
      </c>
      <c r="AD128" s="235">
        <f t="shared" si="20"/>
        <v>43474.45920904613</v>
      </c>
      <c r="AE128" s="238">
        <f>MAX(I128/I158)</f>
        <v>2.3912655180136109E-2</v>
      </c>
      <c r="AF128" s="235">
        <f t="shared" si="21"/>
        <v>405235.70963199669</v>
      </c>
      <c r="AG128" s="238">
        <f>MAX(H128/H158)</f>
        <v>1.8825970945745629E-2</v>
      </c>
      <c r="AH128" s="235">
        <f t="shared" si="22"/>
        <v>323398.00255623367</v>
      </c>
    </row>
    <row r="129" spans="1:34" ht="15" customHeight="1" x14ac:dyDescent="0.2">
      <c r="A129" s="962" t="s">
        <v>939</v>
      </c>
      <c r="B129" s="957">
        <v>176</v>
      </c>
      <c r="C129" s="1146">
        <v>10</v>
      </c>
      <c r="D129" s="1146">
        <v>0</v>
      </c>
      <c r="E129" s="1146">
        <v>1</v>
      </c>
      <c r="F129" s="1146">
        <v>1</v>
      </c>
      <c r="G129" s="1146">
        <v>60.75</v>
      </c>
      <c r="H129" s="1146">
        <v>113.25</v>
      </c>
      <c r="I129" s="1146">
        <v>184</v>
      </c>
      <c r="J129" s="1147">
        <v>906</v>
      </c>
      <c r="K129" s="1147">
        <v>8</v>
      </c>
      <c r="L129" s="1066" t="s">
        <v>1128</v>
      </c>
      <c r="M129" s="959">
        <v>3000000</v>
      </c>
      <c r="N129" s="959">
        <v>16946495.760480002</v>
      </c>
      <c r="O129" s="1149">
        <v>17178290.749955527</v>
      </c>
      <c r="P129" s="9"/>
      <c r="Q129" s="2005"/>
      <c r="R129" s="2257"/>
      <c r="S129" s="950"/>
      <c r="T129" s="950"/>
      <c r="U129" s="2005"/>
      <c r="V129" s="2005"/>
      <c r="W129" s="2005"/>
      <c r="X129" s="2005"/>
      <c r="Y129" s="2005"/>
      <c r="Z129" s="9"/>
      <c r="AA129" s="9"/>
      <c r="AB129" s="9"/>
      <c r="AC129" s="237">
        <f>MAX(J129/J158)</f>
        <v>1.5663668195098939E-2</v>
      </c>
      <c r="AD129" s="235">
        <f t="shared" si="20"/>
        <v>46991.004585296818</v>
      </c>
      <c r="AE129" s="238">
        <f>MAX(I129/I158)</f>
        <v>1.2753416096072591E-2</v>
      </c>
      <c r="AF129" s="235">
        <f t="shared" si="21"/>
        <v>216125.71180373157</v>
      </c>
      <c r="AG129" s="238">
        <f>MAX(H129/H158)</f>
        <v>1.6787726059887341E-2</v>
      </c>
      <c r="AH129" s="235">
        <f t="shared" si="22"/>
        <v>288384.43928735005</v>
      </c>
    </row>
    <row r="130" spans="1:34" ht="15" customHeight="1" x14ac:dyDescent="0.2">
      <c r="A130" s="962" t="s">
        <v>365</v>
      </c>
      <c r="B130" s="957">
        <v>39.5</v>
      </c>
      <c r="C130" s="1146">
        <v>7</v>
      </c>
      <c r="D130" s="1146">
        <v>10</v>
      </c>
      <c r="E130" s="1146">
        <v>0</v>
      </c>
      <c r="F130" s="1146">
        <v>0</v>
      </c>
      <c r="G130" s="1146">
        <v>4.5</v>
      </c>
      <c r="H130" s="1146">
        <v>25</v>
      </c>
      <c r="I130" s="1146">
        <v>46.5</v>
      </c>
      <c r="J130" s="1147">
        <v>187.5</v>
      </c>
      <c r="K130" s="1147">
        <v>7.5</v>
      </c>
      <c r="L130" s="1066" t="s">
        <v>1128</v>
      </c>
      <c r="M130" s="959">
        <v>3000000</v>
      </c>
      <c r="N130" s="959">
        <v>16946495.760480002</v>
      </c>
      <c r="O130" s="1149">
        <v>17178290.749955527</v>
      </c>
      <c r="P130" s="9"/>
      <c r="Q130" s="2005"/>
      <c r="R130" s="2257"/>
      <c r="S130" s="950"/>
      <c r="T130" s="950"/>
      <c r="U130" s="2005"/>
      <c r="V130" s="2005"/>
      <c r="W130" s="2005"/>
      <c r="X130" s="2005"/>
      <c r="Y130" s="2005"/>
      <c r="Z130" s="9"/>
      <c r="AA130" s="9"/>
      <c r="AB130" s="9"/>
      <c r="AC130" s="237">
        <f>MAX(J130/J158)</f>
        <v>3.2416531860718005E-3</v>
      </c>
      <c r="AD130" s="235">
        <f t="shared" si="20"/>
        <v>9724.9595582154016</v>
      </c>
      <c r="AE130" s="238">
        <f>MAX(I130/I158)</f>
        <v>3.2230100460183451E-3</v>
      </c>
      <c r="AF130" s="235">
        <f t="shared" si="21"/>
        <v>54618.726080834342</v>
      </c>
      <c r="AG130" s="238">
        <f>MAX(H130/H158)</f>
        <v>3.7058997924696115E-3</v>
      </c>
      <c r="AH130" s="235">
        <f t="shared" si="22"/>
        <v>63661.024125242839</v>
      </c>
    </row>
    <row r="131" spans="1:34" ht="15" customHeight="1" x14ac:dyDescent="0.2">
      <c r="A131" s="962" t="s">
        <v>366</v>
      </c>
      <c r="B131" s="956">
        <v>45</v>
      </c>
      <c r="C131" s="1146">
        <v>5</v>
      </c>
      <c r="D131" s="1146">
        <v>3</v>
      </c>
      <c r="E131" s="1146">
        <v>5</v>
      </c>
      <c r="F131" s="1146">
        <v>8</v>
      </c>
      <c r="G131" s="1146">
        <v>2</v>
      </c>
      <c r="H131" s="1146">
        <v>27</v>
      </c>
      <c r="I131" s="1146">
        <v>37</v>
      </c>
      <c r="J131" s="1147">
        <v>216</v>
      </c>
      <c r="K131" s="1147">
        <v>8</v>
      </c>
      <c r="L131" s="1066" t="s">
        <v>1128</v>
      </c>
      <c r="M131" s="959">
        <v>3000000</v>
      </c>
      <c r="N131" s="959">
        <v>16946495.760480002</v>
      </c>
      <c r="O131" s="1149">
        <v>17178290.749955527</v>
      </c>
      <c r="P131" s="9"/>
      <c r="Q131" s="2005"/>
      <c r="R131" s="2257"/>
      <c r="S131" s="950"/>
      <c r="T131" s="950"/>
      <c r="U131" s="2005"/>
      <c r="V131" s="2005"/>
      <c r="W131" s="2005"/>
      <c r="X131" s="2005"/>
      <c r="Y131" s="2005"/>
      <c r="Z131" s="9"/>
      <c r="AA131" s="9"/>
      <c r="AB131" s="9"/>
      <c r="AC131" s="237">
        <f>MAX(J131/J158)</f>
        <v>3.7343844703547143E-3</v>
      </c>
      <c r="AD131" s="235">
        <f t="shared" si="20"/>
        <v>11203.153411064142</v>
      </c>
      <c r="AE131" s="238">
        <f>MAX(I131/I158)</f>
        <v>2.564545628014597E-3</v>
      </c>
      <c r="AF131" s="235">
        <f t="shared" si="21"/>
        <v>43460.061612706893</v>
      </c>
      <c r="AG131" s="238">
        <f>MAX(H131/H158)</f>
        <v>4.0023717758671806E-3</v>
      </c>
      <c r="AH131" s="235">
        <f t="shared" si="22"/>
        <v>68753.906055262269</v>
      </c>
    </row>
    <row r="132" spans="1:34" ht="15" customHeight="1" x14ac:dyDescent="0.2">
      <c r="A132" s="962" t="s">
        <v>367</v>
      </c>
      <c r="B132" s="956">
        <v>2.5</v>
      </c>
      <c r="C132" s="1146"/>
      <c r="D132" s="1146"/>
      <c r="E132" s="1146"/>
      <c r="F132" s="1146"/>
      <c r="G132" s="1146">
        <v>1.5</v>
      </c>
      <c r="H132" s="1146">
        <v>1</v>
      </c>
      <c r="I132" s="1146">
        <v>2.5</v>
      </c>
      <c r="J132" s="1147">
        <v>4</v>
      </c>
      <c r="K132" s="1147">
        <v>4</v>
      </c>
      <c r="L132" s="1066" t="s">
        <v>1128</v>
      </c>
      <c r="M132" s="959">
        <v>3000000</v>
      </c>
      <c r="N132" s="959">
        <v>16946495.760480002</v>
      </c>
      <c r="O132" s="1149">
        <v>17178290.749955527</v>
      </c>
      <c r="P132" s="9"/>
      <c r="Q132" s="2005"/>
      <c r="R132" s="2257"/>
      <c r="S132" s="950"/>
      <c r="T132" s="950"/>
      <c r="U132" s="2005"/>
      <c r="V132" s="2005"/>
      <c r="W132" s="2005"/>
      <c r="X132" s="2005"/>
      <c r="Y132" s="2005"/>
      <c r="Z132" s="9"/>
      <c r="AA132" s="9"/>
      <c r="AB132" s="9"/>
      <c r="AC132" s="237">
        <f>MAX(J132/J158)</f>
        <v>6.9155267969531748E-5</v>
      </c>
      <c r="AD132" s="235">
        <f t="shared" si="20"/>
        <v>207.46580390859523</v>
      </c>
      <c r="AE132" s="238">
        <f>MAX(I132/I158)</f>
        <v>1.7328011000098629E-4</v>
      </c>
      <c r="AF132" s="235">
        <f t="shared" si="21"/>
        <v>2936.4906495072223</v>
      </c>
      <c r="AG132" s="238">
        <f>MAX(H132/H158)</f>
        <v>1.4823599169878446E-4</v>
      </c>
      <c r="AH132" s="235">
        <f t="shared" si="22"/>
        <v>2546.4409650097136</v>
      </c>
    </row>
    <row r="133" spans="1:34" ht="15" customHeight="1" x14ac:dyDescent="0.2">
      <c r="A133" s="434" t="s">
        <v>940</v>
      </c>
      <c r="B133" s="1002">
        <v>962.75</v>
      </c>
      <c r="C133" s="1002">
        <v>39</v>
      </c>
      <c r="D133" s="1002">
        <v>11</v>
      </c>
      <c r="E133" s="1002">
        <v>3.5</v>
      </c>
      <c r="F133" s="1002">
        <v>10</v>
      </c>
      <c r="G133" s="1002">
        <v>416.25</v>
      </c>
      <c r="H133" s="1002">
        <v>522</v>
      </c>
      <c r="I133" s="1002">
        <v>988.25</v>
      </c>
      <c r="J133" s="1150">
        <v>3016</v>
      </c>
      <c r="K133" s="1150">
        <v>5.7777777777777777</v>
      </c>
      <c r="L133" s="1152"/>
      <c r="M133" s="996"/>
      <c r="N133" s="435"/>
      <c r="O133" s="436"/>
      <c r="P133" s="9"/>
      <c r="S133" s="950"/>
      <c r="T133" s="950"/>
      <c r="U133" s="2005"/>
      <c r="V133" s="2005"/>
      <c r="W133" s="2005"/>
      <c r="X133" s="2005"/>
      <c r="Y133" s="2005"/>
      <c r="Z133" s="9"/>
      <c r="AA133" s="9"/>
      <c r="AB133" s="9"/>
      <c r="AC133" s="1157"/>
      <c r="AD133" s="1156"/>
      <c r="AE133" s="1158"/>
      <c r="AF133" s="1156"/>
      <c r="AG133" s="1158"/>
      <c r="AH133" s="1156"/>
    </row>
    <row r="134" spans="1:34" ht="15" customHeight="1" x14ac:dyDescent="0.2">
      <c r="A134" s="962" t="s">
        <v>369</v>
      </c>
      <c r="B134" s="957">
        <v>497.5</v>
      </c>
      <c r="C134" s="1146">
        <v>15</v>
      </c>
      <c r="D134" s="1146">
        <v>0</v>
      </c>
      <c r="E134" s="1146">
        <v>3</v>
      </c>
      <c r="F134" s="1146">
        <v>10</v>
      </c>
      <c r="G134" s="1146">
        <v>227.5</v>
      </c>
      <c r="H134" s="1146">
        <v>257</v>
      </c>
      <c r="I134" s="1146">
        <v>499.5</v>
      </c>
      <c r="J134" s="1147">
        <v>1799</v>
      </c>
      <c r="K134" s="1147">
        <v>7</v>
      </c>
      <c r="L134" s="1066" t="s">
        <v>1128</v>
      </c>
      <c r="M134" s="959">
        <v>3000000</v>
      </c>
      <c r="N134" s="959">
        <v>16946495.760480002</v>
      </c>
      <c r="O134" s="1149">
        <v>17178290.749955527</v>
      </c>
      <c r="P134" s="9"/>
      <c r="Q134" s="2005"/>
      <c r="R134" s="2257"/>
      <c r="S134" s="950"/>
      <c r="T134" s="950"/>
      <c r="V134" s="2005"/>
      <c r="W134" s="2005"/>
      <c r="X134" s="2005"/>
      <c r="Y134" s="2005"/>
      <c r="Z134" s="9"/>
      <c r="AA134" s="9"/>
      <c r="AB134" s="9"/>
      <c r="AC134" s="237">
        <f>MAX(J134/J158)</f>
        <v>3.1102581769296905E-2</v>
      </c>
      <c r="AD134" s="235">
        <f>MAX(M134*AC134)</f>
        <v>93307.745307890713</v>
      </c>
      <c r="AE134" s="238">
        <f>MAX(I134/I158)</f>
        <v>3.4621365978197059E-2</v>
      </c>
      <c r="AF134" s="235">
        <f>MAX(N134*AE134)</f>
        <v>586710.83177154302</v>
      </c>
      <c r="AG134" s="238">
        <f>MAX(H134/H158)</f>
        <v>3.809664986658761E-2</v>
      </c>
      <c r="AH134" s="235">
        <f>MAX(O134*AG134)</f>
        <v>654435.32800749643</v>
      </c>
    </row>
    <row r="135" spans="1:34" ht="15" customHeight="1" x14ac:dyDescent="0.2">
      <c r="A135" s="962" t="s">
        <v>370</v>
      </c>
      <c r="B135" s="957">
        <v>238.5</v>
      </c>
      <c r="C135" s="1146">
        <v>0</v>
      </c>
      <c r="D135" s="1146">
        <v>0</v>
      </c>
      <c r="E135" s="1146">
        <v>0</v>
      </c>
      <c r="F135" s="1146">
        <v>0</v>
      </c>
      <c r="G135" s="1146">
        <v>88.5</v>
      </c>
      <c r="H135" s="1146">
        <v>150</v>
      </c>
      <c r="I135" s="1146">
        <v>238.5</v>
      </c>
      <c r="J135" s="1147">
        <v>600</v>
      </c>
      <c r="K135" s="1147">
        <v>4</v>
      </c>
      <c r="L135" s="1066" t="s">
        <v>1128</v>
      </c>
      <c r="M135" s="959">
        <v>3000000</v>
      </c>
      <c r="N135" s="959">
        <v>16946495.760480002</v>
      </c>
      <c r="O135" s="1149">
        <v>17178290.749955527</v>
      </c>
      <c r="P135" s="9"/>
      <c r="Q135" s="2005"/>
      <c r="R135" s="2257"/>
      <c r="S135" s="950"/>
      <c r="T135" s="950"/>
      <c r="U135" s="950"/>
      <c r="V135" s="2005"/>
      <c r="W135" s="2005"/>
      <c r="X135" s="2005"/>
      <c r="Y135" s="2005"/>
      <c r="Z135" s="9"/>
      <c r="AA135" s="9"/>
      <c r="AB135" s="9"/>
      <c r="AC135" s="237">
        <f>MAX(J135/J158)</f>
        <v>1.0373290195429761E-2</v>
      </c>
      <c r="AD135" s="235">
        <f>MAX(M135*AC135)</f>
        <v>31119.870586289282</v>
      </c>
      <c r="AE135" s="238">
        <f>MAX(I135/I158)</f>
        <v>1.6530922494094092E-2</v>
      </c>
      <c r="AF135" s="235">
        <f>MAX(N135*AE135)</f>
        <v>280141.20796298905</v>
      </c>
      <c r="AG135" s="238">
        <f>MAX(H135/H158)</f>
        <v>2.223539875481767E-2</v>
      </c>
      <c r="AH135" s="235">
        <f>MAX(O135*AG135)</f>
        <v>381966.14475145703</v>
      </c>
    </row>
    <row r="136" spans="1:34" ht="15" customHeight="1" x14ac:dyDescent="0.2">
      <c r="A136" s="962" t="s">
        <v>371</v>
      </c>
      <c r="B136" s="957">
        <v>30</v>
      </c>
      <c r="C136" s="1146">
        <v>5</v>
      </c>
      <c r="D136" s="1146">
        <v>0</v>
      </c>
      <c r="E136" s="1146">
        <v>0</v>
      </c>
      <c r="F136" s="1146">
        <v>0</v>
      </c>
      <c r="G136" s="1146">
        <v>16</v>
      </c>
      <c r="H136" s="1146">
        <v>14</v>
      </c>
      <c r="I136" s="1146">
        <v>35</v>
      </c>
      <c r="J136" s="1147">
        <v>112</v>
      </c>
      <c r="K136" s="1147">
        <v>8</v>
      </c>
      <c r="L136" s="1066" t="s">
        <v>1128</v>
      </c>
      <c r="M136" s="959">
        <v>3000000</v>
      </c>
      <c r="N136" s="959">
        <v>16946495.760480002</v>
      </c>
      <c r="O136" s="1149">
        <v>17178290.749955527</v>
      </c>
      <c r="P136" s="9"/>
      <c r="Q136" s="2005"/>
      <c r="R136" s="2257"/>
      <c r="S136" s="950"/>
      <c r="T136" s="950"/>
      <c r="U136" s="2005"/>
      <c r="V136" s="2005"/>
      <c r="W136" s="2005"/>
      <c r="X136" s="2005"/>
      <c r="Y136" s="2005"/>
      <c r="Z136" s="9"/>
      <c r="AA136" s="9"/>
      <c r="AB136" s="9"/>
      <c r="AC136" s="237">
        <f>MAX(J136/J158)</f>
        <v>1.9363475031468889E-3</v>
      </c>
      <c r="AD136" s="235">
        <f>MAX(M136*AC136)</f>
        <v>5809.0425094406664</v>
      </c>
      <c r="AE136" s="238">
        <f>MAX(I136/I158)</f>
        <v>2.4259215400138081E-3</v>
      </c>
      <c r="AF136" s="235">
        <f>MAX(N136*AE136)</f>
        <v>41110.869093101115</v>
      </c>
      <c r="AG136" s="238">
        <f>MAX(H136/H158)</f>
        <v>2.0753038837829827E-3</v>
      </c>
      <c r="AH136" s="235">
        <f>MAX(O136*AG136)</f>
        <v>35650.173510135995</v>
      </c>
    </row>
    <row r="137" spans="1:34" ht="15" customHeight="1" x14ac:dyDescent="0.2">
      <c r="A137" s="962" t="s">
        <v>372</v>
      </c>
      <c r="B137" s="957">
        <v>120.25</v>
      </c>
      <c r="C137" s="1146">
        <v>1</v>
      </c>
      <c r="D137" s="1146">
        <v>0</v>
      </c>
      <c r="E137" s="1146">
        <v>0.5</v>
      </c>
      <c r="F137" s="1146">
        <v>0</v>
      </c>
      <c r="G137" s="1146">
        <v>49.75</v>
      </c>
      <c r="H137" s="1146">
        <v>70</v>
      </c>
      <c r="I137" s="1146">
        <v>120.75</v>
      </c>
      <c r="J137" s="1147">
        <v>350</v>
      </c>
      <c r="K137" s="1147">
        <v>5</v>
      </c>
      <c r="L137" s="1066" t="s">
        <v>1128</v>
      </c>
      <c r="M137" s="959">
        <v>3000000</v>
      </c>
      <c r="N137" s="959">
        <v>16946495.760480002</v>
      </c>
      <c r="O137" s="1149">
        <v>17178290.749955527</v>
      </c>
      <c r="P137" s="9"/>
      <c r="Q137" s="2005"/>
      <c r="R137" s="2257"/>
      <c r="S137" s="950"/>
      <c r="T137" s="950"/>
      <c r="U137" s="2005"/>
      <c r="V137" s="2005"/>
      <c r="W137" s="2005"/>
      <c r="X137" s="2005"/>
      <c r="Y137" s="2005"/>
      <c r="Z137" s="9"/>
      <c r="AA137" s="9"/>
      <c r="AB137" s="9"/>
      <c r="AC137" s="237">
        <f>MAX(J137/J158)</f>
        <v>6.0510859473340275E-3</v>
      </c>
      <c r="AD137" s="235">
        <f>MAX(M137*AC137)</f>
        <v>18153.257842002084</v>
      </c>
      <c r="AE137" s="238">
        <f>MAX(I137/I158)</f>
        <v>8.3694293130476376E-3</v>
      </c>
      <c r="AF137" s="235">
        <f>MAX(N137*AE137)</f>
        <v>141832.49837119883</v>
      </c>
      <c r="AG137" s="238">
        <f>MAX(H137/H158)</f>
        <v>1.0376519418914912E-2</v>
      </c>
      <c r="AH137" s="235">
        <f>MAX(O137*AG137)</f>
        <v>178250.86755067995</v>
      </c>
    </row>
    <row r="138" spans="1:34" ht="15" customHeight="1" x14ac:dyDescent="0.2">
      <c r="A138" s="962" t="s">
        <v>373</v>
      </c>
      <c r="B138" s="957">
        <v>76.5</v>
      </c>
      <c r="C138" s="1146">
        <v>18</v>
      </c>
      <c r="D138" s="1146">
        <v>11</v>
      </c>
      <c r="E138" s="1146">
        <v>0</v>
      </c>
      <c r="F138" s="1146">
        <v>0</v>
      </c>
      <c r="G138" s="1146">
        <v>34.5</v>
      </c>
      <c r="H138" s="1146">
        <v>31</v>
      </c>
      <c r="I138" s="1146">
        <v>94.5</v>
      </c>
      <c r="J138" s="1147">
        <v>155</v>
      </c>
      <c r="K138" s="1147">
        <v>5</v>
      </c>
      <c r="L138" s="1066" t="s">
        <v>1128</v>
      </c>
      <c r="M138" s="959">
        <v>3000000</v>
      </c>
      <c r="N138" s="959">
        <v>16946495.760480002</v>
      </c>
      <c r="O138" s="1149">
        <v>17178290.749955527</v>
      </c>
      <c r="P138" s="9"/>
      <c r="Q138" s="2005"/>
      <c r="R138" s="2257"/>
      <c r="S138" s="950"/>
      <c r="T138" s="950"/>
      <c r="U138" s="2005"/>
      <c r="V138" s="2005"/>
      <c r="W138" s="2005"/>
      <c r="X138" s="2005"/>
      <c r="Y138" s="2005"/>
      <c r="Z138" s="9"/>
      <c r="AA138" s="9"/>
      <c r="AB138" s="9"/>
      <c r="AC138" s="237">
        <f>MAX(J138/J158)</f>
        <v>2.6797666338193552E-3</v>
      </c>
      <c r="AD138" s="235">
        <f>MAX(M138*AC138)</f>
        <v>8039.2999014580655</v>
      </c>
      <c r="AE138" s="238">
        <f>MAX(I138/I158)</f>
        <v>6.5499881580372817E-3</v>
      </c>
      <c r="AF138" s="235">
        <f>MAX(N138*AE138)</f>
        <v>110999.346551373</v>
      </c>
      <c r="AG138" s="238">
        <f>MAX(H138/H158)</f>
        <v>4.5953157426623188E-3</v>
      </c>
      <c r="AH138" s="235">
        <f>MAX(O138*AG138)</f>
        <v>78939.669915301129</v>
      </c>
    </row>
    <row r="139" spans="1:34" ht="15" customHeight="1" x14ac:dyDescent="0.2">
      <c r="A139" s="1154" t="s">
        <v>374</v>
      </c>
      <c r="B139" s="1002">
        <v>810.65699999999993</v>
      </c>
      <c r="C139" s="1002">
        <v>17</v>
      </c>
      <c r="D139" s="1002">
        <v>6</v>
      </c>
      <c r="E139" s="1002">
        <v>0</v>
      </c>
      <c r="F139" s="1002">
        <v>4</v>
      </c>
      <c r="G139" s="1002">
        <v>361.65699999999998</v>
      </c>
      <c r="H139" s="1002">
        <v>439</v>
      </c>
      <c r="I139" s="1002">
        <v>823.65699999999993</v>
      </c>
      <c r="J139" s="1150">
        <v>3013.52</v>
      </c>
      <c r="K139" s="1150">
        <v>6.8645102505694764</v>
      </c>
      <c r="L139" s="1152"/>
      <c r="M139" s="996"/>
      <c r="N139" s="435"/>
      <c r="O139" s="436"/>
      <c r="P139" s="9"/>
      <c r="S139" s="950"/>
      <c r="T139" s="950"/>
      <c r="U139" s="2005"/>
      <c r="V139" s="2005"/>
      <c r="W139" s="2005"/>
      <c r="X139" s="2005"/>
      <c r="Y139" s="2005"/>
      <c r="Z139" s="9"/>
      <c r="AA139" s="9"/>
      <c r="AB139" s="9"/>
      <c r="AC139" s="1157"/>
      <c r="AD139" s="1156"/>
      <c r="AE139" s="1158"/>
      <c r="AF139" s="1156"/>
      <c r="AG139" s="1158"/>
      <c r="AH139" s="1156"/>
    </row>
    <row r="140" spans="1:34" ht="15" customHeight="1" x14ac:dyDescent="0.2">
      <c r="A140" s="962" t="s">
        <v>375</v>
      </c>
      <c r="B140" s="957">
        <v>114</v>
      </c>
      <c r="C140" s="1146">
        <v>5</v>
      </c>
      <c r="D140" s="1146">
        <v>0</v>
      </c>
      <c r="E140" s="1146">
        <v>0</v>
      </c>
      <c r="F140" s="1146">
        <v>2</v>
      </c>
      <c r="G140" s="1146">
        <v>54</v>
      </c>
      <c r="H140" s="1146">
        <v>58</v>
      </c>
      <c r="I140" s="1146">
        <v>117</v>
      </c>
      <c r="J140" s="1147">
        <v>580</v>
      </c>
      <c r="K140" s="1147">
        <v>10</v>
      </c>
      <c r="L140" s="1066" t="s">
        <v>1128</v>
      </c>
      <c r="M140" s="959">
        <v>3000000</v>
      </c>
      <c r="N140" s="959">
        <v>16946495.760480002</v>
      </c>
      <c r="O140" s="1149">
        <v>17178290.749955527</v>
      </c>
      <c r="P140" s="950"/>
      <c r="Q140" s="2005"/>
      <c r="R140" s="2257"/>
      <c r="S140" s="950"/>
      <c r="T140" s="950"/>
      <c r="U140" s="2005"/>
      <c r="V140" s="2005"/>
      <c r="W140" s="2005"/>
      <c r="X140" s="2005"/>
      <c r="Y140" s="2005"/>
      <c r="Z140" s="9"/>
      <c r="AA140" s="9"/>
      <c r="AB140" s="9"/>
      <c r="AC140" s="237">
        <f>MAX(J140/J158)</f>
        <v>1.0027513855582103E-2</v>
      </c>
      <c r="AD140" s="235">
        <f t="shared" ref="AD140:AD147" si="23">MAX(M140*AC140)</f>
        <v>30082.541566746309</v>
      </c>
      <c r="AE140" s="238">
        <f>MAX(I140/I158)</f>
        <v>8.1095091480461578E-3</v>
      </c>
      <c r="AF140" s="235">
        <f t="shared" ref="AF140:AF147" si="24">MAX(N140*AE140)</f>
        <v>137427.76239693799</v>
      </c>
      <c r="AG140" s="238">
        <f>MAX(H140/H158)</f>
        <v>8.5976875185294985E-3</v>
      </c>
      <c r="AH140" s="235">
        <f t="shared" ref="AH140:AH147" si="25">MAX(O140*AG140)</f>
        <v>147693.57597056337</v>
      </c>
    </row>
    <row r="141" spans="1:34" ht="15" customHeight="1" x14ac:dyDescent="0.2">
      <c r="A141" s="962" t="s">
        <v>376</v>
      </c>
      <c r="B141" s="957">
        <v>25.356999999999999</v>
      </c>
      <c r="C141" s="1146">
        <v>0</v>
      </c>
      <c r="D141" s="1146">
        <v>0</v>
      </c>
      <c r="E141" s="1146">
        <v>0</v>
      </c>
      <c r="F141" s="1146">
        <v>0</v>
      </c>
      <c r="G141" s="1146">
        <v>10.356999999999999</v>
      </c>
      <c r="H141" s="1146">
        <v>15</v>
      </c>
      <c r="I141" s="1146">
        <v>25.356999999999999</v>
      </c>
      <c r="J141" s="1147">
        <v>135</v>
      </c>
      <c r="K141" s="1147">
        <v>9</v>
      </c>
      <c r="L141" s="1066" t="s">
        <v>1128</v>
      </c>
      <c r="M141" s="959">
        <v>3000000</v>
      </c>
      <c r="N141" s="959">
        <v>16946495.760480002</v>
      </c>
      <c r="O141" s="1149">
        <v>17178290.749955527</v>
      </c>
      <c r="P141" s="9"/>
      <c r="Q141" s="950"/>
      <c r="R141" s="2257"/>
      <c r="S141" s="950"/>
      <c r="T141" s="950"/>
      <c r="U141" s="2005"/>
      <c r="V141" s="2005"/>
      <c r="W141" s="2005"/>
      <c r="X141" s="2005"/>
      <c r="Y141" s="2005"/>
      <c r="Z141" s="9"/>
      <c r="AA141" s="9"/>
      <c r="AB141" s="9"/>
      <c r="AC141" s="237">
        <f>MAX(J141/J158)</f>
        <v>2.3339902939716966E-3</v>
      </c>
      <c r="AD141" s="235">
        <f t="shared" si="23"/>
        <v>7001.9708819150901</v>
      </c>
      <c r="AE141" s="238">
        <f>MAX(I141/I158)</f>
        <v>1.7575454997180036E-3</v>
      </c>
      <c r="AF141" s="235">
        <f t="shared" si="24"/>
        <v>29784.237359821855</v>
      </c>
      <c r="AG141" s="238">
        <f>MAX(H141/H158)</f>
        <v>2.223539875481767E-3</v>
      </c>
      <c r="AH141" s="235">
        <f t="shared" si="25"/>
        <v>38196.614475145703</v>
      </c>
    </row>
    <row r="142" spans="1:34" ht="15" customHeight="1" x14ac:dyDescent="0.2">
      <c r="A142" s="962" t="s">
        <v>377</v>
      </c>
      <c r="B142" s="957">
        <v>50.5</v>
      </c>
      <c r="C142" s="1146"/>
      <c r="D142" s="1146"/>
      <c r="E142" s="1146"/>
      <c r="F142" s="1146"/>
      <c r="G142" s="1146">
        <v>27.5</v>
      </c>
      <c r="H142" s="1146">
        <v>23</v>
      </c>
      <c r="I142" s="1146">
        <v>50.5</v>
      </c>
      <c r="J142" s="1147">
        <v>184</v>
      </c>
      <c r="K142" s="1147">
        <v>8</v>
      </c>
      <c r="L142" s="1066" t="s">
        <v>1128</v>
      </c>
      <c r="M142" s="959">
        <v>3000000</v>
      </c>
      <c r="N142" s="959">
        <v>16946495.760480002</v>
      </c>
      <c r="O142" s="1149">
        <v>17178290.749955527</v>
      </c>
      <c r="P142" s="9"/>
      <c r="Q142" s="2005"/>
      <c r="R142" s="2257"/>
      <c r="S142" s="950"/>
      <c r="T142" s="950"/>
      <c r="U142" s="2005"/>
      <c r="Z142" s="9"/>
      <c r="AA142" s="9"/>
      <c r="AB142" s="9"/>
      <c r="AC142" s="237">
        <f>MAX(J142/J158)</f>
        <v>3.1811423265984602E-3</v>
      </c>
      <c r="AD142" s="235">
        <f t="shared" si="23"/>
        <v>9543.4269797953802</v>
      </c>
      <c r="AE142" s="238">
        <f>MAX(I142/I158)</f>
        <v>3.5002582220199233E-3</v>
      </c>
      <c r="AF142" s="235">
        <f t="shared" si="24"/>
        <v>59317.111120045898</v>
      </c>
      <c r="AG142" s="238">
        <f>MAX(H142/H158)</f>
        <v>3.4094278090720429E-3</v>
      </c>
      <c r="AH142" s="235">
        <f t="shared" si="25"/>
        <v>58568.142195223416</v>
      </c>
    </row>
    <row r="143" spans="1:34" ht="15" customHeight="1" x14ac:dyDescent="0.2">
      <c r="A143" s="962" t="s">
        <v>378</v>
      </c>
      <c r="B143" s="957">
        <v>179.5</v>
      </c>
      <c r="C143" s="1146">
        <v>0</v>
      </c>
      <c r="D143" s="1146">
        <v>0</v>
      </c>
      <c r="E143" s="1146">
        <v>0</v>
      </c>
      <c r="F143" s="1146">
        <v>0</v>
      </c>
      <c r="G143" s="1146">
        <v>70.5</v>
      </c>
      <c r="H143" s="1146">
        <v>109</v>
      </c>
      <c r="I143" s="1146">
        <v>179.5</v>
      </c>
      <c r="J143" s="1147">
        <v>575.52</v>
      </c>
      <c r="K143" s="1147">
        <v>5.28</v>
      </c>
      <c r="L143" s="1066" t="s">
        <v>1128</v>
      </c>
      <c r="M143" s="959">
        <v>3000000</v>
      </c>
      <c r="N143" s="959">
        <v>16946495.760480002</v>
      </c>
      <c r="O143" s="1149">
        <v>17178290.749955527</v>
      </c>
      <c r="P143" s="9"/>
      <c r="Q143" s="2005"/>
      <c r="R143" s="2257"/>
      <c r="S143" s="950"/>
      <c r="T143" s="950"/>
      <c r="U143" s="2005"/>
      <c r="V143" s="2005"/>
      <c r="W143" s="2005"/>
      <c r="X143" s="2005"/>
      <c r="Y143" s="2005"/>
      <c r="Z143" s="9"/>
      <c r="AA143" s="9"/>
      <c r="AB143" s="9"/>
      <c r="AC143" s="237">
        <f>MAX(J143/J158)</f>
        <v>9.950059955456227E-3</v>
      </c>
      <c r="AD143" s="235">
        <f t="shared" si="23"/>
        <v>29850.179866368682</v>
      </c>
      <c r="AE143" s="238">
        <f>MAX(I143/I158)</f>
        <v>1.2441511898070816E-2</v>
      </c>
      <c r="AF143" s="235">
        <f t="shared" si="24"/>
        <v>210840.02863461859</v>
      </c>
      <c r="AG143" s="238">
        <f>MAX(H143/H158)</f>
        <v>1.6157723095167508E-2</v>
      </c>
      <c r="AH143" s="235">
        <f t="shared" si="25"/>
        <v>277562.06518605881</v>
      </c>
    </row>
    <row r="144" spans="1:34" ht="15" customHeight="1" x14ac:dyDescent="0.2">
      <c r="A144" s="962" t="s">
        <v>379</v>
      </c>
      <c r="B144" s="957">
        <v>55</v>
      </c>
      <c r="C144" s="1146"/>
      <c r="D144" s="1146"/>
      <c r="E144" s="1146"/>
      <c r="F144" s="1146"/>
      <c r="G144" s="1146">
        <v>30</v>
      </c>
      <c r="H144" s="1146">
        <v>25</v>
      </c>
      <c r="I144" s="1146">
        <v>55</v>
      </c>
      <c r="J144" s="1147">
        <v>250</v>
      </c>
      <c r="K144" s="1147">
        <v>10</v>
      </c>
      <c r="L144" s="1066" t="s">
        <v>1128</v>
      </c>
      <c r="M144" s="959">
        <v>3000000</v>
      </c>
      <c r="N144" s="959">
        <v>16946495.760480002</v>
      </c>
      <c r="O144" s="1149">
        <v>17178290.749955527</v>
      </c>
      <c r="P144" s="9"/>
      <c r="Q144" s="2006"/>
      <c r="R144" s="2257"/>
      <c r="S144" s="950"/>
      <c r="T144" s="950"/>
      <c r="U144" s="2005"/>
      <c r="V144" s="2005"/>
      <c r="W144" s="2005"/>
      <c r="X144" s="2005"/>
      <c r="Y144" s="2005"/>
      <c r="Z144" s="9"/>
      <c r="AA144" s="9"/>
      <c r="AB144" s="9"/>
      <c r="AC144" s="237">
        <f>MAX(J144/J158)</f>
        <v>4.3222042480957346E-3</v>
      </c>
      <c r="AD144" s="235">
        <f t="shared" si="23"/>
        <v>12966.612744287204</v>
      </c>
      <c r="AE144" s="238">
        <f>MAX(I144/I158)</f>
        <v>3.8121624200216984E-3</v>
      </c>
      <c r="AF144" s="235">
        <f t="shared" si="24"/>
        <v>64602.794289158897</v>
      </c>
      <c r="AG144" s="238">
        <f>MAX(H144/H158)</f>
        <v>3.7058997924696115E-3</v>
      </c>
      <c r="AH144" s="235">
        <f t="shared" si="25"/>
        <v>63661.024125242839</v>
      </c>
    </row>
    <row r="145" spans="1:34" ht="15" customHeight="1" x14ac:dyDescent="0.2">
      <c r="A145" s="962" t="s">
        <v>380</v>
      </c>
      <c r="B145" s="957">
        <v>126</v>
      </c>
      <c r="C145" s="1146">
        <v>4</v>
      </c>
      <c r="D145" s="1146">
        <v>2</v>
      </c>
      <c r="E145" s="1146">
        <v>0</v>
      </c>
      <c r="F145" s="1146">
        <v>0</v>
      </c>
      <c r="G145" s="1146">
        <v>54</v>
      </c>
      <c r="H145" s="1146">
        <v>70</v>
      </c>
      <c r="I145" s="1146">
        <v>130</v>
      </c>
      <c r="J145" s="1147">
        <v>455</v>
      </c>
      <c r="K145" s="1147">
        <v>6.5</v>
      </c>
      <c r="L145" s="1066" t="s">
        <v>1128</v>
      </c>
      <c r="M145" s="959">
        <v>3000000</v>
      </c>
      <c r="N145" s="959">
        <v>16946495.760480002</v>
      </c>
      <c r="O145" s="1149">
        <v>17178290.749955527</v>
      </c>
      <c r="P145" s="9"/>
      <c r="Q145" s="2005"/>
      <c r="R145" s="2257"/>
      <c r="S145" s="950"/>
      <c r="T145" s="950"/>
      <c r="U145" s="2005"/>
      <c r="V145" s="2005"/>
      <c r="W145" s="2005"/>
      <c r="X145" s="2005"/>
      <c r="Y145" s="2005"/>
      <c r="Z145" s="9"/>
      <c r="AA145" s="9"/>
      <c r="AB145" s="9"/>
      <c r="AC145" s="237">
        <f>MAX(J145/J158)</f>
        <v>7.8664117315342362E-3</v>
      </c>
      <c r="AD145" s="235">
        <f t="shared" si="23"/>
        <v>23599.235194602708</v>
      </c>
      <c r="AE145" s="238">
        <f>MAX(I145/I158)</f>
        <v>9.0105657200512876E-3</v>
      </c>
      <c r="AF145" s="235">
        <f t="shared" si="24"/>
        <v>152697.51377437558</v>
      </c>
      <c r="AG145" s="238">
        <f>MAX(H145/H158)</f>
        <v>1.0376519418914912E-2</v>
      </c>
      <c r="AH145" s="235">
        <f t="shared" si="25"/>
        <v>178250.86755067995</v>
      </c>
    </row>
    <row r="146" spans="1:34" ht="15" customHeight="1" x14ac:dyDescent="0.2">
      <c r="A146" s="962" t="s">
        <v>381</v>
      </c>
      <c r="B146" s="957">
        <v>83</v>
      </c>
      <c r="C146" s="1146"/>
      <c r="D146" s="1146"/>
      <c r="E146" s="1146"/>
      <c r="F146" s="1146"/>
      <c r="G146" s="1146">
        <v>28</v>
      </c>
      <c r="H146" s="1146">
        <v>55</v>
      </c>
      <c r="I146" s="1146">
        <v>83</v>
      </c>
      <c r="J146" s="1147">
        <v>330</v>
      </c>
      <c r="K146" s="1147">
        <v>6</v>
      </c>
      <c r="L146" s="1066" t="s">
        <v>1128</v>
      </c>
      <c r="M146" s="959">
        <v>3000000</v>
      </c>
      <c r="N146" s="959">
        <v>16946495.760480002</v>
      </c>
      <c r="O146" s="1149">
        <v>17178290.749955527</v>
      </c>
      <c r="P146" s="9"/>
      <c r="Q146" s="2005"/>
      <c r="R146" s="2257"/>
      <c r="S146" s="950"/>
      <c r="T146" s="950"/>
      <c r="U146" s="2005"/>
      <c r="V146" s="2005"/>
      <c r="W146" s="2005"/>
      <c r="X146" s="2005"/>
      <c r="Y146" s="2005"/>
      <c r="Z146" s="9"/>
      <c r="AA146" s="9"/>
      <c r="AB146" s="9"/>
      <c r="AC146" s="237">
        <f>MAX(J146/J158)</f>
        <v>5.7053096074863689E-3</v>
      </c>
      <c r="AD146" s="235">
        <f t="shared" si="23"/>
        <v>17115.928822459107</v>
      </c>
      <c r="AE146" s="238">
        <f>MAX(I146/I158)</f>
        <v>5.7528996520327452E-3</v>
      </c>
      <c r="AF146" s="235">
        <f t="shared" si="24"/>
        <v>97491.4895636398</v>
      </c>
      <c r="AG146" s="238">
        <f>MAX(H146/H158)</f>
        <v>8.1529795434331451E-3</v>
      </c>
      <c r="AH146" s="235">
        <f t="shared" si="25"/>
        <v>140054.25307553424</v>
      </c>
    </row>
    <row r="147" spans="1:34" ht="15" customHeight="1" x14ac:dyDescent="0.2">
      <c r="A147" s="962" t="s">
        <v>382</v>
      </c>
      <c r="B147" s="957">
        <v>177.3</v>
      </c>
      <c r="C147" s="1146">
        <v>8</v>
      </c>
      <c r="D147" s="1146">
        <v>4</v>
      </c>
      <c r="E147" s="1146">
        <v>0</v>
      </c>
      <c r="F147" s="1146">
        <v>2</v>
      </c>
      <c r="G147" s="1146">
        <v>87.300000000000011</v>
      </c>
      <c r="H147" s="1146">
        <v>84</v>
      </c>
      <c r="I147" s="1146">
        <v>183.3</v>
      </c>
      <c r="J147" s="1147">
        <v>504</v>
      </c>
      <c r="K147" s="1147">
        <v>6</v>
      </c>
      <c r="L147" s="1066" t="s">
        <v>1128</v>
      </c>
      <c r="M147" s="959">
        <v>3000000</v>
      </c>
      <c r="N147" s="959">
        <v>16946495.760480002</v>
      </c>
      <c r="O147" s="1149">
        <v>17178290.749955527</v>
      </c>
      <c r="P147" s="9"/>
      <c r="Q147" s="2005"/>
      <c r="R147" s="2257"/>
      <c r="S147" s="950"/>
      <c r="T147" s="950"/>
      <c r="U147" s="2005"/>
      <c r="V147" s="2005"/>
      <c r="W147" s="2005"/>
      <c r="X147" s="2005"/>
      <c r="Y147" s="2005"/>
      <c r="Z147" s="9"/>
      <c r="AA147" s="9"/>
      <c r="AB147" s="9"/>
      <c r="AC147" s="237">
        <f>MAX(J147/J158)</f>
        <v>8.7135637641610007E-3</v>
      </c>
      <c r="AD147" s="235">
        <f t="shared" si="23"/>
        <v>26140.691292483003</v>
      </c>
      <c r="AE147" s="238">
        <f>MAX(I147/I158)</f>
        <v>1.2704897665272316E-2</v>
      </c>
      <c r="AF147" s="235">
        <f t="shared" si="24"/>
        <v>215303.49442186957</v>
      </c>
      <c r="AG147" s="238">
        <f>MAX(H147/H158)</f>
        <v>1.2451823302697895E-2</v>
      </c>
      <c r="AH147" s="235">
        <f t="shared" si="25"/>
        <v>213901.04106081594</v>
      </c>
    </row>
    <row r="148" spans="1:34" ht="15" customHeight="1" x14ac:dyDescent="0.2">
      <c r="A148" s="1154" t="s">
        <v>383</v>
      </c>
      <c r="B148" s="1002">
        <v>9623.1</v>
      </c>
      <c r="C148" s="1002">
        <v>131</v>
      </c>
      <c r="D148" s="1002">
        <v>1160</v>
      </c>
      <c r="E148" s="1002">
        <v>18</v>
      </c>
      <c r="F148" s="1002">
        <v>29</v>
      </c>
      <c r="G148" s="1002">
        <v>4099.1000000000004</v>
      </c>
      <c r="H148" s="1002">
        <v>4317</v>
      </c>
      <c r="I148" s="1002">
        <v>9707.1</v>
      </c>
      <c r="J148" s="1150">
        <v>43070</v>
      </c>
      <c r="K148" s="1150">
        <v>9.9768357655779472</v>
      </c>
      <c r="L148" s="1152"/>
      <c r="M148" s="996"/>
      <c r="N148" s="435"/>
      <c r="O148" s="436"/>
      <c r="P148" s="9"/>
      <c r="S148" s="950"/>
      <c r="T148" s="950"/>
      <c r="U148" s="2005"/>
      <c r="V148" s="2005"/>
      <c r="W148" s="2005"/>
      <c r="X148" s="2005"/>
      <c r="Y148" s="2005"/>
      <c r="Z148" s="9"/>
      <c r="AA148" s="9"/>
      <c r="AB148" s="9"/>
      <c r="AC148" s="1157"/>
      <c r="AD148" s="1156"/>
      <c r="AE148" s="1158"/>
      <c r="AF148" s="1156"/>
      <c r="AG148" s="1158"/>
      <c r="AH148" s="1156"/>
    </row>
    <row r="149" spans="1:34" ht="15" customHeight="1" x14ac:dyDescent="0.2">
      <c r="A149" s="962" t="s">
        <v>384</v>
      </c>
      <c r="B149" s="957">
        <v>337.5</v>
      </c>
      <c r="C149" s="1146">
        <v>0</v>
      </c>
      <c r="D149" s="1146">
        <v>35</v>
      </c>
      <c r="E149" s="1146">
        <v>0</v>
      </c>
      <c r="F149" s="1146">
        <v>25</v>
      </c>
      <c r="G149" s="1146">
        <v>181.5</v>
      </c>
      <c r="H149" s="1146">
        <v>96</v>
      </c>
      <c r="I149" s="1146">
        <v>312.5</v>
      </c>
      <c r="J149" s="1147">
        <v>768</v>
      </c>
      <c r="K149" s="1147">
        <v>8</v>
      </c>
      <c r="L149" s="1066" t="s">
        <v>1128</v>
      </c>
      <c r="M149" s="959">
        <v>3000000</v>
      </c>
      <c r="N149" s="959">
        <v>16946495.760480002</v>
      </c>
      <c r="O149" s="1149">
        <v>17178290.749955527</v>
      </c>
      <c r="P149" s="9"/>
      <c r="Q149" s="2005"/>
      <c r="R149" s="2257"/>
      <c r="S149" s="950"/>
      <c r="T149" s="950"/>
      <c r="U149" s="2005"/>
      <c r="V149" s="9"/>
      <c r="W149" s="9"/>
      <c r="X149" s="9"/>
      <c r="Y149" s="9"/>
      <c r="Z149" s="9"/>
      <c r="AA149" s="9"/>
      <c r="AB149" s="9"/>
      <c r="AC149" s="237">
        <f>MAX(J149/J158)</f>
        <v>1.3277811450150095E-2</v>
      </c>
      <c r="AD149" s="235">
        <f t="shared" ref="AD149:AD157" si="26">MAX(M149*AC149)</f>
        <v>39833.434350450283</v>
      </c>
      <c r="AE149" s="238">
        <f>MAX(I149/I158)</f>
        <v>2.1660013750123285E-2</v>
      </c>
      <c r="AF149" s="235">
        <f t="shared" ref="AF149:AF157" si="27">MAX(N149*AE149)</f>
        <v>367061.33118840278</v>
      </c>
      <c r="AG149" s="238">
        <f>MAX(H149/H158)</f>
        <v>1.4230655203083309E-2</v>
      </c>
      <c r="AH149" s="235">
        <f t="shared" ref="AH149:AH157" si="28">MAX(O149*AG149)</f>
        <v>244458.33264093249</v>
      </c>
    </row>
    <row r="150" spans="1:34" ht="15" customHeight="1" x14ac:dyDescent="0.2">
      <c r="A150" s="962" t="s">
        <v>385</v>
      </c>
      <c r="B150" s="957">
        <v>332.8</v>
      </c>
      <c r="C150" s="1146">
        <v>40</v>
      </c>
      <c r="D150" s="1146">
        <v>20</v>
      </c>
      <c r="E150" s="1146">
        <v>3</v>
      </c>
      <c r="F150" s="1146">
        <v>2</v>
      </c>
      <c r="G150" s="1146">
        <v>181.8</v>
      </c>
      <c r="H150" s="1146">
        <v>126</v>
      </c>
      <c r="I150" s="1146">
        <v>367.8</v>
      </c>
      <c r="J150" s="1147">
        <v>630</v>
      </c>
      <c r="K150" s="1147">
        <v>5</v>
      </c>
      <c r="L150" s="1066" t="s">
        <v>1128</v>
      </c>
      <c r="M150" s="959">
        <v>3000000</v>
      </c>
      <c r="N150" s="959">
        <v>16946495.760480002</v>
      </c>
      <c r="O150" s="1149">
        <v>17178290.749955527</v>
      </c>
      <c r="P150" s="9"/>
      <c r="Q150" s="2005"/>
      <c r="R150" s="2257"/>
      <c r="S150" s="950"/>
      <c r="T150" s="950"/>
      <c r="V150" s="2005"/>
      <c r="W150" s="2005"/>
      <c r="X150" s="2005"/>
      <c r="Y150" s="2005"/>
      <c r="Z150" s="9"/>
      <c r="AA150" s="9"/>
      <c r="AB150" s="9"/>
      <c r="AC150" s="237">
        <f>MAX(J150/J158)</f>
        <v>1.089195470520125E-2</v>
      </c>
      <c r="AD150" s="235">
        <f t="shared" si="26"/>
        <v>32675.864115603752</v>
      </c>
      <c r="AE150" s="238">
        <f>MAX(I150/I158)</f>
        <v>2.5492969783345105E-2</v>
      </c>
      <c r="AF150" s="235">
        <f t="shared" si="27"/>
        <v>432016.50435550261</v>
      </c>
      <c r="AG150" s="238">
        <f>MAX(H150/H158)</f>
        <v>1.8677734954046843E-2</v>
      </c>
      <c r="AH150" s="235">
        <f t="shared" si="28"/>
        <v>320851.56159122393</v>
      </c>
    </row>
    <row r="151" spans="1:34" ht="15" customHeight="1" x14ac:dyDescent="0.2">
      <c r="A151" s="962" t="s">
        <v>386</v>
      </c>
      <c r="B151" s="957">
        <v>29</v>
      </c>
      <c r="C151" s="1146">
        <v>3</v>
      </c>
      <c r="D151" s="1146">
        <v>0</v>
      </c>
      <c r="E151" s="1146">
        <v>0</v>
      </c>
      <c r="F151" s="1146">
        <v>0</v>
      </c>
      <c r="G151" s="1146">
        <v>17</v>
      </c>
      <c r="H151" s="1146">
        <v>12</v>
      </c>
      <c r="I151" s="1146">
        <v>32</v>
      </c>
      <c r="J151" s="1147">
        <v>84</v>
      </c>
      <c r="K151" s="1147">
        <v>7</v>
      </c>
      <c r="L151" s="1066" t="s">
        <v>1128</v>
      </c>
      <c r="M151" s="959">
        <v>3000000</v>
      </c>
      <c r="N151" s="959">
        <v>16946495.760480002</v>
      </c>
      <c r="O151" s="1149">
        <v>17178290.749955527</v>
      </c>
      <c r="P151" s="9"/>
      <c r="Q151" s="2005"/>
      <c r="R151" s="2257"/>
      <c r="S151" s="950"/>
      <c r="T151" s="950"/>
      <c r="U151" s="2005"/>
      <c r="V151" s="2005"/>
      <c r="W151" s="2005"/>
      <c r="X151" s="2005"/>
      <c r="Y151" s="2005"/>
      <c r="Z151" s="9"/>
      <c r="AA151" s="9"/>
      <c r="AB151" s="9"/>
      <c r="AC151" s="237">
        <f>MAX(J151/J158)</f>
        <v>1.4522606273601668E-3</v>
      </c>
      <c r="AD151" s="235">
        <f t="shared" si="26"/>
        <v>4356.7818820805005</v>
      </c>
      <c r="AE151" s="238">
        <f>MAX(I151/I158)</f>
        <v>2.2179854080126246E-3</v>
      </c>
      <c r="AF151" s="235">
        <f t="shared" si="27"/>
        <v>37587.080313692451</v>
      </c>
      <c r="AG151" s="238">
        <f>MAX(H151/H158)</f>
        <v>1.7788319003854136E-3</v>
      </c>
      <c r="AH151" s="235">
        <f t="shared" si="28"/>
        <v>30557.291580116562</v>
      </c>
    </row>
    <row r="152" spans="1:34" ht="15" customHeight="1" x14ac:dyDescent="0.2">
      <c r="A152" s="962" t="s">
        <v>387</v>
      </c>
      <c r="B152" s="957">
        <v>4875.8</v>
      </c>
      <c r="C152" s="1146">
        <v>60</v>
      </c>
      <c r="D152" s="1146">
        <v>650</v>
      </c>
      <c r="E152" s="1146">
        <v>15</v>
      </c>
      <c r="F152" s="1146">
        <v>0</v>
      </c>
      <c r="G152" s="1146">
        <v>2625.8</v>
      </c>
      <c r="H152" s="1146">
        <v>1585</v>
      </c>
      <c r="I152" s="1146">
        <v>4920.8</v>
      </c>
      <c r="J152" s="1147">
        <v>17435</v>
      </c>
      <c r="K152" s="1147">
        <v>11</v>
      </c>
      <c r="L152" s="1066" t="s">
        <v>1128</v>
      </c>
      <c r="M152" s="959">
        <v>3000000</v>
      </c>
      <c r="N152" s="959">
        <v>16946495.760480002</v>
      </c>
      <c r="O152" s="1149">
        <v>17178290.749955527</v>
      </c>
      <c r="P152" s="9"/>
      <c r="Q152" s="2005"/>
      <c r="R152" s="2257"/>
      <c r="S152" s="950"/>
      <c r="T152" s="950"/>
      <c r="U152" s="2005"/>
      <c r="V152" s="2005"/>
      <c r="W152" s="2005"/>
      <c r="X152" s="2005"/>
      <c r="Y152" s="2005"/>
      <c r="Z152" s="9"/>
      <c r="AA152" s="9"/>
      <c r="AB152" s="9"/>
      <c r="AC152" s="237">
        <f>MAX(J152/J158)</f>
        <v>0.30143052426219652</v>
      </c>
      <c r="AD152" s="235">
        <f t="shared" si="26"/>
        <v>904291.5727865895</v>
      </c>
      <c r="AE152" s="238">
        <f>MAX(I152/I158)</f>
        <v>0.34107070611714135</v>
      </c>
      <c r="AF152" s="235">
        <f t="shared" si="27"/>
        <v>5779953.2752380567</v>
      </c>
      <c r="AG152" s="238">
        <f>MAX(H152/H158)</f>
        <v>0.23495404684257337</v>
      </c>
      <c r="AH152" s="235">
        <f t="shared" si="28"/>
        <v>4036108.9295403957</v>
      </c>
    </row>
    <row r="153" spans="1:34" ht="15" customHeight="1" x14ac:dyDescent="0.2">
      <c r="A153" s="962" t="s">
        <v>388</v>
      </c>
      <c r="B153" s="957">
        <v>87</v>
      </c>
      <c r="C153" s="1146">
        <v>20</v>
      </c>
      <c r="D153" s="1146">
        <v>5</v>
      </c>
      <c r="E153" s="1146"/>
      <c r="F153" s="1146">
        <v>2</v>
      </c>
      <c r="G153" s="1146">
        <v>43</v>
      </c>
      <c r="H153" s="1146">
        <v>37</v>
      </c>
      <c r="I153" s="1146">
        <v>105</v>
      </c>
      <c r="J153" s="1147">
        <v>370</v>
      </c>
      <c r="K153" s="1147">
        <v>10</v>
      </c>
      <c r="L153" s="1066" t="s">
        <v>1128</v>
      </c>
      <c r="M153" s="959">
        <v>3000000</v>
      </c>
      <c r="N153" s="959">
        <v>16946495.760480002</v>
      </c>
      <c r="O153" s="1149">
        <v>17178290.749955527</v>
      </c>
      <c r="P153" s="9"/>
      <c r="Q153" s="2005"/>
      <c r="R153" s="2257"/>
      <c r="S153" s="950"/>
      <c r="T153" s="950"/>
      <c r="U153" s="2005"/>
      <c r="V153" s="9"/>
      <c r="W153" s="9"/>
      <c r="X153" s="9"/>
      <c r="Y153" s="9"/>
      <c r="Z153" s="9"/>
      <c r="AA153" s="9"/>
      <c r="AB153" s="9"/>
      <c r="AC153" s="237">
        <f>MAX(J153/J158)</f>
        <v>6.396862287181687E-3</v>
      </c>
      <c r="AD153" s="235">
        <f t="shared" si="26"/>
        <v>19190.58686154506</v>
      </c>
      <c r="AE153" s="238">
        <f>MAX(I153/I158)</f>
        <v>7.2777646200414244E-3</v>
      </c>
      <c r="AF153" s="235">
        <f t="shared" si="27"/>
        <v>123332.60727930335</v>
      </c>
      <c r="AG153" s="238">
        <f>MAX(H153/H158)</f>
        <v>5.4847316928550256E-3</v>
      </c>
      <c r="AH153" s="235">
        <f t="shared" si="28"/>
        <v>94218.315705359404</v>
      </c>
    </row>
    <row r="154" spans="1:34" ht="15" customHeight="1" x14ac:dyDescent="0.2">
      <c r="A154" s="962" t="s">
        <v>389</v>
      </c>
      <c r="B154" s="957">
        <v>63</v>
      </c>
      <c r="C154" s="1146">
        <v>8</v>
      </c>
      <c r="D154" s="1146"/>
      <c r="E154" s="1146"/>
      <c r="F154" s="1146"/>
      <c r="G154" s="1146">
        <v>23</v>
      </c>
      <c r="H154" s="1146">
        <v>40</v>
      </c>
      <c r="I154" s="1146">
        <v>71</v>
      </c>
      <c r="J154" s="1147">
        <v>440</v>
      </c>
      <c r="K154" s="1147">
        <v>11</v>
      </c>
      <c r="L154" s="1066" t="s">
        <v>1128</v>
      </c>
      <c r="M154" s="959">
        <v>3000000</v>
      </c>
      <c r="N154" s="959">
        <v>16946495.760480002</v>
      </c>
      <c r="O154" s="1149">
        <v>17178290.749955527</v>
      </c>
      <c r="P154" s="9"/>
      <c r="Q154" s="2005"/>
      <c r="R154" s="2257"/>
      <c r="S154" s="950"/>
      <c r="T154" s="950"/>
      <c r="U154" s="2005"/>
      <c r="V154" s="9"/>
      <c r="W154" s="9"/>
      <c r="X154" s="9"/>
      <c r="Y154" s="9"/>
      <c r="Z154" s="9"/>
      <c r="AA154" s="9"/>
      <c r="AB154" s="9"/>
      <c r="AC154" s="237">
        <f>MAX(J154/J158)</f>
        <v>7.6070794766484925E-3</v>
      </c>
      <c r="AD154" s="235">
        <f t="shared" si="26"/>
        <v>22821.238429945479</v>
      </c>
      <c r="AE154" s="238">
        <f>MAX(I154/I158)</f>
        <v>4.9211551240280109E-3</v>
      </c>
      <c r="AF154" s="235">
        <f t="shared" si="27"/>
        <v>83396.33444600513</v>
      </c>
      <c r="AG154" s="238">
        <f>MAX(H154/H158)</f>
        <v>5.929439667951379E-3</v>
      </c>
      <c r="AH154" s="235">
        <f t="shared" si="28"/>
        <v>101857.63860038854</v>
      </c>
    </row>
    <row r="155" spans="1:34" ht="15" customHeight="1" x14ac:dyDescent="0.2">
      <c r="A155" s="962" t="s">
        <v>390</v>
      </c>
      <c r="B155" s="957">
        <v>202</v>
      </c>
      <c r="C155" s="1146"/>
      <c r="D155" s="1146"/>
      <c r="E155" s="1146"/>
      <c r="F155" s="1146"/>
      <c r="G155" s="1146">
        <v>64</v>
      </c>
      <c r="H155" s="1146">
        <v>138</v>
      </c>
      <c r="I155" s="2159">
        <v>202</v>
      </c>
      <c r="J155" s="2155">
        <v>1656</v>
      </c>
      <c r="K155" s="1147">
        <v>12</v>
      </c>
      <c r="L155" s="1066" t="s">
        <v>1128</v>
      </c>
      <c r="M155" s="959">
        <v>3000000</v>
      </c>
      <c r="N155" s="959">
        <v>16946495.760480002</v>
      </c>
      <c r="O155" s="1149">
        <v>17178290.749955527</v>
      </c>
      <c r="P155" s="9"/>
      <c r="Q155" s="9"/>
      <c r="R155" s="2257"/>
      <c r="S155" s="950"/>
      <c r="T155" s="950"/>
      <c r="U155" s="2005"/>
      <c r="V155" s="9"/>
      <c r="W155" s="9"/>
      <c r="X155" s="9"/>
      <c r="Y155" s="9"/>
      <c r="Z155" s="9"/>
      <c r="AA155" s="9"/>
      <c r="AB155" s="9"/>
      <c r="AC155" s="237">
        <f>MAX(J155/J158)</f>
        <v>2.8630280939386143E-2</v>
      </c>
      <c r="AD155" s="235">
        <f t="shared" si="26"/>
        <v>85890.842818158431</v>
      </c>
      <c r="AE155" s="238">
        <f>MAX(I155/I158)</f>
        <v>1.4001032888079693E-2</v>
      </c>
      <c r="AF155" s="235">
        <f t="shared" si="27"/>
        <v>237268.44448018359</v>
      </c>
      <c r="AG155" s="238">
        <f>MAX(H155/H158)</f>
        <v>2.0456566854432257E-2</v>
      </c>
      <c r="AH155" s="235">
        <f t="shared" si="28"/>
        <v>351408.85317134048</v>
      </c>
    </row>
    <row r="156" spans="1:34" ht="15" customHeight="1" x14ac:dyDescent="0.2">
      <c r="A156" s="962" t="s">
        <v>941</v>
      </c>
      <c r="B156" s="957">
        <v>3659</v>
      </c>
      <c r="C156" s="1146"/>
      <c r="D156" s="1146">
        <v>450</v>
      </c>
      <c r="E156" s="1146"/>
      <c r="F156" s="1146"/>
      <c r="G156" s="1146">
        <v>929</v>
      </c>
      <c r="H156" s="1146">
        <v>2280</v>
      </c>
      <c r="I156" s="1146">
        <v>3659</v>
      </c>
      <c r="J156" s="1147">
        <v>21660</v>
      </c>
      <c r="K156" s="1147">
        <v>9.5</v>
      </c>
      <c r="L156" s="1066" t="s">
        <v>1128</v>
      </c>
      <c r="M156" s="959">
        <v>3000000</v>
      </c>
      <c r="N156" s="959">
        <v>16946495.760480002</v>
      </c>
      <c r="O156" s="1149">
        <v>17178290.749955527</v>
      </c>
      <c r="P156" s="9"/>
      <c r="Q156" s="2005"/>
      <c r="R156" s="2257"/>
      <c r="S156" s="950"/>
      <c r="T156" s="950"/>
      <c r="U156" s="9"/>
      <c r="V156" s="9"/>
      <c r="W156" s="9"/>
      <c r="X156" s="9"/>
      <c r="Y156" s="9"/>
      <c r="Z156" s="9"/>
      <c r="AA156" s="9"/>
      <c r="AB156" s="9"/>
      <c r="AC156" s="237">
        <f>MAX(J156/J158)</f>
        <v>0.37447577605501442</v>
      </c>
      <c r="AD156" s="235">
        <f t="shared" si="26"/>
        <v>1123427.3281650431</v>
      </c>
      <c r="AE156" s="238">
        <f>MAX(I156/I158)</f>
        <v>0.25361276899744356</v>
      </c>
      <c r="AF156" s="235">
        <f t="shared" si="27"/>
        <v>4297847.7146187713</v>
      </c>
      <c r="AG156" s="238">
        <f>MAX(H156/H158)</f>
        <v>0.33797806107322859</v>
      </c>
      <c r="AH156" s="235">
        <f t="shared" si="28"/>
        <v>5805885.4002221469</v>
      </c>
    </row>
    <row r="157" spans="1:34" ht="15" customHeight="1" thickBot="1" x14ac:dyDescent="0.25">
      <c r="A157" s="1140" t="s">
        <v>392</v>
      </c>
      <c r="B157" s="1529">
        <v>37</v>
      </c>
      <c r="C157" s="1141">
        <v>0</v>
      </c>
      <c r="D157" s="1141">
        <v>0</v>
      </c>
      <c r="E157" s="1141">
        <v>0</v>
      </c>
      <c r="F157" s="1141">
        <v>0</v>
      </c>
      <c r="G157" s="1146">
        <v>34</v>
      </c>
      <c r="H157" s="1146">
        <v>3</v>
      </c>
      <c r="I157" s="1146">
        <v>37</v>
      </c>
      <c r="J157" s="1526">
        <v>27</v>
      </c>
      <c r="K157" s="1147">
        <v>9</v>
      </c>
      <c r="L157" s="1066" t="s">
        <v>1128</v>
      </c>
      <c r="M157" s="959">
        <v>3000000</v>
      </c>
      <c r="N157" s="959">
        <v>16946495.760480002</v>
      </c>
      <c r="O157" s="1149">
        <v>17178290.749955527</v>
      </c>
      <c r="P157" s="9"/>
      <c r="Q157" s="9"/>
      <c r="R157" s="2257"/>
      <c r="S157" s="950"/>
      <c r="T157" s="950"/>
      <c r="U157" s="9"/>
      <c r="V157" s="9"/>
      <c r="W157" s="9"/>
      <c r="X157" s="9"/>
      <c r="Y157" s="9"/>
      <c r="Z157" s="9"/>
      <c r="AA157" s="9"/>
      <c r="AB157" s="9"/>
      <c r="AC157" s="237">
        <f>MAX(J157/J158)</f>
        <v>4.6679805879433928E-4</v>
      </c>
      <c r="AD157" s="235">
        <f t="shared" si="26"/>
        <v>1400.3941763830178</v>
      </c>
      <c r="AE157" s="238">
        <f>MAX(I157/I158)</f>
        <v>2.564545628014597E-3</v>
      </c>
      <c r="AF157" s="235">
        <f t="shared" si="27"/>
        <v>43460.061612706893</v>
      </c>
      <c r="AG157" s="238">
        <f>MAX(H157/H158)</f>
        <v>4.447079750963534E-4</v>
      </c>
      <c r="AH157" s="235">
        <f t="shared" si="28"/>
        <v>7639.3228950291405</v>
      </c>
    </row>
    <row r="158" spans="1:34" ht="15" customHeight="1" thickBot="1" x14ac:dyDescent="0.25">
      <c r="A158" s="405" t="s">
        <v>942</v>
      </c>
      <c r="B158" s="1131">
        <v>14243.007000000001</v>
      </c>
      <c r="C158" s="1131">
        <v>265</v>
      </c>
      <c r="D158" s="1131">
        <v>1300</v>
      </c>
      <c r="E158" s="1131">
        <v>28.5</v>
      </c>
      <c r="F158" s="1131">
        <v>52</v>
      </c>
      <c r="G158" s="1131">
        <v>6116.5070000000005</v>
      </c>
      <c r="H158" s="1131">
        <v>6746</v>
      </c>
      <c r="I158" s="1131">
        <v>14427.507000000001</v>
      </c>
      <c r="J158" s="1132">
        <v>57840.857499999998</v>
      </c>
      <c r="K158" s="1132">
        <v>8.5740968722205757</v>
      </c>
      <c r="L158" s="1525" t="s">
        <v>1128</v>
      </c>
      <c r="M158" s="1134">
        <v>3000000</v>
      </c>
      <c r="N158" s="1134">
        <v>16946495.760480002</v>
      </c>
      <c r="O158" s="506">
        <v>17178290.749955527</v>
      </c>
      <c r="P158" s="9"/>
      <c r="Q158" s="9"/>
      <c r="R158" s="9"/>
      <c r="S158" s="950"/>
      <c r="T158" s="950"/>
      <c r="U158" s="9"/>
      <c r="V158" s="9"/>
      <c r="W158" s="9"/>
      <c r="X158" s="9"/>
      <c r="Y158" s="9"/>
      <c r="Z158" s="9"/>
      <c r="AA158" s="9"/>
      <c r="AB158" s="9"/>
      <c r="AC158" s="1159">
        <f t="shared" ref="AC158:AH158" si="29">SUM(AC118:AC157)</f>
        <v>1</v>
      </c>
      <c r="AD158" s="1160">
        <f t="shared" si="29"/>
        <v>3000000</v>
      </c>
      <c r="AE158" s="1161">
        <f t="shared" si="29"/>
        <v>0.99999999999999978</v>
      </c>
      <c r="AF158" s="1160">
        <f t="shared" si="29"/>
        <v>16946495.760480002</v>
      </c>
      <c r="AG158" s="1161">
        <f t="shared" si="29"/>
        <v>0.99999999999999989</v>
      </c>
      <c r="AH158" s="1160">
        <f t="shared" si="29"/>
        <v>17178290.749955527</v>
      </c>
    </row>
    <row r="159" spans="1:34" x14ac:dyDescent="0.2">
      <c r="A159" s="7" t="s">
        <v>1934</v>
      </c>
      <c r="B159" s="8"/>
      <c r="C159" s="8"/>
      <c r="D159" s="8"/>
      <c r="E159" s="4"/>
      <c r="F159" s="5"/>
      <c r="G159" s="9"/>
      <c r="H159" s="8"/>
      <c r="I159" s="224"/>
      <c r="J159" s="224"/>
      <c r="K159" s="240"/>
      <c r="L159" s="241"/>
      <c r="M159" s="240"/>
      <c r="N159" s="240"/>
      <c r="O159" s="240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x14ac:dyDescent="0.2">
      <c r="A160" s="242" t="s">
        <v>1594</v>
      </c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263"/>
      <c r="M160" s="249"/>
      <c r="N160" s="249"/>
      <c r="O160" s="24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x14ac:dyDescent="0.2">
      <c r="B161" s="224"/>
      <c r="C161" s="224"/>
      <c r="D161" s="224"/>
      <c r="E161" s="224"/>
      <c r="F161" s="224"/>
      <c r="G161" s="224"/>
      <c r="H161" s="224"/>
      <c r="I161" s="224"/>
      <c r="J161" s="224"/>
      <c r="K161" s="240"/>
      <c r="L161" s="241"/>
      <c r="M161" s="240"/>
      <c r="N161" s="240"/>
      <c r="O161" s="240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x14ac:dyDescent="0.2">
      <c r="B162" s="224"/>
      <c r="C162" s="224"/>
      <c r="D162" s="224"/>
      <c r="E162" s="224"/>
      <c r="F162" s="224"/>
      <c r="G162" s="224"/>
      <c r="H162" s="224"/>
      <c r="I162" s="224"/>
      <c r="J162" s="224"/>
      <c r="K162" s="240"/>
      <c r="L162" s="241"/>
      <c r="M162" s="240"/>
      <c r="N162" s="240"/>
      <c r="O162" s="240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5" x14ac:dyDescent="0.25">
      <c r="A163" s="2843" t="s">
        <v>1931</v>
      </c>
      <c r="B163" s="2843"/>
      <c r="C163" s="2843"/>
      <c r="D163" s="2843"/>
      <c r="E163" s="2843"/>
      <c r="F163" s="2843"/>
      <c r="G163" s="2843"/>
      <c r="H163" s="2843"/>
      <c r="I163" s="2843"/>
      <c r="J163" s="2843"/>
      <c r="K163" s="2843"/>
      <c r="L163" s="2843"/>
      <c r="M163" s="2843"/>
      <c r="N163" s="2843"/>
      <c r="O163" s="2843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3.5" thickBot="1" x14ac:dyDescent="0.25">
      <c r="A164" s="181" t="s">
        <v>1825</v>
      </c>
      <c r="B164" s="246"/>
      <c r="C164" s="240"/>
      <c r="D164" s="240"/>
      <c r="E164" s="240"/>
      <c r="F164" s="240"/>
      <c r="G164" s="240"/>
      <c r="H164" s="240"/>
      <c r="I164" s="240"/>
      <c r="J164" s="240"/>
      <c r="K164" s="240"/>
      <c r="L164" s="241"/>
      <c r="M164" s="240"/>
      <c r="N164" s="240"/>
      <c r="O164" s="240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5" customHeight="1" x14ac:dyDescent="0.2">
      <c r="A165" s="2844" t="s">
        <v>327</v>
      </c>
      <c r="B165" s="2847" t="s">
        <v>1932</v>
      </c>
      <c r="C165" s="2848"/>
      <c r="D165" s="2848"/>
      <c r="E165" s="2848"/>
      <c r="F165" s="2848"/>
      <c r="G165" s="2848"/>
      <c r="H165" s="2848"/>
      <c r="I165" s="2848"/>
      <c r="J165" s="2848"/>
      <c r="K165" s="2848"/>
      <c r="L165" s="2848"/>
      <c r="M165" s="2848"/>
      <c r="N165" s="2848"/>
      <c r="O165" s="284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228" t="s">
        <v>910</v>
      </c>
      <c r="AD165" s="229"/>
      <c r="AE165" s="229"/>
      <c r="AF165" s="229"/>
      <c r="AG165" s="229"/>
      <c r="AH165" s="243"/>
    </row>
    <row r="166" spans="1:34" ht="15" customHeight="1" x14ac:dyDescent="0.2">
      <c r="A166" s="2845"/>
      <c r="B166" s="2850" t="s">
        <v>191</v>
      </c>
      <c r="C166" s="2850"/>
      <c r="D166" s="2850"/>
      <c r="E166" s="2850"/>
      <c r="F166" s="2850"/>
      <c r="G166" s="2850"/>
      <c r="H166" s="2850"/>
      <c r="I166" s="2850"/>
      <c r="J166" s="2119"/>
      <c r="K166" s="2119" t="s">
        <v>904</v>
      </c>
      <c r="L166" s="2119"/>
      <c r="M166" s="1122" t="s">
        <v>437</v>
      </c>
      <c r="N166" s="1122" t="s">
        <v>911</v>
      </c>
      <c r="O166" s="1127" t="s">
        <v>911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230" t="s">
        <v>333</v>
      </c>
      <c r="AD166" s="231" t="s">
        <v>333</v>
      </c>
      <c r="AE166" s="231" t="s">
        <v>333</v>
      </c>
      <c r="AF166" s="231" t="s">
        <v>333</v>
      </c>
      <c r="AG166" s="231" t="s">
        <v>333</v>
      </c>
      <c r="AH166" s="231" t="s">
        <v>333</v>
      </c>
    </row>
    <row r="167" spans="1:34" ht="15" customHeight="1" x14ac:dyDescent="0.2">
      <c r="A167" s="2845"/>
      <c r="B167" s="2119" t="s">
        <v>433</v>
      </c>
      <c r="C167" s="2119"/>
      <c r="D167" s="2841" t="s">
        <v>1865</v>
      </c>
      <c r="E167" s="2119"/>
      <c r="F167" s="2119"/>
      <c r="G167" s="2119" t="s">
        <v>912</v>
      </c>
      <c r="H167" s="2119"/>
      <c r="I167" s="2119" t="s">
        <v>433</v>
      </c>
      <c r="J167" s="2138" t="s">
        <v>913</v>
      </c>
      <c r="K167" s="2138" t="s">
        <v>842</v>
      </c>
      <c r="L167" s="2138" t="s">
        <v>329</v>
      </c>
      <c r="M167" s="1123" t="s">
        <v>914</v>
      </c>
      <c r="N167" s="1123" t="s">
        <v>915</v>
      </c>
      <c r="O167" s="1128" t="s">
        <v>914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230" t="s">
        <v>913</v>
      </c>
      <c r="AD167" s="231" t="s">
        <v>916</v>
      </c>
      <c r="AE167" s="231" t="s">
        <v>917</v>
      </c>
      <c r="AF167" s="231" t="s">
        <v>918</v>
      </c>
      <c r="AG167" s="231" t="s">
        <v>192</v>
      </c>
      <c r="AH167" s="231" t="s">
        <v>918</v>
      </c>
    </row>
    <row r="168" spans="1:34" ht="15" customHeight="1" x14ac:dyDescent="0.2">
      <c r="A168" s="2845"/>
      <c r="B168" s="2138" t="s">
        <v>920</v>
      </c>
      <c r="C168" s="2138" t="s">
        <v>922</v>
      </c>
      <c r="D168" s="2842"/>
      <c r="E168" s="2138" t="s">
        <v>867</v>
      </c>
      <c r="F168" s="2138" t="s">
        <v>921</v>
      </c>
      <c r="G168" s="2138" t="s">
        <v>923</v>
      </c>
      <c r="H168" s="2138" t="s">
        <v>836</v>
      </c>
      <c r="I168" s="2138" t="s">
        <v>835</v>
      </c>
      <c r="J168" s="2138" t="s">
        <v>924</v>
      </c>
      <c r="K168" s="2138" t="s">
        <v>925</v>
      </c>
      <c r="L168" s="2138" t="s">
        <v>336</v>
      </c>
      <c r="M168" s="1123" t="s">
        <v>926</v>
      </c>
      <c r="N168" s="1123" t="s">
        <v>927</v>
      </c>
      <c r="O168" s="1128" t="s">
        <v>928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230"/>
      <c r="AD168" s="231" t="s">
        <v>843</v>
      </c>
      <c r="AE168" s="231"/>
      <c r="AF168" s="231" t="s">
        <v>929</v>
      </c>
      <c r="AG168" s="231"/>
      <c r="AH168" s="231" t="s">
        <v>930</v>
      </c>
    </row>
    <row r="169" spans="1:34" ht="15" customHeight="1" thickBot="1" x14ac:dyDescent="0.25">
      <c r="A169" s="2846"/>
      <c r="B169" s="1881">
        <v>44926</v>
      </c>
      <c r="C169" s="2139">
        <v>2023</v>
      </c>
      <c r="D169" s="2139">
        <v>2023</v>
      </c>
      <c r="E169" s="2139">
        <v>2023</v>
      </c>
      <c r="F169" s="2139">
        <v>2023</v>
      </c>
      <c r="G169" s="2139" t="s">
        <v>931</v>
      </c>
      <c r="H169" s="1126">
        <v>2023</v>
      </c>
      <c r="I169" s="1881">
        <v>45291</v>
      </c>
      <c r="J169" s="1881" t="s">
        <v>1933</v>
      </c>
      <c r="K169" s="1881" t="s">
        <v>1933</v>
      </c>
      <c r="L169" s="2139" t="s">
        <v>441</v>
      </c>
      <c r="M169" s="1125" t="s">
        <v>932</v>
      </c>
      <c r="N169" s="1125" t="s">
        <v>933</v>
      </c>
      <c r="O169" s="1129" t="s">
        <v>933</v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232"/>
      <c r="AD169" s="233" t="s">
        <v>934</v>
      </c>
      <c r="AE169" s="233"/>
      <c r="AF169" s="233" t="s">
        <v>935</v>
      </c>
      <c r="AG169" s="233"/>
      <c r="AH169" s="233" t="s">
        <v>936</v>
      </c>
    </row>
    <row r="170" spans="1:34" ht="15" customHeight="1" x14ac:dyDescent="0.2">
      <c r="A170" s="1135" t="s">
        <v>352</v>
      </c>
      <c r="B170" s="1130">
        <v>2590.25</v>
      </c>
      <c r="C170" s="1130">
        <v>238</v>
      </c>
      <c r="D170" s="1130">
        <v>251</v>
      </c>
      <c r="E170" s="1130">
        <v>34</v>
      </c>
      <c r="F170" s="1130">
        <v>21</v>
      </c>
      <c r="G170" s="1130">
        <v>140</v>
      </c>
      <c r="H170" s="1130">
        <v>2144.25</v>
      </c>
      <c r="I170" s="1130">
        <v>2773.25</v>
      </c>
      <c r="J170" s="1136">
        <v>13787.1</v>
      </c>
      <c r="K170" s="1535">
        <v>6.4298006295907664</v>
      </c>
      <c r="L170" s="380"/>
      <c r="M170" s="1138"/>
      <c r="N170" s="1138"/>
      <c r="O170" s="113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1155"/>
      <c r="AD170" s="1156"/>
      <c r="AE170" s="1156"/>
      <c r="AF170" s="1156"/>
      <c r="AG170" s="1156"/>
      <c r="AH170" s="1156"/>
    </row>
    <row r="171" spans="1:34" ht="15" customHeight="1" x14ac:dyDescent="0.2">
      <c r="A171" s="962" t="s">
        <v>353</v>
      </c>
      <c r="B171" s="245">
        <v>726</v>
      </c>
      <c r="C171" s="1146"/>
      <c r="D171" s="1146">
        <v>15</v>
      </c>
      <c r="E171" s="1146"/>
      <c r="F171" s="1146"/>
      <c r="G171" s="1146"/>
      <c r="H171" s="1146">
        <v>711</v>
      </c>
      <c r="I171" s="1146">
        <v>726</v>
      </c>
      <c r="J171" s="1147">
        <v>4266</v>
      </c>
      <c r="K171" s="1147">
        <v>6</v>
      </c>
      <c r="L171" s="1066" t="s">
        <v>1129</v>
      </c>
      <c r="M171" s="959">
        <v>1850000</v>
      </c>
      <c r="N171" s="959">
        <v>12756931.344799999</v>
      </c>
      <c r="O171" s="1149">
        <v>6497227.6390399998</v>
      </c>
      <c r="P171" s="950"/>
      <c r="R171" s="1646"/>
      <c r="Y171" s="950"/>
      <c r="AC171" s="237">
        <f>MAX(J171/J211)</f>
        <v>0.19305351284081909</v>
      </c>
      <c r="AD171" s="235">
        <f t="shared" ref="AD171:AD185" si="30">MAX(M171*AC171)</f>
        <v>357148.99875551532</v>
      </c>
      <c r="AE171" s="238">
        <f>MAX(I171/I211)</f>
        <v>0.17440603454488673</v>
      </c>
      <c r="AF171" s="235">
        <f t="shared" ref="AF171:AF185" si="31">MAX(N171*AE171)</f>
        <v>2224885.808807937</v>
      </c>
      <c r="AG171" s="238">
        <f>MAX(H171/H211)</f>
        <v>0.22703324073187089</v>
      </c>
      <c r="AH171" s="235">
        <f t="shared" ref="AH171:AH185" si="32">MAX(O171*AG171)</f>
        <v>1475086.6466639335</v>
      </c>
    </row>
    <row r="172" spans="1:34" ht="15" customHeight="1" x14ac:dyDescent="0.2">
      <c r="A172" s="962" t="s">
        <v>354</v>
      </c>
      <c r="B172" s="245">
        <v>319</v>
      </c>
      <c r="C172" s="1146"/>
      <c r="D172" s="1146">
        <v>100</v>
      </c>
      <c r="E172" s="1146"/>
      <c r="F172" s="1146"/>
      <c r="G172" s="1146"/>
      <c r="H172" s="1146">
        <v>219</v>
      </c>
      <c r="I172" s="1146">
        <v>319</v>
      </c>
      <c r="J172" s="1147">
        <v>1533</v>
      </c>
      <c r="K172" s="1147">
        <v>7</v>
      </c>
      <c r="L172" s="1066" t="s">
        <v>1129</v>
      </c>
      <c r="M172" s="959">
        <v>1850000</v>
      </c>
      <c r="N172" s="959">
        <v>12756931.344799999</v>
      </c>
      <c r="O172" s="1149">
        <v>6497227.6390399998</v>
      </c>
      <c r="R172" s="1646"/>
      <c r="W172" s="950"/>
      <c r="X172" s="950"/>
      <c r="Y172" s="950"/>
      <c r="AC172" s="237">
        <f>MAX(J172/J211)</f>
        <v>6.9374363615793647E-2</v>
      </c>
      <c r="AD172" s="235">
        <f t="shared" si="30"/>
        <v>128342.57268921824</v>
      </c>
      <c r="AE172" s="238">
        <f>MAX(I172/I211)</f>
        <v>7.6632954572753265E-2</v>
      </c>
      <c r="AF172" s="235">
        <f t="shared" si="31"/>
        <v>977601.34023379057</v>
      </c>
      <c r="AG172" s="238">
        <f>MAX(H172/H211)</f>
        <v>6.9930069930069935E-2</v>
      </c>
      <c r="AH172" s="235">
        <f t="shared" si="32"/>
        <v>454351.58314965037</v>
      </c>
    </row>
    <row r="173" spans="1:34" ht="15" customHeight="1" x14ac:dyDescent="0.2">
      <c r="A173" s="962" t="s">
        <v>355</v>
      </c>
      <c r="B173" s="1498">
        <v>126</v>
      </c>
      <c r="C173" s="1146"/>
      <c r="D173" s="1146"/>
      <c r="E173" s="1146"/>
      <c r="F173" s="1146"/>
      <c r="G173" s="1146"/>
      <c r="H173" s="1146">
        <v>126</v>
      </c>
      <c r="I173" s="1146">
        <v>126</v>
      </c>
      <c r="J173" s="1147">
        <v>945</v>
      </c>
      <c r="K173" s="1147">
        <v>7.5</v>
      </c>
      <c r="L173" s="1066" t="s">
        <v>1129</v>
      </c>
      <c r="M173" s="959">
        <v>1850000</v>
      </c>
      <c r="N173" s="959">
        <v>12756931.344799999</v>
      </c>
      <c r="O173" s="1149">
        <v>6497227.6390399998</v>
      </c>
      <c r="P173" s="9"/>
      <c r="Q173" s="9"/>
      <c r="R173" s="1646"/>
      <c r="S173" s="9"/>
      <c r="T173" s="9"/>
      <c r="U173" s="9"/>
      <c r="V173" s="9"/>
      <c r="AC173" s="237">
        <f>MAX(J173/J211)</f>
        <v>4.2765018667270054E-2</v>
      </c>
      <c r="AD173" s="235">
        <f t="shared" si="30"/>
        <v>79115.284534449602</v>
      </c>
      <c r="AE173" s="238">
        <f>MAX(I173/I211)</f>
        <v>3.026881591274894E-2</v>
      </c>
      <c r="AF173" s="235">
        <f t="shared" si="31"/>
        <v>386137.20648732793</v>
      </c>
      <c r="AG173" s="238">
        <f>MAX(H173/H211)</f>
        <v>4.0233738863875851E-2</v>
      </c>
      <c r="AH173" s="235">
        <f t="shared" si="32"/>
        <v>261407.76016829198</v>
      </c>
    </row>
    <row r="174" spans="1:34" ht="15" customHeight="1" x14ac:dyDescent="0.2">
      <c r="A174" s="962" t="s">
        <v>356</v>
      </c>
      <c r="B174" s="1498">
        <v>35</v>
      </c>
      <c r="C174" s="1146"/>
      <c r="D174" s="1146">
        <v>1</v>
      </c>
      <c r="E174" s="1146"/>
      <c r="F174" s="1146"/>
      <c r="G174" s="1146"/>
      <c r="H174" s="1146">
        <v>34</v>
      </c>
      <c r="I174" s="1146">
        <v>35</v>
      </c>
      <c r="J174" s="1147">
        <v>243.10000000000002</v>
      </c>
      <c r="K174" s="1147">
        <v>7.15</v>
      </c>
      <c r="L174" s="1066" t="s">
        <v>1129</v>
      </c>
      <c r="M174" s="959">
        <v>1850000</v>
      </c>
      <c r="N174" s="959">
        <v>12756931.344799999</v>
      </c>
      <c r="O174" s="1149">
        <v>6497227.6390399998</v>
      </c>
      <c r="P174" s="9"/>
      <c r="Q174" s="9"/>
      <c r="R174" s="1646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237">
        <f>MAX(J174/J211)</f>
        <v>1.1001244484670212E-2</v>
      </c>
      <c r="AD174" s="235">
        <f t="shared" si="30"/>
        <v>20352.302296639893</v>
      </c>
      <c r="AE174" s="238">
        <f>MAX(I174/I211)</f>
        <v>8.4080044202080387E-3</v>
      </c>
      <c r="AF174" s="235">
        <f t="shared" si="31"/>
        <v>107260.33513536888</v>
      </c>
      <c r="AG174" s="238">
        <f>MAX(H174/H211)</f>
        <v>1.0856723185490309E-2</v>
      </c>
      <c r="AH174" s="235">
        <f t="shared" si="32"/>
        <v>70538.601950174023</v>
      </c>
    </row>
    <row r="175" spans="1:34" ht="15" customHeight="1" x14ac:dyDescent="0.2">
      <c r="A175" s="962" t="s">
        <v>357</v>
      </c>
      <c r="B175" s="1498">
        <v>108</v>
      </c>
      <c r="C175" s="1146">
        <v>0</v>
      </c>
      <c r="D175" s="1146">
        <v>5</v>
      </c>
      <c r="E175" s="1146">
        <v>0</v>
      </c>
      <c r="F175" s="1146">
        <v>0</v>
      </c>
      <c r="G175" s="1146">
        <v>0</v>
      </c>
      <c r="H175" s="1146">
        <v>103</v>
      </c>
      <c r="I175" s="1146">
        <v>108</v>
      </c>
      <c r="J175" s="1147">
        <v>721</v>
      </c>
      <c r="K175" s="1147">
        <v>7</v>
      </c>
      <c r="L175" s="1066" t="s">
        <v>1129</v>
      </c>
      <c r="M175" s="959">
        <v>1850000</v>
      </c>
      <c r="N175" s="959">
        <v>12756931.344799999</v>
      </c>
      <c r="O175" s="1149">
        <v>6497227.6390399998</v>
      </c>
      <c r="P175" s="9"/>
      <c r="Q175" s="9"/>
      <c r="R175" s="1646"/>
      <c r="S175" s="9"/>
      <c r="T175" s="9"/>
      <c r="U175" s="9"/>
      <c r="V175" s="9"/>
      <c r="W175" s="9"/>
      <c r="X175" s="9"/>
      <c r="Y175" s="9"/>
      <c r="Z175" s="9"/>
      <c r="AA175" s="9"/>
      <c r="AB175" s="1966"/>
      <c r="AC175" s="237">
        <f>MAX(J175/J211)</f>
        <v>3.2628125353546783E-2</v>
      </c>
      <c r="AD175" s="235">
        <f t="shared" si="30"/>
        <v>60362.03190406155</v>
      </c>
      <c r="AE175" s="238">
        <f>MAX(I175/I211)</f>
        <v>2.5944699353784805E-2</v>
      </c>
      <c r="AF175" s="235">
        <f t="shared" si="31"/>
        <v>330974.74841770966</v>
      </c>
      <c r="AG175" s="238">
        <f>MAX(H175/H211)</f>
        <v>3.2889484944279464E-2</v>
      </c>
      <c r="AH175" s="235">
        <f t="shared" si="32"/>
        <v>213690.47061376247</v>
      </c>
    </row>
    <row r="176" spans="1:34" ht="15" customHeight="1" x14ac:dyDescent="0.2">
      <c r="A176" s="962" t="s">
        <v>358</v>
      </c>
      <c r="B176" s="1498">
        <v>71</v>
      </c>
      <c r="C176" s="1146">
        <v>0</v>
      </c>
      <c r="D176" s="1146">
        <v>15</v>
      </c>
      <c r="E176" s="1146">
        <v>0</v>
      </c>
      <c r="F176" s="1146">
        <v>0</v>
      </c>
      <c r="G176" s="1146">
        <v>0</v>
      </c>
      <c r="H176" s="1146">
        <v>56</v>
      </c>
      <c r="I176" s="1146">
        <v>71</v>
      </c>
      <c r="J176" s="1147">
        <v>364</v>
      </c>
      <c r="K176" s="1147">
        <v>6.5</v>
      </c>
      <c r="L176" s="1066" t="s">
        <v>1129</v>
      </c>
      <c r="M176" s="959">
        <v>1850000</v>
      </c>
      <c r="N176" s="959">
        <v>12756931.344799999</v>
      </c>
      <c r="O176" s="1149">
        <v>6497227.6390399998</v>
      </c>
      <c r="P176" s="9"/>
      <c r="Q176" s="2005"/>
      <c r="R176" s="1646"/>
      <c r="S176" s="9"/>
      <c r="T176" s="9"/>
      <c r="U176" s="9"/>
      <c r="V176" s="9"/>
      <c r="W176" s="9"/>
      <c r="X176" s="9"/>
      <c r="Y176" s="9"/>
      <c r="Z176" s="9"/>
      <c r="AA176" s="9"/>
      <c r="AB176" s="1966"/>
      <c r="AC176" s="237">
        <f>MAX(J176/J211)</f>
        <v>1.6472451634800316E-2</v>
      </c>
      <c r="AD176" s="235">
        <f t="shared" si="30"/>
        <v>30474.035524380583</v>
      </c>
      <c r="AE176" s="238">
        <f>MAX(I176/I211)</f>
        <v>1.7056237538136308E-2</v>
      </c>
      <c r="AF176" s="235">
        <f t="shared" si="31"/>
        <v>217585.25127460543</v>
      </c>
      <c r="AG176" s="238">
        <f>MAX(H176/H211)</f>
        <v>1.7881661717278157E-2</v>
      </c>
      <c r="AH176" s="235">
        <f t="shared" si="32"/>
        <v>116181.22674146311</v>
      </c>
    </row>
    <row r="177" spans="1:34" ht="15" customHeight="1" x14ac:dyDescent="0.2">
      <c r="A177" s="962" t="s">
        <v>937</v>
      </c>
      <c r="B177" s="1498">
        <v>30.5</v>
      </c>
      <c r="C177" s="1146">
        <v>1</v>
      </c>
      <c r="D177" s="1146">
        <v>8</v>
      </c>
      <c r="E177" s="1146">
        <v>0</v>
      </c>
      <c r="F177" s="1146">
        <v>0</v>
      </c>
      <c r="G177" s="1146">
        <v>3</v>
      </c>
      <c r="H177" s="1146">
        <v>19.5</v>
      </c>
      <c r="I177" s="1146">
        <v>31.5</v>
      </c>
      <c r="J177" s="1147">
        <v>117</v>
      </c>
      <c r="K177" s="1147">
        <v>6</v>
      </c>
      <c r="L177" s="1066" t="s">
        <v>1129</v>
      </c>
      <c r="M177" s="959">
        <v>1850000</v>
      </c>
      <c r="N177" s="959">
        <v>12756931.344799999</v>
      </c>
      <c r="O177" s="1149">
        <v>6497227.6390399998</v>
      </c>
      <c r="P177" s="9"/>
      <c r="Q177" s="2005"/>
      <c r="R177" s="1646"/>
      <c r="S177" s="9"/>
      <c r="T177" s="9"/>
      <c r="U177" s="9"/>
      <c r="V177" s="9"/>
      <c r="Y177" s="9"/>
      <c r="Z177" s="9"/>
      <c r="AA177" s="9"/>
      <c r="AB177" s="1966"/>
      <c r="AC177" s="237">
        <f>MAX(J177/J211)</f>
        <v>5.2947165969001019E-3</v>
      </c>
      <c r="AD177" s="235">
        <f t="shared" si="30"/>
        <v>9795.2257042651891</v>
      </c>
      <c r="AE177" s="238">
        <f>MAX(I177/I211)</f>
        <v>7.567203978187235E-3</v>
      </c>
      <c r="AF177" s="235">
        <f t="shared" si="31"/>
        <v>96534.301621831983</v>
      </c>
      <c r="AG177" s="238">
        <f>MAX(H177/H211)</f>
        <v>6.2266500622665012E-3</v>
      </c>
      <c r="AH177" s="235">
        <f t="shared" si="32"/>
        <v>40455.962883188047</v>
      </c>
    </row>
    <row r="178" spans="1:34" ht="15" customHeight="1" x14ac:dyDescent="0.2">
      <c r="A178" s="962" t="s">
        <v>360</v>
      </c>
      <c r="B178" s="1498">
        <v>64</v>
      </c>
      <c r="C178" s="1146">
        <v>3</v>
      </c>
      <c r="D178" s="1146">
        <v>17</v>
      </c>
      <c r="E178" s="1146">
        <v>0</v>
      </c>
      <c r="F178" s="1146">
        <v>0</v>
      </c>
      <c r="G178" s="1146">
        <v>0</v>
      </c>
      <c r="H178" s="1146">
        <v>47</v>
      </c>
      <c r="I178" s="1146">
        <v>67</v>
      </c>
      <c r="J178" s="1147">
        <v>211.5</v>
      </c>
      <c r="K178" s="1147">
        <v>4.5</v>
      </c>
      <c r="L178" s="1066" t="s">
        <v>1129</v>
      </c>
      <c r="M178" s="959">
        <v>1850000</v>
      </c>
      <c r="N178" s="959">
        <v>12756931.344799999</v>
      </c>
      <c r="O178" s="1149">
        <v>6497227.6390399998</v>
      </c>
      <c r="P178" s="9"/>
      <c r="Q178" s="2005"/>
      <c r="R178" s="1646"/>
      <c r="S178" s="9"/>
      <c r="T178" s="9"/>
      <c r="U178" s="9"/>
      <c r="V178" s="9"/>
      <c r="W178" s="9"/>
      <c r="X178" s="9"/>
      <c r="Y178" s="9"/>
      <c r="Z178" s="9"/>
      <c r="AA178" s="9"/>
      <c r="AB178" s="1966"/>
      <c r="AC178" s="237">
        <f>MAX(J178/J211)</f>
        <v>9.5712184636271066E-3</v>
      </c>
      <c r="AD178" s="235">
        <f t="shared" si="30"/>
        <v>17706.754157710147</v>
      </c>
      <c r="AE178" s="238">
        <f>MAX(I178/I211)</f>
        <v>1.6095322747255388E-2</v>
      </c>
      <c r="AF178" s="235">
        <f t="shared" si="31"/>
        <v>205326.92725913471</v>
      </c>
      <c r="AG178" s="238">
        <f>MAX(H178/H211)</f>
        <v>1.500782322700131E-2</v>
      </c>
      <c r="AH178" s="235">
        <f t="shared" si="32"/>
        <v>97509.243872299397</v>
      </c>
    </row>
    <row r="179" spans="1:34" ht="15" customHeight="1" x14ac:dyDescent="0.2">
      <c r="A179" s="962" t="s">
        <v>938</v>
      </c>
      <c r="B179" s="1498">
        <v>147.25</v>
      </c>
      <c r="C179" s="1146">
        <v>15</v>
      </c>
      <c r="D179" s="1146">
        <v>10</v>
      </c>
      <c r="E179" s="1146">
        <v>4</v>
      </c>
      <c r="F179" s="1146">
        <v>0</v>
      </c>
      <c r="G179" s="1146">
        <v>4</v>
      </c>
      <c r="H179" s="1146">
        <v>129.25</v>
      </c>
      <c r="I179" s="1146">
        <v>158.25</v>
      </c>
      <c r="J179" s="1147">
        <v>775.5</v>
      </c>
      <c r="K179" s="1147">
        <v>6</v>
      </c>
      <c r="L179" s="1066" t="s">
        <v>1129</v>
      </c>
      <c r="M179" s="959">
        <v>1850000</v>
      </c>
      <c r="N179" s="959">
        <v>12756931.344799999</v>
      </c>
      <c r="O179" s="1149">
        <v>6497227.6390399998</v>
      </c>
      <c r="P179" s="9"/>
      <c r="Q179" s="2005"/>
      <c r="R179" s="1646"/>
      <c r="S179" s="9"/>
      <c r="T179" s="9"/>
      <c r="U179" s="9"/>
      <c r="V179" s="9"/>
      <c r="W179" s="9"/>
      <c r="X179" s="9"/>
      <c r="Y179" s="9"/>
      <c r="Z179" s="9"/>
      <c r="AA179" s="9"/>
      <c r="AB179" s="1966"/>
      <c r="AC179" s="237">
        <f>MAX(J179/J211)</f>
        <v>3.5094467699966062E-2</v>
      </c>
      <c r="AD179" s="235">
        <f t="shared" si="30"/>
        <v>64924.765244937211</v>
      </c>
      <c r="AE179" s="238">
        <f>MAX(I179/I211)</f>
        <v>3.8016191414226345E-2</v>
      </c>
      <c r="AF179" s="235">
        <f t="shared" si="31"/>
        <v>484969.94386206067</v>
      </c>
      <c r="AG179" s="238">
        <f>MAX(H179/H211)</f>
        <v>4.1271513874253603E-2</v>
      </c>
      <c r="AH179" s="235">
        <f t="shared" si="32"/>
        <v>268150.42064882332</v>
      </c>
    </row>
    <row r="180" spans="1:34" ht="15" customHeight="1" x14ac:dyDescent="0.2">
      <c r="A180" s="962" t="s">
        <v>362</v>
      </c>
      <c r="B180" s="1498">
        <v>71</v>
      </c>
      <c r="C180" s="1146">
        <v>3</v>
      </c>
      <c r="D180" s="1146">
        <v>8</v>
      </c>
      <c r="E180" s="1146">
        <v>0</v>
      </c>
      <c r="F180" s="1146">
        <v>1</v>
      </c>
      <c r="G180" s="1146">
        <v>0</v>
      </c>
      <c r="H180" s="1146">
        <v>62</v>
      </c>
      <c r="I180" s="1146">
        <v>73</v>
      </c>
      <c r="J180" s="1147">
        <v>372</v>
      </c>
      <c r="K180" s="1147">
        <v>6</v>
      </c>
      <c r="L180" s="1066" t="s">
        <v>1129</v>
      </c>
      <c r="M180" s="959">
        <v>1850000</v>
      </c>
      <c r="N180" s="959">
        <v>12756931.344799999</v>
      </c>
      <c r="O180" s="1149">
        <v>6497227.6390399998</v>
      </c>
      <c r="P180" s="9"/>
      <c r="Q180" s="2005"/>
      <c r="R180" s="1646"/>
      <c r="S180" s="9"/>
      <c r="T180" s="9"/>
      <c r="U180" s="9"/>
      <c r="V180" s="9"/>
      <c r="W180" s="9"/>
      <c r="X180" s="9"/>
      <c r="Y180" s="9"/>
      <c r="Z180" s="9"/>
      <c r="AA180" s="9"/>
      <c r="AB180" s="1966"/>
      <c r="AC180" s="237">
        <f>MAX(J180/J211)</f>
        <v>1.6834483538861862E-2</v>
      </c>
      <c r="AD180" s="235">
        <f t="shared" si="30"/>
        <v>31143.794546894445</v>
      </c>
      <c r="AE180" s="238">
        <f>MAX(I180/I211)</f>
        <v>1.7536694933576766E-2</v>
      </c>
      <c r="AF180" s="235">
        <f t="shared" si="31"/>
        <v>223714.4132823408</v>
      </c>
      <c r="AG180" s="238">
        <f>MAX(H180/H211)</f>
        <v>1.9797554044129386E-2</v>
      </c>
      <c r="AH180" s="235">
        <f t="shared" si="32"/>
        <v>128629.21532090557</v>
      </c>
    </row>
    <row r="181" spans="1:34" ht="15" customHeight="1" x14ac:dyDescent="0.2">
      <c r="A181" s="962" t="s">
        <v>363</v>
      </c>
      <c r="B181" s="1498">
        <v>200</v>
      </c>
      <c r="C181" s="1146">
        <v>200</v>
      </c>
      <c r="D181" s="1146">
        <v>0</v>
      </c>
      <c r="E181" s="1146">
        <v>0</v>
      </c>
      <c r="F181" s="1146">
        <v>0</v>
      </c>
      <c r="G181" s="1146">
        <v>0</v>
      </c>
      <c r="H181" s="1146">
        <v>200</v>
      </c>
      <c r="I181" s="1146">
        <v>400</v>
      </c>
      <c r="J181" s="1147">
        <v>1200</v>
      </c>
      <c r="K181" s="1147">
        <v>6</v>
      </c>
      <c r="L181" s="1066" t="s">
        <v>1129</v>
      </c>
      <c r="M181" s="959">
        <v>1850000</v>
      </c>
      <c r="N181" s="959">
        <v>12756931.344799999</v>
      </c>
      <c r="O181" s="1149">
        <v>6497227.6390399998</v>
      </c>
      <c r="P181" s="9"/>
      <c r="Q181" s="2005"/>
      <c r="R181" s="1646"/>
      <c r="S181" s="9"/>
      <c r="T181" s="9"/>
      <c r="U181" s="9"/>
      <c r="V181" s="9"/>
      <c r="W181" s="9"/>
      <c r="X181" s="9"/>
      <c r="Y181" s="9"/>
      <c r="Z181" s="9"/>
      <c r="AA181" s="9"/>
      <c r="AB181" s="1966"/>
      <c r="AC181" s="237">
        <f>MAX(J181/J211)</f>
        <v>5.4304785609231812E-2</v>
      </c>
      <c r="AD181" s="235">
        <f t="shared" si="30"/>
        <v>100463.85337707885</v>
      </c>
      <c r="AE181" s="238">
        <f>MAX(I181/I211)</f>
        <v>9.6091479088091875E-2</v>
      </c>
      <c r="AF181" s="235">
        <f t="shared" si="31"/>
        <v>1225832.4015470729</v>
      </c>
      <c r="AG181" s="238">
        <f>MAX(H181/H211)</f>
        <v>6.3863077561707698E-2</v>
      </c>
      <c r="AH181" s="235">
        <f t="shared" si="32"/>
        <v>414932.95264808252</v>
      </c>
    </row>
    <row r="182" spans="1:34" ht="15" customHeight="1" x14ac:dyDescent="0.2">
      <c r="A182" s="962" t="s">
        <v>939</v>
      </c>
      <c r="B182" s="1498">
        <v>305</v>
      </c>
      <c r="C182" s="1146">
        <v>4</v>
      </c>
      <c r="D182" s="1146">
        <v>32</v>
      </c>
      <c r="E182" s="1146">
        <v>0</v>
      </c>
      <c r="F182" s="1146">
        <v>0</v>
      </c>
      <c r="G182" s="1146">
        <v>30</v>
      </c>
      <c r="H182" s="1146">
        <v>243</v>
      </c>
      <c r="I182" s="1146">
        <v>309</v>
      </c>
      <c r="J182" s="1147">
        <v>1701</v>
      </c>
      <c r="K182" s="1147">
        <v>7</v>
      </c>
      <c r="L182" s="1066" t="s">
        <v>1129</v>
      </c>
      <c r="M182" s="959">
        <v>1850000</v>
      </c>
      <c r="N182" s="959">
        <v>12756931.344799999</v>
      </c>
      <c r="O182" s="1149">
        <v>6497227.6390399998</v>
      </c>
      <c r="P182" s="9"/>
      <c r="Q182" s="2005"/>
      <c r="R182" s="1646"/>
      <c r="S182" s="9"/>
      <c r="T182" s="9"/>
      <c r="U182" s="9"/>
      <c r="V182" s="9"/>
      <c r="Y182" s="9"/>
      <c r="Z182" s="9"/>
      <c r="AA182" s="9"/>
      <c r="AB182" s="1966"/>
      <c r="AC182" s="237">
        <f>MAX(J182/J211)</f>
        <v>7.6977033601086098E-2</v>
      </c>
      <c r="AD182" s="235">
        <f t="shared" si="30"/>
        <v>142407.51216200928</v>
      </c>
      <c r="AE182" s="238">
        <f>MAX(I182/I211)</f>
        <v>7.423066759555097E-2</v>
      </c>
      <c r="AF182" s="235">
        <f t="shared" si="31"/>
        <v>946955.53019511374</v>
      </c>
      <c r="AG182" s="238">
        <f>MAX(H182/H211)</f>
        <v>7.7593639237474865E-2</v>
      </c>
      <c r="AH182" s="235">
        <f t="shared" si="32"/>
        <v>504143.53746742033</v>
      </c>
    </row>
    <row r="183" spans="1:34" ht="15" customHeight="1" x14ac:dyDescent="0.2">
      <c r="A183" s="962" t="s">
        <v>365</v>
      </c>
      <c r="B183" s="1498">
        <v>10</v>
      </c>
      <c r="C183" s="1146">
        <v>2</v>
      </c>
      <c r="D183" s="1146">
        <v>0</v>
      </c>
      <c r="E183" s="1146">
        <v>0</v>
      </c>
      <c r="F183" s="1146">
        <v>0</v>
      </c>
      <c r="G183" s="1146">
        <v>3</v>
      </c>
      <c r="H183" s="1146">
        <v>7</v>
      </c>
      <c r="I183" s="1146">
        <v>12</v>
      </c>
      <c r="J183" s="1147">
        <v>70</v>
      </c>
      <c r="K183" s="1147">
        <v>10</v>
      </c>
      <c r="L183" s="1066" t="s">
        <v>1129</v>
      </c>
      <c r="M183" s="959">
        <v>1850000</v>
      </c>
      <c r="N183" s="959">
        <v>12756931.344799999</v>
      </c>
      <c r="O183" s="1149">
        <v>6497227.6390399998</v>
      </c>
      <c r="P183" s="9"/>
      <c r="Q183" s="2005"/>
      <c r="R183" s="1646"/>
      <c r="S183" s="9"/>
      <c r="T183" s="9"/>
      <c r="U183" s="9"/>
      <c r="V183" s="9"/>
      <c r="W183" s="9"/>
      <c r="X183" s="9"/>
      <c r="Y183" s="9"/>
      <c r="Z183" s="9"/>
      <c r="AA183" s="9"/>
      <c r="AB183" s="1966"/>
      <c r="AC183" s="237">
        <f>MAX(J183/J211)</f>
        <v>3.1677791605385225E-3</v>
      </c>
      <c r="AD183" s="235">
        <f t="shared" si="30"/>
        <v>5860.3914469962665</v>
      </c>
      <c r="AE183" s="238">
        <f>MAX(I183/I211)</f>
        <v>2.8827443726427561E-3</v>
      </c>
      <c r="AF183" s="235">
        <f t="shared" si="31"/>
        <v>36774.972046412186</v>
      </c>
      <c r="AG183" s="238">
        <f>MAX(H183/H211)</f>
        <v>2.2352077146597696E-3</v>
      </c>
      <c r="AH183" s="235">
        <f t="shared" si="32"/>
        <v>14522.653342682888</v>
      </c>
    </row>
    <row r="184" spans="1:34" ht="15" customHeight="1" x14ac:dyDescent="0.2">
      <c r="A184" s="962" t="s">
        <v>366</v>
      </c>
      <c r="B184" s="1498">
        <v>348.5</v>
      </c>
      <c r="C184" s="1146">
        <v>10</v>
      </c>
      <c r="D184" s="1146">
        <v>40</v>
      </c>
      <c r="E184" s="1146">
        <v>30</v>
      </c>
      <c r="F184" s="1146">
        <v>20</v>
      </c>
      <c r="G184" s="1146">
        <v>100</v>
      </c>
      <c r="H184" s="1146">
        <v>158.5</v>
      </c>
      <c r="I184" s="1146">
        <v>308.5</v>
      </c>
      <c r="J184" s="1147">
        <v>1268</v>
      </c>
      <c r="K184" s="1147">
        <v>8</v>
      </c>
      <c r="L184" s="1066" t="s">
        <v>1129</v>
      </c>
      <c r="M184" s="959">
        <v>1850000</v>
      </c>
      <c r="N184" s="959">
        <v>12756931.344799999</v>
      </c>
      <c r="O184" s="1149">
        <v>6497227.6390399998</v>
      </c>
      <c r="P184" s="9"/>
      <c r="Q184" s="2005"/>
      <c r="R184" s="1646"/>
      <c r="S184" s="9"/>
      <c r="T184" s="9"/>
      <c r="U184" s="9"/>
      <c r="V184" s="9"/>
      <c r="W184" s="9"/>
      <c r="X184" s="9"/>
      <c r="Y184" s="9"/>
      <c r="Z184" s="9"/>
      <c r="AA184" s="9"/>
      <c r="AB184" s="1966"/>
      <c r="AC184" s="237">
        <f>MAX(J184/J211)</f>
        <v>5.7382056793754951E-2</v>
      </c>
      <c r="AD184" s="235">
        <f t="shared" si="30"/>
        <v>106156.80506844666</v>
      </c>
      <c r="AE184" s="238">
        <f>MAX(I184/I211)</f>
        <v>7.4110553246690858E-2</v>
      </c>
      <c r="AF184" s="235">
        <f t="shared" si="31"/>
        <v>945423.23969317996</v>
      </c>
      <c r="AG184" s="238">
        <f>MAX(H184/H211)</f>
        <v>5.0611488967653356E-2</v>
      </c>
      <c r="AH184" s="235">
        <f t="shared" si="32"/>
        <v>328834.36497360544</v>
      </c>
    </row>
    <row r="185" spans="1:34" ht="15" customHeight="1" x14ac:dyDescent="0.2">
      <c r="A185" s="962" t="s">
        <v>367</v>
      </c>
      <c r="B185" s="1498">
        <v>29</v>
      </c>
      <c r="C185" s="1146"/>
      <c r="D185" s="1146"/>
      <c r="E185" s="1146"/>
      <c r="F185" s="1146"/>
      <c r="G185" s="1146"/>
      <c r="H185" s="1146">
        <v>29</v>
      </c>
      <c r="I185" s="1146">
        <v>29</v>
      </c>
      <c r="J185" s="1147">
        <v>0</v>
      </c>
      <c r="K185" s="1147"/>
      <c r="L185" s="1066" t="s">
        <v>1129</v>
      </c>
      <c r="M185" s="959">
        <v>1850000</v>
      </c>
      <c r="N185" s="959">
        <v>12756931.344799999</v>
      </c>
      <c r="O185" s="1149">
        <v>6497227.6390399998</v>
      </c>
      <c r="P185" s="9"/>
      <c r="Q185" s="2005"/>
      <c r="R185" s="1646"/>
      <c r="S185" s="9"/>
      <c r="T185" s="9"/>
      <c r="U185" s="9"/>
      <c r="V185" s="9"/>
      <c r="W185" s="9"/>
      <c r="X185" s="9"/>
      <c r="Y185" s="9"/>
      <c r="Z185" s="9"/>
      <c r="AA185" s="9"/>
      <c r="AB185" s="1966"/>
      <c r="AC185" s="237">
        <f>MAX(J185/J211)</f>
        <v>0</v>
      </c>
      <c r="AD185" s="235">
        <f t="shared" si="30"/>
        <v>0</v>
      </c>
      <c r="AE185" s="238">
        <f>MAX(I185/I211)</f>
        <v>6.9666322338866604E-3</v>
      </c>
      <c r="AF185" s="235">
        <f t="shared" si="31"/>
        <v>88872.849112162774</v>
      </c>
      <c r="AG185" s="238">
        <f>MAX(H185/H211)</f>
        <v>9.2601462464476161E-3</v>
      </c>
      <c r="AH185" s="235">
        <f t="shared" si="32"/>
        <v>60165.278133971959</v>
      </c>
    </row>
    <row r="186" spans="1:34" ht="15" customHeight="1" x14ac:dyDescent="0.2">
      <c r="A186" s="434" t="s">
        <v>940</v>
      </c>
      <c r="B186" s="1002">
        <v>277.2</v>
      </c>
      <c r="C186" s="1002">
        <v>23</v>
      </c>
      <c r="D186" s="1002">
        <v>37</v>
      </c>
      <c r="E186" s="1002">
        <v>6</v>
      </c>
      <c r="F186" s="1002">
        <v>3</v>
      </c>
      <c r="G186" s="1002">
        <v>47</v>
      </c>
      <c r="H186" s="1002">
        <v>184.2</v>
      </c>
      <c r="I186" s="1002">
        <v>291.2</v>
      </c>
      <c r="J186" s="1150">
        <v>1079.2</v>
      </c>
      <c r="K186" s="1150">
        <v>5.8588490770901203</v>
      </c>
      <c r="L186" s="1152"/>
      <c r="M186" s="996"/>
      <c r="N186" s="435"/>
      <c r="O186" s="436"/>
      <c r="P186" s="9"/>
      <c r="Q186" s="2005"/>
      <c r="R186" s="1646"/>
      <c r="S186" s="9"/>
      <c r="T186" s="9"/>
      <c r="U186" s="9"/>
      <c r="V186" s="9"/>
      <c r="W186" s="9"/>
      <c r="X186" s="9"/>
      <c r="Y186" s="9"/>
      <c r="Z186" s="9"/>
      <c r="AA186" s="9"/>
      <c r="AB186" s="1966"/>
      <c r="AC186" s="1157"/>
      <c r="AD186" s="1156"/>
      <c r="AE186" s="1158"/>
      <c r="AF186" s="1156"/>
      <c r="AG186" s="1158"/>
      <c r="AH186" s="1156"/>
    </row>
    <row r="187" spans="1:34" ht="15" customHeight="1" x14ac:dyDescent="0.2">
      <c r="A187" s="962" t="s">
        <v>369</v>
      </c>
      <c r="B187" s="1498">
        <v>190</v>
      </c>
      <c r="C187" s="1146">
        <v>20</v>
      </c>
      <c r="D187" s="1146">
        <v>22</v>
      </c>
      <c r="E187" s="1146">
        <v>2</v>
      </c>
      <c r="F187" s="1146">
        <v>3</v>
      </c>
      <c r="G187" s="1146">
        <v>35</v>
      </c>
      <c r="H187" s="1146">
        <v>128</v>
      </c>
      <c r="I187" s="1146">
        <v>205</v>
      </c>
      <c r="J187" s="1147">
        <v>768</v>
      </c>
      <c r="K187" s="1147">
        <v>6</v>
      </c>
      <c r="L187" s="1066" t="s">
        <v>1129</v>
      </c>
      <c r="M187" s="959">
        <v>1850000</v>
      </c>
      <c r="N187" s="959">
        <v>12756931.344799999</v>
      </c>
      <c r="O187" s="1149">
        <v>6497227.6390399998</v>
      </c>
      <c r="P187" s="9"/>
      <c r="Q187" s="2005"/>
      <c r="R187" s="1646"/>
      <c r="S187" s="9"/>
      <c r="T187" s="9"/>
      <c r="U187" s="9"/>
      <c r="V187" s="9"/>
      <c r="W187" s="950"/>
      <c r="X187" s="950"/>
      <c r="Y187" s="9"/>
      <c r="Z187" s="9"/>
      <c r="AA187" s="9"/>
      <c r="AB187" s="1966"/>
      <c r="AC187" s="237">
        <f>MAX(J187/J211)</f>
        <v>3.4755062789908357E-2</v>
      </c>
      <c r="AD187" s="235">
        <f>MAX(M187*AC187)</f>
        <v>64296.866161330458</v>
      </c>
      <c r="AE187" s="238">
        <f>MAX(I187/I211)</f>
        <v>4.9246883032647085E-2</v>
      </c>
      <c r="AF187" s="235">
        <f>MAX(N187*AE187)</f>
        <v>628239.10579287482</v>
      </c>
      <c r="AG187" s="238">
        <f>MAX(H187/H211)</f>
        <v>4.087236963949293E-2</v>
      </c>
      <c r="AH187" s="235">
        <f>MAX(O187*AG187)</f>
        <v>265557.08969477279</v>
      </c>
    </row>
    <row r="188" spans="1:34" ht="15" customHeight="1" x14ac:dyDescent="0.2">
      <c r="A188" s="962" t="s">
        <v>370</v>
      </c>
      <c r="B188" s="1498">
        <v>30.5</v>
      </c>
      <c r="C188" s="1146">
        <v>0</v>
      </c>
      <c r="D188" s="1146">
        <v>8</v>
      </c>
      <c r="E188" s="1146">
        <v>4</v>
      </c>
      <c r="F188" s="1146">
        <v>0</v>
      </c>
      <c r="G188" s="1146">
        <v>11</v>
      </c>
      <c r="H188" s="1146">
        <v>7.5</v>
      </c>
      <c r="I188" s="1146">
        <v>26.5</v>
      </c>
      <c r="J188" s="1147">
        <v>37.5</v>
      </c>
      <c r="K188" s="1147">
        <v>5</v>
      </c>
      <c r="L188" s="1066" t="s">
        <v>1129</v>
      </c>
      <c r="M188" s="959">
        <v>1850000</v>
      </c>
      <c r="N188" s="959">
        <v>12756931.344799999</v>
      </c>
      <c r="O188" s="1149">
        <v>6497227.6390399998</v>
      </c>
      <c r="P188" s="950"/>
      <c r="Q188" s="950"/>
      <c r="R188" s="1646"/>
      <c r="S188" s="950"/>
      <c r="T188" s="950"/>
      <c r="U188" s="950"/>
      <c r="V188" s="950"/>
      <c r="W188" s="9"/>
      <c r="X188" s="9"/>
      <c r="Y188" s="9"/>
      <c r="Z188" s="9"/>
      <c r="AA188" s="9"/>
      <c r="AB188" s="1966"/>
      <c r="AC188" s="237">
        <f>MAX(J188/J211)</f>
        <v>1.6970245502884941E-3</v>
      </c>
      <c r="AD188" s="235">
        <f>MAX(M188*AC188)</f>
        <v>3139.495418033714</v>
      </c>
      <c r="AE188" s="238">
        <f>MAX(I188/I211)</f>
        <v>6.3660604895860859E-3</v>
      </c>
      <c r="AF188" s="235">
        <f>MAX(N188*AE188)</f>
        <v>81211.396602493565</v>
      </c>
      <c r="AG188" s="238">
        <f>MAX(H188/H211)</f>
        <v>2.3948654085640389E-3</v>
      </c>
      <c r="AH188" s="235">
        <f>MAX(O188*AG188)</f>
        <v>15559.985724303095</v>
      </c>
    </row>
    <row r="189" spans="1:34" ht="15" customHeight="1" x14ac:dyDescent="0.2">
      <c r="A189" s="962" t="s">
        <v>371</v>
      </c>
      <c r="B189" s="1498">
        <v>0</v>
      </c>
      <c r="C189" s="1146">
        <v>0</v>
      </c>
      <c r="D189" s="1146">
        <v>0</v>
      </c>
      <c r="E189" s="1146">
        <v>0</v>
      </c>
      <c r="F189" s="1146">
        <v>0</v>
      </c>
      <c r="G189" s="1146">
        <v>0</v>
      </c>
      <c r="H189" s="1146">
        <v>0</v>
      </c>
      <c r="I189" s="1146">
        <v>0</v>
      </c>
      <c r="J189" s="1147">
        <v>0</v>
      </c>
      <c r="K189" s="1147">
        <v>0</v>
      </c>
      <c r="L189" s="1066"/>
      <c r="M189" s="959"/>
      <c r="N189" s="959"/>
      <c r="O189" s="1149"/>
      <c r="P189" s="9"/>
      <c r="Q189" s="2005"/>
      <c r="R189" s="1646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237">
        <f>MAX(J189/J211)</f>
        <v>0</v>
      </c>
      <c r="AD189" s="235">
        <f>MAX(M189*AC189)</f>
        <v>0</v>
      </c>
      <c r="AE189" s="238">
        <f>MAX(I189/I211)</f>
        <v>0</v>
      </c>
      <c r="AF189" s="235">
        <f>MAX(N189*AE189)</f>
        <v>0</v>
      </c>
      <c r="AG189" s="238">
        <f>MAX(H189/H211)</f>
        <v>0</v>
      </c>
      <c r="AH189" s="235">
        <f>MAX(O189*AG189)</f>
        <v>0</v>
      </c>
    </row>
    <row r="190" spans="1:34" ht="15" customHeight="1" x14ac:dyDescent="0.2">
      <c r="A190" s="962" t="s">
        <v>372</v>
      </c>
      <c r="B190" s="1498">
        <v>33.200000000000003</v>
      </c>
      <c r="C190" s="1146">
        <v>1</v>
      </c>
      <c r="D190" s="1146">
        <v>2</v>
      </c>
      <c r="E190" s="1146">
        <v>0</v>
      </c>
      <c r="F190" s="1146">
        <v>0</v>
      </c>
      <c r="G190" s="1146">
        <v>1</v>
      </c>
      <c r="H190" s="1146">
        <v>30.200000000000003</v>
      </c>
      <c r="I190" s="1146">
        <v>34.200000000000003</v>
      </c>
      <c r="J190" s="1147">
        <v>181.20000000000002</v>
      </c>
      <c r="K190" s="1147">
        <v>6</v>
      </c>
      <c r="L190" s="1066" t="s">
        <v>1129</v>
      </c>
      <c r="M190" s="959">
        <v>1850000</v>
      </c>
      <c r="N190" s="959">
        <v>12756931.344799999</v>
      </c>
      <c r="O190" s="1149">
        <v>6497227.6390399998</v>
      </c>
      <c r="P190" s="9"/>
      <c r="Q190" s="2005"/>
      <c r="R190" s="1646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237">
        <f>MAX(J190/J211)</f>
        <v>8.2000226269940048E-3</v>
      </c>
      <c r="AD190" s="235">
        <f>MAX(M190*AC190)</f>
        <v>15170.041859938909</v>
      </c>
      <c r="AE190" s="238">
        <f>MAX(I190/I211)</f>
        <v>8.2158214620318554E-3</v>
      </c>
      <c r="AF190" s="235">
        <f>MAX(N190*AE190)</f>
        <v>104808.67033227473</v>
      </c>
      <c r="AG190" s="238">
        <f>MAX(H190/H211)</f>
        <v>9.6433247118178633E-3</v>
      </c>
      <c r="AH190" s="235">
        <f>MAX(O190*AG190)</f>
        <v>62654.875849860466</v>
      </c>
    </row>
    <row r="191" spans="1:34" ht="15" customHeight="1" x14ac:dyDescent="0.2">
      <c r="A191" s="962" t="s">
        <v>373</v>
      </c>
      <c r="B191" s="1498">
        <v>23.5</v>
      </c>
      <c r="C191" s="1146">
        <v>2</v>
      </c>
      <c r="D191" s="1146">
        <v>5</v>
      </c>
      <c r="E191" s="1146">
        <v>0</v>
      </c>
      <c r="F191" s="1146">
        <v>0</v>
      </c>
      <c r="G191" s="1146">
        <v>0</v>
      </c>
      <c r="H191" s="1146">
        <v>18.5</v>
      </c>
      <c r="I191" s="1146">
        <v>25.5</v>
      </c>
      <c r="J191" s="1147">
        <v>92.5</v>
      </c>
      <c r="K191" s="1147">
        <v>5</v>
      </c>
      <c r="L191" s="1066" t="s">
        <v>1129</v>
      </c>
      <c r="M191" s="959">
        <v>1850000</v>
      </c>
      <c r="N191" s="959">
        <v>12756931.344799999</v>
      </c>
      <c r="O191" s="1149">
        <v>6497227.6390399998</v>
      </c>
      <c r="P191" s="9"/>
      <c r="Q191" s="2005"/>
      <c r="R191" s="1646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237">
        <f>MAX(J191/J211)</f>
        <v>4.1859938907116189E-3</v>
      </c>
      <c r="AD191" s="235">
        <f>MAX(M191*AC191)</f>
        <v>7744.0886978164954</v>
      </c>
      <c r="AE191" s="238">
        <f>MAX(I191/I211)</f>
        <v>6.1258317918658567E-3</v>
      </c>
      <c r="AF191" s="235">
        <f>MAX(N191*AE191)</f>
        <v>78146.815598625893</v>
      </c>
      <c r="AG191" s="238">
        <f>MAX(H191/H211)</f>
        <v>5.9073346744579628E-3</v>
      </c>
      <c r="AH191" s="235">
        <f>MAX(O191*AG191)</f>
        <v>38381.298119947634</v>
      </c>
    </row>
    <row r="192" spans="1:34" ht="15" customHeight="1" x14ac:dyDescent="0.2">
      <c r="A192" s="1154" t="s">
        <v>374</v>
      </c>
      <c r="B192" s="1002">
        <v>678.75</v>
      </c>
      <c r="C192" s="1002">
        <v>74</v>
      </c>
      <c r="D192" s="1002">
        <v>59</v>
      </c>
      <c r="E192" s="1002">
        <v>7</v>
      </c>
      <c r="F192" s="1002">
        <v>11</v>
      </c>
      <c r="G192" s="1002">
        <v>10</v>
      </c>
      <c r="H192" s="1002">
        <v>591.75</v>
      </c>
      <c r="I192" s="1002">
        <v>734.75</v>
      </c>
      <c r="J192" s="1150">
        <v>5442.7</v>
      </c>
      <c r="K192" s="1150">
        <v>9.1976341360371769</v>
      </c>
      <c r="L192" s="1152"/>
      <c r="M192" s="996"/>
      <c r="N192" s="435"/>
      <c r="O192" s="436"/>
      <c r="P192" s="9"/>
      <c r="Q192" s="2005"/>
      <c r="R192" s="1646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1157"/>
      <c r="AD192" s="1156"/>
      <c r="AE192" s="1158"/>
      <c r="AF192" s="1156"/>
      <c r="AG192" s="1158"/>
      <c r="AH192" s="1156"/>
    </row>
    <row r="193" spans="1:34" ht="15" customHeight="1" x14ac:dyDescent="0.2">
      <c r="A193" s="962" t="s">
        <v>375</v>
      </c>
      <c r="B193" s="1498">
        <v>241</v>
      </c>
      <c r="C193" s="1146">
        <v>30</v>
      </c>
      <c r="D193" s="1146">
        <v>25</v>
      </c>
      <c r="E193" s="1146">
        <v>0</v>
      </c>
      <c r="F193" s="1146">
        <v>3</v>
      </c>
      <c r="G193" s="1146">
        <v>10</v>
      </c>
      <c r="H193" s="1147">
        <v>203</v>
      </c>
      <c r="I193" s="1146">
        <v>268</v>
      </c>
      <c r="J193" s="1147">
        <v>1827</v>
      </c>
      <c r="K193" s="1147">
        <v>9</v>
      </c>
      <c r="L193" s="1066" t="s">
        <v>1129</v>
      </c>
      <c r="M193" s="959">
        <v>1850000</v>
      </c>
      <c r="N193" s="959">
        <v>12756931.344799999</v>
      </c>
      <c r="O193" s="1149">
        <v>6497227.6390399998</v>
      </c>
      <c r="P193" s="9"/>
      <c r="Q193" s="2005"/>
      <c r="R193" s="1646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237">
        <f>MAX(J193/J211)</f>
        <v>8.2679036090055433E-2</v>
      </c>
      <c r="AD193" s="235">
        <f t="shared" ref="AD193:AD200" si="33">MAX(M193*AC193)</f>
        <v>152956.21676660256</v>
      </c>
      <c r="AE193" s="238">
        <f>MAX(I193/I211)</f>
        <v>6.4381290989021553E-2</v>
      </c>
      <c r="AF193" s="235">
        <f t="shared" ref="AF193:AF200" si="34">MAX(N193*AE193)</f>
        <v>821307.70903653884</v>
      </c>
      <c r="AG193" s="238">
        <f>MAX(H193/H211)</f>
        <v>6.482102372513332E-2</v>
      </c>
      <c r="AH193" s="235">
        <f t="shared" ref="AH193:AH200" si="35">MAX(O193*AG193)</f>
        <v>421156.94693780376</v>
      </c>
    </row>
    <row r="194" spans="1:34" ht="15" customHeight="1" x14ac:dyDescent="0.2">
      <c r="A194" s="962" t="s">
        <v>376</v>
      </c>
      <c r="B194" s="1498">
        <v>38</v>
      </c>
      <c r="C194" s="1146">
        <v>8</v>
      </c>
      <c r="D194" s="1146">
        <v>0</v>
      </c>
      <c r="E194" s="1146">
        <v>0</v>
      </c>
      <c r="F194" s="1146">
        <v>0</v>
      </c>
      <c r="G194" s="1146">
        <v>0</v>
      </c>
      <c r="H194" s="1147">
        <v>38</v>
      </c>
      <c r="I194" s="1146">
        <v>46</v>
      </c>
      <c r="J194" s="1147">
        <v>684</v>
      </c>
      <c r="K194" s="1147">
        <v>18</v>
      </c>
      <c r="L194" s="1066" t="s">
        <v>1129</v>
      </c>
      <c r="M194" s="959">
        <v>1850000</v>
      </c>
      <c r="N194" s="959">
        <v>12756931.344799999</v>
      </c>
      <c r="O194" s="1149">
        <v>6497227.6390399998</v>
      </c>
      <c r="P194" s="9"/>
      <c r="Q194" s="950"/>
      <c r="R194" s="1646"/>
      <c r="S194" s="950"/>
      <c r="T194" s="950"/>
      <c r="U194" s="950"/>
      <c r="V194" s="950"/>
      <c r="W194" s="9"/>
      <c r="X194" s="9"/>
      <c r="Y194" s="9"/>
      <c r="Z194" s="9"/>
      <c r="AA194" s="9"/>
      <c r="AB194" s="9"/>
      <c r="AC194" s="237">
        <f>MAX(J194/J211)</f>
        <v>3.0953727797262135E-2</v>
      </c>
      <c r="AD194" s="235">
        <f t="shared" si="33"/>
        <v>57264.396424934952</v>
      </c>
      <c r="AE194" s="238">
        <f>MAX(I194/I211)</f>
        <v>1.1050520095130564E-2</v>
      </c>
      <c r="AF194" s="235">
        <f t="shared" si="34"/>
        <v>140970.72617791337</v>
      </c>
      <c r="AG194" s="238">
        <f>MAX(H194/H211)</f>
        <v>1.2133984736724463E-2</v>
      </c>
      <c r="AH194" s="235">
        <f t="shared" si="35"/>
        <v>78837.261003135674</v>
      </c>
    </row>
    <row r="195" spans="1:34" ht="15" customHeight="1" x14ac:dyDescent="0.2">
      <c r="A195" s="962" t="s">
        <v>377</v>
      </c>
      <c r="B195" s="1498">
        <v>105</v>
      </c>
      <c r="C195" s="1146"/>
      <c r="D195" s="1146">
        <v>10</v>
      </c>
      <c r="E195" s="1146"/>
      <c r="F195" s="1146"/>
      <c r="G195" s="1146"/>
      <c r="H195" s="1147">
        <v>95</v>
      </c>
      <c r="I195" s="1146">
        <v>105</v>
      </c>
      <c r="J195" s="1147">
        <v>950</v>
      </c>
      <c r="K195" s="1147">
        <v>10</v>
      </c>
      <c r="L195" s="1066" t="s">
        <v>1129</v>
      </c>
      <c r="M195" s="959">
        <v>1850000</v>
      </c>
      <c r="N195" s="959">
        <v>12756931.344799999</v>
      </c>
      <c r="O195" s="1149">
        <v>6497227.6390399998</v>
      </c>
      <c r="P195" s="9"/>
      <c r="Q195" s="2005"/>
      <c r="R195" s="1646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237">
        <f>MAX(J195/J211)</f>
        <v>4.2991288607308518E-2</v>
      </c>
      <c r="AD195" s="235">
        <f t="shared" si="33"/>
        <v>79533.883923520756</v>
      </c>
      <c r="AE195" s="238">
        <f>MAX(I195/I211)</f>
        <v>2.5224013260624116E-2</v>
      </c>
      <c r="AF195" s="235">
        <f t="shared" si="34"/>
        <v>321781.00540610659</v>
      </c>
      <c r="AG195" s="238">
        <f>MAX(H195/H211)</f>
        <v>3.033496184181116E-2</v>
      </c>
      <c r="AH195" s="235">
        <f t="shared" si="35"/>
        <v>197093.1525078392</v>
      </c>
    </row>
    <row r="196" spans="1:34" ht="15" customHeight="1" x14ac:dyDescent="0.2">
      <c r="A196" s="962" t="s">
        <v>378</v>
      </c>
      <c r="B196" s="1498">
        <v>102</v>
      </c>
      <c r="C196" s="1146">
        <v>0</v>
      </c>
      <c r="D196" s="1146">
        <v>2</v>
      </c>
      <c r="E196" s="1146">
        <v>0</v>
      </c>
      <c r="F196" s="1146">
        <v>0</v>
      </c>
      <c r="G196" s="1146">
        <v>0</v>
      </c>
      <c r="H196" s="1147">
        <v>100</v>
      </c>
      <c r="I196" s="1146">
        <v>102</v>
      </c>
      <c r="J196" s="1147">
        <v>540</v>
      </c>
      <c r="K196" s="1147">
        <v>5.4</v>
      </c>
      <c r="L196" s="1066" t="s">
        <v>1129</v>
      </c>
      <c r="M196" s="959">
        <v>1850000</v>
      </c>
      <c r="N196" s="959">
        <v>12756931.344799999</v>
      </c>
      <c r="O196" s="1149">
        <v>6497227.6390399998</v>
      </c>
      <c r="P196" s="9"/>
      <c r="Q196" s="2005"/>
      <c r="R196" s="1646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237">
        <f>MAX(J196/J211)</f>
        <v>2.4437153524154317E-2</v>
      </c>
      <c r="AD196" s="235">
        <f t="shared" si="33"/>
        <v>45208.734019685486</v>
      </c>
      <c r="AE196" s="238">
        <f>MAX(I196/I211)</f>
        <v>2.4503327167463427E-2</v>
      </c>
      <c r="AF196" s="235">
        <f t="shared" si="34"/>
        <v>312587.26239450357</v>
      </c>
      <c r="AG196" s="238">
        <f>MAX(H196/H211)</f>
        <v>3.1931538780853849E-2</v>
      </c>
      <c r="AH196" s="235">
        <f t="shared" si="35"/>
        <v>207466.47632404126</v>
      </c>
    </row>
    <row r="197" spans="1:34" ht="15" customHeight="1" x14ac:dyDescent="0.2">
      <c r="A197" s="962" t="s">
        <v>379</v>
      </c>
      <c r="B197" s="1498">
        <v>45</v>
      </c>
      <c r="C197" s="1146"/>
      <c r="D197" s="1146">
        <v>9</v>
      </c>
      <c r="E197" s="1146"/>
      <c r="F197" s="1146"/>
      <c r="G197" s="1146"/>
      <c r="H197" s="1147">
        <v>36</v>
      </c>
      <c r="I197" s="1146">
        <v>45</v>
      </c>
      <c r="J197" s="1147">
        <v>360</v>
      </c>
      <c r="K197" s="1147">
        <v>10</v>
      </c>
      <c r="L197" s="1066" t="s">
        <v>1129</v>
      </c>
      <c r="M197" s="959">
        <v>1850000</v>
      </c>
      <c r="N197" s="959">
        <v>12756931.344799999</v>
      </c>
      <c r="O197" s="1149">
        <v>6497227.6390399998</v>
      </c>
      <c r="P197" s="9"/>
      <c r="Q197" s="2005"/>
      <c r="R197" s="1646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237">
        <f>MAX(J197/J211)</f>
        <v>1.6291435682769546E-2</v>
      </c>
      <c r="AD197" s="235">
        <f t="shared" si="33"/>
        <v>30139.156013123658</v>
      </c>
      <c r="AE197" s="238">
        <f>MAX(I197/I211)</f>
        <v>1.0810291397410335E-2</v>
      </c>
      <c r="AF197" s="235">
        <f t="shared" si="34"/>
        <v>137906.1451740457</v>
      </c>
      <c r="AG197" s="238">
        <f>MAX(H197/H211)</f>
        <v>1.1495353961107386E-2</v>
      </c>
      <c r="AH197" s="235">
        <f t="shared" si="35"/>
        <v>74687.931476654849</v>
      </c>
    </row>
    <row r="198" spans="1:34" ht="15" customHeight="1" x14ac:dyDescent="0.2">
      <c r="A198" s="962" t="s">
        <v>380</v>
      </c>
      <c r="B198" s="1498">
        <v>29.5</v>
      </c>
      <c r="C198" s="1146">
        <v>2</v>
      </c>
      <c r="D198" s="1146">
        <v>10</v>
      </c>
      <c r="E198" s="1146">
        <v>0</v>
      </c>
      <c r="F198" s="1146">
        <v>0</v>
      </c>
      <c r="G198" s="1146">
        <v>0</v>
      </c>
      <c r="H198" s="1147">
        <v>19.5</v>
      </c>
      <c r="I198" s="1146">
        <v>31.5</v>
      </c>
      <c r="J198" s="1147">
        <v>117</v>
      </c>
      <c r="K198" s="1147">
        <v>6</v>
      </c>
      <c r="L198" s="1066" t="s">
        <v>1129</v>
      </c>
      <c r="M198" s="959">
        <v>1850000</v>
      </c>
      <c r="N198" s="959">
        <v>12756931.344799999</v>
      </c>
      <c r="O198" s="1149">
        <v>6497227.6390399998</v>
      </c>
      <c r="P198" s="9"/>
      <c r="Q198" s="2005"/>
      <c r="R198" s="1646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237">
        <f>MAX(J198/J211)</f>
        <v>5.2947165969001019E-3</v>
      </c>
      <c r="AD198" s="235">
        <f t="shared" si="33"/>
        <v>9795.2257042651891</v>
      </c>
      <c r="AE198" s="238">
        <f>MAX(I198/I211)</f>
        <v>7.567203978187235E-3</v>
      </c>
      <c r="AF198" s="235">
        <f t="shared" si="34"/>
        <v>96534.301621831983</v>
      </c>
      <c r="AG198" s="238">
        <f>MAX(H198/H211)</f>
        <v>6.2266500622665012E-3</v>
      </c>
      <c r="AH198" s="235">
        <f t="shared" si="35"/>
        <v>40455.962883188047</v>
      </c>
    </row>
    <row r="199" spans="1:34" ht="15" customHeight="1" x14ac:dyDescent="0.2">
      <c r="A199" s="962" t="s">
        <v>381</v>
      </c>
      <c r="B199" s="1498">
        <v>90.8</v>
      </c>
      <c r="C199" s="1146"/>
      <c r="D199" s="1146"/>
      <c r="E199" s="1146"/>
      <c r="F199" s="1146"/>
      <c r="G199" s="1146"/>
      <c r="H199" s="1147">
        <v>90.8</v>
      </c>
      <c r="I199" s="1146">
        <v>90.8</v>
      </c>
      <c r="J199" s="1147">
        <v>908</v>
      </c>
      <c r="K199" s="1147">
        <v>10</v>
      </c>
      <c r="L199" s="1066" t="s">
        <v>1129</v>
      </c>
      <c r="M199" s="959">
        <v>1850000</v>
      </c>
      <c r="N199" s="959">
        <v>12756931.344799999</v>
      </c>
      <c r="O199" s="1149">
        <v>6497227.6390399998</v>
      </c>
      <c r="P199" s="9"/>
      <c r="R199" s="1646"/>
      <c r="W199" s="9"/>
      <c r="X199" s="9"/>
      <c r="Y199" s="9"/>
      <c r="Z199" s="9"/>
      <c r="AA199" s="9"/>
      <c r="AB199" s="9"/>
      <c r="AC199" s="237">
        <f>MAX(J199/J211)</f>
        <v>4.1090621110985402E-2</v>
      </c>
      <c r="AD199" s="235">
        <f t="shared" si="33"/>
        <v>76017.649055322996</v>
      </c>
      <c r="AE199" s="238">
        <f>MAX(I199/I211)</f>
        <v>2.1812765752996854E-2</v>
      </c>
      <c r="AF199" s="235">
        <f t="shared" si="34"/>
        <v>278263.95515118551</v>
      </c>
      <c r="AG199" s="238">
        <f>MAX(H199/H211)</f>
        <v>2.8993837213015294E-2</v>
      </c>
      <c r="AH199" s="235">
        <f t="shared" si="35"/>
        <v>188379.56050222946</v>
      </c>
    </row>
    <row r="200" spans="1:34" ht="15" customHeight="1" x14ac:dyDescent="0.2">
      <c r="A200" s="962" t="s">
        <v>382</v>
      </c>
      <c r="B200" s="1498">
        <v>27.45</v>
      </c>
      <c r="C200" s="1146">
        <v>34</v>
      </c>
      <c r="D200" s="1146">
        <v>3</v>
      </c>
      <c r="E200" s="1146">
        <v>7</v>
      </c>
      <c r="F200" s="1146">
        <v>8</v>
      </c>
      <c r="G200" s="1146">
        <v>0</v>
      </c>
      <c r="H200" s="1147">
        <v>9.4500000000000028</v>
      </c>
      <c r="I200" s="1146">
        <v>46.45</v>
      </c>
      <c r="J200" s="1147">
        <v>56.700000000000017</v>
      </c>
      <c r="K200" s="1147">
        <v>6</v>
      </c>
      <c r="L200" s="1066" t="s">
        <v>1129</v>
      </c>
      <c r="M200" s="959">
        <v>1850000</v>
      </c>
      <c r="N200" s="959">
        <v>12756931.344799999</v>
      </c>
      <c r="O200" s="1149">
        <v>6497227.6390399998</v>
      </c>
      <c r="P200" s="9"/>
      <c r="Q200" s="2005"/>
      <c r="R200" s="1646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237">
        <f>MAX(J200/J211)</f>
        <v>2.5659011200362038E-3</v>
      </c>
      <c r="AD200" s="235">
        <f t="shared" si="33"/>
        <v>4746.9170720669772</v>
      </c>
      <c r="AE200" s="238">
        <f>MAX(I200/I211)</f>
        <v>1.115862300910467E-2</v>
      </c>
      <c r="AF200" s="235">
        <f t="shared" si="34"/>
        <v>142349.78762965385</v>
      </c>
      <c r="AG200" s="238">
        <f>MAX(H200/H211)</f>
        <v>3.0175304147906897E-3</v>
      </c>
      <c r="AH200" s="235">
        <f t="shared" si="35"/>
        <v>19605.582012621904</v>
      </c>
    </row>
    <row r="201" spans="1:34" ht="15" customHeight="1" x14ac:dyDescent="0.2">
      <c r="A201" s="1154" t="s">
        <v>383</v>
      </c>
      <c r="B201" s="1002">
        <v>280.5</v>
      </c>
      <c r="C201" s="1002">
        <v>90</v>
      </c>
      <c r="D201" s="1002">
        <v>41</v>
      </c>
      <c r="E201" s="1002">
        <v>6</v>
      </c>
      <c r="F201" s="1002">
        <v>1</v>
      </c>
      <c r="G201" s="1002">
        <v>21</v>
      </c>
      <c r="H201" s="1002">
        <v>211.5</v>
      </c>
      <c r="I201" s="1002">
        <v>363.5</v>
      </c>
      <c r="J201" s="1150">
        <v>1788.5</v>
      </c>
      <c r="K201" s="1150">
        <v>8.456264775413711</v>
      </c>
      <c r="L201" s="1152"/>
      <c r="M201" s="996"/>
      <c r="N201" s="435"/>
      <c r="O201" s="436"/>
      <c r="P201" s="9"/>
      <c r="Q201" s="2005"/>
      <c r="R201" s="1646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1157"/>
      <c r="AD201" s="1156"/>
      <c r="AE201" s="1158"/>
      <c r="AF201" s="1156"/>
      <c r="AG201" s="1158"/>
      <c r="AH201" s="1156"/>
    </row>
    <row r="202" spans="1:34" ht="15" customHeight="1" x14ac:dyDescent="0.2">
      <c r="A202" s="962" t="s">
        <v>384</v>
      </c>
      <c r="B202" s="1498">
        <v>78.5</v>
      </c>
      <c r="C202" s="1146">
        <v>15</v>
      </c>
      <c r="D202" s="1146">
        <v>0</v>
      </c>
      <c r="E202" s="1146">
        <v>3</v>
      </c>
      <c r="F202" s="1146">
        <v>0</v>
      </c>
      <c r="G202" s="1146">
        <v>8</v>
      </c>
      <c r="H202" s="1147">
        <v>67.5</v>
      </c>
      <c r="I202" s="1146">
        <v>90.5</v>
      </c>
      <c r="J202" s="1147">
        <v>810</v>
      </c>
      <c r="K202" s="1147">
        <v>12</v>
      </c>
      <c r="L202" s="1066" t="s">
        <v>1129</v>
      </c>
      <c r="M202" s="959">
        <v>1850000</v>
      </c>
      <c r="N202" s="959">
        <v>12756931.344799999</v>
      </c>
      <c r="O202" s="1149">
        <v>6497227.6390399998</v>
      </c>
      <c r="P202" s="9"/>
      <c r="Q202" s="2005"/>
      <c r="R202" s="1646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237">
        <f>MAX(J202/J211)</f>
        <v>3.6655730286231474E-2</v>
      </c>
      <c r="AD202" s="235">
        <f t="shared" ref="AD202:AD210" si="36">MAX(M202*AC202)</f>
        <v>67813.101029528232</v>
      </c>
      <c r="AE202" s="238">
        <f>MAX(I202/I211)</f>
        <v>2.1740697143680786E-2</v>
      </c>
      <c r="AF202" s="235">
        <f t="shared" ref="AF202:AF210" si="37">MAX(N202*AE202)</f>
        <v>277344.58085002523</v>
      </c>
      <c r="AG202" s="238">
        <f>MAX(H202/H211)</f>
        <v>2.1553788677076351E-2</v>
      </c>
      <c r="AH202" s="235">
        <f t="shared" ref="AH202:AH210" si="38">MAX(O202*AG202)</f>
        <v>140039.87151872786</v>
      </c>
    </row>
    <row r="203" spans="1:34" ht="15" customHeight="1" x14ac:dyDescent="0.2">
      <c r="A203" s="962" t="s">
        <v>385</v>
      </c>
      <c r="B203" s="1498">
        <v>70</v>
      </c>
      <c r="C203" s="1146">
        <v>20</v>
      </c>
      <c r="D203" s="1146">
        <v>30</v>
      </c>
      <c r="E203" s="1146">
        <v>2</v>
      </c>
      <c r="F203" s="1146">
        <v>1</v>
      </c>
      <c r="G203" s="1146">
        <v>0</v>
      </c>
      <c r="H203" s="1147">
        <v>37</v>
      </c>
      <c r="I203" s="1146">
        <v>87</v>
      </c>
      <c r="J203" s="1147">
        <v>259</v>
      </c>
      <c r="K203" s="1147">
        <v>7</v>
      </c>
      <c r="L203" s="1066" t="s">
        <v>1129</v>
      </c>
      <c r="M203" s="959">
        <v>1850000</v>
      </c>
      <c r="N203" s="959">
        <v>12756931.344799999</v>
      </c>
      <c r="O203" s="1149">
        <v>6497227.6390399998</v>
      </c>
      <c r="P203" s="9"/>
      <c r="Q203" s="2005"/>
      <c r="R203" s="1646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237">
        <f>MAX(J203/J211)</f>
        <v>1.1720782893992534E-2</v>
      </c>
      <c r="AD203" s="235">
        <f t="shared" si="36"/>
        <v>21683.448353886186</v>
      </c>
      <c r="AE203" s="238">
        <f>MAX(I203/I211)</f>
        <v>2.0899896701659981E-2</v>
      </c>
      <c r="AF203" s="235">
        <f t="shared" si="37"/>
        <v>266618.54733648832</v>
      </c>
      <c r="AG203" s="238">
        <f>MAX(H203/H211)</f>
        <v>1.1814669348915926E-2</v>
      </c>
      <c r="AH203" s="235">
        <f t="shared" si="38"/>
        <v>76762.596239895269</v>
      </c>
    </row>
    <row r="204" spans="1:34" ht="15" customHeight="1" x14ac:dyDescent="0.2">
      <c r="A204" s="962" t="s">
        <v>386</v>
      </c>
      <c r="B204" s="1498">
        <v>15.5</v>
      </c>
      <c r="C204" s="1146">
        <v>0</v>
      </c>
      <c r="D204" s="1146">
        <v>0</v>
      </c>
      <c r="E204" s="1146">
        <v>0</v>
      </c>
      <c r="F204" s="1146">
        <v>0</v>
      </c>
      <c r="G204" s="1146">
        <v>0</v>
      </c>
      <c r="H204" s="1147">
        <v>15.5</v>
      </c>
      <c r="I204" s="1146">
        <v>15.5</v>
      </c>
      <c r="J204" s="1147">
        <v>124</v>
      </c>
      <c r="K204" s="1147">
        <v>8</v>
      </c>
      <c r="L204" s="1066" t="s">
        <v>1129</v>
      </c>
      <c r="M204" s="959">
        <v>1850000</v>
      </c>
      <c r="N204" s="959">
        <v>12756931.344799999</v>
      </c>
      <c r="O204" s="1149">
        <v>6497227.6390399998</v>
      </c>
      <c r="P204" s="9"/>
      <c r="Q204" s="9"/>
      <c r="R204" s="1646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237">
        <f>MAX(J204/J211)</f>
        <v>5.6114945129539543E-3</v>
      </c>
      <c r="AD204" s="235">
        <f t="shared" si="36"/>
        <v>10381.264848964816</v>
      </c>
      <c r="AE204" s="238">
        <f>MAX(I204/I211)</f>
        <v>3.7235448146635598E-3</v>
      </c>
      <c r="AF204" s="235">
        <f t="shared" si="37"/>
        <v>47501.005559949066</v>
      </c>
      <c r="AG204" s="238">
        <f>MAX(H204/H211)</f>
        <v>4.9493885110323465E-3</v>
      </c>
      <c r="AH204" s="235">
        <f t="shared" si="38"/>
        <v>32157.303830226392</v>
      </c>
    </row>
    <row r="205" spans="1:34" ht="15" customHeight="1" x14ac:dyDescent="0.2">
      <c r="A205" s="962" t="s">
        <v>387</v>
      </c>
      <c r="B205" s="245">
        <v>36</v>
      </c>
      <c r="C205" s="1146">
        <v>5</v>
      </c>
      <c r="D205" s="1146">
        <v>6</v>
      </c>
      <c r="E205" s="1146">
        <v>1</v>
      </c>
      <c r="F205" s="1146">
        <v>0</v>
      </c>
      <c r="G205" s="1146">
        <v>3</v>
      </c>
      <c r="H205" s="1147">
        <v>26</v>
      </c>
      <c r="I205" s="1146">
        <v>40</v>
      </c>
      <c r="J205" s="1147">
        <v>208</v>
      </c>
      <c r="K205" s="1147">
        <v>8</v>
      </c>
      <c r="L205" s="1066" t="s">
        <v>1129</v>
      </c>
      <c r="M205" s="959">
        <v>1850000</v>
      </c>
      <c r="N205" s="959">
        <v>12756931.344799999</v>
      </c>
      <c r="O205" s="1149">
        <v>6497227.6390399998</v>
      </c>
      <c r="P205" s="9"/>
      <c r="R205" s="1646"/>
      <c r="W205" s="9"/>
      <c r="X205" s="9"/>
      <c r="Y205" s="9"/>
      <c r="Z205" s="9"/>
      <c r="AA205" s="9"/>
      <c r="AB205" s="9"/>
      <c r="AC205" s="237">
        <f>MAX(J205/J211)</f>
        <v>9.4128295056001808E-3</v>
      </c>
      <c r="AD205" s="235">
        <f t="shared" si="36"/>
        <v>17413.734585360333</v>
      </c>
      <c r="AE205" s="238">
        <f>MAX(I205/I211)</f>
        <v>9.6091479088091861E-3</v>
      </c>
      <c r="AF205" s="235">
        <f t="shared" si="37"/>
        <v>122583.24015470727</v>
      </c>
      <c r="AG205" s="238">
        <f>MAX(H205/H211)</f>
        <v>8.3022000830220016E-3</v>
      </c>
      <c r="AH205" s="235">
        <f t="shared" si="38"/>
        <v>53941.283844250727</v>
      </c>
    </row>
    <row r="206" spans="1:34" ht="15" customHeight="1" x14ac:dyDescent="0.2">
      <c r="A206" s="962" t="s">
        <v>388</v>
      </c>
      <c r="B206" s="956">
        <v>22.5</v>
      </c>
      <c r="C206" s="1146">
        <v>15</v>
      </c>
      <c r="D206" s="1146"/>
      <c r="E206" s="1146"/>
      <c r="F206" s="1146"/>
      <c r="G206" s="1146">
        <v>10</v>
      </c>
      <c r="H206" s="1147">
        <v>12.5</v>
      </c>
      <c r="I206" s="1146">
        <v>37.5</v>
      </c>
      <c r="J206" s="1147">
        <v>62.5</v>
      </c>
      <c r="K206" s="1147">
        <v>5</v>
      </c>
      <c r="L206" s="1066" t="s">
        <v>1129</v>
      </c>
      <c r="M206" s="959">
        <v>1850000</v>
      </c>
      <c r="N206" s="959">
        <v>12756931.344799999</v>
      </c>
      <c r="O206" s="1149">
        <v>6497227.6390399998</v>
      </c>
      <c r="P206" s="9"/>
      <c r="Q206" s="9"/>
      <c r="R206" s="1646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237">
        <f>MAX(J206/J211)</f>
        <v>2.8283742504808238E-3</v>
      </c>
      <c r="AD206" s="235">
        <f t="shared" si="36"/>
        <v>5232.4923633895241</v>
      </c>
      <c r="AE206" s="238">
        <f>MAX(I206/I211)</f>
        <v>9.0085761645086124E-3</v>
      </c>
      <c r="AF206" s="235">
        <f t="shared" si="37"/>
        <v>114921.78764503807</v>
      </c>
      <c r="AG206" s="238">
        <f>MAX(H206/H211)</f>
        <v>3.9914423476067312E-3</v>
      </c>
      <c r="AH206" s="235">
        <f t="shared" si="38"/>
        <v>25933.309540505157</v>
      </c>
    </row>
    <row r="207" spans="1:34" ht="15" customHeight="1" x14ac:dyDescent="0.2">
      <c r="A207" s="962" t="s">
        <v>389</v>
      </c>
      <c r="B207" s="956">
        <v>25.5</v>
      </c>
      <c r="C207" s="1146">
        <v>35</v>
      </c>
      <c r="D207" s="1146"/>
      <c r="E207" s="1146"/>
      <c r="F207" s="1146"/>
      <c r="G207" s="1146"/>
      <c r="H207" s="1147">
        <v>25.5</v>
      </c>
      <c r="I207" s="1146">
        <v>60.5</v>
      </c>
      <c r="J207" s="1147">
        <v>153</v>
      </c>
      <c r="K207" s="1147">
        <v>6</v>
      </c>
      <c r="L207" s="1066" t="s">
        <v>1129</v>
      </c>
      <c r="M207" s="959">
        <v>1850000</v>
      </c>
      <c r="N207" s="959">
        <v>12756931.344799999</v>
      </c>
      <c r="O207" s="1149">
        <v>6497227.6390399998</v>
      </c>
      <c r="P207" s="9"/>
      <c r="Q207" s="9"/>
      <c r="R207" s="1646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237">
        <f>MAX(J207/J211)</f>
        <v>6.9238601651770565E-3</v>
      </c>
      <c r="AD207" s="235">
        <f t="shared" si="36"/>
        <v>12809.141305577554</v>
      </c>
      <c r="AE207" s="238">
        <f>MAX(I207/I211)</f>
        <v>1.4533836212073895E-2</v>
      </c>
      <c r="AF207" s="235">
        <f t="shared" si="37"/>
        <v>185407.15073399476</v>
      </c>
      <c r="AG207" s="238">
        <f>MAX(H207/H211)</f>
        <v>8.142542389117732E-3</v>
      </c>
      <c r="AH207" s="235">
        <f t="shared" si="38"/>
        <v>52903.951462630524</v>
      </c>
    </row>
    <row r="208" spans="1:34" ht="15" customHeight="1" x14ac:dyDescent="0.2">
      <c r="A208" s="962" t="s">
        <v>390</v>
      </c>
      <c r="B208" s="956">
        <v>25.5</v>
      </c>
      <c r="C208" s="1146"/>
      <c r="D208" s="1146">
        <v>5</v>
      </c>
      <c r="E208" s="1146"/>
      <c r="F208" s="1146"/>
      <c r="G208" s="1146"/>
      <c r="H208" s="1147">
        <v>20.5</v>
      </c>
      <c r="I208" s="1146">
        <v>25.5</v>
      </c>
      <c r="J208" s="1147">
        <v>123</v>
      </c>
      <c r="K208" s="1147">
        <v>6</v>
      </c>
      <c r="L208" s="1066" t="s">
        <v>1129</v>
      </c>
      <c r="M208" s="959">
        <v>1850000</v>
      </c>
      <c r="N208" s="959">
        <v>12756931.344799999</v>
      </c>
      <c r="O208" s="1149">
        <v>6497227.6390399998</v>
      </c>
      <c r="P208" s="9"/>
      <c r="Q208" s="9"/>
      <c r="R208" s="1646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237">
        <f>MAX(J208/J211)</f>
        <v>5.566240524946261E-3</v>
      </c>
      <c r="AD208" s="235">
        <f t="shared" si="36"/>
        <v>10297.544971150583</v>
      </c>
      <c r="AE208" s="238">
        <f>MAX(I208/I211)</f>
        <v>6.1258317918658567E-3</v>
      </c>
      <c r="AF208" s="235">
        <f t="shared" si="37"/>
        <v>78146.815598625893</v>
      </c>
      <c r="AG208" s="238">
        <f>MAX(H208/H211)</f>
        <v>6.5459654500750397E-3</v>
      </c>
      <c r="AH208" s="235">
        <f t="shared" si="38"/>
        <v>42530.62764642846</v>
      </c>
    </row>
    <row r="209" spans="1:34" ht="15" customHeight="1" x14ac:dyDescent="0.2">
      <c r="A209" s="962" t="s">
        <v>941</v>
      </c>
      <c r="B209" s="956">
        <v>0</v>
      </c>
      <c r="C209" s="1146"/>
      <c r="D209" s="1146"/>
      <c r="E209" s="1146"/>
      <c r="F209" s="1146"/>
      <c r="G209" s="1146"/>
      <c r="H209" s="1147">
        <v>0</v>
      </c>
      <c r="I209" s="1146">
        <v>0</v>
      </c>
      <c r="J209" s="1147">
        <v>0</v>
      </c>
      <c r="K209" s="1147"/>
      <c r="L209" s="1148"/>
      <c r="M209" s="959"/>
      <c r="N209" s="959"/>
      <c r="O209" s="114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237">
        <f>MAX(J209/J211)</f>
        <v>0</v>
      </c>
      <c r="AD209" s="235">
        <f t="shared" si="36"/>
        <v>0</v>
      </c>
      <c r="AE209" s="238">
        <f>MAX(I209/I211)</f>
        <v>0</v>
      </c>
      <c r="AF209" s="235">
        <f t="shared" si="37"/>
        <v>0</v>
      </c>
      <c r="AG209" s="238">
        <f>MAX(H209/H211)</f>
        <v>0</v>
      </c>
      <c r="AH209" s="235">
        <f t="shared" si="38"/>
        <v>0</v>
      </c>
    </row>
    <row r="210" spans="1:34" ht="15" customHeight="1" thickBot="1" x14ac:dyDescent="0.25">
      <c r="A210" s="1140" t="s">
        <v>392</v>
      </c>
      <c r="B210" s="244">
        <v>7</v>
      </c>
      <c r="C210" s="1141">
        <v>0</v>
      </c>
      <c r="D210" s="1141">
        <v>0</v>
      </c>
      <c r="E210" s="1141">
        <v>0</v>
      </c>
      <c r="F210" s="1141">
        <v>0</v>
      </c>
      <c r="G210" s="1141">
        <v>0</v>
      </c>
      <c r="H210" s="1147">
        <v>7</v>
      </c>
      <c r="I210" s="1146">
        <v>7</v>
      </c>
      <c r="J210" s="1147">
        <v>49</v>
      </c>
      <c r="K210" s="1142">
        <v>7</v>
      </c>
      <c r="L210" s="1066" t="s">
        <v>1129</v>
      </c>
      <c r="M210" s="959">
        <v>1850000</v>
      </c>
      <c r="N210" s="959">
        <v>12756931.344799999</v>
      </c>
      <c r="O210" s="1149">
        <v>6497227.6390399998</v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237">
        <f>MAX(J210/J211)</f>
        <v>2.2174454123769657E-3</v>
      </c>
      <c r="AD210" s="235">
        <f t="shared" si="36"/>
        <v>4102.2740128973865</v>
      </c>
      <c r="AE210" s="238">
        <f>MAX(I210/I211)</f>
        <v>1.6816008840416076E-3</v>
      </c>
      <c r="AF210" s="235">
        <f t="shared" si="37"/>
        <v>21452.067027073772</v>
      </c>
      <c r="AG210" s="238">
        <f>MAX(H210/H211)</f>
        <v>2.2352077146597696E-3</v>
      </c>
      <c r="AH210" s="235">
        <f t="shared" si="38"/>
        <v>14522.653342682888</v>
      </c>
    </row>
    <row r="211" spans="1:34" ht="15" customHeight="1" thickBot="1" x14ac:dyDescent="0.25">
      <c r="A211" s="405" t="s">
        <v>942</v>
      </c>
      <c r="B211" s="1131">
        <v>3826.7</v>
      </c>
      <c r="C211" s="1131">
        <v>425</v>
      </c>
      <c r="D211" s="1131">
        <v>388</v>
      </c>
      <c r="E211" s="1131">
        <v>53</v>
      </c>
      <c r="F211" s="1131">
        <v>36</v>
      </c>
      <c r="G211" s="1131">
        <v>218</v>
      </c>
      <c r="H211" s="1131">
        <v>3131.7</v>
      </c>
      <c r="I211" s="1131">
        <v>4162.7</v>
      </c>
      <c r="J211" s="1132">
        <v>22097.5</v>
      </c>
      <c r="K211" s="1132">
        <v>7.0560717820991794</v>
      </c>
      <c r="L211" s="1525" t="s">
        <v>1129</v>
      </c>
      <c r="M211" s="1134">
        <v>1850000.0000000005</v>
      </c>
      <c r="N211" s="1134">
        <v>12756931.344799999</v>
      </c>
      <c r="O211" s="506">
        <v>6497227.6390399989</v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1159">
        <f t="shared" ref="AC211:AH211" si="39">SUM(AC171:AC210)</f>
        <v>1</v>
      </c>
      <c r="AD211" s="1160">
        <f t="shared" si="39"/>
        <v>1850000.0000000005</v>
      </c>
      <c r="AE211" s="1161">
        <f t="shared" si="39"/>
        <v>0.99999999999999967</v>
      </c>
      <c r="AF211" s="1160">
        <f t="shared" si="39"/>
        <v>12756931.344799999</v>
      </c>
      <c r="AG211" s="1161">
        <f t="shared" si="39"/>
        <v>1</v>
      </c>
      <c r="AH211" s="1160">
        <f t="shared" si="39"/>
        <v>6497227.6390399989</v>
      </c>
    </row>
    <row r="212" spans="1:34" x14ac:dyDescent="0.2">
      <c r="A212" s="7" t="s">
        <v>1934</v>
      </c>
      <c r="B212" s="8"/>
      <c r="C212" s="8"/>
      <c r="D212" s="8"/>
      <c r="E212" s="4"/>
      <c r="F212" s="5"/>
      <c r="G212" s="9"/>
      <c r="H212" s="8"/>
      <c r="I212" s="224"/>
      <c r="J212" s="224"/>
      <c r="K212" s="240"/>
      <c r="L212" s="241"/>
      <c r="M212" s="240"/>
      <c r="N212" s="240"/>
      <c r="O212" s="240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x14ac:dyDescent="0.2">
      <c r="A213" s="34"/>
      <c r="B213" s="224"/>
      <c r="C213" s="224"/>
      <c r="D213" s="224"/>
      <c r="E213" s="224"/>
      <c r="F213" s="224"/>
      <c r="G213" s="224"/>
      <c r="H213" s="247"/>
      <c r="I213" s="224"/>
      <c r="J213" s="247"/>
      <c r="K213" s="249"/>
      <c r="L213" s="241"/>
      <c r="M213" s="240"/>
      <c r="N213" s="240"/>
      <c r="O213" s="240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x14ac:dyDescent="0.2">
      <c r="A214" s="242"/>
      <c r="B214" s="240"/>
      <c r="C214" s="240"/>
      <c r="D214" s="240"/>
      <c r="E214" s="240"/>
      <c r="F214" s="240"/>
      <c r="G214" s="240"/>
      <c r="H214" s="240"/>
      <c r="I214" s="240"/>
      <c r="J214" s="240"/>
      <c r="K214" s="240"/>
      <c r="L214" s="241"/>
      <c r="M214" s="240"/>
      <c r="N214" s="240"/>
      <c r="O214" s="240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x14ac:dyDescent="0.2">
      <c r="A215" s="242"/>
      <c r="B215" s="240"/>
      <c r="C215" s="240"/>
      <c r="D215" s="240"/>
      <c r="E215" s="240"/>
      <c r="F215" s="240"/>
      <c r="G215" s="240"/>
      <c r="H215" s="240"/>
      <c r="I215" s="240"/>
      <c r="J215" s="240"/>
      <c r="K215" s="240"/>
      <c r="L215" s="241"/>
      <c r="M215" s="240"/>
      <c r="N215" s="240"/>
      <c r="O215" s="240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5" x14ac:dyDescent="0.25">
      <c r="A216" s="2843" t="s">
        <v>1931</v>
      </c>
      <c r="B216" s="2843"/>
      <c r="C216" s="2843"/>
      <c r="D216" s="2843"/>
      <c r="E216" s="2843"/>
      <c r="F216" s="2843"/>
      <c r="G216" s="2843"/>
      <c r="H216" s="2843"/>
      <c r="I216" s="2843"/>
      <c r="J216" s="2843"/>
      <c r="K216" s="2843"/>
      <c r="L216" s="2843"/>
      <c r="M216" s="2843"/>
      <c r="N216" s="2843"/>
      <c r="O216" s="2843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3.5" thickBot="1" x14ac:dyDescent="0.25">
      <c r="A217" s="181" t="s">
        <v>1826</v>
      </c>
      <c r="B217" s="246"/>
      <c r="C217" s="240"/>
      <c r="D217" s="240"/>
      <c r="E217" s="240"/>
      <c r="F217" s="240"/>
      <c r="G217" s="240"/>
      <c r="H217" s="240"/>
      <c r="I217" s="240"/>
      <c r="J217" s="240"/>
      <c r="K217" s="240"/>
      <c r="L217" s="241"/>
      <c r="M217" s="240"/>
      <c r="N217" s="240"/>
      <c r="O217" s="240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5" customHeight="1" x14ac:dyDescent="0.2">
      <c r="A218" s="2844" t="s">
        <v>327</v>
      </c>
      <c r="B218" s="2847" t="s">
        <v>1932</v>
      </c>
      <c r="C218" s="2848"/>
      <c r="D218" s="2848"/>
      <c r="E218" s="2848"/>
      <c r="F218" s="2848"/>
      <c r="G218" s="2848"/>
      <c r="H218" s="2848"/>
      <c r="I218" s="2848"/>
      <c r="J218" s="2848"/>
      <c r="K218" s="2848"/>
      <c r="L218" s="2848"/>
      <c r="M218" s="2848"/>
      <c r="N218" s="2848"/>
      <c r="O218" s="284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228" t="s">
        <v>910</v>
      </c>
      <c r="AD218" s="229"/>
      <c r="AE218" s="229"/>
      <c r="AF218" s="229"/>
      <c r="AG218" s="229"/>
      <c r="AH218" s="243"/>
    </row>
    <row r="219" spans="1:34" ht="15" customHeight="1" x14ac:dyDescent="0.2">
      <c r="A219" s="2845"/>
      <c r="B219" s="2850" t="s">
        <v>191</v>
      </c>
      <c r="C219" s="2850"/>
      <c r="D219" s="2850"/>
      <c r="E219" s="2850"/>
      <c r="F219" s="2850"/>
      <c r="G219" s="2850"/>
      <c r="H219" s="2850"/>
      <c r="I219" s="2850"/>
      <c r="J219" s="2119"/>
      <c r="K219" s="2119" t="s">
        <v>904</v>
      </c>
      <c r="L219" s="2119"/>
      <c r="M219" s="1122" t="s">
        <v>437</v>
      </c>
      <c r="N219" s="1122" t="s">
        <v>911</v>
      </c>
      <c r="O219" s="1127" t="s">
        <v>911</v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230" t="s">
        <v>333</v>
      </c>
      <c r="AD219" s="231" t="s">
        <v>333</v>
      </c>
      <c r="AE219" s="231" t="s">
        <v>333</v>
      </c>
      <c r="AF219" s="231" t="s">
        <v>333</v>
      </c>
      <c r="AG219" s="231" t="s">
        <v>333</v>
      </c>
      <c r="AH219" s="231" t="s">
        <v>333</v>
      </c>
    </row>
    <row r="220" spans="1:34" ht="15" customHeight="1" x14ac:dyDescent="0.2">
      <c r="A220" s="2845"/>
      <c r="B220" s="2119" t="s">
        <v>433</v>
      </c>
      <c r="C220" s="2119"/>
      <c r="D220" s="2841" t="s">
        <v>1865</v>
      </c>
      <c r="E220" s="2119"/>
      <c r="F220" s="2119"/>
      <c r="G220" s="2119" t="s">
        <v>912</v>
      </c>
      <c r="H220" s="2119"/>
      <c r="I220" s="2119" t="s">
        <v>433</v>
      </c>
      <c r="J220" s="2138" t="s">
        <v>913</v>
      </c>
      <c r="K220" s="2138" t="s">
        <v>842</v>
      </c>
      <c r="L220" s="2138" t="s">
        <v>329</v>
      </c>
      <c r="M220" s="1123" t="s">
        <v>914</v>
      </c>
      <c r="N220" s="1123" t="s">
        <v>915</v>
      </c>
      <c r="O220" s="1128" t="s">
        <v>914</v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230" t="s">
        <v>913</v>
      </c>
      <c r="AD220" s="231" t="s">
        <v>916</v>
      </c>
      <c r="AE220" s="231" t="s">
        <v>917</v>
      </c>
      <c r="AF220" s="231" t="s">
        <v>918</v>
      </c>
      <c r="AG220" s="231" t="s">
        <v>192</v>
      </c>
      <c r="AH220" s="231" t="s">
        <v>918</v>
      </c>
    </row>
    <row r="221" spans="1:34" ht="15" customHeight="1" x14ac:dyDescent="0.2">
      <c r="A221" s="2845"/>
      <c r="B221" s="2138" t="s">
        <v>920</v>
      </c>
      <c r="C221" s="2138" t="s">
        <v>922</v>
      </c>
      <c r="D221" s="2842"/>
      <c r="E221" s="2138" t="s">
        <v>867</v>
      </c>
      <c r="F221" s="2138" t="s">
        <v>921</v>
      </c>
      <c r="G221" s="2138" t="s">
        <v>923</v>
      </c>
      <c r="H221" s="2138" t="s">
        <v>836</v>
      </c>
      <c r="I221" s="2138" t="s">
        <v>835</v>
      </c>
      <c r="J221" s="2138" t="s">
        <v>924</v>
      </c>
      <c r="K221" s="2138" t="s">
        <v>925</v>
      </c>
      <c r="L221" s="2138" t="s">
        <v>336</v>
      </c>
      <c r="M221" s="1123" t="s">
        <v>926</v>
      </c>
      <c r="N221" s="1123" t="s">
        <v>927</v>
      </c>
      <c r="O221" s="1128" t="s">
        <v>928</v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230"/>
      <c r="AD221" s="231" t="s">
        <v>843</v>
      </c>
      <c r="AE221" s="231"/>
      <c r="AF221" s="231" t="s">
        <v>929</v>
      </c>
      <c r="AG221" s="231"/>
      <c r="AH221" s="231" t="s">
        <v>930</v>
      </c>
    </row>
    <row r="222" spans="1:34" ht="15" customHeight="1" thickBot="1" x14ac:dyDescent="0.25">
      <c r="A222" s="2846"/>
      <c r="B222" s="1881">
        <v>44926</v>
      </c>
      <c r="C222" s="2139">
        <v>2023</v>
      </c>
      <c r="D222" s="2139">
        <v>2023</v>
      </c>
      <c r="E222" s="2139">
        <v>2023</v>
      </c>
      <c r="F222" s="2139">
        <v>2023</v>
      </c>
      <c r="G222" s="2139" t="s">
        <v>931</v>
      </c>
      <c r="H222" s="1126">
        <v>2023</v>
      </c>
      <c r="I222" s="1881">
        <v>45291</v>
      </c>
      <c r="J222" s="1881" t="s">
        <v>1933</v>
      </c>
      <c r="K222" s="1881" t="s">
        <v>1933</v>
      </c>
      <c r="L222" s="2139" t="s">
        <v>441</v>
      </c>
      <c r="M222" s="1125" t="s">
        <v>932</v>
      </c>
      <c r="N222" s="1125" t="s">
        <v>933</v>
      </c>
      <c r="O222" s="1129" t="s">
        <v>933</v>
      </c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232"/>
      <c r="AD222" s="233" t="s">
        <v>934</v>
      </c>
      <c r="AE222" s="233"/>
      <c r="AF222" s="233" t="s">
        <v>935</v>
      </c>
      <c r="AG222" s="233"/>
      <c r="AH222" s="233" t="s">
        <v>936</v>
      </c>
    </row>
    <row r="223" spans="1:34" ht="15" customHeight="1" x14ac:dyDescent="0.2">
      <c r="A223" s="1135" t="s">
        <v>352</v>
      </c>
      <c r="B223" s="1130">
        <v>8774.9</v>
      </c>
      <c r="C223" s="1130">
        <v>441</v>
      </c>
      <c r="D223" s="1130">
        <v>191</v>
      </c>
      <c r="E223" s="1130">
        <v>19</v>
      </c>
      <c r="F223" s="1130">
        <v>2</v>
      </c>
      <c r="G223" s="1130">
        <v>218</v>
      </c>
      <c r="H223" s="1130">
        <v>8344.9</v>
      </c>
      <c r="I223" s="1130">
        <v>9194.9</v>
      </c>
      <c r="J223" s="1136">
        <v>29981.969999999998</v>
      </c>
      <c r="K223" s="1535">
        <v>3.5928495248594947</v>
      </c>
      <c r="L223" s="380"/>
      <c r="M223" s="1138"/>
      <c r="N223" s="1138"/>
      <c r="O223" s="1139"/>
      <c r="P223" s="9"/>
      <c r="Y223" s="9"/>
      <c r="Z223" s="9"/>
      <c r="AA223" s="9"/>
      <c r="AB223" s="9"/>
      <c r="AC223" s="1155"/>
      <c r="AD223" s="1156"/>
      <c r="AE223" s="1156"/>
      <c r="AF223" s="1156"/>
      <c r="AG223" s="1156"/>
      <c r="AH223" s="1156"/>
    </row>
    <row r="224" spans="1:34" ht="15" customHeight="1" x14ac:dyDescent="0.2">
      <c r="A224" s="962" t="s">
        <v>353</v>
      </c>
      <c r="B224" s="1146">
        <v>878</v>
      </c>
      <c r="C224" s="1146"/>
      <c r="D224" s="1146"/>
      <c r="E224" s="1146"/>
      <c r="F224" s="1146"/>
      <c r="G224" s="1146"/>
      <c r="H224" s="1146">
        <v>878</v>
      </c>
      <c r="I224" s="1146">
        <v>878</v>
      </c>
      <c r="J224" s="1147">
        <v>2634</v>
      </c>
      <c r="K224" s="1147">
        <v>3</v>
      </c>
      <c r="L224" s="1066" t="s">
        <v>1129</v>
      </c>
      <c r="M224" s="959">
        <v>1850000</v>
      </c>
      <c r="N224" s="959">
        <v>4978011.1799408002</v>
      </c>
      <c r="O224" s="1149">
        <v>3558347.73076736</v>
      </c>
      <c r="P224" s="950"/>
      <c r="S224" s="950"/>
      <c r="T224" s="950"/>
      <c r="U224" s="950"/>
      <c r="V224" s="950"/>
      <c r="W224" s="950"/>
      <c r="X224" s="950"/>
      <c r="Y224" s="950"/>
      <c r="Z224" s="9"/>
      <c r="AA224" s="9"/>
      <c r="AB224" s="9"/>
      <c r="AC224" s="237">
        <f>MAX(J224/J264)</f>
        <v>2.9419009279814341E-2</v>
      </c>
      <c r="AD224" s="235">
        <f t="shared" ref="AD224:AD238" si="40">MAX(M224*AC224)</f>
        <v>54425.167167656531</v>
      </c>
      <c r="AE224" s="238">
        <f>MAX(I224/I264)</f>
        <v>3.1707308177015045E-2</v>
      </c>
      <c r="AF224" s="235">
        <f t="shared" ref="AF224:AF238" si="41">MAX(N224*AE224)</f>
        <v>157839.33459100925</v>
      </c>
      <c r="AG224" s="238">
        <f>MAX(H224/H264)</f>
        <v>3.548653760803034E-2</v>
      </c>
      <c r="AH224" s="235">
        <f t="shared" ref="AH224:AH238" si="42">MAX(O224*AG224)</f>
        <v>126273.44057032534</v>
      </c>
    </row>
    <row r="225" spans="1:34" ht="15" customHeight="1" x14ac:dyDescent="0.2">
      <c r="A225" s="962" t="s">
        <v>354</v>
      </c>
      <c r="B225" s="1146">
        <v>272.5</v>
      </c>
      <c r="C225" s="1146"/>
      <c r="D225" s="1146">
        <v>10</v>
      </c>
      <c r="E225" s="1146"/>
      <c r="F225" s="1146"/>
      <c r="G225" s="1146"/>
      <c r="H225" s="1146">
        <v>262.5</v>
      </c>
      <c r="I225" s="1146">
        <v>272.5</v>
      </c>
      <c r="J225" s="1147">
        <v>918.75</v>
      </c>
      <c r="K225" s="1147">
        <v>3.5</v>
      </c>
      <c r="L225" s="1066" t="s">
        <v>1129</v>
      </c>
      <c r="M225" s="959">
        <v>1850000</v>
      </c>
      <c r="N225" s="959">
        <v>4978011.1799408002</v>
      </c>
      <c r="O225" s="1149">
        <v>3558347.73076736</v>
      </c>
      <c r="P225" s="9"/>
      <c r="S225" s="9"/>
      <c r="T225" s="9"/>
      <c r="U225" s="9"/>
      <c r="V225" s="9"/>
      <c r="W225" s="950"/>
      <c r="X225" s="950"/>
      <c r="Y225" s="950"/>
      <c r="Z225" s="9"/>
      <c r="AA225" s="9"/>
      <c r="AB225" s="9"/>
      <c r="AC225" s="237">
        <f>MAX(J225/J264)</f>
        <v>1.0261471061438659E-2</v>
      </c>
      <c r="AD225" s="235">
        <f t="shared" si="40"/>
        <v>18983.721463661521</v>
      </c>
      <c r="AE225" s="238">
        <f>MAX(I225/I264)</f>
        <v>9.8408217291988606E-3</v>
      </c>
      <c r="AF225" s="235">
        <f t="shared" si="41"/>
        <v>48987.720587756288</v>
      </c>
      <c r="AG225" s="238">
        <f>MAX(H225/H264)</f>
        <v>1.060958556048743E-2</v>
      </c>
      <c r="AH225" s="235">
        <f t="shared" si="42"/>
        <v>37752.5947035426</v>
      </c>
    </row>
    <row r="226" spans="1:34" ht="15" customHeight="1" x14ac:dyDescent="0.2">
      <c r="A226" s="962" t="s">
        <v>355</v>
      </c>
      <c r="B226" s="1146">
        <v>1284.5</v>
      </c>
      <c r="C226" s="1146"/>
      <c r="D226" s="1146">
        <v>30</v>
      </c>
      <c r="E226" s="1146"/>
      <c r="F226" s="1146"/>
      <c r="G226" s="1146"/>
      <c r="H226" s="1146">
        <v>1254.5</v>
      </c>
      <c r="I226" s="1146">
        <v>1284.5</v>
      </c>
      <c r="J226" s="1147">
        <v>3763.5</v>
      </c>
      <c r="K226" s="1147">
        <v>3</v>
      </c>
      <c r="L226" s="1066" t="s">
        <v>1129</v>
      </c>
      <c r="M226" s="959">
        <v>1850000</v>
      </c>
      <c r="N226" s="959">
        <v>4978011.1799408002</v>
      </c>
      <c r="O226" s="1149">
        <v>3558347.73076736</v>
      </c>
      <c r="P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237">
        <f>MAX(J226/J264)</f>
        <v>4.2034336152080971E-2</v>
      </c>
      <c r="AD226" s="235">
        <f t="shared" si="40"/>
        <v>77763.521881349792</v>
      </c>
      <c r="AE226" s="238">
        <f>MAX(I226/I264)</f>
        <v>4.6387286279471321E-2</v>
      </c>
      <c r="AF226" s="235">
        <f t="shared" si="41"/>
        <v>230916.42970632273</v>
      </c>
      <c r="AG226" s="238">
        <f>MAX(H226/H264)</f>
        <v>5.0703714611929455E-2</v>
      </c>
      <c r="AH226" s="235">
        <f t="shared" si="42"/>
        <v>180421.44783083501</v>
      </c>
    </row>
    <row r="227" spans="1:34" ht="15" customHeight="1" x14ac:dyDescent="0.2">
      <c r="A227" s="962" t="s">
        <v>356</v>
      </c>
      <c r="B227" s="1146">
        <v>134</v>
      </c>
      <c r="C227" s="1146">
        <v>300</v>
      </c>
      <c r="D227" s="1146">
        <v>12</v>
      </c>
      <c r="E227" s="1146"/>
      <c r="F227" s="1146"/>
      <c r="G227" s="1146"/>
      <c r="H227" s="1146">
        <v>122</v>
      </c>
      <c r="I227" s="1146">
        <v>434</v>
      </c>
      <c r="J227" s="1147">
        <v>416.02000000000004</v>
      </c>
      <c r="K227" s="1147">
        <v>3.41</v>
      </c>
      <c r="L227" s="1066" t="s">
        <v>1129</v>
      </c>
      <c r="M227" s="959">
        <v>1850000</v>
      </c>
      <c r="N227" s="959">
        <v>4978011.1799408002</v>
      </c>
      <c r="O227" s="1149">
        <v>3558347.73076736</v>
      </c>
      <c r="P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237">
        <f>MAX(J227/J264)</f>
        <v>4.6465057861003658E-3</v>
      </c>
      <c r="AD227" s="235">
        <f t="shared" si="40"/>
        <v>8596.0357042856758</v>
      </c>
      <c r="AE227" s="238">
        <f>MAX(I227/I264)</f>
        <v>1.5673088552191947E-2</v>
      </c>
      <c r="AF227" s="235">
        <f t="shared" si="41"/>
        <v>78020.810037013682</v>
      </c>
      <c r="AG227" s="238">
        <f>MAX(H227/H264)</f>
        <v>4.9309311938265394E-3</v>
      </c>
      <c r="AH227" s="235">
        <f t="shared" si="42"/>
        <v>17545.967824122654</v>
      </c>
    </row>
    <row r="228" spans="1:34" ht="15" customHeight="1" x14ac:dyDescent="0.2">
      <c r="A228" s="962" t="s">
        <v>357</v>
      </c>
      <c r="B228" s="1146">
        <v>746.5</v>
      </c>
      <c r="C228" s="1146">
        <v>0</v>
      </c>
      <c r="D228" s="1146">
        <v>6</v>
      </c>
      <c r="E228" s="1146">
        <v>0</v>
      </c>
      <c r="F228" s="1146">
        <v>0</v>
      </c>
      <c r="G228" s="1146">
        <v>0</v>
      </c>
      <c r="H228" s="1146">
        <v>740.5</v>
      </c>
      <c r="I228" s="1146">
        <v>746.5</v>
      </c>
      <c r="J228" s="1147">
        <v>2221.5</v>
      </c>
      <c r="K228" s="1147">
        <v>3</v>
      </c>
      <c r="L228" s="1066" t="s">
        <v>1129</v>
      </c>
      <c r="M228" s="959">
        <v>1850000</v>
      </c>
      <c r="N228" s="959">
        <v>4978011.1799408002</v>
      </c>
      <c r="O228" s="1149">
        <v>3558347.73076736</v>
      </c>
      <c r="P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237">
        <f>MAX(J228/J264)</f>
        <v>2.4811818191005149E-2</v>
      </c>
      <c r="AD228" s="235">
        <f t="shared" si="40"/>
        <v>45901.863653359527</v>
      </c>
      <c r="AE228" s="238">
        <f>MAX(I228/I264)</f>
        <v>2.6958434571915407E-2</v>
      </c>
      <c r="AF228" s="235">
        <f t="shared" si="41"/>
        <v>134199.38869269748</v>
      </c>
      <c r="AG228" s="238">
        <f>MAX(H228/H264)</f>
        <v>2.992913564777502E-2</v>
      </c>
      <c r="AH228" s="235">
        <f t="shared" si="42"/>
        <v>106498.27191608875</v>
      </c>
    </row>
    <row r="229" spans="1:34" ht="15" customHeight="1" x14ac:dyDescent="0.2">
      <c r="A229" s="962" t="s">
        <v>358</v>
      </c>
      <c r="B229" s="1146">
        <v>301</v>
      </c>
      <c r="C229" s="1146">
        <v>0</v>
      </c>
      <c r="D229" s="1146">
        <v>0</v>
      </c>
      <c r="E229" s="1146">
        <v>0</v>
      </c>
      <c r="F229" s="1146">
        <v>0</v>
      </c>
      <c r="G229" s="1146">
        <v>0</v>
      </c>
      <c r="H229" s="1146">
        <v>301</v>
      </c>
      <c r="I229" s="1146">
        <v>301</v>
      </c>
      <c r="J229" s="1147">
        <v>1053.5</v>
      </c>
      <c r="K229" s="1147">
        <v>3.5</v>
      </c>
      <c r="L229" s="1066" t="s">
        <v>1129</v>
      </c>
      <c r="M229" s="959">
        <v>1850000</v>
      </c>
      <c r="N229" s="959">
        <v>4978011.1799408002</v>
      </c>
      <c r="O229" s="1149">
        <v>3558347.73076736</v>
      </c>
      <c r="P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237">
        <f>MAX(J229/J264)</f>
        <v>1.1766486817116329E-2</v>
      </c>
      <c r="AD229" s="235">
        <f t="shared" si="40"/>
        <v>21768.000611665208</v>
      </c>
      <c r="AE229" s="238">
        <f>MAX(I229/I264)</f>
        <v>1.087004528619764E-2</v>
      </c>
      <c r="AF229" s="235">
        <f t="shared" si="41"/>
        <v>54111.206961154647</v>
      </c>
      <c r="AG229" s="238">
        <f>MAX(H229/H264)</f>
        <v>1.2165658109358921E-2</v>
      </c>
      <c r="AH229" s="235">
        <f t="shared" si="42"/>
        <v>43289.641926728844</v>
      </c>
    </row>
    <row r="230" spans="1:34" ht="15" customHeight="1" x14ac:dyDescent="0.2">
      <c r="A230" s="962" t="s">
        <v>937</v>
      </c>
      <c r="B230" s="1146">
        <v>135.9</v>
      </c>
      <c r="C230" s="1146">
        <v>2</v>
      </c>
      <c r="D230" s="1146">
        <v>3</v>
      </c>
      <c r="E230" s="1146">
        <v>0</v>
      </c>
      <c r="F230" s="1146">
        <v>0</v>
      </c>
      <c r="G230" s="1146">
        <v>0</v>
      </c>
      <c r="H230" s="1146">
        <v>132.9</v>
      </c>
      <c r="I230" s="1146">
        <v>137.9</v>
      </c>
      <c r="J230" s="1147">
        <v>265.8</v>
      </c>
      <c r="K230" s="1147">
        <v>2</v>
      </c>
      <c r="L230" s="1066" t="s">
        <v>1129</v>
      </c>
      <c r="M230" s="959">
        <v>1850000</v>
      </c>
      <c r="N230" s="959">
        <v>4978011.1799408002</v>
      </c>
      <c r="O230" s="1149">
        <v>3558347.73076736</v>
      </c>
      <c r="P230" s="9"/>
      <c r="S230" s="9"/>
      <c r="T230" s="9"/>
      <c r="U230" s="9"/>
      <c r="V230" s="9"/>
      <c r="W230" s="9"/>
      <c r="X230" s="9"/>
      <c r="Y230" s="9"/>
      <c r="Z230" s="9"/>
      <c r="AA230" s="9"/>
      <c r="AB230" s="1967"/>
      <c r="AC230" s="237">
        <f>MAX(J230/J264)</f>
        <v>2.9687064034072332E-3</v>
      </c>
      <c r="AD230" s="235">
        <f t="shared" si="40"/>
        <v>5492.1068463033816</v>
      </c>
      <c r="AE230" s="238">
        <f>MAX(I230/I264)</f>
        <v>4.9799974915835698E-3</v>
      </c>
      <c r="AF230" s="235">
        <f t="shared" si="41"/>
        <v>24790.483189180151</v>
      </c>
      <c r="AG230" s="238">
        <f>MAX(H230/H264)</f>
        <v>5.3714816037667796E-3</v>
      </c>
      <c r="AH230" s="235">
        <f t="shared" si="42"/>
        <v>19113.59937562214</v>
      </c>
    </row>
    <row r="231" spans="1:34" ht="15" customHeight="1" x14ac:dyDescent="0.2">
      <c r="A231" s="962" t="s">
        <v>360</v>
      </c>
      <c r="B231" s="1146">
        <v>835.09999999999991</v>
      </c>
      <c r="C231" s="1146">
        <v>10</v>
      </c>
      <c r="D231" s="1146">
        <v>10</v>
      </c>
      <c r="E231" s="1146">
        <v>5</v>
      </c>
      <c r="F231" s="1146">
        <v>0</v>
      </c>
      <c r="G231" s="1146">
        <v>8</v>
      </c>
      <c r="H231" s="1146">
        <v>812.09999999999991</v>
      </c>
      <c r="I231" s="1146">
        <v>840.09999999999991</v>
      </c>
      <c r="J231" s="1147">
        <v>2436.2999999999997</v>
      </c>
      <c r="K231" s="1147">
        <v>3</v>
      </c>
      <c r="L231" s="1066" t="s">
        <v>1129</v>
      </c>
      <c r="M231" s="959">
        <v>1850000</v>
      </c>
      <c r="N231" s="959">
        <v>4978011.1799408002</v>
      </c>
      <c r="O231" s="1149">
        <v>3558347.73076736</v>
      </c>
      <c r="P231" s="9"/>
      <c r="S231" s="9"/>
      <c r="T231" s="9"/>
      <c r="U231" s="9"/>
      <c r="V231" s="9"/>
      <c r="W231" s="9"/>
      <c r="X231" s="9"/>
      <c r="Y231" s="9"/>
      <c r="Z231" s="9"/>
      <c r="AA231" s="9"/>
      <c r="AB231" s="1967"/>
      <c r="AC231" s="237">
        <f>MAX(J231/J264)</f>
        <v>2.7210908241614151E-2</v>
      </c>
      <c r="AD231" s="235">
        <f t="shared" si="40"/>
        <v>50340.18024698618</v>
      </c>
      <c r="AE231" s="238">
        <f>MAX(I231/I264)</f>
        <v>3.0338621411742976E-2</v>
      </c>
      <c r="AF231" s="235">
        <f t="shared" si="41"/>
        <v>151025.99657164788</v>
      </c>
      <c r="AG231" s="238">
        <f>MAX(H231/H264)</f>
        <v>3.2823026413987967E-2</v>
      </c>
      <c r="AH231" s="235">
        <f t="shared" si="42"/>
        <v>116795.7415571312</v>
      </c>
    </row>
    <row r="232" spans="1:34" ht="15" customHeight="1" x14ac:dyDescent="0.2">
      <c r="A232" s="962" t="s">
        <v>938</v>
      </c>
      <c r="B232" s="1146">
        <v>483.5</v>
      </c>
      <c r="C232" s="1146">
        <v>5</v>
      </c>
      <c r="D232" s="1146">
        <v>15</v>
      </c>
      <c r="E232" s="1146">
        <v>4</v>
      </c>
      <c r="F232" s="1146">
        <v>1</v>
      </c>
      <c r="G232" s="1146">
        <v>6</v>
      </c>
      <c r="H232" s="1146">
        <v>457.5</v>
      </c>
      <c r="I232" s="1146">
        <v>483.5</v>
      </c>
      <c r="J232" s="1147">
        <v>2745</v>
      </c>
      <c r="K232" s="1147">
        <v>6</v>
      </c>
      <c r="L232" s="1066" t="s">
        <v>1129</v>
      </c>
      <c r="M232" s="959">
        <v>1850000</v>
      </c>
      <c r="N232" s="959">
        <v>4978011.1799408002</v>
      </c>
      <c r="O232" s="1149">
        <v>3558347.73076736</v>
      </c>
      <c r="P232" s="9"/>
      <c r="S232" s="9"/>
      <c r="T232" s="9"/>
      <c r="U232" s="9"/>
      <c r="V232" s="9"/>
      <c r="W232" s="9"/>
      <c r="X232" s="9"/>
      <c r="Y232" s="9"/>
      <c r="Z232" s="9"/>
      <c r="AA232" s="9"/>
      <c r="AB232" s="1967"/>
      <c r="AC232" s="237">
        <f>MAX(J232/J264)</f>
        <v>3.0658762518257544E-2</v>
      </c>
      <c r="AD232" s="235">
        <f t="shared" si="40"/>
        <v>56718.710658776457</v>
      </c>
      <c r="AE232" s="238">
        <f>MAX(I232/I264)</f>
        <v>1.7460687361716142E-2</v>
      </c>
      <c r="AF232" s="235">
        <f t="shared" si="41"/>
        <v>86919.496896073993</v>
      </c>
      <c r="AG232" s="238">
        <f>MAX(H232/H264)</f>
        <v>1.8490991976849523E-2</v>
      </c>
      <c r="AH232" s="235">
        <f t="shared" si="42"/>
        <v>65797.379340459956</v>
      </c>
    </row>
    <row r="233" spans="1:34" ht="15" customHeight="1" x14ac:dyDescent="0.2">
      <c r="A233" s="962" t="s">
        <v>362</v>
      </c>
      <c r="B233" s="1146">
        <v>373</v>
      </c>
      <c r="C233" s="1146">
        <v>2</v>
      </c>
      <c r="D233" s="1146">
        <v>2</v>
      </c>
      <c r="E233" s="1146">
        <v>0</v>
      </c>
      <c r="F233" s="1146">
        <v>1</v>
      </c>
      <c r="G233" s="1146">
        <v>4</v>
      </c>
      <c r="H233" s="1146">
        <v>366</v>
      </c>
      <c r="I233" s="1146">
        <v>374</v>
      </c>
      <c r="J233" s="1147">
        <v>1464</v>
      </c>
      <c r="K233" s="1147">
        <v>4</v>
      </c>
      <c r="L233" s="1066" t="s">
        <v>1129</v>
      </c>
      <c r="M233" s="959">
        <v>1850000</v>
      </c>
      <c r="N233" s="959">
        <v>4978011.1799408002</v>
      </c>
      <c r="O233" s="1149">
        <v>3558347.73076736</v>
      </c>
      <c r="P233" s="9"/>
      <c r="S233" s="9"/>
      <c r="T233" s="9"/>
      <c r="U233" s="9"/>
      <c r="V233" s="9"/>
      <c r="W233" s="9"/>
      <c r="X233" s="9"/>
      <c r="Y233" s="9"/>
      <c r="Z233" s="9"/>
      <c r="AA233" s="9"/>
      <c r="AB233" s="1967"/>
      <c r="AC233" s="237">
        <f>MAX(J233/J264)</f>
        <v>1.6351340009737356E-2</v>
      </c>
      <c r="AD233" s="235">
        <f t="shared" si="40"/>
        <v>30249.979018014106</v>
      </c>
      <c r="AE233" s="238">
        <f>MAX(I233/I264)</f>
        <v>1.3506302116405041E-2</v>
      </c>
      <c r="AF233" s="235">
        <f t="shared" si="41"/>
        <v>67234.522935122382</v>
      </c>
      <c r="AG233" s="238">
        <f>MAX(H233/H264)</f>
        <v>1.4792793581479618E-2</v>
      </c>
      <c r="AH233" s="235">
        <f t="shared" si="42"/>
        <v>52637.903472367965</v>
      </c>
    </row>
    <row r="234" spans="1:34" ht="15" customHeight="1" x14ac:dyDescent="0.2">
      <c r="A234" s="962" t="s">
        <v>363</v>
      </c>
      <c r="B234" s="1146">
        <v>1161.5</v>
      </c>
      <c r="C234" s="1146">
        <v>15</v>
      </c>
      <c r="D234" s="1146">
        <v>5</v>
      </c>
      <c r="E234" s="1146">
        <v>0</v>
      </c>
      <c r="F234" s="1146">
        <v>0</v>
      </c>
      <c r="G234" s="1146">
        <v>0</v>
      </c>
      <c r="H234" s="1146">
        <v>1156.5</v>
      </c>
      <c r="I234" s="1146">
        <v>1176.5</v>
      </c>
      <c r="J234" s="1147">
        <v>4626</v>
      </c>
      <c r="K234" s="1147">
        <v>4</v>
      </c>
      <c r="L234" s="1066" t="s">
        <v>1129</v>
      </c>
      <c r="M234" s="959">
        <v>1850000</v>
      </c>
      <c r="N234" s="959">
        <v>4978011.1799408002</v>
      </c>
      <c r="O234" s="1149">
        <v>3558347.73076736</v>
      </c>
      <c r="P234" s="9"/>
      <c r="S234" s="9"/>
      <c r="T234" s="9"/>
      <c r="U234" s="9"/>
      <c r="V234" s="9"/>
      <c r="Y234" s="9"/>
      <c r="Z234" s="9"/>
      <c r="AA234" s="9"/>
      <c r="AB234" s="1967"/>
      <c r="AC234" s="237">
        <f>MAX(J234/J264)</f>
        <v>5.1667553883227468E-2</v>
      </c>
      <c r="AD234" s="235">
        <f t="shared" si="40"/>
        <v>95584.97468397081</v>
      </c>
      <c r="AE234" s="238">
        <f>MAX(I234/I264)</f>
        <v>4.2487070695054897E-2</v>
      </c>
      <c r="AF234" s="235">
        <f t="shared" si="41"/>
        <v>211501.11292291843</v>
      </c>
      <c r="AG234" s="238">
        <f>MAX(H234/H264)</f>
        <v>4.674280266934748E-2</v>
      </c>
      <c r="AH234" s="235">
        <f t="shared" si="42"/>
        <v>166327.14580817911</v>
      </c>
    </row>
    <row r="235" spans="1:34" ht="15" customHeight="1" x14ac:dyDescent="0.2">
      <c r="A235" s="962" t="s">
        <v>939</v>
      </c>
      <c r="B235" s="1146">
        <v>1724</v>
      </c>
      <c r="C235" s="1146">
        <v>5</v>
      </c>
      <c r="D235" s="1146">
        <v>0</v>
      </c>
      <c r="E235" s="1146">
        <v>1</v>
      </c>
      <c r="F235" s="1146">
        <v>0</v>
      </c>
      <c r="G235" s="1146">
        <v>200</v>
      </c>
      <c r="H235" s="1146">
        <v>1523</v>
      </c>
      <c r="I235" s="1146">
        <v>1728</v>
      </c>
      <c r="J235" s="1147">
        <v>6092</v>
      </c>
      <c r="K235" s="1147">
        <v>4</v>
      </c>
      <c r="L235" s="1066" t="s">
        <v>1129</v>
      </c>
      <c r="M235" s="959">
        <v>1850000</v>
      </c>
      <c r="N235" s="959">
        <v>4978011.1799408002</v>
      </c>
      <c r="O235" s="1149">
        <v>3558347.73076736</v>
      </c>
      <c r="P235" s="9"/>
      <c r="S235" s="9"/>
      <c r="T235" s="9"/>
      <c r="U235" s="9"/>
      <c r="V235" s="9"/>
      <c r="W235" s="9"/>
      <c r="X235" s="9"/>
      <c r="Y235" s="9"/>
      <c r="Z235" s="9"/>
      <c r="AA235" s="9"/>
      <c r="AB235" s="1967"/>
      <c r="AC235" s="237">
        <f>MAX(J235/J264)</f>
        <v>6.8041231789152987E-2</v>
      </c>
      <c r="AD235" s="235">
        <f t="shared" si="40"/>
        <v>125876.27880993302</v>
      </c>
      <c r="AE235" s="238">
        <f>MAX(I235/I264)</f>
        <v>6.240344935066286E-2</v>
      </c>
      <c r="AF235" s="235">
        <f t="shared" si="41"/>
        <v>310645.06853446917</v>
      </c>
      <c r="AG235" s="238">
        <f>MAX(H235/H264)</f>
        <v>6.1555804985228023E-2</v>
      </c>
      <c r="AH235" s="235">
        <f t="shared" si="42"/>
        <v>219036.95898474427</v>
      </c>
    </row>
    <row r="236" spans="1:34" ht="15" customHeight="1" x14ac:dyDescent="0.2">
      <c r="A236" s="962" t="s">
        <v>365</v>
      </c>
      <c r="B236" s="1146">
        <v>429.4</v>
      </c>
      <c r="C236" s="1146">
        <v>102</v>
      </c>
      <c r="D236" s="1146">
        <v>98</v>
      </c>
      <c r="E236" s="1146">
        <v>9</v>
      </c>
      <c r="F236" s="1146">
        <v>0</v>
      </c>
      <c r="G236" s="1146">
        <v>0</v>
      </c>
      <c r="H236" s="1146">
        <v>322.39999999999998</v>
      </c>
      <c r="I236" s="1146">
        <v>522.4</v>
      </c>
      <c r="J236" s="1147">
        <v>1289.5999999999999</v>
      </c>
      <c r="K236" s="1147">
        <v>4</v>
      </c>
      <c r="L236" s="1066" t="s">
        <v>1129</v>
      </c>
      <c r="M236" s="959">
        <v>1850000</v>
      </c>
      <c r="N236" s="959">
        <v>4978011.1799408002</v>
      </c>
      <c r="O236" s="1149">
        <v>3558347.73076736</v>
      </c>
      <c r="P236" s="9"/>
      <c r="S236" s="9"/>
      <c r="T236" s="9"/>
      <c r="U236" s="9"/>
      <c r="V236" s="9"/>
      <c r="W236" s="9"/>
      <c r="X236" s="9"/>
      <c r="Y236" s="9"/>
      <c r="Z236" s="9"/>
      <c r="AA236" s="9"/>
      <c r="AB236" s="1967"/>
      <c r="AC236" s="237">
        <f>MAX(J236/J264)</f>
        <v>1.4403475462129299E-2</v>
      </c>
      <c r="AD236" s="235">
        <f t="shared" si="40"/>
        <v>26646.429604939203</v>
      </c>
      <c r="AE236" s="238">
        <f>MAX(I236/I264)</f>
        <v>1.8865487234251316E-2</v>
      </c>
      <c r="AF236" s="235">
        <f t="shared" si="41"/>
        <v>93912.6063671335</v>
      </c>
      <c r="AG236" s="238">
        <f>MAX(H236/H264)</f>
        <v>1.3030591941718657E-2</v>
      </c>
      <c r="AH236" s="235">
        <f t="shared" si="42"/>
        <v>46367.377266370029</v>
      </c>
    </row>
    <row r="237" spans="1:34" ht="15" customHeight="1" x14ac:dyDescent="0.2">
      <c r="A237" s="962" t="s">
        <v>366</v>
      </c>
      <c r="B237" s="1146">
        <v>0</v>
      </c>
      <c r="C237" s="1146"/>
      <c r="D237" s="1146"/>
      <c r="E237" s="1146"/>
      <c r="F237" s="1146"/>
      <c r="G237" s="1146"/>
      <c r="H237" s="1146">
        <v>0</v>
      </c>
      <c r="I237" s="1146">
        <v>0</v>
      </c>
      <c r="J237" s="1147">
        <v>0</v>
      </c>
      <c r="K237" s="1147"/>
      <c r="L237" s="1148"/>
      <c r="M237" s="959"/>
      <c r="N237" s="1533"/>
      <c r="O237" s="1534"/>
      <c r="P237" s="9"/>
      <c r="S237" s="9"/>
      <c r="T237" s="9"/>
      <c r="U237" s="9"/>
      <c r="V237" s="9"/>
      <c r="W237" s="9"/>
      <c r="X237" s="9"/>
      <c r="Y237" s="9"/>
      <c r="Z237" s="9"/>
      <c r="AA237" s="9"/>
      <c r="AB237" s="1967"/>
      <c r="AC237" s="237">
        <f>MAX(J237/J264)</f>
        <v>0</v>
      </c>
      <c r="AD237" s="235">
        <f t="shared" si="40"/>
        <v>0</v>
      </c>
      <c r="AE237" s="238">
        <f>MAX(I237/I264)</f>
        <v>0</v>
      </c>
      <c r="AF237" s="235">
        <f t="shared" si="41"/>
        <v>0</v>
      </c>
      <c r="AG237" s="238">
        <f>MAX(H237/H264)</f>
        <v>0</v>
      </c>
      <c r="AH237" s="235">
        <f t="shared" si="42"/>
        <v>0</v>
      </c>
    </row>
    <row r="238" spans="1:34" ht="15" customHeight="1" x14ac:dyDescent="0.2">
      <c r="A238" s="962" t="s">
        <v>367</v>
      </c>
      <c r="B238" s="1146">
        <v>16</v>
      </c>
      <c r="C238" s="1146"/>
      <c r="D238" s="1146"/>
      <c r="E238" s="1146"/>
      <c r="F238" s="1146"/>
      <c r="G238" s="1146"/>
      <c r="H238" s="1146">
        <v>16</v>
      </c>
      <c r="I238" s="1146">
        <v>16</v>
      </c>
      <c r="J238" s="1147">
        <v>56</v>
      </c>
      <c r="K238" s="1147">
        <v>3.5</v>
      </c>
      <c r="L238" s="1066" t="s">
        <v>1129</v>
      </c>
      <c r="M238" s="959">
        <v>1850000</v>
      </c>
      <c r="N238" s="959">
        <v>4978011.1799408002</v>
      </c>
      <c r="O238" s="1149">
        <v>3558347.73076736</v>
      </c>
      <c r="P238" s="9"/>
      <c r="S238" s="9"/>
      <c r="T238" s="9"/>
      <c r="U238" s="9"/>
      <c r="V238" s="9"/>
      <c r="W238" s="9"/>
      <c r="X238" s="9"/>
      <c r="Y238" s="9"/>
      <c r="Z238" s="9"/>
      <c r="AA238" s="9"/>
      <c r="AB238" s="1967"/>
      <c r="AC238" s="237">
        <f>MAX(J238/J264)</f>
        <v>6.2546109326864206E-4</v>
      </c>
      <c r="AD238" s="235">
        <f t="shared" si="40"/>
        <v>1157.1030225469879</v>
      </c>
      <c r="AE238" s="238">
        <f>MAX(I238/I264)</f>
        <v>5.7780971620984131E-4</v>
      </c>
      <c r="AF238" s="235">
        <f t="shared" si="41"/>
        <v>2876.3432271710112</v>
      </c>
      <c r="AG238" s="238">
        <f>MAX(H238/H264)</f>
        <v>6.4667950082971011E-4</v>
      </c>
      <c r="AH238" s="235">
        <f t="shared" si="42"/>
        <v>2301.1105343111681</v>
      </c>
    </row>
    <row r="239" spans="1:34" ht="15" customHeight="1" x14ac:dyDescent="0.2">
      <c r="A239" s="434" t="s">
        <v>940</v>
      </c>
      <c r="B239" s="1002">
        <v>1917</v>
      </c>
      <c r="C239" s="1002">
        <v>117</v>
      </c>
      <c r="D239" s="1002">
        <v>121</v>
      </c>
      <c r="E239" s="1002">
        <v>12</v>
      </c>
      <c r="F239" s="1002">
        <v>5</v>
      </c>
      <c r="G239" s="1002">
        <v>212</v>
      </c>
      <c r="H239" s="1002">
        <v>1567</v>
      </c>
      <c r="I239" s="1002">
        <v>2017</v>
      </c>
      <c r="J239" s="1150">
        <v>5417.7999999999993</v>
      </c>
      <c r="K239" s="1150">
        <v>3.4574345883854494</v>
      </c>
      <c r="L239" s="1152"/>
      <c r="M239" s="996"/>
      <c r="N239" s="435"/>
      <c r="O239" s="436"/>
      <c r="P239" s="9"/>
      <c r="S239" s="9"/>
      <c r="T239" s="9"/>
      <c r="U239" s="9"/>
      <c r="V239" s="9"/>
      <c r="W239" s="9"/>
      <c r="X239" s="9"/>
      <c r="Y239" s="9"/>
      <c r="Z239" s="9"/>
      <c r="AA239" s="9"/>
      <c r="AB239" s="1967"/>
      <c r="AC239" s="1157"/>
      <c r="AD239" s="1156"/>
      <c r="AE239" s="1158"/>
      <c r="AF239" s="1156"/>
      <c r="AG239" s="1158"/>
      <c r="AH239" s="1156"/>
    </row>
    <row r="240" spans="1:34" ht="15" customHeight="1" x14ac:dyDescent="0.2">
      <c r="A240" s="962" t="s">
        <v>369</v>
      </c>
      <c r="B240" s="1146">
        <v>1311.6</v>
      </c>
      <c r="C240" s="1146">
        <v>110</v>
      </c>
      <c r="D240" s="1146">
        <v>55</v>
      </c>
      <c r="E240" s="1146">
        <v>10</v>
      </c>
      <c r="F240" s="1146">
        <v>5</v>
      </c>
      <c r="G240" s="1146">
        <v>180</v>
      </c>
      <c r="H240" s="1146">
        <v>1061.5999999999999</v>
      </c>
      <c r="I240" s="1146">
        <v>1406.6</v>
      </c>
      <c r="J240" s="1147">
        <v>3715.5999999999995</v>
      </c>
      <c r="K240" s="1147">
        <v>3.5</v>
      </c>
      <c r="L240" s="1066" t="s">
        <v>1129</v>
      </c>
      <c r="M240" s="959">
        <v>1850000</v>
      </c>
      <c r="N240" s="959">
        <v>4978011.1799408002</v>
      </c>
      <c r="O240" s="1149">
        <v>3558347.73076736</v>
      </c>
      <c r="P240" s="9"/>
      <c r="S240" s="9"/>
      <c r="T240" s="9"/>
      <c r="U240" s="9"/>
      <c r="V240" s="9"/>
      <c r="W240" s="9"/>
      <c r="X240" s="9"/>
      <c r="Y240" s="9"/>
      <c r="Z240" s="9"/>
      <c r="AA240" s="9"/>
      <c r="AB240" s="1967"/>
      <c r="AC240" s="237">
        <f>MAX(J240/J264)</f>
        <v>4.1499343538374395E-2</v>
      </c>
      <c r="AD240" s="235">
        <f>MAX(M240*AC240)</f>
        <v>76773.785545992636</v>
      </c>
      <c r="AE240" s="238">
        <f>MAX(I240/I264)</f>
        <v>5.0796696676297673E-2</v>
      </c>
      <c r="AF240" s="235">
        <f>MAX(N240*AE240)</f>
        <v>252866.52395867149</v>
      </c>
      <c r="AG240" s="238">
        <f>MAX(H240/H264)</f>
        <v>4.2907184880051255E-2</v>
      </c>
      <c r="AH240" s="235">
        <f>MAX(O240*AG240)</f>
        <v>152678.68395154597</v>
      </c>
    </row>
    <row r="241" spans="1:34" ht="15" customHeight="1" x14ac:dyDescent="0.2">
      <c r="A241" s="962" t="s">
        <v>370</v>
      </c>
      <c r="B241" s="1146">
        <v>162</v>
      </c>
      <c r="C241" s="1146">
        <v>0</v>
      </c>
      <c r="D241" s="1146">
        <v>10</v>
      </c>
      <c r="E241" s="1146">
        <v>0</v>
      </c>
      <c r="F241" s="1146">
        <v>0</v>
      </c>
      <c r="G241" s="1146">
        <v>30</v>
      </c>
      <c r="H241" s="1146">
        <v>122</v>
      </c>
      <c r="I241" s="1146">
        <v>162</v>
      </c>
      <c r="J241" s="1147">
        <v>488</v>
      </c>
      <c r="K241" s="1147">
        <v>4</v>
      </c>
      <c r="L241" s="1066" t="s">
        <v>1129</v>
      </c>
      <c r="M241" s="959">
        <v>1850000</v>
      </c>
      <c r="N241" s="959">
        <v>4978011.1799408002</v>
      </c>
      <c r="O241" s="1149">
        <v>3558347.73076736</v>
      </c>
      <c r="P241" s="950"/>
      <c r="S241" s="950"/>
      <c r="T241" s="950"/>
      <c r="U241" s="950"/>
      <c r="V241" s="950"/>
      <c r="W241" s="9"/>
      <c r="X241" s="9"/>
      <c r="Y241" s="9"/>
      <c r="Z241" s="9"/>
      <c r="AA241" s="9"/>
      <c r="AB241" s="1967"/>
      <c r="AC241" s="237">
        <f>MAX(J241/J264)</f>
        <v>5.4504466699124522E-3</v>
      </c>
      <c r="AD241" s="235">
        <f>MAX(M241*AC241)</f>
        <v>10083.326339338037</v>
      </c>
      <c r="AE241" s="238">
        <f>MAX(I241/I264)</f>
        <v>5.8503233766246431E-3</v>
      </c>
      <c r="AF241" s="235">
        <f>MAX(N241*AE241)</f>
        <v>29122.975175106487</v>
      </c>
      <c r="AG241" s="238">
        <f>MAX(H241/H264)</f>
        <v>4.9309311938265394E-3</v>
      </c>
      <c r="AH241" s="235">
        <f>MAX(O241*AG241)</f>
        <v>17545.967824122654</v>
      </c>
    </row>
    <row r="242" spans="1:34" ht="15" customHeight="1" x14ac:dyDescent="0.2">
      <c r="A242" s="962" t="s">
        <v>371</v>
      </c>
      <c r="B242" s="1146">
        <v>324.2</v>
      </c>
      <c r="C242" s="1146">
        <v>0</v>
      </c>
      <c r="D242" s="1146">
        <v>40</v>
      </c>
      <c r="E242" s="1146">
        <v>0</v>
      </c>
      <c r="F242" s="1146">
        <v>0</v>
      </c>
      <c r="G242" s="1146">
        <v>0</v>
      </c>
      <c r="H242" s="1146">
        <v>284.2</v>
      </c>
      <c r="I242" s="1146">
        <v>324.2</v>
      </c>
      <c r="J242" s="1147">
        <v>852.59999999999991</v>
      </c>
      <c r="K242" s="1147">
        <v>3</v>
      </c>
      <c r="L242" s="1066" t="s">
        <v>1129</v>
      </c>
      <c r="M242" s="959">
        <v>1850000</v>
      </c>
      <c r="N242" s="959">
        <v>4978011.1799408002</v>
      </c>
      <c r="O242" s="1149">
        <v>3558347.73076736</v>
      </c>
      <c r="P242" s="9"/>
      <c r="S242" s="9"/>
      <c r="T242" s="9"/>
      <c r="U242" s="9"/>
      <c r="V242" s="9"/>
      <c r="W242" s="9"/>
      <c r="X242" s="9"/>
      <c r="Y242" s="9"/>
      <c r="Z242" s="9"/>
      <c r="AA242" s="9"/>
      <c r="AB242" s="1967"/>
      <c r="AC242" s="237">
        <f>MAX(J242/J264)</f>
        <v>9.5226451450150743E-3</v>
      </c>
      <c r="AD242" s="235">
        <f>MAX(M242*AC242)</f>
        <v>17616.893518277888</v>
      </c>
      <c r="AE242" s="238">
        <f>MAX(I242/I264)</f>
        <v>1.1707869374701909E-2</v>
      </c>
      <c r="AF242" s="235">
        <f>MAX(N242*AE242)</f>
        <v>58281.90464055261</v>
      </c>
      <c r="AG242" s="238">
        <f>MAX(H242/H264)</f>
        <v>1.1486644633487725E-2</v>
      </c>
      <c r="AH242" s="235">
        <f>MAX(O242*AG242)</f>
        <v>40873.475865702116</v>
      </c>
    </row>
    <row r="243" spans="1:34" ht="15" customHeight="1" x14ac:dyDescent="0.2">
      <c r="A243" s="962" t="s">
        <v>372</v>
      </c>
      <c r="B243" s="1146">
        <v>74</v>
      </c>
      <c r="C243" s="1146">
        <v>2</v>
      </c>
      <c r="D243" s="1146">
        <v>6</v>
      </c>
      <c r="E243" s="1146">
        <v>2</v>
      </c>
      <c r="F243" s="1146">
        <v>0</v>
      </c>
      <c r="G243" s="1146">
        <v>2</v>
      </c>
      <c r="H243" s="1146">
        <v>64</v>
      </c>
      <c r="I243" s="1146">
        <v>74</v>
      </c>
      <c r="J243" s="1147">
        <v>256</v>
      </c>
      <c r="K243" s="1147">
        <v>4</v>
      </c>
      <c r="L243" s="1066" t="s">
        <v>1129</v>
      </c>
      <c r="M243" s="959">
        <v>1850000</v>
      </c>
      <c r="N243" s="959">
        <v>4978011.1799408002</v>
      </c>
      <c r="O243" s="1149">
        <v>3558347.73076736</v>
      </c>
      <c r="P243" s="9"/>
      <c r="S243" s="9"/>
      <c r="T243" s="9"/>
      <c r="U243" s="9"/>
      <c r="V243" s="9"/>
      <c r="W243" s="9"/>
      <c r="X243" s="9"/>
      <c r="Y243" s="9"/>
      <c r="Z243" s="9"/>
      <c r="AA243" s="9"/>
      <c r="AB243" s="1967"/>
      <c r="AC243" s="237">
        <f>MAX(J243/J264)</f>
        <v>2.8592507120852209E-3</v>
      </c>
      <c r="AD243" s="235">
        <f>MAX(M243*AC243)</f>
        <v>5289.6138173576583</v>
      </c>
      <c r="AE243" s="238">
        <f>MAX(I243/I264)</f>
        <v>2.6723699374705161E-3</v>
      </c>
      <c r="AF243" s="235">
        <f>MAX(N243*AE243)</f>
        <v>13303.087425665926</v>
      </c>
      <c r="AG243" s="238">
        <f>MAX(H243/H264)</f>
        <v>2.5867180033188404E-3</v>
      </c>
      <c r="AH243" s="235">
        <f>MAX(O243*AG243)</f>
        <v>9204.4421372446723</v>
      </c>
    </row>
    <row r="244" spans="1:34" ht="15" customHeight="1" x14ac:dyDescent="0.2">
      <c r="A244" s="962" t="s">
        <v>373</v>
      </c>
      <c r="B244" s="1146">
        <v>45.2</v>
      </c>
      <c r="C244" s="1146">
        <v>5</v>
      </c>
      <c r="D244" s="1146">
        <v>10</v>
      </c>
      <c r="E244" s="1146">
        <v>0</v>
      </c>
      <c r="F244" s="1146">
        <v>0</v>
      </c>
      <c r="G244" s="1146">
        <v>0</v>
      </c>
      <c r="H244" s="1146">
        <v>35.200000000000003</v>
      </c>
      <c r="I244" s="1146">
        <v>50.2</v>
      </c>
      <c r="J244" s="1147">
        <v>105.60000000000001</v>
      </c>
      <c r="K244" s="1147">
        <v>3</v>
      </c>
      <c r="L244" s="1066" t="s">
        <v>1129</v>
      </c>
      <c r="M244" s="959">
        <v>1850000</v>
      </c>
      <c r="N244" s="959">
        <v>4978011.1799408002</v>
      </c>
      <c r="O244" s="1149">
        <v>3558347.73076736</v>
      </c>
      <c r="P244" s="9"/>
      <c r="S244" s="9"/>
      <c r="T244" s="9"/>
      <c r="U244" s="9"/>
      <c r="V244" s="9"/>
      <c r="W244" s="9"/>
      <c r="X244" s="9"/>
      <c r="Y244" s="9"/>
      <c r="Z244" s="9"/>
      <c r="AA244" s="9"/>
      <c r="AB244" s="1967"/>
      <c r="AC244" s="237">
        <f>MAX(J244/J264)</f>
        <v>1.1794409187351536E-3</v>
      </c>
      <c r="AD244" s="235">
        <f>MAX(M244*AC244)</f>
        <v>2181.9656996600343</v>
      </c>
      <c r="AE244" s="238">
        <f>MAX(I244/I264)</f>
        <v>1.8128779846083773E-3</v>
      </c>
      <c r="AF244" s="235">
        <f>MAX(N244*AE244)</f>
        <v>9024.5268752490483</v>
      </c>
      <c r="AG244" s="238">
        <f>MAX(H244/H264)</f>
        <v>1.4226949018253622E-3</v>
      </c>
      <c r="AH244" s="235">
        <f>MAX(O244*AG244)</f>
        <v>5062.4431754845691</v>
      </c>
    </row>
    <row r="245" spans="1:34" ht="15" customHeight="1" x14ac:dyDescent="0.2">
      <c r="A245" s="1154" t="s">
        <v>374</v>
      </c>
      <c r="B245" s="1002">
        <v>7352.3769999999995</v>
      </c>
      <c r="C245" s="1002">
        <v>120</v>
      </c>
      <c r="D245" s="1002">
        <v>402</v>
      </c>
      <c r="E245" s="1002">
        <v>18</v>
      </c>
      <c r="F245" s="1002">
        <v>19</v>
      </c>
      <c r="G245" s="1002">
        <v>50</v>
      </c>
      <c r="H245" s="1002">
        <v>6863.3769999999995</v>
      </c>
      <c r="I245" s="1002">
        <v>7435.3769999999995</v>
      </c>
      <c r="J245" s="1150">
        <v>23898.9264</v>
      </c>
      <c r="K245" s="1150">
        <v>3.4820943684136836</v>
      </c>
      <c r="L245" s="1152"/>
      <c r="M245" s="996"/>
      <c r="N245" s="435"/>
      <c r="O245" s="436"/>
      <c r="P245" s="9"/>
      <c r="S245" s="9"/>
      <c r="T245" s="9"/>
      <c r="U245" s="9"/>
      <c r="V245" s="9"/>
      <c r="W245" s="9"/>
      <c r="X245" s="9"/>
      <c r="Y245" s="9"/>
      <c r="Z245" s="9"/>
      <c r="AA245" s="9"/>
      <c r="AB245" s="1967"/>
      <c r="AC245" s="1157"/>
      <c r="AD245" s="1156"/>
      <c r="AE245" s="1158"/>
      <c r="AF245" s="1156"/>
      <c r="AG245" s="1158"/>
      <c r="AH245" s="1156"/>
    </row>
    <row r="246" spans="1:34" ht="15" customHeight="1" x14ac:dyDescent="0.2">
      <c r="A246" s="962" t="s">
        <v>375</v>
      </c>
      <c r="B246" s="1146">
        <v>2863</v>
      </c>
      <c r="C246" s="1146">
        <v>50</v>
      </c>
      <c r="D246" s="1146">
        <v>300</v>
      </c>
      <c r="E246" s="1146">
        <v>5</v>
      </c>
      <c r="F246" s="1146">
        <v>2</v>
      </c>
      <c r="G246" s="1146">
        <v>15</v>
      </c>
      <c r="H246" s="1146">
        <v>2541</v>
      </c>
      <c r="I246" s="1146">
        <v>2906</v>
      </c>
      <c r="J246" s="1147">
        <v>10164</v>
      </c>
      <c r="K246" s="1147">
        <v>4</v>
      </c>
      <c r="L246" s="1066" t="s">
        <v>1129</v>
      </c>
      <c r="M246" s="959">
        <v>1850000</v>
      </c>
      <c r="N246" s="959">
        <v>4978011.1799408002</v>
      </c>
      <c r="O246" s="1149">
        <v>3558347.73076736</v>
      </c>
      <c r="P246" s="9"/>
      <c r="S246" s="9"/>
      <c r="T246" s="9"/>
      <c r="U246" s="9"/>
      <c r="V246" s="9"/>
      <c r="W246" s="9"/>
      <c r="X246" s="9"/>
      <c r="Y246" s="9"/>
      <c r="Z246" s="9"/>
      <c r="AA246" s="9"/>
      <c r="AB246" s="1967"/>
      <c r="AC246" s="237">
        <f>MAX(J246/J264)</f>
        <v>0.11352118842825853</v>
      </c>
      <c r="AD246" s="235">
        <f t="shared" ref="AD246:AD253" si="43">MAX(M246*AC246)</f>
        <v>210014.19859227829</v>
      </c>
      <c r="AE246" s="238">
        <f>MAX(I246/I264)</f>
        <v>0.10494468970661243</v>
      </c>
      <c r="AF246" s="235">
        <f t="shared" ref="AF246:AF253" si="44">MAX(N246*AE246)</f>
        <v>522415.83863493486</v>
      </c>
      <c r="AG246" s="238">
        <f>MAX(H246/H264)</f>
        <v>0.10270078822551833</v>
      </c>
      <c r="AH246" s="235">
        <f t="shared" ref="AH246:AH253" si="45">MAX(O246*AG246)</f>
        <v>365445.11673029233</v>
      </c>
    </row>
    <row r="247" spans="1:34" ht="15" customHeight="1" x14ac:dyDescent="0.2">
      <c r="A247" s="962" t="s">
        <v>376</v>
      </c>
      <c r="B247" s="1146">
        <v>198.727</v>
      </c>
      <c r="C247" s="1146">
        <v>0</v>
      </c>
      <c r="D247" s="1146">
        <v>10</v>
      </c>
      <c r="E247" s="1146">
        <v>0</v>
      </c>
      <c r="F247" s="1146">
        <v>0</v>
      </c>
      <c r="G247" s="1146">
        <v>0</v>
      </c>
      <c r="H247" s="1146">
        <v>188.727</v>
      </c>
      <c r="I247" s="1146">
        <v>198.727</v>
      </c>
      <c r="J247" s="1147">
        <v>603.92640000000006</v>
      </c>
      <c r="K247" s="1147">
        <v>3.2</v>
      </c>
      <c r="L247" s="1066" t="s">
        <v>1129</v>
      </c>
      <c r="M247" s="959">
        <v>1850000</v>
      </c>
      <c r="N247" s="959">
        <v>4978011.1799408002</v>
      </c>
      <c r="O247" s="1149">
        <v>3558347.73076736</v>
      </c>
      <c r="P247" s="9"/>
      <c r="S247" s="9"/>
      <c r="T247" s="9"/>
      <c r="U247" s="9"/>
      <c r="V247" s="9"/>
      <c r="W247" s="9"/>
      <c r="X247" s="9"/>
      <c r="Y247" s="9"/>
      <c r="Z247" s="9"/>
      <c r="AA247" s="9"/>
      <c r="AB247" s="1967"/>
      <c r="AC247" s="237">
        <f>MAX(J247/J264)</f>
        <v>6.7452226142463443E-3</v>
      </c>
      <c r="AD247" s="235">
        <f t="shared" si="43"/>
        <v>12478.661836355737</v>
      </c>
      <c r="AE247" s="238">
        <f>MAX(I247/I264)</f>
        <v>7.1766494670770708E-3</v>
      </c>
      <c r="AF247" s="235">
        <f t="shared" si="44"/>
        <v>35725.441281625841</v>
      </c>
      <c r="AG247" s="238">
        <f>MAX(H247/H264)</f>
        <v>7.6278676345680431E-3</v>
      </c>
      <c r="AH247" s="235">
        <f t="shared" si="45"/>
        <v>27142.605488058987</v>
      </c>
    </row>
    <row r="248" spans="1:34" ht="15" customHeight="1" x14ac:dyDescent="0.2">
      <c r="A248" s="962" t="s">
        <v>377</v>
      </c>
      <c r="B248" s="1146">
        <v>115</v>
      </c>
      <c r="C248" s="1146"/>
      <c r="D248" s="1146">
        <v>30</v>
      </c>
      <c r="E248" s="1146"/>
      <c r="F248" s="1146"/>
      <c r="G248" s="1146"/>
      <c r="H248" s="1146">
        <v>85</v>
      </c>
      <c r="I248" s="1146">
        <v>115</v>
      </c>
      <c r="J248" s="1147">
        <v>297.5</v>
      </c>
      <c r="K248" s="1147">
        <v>3.5</v>
      </c>
      <c r="L248" s="1066" t="s">
        <v>1129</v>
      </c>
      <c r="M248" s="959">
        <v>1850000</v>
      </c>
      <c r="N248" s="959">
        <v>4978011.1799408002</v>
      </c>
      <c r="O248" s="1149">
        <v>3558347.73076736</v>
      </c>
      <c r="P248" s="9"/>
      <c r="S248" s="9"/>
      <c r="T248" s="9"/>
      <c r="U248" s="9"/>
      <c r="V248" s="9"/>
      <c r="W248" s="9"/>
      <c r="X248" s="9"/>
      <c r="Y248" s="9"/>
      <c r="Z248" s="9"/>
      <c r="AA248" s="9"/>
      <c r="AB248" s="1967"/>
      <c r="AC248" s="237">
        <f>MAX(J248/J264)</f>
        <v>3.3227620579896612E-3</v>
      </c>
      <c r="AD248" s="235">
        <f t="shared" si="43"/>
        <v>6147.1098072808736</v>
      </c>
      <c r="AE248" s="238">
        <f>MAX(I248/I264)</f>
        <v>4.1530073352582346E-3</v>
      </c>
      <c r="AF248" s="235">
        <f t="shared" si="44"/>
        <v>20673.716945291642</v>
      </c>
      <c r="AG248" s="238">
        <f>MAX(H248/H264)</f>
        <v>3.4354848481578347E-3</v>
      </c>
      <c r="AH248" s="235">
        <f t="shared" si="45"/>
        <v>12224.649713528079</v>
      </c>
    </row>
    <row r="249" spans="1:34" ht="15" customHeight="1" x14ac:dyDescent="0.2">
      <c r="A249" s="962" t="s">
        <v>378</v>
      </c>
      <c r="B249" s="1146">
        <v>2027</v>
      </c>
      <c r="C249" s="1146">
        <v>0</v>
      </c>
      <c r="D249" s="1146">
        <v>0</v>
      </c>
      <c r="E249" s="1146">
        <v>0</v>
      </c>
      <c r="F249" s="1146">
        <v>0</v>
      </c>
      <c r="G249" s="1146">
        <v>0</v>
      </c>
      <c r="H249" s="1146">
        <v>2027</v>
      </c>
      <c r="I249" s="1146">
        <v>2027</v>
      </c>
      <c r="J249" s="1147">
        <v>6891.8</v>
      </c>
      <c r="K249" s="1147">
        <v>3.4</v>
      </c>
      <c r="L249" s="1066" t="s">
        <v>1129</v>
      </c>
      <c r="M249" s="959">
        <v>1850000</v>
      </c>
      <c r="N249" s="959">
        <v>4978011.1799408002</v>
      </c>
      <c r="O249" s="1149">
        <v>3558347.73076736</v>
      </c>
      <c r="P249" s="9"/>
      <c r="S249" s="9"/>
      <c r="T249" s="9"/>
      <c r="U249" s="9"/>
      <c r="V249" s="9"/>
      <c r="W249" s="9"/>
      <c r="X249" s="9"/>
      <c r="Y249" s="9"/>
      <c r="Z249" s="9"/>
      <c r="AA249" s="9"/>
      <c r="AB249" s="1967"/>
      <c r="AC249" s="237">
        <f>MAX(J249/J264)</f>
        <v>7.6974156474800493E-2</v>
      </c>
      <c r="AD249" s="235">
        <f t="shared" si="43"/>
        <v>142402.1894783809</v>
      </c>
      <c r="AE249" s="238">
        <f>MAX(I249/I264)</f>
        <v>7.3201268422334265E-2</v>
      </c>
      <c r="AF249" s="235">
        <f t="shared" si="44"/>
        <v>364396.7325922274</v>
      </c>
      <c r="AG249" s="238">
        <f>MAX(H249/H264)</f>
        <v>8.1926209261363889E-2</v>
      </c>
      <c r="AH249" s="235">
        <f t="shared" si="45"/>
        <v>291521.94081554608</v>
      </c>
    </row>
    <row r="250" spans="1:34" ht="15" customHeight="1" x14ac:dyDescent="0.2">
      <c r="A250" s="962" t="s">
        <v>379</v>
      </c>
      <c r="B250" s="1146">
        <v>587</v>
      </c>
      <c r="C250" s="1146"/>
      <c r="D250" s="1146"/>
      <c r="E250" s="1146"/>
      <c r="F250" s="1146"/>
      <c r="G250" s="1146"/>
      <c r="H250" s="1146">
        <v>587</v>
      </c>
      <c r="I250" s="1146">
        <v>587</v>
      </c>
      <c r="J250" s="1147">
        <v>2054.5</v>
      </c>
      <c r="K250" s="1147">
        <v>3.5</v>
      </c>
      <c r="L250" s="1066" t="s">
        <v>1129</v>
      </c>
      <c r="M250" s="959">
        <v>1850000</v>
      </c>
      <c r="N250" s="959">
        <v>4978011.1799408002</v>
      </c>
      <c r="O250" s="1149">
        <v>3558347.73076736</v>
      </c>
      <c r="P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237">
        <f>MAX(J250/J264)</f>
        <v>2.2946603859293306E-2</v>
      </c>
      <c r="AD250" s="235">
        <f t="shared" si="43"/>
        <v>42451.217139692613</v>
      </c>
      <c r="AE250" s="238">
        <f>MAX(I250/I264)</f>
        <v>2.1198393963448553E-2</v>
      </c>
      <c r="AF250" s="235">
        <f t="shared" si="44"/>
        <v>105525.84214683647</v>
      </c>
      <c r="AG250" s="238">
        <f>MAX(H250/H264)</f>
        <v>2.3725054186689989E-2</v>
      </c>
      <c r="AH250" s="235">
        <f t="shared" si="45"/>
        <v>84421.992727540972</v>
      </c>
    </row>
    <row r="251" spans="1:34" ht="15" customHeight="1" x14ac:dyDescent="0.2">
      <c r="A251" s="962" t="s">
        <v>380</v>
      </c>
      <c r="B251" s="1146">
        <v>920.5</v>
      </c>
      <c r="C251" s="1146">
        <v>45</v>
      </c>
      <c r="D251" s="1146">
        <v>0</v>
      </c>
      <c r="E251" s="1146">
        <v>5</v>
      </c>
      <c r="F251" s="1146">
        <v>10</v>
      </c>
      <c r="G251" s="1146">
        <v>0</v>
      </c>
      <c r="H251" s="1146">
        <v>905.5</v>
      </c>
      <c r="I251" s="1146">
        <v>950.5</v>
      </c>
      <c r="J251" s="1147">
        <v>2535.3999999999996</v>
      </c>
      <c r="K251" s="1147">
        <v>2.8</v>
      </c>
      <c r="L251" s="1066" t="s">
        <v>1129</v>
      </c>
      <c r="M251" s="959">
        <v>1850000</v>
      </c>
      <c r="N251" s="959">
        <v>4978011.1799408002</v>
      </c>
      <c r="O251" s="1149">
        <v>3558347.73076736</v>
      </c>
      <c r="P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237">
        <f>MAX(J251/J264)</f>
        <v>2.8317750997737767E-2</v>
      </c>
      <c r="AD251" s="235">
        <f t="shared" si="43"/>
        <v>52387.839345814871</v>
      </c>
      <c r="AE251" s="238">
        <f>MAX(I251/I264)</f>
        <v>3.4325508453590885E-2</v>
      </c>
      <c r="AF251" s="235">
        <f t="shared" si="44"/>
        <v>170872.76483912786</v>
      </c>
      <c r="AG251" s="238">
        <f>MAX(H251/H264)</f>
        <v>3.6598018000081403E-2</v>
      </c>
      <c r="AH251" s="235">
        <f t="shared" si="45"/>
        <v>130228.47430117265</v>
      </c>
    </row>
    <row r="252" spans="1:34" ht="15" customHeight="1" x14ac:dyDescent="0.2">
      <c r="A252" s="962" t="s">
        <v>381</v>
      </c>
      <c r="B252" s="957">
        <v>345.5</v>
      </c>
      <c r="C252" s="1146"/>
      <c r="D252" s="1146">
        <v>52</v>
      </c>
      <c r="E252" s="1146"/>
      <c r="F252" s="1146"/>
      <c r="G252" s="1146"/>
      <c r="H252" s="1146">
        <v>293.5</v>
      </c>
      <c r="I252" s="1146">
        <v>345.5</v>
      </c>
      <c r="J252" s="1147">
        <v>880.5</v>
      </c>
      <c r="K252" s="1147">
        <v>3</v>
      </c>
      <c r="L252" s="1066" t="s">
        <v>1129</v>
      </c>
      <c r="M252" s="959">
        <v>1850000</v>
      </c>
      <c r="N252" s="959">
        <v>4978011.1799408002</v>
      </c>
      <c r="O252" s="1149">
        <v>3558347.73076736</v>
      </c>
      <c r="P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237">
        <f>MAX(J252/J264)</f>
        <v>9.8342587968399883E-3</v>
      </c>
      <c r="AD252" s="235">
        <f t="shared" si="43"/>
        <v>18193.378774153978</v>
      </c>
      <c r="AE252" s="238">
        <f>MAX(I252/I264)</f>
        <v>1.2477078559406262E-2</v>
      </c>
      <c r="AF252" s="235">
        <f t="shared" si="44"/>
        <v>62111.036561724024</v>
      </c>
      <c r="AG252" s="238">
        <f>MAX(H252/H264)</f>
        <v>1.1862527093344994E-2</v>
      </c>
      <c r="AH252" s="235">
        <f t="shared" si="45"/>
        <v>42210.996363770486</v>
      </c>
    </row>
    <row r="253" spans="1:34" ht="15" customHeight="1" x14ac:dyDescent="0.2">
      <c r="A253" s="962" t="s">
        <v>382</v>
      </c>
      <c r="B253" s="957">
        <v>295.64999999999998</v>
      </c>
      <c r="C253" s="1146">
        <v>25</v>
      </c>
      <c r="D253" s="1146">
        <v>10</v>
      </c>
      <c r="E253" s="1146">
        <v>8</v>
      </c>
      <c r="F253" s="1146">
        <v>7</v>
      </c>
      <c r="G253" s="1146">
        <v>35</v>
      </c>
      <c r="H253" s="1146">
        <v>235.64999999999998</v>
      </c>
      <c r="I253" s="1146">
        <v>305.64999999999998</v>
      </c>
      <c r="J253" s="1147">
        <v>471.29999999999995</v>
      </c>
      <c r="K253" s="1147">
        <v>2</v>
      </c>
      <c r="L253" s="1066" t="s">
        <v>1129</v>
      </c>
      <c r="M253" s="959">
        <v>1850000</v>
      </c>
      <c r="N253" s="959">
        <v>4978011.1799408002</v>
      </c>
      <c r="O253" s="1149">
        <v>3558347.73076736</v>
      </c>
      <c r="P253" s="9"/>
      <c r="W253" s="9"/>
      <c r="X253" s="9"/>
      <c r="Y253" s="9"/>
      <c r="Z253" s="9"/>
      <c r="AA253" s="9"/>
      <c r="AB253" s="9"/>
      <c r="AC253" s="237">
        <f>MAX(J253/J264)</f>
        <v>5.2639252367412672E-3</v>
      </c>
      <c r="AD253" s="235">
        <f t="shared" si="43"/>
        <v>9738.2616879713441</v>
      </c>
      <c r="AE253" s="238">
        <f>MAX(I253/I264)</f>
        <v>1.1037971234971125E-2</v>
      </c>
      <c r="AF253" s="235">
        <f t="shared" si="44"/>
        <v>54947.144211551218</v>
      </c>
      <c r="AG253" s="238">
        <f>MAX(H253/H264)</f>
        <v>9.5243765231575721E-3</v>
      </c>
      <c r="AH253" s="235">
        <f t="shared" si="45"/>
        <v>33891.043588151668</v>
      </c>
    </row>
    <row r="254" spans="1:34" ht="15" customHeight="1" x14ac:dyDescent="0.2">
      <c r="A254" s="1154" t="s">
        <v>383</v>
      </c>
      <c r="B254" s="1002">
        <v>8855.5</v>
      </c>
      <c r="C254" s="1002">
        <v>332</v>
      </c>
      <c r="D254" s="1002">
        <v>605</v>
      </c>
      <c r="E254" s="1002">
        <v>44</v>
      </c>
      <c r="F254" s="1002">
        <v>100</v>
      </c>
      <c r="G254" s="1002">
        <v>140</v>
      </c>
      <c r="H254" s="1002">
        <v>7966.5</v>
      </c>
      <c r="I254" s="1002">
        <v>9043.5</v>
      </c>
      <c r="J254" s="1150">
        <v>30235.25</v>
      </c>
      <c r="K254" s="1150">
        <v>3.7952990648339924</v>
      </c>
      <c r="L254" s="1152"/>
      <c r="M254" s="996"/>
      <c r="N254" s="435"/>
      <c r="O254" s="436"/>
      <c r="P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1157"/>
      <c r="AD254" s="1156"/>
      <c r="AE254" s="1158"/>
      <c r="AF254" s="1156"/>
      <c r="AG254" s="1158"/>
      <c r="AH254" s="1156"/>
    </row>
    <row r="255" spans="1:34" ht="15" customHeight="1" x14ac:dyDescent="0.2">
      <c r="A255" s="962" t="s">
        <v>384</v>
      </c>
      <c r="B255" s="957">
        <v>2619.5</v>
      </c>
      <c r="C255" s="1146">
        <v>120</v>
      </c>
      <c r="D255" s="1146">
        <v>79</v>
      </c>
      <c r="E255" s="1146">
        <v>23</v>
      </c>
      <c r="F255" s="1146">
        <v>5</v>
      </c>
      <c r="G255" s="1146">
        <v>120</v>
      </c>
      <c r="H255" s="1146">
        <v>2392.5</v>
      </c>
      <c r="I255" s="1146">
        <v>2711.5</v>
      </c>
      <c r="J255" s="1147">
        <v>8373.75</v>
      </c>
      <c r="K255" s="1147">
        <v>3.5</v>
      </c>
      <c r="L255" s="1066" t="s">
        <v>1129</v>
      </c>
      <c r="M255" s="959">
        <v>1850000</v>
      </c>
      <c r="N255" s="959">
        <v>4978011.1799408002</v>
      </c>
      <c r="O255" s="1149">
        <v>3558347.73076736</v>
      </c>
      <c r="P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237">
        <f>MAX(J255/J264)</f>
        <v>9.3525979102826631E-2</v>
      </c>
      <c r="AD255" s="235">
        <f t="shared" ref="AD255:AD263" si="46">MAX(M255*AC255)</f>
        <v>173023.06134022927</v>
      </c>
      <c r="AE255" s="238">
        <f>MAX(I255/I264)</f>
        <v>9.7920690343936551E-2</v>
      </c>
      <c r="AF255" s="235">
        <f t="shared" ref="AF255:AF263" si="47">MAX(N255*AE255)</f>
        <v>487450.29127963731</v>
      </c>
      <c r="AG255" s="238">
        <f>MAX(H255/H264)</f>
        <v>9.6698794108442579E-2</v>
      </c>
      <c r="AH255" s="235">
        <f t="shared" ref="AH255:AH263" si="48">MAX(O255*AG255)</f>
        <v>344087.93458371679</v>
      </c>
    </row>
    <row r="256" spans="1:34" ht="15" customHeight="1" x14ac:dyDescent="0.2">
      <c r="A256" s="962" t="s">
        <v>385</v>
      </c>
      <c r="B256" s="957">
        <v>2811</v>
      </c>
      <c r="C256" s="1146">
        <v>40</v>
      </c>
      <c r="D256" s="1146">
        <v>100</v>
      </c>
      <c r="E256" s="1146">
        <v>1</v>
      </c>
      <c r="F256" s="1146">
        <v>80</v>
      </c>
      <c r="G256" s="1146">
        <v>0</v>
      </c>
      <c r="H256" s="1146">
        <v>2630</v>
      </c>
      <c r="I256" s="1146">
        <v>2770</v>
      </c>
      <c r="J256" s="1147">
        <v>10520</v>
      </c>
      <c r="K256" s="1147">
        <v>4</v>
      </c>
      <c r="L256" s="1066" t="s">
        <v>1129</v>
      </c>
      <c r="M256" s="959">
        <v>1850000</v>
      </c>
      <c r="N256" s="959">
        <v>4978011.1799408002</v>
      </c>
      <c r="O256" s="1149">
        <v>3558347.73076736</v>
      </c>
      <c r="P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237">
        <f>MAX(J256/J264)</f>
        <v>0.11749733394975205</v>
      </c>
      <c r="AD256" s="235">
        <f t="shared" si="46"/>
        <v>217370.06780704128</v>
      </c>
      <c r="AE256" s="238">
        <f>MAX(I256/I264)</f>
        <v>0.10003330711882878</v>
      </c>
      <c r="AF256" s="235">
        <f t="shared" si="47"/>
        <v>497966.92120398133</v>
      </c>
      <c r="AG256" s="238">
        <f>MAX(H256/H264)</f>
        <v>0.10629794294888359</v>
      </c>
      <c r="AH256" s="235">
        <f t="shared" si="48"/>
        <v>378245.0440773982</v>
      </c>
    </row>
    <row r="257" spans="1:34" ht="15" customHeight="1" x14ac:dyDescent="0.2">
      <c r="A257" s="962" t="s">
        <v>386</v>
      </c>
      <c r="B257" s="957">
        <v>143.5</v>
      </c>
      <c r="C257" s="1146">
        <v>2</v>
      </c>
      <c r="D257" s="1146">
        <v>0</v>
      </c>
      <c r="E257" s="1146">
        <v>0</v>
      </c>
      <c r="F257" s="1146">
        <v>0</v>
      </c>
      <c r="G257" s="1146">
        <v>0</v>
      </c>
      <c r="H257" s="1146">
        <v>143.5</v>
      </c>
      <c r="I257" s="1146">
        <v>145.5</v>
      </c>
      <c r="J257" s="1147">
        <v>574</v>
      </c>
      <c r="K257" s="1147">
        <v>4</v>
      </c>
      <c r="L257" s="1066" t="s">
        <v>1129</v>
      </c>
      <c r="M257" s="959">
        <v>1850000</v>
      </c>
      <c r="N257" s="959">
        <v>4978011.1799408002</v>
      </c>
      <c r="O257" s="1149">
        <v>3558347.73076736</v>
      </c>
      <c r="P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237">
        <f>MAX(J257/J264)</f>
        <v>6.410976206003581E-3</v>
      </c>
      <c r="AD257" s="235">
        <f t="shared" si="46"/>
        <v>11860.305981106625</v>
      </c>
      <c r="AE257" s="238">
        <f>MAX(I257/I264)</f>
        <v>5.2544571067832443E-3</v>
      </c>
      <c r="AF257" s="235">
        <f t="shared" si="47"/>
        <v>26156.746222086382</v>
      </c>
      <c r="AG257" s="238">
        <f>MAX(H257/H264)</f>
        <v>5.799906773066462E-3</v>
      </c>
      <c r="AH257" s="235">
        <f t="shared" si="48"/>
        <v>20638.085104603288</v>
      </c>
    </row>
    <row r="258" spans="1:34" ht="15" customHeight="1" x14ac:dyDescent="0.2">
      <c r="A258" s="962" t="s">
        <v>387</v>
      </c>
      <c r="B258" s="957">
        <v>434.5</v>
      </c>
      <c r="C258" s="1146">
        <v>20</v>
      </c>
      <c r="D258" s="1146">
        <v>30</v>
      </c>
      <c r="E258" s="1146">
        <v>10</v>
      </c>
      <c r="F258" s="1146">
        <v>15</v>
      </c>
      <c r="G258" s="1146">
        <v>0</v>
      </c>
      <c r="H258" s="1146">
        <v>379.5</v>
      </c>
      <c r="I258" s="1146">
        <v>429.5</v>
      </c>
      <c r="J258" s="1147">
        <v>1518</v>
      </c>
      <c r="K258" s="1147">
        <v>4</v>
      </c>
      <c r="L258" s="1066" t="s">
        <v>1129</v>
      </c>
      <c r="M258" s="959">
        <v>1850000</v>
      </c>
      <c r="N258" s="959">
        <v>4978011.1799408002</v>
      </c>
      <c r="O258" s="1149">
        <v>3558347.73076736</v>
      </c>
      <c r="P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237">
        <f>MAX(J258/J264)</f>
        <v>1.6954463206817833E-2</v>
      </c>
      <c r="AD258" s="235">
        <f t="shared" si="46"/>
        <v>31365.756932612992</v>
      </c>
      <c r="AE258" s="238">
        <f>MAX(I258/I264)</f>
        <v>1.5510579569507927E-2</v>
      </c>
      <c r="AF258" s="235">
        <f t="shared" si="47"/>
        <v>77211.83850437183</v>
      </c>
      <c r="AG258" s="238">
        <f>MAX(H258/H264)</f>
        <v>1.5338429410304685E-2</v>
      </c>
      <c r="AH258" s="235">
        <f t="shared" si="48"/>
        <v>54579.465485693014</v>
      </c>
    </row>
    <row r="259" spans="1:34" ht="15" customHeight="1" x14ac:dyDescent="0.2">
      <c r="A259" s="962" t="s">
        <v>388</v>
      </c>
      <c r="B259" s="957">
        <v>640.5</v>
      </c>
      <c r="C259" s="1146">
        <v>100</v>
      </c>
      <c r="D259" s="1146">
        <v>100</v>
      </c>
      <c r="E259" s="1146">
        <v>10</v>
      </c>
      <c r="F259" s="1146"/>
      <c r="G259" s="1146">
        <v>20</v>
      </c>
      <c r="H259" s="1146">
        <v>510.5</v>
      </c>
      <c r="I259" s="1146">
        <v>730.5</v>
      </c>
      <c r="J259" s="1147">
        <v>2042</v>
      </c>
      <c r="K259" s="1147">
        <v>4</v>
      </c>
      <c r="L259" s="1066" t="s">
        <v>1129</v>
      </c>
      <c r="M259" s="959">
        <v>1850000</v>
      </c>
      <c r="N259" s="959">
        <v>4978011.1799408002</v>
      </c>
      <c r="O259" s="1149">
        <v>3558347.73076736</v>
      </c>
      <c r="P259" s="9"/>
      <c r="R259" s="2005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237">
        <f>MAX(J259/J264)</f>
        <v>2.2806992008117269E-2</v>
      </c>
      <c r="AD259" s="235">
        <f t="shared" si="46"/>
        <v>42192.935215016951</v>
      </c>
      <c r="AE259" s="238">
        <f>MAX(I259/I264)</f>
        <v>2.6380624855705567E-2</v>
      </c>
      <c r="AF259" s="235">
        <f t="shared" si="47"/>
        <v>131323.04546552646</v>
      </c>
      <c r="AG259" s="238">
        <f>MAX(H259/H264)</f>
        <v>2.0633117823347938E-2</v>
      </c>
      <c r="AH259" s="235">
        <f t="shared" si="48"/>
        <v>73419.807985365711</v>
      </c>
    </row>
    <row r="260" spans="1:34" ht="15" customHeight="1" x14ac:dyDescent="0.2">
      <c r="A260" s="962" t="s">
        <v>389</v>
      </c>
      <c r="B260" s="957">
        <v>826.5</v>
      </c>
      <c r="C260" s="1146">
        <v>50</v>
      </c>
      <c r="D260" s="1146">
        <v>130</v>
      </c>
      <c r="E260" s="1146"/>
      <c r="F260" s="1146"/>
      <c r="G260" s="1146"/>
      <c r="H260" s="1146">
        <v>696.5</v>
      </c>
      <c r="I260" s="1146">
        <v>876.5</v>
      </c>
      <c r="J260" s="1147">
        <v>2786</v>
      </c>
      <c r="K260" s="1147">
        <v>4</v>
      </c>
      <c r="L260" s="1066" t="s">
        <v>1129</v>
      </c>
      <c r="M260" s="959">
        <v>1850000</v>
      </c>
      <c r="N260" s="959">
        <v>4978011.1799408002</v>
      </c>
      <c r="O260" s="1149">
        <v>3558347.73076736</v>
      </c>
      <c r="P260" s="9"/>
      <c r="R260" s="2005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237">
        <f>MAX(J260/J264)</f>
        <v>3.1116689390114943E-2</v>
      </c>
      <c r="AD260" s="235">
        <f t="shared" si="46"/>
        <v>57565.875371712646</v>
      </c>
      <c r="AE260" s="238">
        <f>MAX(I260/I264)</f>
        <v>3.1653138516120373E-2</v>
      </c>
      <c r="AF260" s="235">
        <f t="shared" si="47"/>
        <v>157569.67741346196</v>
      </c>
      <c r="AG260" s="238">
        <f>MAX(H260/H264)</f>
        <v>2.8150767020493316E-2</v>
      </c>
      <c r="AH260" s="235">
        <f t="shared" si="48"/>
        <v>100170.21794673303</v>
      </c>
    </row>
    <row r="261" spans="1:34" ht="15" customHeight="1" x14ac:dyDescent="0.2">
      <c r="A261" s="962" t="s">
        <v>390</v>
      </c>
      <c r="B261" s="957">
        <v>399</v>
      </c>
      <c r="C261" s="1146"/>
      <c r="D261" s="1146">
        <v>56</v>
      </c>
      <c r="E261" s="1146"/>
      <c r="F261" s="1146"/>
      <c r="G261" s="1146"/>
      <c r="H261" s="1146">
        <v>343</v>
      </c>
      <c r="I261" s="1146">
        <v>399</v>
      </c>
      <c r="J261" s="1147">
        <v>1200.5</v>
      </c>
      <c r="K261" s="1147">
        <v>3.5</v>
      </c>
      <c r="L261" s="1066" t="s">
        <v>1129</v>
      </c>
      <c r="M261" s="959">
        <v>1850000</v>
      </c>
      <c r="N261" s="959">
        <v>4978011.1799408002</v>
      </c>
      <c r="O261" s="1149">
        <v>3558347.73076736</v>
      </c>
      <c r="P261" s="9"/>
      <c r="R261" s="2005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237">
        <f>MAX(J261/J264)</f>
        <v>1.3408322186946514E-2</v>
      </c>
      <c r="AD261" s="235">
        <f t="shared" si="46"/>
        <v>24805.396045851052</v>
      </c>
      <c r="AE261" s="238">
        <f>MAX(I261/I264)</f>
        <v>1.4409129797982917E-2</v>
      </c>
      <c r="AF261" s="235">
        <f t="shared" si="47"/>
        <v>71728.80922757709</v>
      </c>
      <c r="AG261" s="238">
        <f>MAX(H261/H264)</f>
        <v>1.386319179903691E-2</v>
      </c>
      <c r="AH261" s="235">
        <f t="shared" si="48"/>
        <v>49330.057079295664</v>
      </c>
    </row>
    <row r="262" spans="1:34" ht="15" customHeight="1" x14ac:dyDescent="0.2">
      <c r="A262" s="962" t="s">
        <v>941</v>
      </c>
      <c r="B262" s="957">
        <v>636</v>
      </c>
      <c r="C262" s="1146"/>
      <c r="D262" s="1146">
        <v>110</v>
      </c>
      <c r="E262" s="1146"/>
      <c r="F262" s="1146"/>
      <c r="G262" s="1146"/>
      <c r="H262" s="1146">
        <v>526</v>
      </c>
      <c r="I262" s="1146">
        <v>636</v>
      </c>
      <c r="J262" s="1147">
        <v>1841</v>
      </c>
      <c r="K262" s="1147">
        <v>3.5</v>
      </c>
      <c r="L262" s="1066" t="s">
        <v>1129</v>
      </c>
      <c r="M262" s="959">
        <v>1850000</v>
      </c>
      <c r="N262" s="959">
        <v>4978011.1799408002</v>
      </c>
      <c r="O262" s="1149">
        <v>3558347.73076736</v>
      </c>
      <c r="P262" s="9"/>
      <c r="R262" s="2005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237">
        <f>MAX(J262/J264)</f>
        <v>2.0562033441206606E-2</v>
      </c>
      <c r="AD262" s="235">
        <f t="shared" si="46"/>
        <v>38039.76186623222</v>
      </c>
      <c r="AE262" s="238">
        <f>MAX(I262/I264)</f>
        <v>2.2967936219341192E-2</v>
      </c>
      <c r="AF262" s="235">
        <f t="shared" si="47"/>
        <v>114334.64328004769</v>
      </c>
      <c r="AG262" s="238">
        <f>MAX(H262/H264)</f>
        <v>2.1259588589776716E-2</v>
      </c>
      <c r="AH262" s="235">
        <f t="shared" si="48"/>
        <v>75649.008815479639</v>
      </c>
    </row>
    <row r="263" spans="1:34" ht="15" customHeight="1" thickBot="1" x14ac:dyDescent="0.25">
      <c r="A263" s="1140" t="s">
        <v>392</v>
      </c>
      <c r="B263" s="1529">
        <v>345</v>
      </c>
      <c r="C263" s="1141">
        <v>0</v>
      </c>
      <c r="D263" s="1141">
        <v>0</v>
      </c>
      <c r="E263" s="1141">
        <v>0</v>
      </c>
      <c r="F263" s="1141">
        <v>0</v>
      </c>
      <c r="G263" s="1141">
        <v>0</v>
      </c>
      <c r="H263" s="1146">
        <v>345</v>
      </c>
      <c r="I263" s="1146">
        <v>345</v>
      </c>
      <c r="J263" s="1526">
        <v>1380</v>
      </c>
      <c r="K263" s="1142">
        <v>4</v>
      </c>
      <c r="L263" s="1066" t="s">
        <v>1129</v>
      </c>
      <c r="M263" s="959">
        <v>1850000</v>
      </c>
      <c r="N263" s="959">
        <v>4978011.1799408002</v>
      </c>
      <c r="O263" s="1149">
        <v>3558347.73076736</v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237">
        <f>MAX(J263/J264)</f>
        <v>1.5413148369834394E-2</v>
      </c>
      <c r="AD263" s="235">
        <f t="shared" si="46"/>
        <v>28514.324484193628</v>
      </c>
      <c r="AE263" s="238">
        <f>MAX(I263/I264)</f>
        <v>1.2459022005774704E-2</v>
      </c>
      <c r="AF263" s="235">
        <f t="shared" si="47"/>
        <v>62021.150835874927</v>
      </c>
      <c r="AG263" s="238">
        <f>MAX(H263/H264)</f>
        <v>1.3944026736640623E-2</v>
      </c>
      <c r="AH263" s="235">
        <f t="shared" si="48"/>
        <v>49617.695896084559</v>
      </c>
    </row>
    <row r="264" spans="1:34" ht="15" customHeight="1" thickBot="1" x14ac:dyDescent="0.25">
      <c r="A264" s="405" t="s">
        <v>942</v>
      </c>
      <c r="B264" s="1131">
        <v>26899.776999999998</v>
      </c>
      <c r="C264" s="1131">
        <v>1010</v>
      </c>
      <c r="D264" s="1131">
        <v>1319</v>
      </c>
      <c r="E264" s="1131">
        <v>93</v>
      </c>
      <c r="F264" s="1131">
        <v>126</v>
      </c>
      <c r="G264" s="1131">
        <v>620</v>
      </c>
      <c r="H264" s="1131">
        <v>24741.776999999998</v>
      </c>
      <c r="I264" s="1131">
        <v>27690.776999999998</v>
      </c>
      <c r="J264" s="1132">
        <v>89533.946400000001</v>
      </c>
      <c r="K264" s="1132">
        <v>3.6187354853291258</v>
      </c>
      <c r="L264" s="1525" t="s">
        <v>1129</v>
      </c>
      <c r="M264" s="1134">
        <v>1850000.0000000002</v>
      </c>
      <c r="N264" s="1134">
        <v>4978011.1799408002</v>
      </c>
      <c r="O264" s="506">
        <v>3558347.73076736</v>
      </c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1159">
        <f t="shared" ref="AC264:AH264" si="49">SUM(AC224:AC263)</f>
        <v>1</v>
      </c>
      <c r="AD264" s="1160">
        <f t="shared" si="49"/>
        <v>1850000.0000000002</v>
      </c>
      <c r="AE264" s="1161">
        <f t="shared" si="49"/>
        <v>1.0000000000000002</v>
      </c>
      <c r="AF264" s="1160">
        <f t="shared" si="49"/>
        <v>4978011.1799408002</v>
      </c>
      <c r="AG264" s="1161">
        <f t="shared" si="49"/>
        <v>1.0000000000000002</v>
      </c>
      <c r="AH264" s="1160">
        <f t="shared" si="49"/>
        <v>3558347.73076736</v>
      </c>
    </row>
    <row r="265" spans="1:34" x14ac:dyDescent="0.2">
      <c r="A265" s="7" t="s">
        <v>1934</v>
      </c>
      <c r="B265" s="8"/>
      <c r="C265" s="8"/>
      <c r="D265" s="8"/>
      <c r="E265" s="4"/>
      <c r="F265" s="5"/>
      <c r="G265" s="9"/>
      <c r="H265" s="8"/>
      <c r="I265" s="224"/>
      <c r="J265" s="224"/>
      <c r="K265" s="240"/>
      <c r="L265" s="241"/>
      <c r="M265" s="240"/>
      <c r="N265" s="240"/>
      <c r="O265" s="240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x14ac:dyDescent="0.2">
      <c r="A266" s="34"/>
      <c r="B266" s="249"/>
      <c r="C266" s="249"/>
      <c r="D266" s="249"/>
      <c r="E266" s="249"/>
      <c r="F266" s="249"/>
      <c r="G266" s="249"/>
      <c r="H266" s="249"/>
      <c r="I266" s="249"/>
      <c r="J266" s="249"/>
      <c r="K266" s="249"/>
      <c r="L266" s="2263"/>
      <c r="M266" s="249"/>
      <c r="N266" s="249"/>
      <c r="O266" s="24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x14ac:dyDescent="0.2">
      <c r="A267" s="242"/>
      <c r="B267" s="240"/>
      <c r="C267" s="240"/>
      <c r="D267" s="240"/>
      <c r="E267" s="240"/>
      <c r="F267" s="240"/>
      <c r="G267" s="240"/>
      <c r="H267" s="240"/>
      <c r="I267" s="240"/>
      <c r="J267" s="240"/>
      <c r="K267" s="249"/>
      <c r="L267" s="241"/>
      <c r="M267" s="240"/>
      <c r="N267" s="240"/>
      <c r="O267" s="240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x14ac:dyDescent="0.2">
      <c r="A268" s="242"/>
      <c r="B268" s="240"/>
      <c r="C268" s="240"/>
      <c r="D268" s="240"/>
      <c r="E268" s="240"/>
      <c r="F268" s="240"/>
      <c r="G268" s="240"/>
      <c r="H268" s="240"/>
      <c r="I268" s="240"/>
      <c r="J268" s="240"/>
      <c r="K268" s="249"/>
      <c r="L268" s="241"/>
      <c r="M268" s="240"/>
      <c r="N268" s="240"/>
      <c r="O268" s="240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5" x14ac:dyDescent="0.25">
      <c r="A269" s="2843" t="s">
        <v>1931</v>
      </c>
      <c r="B269" s="2843"/>
      <c r="C269" s="2843"/>
      <c r="D269" s="2843"/>
      <c r="E269" s="2843"/>
      <c r="F269" s="2843"/>
      <c r="G269" s="2843"/>
      <c r="H269" s="2843"/>
      <c r="I269" s="2843"/>
      <c r="J269" s="2843"/>
      <c r="K269" s="2843"/>
      <c r="L269" s="2843"/>
      <c r="M269" s="2843"/>
      <c r="N269" s="2843"/>
      <c r="O269" s="2843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3.5" thickBot="1" x14ac:dyDescent="0.25">
      <c r="A270" s="8" t="s">
        <v>1866</v>
      </c>
      <c r="B270" s="225"/>
      <c r="C270" s="227"/>
      <c r="D270" s="227"/>
      <c r="E270" s="227"/>
      <c r="F270" s="227"/>
      <c r="G270" s="227"/>
      <c r="H270" s="225"/>
      <c r="I270" s="225"/>
      <c r="J270" s="225"/>
      <c r="K270" s="225"/>
      <c r="L270" s="171"/>
      <c r="M270" s="227"/>
      <c r="N270" s="227"/>
      <c r="O270" s="227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228" t="s">
        <v>910</v>
      </c>
      <c r="AD270" s="229"/>
      <c r="AE270" s="229"/>
      <c r="AF270" s="229"/>
      <c r="AG270" s="229"/>
      <c r="AH270" s="229"/>
    </row>
    <row r="271" spans="1:34" ht="15" customHeight="1" x14ac:dyDescent="0.2">
      <c r="A271" s="2844" t="s">
        <v>327</v>
      </c>
      <c r="B271" s="2847" t="s">
        <v>1932</v>
      </c>
      <c r="C271" s="2848"/>
      <c r="D271" s="2848"/>
      <c r="E271" s="2848"/>
      <c r="F271" s="2848"/>
      <c r="G271" s="2848"/>
      <c r="H271" s="2848"/>
      <c r="I271" s="2848"/>
      <c r="J271" s="2848"/>
      <c r="K271" s="2848"/>
      <c r="L271" s="2848"/>
      <c r="M271" s="2848"/>
      <c r="N271" s="2848"/>
      <c r="O271" s="284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228" t="s">
        <v>910</v>
      </c>
      <c r="AD271" s="229"/>
      <c r="AE271" s="229"/>
      <c r="AF271" s="229"/>
      <c r="AG271" s="229"/>
      <c r="AH271" s="243"/>
    </row>
    <row r="272" spans="1:34" ht="15" customHeight="1" x14ac:dyDescent="0.2">
      <c r="A272" s="2845"/>
      <c r="B272" s="2850" t="s">
        <v>191</v>
      </c>
      <c r="C272" s="2850"/>
      <c r="D272" s="2850"/>
      <c r="E272" s="2850"/>
      <c r="F272" s="2850"/>
      <c r="G272" s="2850"/>
      <c r="H272" s="2850"/>
      <c r="I272" s="2850"/>
      <c r="J272" s="2119"/>
      <c r="K272" s="2119" t="s">
        <v>904</v>
      </c>
      <c r="L272" s="2119"/>
      <c r="M272" s="1122" t="s">
        <v>437</v>
      </c>
      <c r="N272" s="1122" t="s">
        <v>911</v>
      </c>
      <c r="O272" s="1127" t="s">
        <v>911</v>
      </c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230" t="s">
        <v>333</v>
      </c>
      <c r="AD272" s="231" t="s">
        <v>333</v>
      </c>
      <c r="AE272" s="231" t="s">
        <v>333</v>
      </c>
      <c r="AF272" s="231" t="s">
        <v>333</v>
      </c>
      <c r="AG272" s="231" t="s">
        <v>333</v>
      </c>
      <c r="AH272" s="231" t="s">
        <v>333</v>
      </c>
    </row>
    <row r="273" spans="1:34" ht="15" customHeight="1" x14ac:dyDescent="0.2">
      <c r="A273" s="2845"/>
      <c r="B273" s="2119" t="s">
        <v>433</v>
      </c>
      <c r="C273" s="2119"/>
      <c r="D273" s="2841" t="s">
        <v>1865</v>
      </c>
      <c r="E273" s="2119"/>
      <c r="F273" s="2119"/>
      <c r="G273" s="2119" t="s">
        <v>912</v>
      </c>
      <c r="H273" s="2119"/>
      <c r="I273" s="2119" t="s">
        <v>433</v>
      </c>
      <c r="J273" s="2138" t="s">
        <v>913</v>
      </c>
      <c r="K273" s="2138" t="s">
        <v>842</v>
      </c>
      <c r="L273" s="2138" t="s">
        <v>329</v>
      </c>
      <c r="M273" s="1123" t="s">
        <v>914</v>
      </c>
      <c r="N273" s="1123" t="s">
        <v>915</v>
      </c>
      <c r="O273" s="1128" t="s">
        <v>914</v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230" t="s">
        <v>913</v>
      </c>
      <c r="AD273" s="231" t="s">
        <v>916</v>
      </c>
      <c r="AE273" s="231" t="s">
        <v>917</v>
      </c>
      <c r="AF273" s="231" t="s">
        <v>918</v>
      </c>
      <c r="AG273" s="231" t="s">
        <v>192</v>
      </c>
      <c r="AH273" s="231" t="s">
        <v>918</v>
      </c>
    </row>
    <row r="274" spans="1:34" ht="15" customHeight="1" x14ac:dyDescent="0.2">
      <c r="A274" s="2845"/>
      <c r="B274" s="2138" t="s">
        <v>920</v>
      </c>
      <c r="C274" s="2138" t="s">
        <v>922</v>
      </c>
      <c r="D274" s="2842"/>
      <c r="E274" s="2138" t="s">
        <v>867</v>
      </c>
      <c r="F274" s="2138" t="s">
        <v>921</v>
      </c>
      <c r="G274" s="2138" t="s">
        <v>923</v>
      </c>
      <c r="H274" s="2138" t="s">
        <v>836</v>
      </c>
      <c r="I274" s="2138" t="s">
        <v>835</v>
      </c>
      <c r="J274" s="2138" t="s">
        <v>924</v>
      </c>
      <c r="K274" s="2138" t="s">
        <v>925</v>
      </c>
      <c r="L274" s="2138" t="s">
        <v>336</v>
      </c>
      <c r="M274" s="1123" t="s">
        <v>926</v>
      </c>
      <c r="N274" s="1123" t="s">
        <v>927</v>
      </c>
      <c r="O274" s="1128" t="s">
        <v>928</v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230"/>
      <c r="AD274" s="231" t="s">
        <v>843</v>
      </c>
      <c r="AE274" s="231"/>
      <c r="AF274" s="231" t="s">
        <v>929</v>
      </c>
      <c r="AG274" s="231"/>
      <c r="AH274" s="231" t="s">
        <v>930</v>
      </c>
    </row>
    <row r="275" spans="1:34" ht="15" customHeight="1" thickBot="1" x14ac:dyDescent="0.25">
      <c r="A275" s="2846"/>
      <c r="B275" s="1881">
        <v>44926</v>
      </c>
      <c r="C275" s="2139">
        <v>2023</v>
      </c>
      <c r="D275" s="2139">
        <v>2023</v>
      </c>
      <c r="E275" s="2139">
        <v>2023</v>
      </c>
      <c r="F275" s="2139">
        <v>2023</v>
      </c>
      <c r="G275" s="2139" t="s">
        <v>931</v>
      </c>
      <c r="H275" s="1126">
        <v>2023</v>
      </c>
      <c r="I275" s="1881">
        <v>45291</v>
      </c>
      <c r="J275" s="1881" t="s">
        <v>1933</v>
      </c>
      <c r="K275" s="1881" t="s">
        <v>1933</v>
      </c>
      <c r="L275" s="2139" t="s">
        <v>441</v>
      </c>
      <c r="M275" s="1125" t="s">
        <v>932</v>
      </c>
      <c r="N275" s="1125" t="s">
        <v>933</v>
      </c>
      <c r="O275" s="1129" t="s">
        <v>933</v>
      </c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232"/>
      <c r="AD275" s="233" t="s">
        <v>934</v>
      </c>
      <c r="AE275" s="233"/>
      <c r="AF275" s="233" t="s">
        <v>935</v>
      </c>
      <c r="AG275" s="233"/>
      <c r="AH275" s="233" t="s">
        <v>936</v>
      </c>
    </row>
    <row r="276" spans="1:34" ht="15" customHeight="1" x14ac:dyDescent="0.2">
      <c r="A276" s="1135" t="s">
        <v>352</v>
      </c>
      <c r="B276" s="1130">
        <v>836.98</v>
      </c>
      <c r="C276" s="1130">
        <v>20</v>
      </c>
      <c r="D276" s="1130">
        <v>3</v>
      </c>
      <c r="E276" s="1130">
        <v>5</v>
      </c>
      <c r="F276" s="1130">
        <v>3</v>
      </c>
      <c r="G276" s="1130">
        <v>181</v>
      </c>
      <c r="H276" s="1130">
        <v>644.98000000000013</v>
      </c>
      <c r="I276" s="1130">
        <v>848.98</v>
      </c>
      <c r="J276" s="1136">
        <v>5034.5700000000006</v>
      </c>
      <c r="K276" s="1535">
        <v>7.8057769233154506</v>
      </c>
      <c r="L276" s="380"/>
      <c r="M276" s="1138"/>
      <c r="N276" s="1138"/>
      <c r="O276" s="1139"/>
      <c r="P276" s="9"/>
      <c r="Q276" s="9"/>
      <c r="R276" s="9"/>
      <c r="S276" s="9"/>
      <c r="T276" s="9"/>
      <c r="W276" s="9"/>
      <c r="X276" s="9"/>
      <c r="Y276" s="9"/>
      <c r="Z276" s="9"/>
      <c r="AA276" s="9"/>
      <c r="AB276" s="9"/>
      <c r="AC276" s="1155"/>
      <c r="AD276" s="1156"/>
      <c r="AE276" s="1156"/>
      <c r="AF276" s="1156"/>
      <c r="AG276" s="1156"/>
      <c r="AH276" s="1156"/>
    </row>
    <row r="277" spans="1:34" ht="15" customHeight="1" x14ac:dyDescent="0.2">
      <c r="A277" s="962" t="s">
        <v>353</v>
      </c>
      <c r="B277" s="959">
        <v>160</v>
      </c>
      <c r="C277" s="1146"/>
      <c r="D277" s="1146"/>
      <c r="E277" s="1146"/>
      <c r="F277" s="1146"/>
      <c r="G277" s="1146">
        <v>5</v>
      </c>
      <c r="H277" s="1146">
        <v>155</v>
      </c>
      <c r="I277" s="1146">
        <v>160</v>
      </c>
      <c r="J277" s="1147">
        <v>1240</v>
      </c>
      <c r="K277" s="1147">
        <v>8</v>
      </c>
      <c r="L277" s="1066" t="s">
        <v>988</v>
      </c>
      <c r="M277" s="959">
        <v>3668000</v>
      </c>
      <c r="N277" s="959">
        <v>15089012.84608</v>
      </c>
      <c r="O277" s="1149">
        <v>11350725.619328</v>
      </c>
      <c r="P277" s="10"/>
      <c r="Q277" s="950"/>
      <c r="R277" s="950"/>
      <c r="S277" s="950"/>
      <c r="T277" s="950"/>
      <c r="W277" s="950"/>
      <c r="X277" s="950"/>
      <c r="Y277" s="950"/>
      <c r="Z277" s="9"/>
      <c r="AA277" s="9"/>
      <c r="AB277" s="9"/>
      <c r="AC277" s="237">
        <f>MAX(J277/J317)</f>
        <v>5.1943005620861543E-2</v>
      </c>
      <c r="AD277" s="235">
        <f t="shared" ref="AD277:AD291" si="50">MAX(M277*AC277)</f>
        <v>190526.94461732014</v>
      </c>
      <c r="AE277" s="238">
        <f>MAX(I277/I317)</f>
        <v>4.6830236879045695E-2</v>
      </c>
      <c r="AF277" s="235">
        <f t="shared" ref="AF277:AF291" si="51">MAX(N277*AE277)</f>
        <v>706622.04585288989</v>
      </c>
      <c r="AG277" s="238">
        <f>MAX(H277/H317)</f>
        <v>5.4902316381859419E-2</v>
      </c>
      <c r="AH277" s="235">
        <f t="shared" ref="AH277:AH291" si="52">MAX(O277*AG277)</f>
        <v>623181.12911602308</v>
      </c>
    </row>
    <row r="278" spans="1:34" ht="15" customHeight="1" x14ac:dyDescent="0.2">
      <c r="A278" s="962" t="s">
        <v>354</v>
      </c>
      <c r="B278" s="959">
        <v>37</v>
      </c>
      <c r="C278" s="1146"/>
      <c r="D278" s="1146"/>
      <c r="E278" s="1146"/>
      <c r="F278" s="1146"/>
      <c r="G278" s="1146">
        <v>13</v>
      </c>
      <c r="H278" s="1146">
        <v>24</v>
      </c>
      <c r="I278" s="1146">
        <v>37</v>
      </c>
      <c r="J278" s="1147">
        <v>132</v>
      </c>
      <c r="K278" s="1147">
        <v>5.5</v>
      </c>
      <c r="L278" s="1066" t="s">
        <v>988</v>
      </c>
      <c r="M278" s="959">
        <v>3668000</v>
      </c>
      <c r="N278" s="959">
        <v>15089012.84608</v>
      </c>
      <c r="O278" s="1149">
        <v>11350725.619328</v>
      </c>
      <c r="P278" s="10"/>
      <c r="Q278" s="950"/>
      <c r="R278" s="950"/>
      <c r="S278" s="950"/>
      <c r="T278" s="9"/>
      <c r="W278" s="950"/>
      <c r="X278" s="950"/>
      <c r="Y278" s="950"/>
      <c r="Z278" s="9"/>
      <c r="AA278" s="9"/>
      <c r="AB278" s="9"/>
      <c r="AC278" s="237">
        <f>MAX(J278/J317)</f>
        <v>5.5294167273820354E-3</v>
      </c>
      <c r="AD278" s="235">
        <f t="shared" si="50"/>
        <v>20281.900556037304</v>
      </c>
      <c r="AE278" s="238">
        <f>MAX(I278/I317)</f>
        <v>1.0829492278279316E-2</v>
      </c>
      <c r="AF278" s="235">
        <f t="shared" si="51"/>
        <v>163406.34810348076</v>
      </c>
      <c r="AG278" s="238">
        <f>MAX(H278/H317)</f>
        <v>8.5010038268685546E-3</v>
      </c>
      <c r="AH278" s="235">
        <f t="shared" si="52"/>
        <v>96492.561927642266</v>
      </c>
    </row>
    <row r="279" spans="1:34" ht="15" customHeight="1" x14ac:dyDescent="0.2">
      <c r="A279" s="962" t="s">
        <v>355</v>
      </c>
      <c r="B279" s="1146">
        <v>44.930000000000007</v>
      </c>
      <c r="C279" s="1146"/>
      <c r="D279" s="1146"/>
      <c r="E279" s="1146"/>
      <c r="F279" s="1146"/>
      <c r="G279" s="1146">
        <v>18</v>
      </c>
      <c r="H279" s="1146">
        <v>26.930000000000007</v>
      </c>
      <c r="I279" s="1146">
        <v>44.930000000000007</v>
      </c>
      <c r="J279" s="1147">
        <v>134.65000000000003</v>
      </c>
      <c r="K279" s="1147">
        <v>5</v>
      </c>
      <c r="L279" s="1066" t="s">
        <v>988</v>
      </c>
      <c r="M279" s="959">
        <v>3668000</v>
      </c>
      <c r="N279" s="959">
        <v>15089012.84608</v>
      </c>
      <c r="O279" s="1149">
        <v>11350725.619328</v>
      </c>
      <c r="P279" s="10"/>
      <c r="Q279" s="950"/>
      <c r="R279" s="950"/>
      <c r="S279" s="1967"/>
      <c r="T279" s="9"/>
      <c r="W279" s="9"/>
      <c r="X279" s="9"/>
      <c r="Y279" s="9"/>
      <c r="Z279" s="9"/>
      <c r="AA279" s="9"/>
      <c r="AB279" s="9"/>
      <c r="AC279" s="237">
        <f>MAX(J279/J317)</f>
        <v>5.6404239571362976E-3</v>
      </c>
      <c r="AD279" s="235">
        <f t="shared" si="50"/>
        <v>20689.075074775941</v>
      </c>
      <c r="AE279" s="238">
        <f>MAX(I279/I317)</f>
        <v>1.3150515893597021E-2</v>
      </c>
      <c r="AF279" s="235">
        <f t="shared" si="51"/>
        <v>198428.30325106464</v>
      </c>
      <c r="AG279" s="238">
        <f>MAX(H279/H317)</f>
        <v>9.5388347107320942E-3</v>
      </c>
      <c r="AH279" s="235">
        <f t="shared" si="52"/>
        <v>108272.69552964198</v>
      </c>
    </row>
    <row r="280" spans="1:34" ht="15" customHeight="1" x14ac:dyDescent="0.2">
      <c r="A280" s="962" t="s">
        <v>356</v>
      </c>
      <c r="B280" s="1146">
        <v>16</v>
      </c>
      <c r="C280" s="1146"/>
      <c r="D280" s="1146"/>
      <c r="E280" s="1146"/>
      <c r="F280" s="1146"/>
      <c r="G280" s="1146">
        <v>3</v>
      </c>
      <c r="H280" s="1146">
        <v>13</v>
      </c>
      <c r="I280" s="1146">
        <v>16</v>
      </c>
      <c r="J280" s="1147">
        <v>63.180000000000007</v>
      </c>
      <c r="K280" s="1147">
        <v>4.8600000000000003</v>
      </c>
      <c r="L280" s="1066" t="s">
        <v>988</v>
      </c>
      <c r="M280" s="959">
        <v>3668000</v>
      </c>
      <c r="N280" s="959">
        <v>15089012.84608</v>
      </c>
      <c r="O280" s="1149">
        <v>11350725.619328</v>
      </c>
      <c r="P280" s="10"/>
      <c r="Q280" s="9"/>
      <c r="R280" s="950"/>
      <c r="S280" s="1967"/>
      <c r="T280" s="9"/>
      <c r="W280" s="9"/>
      <c r="X280" s="9"/>
      <c r="Y280" s="9"/>
      <c r="Z280" s="9"/>
      <c r="AA280" s="9"/>
      <c r="AB280" s="9"/>
      <c r="AC280" s="237">
        <f>MAX(J280/J317)</f>
        <v>2.64657991542422E-3</v>
      </c>
      <c r="AD280" s="235">
        <f t="shared" si="50"/>
        <v>9707.6551297760379</v>
      </c>
      <c r="AE280" s="238">
        <f>MAX(I280/I317)</f>
        <v>4.6830236879045689E-3</v>
      </c>
      <c r="AF280" s="235">
        <f t="shared" si="51"/>
        <v>70662.204585288971</v>
      </c>
      <c r="AG280" s="238">
        <f>MAX(H280/H317)</f>
        <v>4.6047104062204676E-3</v>
      </c>
      <c r="AH280" s="235">
        <f t="shared" si="52"/>
        <v>52266.804377472901</v>
      </c>
    </row>
    <row r="281" spans="1:34" ht="15" customHeight="1" x14ac:dyDescent="0.2">
      <c r="A281" s="962" t="s">
        <v>357</v>
      </c>
      <c r="B281" s="1146">
        <v>150.14000000000001</v>
      </c>
      <c r="C281" s="1146">
        <v>0</v>
      </c>
      <c r="D281" s="1146">
        <v>0</v>
      </c>
      <c r="E281" s="1146">
        <v>0</v>
      </c>
      <c r="F281" s="1146">
        <v>0</v>
      </c>
      <c r="G281" s="1146">
        <v>80</v>
      </c>
      <c r="H281" s="1146">
        <v>70.140000000000015</v>
      </c>
      <c r="I281" s="1146">
        <v>150.14000000000001</v>
      </c>
      <c r="J281" s="1147">
        <v>420.84000000000009</v>
      </c>
      <c r="K281" s="1147">
        <v>6</v>
      </c>
      <c r="L281" s="1066" t="s">
        <v>988</v>
      </c>
      <c r="M281" s="959">
        <v>3668000</v>
      </c>
      <c r="N281" s="959">
        <v>15089012.84608</v>
      </c>
      <c r="O281" s="1149">
        <v>11350725.619328</v>
      </c>
      <c r="P281" s="10"/>
      <c r="R281" s="950"/>
      <c r="S281" s="2258"/>
      <c r="T281" s="9"/>
      <c r="W281" s="9"/>
      <c r="X281" s="9"/>
      <c r="Y281" s="9"/>
      <c r="Z281" s="9"/>
      <c r="AA281" s="9"/>
      <c r="AB281" s="9"/>
      <c r="AC281" s="237">
        <f>MAX(J281/J317)</f>
        <v>1.7628785875389821E-2</v>
      </c>
      <c r="AD281" s="235">
        <f t="shared" si="50"/>
        <v>64662.386590929862</v>
      </c>
      <c r="AE281" s="238">
        <f>MAX(I281/I317)</f>
        <v>4.3944323531374507E-2</v>
      </c>
      <c r="AF281" s="235">
        <f t="shared" si="51"/>
        <v>663076.46227720554</v>
      </c>
      <c r="AG281" s="238">
        <f>MAX(H281/H317)</f>
        <v>2.4844183684023358E-2</v>
      </c>
      <c r="AH281" s="235">
        <f t="shared" si="52"/>
        <v>281999.51223353459</v>
      </c>
    </row>
    <row r="282" spans="1:34" ht="15" customHeight="1" x14ac:dyDescent="0.2">
      <c r="A282" s="962" t="s">
        <v>358</v>
      </c>
      <c r="B282" s="1146">
        <v>15</v>
      </c>
      <c r="C282" s="1146">
        <v>0</v>
      </c>
      <c r="D282" s="1146">
        <v>0</v>
      </c>
      <c r="E282" s="1146">
        <v>0</v>
      </c>
      <c r="F282" s="1146">
        <v>0</v>
      </c>
      <c r="G282" s="1146">
        <v>0</v>
      </c>
      <c r="H282" s="1146">
        <v>15</v>
      </c>
      <c r="I282" s="1146">
        <v>15</v>
      </c>
      <c r="J282" s="1147">
        <v>120</v>
      </c>
      <c r="K282" s="1147">
        <v>8</v>
      </c>
      <c r="L282" s="1066" t="s">
        <v>988</v>
      </c>
      <c r="M282" s="959">
        <v>3668000</v>
      </c>
      <c r="N282" s="959">
        <v>15089012.84608</v>
      </c>
      <c r="O282" s="1149">
        <v>11350725.619328</v>
      </c>
      <c r="P282" s="10"/>
      <c r="R282" s="950"/>
      <c r="S282" s="2258"/>
      <c r="T282" s="9"/>
      <c r="W282" s="9"/>
      <c r="X282" s="9"/>
      <c r="Y282" s="9"/>
      <c r="Z282" s="9"/>
      <c r="AA282" s="9"/>
      <c r="AB282" s="1966"/>
      <c r="AC282" s="237">
        <f>MAX(J282/J317)</f>
        <v>5.0267424794382138E-3</v>
      </c>
      <c r="AD282" s="235">
        <f t="shared" si="50"/>
        <v>18438.091414579369</v>
      </c>
      <c r="AE282" s="238">
        <f>MAX(I282/I317)</f>
        <v>4.3903347074105339E-3</v>
      </c>
      <c r="AF282" s="235">
        <f t="shared" si="51"/>
        <v>66245.816798708416</v>
      </c>
      <c r="AG282" s="238">
        <f>MAX(H282/H317)</f>
        <v>5.3131273917928473E-3</v>
      </c>
      <c r="AH282" s="235">
        <f t="shared" si="52"/>
        <v>60307.851204776423</v>
      </c>
    </row>
    <row r="283" spans="1:34" ht="15" customHeight="1" x14ac:dyDescent="0.2">
      <c r="A283" s="962" t="s">
        <v>937</v>
      </c>
      <c r="B283" s="1146">
        <v>30</v>
      </c>
      <c r="C283" s="1146">
        <v>2</v>
      </c>
      <c r="D283" s="1146">
        <v>0</v>
      </c>
      <c r="E283" s="1146">
        <v>0</v>
      </c>
      <c r="F283" s="1146">
        <v>0</v>
      </c>
      <c r="G283" s="1146">
        <v>15</v>
      </c>
      <c r="H283" s="1146">
        <v>15</v>
      </c>
      <c r="I283" s="1146">
        <v>32</v>
      </c>
      <c r="J283" s="1147">
        <v>105</v>
      </c>
      <c r="K283" s="1147">
        <v>7</v>
      </c>
      <c r="L283" s="1066" t="s">
        <v>988</v>
      </c>
      <c r="M283" s="959">
        <v>3668000</v>
      </c>
      <c r="N283" s="959">
        <v>15089012.84608</v>
      </c>
      <c r="O283" s="1149">
        <v>11350725.619328</v>
      </c>
      <c r="P283" s="10"/>
      <c r="R283" s="950"/>
      <c r="S283" s="2258"/>
      <c r="T283" s="9"/>
      <c r="W283" s="9"/>
      <c r="X283" s="9"/>
      <c r="Y283" s="9"/>
      <c r="Z283" s="9"/>
      <c r="AA283" s="9"/>
      <c r="AB283" s="1966"/>
      <c r="AC283" s="237">
        <f>MAX(J283/J317)</f>
        <v>4.3983996695084373E-3</v>
      </c>
      <c r="AD283" s="235">
        <f t="shared" si="50"/>
        <v>16133.329987756948</v>
      </c>
      <c r="AE283" s="238">
        <f>MAX(I283/I317)</f>
        <v>9.3660473758091379E-3</v>
      </c>
      <c r="AF283" s="235">
        <f t="shared" si="51"/>
        <v>141324.40917057794</v>
      </c>
      <c r="AG283" s="238">
        <f>MAX(H283/H317)</f>
        <v>5.3131273917928473E-3</v>
      </c>
      <c r="AH283" s="235">
        <f t="shared" si="52"/>
        <v>60307.851204776423</v>
      </c>
    </row>
    <row r="284" spans="1:34" ht="15" customHeight="1" x14ac:dyDescent="0.2">
      <c r="A284" s="962" t="s">
        <v>360</v>
      </c>
      <c r="B284" s="1146">
        <v>66.55</v>
      </c>
      <c r="C284" s="1146">
        <v>5</v>
      </c>
      <c r="D284" s="1146">
        <v>0</v>
      </c>
      <c r="E284" s="1146">
        <v>0</v>
      </c>
      <c r="F284" s="1146">
        <v>0</v>
      </c>
      <c r="G284" s="1146">
        <v>11</v>
      </c>
      <c r="H284" s="1146">
        <v>55.55</v>
      </c>
      <c r="I284" s="1146">
        <v>71.55</v>
      </c>
      <c r="J284" s="1147">
        <v>555.5</v>
      </c>
      <c r="K284" s="1147">
        <v>10</v>
      </c>
      <c r="L284" s="1066" t="s">
        <v>988</v>
      </c>
      <c r="M284" s="959">
        <v>3668000</v>
      </c>
      <c r="N284" s="959">
        <v>15089012.84608</v>
      </c>
      <c r="O284" s="1149">
        <v>11350725.619328</v>
      </c>
      <c r="P284" s="10"/>
      <c r="R284" s="950"/>
      <c r="S284" s="2258"/>
      <c r="T284" s="9"/>
      <c r="W284" s="9"/>
      <c r="X284" s="9"/>
      <c r="Y284" s="9"/>
      <c r="Z284" s="9"/>
      <c r="AA284" s="9"/>
      <c r="AB284" s="1966"/>
      <c r="AC284" s="237">
        <f>MAX(J284/J317)</f>
        <v>2.3269628727732732E-2</v>
      </c>
      <c r="AD284" s="235">
        <f t="shared" si="50"/>
        <v>85352.998173323664</v>
      </c>
      <c r="AE284" s="238">
        <f>MAX(I284/I317)</f>
        <v>2.0941896554348246E-2</v>
      </c>
      <c r="AF284" s="235">
        <f t="shared" si="51"/>
        <v>315992.54612983915</v>
      </c>
      <c r="AG284" s="238">
        <f>MAX(H284/H317)</f>
        <v>1.9676281774272841E-2</v>
      </c>
      <c r="AH284" s="235">
        <f t="shared" si="52"/>
        <v>223340.07562835532</v>
      </c>
    </row>
    <row r="285" spans="1:34" ht="15" customHeight="1" x14ac:dyDescent="0.2">
      <c r="A285" s="962" t="s">
        <v>938</v>
      </c>
      <c r="B285" s="1146">
        <v>54</v>
      </c>
      <c r="C285" s="1146">
        <v>10</v>
      </c>
      <c r="D285" s="1146">
        <v>0</v>
      </c>
      <c r="E285" s="1146">
        <v>0</v>
      </c>
      <c r="F285" s="1146">
        <v>0</v>
      </c>
      <c r="G285" s="1146">
        <v>25</v>
      </c>
      <c r="H285" s="1146">
        <v>29</v>
      </c>
      <c r="I285" s="1146">
        <v>64</v>
      </c>
      <c r="J285" s="1147">
        <v>237.79999999999998</v>
      </c>
      <c r="K285" s="1147">
        <v>8.1999999999999993</v>
      </c>
      <c r="L285" s="1066" t="s">
        <v>988</v>
      </c>
      <c r="M285" s="959">
        <v>3668000</v>
      </c>
      <c r="N285" s="959">
        <v>15089012.84608</v>
      </c>
      <c r="O285" s="1149">
        <v>11350725.619328</v>
      </c>
      <c r="P285" s="10"/>
      <c r="R285" s="950"/>
      <c r="S285" s="2258"/>
      <c r="T285" s="9"/>
      <c r="W285" s="9"/>
      <c r="X285" s="9"/>
      <c r="Y285" s="9"/>
      <c r="Z285" s="9"/>
      <c r="AA285" s="9"/>
      <c r="AB285" s="1966"/>
      <c r="AC285" s="237">
        <f>MAX(J285/J317)</f>
        <v>9.9613280134200604E-3</v>
      </c>
      <c r="AD285" s="235">
        <f t="shared" si="50"/>
        <v>36538.151153224782</v>
      </c>
      <c r="AE285" s="238">
        <f>MAX(I285/I317)</f>
        <v>1.8732094751618276E-2</v>
      </c>
      <c r="AF285" s="235">
        <f t="shared" si="51"/>
        <v>282648.81834115589</v>
      </c>
      <c r="AG285" s="238">
        <f>MAX(H285/H317)</f>
        <v>1.0272046290799504E-2</v>
      </c>
      <c r="AH285" s="235">
        <f t="shared" si="52"/>
        <v>116595.17899590108</v>
      </c>
    </row>
    <row r="286" spans="1:34" ht="15" customHeight="1" x14ac:dyDescent="0.2">
      <c r="A286" s="962" t="s">
        <v>362</v>
      </c>
      <c r="B286" s="1146">
        <v>3</v>
      </c>
      <c r="C286" s="1146">
        <v>0</v>
      </c>
      <c r="D286" s="1146">
        <v>0</v>
      </c>
      <c r="E286" s="1146">
        <v>0</v>
      </c>
      <c r="F286" s="1146">
        <v>0</v>
      </c>
      <c r="G286" s="1146">
        <v>1</v>
      </c>
      <c r="H286" s="1146">
        <v>2</v>
      </c>
      <c r="I286" s="1146">
        <v>3</v>
      </c>
      <c r="J286" s="1147">
        <v>24</v>
      </c>
      <c r="K286" s="1147">
        <v>12</v>
      </c>
      <c r="L286" s="1066" t="s">
        <v>988</v>
      </c>
      <c r="M286" s="959">
        <v>3668000</v>
      </c>
      <c r="N286" s="959">
        <v>15089012.84608</v>
      </c>
      <c r="O286" s="1149">
        <v>11350725.619328</v>
      </c>
      <c r="P286" s="10"/>
      <c r="Q286" s="9"/>
      <c r="R286" s="950"/>
      <c r="S286" s="1967"/>
      <c r="T286" s="9"/>
      <c r="W286" s="9"/>
      <c r="X286" s="9"/>
      <c r="Y286" s="9"/>
      <c r="Z286" s="9"/>
      <c r="AA286" s="9"/>
      <c r="AB286" s="1966"/>
      <c r="AC286" s="237">
        <f>MAX(J286/J317)</f>
        <v>1.0053484958876429E-3</v>
      </c>
      <c r="AD286" s="235">
        <f t="shared" si="50"/>
        <v>3687.6182829158743</v>
      </c>
      <c r="AE286" s="238">
        <f>MAX(I286/I317)</f>
        <v>8.7806694148210673E-4</v>
      </c>
      <c r="AF286" s="235">
        <f t="shared" si="51"/>
        <v>13249.163359741684</v>
      </c>
      <c r="AG286" s="238">
        <f>MAX(H286/H317)</f>
        <v>7.0841698557237958E-4</v>
      </c>
      <c r="AH286" s="235">
        <f t="shared" si="52"/>
        <v>8041.0468273035231</v>
      </c>
    </row>
    <row r="287" spans="1:34" ht="15" customHeight="1" x14ac:dyDescent="0.2">
      <c r="A287" s="962" t="s">
        <v>363</v>
      </c>
      <c r="B287" s="1146">
        <v>199</v>
      </c>
      <c r="C287" s="1146">
        <v>0</v>
      </c>
      <c r="D287" s="1146">
        <v>0</v>
      </c>
      <c r="E287" s="1146">
        <v>0</v>
      </c>
      <c r="F287" s="1146">
        <v>3</v>
      </c>
      <c r="G287" s="1146">
        <v>3</v>
      </c>
      <c r="H287" s="1146">
        <v>193</v>
      </c>
      <c r="I287" s="1146">
        <v>196</v>
      </c>
      <c r="J287" s="1147">
        <v>1544</v>
      </c>
      <c r="K287" s="1147">
        <v>8</v>
      </c>
      <c r="L287" s="1066" t="s">
        <v>988</v>
      </c>
      <c r="M287" s="959">
        <v>3668000</v>
      </c>
      <c r="N287" s="959">
        <v>15089012.84608</v>
      </c>
      <c r="O287" s="1149">
        <v>11350725.619328</v>
      </c>
      <c r="P287" s="10"/>
      <c r="R287" s="950"/>
      <c r="S287" s="2258"/>
      <c r="T287" s="9"/>
      <c r="W287" s="9"/>
      <c r="X287" s="9"/>
      <c r="Y287" s="9"/>
      <c r="Z287" s="9"/>
      <c r="AA287" s="9"/>
      <c r="AB287" s="1966"/>
      <c r="AC287" s="237">
        <f>MAX(J287/J317)</f>
        <v>6.4677419902105016E-2</v>
      </c>
      <c r="AD287" s="235">
        <f t="shared" si="50"/>
        <v>237236.77620092119</v>
      </c>
      <c r="AE287" s="238">
        <f>MAX(I287/I317)</f>
        <v>5.7367040176830975E-2</v>
      </c>
      <c r="AF287" s="235">
        <f t="shared" si="51"/>
        <v>865612.00616979005</v>
      </c>
      <c r="AG287" s="238">
        <f>MAX(H287/H317)</f>
        <v>6.8362239107734632E-2</v>
      </c>
      <c r="AH287" s="235">
        <f t="shared" si="52"/>
        <v>775961.01883478998</v>
      </c>
    </row>
    <row r="288" spans="1:34" ht="15" customHeight="1" x14ac:dyDescent="0.2">
      <c r="A288" s="962" t="s">
        <v>939</v>
      </c>
      <c r="B288" s="1146">
        <v>50.86</v>
      </c>
      <c r="C288" s="1146">
        <v>0</v>
      </c>
      <c r="D288" s="1146">
        <v>0</v>
      </c>
      <c r="E288" s="1146">
        <v>0</v>
      </c>
      <c r="F288" s="1146">
        <v>0</v>
      </c>
      <c r="G288" s="1146">
        <v>6</v>
      </c>
      <c r="H288" s="1146">
        <v>44.86</v>
      </c>
      <c r="I288" s="1146">
        <v>50.86</v>
      </c>
      <c r="J288" s="1147">
        <v>448.6</v>
      </c>
      <c r="K288" s="1147">
        <v>10</v>
      </c>
      <c r="L288" s="1066" t="s">
        <v>988</v>
      </c>
      <c r="M288" s="959">
        <v>3668000</v>
      </c>
      <c r="N288" s="959">
        <v>15089012.84608</v>
      </c>
      <c r="O288" s="1149">
        <v>11350725.619328</v>
      </c>
      <c r="P288" s="10"/>
      <c r="R288" s="950"/>
      <c r="S288" s="2258"/>
      <c r="T288" s="9"/>
      <c r="W288" s="9"/>
      <c r="X288" s="9"/>
      <c r="Y288" s="9"/>
      <c r="Z288" s="9"/>
      <c r="AA288" s="9"/>
      <c r="AB288" s="1966"/>
      <c r="AC288" s="237">
        <f>MAX(J288/J317)</f>
        <v>1.8791638968966524E-2</v>
      </c>
      <c r="AD288" s="235">
        <f t="shared" si="50"/>
        <v>68927.731738169212</v>
      </c>
      <c r="AE288" s="238">
        <f>MAX(I288/I317)</f>
        <v>1.488616154792665E-2</v>
      </c>
      <c r="AF288" s="235">
        <f t="shared" si="51"/>
        <v>224617.48282548736</v>
      </c>
      <c r="AG288" s="238">
        <f>MAX(H288/H317)</f>
        <v>1.5889792986388474E-2</v>
      </c>
      <c r="AH288" s="235">
        <f t="shared" si="52"/>
        <v>180360.68033641801</v>
      </c>
    </row>
    <row r="289" spans="1:34" ht="15" customHeight="1" x14ac:dyDescent="0.2">
      <c r="A289" s="962" t="s">
        <v>365</v>
      </c>
      <c r="B289" s="956">
        <v>10</v>
      </c>
      <c r="C289" s="1146">
        <v>3</v>
      </c>
      <c r="D289" s="1146">
        <v>3</v>
      </c>
      <c r="E289" s="1146">
        <v>5</v>
      </c>
      <c r="F289" s="1146">
        <v>0</v>
      </c>
      <c r="G289" s="1146">
        <v>1</v>
      </c>
      <c r="H289" s="1146">
        <v>1</v>
      </c>
      <c r="I289" s="1146">
        <v>8</v>
      </c>
      <c r="J289" s="1147">
        <v>9</v>
      </c>
      <c r="K289" s="1147">
        <v>9</v>
      </c>
      <c r="L289" s="1066" t="s">
        <v>988</v>
      </c>
      <c r="M289" s="959">
        <v>3668000</v>
      </c>
      <c r="N289" s="959">
        <v>15089012.84608</v>
      </c>
      <c r="O289" s="1149">
        <v>11350725.619328</v>
      </c>
      <c r="P289" s="10"/>
      <c r="R289" s="950"/>
      <c r="S289" s="2258"/>
      <c r="T289" s="9"/>
      <c r="W289" s="9"/>
      <c r="X289" s="9"/>
      <c r="Y289" s="9"/>
      <c r="Z289" s="9"/>
      <c r="AA289" s="9"/>
      <c r="AB289" s="1966"/>
      <c r="AC289" s="237">
        <f>MAX(J289/J317)</f>
        <v>3.7700568595786606E-4</v>
      </c>
      <c r="AD289" s="235">
        <f t="shared" si="50"/>
        <v>1382.8568560934527</v>
      </c>
      <c r="AE289" s="238">
        <f>MAX(I289/I317)</f>
        <v>2.3415118439522845E-3</v>
      </c>
      <c r="AF289" s="235">
        <f t="shared" si="51"/>
        <v>35331.102292644486</v>
      </c>
      <c r="AG289" s="238">
        <f>MAX(H289/H317)</f>
        <v>3.5420849278618979E-4</v>
      </c>
      <c r="AH289" s="235">
        <f t="shared" si="52"/>
        <v>4020.5234136517615</v>
      </c>
    </row>
    <row r="290" spans="1:34" ht="15" customHeight="1" x14ac:dyDescent="0.2">
      <c r="A290" s="962" t="s">
        <v>366</v>
      </c>
      <c r="B290" s="956">
        <v>0</v>
      </c>
      <c r="C290" s="1146"/>
      <c r="D290" s="1146"/>
      <c r="E290" s="1146"/>
      <c r="F290" s="1146"/>
      <c r="G290" s="1146"/>
      <c r="H290" s="1146">
        <v>0</v>
      </c>
      <c r="I290" s="1146">
        <v>0</v>
      </c>
      <c r="J290" s="1147">
        <v>0</v>
      </c>
      <c r="K290" s="1147"/>
      <c r="L290" s="1148"/>
      <c r="M290" s="959"/>
      <c r="N290" s="959"/>
      <c r="O290" s="1149"/>
      <c r="P290" s="10"/>
      <c r="R290" s="950"/>
      <c r="S290" s="2258"/>
      <c r="T290" s="9"/>
      <c r="W290" s="9"/>
      <c r="X290" s="9"/>
      <c r="Y290" s="9"/>
      <c r="Z290" s="9"/>
      <c r="AA290" s="9"/>
      <c r="AB290" s="1966"/>
      <c r="AC290" s="237">
        <f>MAX(J290/J317)</f>
        <v>0</v>
      </c>
      <c r="AD290" s="235">
        <f t="shared" si="50"/>
        <v>0</v>
      </c>
      <c r="AE290" s="238">
        <f>MAX(I290/I317)</f>
        <v>0</v>
      </c>
      <c r="AF290" s="235">
        <f t="shared" si="51"/>
        <v>0</v>
      </c>
      <c r="AG290" s="238">
        <f>MAX(H290/H317)</f>
        <v>0</v>
      </c>
      <c r="AH290" s="235">
        <f t="shared" si="52"/>
        <v>0</v>
      </c>
    </row>
    <row r="291" spans="1:34" ht="15" customHeight="1" x14ac:dyDescent="0.2">
      <c r="A291" s="962" t="s">
        <v>367</v>
      </c>
      <c r="B291" s="956">
        <v>0.5</v>
      </c>
      <c r="C291" s="1146"/>
      <c r="D291" s="1146"/>
      <c r="E291" s="1146"/>
      <c r="F291" s="1146"/>
      <c r="G291" s="1146"/>
      <c r="H291" s="1146">
        <v>0.5</v>
      </c>
      <c r="I291" s="1146">
        <v>0.5</v>
      </c>
      <c r="J291" s="1147">
        <v>0</v>
      </c>
      <c r="K291" s="1147"/>
      <c r="L291" s="1066" t="s">
        <v>988</v>
      </c>
      <c r="M291" s="959">
        <v>3668000</v>
      </c>
      <c r="N291" s="959">
        <v>15089012.84608</v>
      </c>
      <c r="O291" s="1149">
        <v>11350725.619328</v>
      </c>
      <c r="P291" s="10"/>
      <c r="R291" s="950"/>
      <c r="S291" s="2258"/>
      <c r="T291" s="9"/>
      <c r="W291" s="9"/>
      <c r="X291" s="9"/>
      <c r="Y291" s="9"/>
      <c r="Z291" s="9"/>
      <c r="AA291" s="9"/>
      <c r="AB291" s="1966"/>
      <c r="AC291" s="237">
        <f>MAX(J291/J317)</f>
        <v>0</v>
      </c>
      <c r="AD291" s="235">
        <f t="shared" si="50"/>
        <v>0</v>
      </c>
      <c r="AE291" s="238">
        <f>MAX(I291/I317)</f>
        <v>1.4634449024701778E-4</v>
      </c>
      <c r="AF291" s="235">
        <f t="shared" si="51"/>
        <v>2208.1938932902804</v>
      </c>
      <c r="AG291" s="238">
        <f>MAX(H291/H317)</f>
        <v>1.771042463930949E-4</v>
      </c>
      <c r="AH291" s="235">
        <f t="shared" si="52"/>
        <v>2010.2617068258808</v>
      </c>
    </row>
    <row r="292" spans="1:34" ht="15" customHeight="1" x14ac:dyDescent="0.2">
      <c r="A292" s="434" t="s">
        <v>940</v>
      </c>
      <c r="B292" s="1002">
        <v>377.99</v>
      </c>
      <c r="C292" s="1002">
        <v>2</v>
      </c>
      <c r="D292" s="1002">
        <v>0</v>
      </c>
      <c r="E292" s="1002">
        <v>20</v>
      </c>
      <c r="F292" s="1002">
        <v>0</v>
      </c>
      <c r="G292" s="1002">
        <v>89</v>
      </c>
      <c r="H292" s="1002">
        <v>268.99</v>
      </c>
      <c r="I292" s="1002">
        <v>359.99</v>
      </c>
      <c r="J292" s="1150">
        <v>1832.836</v>
      </c>
      <c r="K292" s="1150">
        <v>6.8137700286255996</v>
      </c>
      <c r="L292" s="1152"/>
      <c r="M292" s="996"/>
      <c r="N292" s="996"/>
      <c r="O292" s="1153"/>
      <c r="P292" s="10"/>
      <c r="R292" s="950"/>
      <c r="S292" s="2258"/>
      <c r="T292" s="9"/>
      <c r="W292" s="9"/>
      <c r="X292" s="9"/>
      <c r="Y292" s="9"/>
      <c r="Z292" s="9"/>
      <c r="AA292" s="9"/>
      <c r="AB292" s="1966"/>
      <c r="AC292" s="1157"/>
      <c r="AD292" s="1156"/>
      <c r="AE292" s="1158"/>
      <c r="AF292" s="1156"/>
      <c r="AG292" s="1158"/>
      <c r="AH292" s="1156"/>
    </row>
    <row r="293" spans="1:34" ht="15" customHeight="1" x14ac:dyDescent="0.2">
      <c r="A293" s="962" t="s">
        <v>369</v>
      </c>
      <c r="B293" s="1146">
        <v>202.7</v>
      </c>
      <c r="C293" s="1146">
        <v>1</v>
      </c>
      <c r="D293" s="1146">
        <v>0</v>
      </c>
      <c r="E293" s="1146">
        <v>0</v>
      </c>
      <c r="F293" s="1146">
        <v>0</v>
      </c>
      <c r="G293" s="1146">
        <v>16</v>
      </c>
      <c r="H293" s="1146">
        <v>186.7</v>
      </c>
      <c r="I293" s="1146">
        <v>203.7</v>
      </c>
      <c r="J293" s="1147">
        <v>1306.8999999999999</v>
      </c>
      <c r="K293" s="1147">
        <v>7</v>
      </c>
      <c r="L293" s="1066" t="s">
        <v>988</v>
      </c>
      <c r="M293" s="959">
        <v>3668000</v>
      </c>
      <c r="N293" s="959">
        <v>15089012.84608</v>
      </c>
      <c r="O293" s="1149">
        <v>11350725.619328</v>
      </c>
      <c r="P293" s="10"/>
      <c r="R293" s="950"/>
      <c r="S293" s="2258"/>
      <c r="T293" s="9"/>
      <c r="W293" s="9"/>
      <c r="X293" s="9"/>
      <c r="Y293" s="9"/>
      <c r="Z293" s="9"/>
      <c r="AA293" s="9"/>
      <c r="AB293" s="1966"/>
      <c r="AC293" s="237">
        <f>MAX(J293/J317)</f>
        <v>5.4745414553148346E-2</v>
      </c>
      <c r="AD293" s="235">
        <f>MAX(M293*AC293)</f>
        <v>200806.18058094813</v>
      </c>
      <c r="AE293" s="238">
        <f>MAX(I293/I317)</f>
        <v>5.9620745326635048E-2</v>
      </c>
      <c r="AF293" s="235">
        <f>MAX(N293*AE293)</f>
        <v>899618.19212646037</v>
      </c>
      <c r="AG293" s="238">
        <f>MAX(H293/H317)</f>
        <v>6.6130725603181631E-2</v>
      </c>
      <c r="AH293" s="235">
        <f>MAX(O293*AG293)</f>
        <v>750631.72132878378</v>
      </c>
    </row>
    <row r="294" spans="1:34" ht="15" customHeight="1" x14ac:dyDescent="0.2">
      <c r="A294" s="962" t="s">
        <v>370</v>
      </c>
      <c r="B294" s="1146">
        <v>159.95999999999998</v>
      </c>
      <c r="C294" s="1146">
        <v>0</v>
      </c>
      <c r="D294" s="1146">
        <v>0</v>
      </c>
      <c r="E294" s="1146">
        <v>20</v>
      </c>
      <c r="F294" s="1146">
        <v>0</v>
      </c>
      <c r="G294" s="1146">
        <v>70</v>
      </c>
      <c r="H294" s="1146">
        <v>69.95999999999998</v>
      </c>
      <c r="I294" s="1146">
        <v>139.95999999999998</v>
      </c>
      <c r="J294" s="1147">
        <v>419.75999999999988</v>
      </c>
      <c r="K294" s="1147">
        <v>6</v>
      </c>
      <c r="L294" s="1066" t="s">
        <v>988</v>
      </c>
      <c r="M294" s="959">
        <v>3668000</v>
      </c>
      <c r="N294" s="959">
        <v>15089012.84608</v>
      </c>
      <c r="O294" s="1149">
        <v>11350725.619328</v>
      </c>
      <c r="P294" s="10"/>
      <c r="R294" s="950"/>
      <c r="S294" s="2258"/>
      <c r="T294" s="950"/>
      <c r="W294" s="9"/>
      <c r="X294" s="9"/>
      <c r="Y294" s="9"/>
      <c r="Z294" s="9"/>
      <c r="AA294" s="9"/>
      <c r="AB294" s="1966"/>
      <c r="AC294" s="237">
        <f>MAX(J294/J317)</f>
        <v>1.7583545193074868E-2</v>
      </c>
      <c r="AD294" s="235">
        <f>MAX(M294*AC294)</f>
        <v>64496.443768198616</v>
      </c>
      <c r="AE294" s="238">
        <f>MAX(I294/I317)</f>
        <v>4.0964749709945215E-2</v>
      </c>
      <c r="AF294" s="235">
        <f>MAX(N294*AE294)</f>
        <v>618117.63460981532</v>
      </c>
      <c r="AG294" s="238">
        <f>MAX(H294/H317)</f>
        <v>2.478042615532183E-2</v>
      </c>
      <c r="AH294" s="235">
        <f>MAX(O294*AG294)</f>
        <v>281275.81801907712</v>
      </c>
    </row>
    <row r="295" spans="1:34" ht="15" customHeight="1" x14ac:dyDescent="0.2">
      <c r="A295" s="962" t="s">
        <v>371</v>
      </c>
      <c r="B295" s="1146">
        <v>0.75</v>
      </c>
      <c r="C295" s="1146">
        <v>0</v>
      </c>
      <c r="D295" s="1146">
        <v>0</v>
      </c>
      <c r="E295" s="1146">
        <v>0</v>
      </c>
      <c r="F295" s="1146">
        <v>0</v>
      </c>
      <c r="G295" s="1146">
        <v>0</v>
      </c>
      <c r="H295" s="1146">
        <v>0.75</v>
      </c>
      <c r="I295" s="1146">
        <v>0.75</v>
      </c>
      <c r="J295" s="1147">
        <v>3.75</v>
      </c>
      <c r="K295" s="1147">
        <v>5</v>
      </c>
      <c r="L295" s="1066" t="s">
        <v>988</v>
      </c>
      <c r="M295" s="959">
        <v>3668000</v>
      </c>
      <c r="N295" s="959">
        <v>15089012.84608</v>
      </c>
      <c r="O295" s="1149">
        <v>11350725.619328</v>
      </c>
      <c r="P295" s="10"/>
      <c r="R295" s="950"/>
      <c r="S295" s="2258"/>
      <c r="T295" s="9"/>
      <c r="W295" s="9"/>
      <c r="X295" s="9"/>
      <c r="Y295" s="9"/>
      <c r="Z295" s="9"/>
      <c r="AA295" s="9"/>
      <c r="AB295" s="1966"/>
      <c r="AC295" s="237">
        <f>MAX(J295/J317)</f>
        <v>1.5708570248244418E-4</v>
      </c>
      <c r="AD295" s="235">
        <f>MAX(M295*AC295)</f>
        <v>576.19035670560527</v>
      </c>
      <c r="AE295" s="238">
        <f>MAX(I295/I317)</f>
        <v>2.1951673537052668E-4</v>
      </c>
      <c r="AF295" s="235">
        <f>MAX(N295*AE295)</f>
        <v>3312.290839935421</v>
      </c>
      <c r="AG295" s="238">
        <f>MAX(H295/H317)</f>
        <v>2.6565636958964233E-4</v>
      </c>
      <c r="AH295" s="235">
        <f>MAX(O295*AG295)</f>
        <v>3015.3925602388208</v>
      </c>
    </row>
    <row r="296" spans="1:34" ht="15" customHeight="1" x14ac:dyDescent="0.2">
      <c r="A296" s="962" t="s">
        <v>372</v>
      </c>
      <c r="B296" s="1146">
        <v>7.98</v>
      </c>
      <c r="C296" s="1146">
        <v>0</v>
      </c>
      <c r="D296" s="1146">
        <v>0</v>
      </c>
      <c r="E296" s="1146">
        <v>0</v>
      </c>
      <c r="F296" s="1146">
        <v>0</v>
      </c>
      <c r="G296" s="1146">
        <v>2</v>
      </c>
      <c r="H296" s="1146">
        <v>5.98</v>
      </c>
      <c r="I296" s="1146">
        <v>7.98</v>
      </c>
      <c r="J296" s="1147">
        <v>52.025999999999996</v>
      </c>
      <c r="K296" s="1147">
        <v>8.6999999999999993</v>
      </c>
      <c r="L296" s="1066" t="s">
        <v>988</v>
      </c>
      <c r="M296" s="959">
        <v>3668000</v>
      </c>
      <c r="N296" s="959">
        <v>15089012.84608</v>
      </c>
      <c r="O296" s="1149">
        <v>11350725.619328</v>
      </c>
      <c r="P296" s="10"/>
      <c r="Q296" s="950"/>
      <c r="R296" s="950"/>
      <c r="S296" s="1967"/>
      <c r="T296" s="9"/>
      <c r="W296" s="9"/>
      <c r="X296" s="9"/>
      <c r="Y296" s="9"/>
      <c r="Z296" s="9"/>
      <c r="AA296" s="9"/>
      <c r="AB296" s="1966"/>
      <c r="AC296" s="237">
        <f>MAX(J296/J317)</f>
        <v>2.1793442019604377E-3</v>
      </c>
      <c r="AD296" s="235">
        <f>MAX(M296*AC296)</f>
        <v>7993.8345327908855</v>
      </c>
      <c r="AE296" s="238">
        <f>MAX(I296/I317)</f>
        <v>2.3356580643424042E-3</v>
      </c>
      <c r="AF296" s="235">
        <f>MAX(N296*AE296)</f>
        <v>35242.774536912882</v>
      </c>
      <c r="AG296" s="238">
        <f>MAX(H296/H317)</f>
        <v>2.1181667868614149E-3</v>
      </c>
      <c r="AH296" s="235">
        <f>MAX(O296*AG296)</f>
        <v>24042.730013637534</v>
      </c>
    </row>
    <row r="297" spans="1:34" ht="15" customHeight="1" x14ac:dyDescent="0.2">
      <c r="A297" s="962" t="s">
        <v>373</v>
      </c>
      <c r="B297" s="1146">
        <v>6.6</v>
      </c>
      <c r="C297" s="1146">
        <v>1</v>
      </c>
      <c r="D297" s="1146">
        <v>0</v>
      </c>
      <c r="E297" s="1146">
        <v>0</v>
      </c>
      <c r="F297" s="1146">
        <v>0</v>
      </c>
      <c r="G297" s="1146">
        <v>1</v>
      </c>
      <c r="H297" s="1146">
        <v>5.6</v>
      </c>
      <c r="I297" s="1146">
        <v>7.6</v>
      </c>
      <c r="J297" s="1147">
        <v>50.4</v>
      </c>
      <c r="K297" s="1147">
        <v>9</v>
      </c>
      <c r="L297" s="1066" t="s">
        <v>988</v>
      </c>
      <c r="M297" s="959">
        <v>3668000</v>
      </c>
      <c r="N297" s="959">
        <v>15089012.84608</v>
      </c>
      <c r="O297" s="1149">
        <v>11350725.619328</v>
      </c>
      <c r="P297" s="10"/>
      <c r="Q297" s="9"/>
      <c r="R297" s="950"/>
      <c r="S297" s="1967"/>
      <c r="T297" s="9"/>
      <c r="W297" s="9"/>
      <c r="X297" s="9"/>
      <c r="Y297" s="9"/>
      <c r="Z297" s="9"/>
      <c r="AA297" s="9"/>
      <c r="AB297" s="9"/>
      <c r="AC297" s="237">
        <f>MAX(J297/J317)</f>
        <v>2.1112318413640499E-3</v>
      </c>
      <c r="AD297" s="235">
        <f>MAX(M297*AC297)</f>
        <v>7743.9983941233349</v>
      </c>
      <c r="AE297" s="238">
        <f>MAX(I297/I317)</f>
        <v>2.2244362517546703E-3</v>
      </c>
      <c r="AF297" s="235">
        <f>MAX(N297*AE297)</f>
        <v>33564.547178012261</v>
      </c>
      <c r="AG297" s="238">
        <f>MAX(H297/H317)</f>
        <v>1.9835675596026627E-3</v>
      </c>
      <c r="AH297" s="235">
        <f>MAX(O297*AG297)</f>
        <v>22514.931116449861</v>
      </c>
    </row>
    <row r="298" spans="1:34" ht="15" customHeight="1" x14ac:dyDescent="0.2">
      <c r="A298" s="1154" t="s">
        <v>374</v>
      </c>
      <c r="B298" s="1002">
        <v>954.00300000000004</v>
      </c>
      <c r="C298" s="1002">
        <v>52</v>
      </c>
      <c r="D298" s="1002">
        <v>9.4</v>
      </c>
      <c r="E298" s="1002">
        <v>32</v>
      </c>
      <c r="F298" s="1002">
        <v>4</v>
      </c>
      <c r="G298" s="1002">
        <v>112</v>
      </c>
      <c r="H298" s="1002">
        <v>796.60300000000007</v>
      </c>
      <c r="I298" s="1002">
        <v>970.00300000000004</v>
      </c>
      <c r="J298" s="1150">
        <v>6267.6180000000004</v>
      </c>
      <c r="K298" s="1150">
        <v>7.8679317050023663</v>
      </c>
      <c r="L298" s="1152"/>
      <c r="M298" s="996"/>
      <c r="N298" s="996"/>
      <c r="O298" s="1153"/>
      <c r="P298" s="10"/>
      <c r="R298" s="950"/>
      <c r="S298" s="2258"/>
      <c r="T298" s="9"/>
      <c r="W298" s="9"/>
      <c r="X298" s="9"/>
      <c r="Y298" s="9"/>
      <c r="Z298" s="9"/>
      <c r="AA298" s="9"/>
      <c r="AB298" s="9"/>
      <c r="AC298" s="1157"/>
      <c r="AD298" s="1156"/>
      <c r="AE298" s="1158"/>
      <c r="AF298" s="1156"/>
      <c r="AG298" s="1158"/>
      <c r="AH298" s="1156"/>
    </row>
    <row r="299" spans="1:34" ht="15" customHeight="1" x14ac:dyDescent="0.2">
      <c r="A299" s="962" t="s">
        <v>375</v>
      </c>
      <c r="B299" s="1146">
        <v>246.18</v>
      </c>
      <c r="C299" s="1146">
        <v>15</v>
      </c>
      <c r="D299" s="1146">
        <v>5</v>
      </c>
      <c r="E299" s="1146">
        <v>7</v>
      </c>
      <c r="F299" s="1146">
        <v>2</v>
      </c>
      <c r="G299" s="1146">
        <v>34</v>
      </c>
      <c r="H299" s="1146">
        <v>198.18</v>
      </c>
      <c r="I299" s="1146">
        <v>252.18</v>
      </c>
      <c r="J299" s="1147">
        <v>1882.71</v>
      </c>
      <c r="K299" s="1147">
        <v>9.5</v>
      </c>
      <c r="L299" s="1066" t="s">
        <v>988</v>
      </c>
      <c r="M299" s="959">
        <v>3668000</v>
      </c>
      <c r="N299" s="959">
        <v>15089012.84608</v>
      </c>
      <c r="O299" s="1149">
        <v>11350725.619328</v>
      </c>
      <c r="P299" s="10"/>
      <c r="R299" s="950"/>
      <c r="S299" s="2258"/>
      <c r="T299" s="9"/>
      <c r="W299" s="9"/>
      <c r="X299" s="9"/>
      <c r="Y299" s="9"/>
      <c r="Z299" s="9"/>
      <c r="AA299" s="9"/>
      <c r="AB299" s="9"/>
      <c r="AC299" s="237">
        <f>MAX(J299/J317)</f>
        <v>7.8865819445525995E-2</v>
      </c>
      <c r="AD299" s="235">
        <f t="shared" ref="AD299:AD306" si="53">MAX(M299*AC299)</f>
        <v>289279.82572618936</v>
      </c>
      <c r="AE299" s="238">
        <f>MAX(I299/I317)</f>
        <v>7.3810307100985892E-2</v>
      </c>
      <c r="AF299" s="235">
        <f t="shared" ref="AF299:AF306" si="54">MAX(N299*AE299)</f>
        <v>1113724.6720198859</v>
      </c>
      <c r="AG299" s="238">
        <f>MAX(H299/H317)</f>
        <v>7.0197039100367092E-2</v>
      </c>
      <c r="AH299" s="235">
        <f t="shared" ref="AH299:AH306" si="55">MAX(O299*AG299)</f>
        <v>796787.33011750609</v>
      </c>
    </row>
    <row r="300" spans="1:34" ht="15" customHeight="1" x14ac:dyDescent="0.2">
      <c r="A300" s="962" t="s">
        <v>376</v>
      </c>
      <c r="B300" s="1146">
        <v>22.063000000000002</v>
      </c>
      <c r="C300" s="1146">
        <v>8</v>
      </c>
      <c r="D300" s="1146">
        <v>0</v>
      </c>
      <c r="E300" s="1146">
        <v>0</v>
      </c>
      <c r="F300" s="1146">
        <v>0</v>
      </c>
      <c r="G300" s="1146">
        <v>1</v>
      </c>
      <c r="H300" s="1146">
        <v>21.063000000000002</v>
      </c>
      <c r="I300" s="1146">
        <v>30.063000000000002</v>
      </c>
      <c r="J300" s="1147">
        <v>252.75600000000003</v>
      </c>
      <c r="K300" s="1147">
        <v>12</v>
      </c>
      <c r="L300" s="1066" t="s">
        <v>988</v>
      </c>
      <c r="M300" s="959">
        <v>3668000</v>
      </c>
      <c r="N300" s="959">
        <v>15089012.84608</v>
      </c>
      <c r="O300" s="1149">
        <v>11350725.619328</v>
      </c>
      <c r="P300" s="10"/>
      <c r="Q300" s="9"/>
      <c r="R300" s="950"/>
      <c r="S300" s="1967"/>
      <c r="T300" s="9"/>
      <c r="W300" s="9"/>
      <c r="X300" s="9"/>
      <c r="Y300" s="9"/>
      <c r="Z300" s="9"/>
      <c r="AA300" s="9"/>
      <c r="AB300" s="9"/>
      <c r="AC300" s="237">
        <f>MAX(J300/J317)</f>
        <v>1.0587827684440712E-2</v>
      </c>
      <c r="AD300" s="235">
        <f t="shared" si="53"/>
        <v>38836.151946528531</v>
      </c>
      <c r="AE300" s="238">
        <f>MAX(I300/I317)</f>
        <v>8.7991088205921931E-3</v>
      </c>
      <c r="AF300" s="235">
        <f t="shared" si="54"/>
        <v>132769.86602797144</v>
      </c>
      <c r="AG300" s="238">
        <f>MAX(H300/H317)</f>
        <v>7.4606934835555168E-3</v>
      </c>
      <c r="AH300" s="235">
        <f t="shared" si="55"/>
        <v>84684.284661747064</v>
      </c>
    </row>
    <row r="301" spans="1:34" ht="15" customHeight="1" x14ac:dyDescent="0.2">
      <c r="A301" s="962" t="s">
        <v>377</v>
      </c>
      <c r="B301" s="1146">
        <v>10</v>
      </c>
      <c r="C301" s="1146"/>
      <c r="D301" s="1146"/>
      <c r="E301" s="1146"/>
      <c r="F301" s="1146"/>
      <c r="G301" s="1146"/>
      <c r="H301" s="1146">
        <v>10</v>
      </c>
      <c r="I301" s="1146">
        <v>10</v>
      </c>
      <c r="J301" s="1147">
        <v>70</v>
      </c>
      <c r="K301" s="1147">
        <v>7</v>
      </c>
      <c r="L301" s="1066" t="s">
        <v>988</v>
      </c>
      <c r="M301" s="959">
        <v>3668000</v>
      </c>
      <c r="N301" s="959">
        <v>15089012.84608</v>
      </c>
      <c r="O301" s="1149">
        <v>11350725.619328</v>
      </c>
      <c r="P301" s="10"/>
      <c r="R301" s="950"/>
      <c r="S301" s="2258"/>
      <c r="T301" s="9"/>
      <c r="W301" s="9"/>
      <c r="X301" s="9"/>
      <c r="Y301" s="9"/>
      <c r="Z301" s="9"/>
      <c r="AA301" s="9"/>
      <c r="AB301" s="9"/>
      <c r="AC301" s="237">
        <f>MAX(J301/J317)</f>
        <v>2.9322664463389582E-3</v>
      </c>
      <c r="AD301" s="235">
        <f t="shared" si="53"/>
        <v>10755.553325171299</v>
      </c>
      <c r="AE301" s="238">
        <f>MAX(I301/I317)</f>
        <v>2.9268898049403559E-3</v>
      </c>
      <c r="AF301" s="235">
        <f t="shared" si="54"/>
        <v>44163.877865805618</v>
      </c>
      <c r="AG301" s="238">
        <f>MAX(H301/H317)</f>
        <v>3.542084927861898E-3</v>
      </c>
      <c r="AH301" s="235">
        <f t="shared" si="55"/>
        <v>40205.234136517618</v>
      </c>
    </row>
    <row r="302" spans="1:34" ht="15" customHeight="1" x14ac:dyDescent="0.2">
      <c r="A302" s="962" t="s">
        <v>378</v>
      </c>
      <c r="B302" s="1146">
        <v>145.36000000000001</v>
      </c>
      <c r="C302" s="1146">
        <v>6</v>
      </c>
      <c r="D302" s="1146">
        <v>0</v>
      </c>
      <c r="E302" s="1146">
        <v>20</v>
      </c>
      <c r="F302" s="1146">
        <v>0</v>
      </c>
      <c r="G302" s="1146">
        <v>12</v>
      </c>
      <c r="H302" s="1146">
        <v>113.36000000000001</v>
      </c>
      <c r="I302" s="1146">
        <v>131.36000000000001</v>
      </c>
      <c r="J302" s="1147">
        <v>816.19200000000012</v>
      </c>
      <c r="K302" s="1147">
        <v>7.2</v>
      </c>
      <c r="L302" s="1066" t="s">
        <v>988</v>
      </c>
      <c r="M302" s="959">
        <v>3668000</v>
      </c>
      <c r="N302" s="959">
        <v>15089012.84608</v>
      </c>
      <c r="O302" s="1149">
        <v>11350725.619328</v>
      </c>
      <c r="P302" s="10"/>
      <c r="R302" s="950"/>
      <c r="S302" s="2258"/>
      <c r="T302" s="9"/>
      <c r="W302" s="9"/>
      <c r="X302" s="9"/>
      <c r="Y302" s="9"/>
      <c r="Z302" s="9"/>
      <c r="AA302" s="9"/>
      <c r="AB302" s="9"/>
      <c r="AC302" s="237">
        <f>MAX(J302/J317)</f>
        <v>3.418989164814696E-2</v>
      </c>
      <c r="AD302" s="235">
        <f t="shared" si="53"/>
        <v>125408.52256540305</v>
      </c>
      <c r="AE302" s="238">
        <f>MAX(I302/I317)</f>
        <v>3.8447624477696521E-2</v>
      </c>
      <c r="AF302" s="235">
        <f t="shared" si="54"/>
        <v>580136.69964522263</v>
      </c>
      <c r="AG302" s="238">
        <f>MAX(H302/H317)</f>
        <v>4.015307474224248E-2</v>
      </c>
      <c r="AH302" s="235">
        <f t="shared" si="55"/>
        <v>455766.53417156375</v>
      </c>
    </row>
    <row r="303" spans="1:34" ht="15" customHeight="1" x14ac:dyDescent="0.2">
      <c r="A303" s="962" t="s">
        <v>379</v>
      </c>
      <c r="B303" s="1146">
        <v>90.3</v>
      </c>
      <c r="C303" s="1146"/>
      <c r="D303" s="1146"/>
      <c r="E303" s="1146"/>
      <c r="F303" s="1146"/>
      <c r="G303" s="1146">
        <v>25</v>
      </c>
      <c r="H303" s="1146">
        <v>65.3</v>
      </c>
      <c r="I303" s="1146">
        <v>90.3</v>
      </c>
      <c r="J303" s="1147">
        <v>391.79999999999995</v>
      </c>
      <c r="K303" s="1147">
        <v>6</v>
      </c>
      <c r="L303" s="1066" t="s">
        <v>988</v>
      </c>
      <c r="M303" s="959">
        <v>3668000</v>
      </c>
      <c r="N303" s="959">
        <v>15089012.84608</v>
      </c>
      <c r="O303" s="1149">
        <v>11350725.619328</v>
      </c>
      <c r="P303" s="10"/>
      <c r="R303" s="950"/>
      <c r="S303" s="2258"/>
      <c r="T303" s="9"/>
      <c r="W303" s="9"/>
      <c r="X303" s="9"/>
      <c r="Y303" s="9"/>
      <c r="Z303" s="9"/>
      <c r="AA303" s="9"/>
      <c r="AB303" s="9"/>
      <c r="AC303" s="237">
        <f>MAX(J303/J317)</f>
        <v>1.6412314195365766E-2</v>
      </c>
      <c r="AD303" s="235">
        <f t="shared" si="53"/>
        <v>60200.368468601628</v>
      </c>
      <c r="AE303" s="238">
        <f>MAX(I303/I317)</f>
        <v>2.6429814938611414E-2</v>
      </c>
      <c r="AF303" s="235">
        <f t="shared" si="54"/>
        <v>398799.81712822471</v>
      </c>
      <c r="AG303" s="238">
        <f>MAX(H303/H317)</f>
        <v>2.3129814578938191E-2</v>
      </c>
      <c r="AH303" s="235">
        <f t="shared" si="55"/>
        <v>262540.17891145998</v>
      </c>
    </row>
    <row r="304" spans="1:34" ht="15" customHeight="1" x14ac:dyDescent="0.2">
      <c r="A304" s="962" t="s">
        <v>380</v>
      </c>
      <c r="B304" s="956">
        <v>83.95</v>
      </c>
      <c r="C304" s="1146">
        <v>0</v>
      </c>
      <c r="D304" s="1146">
        <v>2</v>
      </c>
      <c r="E304" s="1146">
        <v>2</v>
      </c>
      <c r="F304" s="1146">
        <v>2</v>
      </c>
      <c r="G304" s="1146">
        <v>7</v>
      </c>
      <c r="H304" s="1146">
        <v>70.95</v>
      </c>
      <c r="I304" s="1146">
        <v>79.95</v>
      </c>
      <c r="J304" s="1147">
        <v>922.35</v>
      </c>
      <c r="K304" s="1147">
        <v>13</v>
      </c>
      <c r="L304" s="1066" t="s">
        <v>988</v>
      </c>
      <c r="M304" s="959">
        <v>3668000</v>
      </c>
      <c r="N304" s="959">
        <v>15089012.84608</v>
      </c>
      <c r="O304" s="1149">
        <v>11350725.619328</v>
      </c>
      <c r="P304" s="10"/>
      <c r="R304" s="950"/>
      <c r="S304" s="2258"/>
      <c r="T304" s="9"/>
      <c r="W304" s="9"/>
      <c r="X304" s="9"/>
      <c r="Y304" s="9"/>
      <c r="Z304" s="9"/>
      <c r="AA304" s="9"/>
      <c r="AB304" s="9"/>
      <c r="AC304" s="237">
        <f>MAX(J304/J317)</f>
        <v>3.8636799382581972E-2</v>
      </c>
      <c r="AD304" s="235">
        <f t="shared" si="53"/>
        <v>141719.78013531066</v>
      </c>
      <c r="AE304" s="238">
        <f>MAX(I304/I317)</f>
        <v>2.3400483990498145E-2</v>
      </c>
      <c r="AF304" s="235">
        <f t="shared" si="54"/>
        <v>353090.20353711589</v>
      </c>
      <c r="AG304" s="238">
        <f>MAX(H304/H317)</f>
        <v>2.5131092563180166E-2</v>
      </c>
      <c r="AH304" s="235">
        <f t="shared" si="55"/>
        <v>285256.13619859249</v>
      </c>
    </row>
    <row r="305" spans="1:34" ht="15" customHeight="1" x14ac:dyDescent="0.2">
      <c r="A305" s="962" t="s">
        <v>381</v>
      </c>
      <c r="B305" s="956">
        <v>201.53</v>
      </c>
      <c r="C305" s="1146"/>
      <c r="D305" s="1146"/>
      <c r="E305" s="1146"/>
      <c r="F305" s="1146"/>
      <c r="G305" s="1146">
        <v>30</v>
      </c>
      <c r="H305" s="1146">
        <v>171.53</v>
      </c>
      <c r="I305" s="1146">
        <v>201.53</v>
      </c>
      <c r="J305" s="1147">
        <v>1200.71</v>
      </c>
      <c r="K305" s="1147">
        <v>7</v>
      </c>
      <c r="L305" s="1066" t="s">
        <v>988</v>
      </c>
      <c r="M305" s="959">
        <v>3668000</v>
      </c>
      <c r="N305" s="959">
        <v>15089012.84608</v>
      </c>
      <c r="O305" s="1149">
        <v>11350725.619328</v>
      </c>
      <c r="P305" s="10"/>
      <c r="R305" s="950"/>
      <c r="S305" s="2258"/>
      <c r="T305" s="9"/>
      <c r="W305" s="9"/>
      <c r="X305" s="9"/>
      <c r="Y305" s="9"/>
      <c r="Z305" s="9"/>
      <c r="AA305" s="9"/>
      <c r="AB305" s="9"/>
      <c r="AC305" s="237">
        <f>MAX(J305/J317)</f>
        <v>5.0297166354052153E-2</v>
      </c>
      <c r="AD305" s="235">
        <f t="shared" si="53"/>
        <v>184490.00618666329</v>
      </c>
      <c r="AE305" s="238">
        <f>MAX(I305/I317)</f>
        <v>5.8985610238962989E-2</v>
      </c>
      <c r="AF305" s="235">
        <f t="shared" si="54"/>
        <v>890034.63062958047</v>
      </c>
      <c r="AG305" s="238">
        <f>MAX(H305/H317)</f>
        <v>6.0757382767615137E-2</v>
      </c>
      <c r="AH305" s="235">
        <f t="shared" si="55"/>
        <v>689640.38114368671</v>
      </c>
    </row>
    <row r="306" spans="1:34" ht="15" customHeight="1" x14ac:dyDescent="0.2">
      <c r="A306" s="962" t="s">
        <v>382</v>
      </c>
      <c r="B306" s="956">
        <v>154.62</v>
      </c>
      <c r="C306" s="1146">
        <v>23</v>
      </c>
      <c r="D306" s="1146">
        <v>2.4</v>
      </c>
      <c r="E306" s="1146">
        <v>3</v>
      </c>
      <c r="F306" s="1146">
        <v>0</v>
      </c>
      <c r="G306" s="1146">
        <v>3</v>
      </c>
      <c r="H306" s="1146">
        <v>146.22</v>
      </c>
      <c r="I306" s="1146">
        <v>174.62</v>
      </c>
      <c r="J306" s="1147">
        <v>731.1</v>
      </c>
      <c r="K306" s="1147">
        <v>5</v>
      </c>
      <c r="L306" s="1066" t="s">
        <v>988</v>
      </c>
      <c r="M306" s="959">
        <v>3668000</v>
      </c>
      <c r="N306" s="959">
        <v>15089012.84608</v>
      </c>
      <c r="O306" s="1149">
        <v>11350725.619328</v>
      </c>
      <c r="P306" s="10"/>
      <c r="R306" s="950"/>
      <c r="S306" s="2258"/>
      <c r="T306" s="9"/>
      <c r="W306" s="9"/>
      <c r="X306" s="9"/>
      <c r="Y306" s="9"/>
      <c r="Z306" s="9"/>
      <c r="AA306" s="9"/>
      <c r="AB306" s="9"/>
      <c r="AC306" s="237">
        <f>MAX(J306/J317)</f>
        <v>3.0625428555977319E-2</v>
      </c>
      <c r="AD306" s="235">
        <f t="shared" si="53"/>
        <v>112334.0719433248</v>
      </c>
      <c r="AE306" s="238">
        <f>MAX(I306/I317)</f>
        <v>5.1109349773868495E-2</v>
      </c>
      <c r="AF306" s="235">
        <f t="shared" si="54"/>
        <v>771189.6352926977</v>
      </c>
      <c r="AG306" s="238">
        <f>MAX(H306/H317)</f>
        <v>5.1792365815196674E-2</v>
      </c>
      <c r="AH306" s="235">
        <f t="shared" si="55"/>
        <v>587880.93354416057</v>
      </c>
    </row>
    <row r="307" spans="1:34" ht="15" customHeight="1" x14ac:dyDescent="0.2">
      <c r="A307" s="1154" t="s">
        <v>383</v>
      </c>
      <c r="B307" s="1002">
        <v>1216.623</v>
      </c>
      <c r="C307" s="1002">
        <v>43</v>
      </c>
      <c r="D307" s="1002">
        <v>12</v>
      </c>
      <c r="E307" s="1002">
        <v>10</v>
      </c>
      <c r="F307" s="1002">
        <v>12</v>
      </c>
      <c r="G307" s="1002">
        <v>70</v>
      </c>
      <c r="H307" s="1002">
        <v>1112.623</v>
      </c>
      <c r="I307" s="1002">
        <v>1237.623</v>
      </c>
      <c r="J307" s="1150">
        <v>10737.295</v>
      </c>
      <c r="K307" s="1150">
        <v>9.6504341542463159</v>
      </c>
      <c r="L307" s="1152"/>
      <c r="M307" s="996"/>
      <c r="N307" s="996"/>
      <c r="O307" s="1153"/>
      <c r="P307" s="10"/>
      <c r="R307" s="950"/>
      <c r="S307" s="2258"/>
      <c r="T307" s="9"/>
      <c r="W307" s="9"/>
      <c r="X307" s="9"/>
      <c r="Y307" s="9"/>
      <c r="Z307" s="9"/>
      <c r="AA307" s="9"/>
      <c r="AB307" s="9"/>
      <c r="AC307" s="1157"/>
      <c r="AD307" s="1156"/>
      <c r="AE307" s="1158"/>
      <c r="AF307" s="1156"/>
      <c r="AG307" s="1158"/>
      <c r="AH307" s="1156"/>
    </row>
    <row r="308" spans="1:34" ht="15" customHeight="1" x14ac:dyDescent="0.2">
      <c r="A308" s="962" t="s">
        <v>384</v>
      </c>
      <c r="B308" s="1146">
        <v>130</v>
      </c>
      <c r="C308" s="1146">
        <v>0</v>
      </c>
      <c r="D308" s="1146">
        <v>0</v>
      </c>
      <c r="E308" s="1146">
        <v>0</v>
      </c>
      <c r="F308" s="1146">
        <v>0</v>
      </c>
      <c r="G308" s="1146">
        <v>0</v>
      </c>
      <c r="H308" s="1146">
        <v>130</v>
      </c>
      <c r="I308" s="1146">
        <v>130</v>
      </c>
      <c r="J308" s="1147">
        <v>1495</v>
      </c>
      <c r="K308" s="1147">
        <v>11.5</v>
      </c>
      <c r="L308" s="1066" t="s">
        <v>988</v>
      </c>
      <c r="M308" s="959">
        <v>3668000</v>
      </c>
      <c r="N308" s="959">
        <v>15089012.84608</v>
      </c>
      <c r="O308" s="1149">
        <v>11350725.619328</v>
      </c>
      <c r="P308" s="10"/>
      <c r="R308" s="950"/>
      <c r="S308" s="348"/>
      <c r="T308" s="9"/>
      <c r="W308" s="9"/>
      <c r="X308" s="9"/>
      <c r="Y308" s="9"/>
      <c r="Z308" s="9"/>
      <c r="AA308" s="9"/>
      <c r="AB308" s="9"/>
      <c r="AC308" s="237">
        <f>MAX(J308/J317)</f>
        <v>6.2624833389667747E-2</v>
      </c>
      <c r="AD308" s="235">
        <f t="shared" ref="AD308:AD316" si="56">MAX(M308*AC308)</f>
        <v>229707.8888733013</v>
      </c>
      <c r="AE308" s="238">
        <f>MAX(I308/I317)</f>
        <v>3.8049567464224623E-2</v>
      </c>
      <c r="AF308" s="235">
        <f t="shared" ref="AF308:AF316" si="57">MAX(N308*AE308)</f>
        <v>574130.41225547297</v>
      </c>
      <c r="AG308" s="238">
        <f>MAX(H308/H317)</f>
        <v>4.604710406220467E-2</v>
      </c>
      <c r="AH308" s="235">
        <f t="shared" ref="AH308:AH316" si="58">MAX(O308*AG308)</f>
        <v>522668.04377472895</v>
      </c>
    </row>
    <row r="309" spans="1:34" ht="15" customHeight="1" x14ac:dyDescent="0.2">
      <c r="A309" s="962" t="s">
        <v>385</v>
      </c>
      <c r="B309" s="1146">
        <v>57</v>
      </c>
      <c r="C309" s="1146">
        <v>3</v>
      </c>
      <c r="D309" s="1146">
        <v>2</v>
      </c>
      <c r="E309" s="1146">
        <v>0</v>
      </c>
      <c r="F309" s="1146">
        <v>2</v>
      </c>
      <c r="G309" s="1146">
        <v>15</v>
      </c>
      <c r="H309" s="1146">
        <v>38</v>
      </c>
      <c r="I309" s="1146">
        <v>58</v>
      </c>
      <c r="J309" s="1147">
        <v>190</v>
      </c>
      <c r="K309" s="1147">
        <v>5</v>
      </c>
      <c r="L309" s="1066" t="s">
        <v>988</v>
      </c>
      <c r="M309" s="959">
        <v>3668000</v>
      </c>
      <c r="N309" s="959">
        <v>15089012.84608</v>
      </c>
      <c r="O309" s="1149">
        <v>11350725.619328</v>
      </c>
      <c r="P309" s="10"/>
      <c r="R309" s="950"/>
      <c r="S309" s="2258"/>
      <c r="T309" s="9"/>
      <c r="W309" s="9"/>
      <c r="X309" s="9"/>
      <c r="Y309" s="9"/>
      <c r="Z309" s="9"/>
      <c r="AA309" s="9"/>
      <c r="AB309" s="9"/>
      <c r="AC309" s="237">
        <f>MAX(J309/J317)</f>
        <v>7.959008925777172E-3</v>
      </c>
      <c r="AD309" s="235">
        <f t="shared" si="56"/>
        <v>29193.644739750667</v>
      </c>
      <c r="AE309" s="238">
        <f>MAX(I309/I317)</f>
        <v>1.6975960868654064E-2</v>
      </c>
      <c r="AF309" s="235">
        <f t="shared" si="57"/>
        <v>256150.49162167255</v>
      </c>
      <c r="AG309" s="238">
        <f>MAX(H309/H317)</f>
        <v>1.3459922725875212E-2</v>
      </c>
      <c r="AH309" s="235">
        <f t="shared" si="58"/>
        <v>152779.88971876694</v>
      </c>
    </row>
    <row r="310" spans="1:34" ht="15" customHeight="1" x14ac:dyDescent="0.2">
      <c r="A310" s="962" t="s">
        <v>386</v>
      </c>
      <c r="B310" s="1146">
        <v>48</v>
      </c>
      <c r="C310" s="1146">
        <v>0</v>
      </c>
      <c r="D310" s="1146">
        <v>0</v>
      </c>
      <c r="E310" s="1146">
        <v>0</v>
      </c>
      <c r="F310" s="1146">
        <v>0</v>
      </c>
      <c r="G310" s="1146">
        <v>4</v>
      </c>
      <c r="H310" s="1146">
        <v>44</v>
      </c>
      <c r="I310" s="1146">
        <v>48</v>
      </c>
      <c r="J310" s="1147">
        <v>572</v>
      </c>
      <c r="K310" s="1147">
        <v>13</v>
      </c>
      <c r="L310" s="1066" t="s">
        <v>988</v>
      </c>
      <c r="M310" s="959">
        <v>3668000</v>
      </c>
      <c r="N310" s="959">
        <v>15089012.84608</v>
      </c>
      <c r="O310" s="1149">
        <v>11350725.619328</v>
      </c>
      <c r="P310" s="10"/>
      <c r="R310" s="950"/>
      <c r="S310" s="2258"/>
      <c r="T310" s="9"/>
      <c r="W310" s="9"/>
      <c r="X310" s="9"/>
      <c r="Y310" s="9"/>
      <c r="Z310" s="9"/>
      <c r="AA310" s="9"/>
      <c r="AB310" s="9"/>
      <c r="AC310" s="237">
        <f>MAX(J310/J317)</f>
        <v>2.3960805818655485E-2</v>
      </c>
      <c r="AD310" s="235">
        <f t="shared" si="56"/>
        <v>87888.235742828314</v>
      </c>
      <c r="AE310" s="238">
        <f>MAX(I310/I317)</f>
        <v>1.4049071063713708E-2</v>
      </c>
      <c r="AF310" s="235">
        <f t="shared" si="57"/>
        <v>211986.61375586694</v>
      </c>
      <c r="AG310" s="238">
        <f>MAX(H310/H317)</f>
        <v>1.5585173682592351E-2</v>
      </c>
      <c r="AH310" s="235">
        <f t="shared" si="58"/>
        <v>176903.03020067752</v>
      </c>
    </row>
    <row r="311" spans="1:34" ht="15" customHeight="1" x14ac:dyDescent="0.2">
      <c r="A311" s="962" t="s">
        <v>387</v>
      </c>
      <c r="B311" s="1146">
        <v>348.29</v>
      </c>
      <c r="C311" s="1146">
        <v>10</v>
      </c>
      <c r="D311" s="1146">
        <v>10</v>
      </c>
      <c r="E311" s="1146">
        <v>5</v>
      </c>
      <c r="F311" s="1146">
        <v>5</v>
      </c>
      <c r="G311" s="1146">
        <v>12</v>
      </c>
      <c r="H311" s="1146">
        <v>316.29000000000002</v>
      </c>
      <c r="I311" s="1146">
        <v>348.29</v>
      </c>
      <c r="J311" s="1147">
        <v>4744.3500000000004</v>
      </c>
      <c r="K311" s="1147">
        <v>15</v>
      </c>
      <c r="L311" s="1066" t="s">
        <v>988</v>
      </c>
      <c r="M311" s="959">
        <v>3668000</v>
      </c>
      <c r="N311" s="959">
        <v>15089012.84608</v>
      </c>
      <c r="O311" s="1149">
        <v>11350725.619328</v>
      </c>
      <c r="P311" s="10"/>
      <c r="R311" s="950"/>
      <c r="S311" s="2258"/>
      <c r="T311" s="9"/>
      <c r="W311" s="9"/>
      <c r="X311" s="9"/>
      <c r="Y311" s="9"/>
      <c r="Z311" s="9"/>
      <c r="AA311" s="9"/>
      <c r="AB311" s="9"/>
      <c r="AC311" s="237">
        <f>MAX(J311/J317)</f>
        <v>0.19873854735268909</v>
      </c>
      <c r="AD311" s="235">
        <f t="shared" si="56"/>
        <v>728972.99168966361</v>
      </c>
      <c r="AE311" s="238">
        <f>MAX(I311/I317)</f>
        <v>0.10194064501626766</v>
      </c>
      <c r="AF311" s="235">
        <f t="shared" si="57"/>
        <v>1538183.702188144</v>
      </c>
      <c r="AG311" s="238">
        <f>MAX(H311/H317)</f>
        <v>0.11203260418334397</v>
      </c>
      <c r="AH311" s="235">
        <f t="shared" si="58"/>
        <v>1271651.3505039157</v>
      </c>
    </row>
    <row r="312" spans="1:34" ht="15" customHeight="1" x14ac:dyDescent="0.2">
      <c r="A312" s="962" t="s">
        <v>388</v>
      </c>
      <c r="B312" s="1146">
        <v>83.82</v>
      </c>
      <c r="C312" s="1146">
        <v>0</v>
      </c>
      <c r="D312" s="1146"/>
      <c r="E312" s="1146"/>
      <c r="F312" s="1146"/>
      <c r="G312" s="1146"/>
      <c r="H312" s="1146">
        <v>83.82</v>
      </c>
      <c r="I312" s="1146">
        <v>83.82</v>
      </c>
      <c r="J312" s="1147">
        <v>754.37999999999988</v>
      </c>
      <c r="K312" s="1147">
        <v>9</v>
      </c>
      <c r="L312" s="1066" t="s">
        <v>988</v>
      </c>
      <c r="M312" s="959">
        <v>3668000</v>
      </c>
      <c r="N312" s="959">
        <v>15089012.84608</v>
      </c>
      <c r="O312" s="1149">
        <v>11350725.619328</v>
      </c>
      <c r="P312" s="10"/>
      <c r="R312" s="950"/>
      <c r="S312" s="2005"/>
      <c r="T312" s="9"/>
      <c r="U312" s="9"/>
      <c r="V312" s="9"/>
      <c r="W312" s="9"/>
      <c r="X312" s="9"/>
      <c r="Y312" s="9"/>
      <c r="Z312" s="9"/>
      <c r="AA312" s="9"/>
      <c r="AB312" s="9"/>
      <c r="AC312" s="237">
        <f>MAX(J312/J317)</f>
        <v>3.1600616596988325E-2</v>
      </c>
      <c r="AD312" s="235">
        <f t="shared" si="56"/>
        <v>115911.06167775317</v>
      </c>
      <c r="AE312" s="238">
        <f>MAX(I312/I317)</f>
        <v>2.4533190345010062E-2</v>
      </c>
      <c r="AF312" s="235">
        <f t="shared" si="57"/>
        <v>370181.62427118263</v>
      </c>
      <c r="AG312" s="238">
        <f>MAX(H312/H317)</f>
        <v>2.9689755865338424E-2</v>
      </c>
      <c r="AH312" s="235">
        <f t="shared" si="58"/>
        <v>337000.2725322906</v>
      </c>
    </row>
    <row r="313" spans="1:34" ht="15" customHeight="1" x14ac:dyDescent="0.2">
      <c r="A313" s="962" t="s">
        <v>389</v>
      </c>
      <c r="B313" s="1146">
        <v>30.699999999999989</v>
      </c>
      <c r="C313" s="1146">
        <v>30</v>
      </c>
      <c r="D313" s="1146"/>
      <c r="E313" s="1146"/>
      <c r="F313" s="1146"/>
      <c r="G313" s="1146">
        <v>9</v>
      </c>
      <c r="H313" s="1146">
        <v>21.699999999999989</v>
      </c>
      <c r="I313" s="1146">
        <v>60.699999999999989</v>
      </c>
      <c r="J313" s="1147">
        <v>216.99999999999989</v>
      </c>
      <c r="K313" s="1147">
        <v>10</v>
      </c>
      <c r="L313" s="1066" t="s">
        <v>988</v>
      </c>
      <c r="M313" s="959">
        <v>3668000</v>
      </c>
      <c r="N313" s="959">
        <v>15089012.84608</v>
      </c>
      <c r="O313" s="1149">
        <v>11350725.619328</v>
      </c>
      <c r="P313" s="10"/>
      <c r="Q313" s="9"/>
      <c r="R313" s="950"/>
      <c r="S313" s="950"/>
      <c r="T313" s="9"/>
      <c r="U313" s="9"/>
      <c r="V313" s="9"/>
      <c r="W313" s="9"/>
      <c r="X313" s="9"/>
      <c r="Y313" s="9"/>
      <c r="Z313" s="9"/>
      <c r="AA313" s="9"/>
      <c r="AB313" s="9"/>
      <c r="AC313" s="237">
        <f>MAX(J313/J317)</f>
        <v>9.0900259836507648E-3</v>
      </c>
      <c r="AD313" s="235">
        <f t="shared" si="56"/>
        <v>33342.215308031009</v>
      </c>
      <c r="AE313" s="238">
        <f>MAX(I313/I317)</f>
        <v>1.7766221115987958E-2</v>
      </c>
      <c r="AF313" s="235">
        <f t="shared" si="57"/>
        <v>268074.73864544003</v>
      </c>
      <c r="AG313" s="238">
        <f>MAX(H313/H317)</f>
        <v>7.6863242934603147E-3</v>
      </c>
      <c r="AH313" s="235">
        <f t="shared" si="58"/>
        <v>87245.358076243181</v>
      </c>
    </row>
    <row r="314" spans="1:34" ht="15" customHeight="1" x14ac:dyDescent="0.2">
      <c r="A314" s="962" t="s">
        <v>390</v>
      </c>
      <c r="B314" s="1146">
        <v>150.5</v>
      </c>
      <c r="C314" s="1146"/>
      <c r="D314" s="1146"/>
      <c r="E314" s="1146"/>
      <c r="F314" s="1146"/>
      <c r="G314" s="1146">
        <v>25</v>
      </c>
      <c r="H314" s="1146">
        <v>125.5</v>
      </c>
      <c r="I314" s="1146">
        <v>150.5</v>
      </c>
      <c r="J314" s="1147">
        <v>753</v>
      </c>
      <c r="K314" s="1147">
        <v>6</v>
      </c>
      <c r="L314" s="1066" t="s">
        <v>988</v>
      </c>
      <c r="M314" s="959">
        <v>3668000</v>
      </c>
      <c r="N314" s="959">
        <v>15089012.84608</v>
      </c>
      <c r="O314" s="1149">
        <v>11350725.619328</v>
      </c>
      <c r="P314" s="10"/>
      <c r="Q314" s="950"/>
      <c r="R314" s="950"/>
      <c r="S314" s="950"/>
      <c r="T314" s="9"/>
      <c r="U314" s="9"/>
      <c r="V314" s="9"/>
      <c r="W314" s="9"/>
      <c r="X314" s="9"/>
      <c r="Y314" s="9"/>
      <c r="Z314" s="9"/>
      <c r="AA314" s="9"/>
      <c r="AB314" s="9"/>
      <c r="AC314" s="237">
        <f>MAX(J314/J317)</f>
        <v>3.1542809058474792E-2</v>
      </c>
      <c r="AD314" s="235">
        <f t="shared" si="56"/>
        <v>115699.02362648553</v>
      </c>
      <c r="AE314" s="238">
        <f>MAX(I314/I317)</f>
        <v>4.4049691564352358E-2</v>
      </c>
      <c r="AF314" s="235">
        <f t="shared" si="57"/>
        <v>664666.36188037449</v>
      </c>
      <c r="AG314" s="238">
        <f>MAX(H314/H317)</f>
        <v>4.4453165844666818E-2</v>
      </c>
      <c r="AH314" s="235">
        <f t="shared" si="58"/>
        <v>504575.68841329607</v>
      </c>
    </row>
    <row r="315" spans="1:34" ht="15" customHeight="1" x14ac:dyDescent="0.2">
      <c r="A315" s="962" t="s">
        <v>941</v>
      </c>
      <c r="B315" s="956">
        <v>318.31299999999999</v>
      </c>
      <c r="C315" s="1146"/>
      <c r="D315" s="1146"/>
      <c r="E315" s="1146"/>
      <c r="F315" s="1146"/>
      <c r="G315" s="1146"/>
      <c r="H315" s="1146">
        <v>318.31299999999999</v>
      </c>
      <c r="I315" s="1146">
        <v>318.31299999999999</v>
      </c>
      <c r="J315" s="1147">
        <v>1591.5650000000001</v>
      </c>
      <c r="K315" s="1147">
        <v>5</v>
      </c>
      <c r="L315" s="1066" t="s">
        <v>988</v>
      </c>
      <c r="M315" s="959">
        <v>3668000</v>
      </c>
      <c r="N315" s="959">
        <v>15089012.84608</v>
      </c>
      <c r="O315" s="1149">
        <v>11350725.619328</v>
      </c>
      <c r="P315" s="10"/>
      <c r="Q315" s="950"/>
      <c r="R315" s="950"/>
      <c r="S315" s="950"/>
      <c r="T315" s="9"/>
      <c r="U315" s="9"/>
      <c r="V315" s="9"/>
      <c r="W315" s="9"/>
      <c r="X315" s="9"/>
      <c r="Y315" s="9"/>
      <c r="Z315" s="9"/>
      <c r="AA315" s="9"/>
      <c r="AB315" s="9"/>
      <c r="AC315" s="237">
        <f>MAX(J315/J317)</f>
        <v>6.6669894952392339E-2</v>
      </c>
      <c r="AD315" s="235">
        <f t="shared" si="56"/>
        <v>244545.1746853751</v>
      </c>
      <c r="AE315" s="238">
        <f>MAX(I315/I317)</f>
        <v>9.3166707447997946E-2</v>
      </c>
      <c r="AF315" s="235">
        <f t="shared" si="57"/>
        <v>1405793.6455098181</v>
      </c>
      <c r="AG315" s="238">
        <f>MAX(H315/H317)</f>
        <v>0.11274916796425043</v>
      </c>
      <c r="AH315" s="235">
        <f t="shared" si="58"/>
        <v>1279784.8693697331</v>
      </c>
    </row>
    <row r="316" spans="1:34" ht="15" customHeight="1" thickBot="1" x14ac:dyDescent="0.25">
      <c r="A316" s="1140" t="s">
        <v>392</v>
      </c>
      <c r="B316" s="244">
        <v>50</v>
      </c>
      <c r="C316" s="1141">
        <v>0</v>
      </c>
      <c r="D316" s="1141">
        <v>0</v>
      </c>
      <c r="E316" s="1141">
        <v>5</v>
      </c>
      <c r="F316" s="1141">
        <v>5</v>
      </c>
      <c r="G316" s="1141">
        <v>5</v>
      </c>
      <c r="H316" s="1146">
        <v>35</v>
      </c>
      <c r="I316" s="1146">
        <v>40</v>
      </c>
      <c r="J316" s="1147">
        <v>420</v>
      </c>
      <c r="K316" s="1147">
        <v>12</v>
      </c>
      <c r="L316" s="1066" t="s">
        <v>988</v>
      </c>
      <c r="M316" s="959">
        <v>3668000</v>
      </c>
      <c r="N316" s="959">
        <v>15089012.84608</v>
      </c>
      <c r="O316" s="1149">
        <v>11350725.619328</v>
      </c>
      <c r="P316" s="10"/>
      <c r="Q316" s="950"/>
      <c r="R316" s="950"/>
      <c r="S316" s="950"/>
      <c r="T316" s="9"/>
      <c r="U316" s="9"/>
      <c r="V316" s="9"/>
      <c r="W316" s="9"/>
      <c r="X316" s="9"/>
      <c r="Y316" s="9"/>
      <c r="Z316" s="9"/>
      <c r="AA316" s="9"/>
      <c r="AB316" s="9"/>
      <c r="AC316" s="237">
        <f>MAX(J316/J317)</f>
        <v>1.7593598678033749E-2</v>
      </c>
      <c r="AD316" s="235">
        <f t="shared" si="56"/>
        <v>64533.319951027792</v>
      </c>
      <c r="AE316" s="238">
        <f>MAX(I316/I317)</f>
        <v>1.1707559219761424E-2</v>
      </c>
      <c r="AF316" s="235">
        <f t="shared" si="57"/>
        <v>176655.51146322247</v>
      </c>
      <c r="AG316" s="238">
        <f>MAX(H316/H317)</f>
        <v>1.2397297247516642E-2</v>
      </c>
      <c r="AH316" s="235">
        <f t="shared" si="58"/>
        <v>140718.31947781166</v>
      </c>
    </row>
    <row r="317" spans="1:34" ht="15" customHeight="1" thickBot="1" x14ac:dyDescent="0.25">
      <c r="A317" s="405" t="s">
        <v>942</v>
      </c>
      <c r="B317" s="1131">
        <v>3385.596</v>
      </c>
      <c r="C317" s="1131">
        <v>117</v>
      </c>
      <c r="D317" s="1131">
        <v>24.4</v>
      </c>
      <c r="E317" s="1131">
        <v>67</v>
      </c>
      <c r="F317" s="1131">
        <v>19</v>
      </c>
      <c r="G317" s="1131">
        <v>452</v>
      </c>
      <c r="H317" s="1131">
        <v>2823.1960000000004</v>
      </c>
      <c r="I317" s="1131">
        <v>3416.596</v>
      </c>
      <c r="J317" s="1132">
        <v>23872.319000000003</v>
      </c>
      <c r="K317" s="1132">
        <v>8.4557781323011234</v>
      </c>
      <c r="L317" s="1525" t="s">
        <v>988</v>
      </c>
      <c r="M317" s="1134">
        <v>3668000</v>
      </c>
      <c r="N317" s="1134">
        <v>15089012.846080001</v>
      </c>
      <c r="O317" s="506">
        <v>11350725.619327996</v>
      </c>
      <c r="P317" s="9"/>
      <c r="Q317" s="9"/>
      <c r="R317" s="950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1159">
        <f t="shared" ref="AC317:AH317" si="59">SUM(AC277:AC316)</f>
        <v>0.99999999999999978</v>
      </c>
      <c r="AD317" s="1160">
        <f t="shared" si="59"/>
        <v>3668000</v>
      </c>
      <c r="AE317" s="1161">
        <f t="shared" si="59"/>
        <v>0.99999999999999989</v>
      </c>
      <c r="AF317" s="1160">
        <f t="shared" si="59"/>
        <v>15089012.846080001</v>
      </c>
      <c r="AG317" s="1161">
        <f t="shared" si="59"/>
        <v>0.99999999999999978</v>
      </c>
      <c r="AH317" s="1160">
        <f t="shared" si="59"/>
        <v>11350725.619327996</v>
      </c>
    </row>
    <row r="318" spans="1:34" x14ac:dyDescent="0.2">
      <c r="A318" s="7" t="s">
        <v>1934</v>
      </c>
      <c r="B318" s="8"/>
      <c r="C318" s="8"/>
      <c r="D318" s="8"/>
      <c r="E318" s="4"/>
      <c r="F318" s="5"/>
      <c r="G318" s="9"/>
      <c r="H318" s="8"/>
      <c r="I318" s="224"/>
      <c r="J318" s="224"/>
      <c r="K318" s="240"/>
      <c r="L318" s="241"/>
      <c r="M318" s="240"/>
      <c r="N318" s="240"/>
      <c r="O318" s="240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x14ac:dyDescent="0.2">
      <c r="A319" s="34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263"/>
      <c r="M319" s="249"/>
      <c r="N319" s="249"/>
      <c r="O319" s="24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x14ac:dyDescent="0.2">
      <c r="A320" s="242"/>
      <c r="B320" s="224"/>
      <c r="C320" s="224"/>
      <c r="D320" s="224"/>
      <c r="E320" s="224"/>
      <c r="F320" s="224"/>
      <c r="G320" s="224"/>
      <c r="H320" s="224"/>
      <c r="I320" s="224"/>
      <c r="J320" s="224"/>
      <c r="K320" s="240"/>
      <c r="L320" s="241"/>
      <c r="M320" s="240"/>
      <c r="N320" s="240"/>
      <c r="O320" s="240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x14ac:dyDescent="0.2">
      <c r="A321" s="242"/>
      <c r="B321" s="224"/>
      <c r="C321" s="224"/>
      <c r="D321" s="224"/>
      <c r="E321" s="224"/>
      <c r="F321" s="224"/>
      <c r="G321" s="224"/>
      <c r="H321" s="224"/>
      <c r="I321" s="224"/>
      <c r="J321" s="224"/>
      <c r="K321" s="240"/>
      <c r="L321" s="241"/>
      <c r="M321" s="240"/>
      <c r="N321" s="240"/>
      <c r="O321" s="240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5" customHeight="1" x14ac:dyDescent="0.25">
      <c r="A322" s="2843" t="s">
        <v>1931</v>
      </c>
      <c r="B322" s="2843"/>
      <c r="C322" s="2843"/>
      <c r="D322" s="2843"/>
      <c r="E322" s="2843"/>
      <c r="F322" s="2843"/>
      <c r="G322" s="2843"/>
      <c r="H322" s="2843"/>
      <c r="I322" s="2843"/>
      <c r="J322" s="2843"/>
      <c r="K322" s="2843"/>
      <c r="L322" s="2843"/>
      <c r="M322" s="2843"/>
      <c r="N322" s="2843"/>
      <c r="O322" s="2843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5" customHeight="1" thickBot="1" x14ac:dyDescent="0.25">
      <c r="A323" s="8" t="s">
        <v>1863</v>
      </c>
      <c r="B323" s="225"/>
      <c r="C323" s="227"/>
      <c r="D323" s="227"/>
      <c r="E323" s="227"/>
      <c r="F323" s="227"/>
      <c r="G323" s="227"/>
      <c r="H323" s="225"/>
      <c r="I323" s="225"/>
      <c r="J323" s="225"/>
      <c r="K323" s="225"/>
      <c r="L323" s="171"/>
      <c r="M323" s="227"/>
      <c r="N323" s="227"/>
      <c r="O323" s="227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228" t="s">
        <v>910</v>
      </c>
      <c r="AD323" s="229"/>
      <c r="AE323" s="229"/>
      <c r="AF323" s="229"/>
      <c r="AG323" s="229"/>
      <c r="AH323" s="229"/>
    </row>
    <row r="324" spans="1:34" ht="15" customHeight="1" x14ac:dyDescent="0.2">
      <c r="A324" s="2844" t="s">
        <v>327</v>
      </c>
      <c r="B324" s="2847" t="s">
        <v>1932</v>
      </c>
      <c r="C324" s="2848"/>
      <c r="D324" s="2848"/>
      <c r="E324" s="2848"/>
      <c r="F324" s="2848"/>
      <c r="G324" s="2848"/>
      <c r="H324" s="2848"/>
      <c r="I324" s="2848"/>
      <c r="J324" s="2848"/>
      <c r="K324" s="2848"/>
      <c r="L324" s="2848"/>
      <c r="M324" s="2848"/>
      <c r="N324" s="2848"/>
      <c r="O324" s="284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228" t="s">
        <v>910</v>
      </c>
      <c r="AD324" s="229"/>
      <c r="AE324" s="229"/>
      <c r="AF324" s="229"/>
      <c r="AG324" s="229"/>
      <c r="AH324" s="243"/>
    </row>
    <row r="325" spans="1:34" ht="15" customHeight="1" x14ac:dyDescent="0.2">
      <c r="A325" s="2845"/>
      <c r="B325" s="2850" t="s">
        <v>191</v>
      </c>
      <c r="C325" s="2850"/>
      <c r="D325" s="2850"/>
      <c r="E325" s="2850"/>
      <c r="F325" s="2850"/>
      <c r="G325" s="2850"/>
      <c r="H325" s="2850"/>
      <c r="I325" s="2850"/>
      <c r="J325" s="2119"/>
      <c r="K325" s="2119" t="s">
        <v>904</v>
      </c>
      <c r="L325" s="2119"/>
      <c r="M325" s="1122" t="s">
        <v>437</v>
      </c>
      <c r="N325" s="1122" t="s">
        <v>911</v>
      </c>
      <c r="O325" s="1127" t="s">
        <v>911</v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230" t="s">
        <v>333</v>
      </c>
      <c r="AD325" s="231" t="s">
        <v>333</v>
      </c>
      <c r="AE325" s="231" t="s">
        <v>333</v>
      </c>
      <c r="AF325" s="231" t="s">
        <v>333</v>
      </c>
      <c r="AG325" s="231" t="s">
        <v>333</v>
      </c>
      <c r="AH325" s="231" t="s">
        <v>333</v>
      </c>
    </row>
    <row r="326" spans="1:34" ht="15" customHeight="1" x14ac:dyDescent="0.2">
      <c r="A326" s="2845"/>
      <c r="B326" s="2119" t="s">
        <v>433</v>
      </c>
      <c r="C326" s="2119"/>
      <c r="D326" s="2841" t="s">
        <v>1865</v>
      </c>
      <c r="E326" s="2119"/>
      <c r="F326" s="2119"/>
      <c r="G326" s="2119" t="s">
        <v>912</v>
      </c>
      <c r="H326" s="2119"/>
      <c r="I326" s="2119" t="s">
        <v>433</v>
      </c>
      <c r="J326" s="2138" t="s">
        <v>913</v>
      </c>
      <c r="K326" s="2138" t="s">
        <v>842</v>
      </c>
      <c r="L326" s="2138" t="s">
        <v>329</v>
      </c>
      <c r="M326" s="1123" t="s">
        <v>914</v>
      </c>
      <c r="N326" s="1123" t="s">
        <v>915</v>
      </c>
      <c r="O326" s="1128" t="s">
        <v>914</v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230" t="s">
        <v>913</v>
      </c>
      <c r="AD326" s="231" t="s">
        <v>916</v>
      </c>
      <c r="AE326" s="231" t="s">
        <v>917</v>
      </c>
      <c r="AF326" s="231" t="s">
        <v>918</v>
      </c>
      <c r="AG326" s="231" t="s">
        <v>192</v>
      </c>
      <c r="AH326" s="231" t="s">
        <v>918</v>
      </c>
    </row>
    <row r="327" spans="1:34" ht="15" customHeight="1" x14ac:dyDescent="0.2">
      <c r="A327" s="2845"/>
      <c r="B327" s="2138" t="s">
        <v>920</v>
      </c>
      <c r="C327" s="2138" t="s">
        <v>922</v>
      </c>
      <c r="D327" s="2842"/>
      <c r="E327" s="2138" t="s">
        <v>867</v>
      </c>
      <c r="F327" s="2138" t="s">
        <v>921</v>
      </c>
      <c r="G327" s="2138" t="s">
        <v>923</v>
      </c>
      <c r="H327" s="2138" t="s">
        <v>836</v>
      </c>
      <c r="I327" s="2138" t="s">
        <v>835</v>
      </c>
      <c r="J327" s="2138" t="s">
        <v>924</v>
      </c>
      <c r="K327" s="2138" t="s">
        <v>925</v>
      </c>
      <c r="L327" s="2138" t="s">
        <v>336</v>
      </c>
      <c r="M327" s="1123" t="s">
        <v>926</v>
      </c>
      <c r="N327" s="1123" t="s">
        <v>927</v>
      </c>
      <c r="O327" s="1128" t="s">
        <v>928</v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230"/>
      <c r="AD327" s="231" t="s">
        <v>843</v>
      </c>
      <c r="AE327" s="231"/>
      <c r="AF327" s="231" t="s">
        <v>929</v>
      </c>
      <c r="AG327" s="231"/>
      <c r="AH327" s="231" t="s">
        <v>930</v>
      </c>
    </row>
    <row r="328" spans="1:34" ht="15" customHeight="1" thickBot="1" x14ac:dyDescent="0.25">
      <c r="A328" s="2846"/>
      <c r="B328" s="1881">
        <v>44926</v>
      </c>
      <c r="C328" s="2139">
        <v>2023</v>
      </c>
      <c r="D328" s="2139">
        <v>2023</v>
      </c>
      <c r="E328" s="2139">
        <v>2023</v>
      </c>
      <c r="F328" s="2139">
        <v>2023</v>
      </c>
      <c r="G328" s="2139" t="s">
        <v>931</v>
      </c>
      <c r="H328" s="1126">
        <v>2023</v>
      </c>
      <c r="I328" s="1881">
        <v>45291</v>
      </c>
      <c r="J328" s="1881" t="s">
        <v>1933</v>
      </c>
      <c r="K328" s="1881" t="s">
        <v>1933</v>
      </c>
      <c r="L328" s="2139" t="s">
        <v>441</v>
      </c>
      <c r="M328" s="1125" t="s">
        <v>932</v>
      </c>
      <c r="N328" s="1125" t="s">
        <v>933</v>
      </c>
      <c r="O328" s="1129" t="s">
        <v>933</v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232"/>
      <c r="AD328" s="233" t="s">
        <v>934</v>
      </c>
      <c r="AE328" s="233"/>
      <c r="AF328" s="233" t="s">
        <v>935</v>
      </c>
      <c r="AG328" s="233"/>
      <c r="AH328" s="233" t="s">
        <v>936</v>
      </c>
    </row>
    <row r="329" spans="1:34" ht="15" customHeight="1" x14ac:dyDescent="0.2">
      <c r="A329" s="1135" t="s">
        <v>352</v>
      </c>
      <c r="B329" s="1130">
        <v>430.83</v>
      </c>
      <c r="C329" s="1130">
        <v>96</v>
      </c>
      <c r="D329" s="1130">
        <v>5</v>
      </c>
      <c r="E329" s="1130">
        <v>2</v>
      </c>
      <c r="F329" s="1130">
        <v>0</v>
      </c>
      <c r="G329" s="1130">
        <v>205</v>
      </c>
      <c r="H329" s="1130">
        <v>218.82999999999998</v>
      </c>
      <c r="I329" s="1130">
        <v>524.82999999999993</v>
      </c>
      <c r="J329" s="1136">
        <v>2064.12</v>
      </c>
      <c r="K329" s="1535">
        <v>9.4325275327880096</v>
      </c>
      <c r="L329" s="380"/>
      <c r="M329" s="1138"/>
      <c r="N329" s="1138"/>
      <c r="O329" s="1139"/>
      <c r="P329" s="9"/>
      <c r="Q329" s="9"/>
      <c r="R329" s="9"/>
      <c r="S329" s="9"/>
      <c r="U329" s="9"/>
      <c r="W329" s="9"/>
      <c r="X329" s="9"/>
      <c r="Y329" s="9"/>
      <c r="Z329" s="9"/>
      <c r="AA329" s="9"/>
      <c r="AB329" s="9"/>
      <c r="AC329" s="1155"/>
      <c r="AD329" s="1156"/>
      <c r="AE329" s="1156"/>
      <c r="AF329" s="1156"/>
      <c r="AG329" s="1156"/>
      <c r="AH329" s="1156"/>
    </row>
    <row r="330" spans="1:34" ht="15" customHeight="1" x14ac:dyDescent="0.2">
      <c r="A330" s="962" t="s">
        <v>353</v>
      </c>
      <c r="B330" s="959">
        <v>0</v>
      </c>
      <c r="C330" s="1146"/>
      <c r="D330" s="1146"/>
      <c r="E330" s="1146"/>
      <c r="F330" s="1146"/>
      <c r="G330" s="1146">
        <v>0</v>
      </c>
      <c r="H330" s="1146">
        <v>0</v>
      </c>
      <c r="I330" s="1146">
        <v>0</v>
      </c>
      <c r="J330" s="1147">
        <v>0</v>
      </c>
      <c r="K330" s="1147">
        <v>0</v>
      </c>
      <c r="L330" s="1066"/>
      <c r="M330" s="959"/>
      <c r="N330" s="959"/>
      <c r="O330" s="1149"/>
      <c r="P330" s="9"/>
      <c r="Q330" s="9"/>
      <c r="R330" s="9"/>
      <c r="S330" s="9"/>
      <c r="U330" s="9"/>
      <c r="W330" s="9"/>
      <c r="X330" s="9"/>
      <c r="Y330" s="9"/>
      <c r="Z330" s="9"/>
      <c r="AA330" s="9"/>
      <c r="AB330" s="9"/>
      <c r="AC330" s="237">
        <f>MAX(J330/J370)</f>
        <v>0</v>
      </c>
      <c r="AD330" s="235">
        <f t="shared" ref="AD330:AD344" si="60">MAX(M330*AC330)</f>
        <v>0</v>
      </c>
      <c r="AE330" s="238">
        <f>MAX(I330/I370)</f>
        <v>0</v>
      </c>
      <c r="AF330" s="235">
        <f t="shared" ref="AF330:AF344" si="61">MAX(N330*AE330)</f>
        <v>0</v>
      </c>
      <c r="AG330" s="238">
        <f>MAX(H330/H370)</f>
        <v>0</v>
      </c>
      <c r="AH330" s="235">
        <f t="shared" ref="AH330:AH344" si="62">MAX(O330*AG330)</f>
        <v>0</v>
      </c>
    </row>
    <row r="331" spans="1:34" ht="15" customHeight="1" x14ac:dyDescent="0.2">
      <c r="A331" s="962" t="s">
        <v>354</v>
      </c>
      <c r="B331" s="959">
        <v>0</v>
      </c>
      <c r="C331" s="1146"/>
      <c r="D331" s="1146"/>
      <c r="E331" s="1146"/>
      <c r="F331" s="1146"/>
      <c r="G331" s="1146">
        <v>0</v>
      </c>
      <c r="H331" s="1146">
        <v>0</v>
      </c>
      <c r="I331" s="1146">
        <v>0</v>
      </c>
      <c r="J331" s="1147">
        <v>0</v>
      </c>
      <c r="K331" s="1147">
        <v>0</v>
      </c>
      <c r="L331" s="1066"/>
      <c r="M331" s="959"/>
      <c r="N331" s="959"/>
      <c r="O331" s="1149"/>
      <c r="P331" s="9"/>
      <c r="Q331" s="9"/>
      <c r="R331" s="9"/>
      <c r="S331" s="9"/>
      <c r="U331" s="9"/>
      <c r="W331" s="9"/>
      <c r="X331" s="9"/>
      <c r="Y331" s="9"/>
      <c r="Z331" s="9"/>
      <c r="AA331" s="9"/>
      <c r="AB331" s="9"/>
      <c r="AC331" s="237">
        <f>MAX(J331/J370)</f>
        <v>0</v>
      </c>
      <c r="AD331" s="235">
        <f t="shared" si="60"/>
        <v>0</v>
      </c>
      <c r="AE331" s="238">
        <f>MAX(I331/I370)</f>
        <v>0</v>
      </c>
      <c r="AF331" s="235">
        <f t="shared" si="61"/>
        <v>0</v>
      </c>
      <c r="AG331" s="238">
        <f>MAX(H331/H370)</f>
        <v>0</v>
      </c>
      <c r="AH331" s="235">
        <f t="shared" si="62"/>
        <v>0</v>
      </c>
    </row>
    <row r="332" spans="1:34" ht="15" customHeight="1" x14ac:dyDescent="0.2">
      <c r="A332" s="962" t="s">
        <v>355</v>
      </c>
      <c r="B332" s="1146">
        <v>66.09</v>
      </c>
      <c r="C332" s="1146">
        <v>4</v>
      </c>
      <c r="D332" s="1146"/>
      <c r="E332" s="1146"/>
      <c r="F332" s="1146"/>
      <c r="G332" s="1146">
        <v>22</v>
      </c>
      <c r="H332" s="1146">
        <v>44.09</v>
      </c>
      <c r="I332" s="1146">
        <v>70.09</v>
      </c>
      <c r="J332" s="1147">
        <v>352.72</v>
      </c>
      <c r="K332" s="1147">
        <v>8</v>
      </c>
      <c r="L332" s="1066" t="s">
        <v>988</v>
      </c>
      <c r="M332" s="959">
        <v>4350000</v>
      </c>
      <c r="N332" s="959">
        <v>15089012.84608</v>
      </c>
      <c r="O332" s="1149">
        <v>11350725.619328</v>
      </c>
      <c r="P332" s="9"/>
      <c r="Q332" s="9"/>
      <c r="R332" s="9"/>
      <c r="S332" s="9"/>
      <c r="U332" s="9"/>
      <c r="W332" s="9"/>
      <c r="X332" s="9"/>
      <c r="Y332" s="9"/>
      <c r="Z332" s="9"/>
      <c r="AA332" s="9"/>
      <c r="AB332" s="9"/>
      <c r="AC332" s="237">
        <f>MAX(J332/J370)</f>
        <v>1.2990380224215907E-2</v>
      </c>
      <c r="AD332" s="235">
        <f t="shared" si="60"/>
        <v>56508.153975339199</v>
      </c>
      <c r="AE332" s="238">
        <f>MAX(I332/I370)</f>
        <v>1.7841792253724592E-2</v>
      </c>
      <c r="AF332" s="235">
        <f t="shared" si="61"/>
        <v>269215.03251354099</v>
      </c>
      <c r="AG332" s="238">
        <f>MAX(H332/H370)</f>
        <v>1.9789785705661388E-2</v>
      </c>
      <c r="AH332" s="235">
        <f t="shared" si="62"/>
        <v>224628.42761026174</v>
      </c>
    </row>
    <row r="333" spans="1:34" ht="15" customHeight="1" x14ac:dyDescent="0.2">
      <c r="A333" s="962" t="s">
        <v>356</v>
      </c>
      <c r="B333" s="1146">
        <v>0</v>
      </c>
      <c r="C333" s="1146">
        <v>8</v>
      </c>
      <c r="D333" s="1146"/>
      <c r="E333" s="1146"/>
      <c r="F333" s="1146"/>
      <c r="G333" s="1146">
        <v>0</v>
      </c>
      <c r="H333" s="1146">
        <v>0</v>
      </c>
      <c r="I333" s="1146">
        <v>8</v>
      </c>
      <c r="J333" s="1147">
        <v>0</v>
      </c>
      <c r="K333" s="1147">
        <v>0</v>
      </c>
      <c r="L333" s="1066"/>
      <c r="M333" s="959"/>
      <c r="N333" s="959">
        <v>15089012.84608</v>
      </c>
      <c r="O333" s="1149"/>
      <c r="P333" s="9"/>
      <c r="Q333" s="9"/>
      <c r="R333" s="9"/>
      <c r="S333" s="9"/>
      <c r="U333" s="9"/>
      <c r="W333" s="9"/>
      <c r="X333" s="9"/>
      <c r="Y333" s="9"/>
      <c r="Z333" s="9"/>
      <c r="AA333" s="9"/>
      <c r="AB333" s="9"/>
      <c r="AC333" s="237">
        <f>MAX(J333/J370)</f>
        <v>0</v>
      </c>
      <c r="AD333" s="235">
        <f t="shared" si="60"/>
        <v>0</v>
      </c>
      <c r="AE333" s="238">
        <f>MAX(I333/I370)</f>
        <v>2.0364436871136643E-3</v>
      </c>
      <c r="AF333" s="235">
        <f t="shared" si="61"/>
        <v>30727.924955176601</v>
      </c>
      <c r="AG333" s="238">
        <f>MAX(H333/H370)</f>
        <v>0</v>
      </c>
      <c r="AH333" s="235">
        <f t="shared" si="62"/>
        <v>0</v>
      </c>
    </row>
    <row r="334" spans="1:34" ht="15" customHeight="1" x14ac:dyDescent="0.2">
      <c r="A334" s="962" t="s">
        <v>357</v>
      </c>
      <c r="B334" s="1146">
        <v>21</v>
      </c>
      <c r="C334" s="1146">
        <v>0</v>
      </c>
      <c r="D334" s="1146">
        <v>0</v>
      </c>
      <c r="E334" s="1146">
        <v>0</v>
      </c>
      <c r="F334" s="1146">
        <v>0</v>
      </c>
      <c r="G334" s="1146">
        <v>11</v>
      </c>
      <c r="H334" s="1146">
        <v>10</v>
      </c>
      <c r="I334" s="1146">
        <v>21</v>
      </c>
      <c r="J334" s="1147">
        <v>50</v>
      </c>
      <c r="K334" s="1147">
        <v>5</v>
      </c>
      <c r="L334" s="1066" t="s">
        <v>988</v>
      </c>
      <c r="M334" s="959">
        <v>4350000</v>
      </c>
      <c r="N334" s="959">
        <v>15089012.84608</v>
      </c>
      <c r="O334" s="1149">
        <v>11350725.619328</v>
      </c>
      <c r="P334" s="9"/>
      <c r="Q334" s="9"/>
      <c r="R334" s="9"/>
      <c r="S334" s="9"/>
      <c r="U334" s="9"/>
      <c r="W334" s="9"/>
      <c r="X334" s="9"/>
      <c r="Y334" s="9"/>
      <c r="Z334" s="9"/>
      <c r="AA334" s="9"/>
      <c r="AB334" s="9"/>
      <c r="AC334" s="237">
        <f>MAX(J334/J370)</f>
        <v>1.8414578453470043E-3</v>
      </c>
      <c r="AD334" s="235">
        <f t="shared" si="60"/>
        <v>8010.3416272594686</v>
      </c>
      <c r="AE334" s="238">
        <f>MAX(I334/I370)</f>
        <v>5.3456646786733692E-3</v>
      </c>
      <c r="AF334" s="235">
        <f t="shared" si="61"/>
        <v>80660.803007338574</v>
      </c>
      <c r="AG334" s="238">
        <f>MAX(H334/H370)</f>
        <v>4.4884975517490103E-3</v>
      </c>
      <c r="AH334" s="235">
        <f t="shared" si="62"/>
        <v>50947.704152928498</v>
      </c>
    </row>
    <row r="335" spans="1:34" ht="15" customHeight="1" x14ac:dyDescent="0.2">
      <c r="A335" s="962" t="s">
        <v>358</v>
      </c>
      <c r="B335" s="1146">
        <v>25</v>
      </c>
      <c r="C335" s="1146">
        <v>3</v>
      </c>
      <c r="D335" s="1146">
        <v>0</v>
      </c>
      <c r="E335" s="1146">
        <v>0</v>
      </c>
      <c r="F335" s="1146">
        <v>0</v>
      </c>
      <c r="G335" s="1146">
        <v>8</v>
      </c>
      <c r="H335" s="1146">
        <v>17</v>
      </c>
      <c r="I335" s="1146">
        <v>28</v>
      </c>
      <c r="J335" s="1147">
        <v>136</v>
      </c>
      <c r="K335" s="1147">
        <v>8</v>
      </c>
      <c r="L335" s="1066" t="s">
        <v>988</v>
      </c>
      <c r="M335" s="959">
        <v>4350000</v>
      </c>
      <c r="N335" s="959">
        <v>15089012.84608</v>
      </c>
      <c r="O335" s="1149">
        <v>11350725.619328</v>
      </c>
      <c r="P335" s="9"/>
      <c r="Q335" s="9"/>
      <c r="R335" s="9"/>
      <c r="S335" s="9"/>
      <c r="U335" s="9"/>
      <c r="W335" s="9"/>
      <c r="X335" s="9"/>
      <c r="Y335" s="9"/>
      <c r="Z335" s="9"/>
      <c r="AA335" s="9"/>
      <c r="AB335" s="9"/>
      <c r="AC335" s="237">
        <f>MAX(J335/J370)</f>
        <v>5.0087653393438517E-3</v>
      </c>
      <c r="AD335" s="235">
        <f t="shared" si="60"/>
        <v>21788.129226145757</v>
      </c>
      <c r="AE335" s="238">
        <f>MAX(I335/I370)</f>
        <v>7.1275529048978256E-3</v>
      </c>
      <c r="AF335" s="235">
        <f t="shared" si="61"/>
        <v>107547.7373431181</v>
      </c>
      <c r="AG335" s="238">
        <f>MAX(H335/H370)</f>
        <v>7.6304458379733179E-3</v>
      </c>
      <c r="AH335" s="235">
        <f t="shared" si="62"/>
        <v>86611.097059978449</v>
      </c>
    </row>
    <row r="336" spans="1:34" ht="15" customHeight="1" x14ac:dyDescent="0.2">
      <c r="A336" s="962" t="s">
        <v>937</v>
      </c>
      <c r="B336" s="1146">
        <v>0</v>
      </c>
      <c r="C336" s="1146">
        <v>17</v>
      </c>
      <c r="D336" s="1146">
        <v>0</v>
      </c>
      <c r="E336" s="1146">
        <v>0</v>
      </c>
      <c r="F336" s="1146">
        <v>0</v>
      </c>
      <c r="G336" s="1146">
        <v>0</v>
      </c>
      <c r="H336" s="1146">
        <v>0</v>
      </c>
      <c r="I336" s="1146">
        <v>17</v>
      </c>
      <c r="J336" s="1147">
        <v>0</v>
      </c>
      <c r="K336" s="1147"/>
      <c r="L336" s="1066"/>
      <c r="M336" s="959"/>
      <c r="N336" s="959">
        <v>15089012.84608</v>
      </c>
      <c r="O336" s="1149"/>
      <c r="P336" s="9"/>
      <c r="Q336" s="9"/>
      <c r="R336" s="9"/>
      <c r="S336" s="9"/>
      <c r="U336" s="9"/>
      <c r="W336" s="9"/>
      <c r="X336" s="9"/>
      <c r="Y336" s="9"/>
      <c r="Z336" s="9"/>
      <c r="AA336" s="9"/>
      <c r="AB336" s="9"/>
      <c r="AC336" s="237">
        <f>MAX(J336/J370)</f>
        <v>0</v>
      </c>
      <c r="AD336" s="235">
        <f t="shared" si="60"/>
        <v>0</v>
      </c>
      <c r="AE336" s="238">
        <f>MAX(I336/I370)</f>
        <v>4.3274428351165366E-3</v>
      </c>
      <c r="AF336" s="235">
        <f t="shared" si="61"/>
        <v>65296.840529750276</v>
      </c>
      <c r="AG336" s="238">
        <f>MAX(H336/H370)</f>
        <v>0</v>
      </c>
      <c r="AH336" s="235">
        <f t="shared" si="62"/>
        <v>0</v>
      </c>
    </row>
    <row r="337" spans="1:34" ht="15" customHeight="1" x14ac:dyDescent="0.2">
      <c r="A337" s="962" t="s">
        <v>360</v>
      </c>
      <c r="B337" s="1146">
        <v>44</v>
      </c>
      <c r="C337" s="1146">
        <v>12</v>
      </c>
      <c r="D337" s="1146">
        <v>0</v>
      </c>
      <c r="E337" s="1146">
        <v>0</v>
      </c>
      <c r="F337" s="1146">
        <v>0</v>
      </c>
      <c r="G337" s="1146">
        <v>11</v>
      </c>
      <c r="H337" s="1146">
        <v>33</v>
      </c>
      <c r="I337" s="1146">
        <v>56</v>
      </c>
      <c r="J337" s="1147">
        <v>198</v>
      </c>
      <c r="K337" s="1147">
        <v>6</v>
      </c>
      <c r="L337" s="1066" t="s">
        <v>988</v>
      </c>
      <c r="M337" s="959">
        <v>4350000</v>
      </c>
      <c r="N337" s="959">
        <v>15089012.84608</v>
      </c>
      <c r="O337" s="1149">
        <v>11350725.619328</v>
      </c>
      <c r="P337" s="9"/>
      <c r="Q337" s="9"/>
      <c r="R337" s="9"/>
      <c r="S337" s="9"/>
      <c r="U337" s="9"/>
      <c r="W337" s="9"/>
      <c r="X337" s="9"/>
      <c r="Y337" s="9"/>
      <c r="Z337" s="9"/>
      <c r="AA337" s="9"/>
      <c r="AB337" s="9"/>
      <c r="AC337" s="237">
        <f>MAX(J337/J370)</f>
        <v>7.2921730675741363E-3</v>
      </c>
      <c r="AD337" s="235">
        <f t="shared" si="60"/>
        <v>31720.952843947493</v>
      </c>
      <c r="AE337" s="238">
        <f>MAX(I337/I370)</f>
        <v>1.4255105809795651E-2</v>
      </c>
      <c r="AF337" s="235">
        <f t="shared" si="61"/>
        <v>215095.47468623621</v>
      </c>
      <c r="AG337" s="238">
        <f>MAX(H337/H370)</f>
        <v>1.4812041920771735E-2</v>
      </c>
      <c r="AH337" s="235">
        <f t="shared" si="62"/>
        <v>168127.42370466405</v>
      </c>
    </row>
    <row r="338" spans="1:34" ht="15" customHeight="1" x14ac:dyDescent="0.2">
      <c r="A338" s="962" t="s">
        <v>938</v>
      </c>
      <c r="B338" s="1146">
        <v>39</v>
      </c>
      <c r="C338" s="1146">
        <v>6</v>
      </c>
      <c r="D338" s="1146"/>
      <c r="E338" s="1146"/>
      <c r="F338" s="1146">
        <v>0</v>
      </c>
      <c r="G338" s="1146">
        <v>22</v>
      </c>
      <c r="H338" s="1146">
        <v>17</v>
      </c>
      <c r="I338" s="1146">
        <v>45</v>
      </c>
      <c r="J338" s="1147">
        <v>187</v>
      </c>
      <c r="K338" s="1147">
        <v>11</v>
      </c>
      <c r="L338" s="1066" t="s">
        <v>988</v>
      </c>
      <c r="M338" s="959">
        <v>4350000</v>
      </c>
      <c r="N338" s="959">
        <v>15089012.84608</v>
      </c>
      <c r="O338" s="1149">
        <v>11350725.619328</v>
      </c>
      <c r="P338" s="9"/>
      <c r="Q338" s="9"/>
      <c r="R338" s="9"/>
      <c r="S338" s="9"/>
      <c r="U338" s="9"/>
      <c r="W338" s="9"/>
      <c r="X338" s="9"/>
      <c r="Y338" s="9"/>
      <c r="Z338" s="9"/>
      <c r="AA338" s="9"/>
      <c r="AB338" s="9"/>
      <c r="AC338" s="237">
        <f>MAX(J338/J370)</f>
        <v>6.8870523415977955E-3</v>
      </c>
      <c r="AD338" s="235">
        <f t="shared" si="60"/>
        <v>29958.67768595041</v>
      </c>
      <c r="AE338" s="238">
        <f>MAX(I338/I370)</f>
        <v>1.1454995740014363E-2</v>
      </c>
      <c r="AF338" s="235">
        <f t="shared" si="61"/>
        <v>172844.57787286839</v>
      </c>
      <c r="AG338" s="238">
        <f>MAX(H338/H370)</f>
        <v>7.6304458379733179E-3</v>
      </c>
      <c r="AH338" s="235">
        <f t="shared" si="62"/>
        <v>86611.097059978449</v>
      </c>
    </row>
    <row r="339" spans="1:34" ht="15" customHeight="1" x14ac:dyDescent="0.2">
      <c r="A339" s="962" t="s">
        <v>362</v>
      </c>
      <c r="B339" s="1146">
        <v>52.6</v>
      </c>
      <c r="C339" s="1146">
        <v>5</v>
      </c>
      <c r="D339" s="1146">
        <v>0</v>
      </c>
      <c r="E339" s="1146">
        <v>0</v>
      </c>
      <c r="F339" s="1146">
        <v>0</v>
      </c>
      <c r="G339" s="1146">
        <v>20</v>
      </c>
      <c r="H339" s="1146">
        <v>32.6</v>
      </c>
      <c r="I339" s="1146">
        <v>57.6</v>
      </c>
      <c r="J339" s="1147">
        <v>489</v>
      </c>
      <c r="K339" s="1147">
        <v>15</v>
      </c>
      <c r="L339" s="1066" t="s">
        <v>988</v>
      </c>
      <c r="M339" s="959">
        <v>4350000</v>
      </c>
      <c r="N339" s="959">
        <v>15089012.84608</v>
      </c>
      <c r="O339" s="1149">
        <v>11350725.619328</v>
      </c>
      <c r="P339" s="9"/>
      <c r="Q339" s="9"/>
      <c r="R339" s="9"/>
      <c r="S339" s="9"/>
      <c r="U339" s="9"/>
      <c r="W339" s="9"/>
      <c r="X339" s="9"/>
      <c r="Y339" s="9"/>
      <c r="Z339" s="9"/>
      <c r="AA339" s="9"/>
      <c r="AB339" s="9"/>
      <c r="AC339" s="237">
        <f>MAX(J339/J370)</f>
        <v>1.80094577274937E-2</v>
      </c>
      <c r="AD339" s="235">
        <f t="shared" si="60"/>
        <v>78341.141114597602</v>
      </c>
      <c r="AE339" s="238">
        <f>MAX(I339/I370)</f>
        <v>1.4662394547218384E-2</v>
      </c>
      <c r="AF339" s="235">
        <f t="shared" si="61"/>
        <v>221241.05967727152</v>
      </c>
      <c r="AG339" s="238">
        <f>MAX(H339/H370)</f>
        <v>1.4632502018701775E-2</v>
      </c>
      <c r="AH339" s="235">
        <f t="shared" si="62"/>
        <v>166089.5155385469</v>
      </c>
    </row>
    <row r="340" spans="1:34" ht="15" customHeight="1" x14ac:dyDescent="0.2">
      <c r="A340" s="962" t="s">
        <v>363</v>
      </c>
      <c r="B340" s="1146">
        <v>150</v>
      </c>
      <c r="C340" s="1146">
        <v>30</v>
      </c>
      <c r="D340" s="1146">
        <v>0</v>
      </c>
      <c r="E340" s="1146">
        <v>0</v>
      </c>
      <c r="F340" s="1146">
        <v>0</v>
      </c>
      <c r="G340" s="1146">
        <v>100</v>
      </c>
      <c r="H340" s="1146">
        <v>50</v>
      </c>
      <c r="I340" s="1146">
        <v>180</v>
      </c>
      <c r="J340" s="1147">
        <v>500</v>
      </c>
      <c r="K340" s="1147">
        <v>10</v>
      </c>
      <c r="L340" s="1066" t="s">
        <v>988</v>
      </c>
      <c r="M340" s="959">
        <v>4350000</v>
      </c>
      <c r="N340" s="959">
        <v>15089012.84608</v>
      </c>
      <c r="O340" s="1149">
        <v>11350725.619328</v>
      </c>
      <c r="P340" s="9"/>
      <c r="Q340" s="9"/>
      <c r="R340" s="9"/>
      <c r="S340" s="9"/>
      <c r="U340" s="9"/>
      <c r="W340" s="9"/>
      <c r="X340" s="9"/>
      <c r="Y340" s="9"/>
      <c r="Z340" s="9"/>
      <c r="AA340" s="9"/>
      <c r="AB340" s="9"/>
      <c r="AC340" s="237">
        <f>MAX(J340/J370)</f>
        <v>1.8414578453470044E-2</v>
      </c>
      <c r="AD340" s="235">
        <f t="shared" si="60"/>
        <v>80103.416272594695</v>
      </c>
      <c r="AE340" s="238">
        <f>MAX(I340/I370)</f>
        <v>4.5819982960057452E-2</v>
      </c>
      <c r="AF340" s="235">
        <f t="shared" si="61"/>
        <v>691378.31149147358</v>
      </c>
      <c r="AG340" s="238">
        <f>MAX(H340/H370)</f>
        <v>2.2442487758745053E-2</v>
      </c>
      <c r="AH340" s="235">
        <f t="shared" si="62"/>
        <v>254738.52076464251</v>
      </c>
    </row>
    <row r="341" spans="1:34" ht="15" customHeight="1" x14ac:dyDescent="0.2">
      <c r="A341" s="962" t="s">
        <v>939</v>
      </c>
      <c r="B341" s="1146">
        <v>13.14</v>
      </c>
      <c r="C341" s="1146">
        <v>8</v>
      </c>
      <c r="D341" s="1146">
        <v>0</v>
      </c>
      <c r="E341" s="1146">
        <v>0</v>
      </c>
      <c r="F341" s="1146">
        <v>0</v>
      </c>
      <c r="G341" s="1146">
        <v>5</v>
      </c>
      <c r="H341" s="1146">
        <v>8.14</v>
      </c>
      <c r="I341" s="1146">
        <v>21.14</v>
      </c>
      <c r="J341" s="1147">
        <v>81.400000000000006</v>
      </c>
      <c r="K341" s="1147">
        <v>10</v>
      </c>
      <c r="L341" s="1066" t="s">
        <v>988</v>
      </c>
      <c r="M341" s="959">
        <v>4350000</v>
      </c>
      <c r="N341" s="959">
        <v>15089012.84608</v>
      </c>
      <c r="O341" s="1149">
        <v>11350725.619328</v>
      </c>
      <c r="P341" s="9"/>
      <c r="Q341" s="9"/>
      <c r="R341" s="9"/>
      <c r="S341" s="9"/>
      <c r="U341" s="9"/>
      <c r="W341" s="9"/>
      <c r="X341" s="9"/>
      <c r="Y341" s="9"/>
      <c r="Z341" s="9"/>
      <c r="AA341" s="9"/>
      <c r="AB341" s="9"/>
      <c r="AC341" s="237">
        <f>MAX(J341/J370)</f>
        <v>2.9978933722249229E-3</v>
      </c>
      <c r="AD341" s="235">
        <f t="shared" si="60"/>
        <v>13040.836169178414</v>
      </c>
      <c r="AE341" s="238">
        <f>MAX(I341/I370)</f>
        <v>5.3813024431978588E-3</v>
      </c>
      <c r="AF341" s="235">
        <f t="shared" si="61"/>
        <v>81198.541694054176</v>
      </c>
      <c r="AG341" s="238">
        <f>MAX(H341/H370)</f>
        <v>3.6536370071236948E-3</v>
      </c>
      <c r="AH341" s="235">
        <f t="shared" si="62"/>
        <v>41471.4311804838</v>
      </c>
    </row>
    <row r="342" spans="1:34" ht="15" customHeight="1" x14ac:dyDescent="0.2">
      <c r="A342" s="962" t="s">
        <v>365</v>
      </c>
      <c r="B342" s="956">
        <v>20</v>
      </c>
      <c r="C342" s="1146">
        <v>3</v>
      </c>
      <c r="D342" s="1146">
        <v>5</v>
      </c>
      <c r="E342" s="1146">
        <v>2</v>
      </c>
      <c r="F342" s="1146">
        <v>0</v>
      </c>
      <c r="G342" s="1146">
        <v>6</v>
      </c>
      <c r="H342" s="1146">
        <v>7</v>
      </c>
      <c r="I342" s="1146">
        <v>21</v>
      </c>
      <c r="J342" s="1147">
        <v>70</v>
      </c>
      <c r="K342" s="1147">
        <v>10</v>
      </c>
      <c r="L342" s="1066" t="s">
        <v>988</v>
      </c>
      <c r="M342" s="959">
        <v>4350000</v>
      </c>
      <c r="N342" s="959">
        <v>15089012.84608</v>
      </c>
      <c r="O342" s="1149">
        <v>11350725.619328</v>
      </c>
      <c r="P342" s="9"/>
      <c r="Q342" s="9"/>
      <c r="R342" s="9"/>
      <c r="S342" s="9"/>
      <c r="U342" s="9"/>
      <c r="W342" s="9"/>
      <c r="X342" s="9"/>
      <c r="Y342" s="9"/>
      <c r="Z342" s="9"/>
      <c r="AA342" s="9"/>
      <c r="AB342" s="9"/>
      <c r="AC342" s="237">
        <f>MAX(J342/J370)</f>
        <v>2.578040983485806E-3</v>
      </c>
      <c r="AD342" s="235">
        <f t="shared" si="60"/>
        <v>11214.478278163257</v>
      </c>
      <c r="AE342" s="238">
        <f>MAX(I342/I370)</f>
        <v>5.3456646786733692E-3</v>
      </c>
      <c r="AF342" s="235">
        <f t="shared" si="61"/>
        <v>80660.803007338574</v>
      </c>
      <c r="AG342" s="238">
        <f>MAX(H342/H370)</f>
        <v>3.1419482862243076E-3</v>
      </c>
      <c r="AH342" s="235">
        <f t="shared" si="62"/>
        <v>35663.392907049951</v>
      </c>
    </row>
    <row r="343" spans="1:34" ht="15" customHeight="1" x14ac:dyDescent="0.2">
      <c r="A343" s="962" t="s">
        <v>366</v>
      </c>
      <c r="B343" s="956">
        <v>0</v>
      </c>
      <c r="C343" s="1146"/>
      <c r="D343" s="1146"/>
      <c r="E343" s="1146"/>
      <c r="F343" s="1146"/>
      <c r="G343" s="1146">
        <v>0</v>
      </c>
      <c r="H343" s="1146">
        <v>0</v>
      </c>
      <c r="I343" s="1146">
        <v>0</v>
      </c>
      <c r="J343" s="1147">
        <v>0</v>
      </c>
      <c r="K343" s="1147"/>
      <c r="L343" s="1148"/>
      <c r="M343" s="959"/>
      <c r="N343" s="959"/>
      <c r="O343" s="1149"/>
      <c r="P343" s="9"/>
      <c r="Q343" s="9"/>
      <c r="R343" s="9"/>
      <c r="S343" s="9"/>
      <c r="U343" s="9"/>
      <c r="W343" s="9"/>
      <c r="X343" s="9"/>
      <c r="Y343" s="9"/>
      <c r="Z343" s="9"/>
      <c r="AA343" s="9"/>
      <c r="AB343" s="9"/>
      <c r="AC343" s="237">
        <f>MAX(J343/J370)</f>
        <v>0</v>
      </c>
      <c r="AD343" s="235">
        <f t="shared" si="60"/>
        <v>0</v>
      </c>
      <c r="AE343" s="238">
        <f>MAX(I343/I370)</f>
        <v>0</v>
      </c>
      <c r="AF343" s="235">
        <f t="shared" si="61"/>
        <v>0</v>
      </c>
      <c r="AG343" s="238">
        <f>MAX(H343/H370)</f>
        <v>0</v>
      </c>
      <c r="AH343" s="235">
        <f t="shared" si="62"/>
        <v>0</v>
      </c>
    </row>
    <row r="344" spans="1:34" ht="15" customHeight="1" x14ac:dyDescent="0.2">
      <c r="A344" s="962" t="s">
        <v>367</v>
      </c>
      <c r="B344" s="956">
        <v>0</v>
      </c>
      <c r="C344" s="1146"/>
      <c r="D344" s="1146"/>
      <c r="E344" s="1146"/>
      <c r="F344" s="1146"/>
      <c r="G344" s="1146">
        <v>0</v>
      </c>
      <c r="H344" s="1146">
        <v>0</v>
      </c>
      <c r="I344" s="1146">
        <v>0</v>
      </c>
      <c r="J344" s="1147">
        <v>0</v>
      </c>
      <c r="K344" s="1147"/>
      <c r="L344" s="1148"/>
      <c r="M344" s="959"/>
      <c r="N344" s="959"/>
      <c r="O344" s="1149"/>
      <c r="P344" s="9"/>
      <c r="Q344" s="9"/>
      <c r="R344" s="9"/>
      <c r="S344" s="9"/>
      <c r="U344" s="9"/>
      <c r="W344" s="9"/>
      <c r="X344" s="9"/>
      <c r="Y344" s="9"/>
      <c r="Z344" s="9"/>
      <c r="AA344" s="9"/>
      <c r="AB344" s="9"/>
      <c r="AC344" s="237">
        <f>MAX(J344/J370)</f>
        <v>0</v>
      </c>
      <c r="AD344" s="235">
        <f t="shared" si="60"/>
        <v>0</v>
      </c>
      <c r="AE344" s="238">
        <f>MAX(I344/I370)</f>
        <v>0</v>
      </c>
      <c r="AF344" s="235">
        <f t="shared" si="61"/>
        <v>0</v>
      </c>
      <c r="AG344" s="238">
        <f>MAX(H344/H370)</f>
        <v>0</v>
      </c>
      <c r="AH344" s="235">
        <f t="shared" si="62"/>
        <v>0</v>
      </c>
    </row>
    <row r="345" spans="1:34" ht="15" customHeight="1" x14ac:dyDescent="0.2">
      <c r="A345" s="434" t="s">
        <v>940</v>
      </c>
      <c r="B345" s="1002">
        <v>383.53999999999996</v>
      </c>
      <c r="C345" s="1002">
        <v>69</v>
      </c>
      <c r="D345" s="1002">
        <v>0</v>
      </c>
      <c r="E345" s="1002">
        <v>18</v>
      </c>
      <c r="F345" s="1002">
        <v>1</v>
      </c>
      <c r="G345" s="1002">
        <v>203</v>
      </c>
      <c r="H345" s="1002">
        <v>161.54</v>
      </c>
      <c r="I345" s="1002">
        <v>433.53999999999996</v>
      </c>
      <c r="J345" s="1150">
        <v>1608.28</v>
      </c>
      <c r="K345" s="1150">
        <v>9.9559242292930552</v>
      </c>
      <c r="L345" s="1152"/>
      <c r="M345" s="996"/>
      <c r="N345" s="996"/>
      <c r="O345" s="1153"/>
      <c r="P345" s="9"/>
      <c r="Q345" s="9"/>
      <c r="R345" s="9"/>
      <c r="S345" s="9"/>
      <c r="U345" s="9"/>
      <c r="W345" s="9"/>
      <c r="X345" s="9"/>
      <c r="Y345" s="9"/>
      <c r="Z345" s="9"/>
      <c r="AA345" s="9"/>
      <c r="AB345" s="9"/>
      <c r="AC345" s="1157"/>
      <c r="AD345" s="1156"/>
      <c r="AE345" s="1158"/>
      <c r="AF345" s="1156"/>
      <c r="AG345" s="1158"/>
      <c r="AH345" s="1156"/>
    </row>
    <row r="346" spans="1:34" ht="15" customHeight="1" x14ac:dyDescent="0.2">
      <c r="A346" s="962" t="s">
        <v>369</v>
      </c>
      <c r="B346" s="1146">
        <v>198</v>
      </c>
      <c r="C346" s="1146">
        <v>45</v>
      </c>
      <c r="D346" s="1146">
        <v>0</v>
      </c>
      <c r="E346" s="1146">
        <v>8</v>
      </c>
      <c r="F346" s="1146">
        <v>1</v>
      </c>
      <c r="G346" s="1146">
        <v>104</v>
      </c>
      <c r="H346" s="1146">
        <v>85</v>
      </c>
      <c r="I346" s="1146">
        <v>234</v>
      </c>
      <c r="J346" s="1147">
        <v>1105</v>
      </c>
      <c r="K346" s="1147">
        <v>13</v>
      </c>
      <c r="L346" s="1066" t="s">
        <v>988</v>
      </c>
      <c r="M346" s="959">
        <v>4350000</v>
      </c>
      <c r="N346" s="959">
        <v>15089012.84608</v>
      </c>
      <c r="O346" s="1149">
        <v>11350725.619328</v>
      </c>
      <c r="P346" s="9"/>
      <c r="Q346" s="9"/>
      <c r="R346" s="9"/>
      <c r="S346" s="9"/>
      <c r="U346" s="9"/>
      <c r="W346" s="9"/>
      <c r="X346" s="9"/>
      <c r="Y346" s="9"/>
      <c r="Z346" s="9"/>
      <c r="AA346" s="9"/>
      <c r="AB346" s="9"/>
      <c r="AC346" s="237">
        <f>MAX(J346/J370)</f>
        <v>4.0696218382168796E-2</v>
      </c>
      <c r="AD346" s="235">
        <f>MAX(M346*AC346)</f>
        <v>177028.54996243425</v>
      </c>
      <c r="AE346" s="238">
        <f>MAX(I346/I370)</f>
        <v>5.9565977848074686E-2</v>
      </c>
      <c r="AF346" s="235">
        <f>MAX(N346*AE346)</f>
        <v>898791.80493891565</v>
      </c>
      <c r="AG346" s="238">
        <f>MAX(H346/H370)</f>
        <v>3.8152229189866591E-2</v>
      </c>
      <c r="AH346" s="235">
        <f>MAX(O346*AG346)</f>
        <v>433055.48529989226</v>
      </c>
    </row>
    <row r="347" spans="1:34" ht="15" customHeight="1" x14ac:dyDescent="0.2">
      <c r="A347" s="962" t="s">
        <v>370</v>
      </c>
      <c r="B347" s="1146">
        <v>134.04</v>
      </c>
      <c r="C347" s="1146">
        <v>18</v>
      </c>
      <c r="D347" s="1146">
        <v>0</v>
      </c>
      <c r="E347" s="1146">
        <v>10</v>
      </c>
      <c r="F347" s="1146">
        <v>0</v>
      </c>
      <c r="G347" s="1146">
        <v>80</v>
      </c>
      <c r="H347" s="1146">
        <v>44.039999999999992</v>
      </c>
      <c r="I347" s="1146">
        <v>142.04</v>
      </c>
      <c r="J347" s="1147">
        <v>308.27999999999997</v>
      </c>
      <c r="K347" s="1147">
        <v>7</v>
      </c>
      <c r="L347" s="1066" t="s">
        <v>988</v>
      </c>
      <c r="M347" s="959">
        <v>4350000</v>
      </c>
      <c r="N347" s="959">
        <v>15089012.84608</v>
      </c>
      <c r="O347" s="1149">
        <v>11350725.619328</v>
      </c>
      <c r="P347" s="9"/>
      <c r="Q347" s="9"/>
      <c r="R347" s="9"/>
      <c r="S347" s="9"/>
      <c r="U347" s="9"/>
      <c r="W347" s="9"/>
      <c r="X347" s="9"/>
      <c r="Y347" s="9"/>
      <c r="Z347" s="9"/>
      <c r="AA347" s="9"/>
      <c r="AB347" s="9"/>
      <c r="AC347" s="237">
        <f>MAX(J347/J370)</f>
        <v>1.1353692491271489E-2</v>
      </c>
      <c r="AD347" s="235">
        <f>MAX(M347*AC347)</f>
        <v>49388.562337030977</v>
      </c>
      <c r="AE347" s="238">
        <f>MAX(I347/I370)</f>
        <v>3.6157057664703111E-2</v>
      </c>
      <c r="AF347" s="235">
        <f>MAX(N347*AE347)</f>
        <v>545574.30757916055</v>
      </c>
      <c r="AG347" s="238">
        <f>MAX(H347/H370)</f>
        <v>1.976734321790264E-2</v>
      </c>
      <c r="AH347" s="235">
        <f>MAX(O347*AG347)</f>
        <v>224373.68908949709</v>
      </c>
    </row>
    <row r="348" spans="1:34" ht="15" customHeight="1" x14ac:dyDescent="0.2">
      <c r="A348" s="962" t="s">
        <v>371</v>
      </c>
      <c r="B348" s="1146">
        <v>23.5</v>
      </c>
      <c r="C348" s="1146">
        <v>6</v>
      </c>
      <c r="D348" s="1146">
        <v>0</v>
      </c>
      <c r="E348" s="1146">
        <v>0</v>
      </c>
      <c r="F348" s="1146">
        <v>0</v>
      </c>
      <c r="G348" s="1146">
        <v>15</v>
      </c>
      <c r="H348" s="1146">
        <v>8.5</v>
      </c>
      <c r="I348" s="1146">
        <v>29.5</v>
      </c>
      <c r="J348" s="1147">
        <v>51</v>
      </c>
      <c r="K348" s="1147">
        <v>6</v>
      </c>
      <c r="L348" s="1066" t="s">
        <v>988</v>
      </c>
      <c r="M348" s="959">
        <v>4350000</v>
      </c>
      <c r="N348" s="959">
        <v>15089012.84608</v>
      </c>
      <c r="O348" s="1149">
        <v>11350725.619328</v>
      </c>
      <c r="P348" s="9"/>
      <c r="Q348" s="9"/>
      <c r="R348" s="9"/>
      <c r="S348" s="9"/>
      <c r="U348" s="9"/>
      <c r="W348" s="9"/>
      <c r="X348" s="9"/>
      <c r="Y348" s="9"/>
      <c r="Z348" s="9"/>
      <c r="AA348" s="9"/>
      <c r="AB348" s="9"/>
      <c r="AC348" s="237">
        <f>MAX(J348/J370)</f>
        <v>1.8782870022539444E-3</v>
      </c>
      <c r="AD348" s="235">
        <f>MAX(M348*AC348)</f>
        <v>8170.5484598046578</v>
      </c>
      <c r="AE348" s="238">
        <f>MAX(I348/I370)</f>
        <v>7.5093860962316371E-3</v>
      </c>
      <c r="AF348" s="235">
        <f>MAX(N348*AE348)</f>
        <v>113309.22327221371</v>
      </c>
      <c r="AG348" s="238">
        <f>MAX(H348/H370)</f>
        <v>3.815222918986659E-3</v>
      </c>
      <c r="AH348" s="235">
        <f>MAX(O348*AG348)</f>
        <v>43305.548529989224</v>
      </c>
    </row>
    <row r="349" spans="1:34" ht="15" customHeight="1" x14ac:dyDescent="0.2">
      <c r="A349" s="962" t="s">
        <v>372</v>
      </c>
      <c r="B349" s="1146">
        <v>28</v>
      </c>
      <c r="C349" s="1146">
        <v>0</v>
      </c>
      <c r="D349" s="1146">
        <v>0</v>
      </c>
      <c r="E349" s="1146">
        <v>0</v>
      </c>
      <c r="F349" s="1146">
        <v>0</v>
      </c>
      <c r="G349" s="1146">
        <v>4</v>
      </c>
      <c r="H349" s="1146">
        <v>24</v>
      </c>
      <c r="I349" s="1146">
        <v>28</v>
      </c>
      <c r="J349" s="1147">
        <v>144</v>
      </c>
      <c r="K349" s="1147">
        <v>6</v>
      </c>
      <c r="L349" s="1066" t="s">
        <v>988</v>
      </c>
      <c r="M349" s="959">
        <v>4350000</v>
      </c>
      <c r="N349" s="959">
        <v>15089012.84608</v>
      </c>
      <c r="O349" s="1149">
        <v>11350725.619328</v>
      </c>
      <c r="P349" s="9"/>
      <c r="R349" s="9"/>
      <c r="U349" s="9"/>
      <c r="V349" s="9"/>
      <c r="W349" s="9"/>
      <c r="X349" s="9"/>
      <c r="Y349" s="9"/>
      <c r="Z349" s="9"/>
      <c r="AA349" s="9"/>
      <c r="AB349" s="9"/>
      <c r="AC349" s="237">
        <f>MAX(J349/J370)</f>
        <v>5.3033985945993723E-3</v>
      </c>
      <c r="AD349" s="235">
        <f>MAX(M349*AC349)</f>
        <v>23069.78388650727</v>
      </c>
      <c r="AE349" s="238">
        <f>MAX(I349/I370)</f>
        <v>7.1275529048978256E-3</v>
      </c>
      <c r="AF349" s="235">
        <f>MAX(N349*AE349)</f>
        <v>107547.7373431181</v>
      </c>
      <c r="AG349" s="238">
        <f>MAX(H349/H370)</f>
        <v>1.0772394124197626E-2</v>
      </c>
      <c r="AH349" s="235">
        <f>MAX(O349*AG349)</f>
        <v>122274.48996702839</v>
      </c>
    </row>
    <row r="350" spans="1:34" ht="15" customHeight="1" x14ac:dyDescent="0.2">
      <c r="A350" s="962" t="s">
        <v>373</v>
      </c>
      <c r="B350" s="1146">
        <v>0</v>
      </c>
      <c r="C350" s="1146">
        <v>0</v>
      </c>
      <c r="D350" s="1146">
        <v>0</v>
      </c>
      <c r="E350" s="1146">
        <v>0</v>
      </c>
      <c r="F350" s="1146">
        <v>0</v>
      </c>
      <c r="G350" s="1146">
        <v>0</v>
      </c>
      <c r="H350" s="1146">
        <v>0</v>
      </c>
      <c r="I350" s="1146">
        <v>0</v>
      </c>
      <c r="J350" s="1147">
        <v>0</v>
      </c>
      <c r="K350" s="1147">
        <v>0</v>
      </c>
      <c r="L350" s="1066"/>
      <c r="M350" s="959"/>
      <c r="N350" s="959"/>
      <c r="O350" s="1149"/>
      <c r="P350" s="9"/>
      <c r="R350" s="9"/>
      <c r="U350" s="9"/>
      <c r="V350" s="9"/>
      <c r="W350" s="9"/>
      <c r="X350" s="9"/>
      <c r="Y350" s="9"/>
      <c r="Z350" s="9"/>
      <c r="AA350" s="9"/>
      <c r="AB350" s="9"/>
      <c r="AC350" s="237">
        <f>MAX(J350/J370)</f>
        <v>0</v>
      </c>
      <c r="AD350" s="235">
        <f>MAX(M350*AC350)</f>
        <v>0</v>
      </c>
      <c r="AE350" s="238">
        <f>MAX(I350/I370)</f>
        <v>0</v>
      </c>
      <c r="AF350" s="235">
        <f>MAX(N350*AE350)</f>
        <v>0</v>
      </c>
      <c r="AG350" s="238">
        <f>MAX(H350/H370)</f>
        <v>0</v>
      </c>
      <c r="AH350" s="235">
        <f>MAX(O350*AG350)</f>
        <v>0</v>
      </c>
    </row>
    <row r="351" spans="1:34" ht="15" customHeight="1" x14ac:dyDescent="0.2">
      <c r="A351" s="1154" t="s">
        <v>374</v>
      </c>
      <c r="B351" s="1002">
        <v>277.27</v>
      </c>
      <c r="C351" s="1002">
        <v>80</v>
      </c>
      <c r="D351" s="1002">
        <v>4.5</v>
      </c>
      <c r="E351" s="1002">
        <v>0</v>
      </c>
      <c r="F351" s="1002">
        <v>19</v>
      </c>
      <c r="G351" s="1002">
        <v>130</v>
      </c>
      <c r="H351" s="1002">
        <v>123.76999999999998</v>
      </c>
      <c r="I351" s="1002">
        <v>338.27</v>
      </c>
      <c r="J351" s="1150">
        <v>1319.02</v>
      </c>
      <c r="K351" s="1150">
        <v>10.657025127252163</v>
      </c>
      <c r="L351" s="1152"/>
      <c r="M351" s="996"/>
      <c r="N351" s="996"/>
      <c r="O351" s="1153"/>
      <c r="P351" s="9"/>
      <c r="R351" s="9"/>
      <c r="U351" s="9"/>
      <c r="V351" s="9"/>
      <c r="W351" s="9"/>
      <c r="X351" s="9"/>
      <c r="Y351" s="9"/>
      <c r="Z351" s="9"/>
      <c r="AA351" s="9"/>
      <c r="AB351" s="9"/>
      <c r="AC351" s="1157"/>
      <c r="AD351" s="1156"/>
      <c r="AE351" s="1158"/>
      <c r="AF351" s="1156"/>
      <c r="AG351" s="1158"/>
      <c r="AH351" s="1156"/>
    </row>
    <row r="352" spans="1:34" ht="15" customHeight="1" x14ac:dyDescent="0.2">
      <c r="A352" s="962" t="s">
        <v>375</v>
      </c>
      <c r="B352" s="1146">
        <v>41.82</v>
      </c>
      <c r="C352" s="1146">
        <v>7</v>
      </c>
      <c r="D352" s="1146">
        <v>0</v>
      </c>
      <c r="E352" s="1146">
        <v>0</v>
      </c>
      <c r="F352" s="1146">
        <v>0</v>
      </c>
      <c r="G352" s="1146">
        <v>27</v>
      </c>
      <c r="H352" s="1146">
        <v>14.82</v>
      </c>
      <c r="I352" s="1146">
        <v>48.82</v>
      </c>
      <c r="J352" s="1147">
        <v>148.19999999999999</v>
      </c>
      <c r="K352" s="1147">
        <v>10</v>
      </c>
      <c r="L352" s="1066" t="s">
        <v>988</v>
      </c>
      <c r="M352" s="959">
        <v>4350000</v>
      </c>
      <c r="N352" s="959">
        <v>15089012.84608</v>
      </c>
      <c r="O352" s="1149">
        <v>11350725.619328</v>
      </c>
      <c r="P352" s="9"/>
      <c r="R352" s="9"/>
      <c r="U352" s="9"/>
      <c r="V352" s="9"/>
      <c r="W352" s="9"/>
      <c r="X352" s="9"/>
      <c r="Y352" s="9"/>
      <c r="Z352" s="9"/>
      <c r="AA352" s="9"/>
      <c r="AB352" s="9"/>
      <c r="AC352" s="237">
        <f>MAX(J352/J370)</f>
        <v>5.4580810536085204E-3</v>
      </c>
      <c r="AD352" s="235">
        <f t="shared" ref="AD352:AD359" si="63">MAX(M352*AC352)</f>
        <v>23742.652583197065</v>
      </c>
      <c r="AE352" s="238">
        <f>MAX(I352/I370)</f>
        <v>1.2427397600611137E-2</v>
      </c>
      <c r="AF352" s="235">
        <f t="shared" ref="AF352:AF359" si="64">MAX(N352*AE352)</f>
        <v>187517.16203896521</v>
      </c>
      <c r="AG352" s="238">
        <f>MAX(H352/H370)</f>
        <v>6.6519533716920334E-3</v>
      </c>
      <c r="AH352" s="235">
        <f t="shared" ref="AH352:AH359" si="65">MAX(O352*AG352)</f>
        <v>75504.497554640038</v>
      </c>
    </row>
    <row r="353" spans="1:34" ht="15" customHeight="1" x14ac:dyDescent="0.2">
      <c r="A353" s="962" t="s">
        <v>376</v>
      </c>
      <c r="B353" s="1146">
        <v>0</v>
      </c>
      <c r="C353" s="1146">
        <v>0</v>
      </c>
      <c r="D353" s="1146">
        <v>0</v>
      </c>
      <c r="E353" s="1146">
        <v>0</v>
      </c>
      <c r="F353" s="1146">
        <v>0</v>
      </c>
      <c r="G353" s="1146">
        <v>0</v>
      </c>
      <c r="H353" s="1146">
        <v>0</v>
      </c>
      <c r="I353" s="1146">
        <v>0</v>
      </c>
      <c r="J353" s="1147">
        <v>0</v>
      </c>
      <c r="K353" s="1147">
        <v>0</v>
      </c>
      <c r="L353" s="1066"/>
      <c r="M353" s="959"/>
      <c r="N353" s="959"/>
      <c r="O353" s="1149"/>
      <c r="P353" s="9"/>
      <c r="R353" s="9"/>
      <c r="U353" s="9"/>
      <c r="V353" s="9"/>
      <c r="W353" s="9"/>
      <c r="X353" s="9"/>
      <c r="Y353" s="9"/>
      <c r="Z353" s="9"/>
      <c r="AA353" s="9"/>
      <c r="AB353" s="9"/>
      <c r="AC353" s="237">
        <f>MAX(J353/J370)</f>
        <v>0</v>
      </c>
      <c r="AD353" s="235">
        <f t="shared" si="63"/>
        <v>0</v>
      </c>
      <c r="AE353" s="238">
        <f>MAX(I353/I370)</f>
        <v>0</v>
      </c>
      <c r="AF353" s="235">
        <f t="shared" si="64"/>
        <v>0</v>
      </c>
      <c r="AG353" s="238">
        <f>MAX(H353/H370)</f>
        <v>0</v>
      </c>
      <c r="AH353" s="235">
        <f t="shared" si="65"/>
        <v>0</v>
      </c>
    </row>
    <row r="354" spans="1:34" ht="15" customHeight="1" x14ac:dyDescent="0.2">
      <c r="A354" s="962" t="s">
        <v>377</v>
      </c>
      <c r="B354" s="1146">
        <v>50</v>
      </c>
      <c r="C354" s="1146"/>
      <c r="D354" s="1146"/>
      <c r="E354" s="1146"/>
      <c r="F354" s="1146">
        <v>9</v>
      </c>
      <c r="G354" s="1146">
        <v>27</v>
      </c>
      <c r="H354" s="1146">
        <v>14</v>
      </c>
      <c r="I354" s="1146">
        <v>41</v>
      </c>
      <c r="J354" s="1147">
        <v>112</v>
      </c>
      <c r="K354" s="1147">
        <v>8</v>
      </c>
      <c r="L354" s="1066" t="s">
        <v>988</v>
      </c>
      <c r="M354" s="959">
        <v>4350000</v>
      </c>
      <c r="N354" s="959">
        <v>15089012.84608</v>
      </c>
      <c r="O354" s="1149">
        <v>11350725.619328</v>
      </c>
      <c r="P354" s="9"/>
      <c r="R354" s="9"/>
      <c r="U354" s="9"/>
      <c r="V354" s="9"/>
      <c r="W354" s="9"/>
      <c r="X354" s="9"/>
      <c r="Y354" s="9"/>
      <c r="Z354" s="9"/>
      <c r="AA354" s="9"/>
      <c r="AB354" s="9"/>
      <c r="AC354" s="237">
        <f>MAX(J354/J370)</f>
        <v>4.1248655735772891E-3</v>
      </c>
      <c r="AD354" s="235">
        <f t="shared" si="63"/>
        <v>17943.165245061209</v>
      </c>
      <c r="AE354" s="238">
        <f>MAX(I354/I370)</f>
        <v>1.043677389645753E-2</v>
      </c>
      <c r="AF354" s="235">
        <f t="shared" si="64"/>
        <v>157480.61539528007</v>
      </c>
      <c r="AG354" s="238">
        <f>MAX(H354/H370)</f>
        <v>6.2838965724486152E-3</v>
      </c>
      <c r="AH354" s="235">
        <f t="shared" si="65"/>
        <v>71326.785814099901</v>
      </c>
    </row>
    <row r="355" spans="1:34" ht="15" customHeight="1" x14ac:dyDescent="0.2">
      <c r="A355" s="962" t="s">
        <v>378</v>
      </c>
      <c r="B355" s="1146">
        <v>43.26</v>
      </c>
      <c r="C355" s="1146">
        <v>11</v>
      </c>
      <c r="D355" s="1146">
        <v>0</v>
      </c>
      <c r="E355" s="1146">
        <v>0</v>
      </c>
      <c r="F355" s="1146">
        <v>0</v>
      </c>
      <c r="G355" s="1146">
        <v>10</v>
      </c>
      <c r="H355" s="1146">
        <v>33.26</v>
      </c>
      <c r="I355" s="1146">
        <v>54.26</v>
      </c>
      <c r="J355" s="1147">
        <v>332.59999999999997</v>
      </c>
      <c r="K355" s="1147">
        <v>10</v>
      </c>
      <c r="L355" s="1066" t="s">
        <v>988</v>
      </c>
      <c r="M355" s="959">
        <v>4350000</v>
      </c>
      <c r="N355" s="959">
        <v>15089012.84608</v>
      </c>
      <c r="O355" s="1149">
        <v>11350725.619328</v>
      </c>
      <c r="P355" s="9"/>
      <c r="R355" s="9"/>
      <c r="U355" s="9"/>
      <c r="V355" s="9"/>
      <c r="W355" s="9"/>
      <c r="X355" s="9"/>
      <c r="Y355" s="9"/>
      <c r="Z355" s="9"/>
      <c r="AA355" s="9"/>
      <c r="AB355" s="9"/>
      <c r="AC355" s="237">
        <f>MAX(J355/J370)</f>
        <v>1.2249377587248271E-2</v>
      </c>
      <c r="AD355" s="235">
        <f t="shared" si="63"/>
        <v>53284.792504529978</v>
      </c>
      <c r="AE355" s="238">
        <f>MAX(I355/I370)</f>
        <v>1.3812179307848428E-2</v>
      </c>
      <c r="AF355" s="235">
        <f t="shared" si="64"/>
        <v>208412.15100848529</v>
      </c>
      <c r="AG355" s="238">
        <f>MAX(H355/H370)</f>
        <v>1.4928742857117209E-2</v>
      </c>
      <c r="AH355" s="235">
        <f t="shared" si="65"/>
        <v>169452.06401264018</v>
      </c>
    </row>
    <row r="356" spans="1:34" ht="15" customHeight="1" x14ac:dyDescent="0.2">
      <c r="A356" s="962" t="s">
        <v>379</v>
      </c>
      <c r="B356" s="1146">
        <v>83</v>
      </c>
      <c r="C356" s="1146">
        <v>5</v>
      </c>
      <c r="D356" s="1146"/>
      <c r="E356" s="1146"/>
      <c r="F356" s="1146">
        <v>10</v>
      </c>
      <c r="G356" s="1146">
        <v>45</v>
      </c>
      <c r="H356" s="1146">
        <v>28</v>
      </c>
      <c r="I356" s="1146">
        <v>78</v>
      </c>
      <c r="J356" s="1147">
        <v>280</v>
      </c>
      <c r="K356" s="1147">
        <v>10</v>
      </c>
      <c r="L356" s="1066" t="s">
        <v>988</v>
      </c>
      <c r="M356" s="959">
        <v>4350000</v>
      </c>
      <c r="N356" s="959">
        <v>15089012.84608</v>
      </c>
      <c r="O356" s="1149">
        <v>11350725.619328</v>
      </c>
      <c r="P356" s="9"/>
      <c r="R356" s="9"/>
      <c r="U356" s="9"/>
      <c r="V356" s="9"/>
      <c r="W356" s="9"/>
      <c r="X356" s="9"/>
      <c r="Y356" s="9"/>
      <c r="Z356" s="9"/>
      <c r="AA356" s="9"/>
      <c r="AB356" s="9"/>
      <c r="AC356" s="237">
        <f>MAX(J356/J370)</f>
        <v>1.0312163933943224E-2</v>
      </c>
      <c r="AD356" s="235">
        <f t="shared" si="63"/>
        <v>44857.913112653026</v>
      </c>
      <c r="AE356" s="238">
        <f>MAX(I356/I370)</f>
        <v>1.9855325949358228E-2</v>
      </c>
      <c r="AF356" s="235">
        <f t="shared" si="64"/>
        <v>299597.26831297186</v>
      </c>
      <c r="AG356" s="238">
        <f>MAX(H356/H370)</f>
        <v>1.256779314489723E-2</v>
      </c>
      <c r="AH356" s="235">
        <f t="shared" si="65"/>
        <v>142653.5716281998</v>
      </c>
    </row>
    <row r="357" spans="1:34" ht="15" customHeight="1" x14ac:dyDescent="0.2">
      <c r="A357" s="962" t="s">
        <v>380</v>
      </c>
      <c r="B357" s="956">
        <v>48.12</v>
      </c>
      <c r="C357" s="956">
        <v>8</v>
      </c>
      <c r="D357" s="956">
        <v>0</v>
      </c>
      <c r="E357" s="956">
        <v>0</v>
      </c>
      <c r="F357" s="956">
        <v>0</v>
      </c>
      <c r="G357" s="956">
        <v>21</v>
      </c>
      <c r="H357" s="1146">
        <v>27.119999999999997</v>
      </c>
      <c r="I357" s="1146">
        <v>56.12</v>
      </c>
      <c r="J357" s="1147">
        <v>406.79999999999995</v>
      </c>
      <c r="K357" s="1147">
        <v>15</v>
      </c>
      <c r="L357" s="1066" t="s">
        <v>988</v>
      </c>
      <c r="M357" s="959">
        <v>4350000</v>
      </c>
      <c r="N357" s="959">
        <v>15089012.84608</v>
      </c>
      <c r="O357" s="1149">
        <v>11350725.619328</v>
      </c>
      <c r="P357" s="9"/>
      <c r="R357" s="9"/>
      <c r="U357" s="9"/>
      <c r="V357" s="9"/>
      <c r="W357" s="9"/>
      <c r="X357" s="9"/>
      <c r="Y357" s="9"/>
      <c r="Z357" s="9"/>
      <c r="AA357" s="9"/>
      <c r="AB357" s="9"/>
      <c r="AC357" s="237">
        <f>MAX(J357/J370)</f>
        <v>1.4982101029743225E-2</v>
      </c>
      <c r="AD357" s="235">
        <f t="shared" si="63"/>
        <v>65172.139479383026</v>
      </c>
      <c r="AE357" s="238">
        <f>MAX(I357/I370)</f>
        <v>1.4285652465102355E-2</v>
      </c>
      <c r="AF357" s="235">
        <f t="shared" si="64"/>
        <v>215556.39356056385</v>
      </c>
      <c r="AG357" s="238">
        <f>MAX(H357/H370)</f>
        <v>1.2172805360343316E-2</v>
      </c>
      <c r="AH357" s="235">
        <f t="shared" si="65"/>
        <v>138170.17366274208</v>
      </c>
    </row>
    <row r="358" spans="1:34" ht="15" customHeight="1" x14ac:dyDescent="0.2">
      <c r="A358" s="962" t="s">
        <v>381</v>
      </c>
      <c r="B358" s="956">
        <v>0</v>
      </c>
      <c r="C358" s="956">
        <v>6</v>
      </c>
      <c r="D358" s="956"/>
      <c r="E358" s="956"/>
      <c r="F358" s="956"/>
      <c r="G358" s="956">
        <v>0</v>
      </c>
      <c r="H358" s="1146">
        <v>0</v>
      </c>
      <c r="I358" s="1146">
        <v>6</v>
      </c>
      <c r="J358" s="1147">
        <v>0</v>
      </c>
      <c r="K358" s="1147"/>
      <c r="L358" s="1066"/>
      <c r="M358" s="959"/>
      <c r="N358" s="959">
        <v>15089012.84608</v>
      </c>
      <c r="O358" s="1149">
        <v>0</v>
      </c>
      <c r="P358" s="9"/>
      <c r="R358" s="9"/>
      <c r="U358" s="9"/>
      <c r="V358" s="9"/>
      <c r="W358" s="9"/>
      <c r="X358" s="9"/>
      <c r="Y358" s="9"/>
      <c r="Z358" s="9"/>
      <c r="AA358" s="9"/>
      <c r="AB358" s="9"/>
      <c r="AC358" s="237">
        <f>MAX(J358/J370)</f>
        <v>0</v>
      </c>
      <c r="AD358" s="235">
        <f t="shared" si="63"/>
        <v>0</v>
      </c>
      <c r="AE358" s="238">
        <f>MAX(I358/I370)</f>
        <v>1.5273327653352483E-3</v>
      </c>
      <c r="AF358" s="235">
        <f t="shared" si="64"/>
        <v>23045.943716382451</v>
      </c>
      <c r="AG358" s="238">
        <f>MAX(H358/H370)</f>
        <v>0</v>
      </c>
      <c r="AH358" s="235">
        <f t="shared" si="65"/>
        <v>0</v>
      </c>
    </row>
    <row r="359" spans="1:34" ht="15" customHeight="1" x14ac:dyDescent="0.2">
      <c r="A359" s="962" t="s">
        <v>382</v>
      </c>
      <c r="B359" s="956">
        <v>11.069999999999999</v>
      </c>
      <c r="C359" s="956">
        <v>43</v>
      </c>
      <c r="D359" s="956">
        <v>4.5</v>
      </c>
      <c r="E359" s="956">
        <v>0</v>
      </c>
      <c r="F359" s="956">
        <v>0</v>
      </c>
      <c r="G359" s="956">
        <v>0</v>
      </c>
      <c r="H359" s="1146">
        <v>6.57</v>
      </c>
      <c r="I359" s="1146">
        <v>54.07</v>
      </c>
      <c r="J359" s="1147">
        <v>39.42</v>
      </c>
      <c r="K359" s="1147">
        <v>6</v>
      </c>
      <c r="L359" s="1066" t="s">
        <v>988</v>
      </c>
      <c r="M359" s="959">
        <v>4350000</v>
      </c>
      <c r="N359" s="959">
        <v>15089012.84608</v>
      </c>
      <c r="O359" s="1149">
        <v>11350725.619328</v>
      </c>
      <c r="P359" s="9"/>
      <c r="R359" s="9"/>
      <c r="U359" s="9"/>
      <c r="V359" s="9"/>
      <c r="W359" s="9"/>
      <c r="X359" s="9"/>
      <c r="Y359" s="9"/>
      <c r="Z359" s="9"/>
      <c r="AA359" s="9"/>
      <c r="AB359" s="9"/>
      <c r="AC359" s="237">
        <f>MAX(J359/J370)</f>
        <v>1.4518053652715782E-3</v>
      </c>
      <c r="AD359" s="235">
        <f t="shared" si="63"/>
        <v>6315.3533389313652</v>
      </c>
      <c r="AE359" s="238">
        <f>MAX(I359/I370)</f>
        <v>1.3763813770279479E-2</v>
      </c>
      <c r="AF359" s="235">
        <f t="shared" si="64"/>
        <v>207682.36279079985</v>
      </c>
      <c r="AG359" s="238">
        <f>MAX(H359/H370)</f>
        <v>2.9489428914991002E-3</v>
      </c>
      <c r="AH359" s="235">
        <f t="shared" si="65"/>
        <v>33472.641628474026</v>
      </c>
    </row>
    <row r="360" spans="1:34" ht="15" customHeight="1" x14ac:dyDescent="0.2">
      <c r="A360" s="1154" t="s">
        <v>383</v>
      </c>
      <c r="B360" s="1002">
        <v>2386.777</v>
      </c>
      <c r="C360" s="1002">
        <v>276</v>
      </c>
      <c r="D360" s="1002">
        <v>18</v>
      </c>
      <c r="E360" s="1002">
        <v>23</v>
      </c>
      <c r="F360" s="1002">
        <v>8</v>
      </c>
      <c r="G360" s="1002">
        <v>614</v>
      </c>
      <c r="H360" s="1002">
        <v>1723.777</v>
      </c>
      <c r="I360" s="1002">
        <v>2631.777</v>
      </c>
      <c r="J360" s="1150">
        <v>22160.98</v>
      </c>
      <c r="K360" s="1150">
        <v>12.856059687534987</v>
      </c>
      <c r="L360" s="1152"/>
      <c r="M360" s="996"/>
      <c r="N360" s="996"/>
      <c r="O360" s="1153"/>
      <c r="P360" s="9"/>
      <c r="R360" s="9"/>
      <c r="U360" s="9"/>
      <c r="V360" s="9"/>
      <c r="W360" s="9"/>
      <c r="X360" s="9"/>
      <c r="Y360" s="9"/>
      <c r="Z360" s="9"/>
      <c r="AA360" s="9"/>
      <c r="AB360" s="9"/>
      <c r="AC360" s="1157"/>
      <c r="AD360" s="1156"/>
      <c r="AE360" s="1158"/>
      <c r="AF360" s="1156"/>
      <c r="AG360" s="1158"/>
      <c r="AH360" s="1156"/>
    </row>
    <row r="361" spans="1:34" ht="15" customHeight="1" x14ac:dyDescent="0.2">
      <c r="A361" s="962" t="s">
        <v>384</v>
      </c>
      <c r="B361" s="1146">
        <v>399.5</v>
      </c>
      <c r="C361" s="1146">
        <v>105</v>
      </c>
      <c r="D361" s="1146">
        <v>0</v>
      </c>
      <c r="E361" s="1146">
        <v>3</v>
      </c>
      <c r="F361" s="1146">
        <v>0</v>
      </c>
      <c r="G361" s="1146">
        <v>55</v>
      </c>
      <c r="H361" s="1146">
        <v>341.5</v>
      </c>
      <c r="I361" s="1146">
        <v>501.5</v>
      </c>
      <c r="J361" s="1147">
        <v>4098</v>
      </c>
      <c r="K361" s="1147">
        <v>12</v>
      </c>
      <c r="L361" s="1066" t="s">
        <v>988</v>
      </c>
      <c r="M361" s="959">
        <v>4350000</v>
      </c>
      <c r="N361" s="959">
        <v>15089012.84608</v>
      </c>
      <c r="O361" s="1149">
        <v>11350725.619328</v>
      </c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237">
        <f>MAX(J361/J370)</f>
        <v>0.15092588500464046</v>
      </c>
      <c r="AD361" s="235">
        <f t="shared" ref="AD361:AD369" si="66">MAX(M361*AC361)</f>
        <v>656527.599770186</v>
      </c>
      <c r="AE361" s="238">
        <f>MAX(I361/I370)</f>
        <v>0.12765956363593783</v>
      </c>
      <c r="AF361" s="235">
        <f t="shared" ref="AF361:AF369" si="67">MAX(N361*AE361)</f>
        <v>1926256.7956276331</v>
      </c>
      <c r="AG361" s="238">
        <f>MAX(H361/H370)</f>
        <v>0.15328219139222871</v>
      </c>
      <c r="AH361" s="235">
        <f t="shared" ref="AH361:AH369" si="68">MAX(O361*AG361)</f>
        <v>1739864.0968225081</v>
      </c>
    </row>
    <row r="362" spans="1:34" ht="15" customHeight="1" x14ac:dyDescent="0.2">
      <c r="A362" s="962" t="s">
        <v>385</v>
      </c>
      <c r="B362" s="1146">
        <v>240</v>
      </c>
      <c r="C362" s="1146">
        <v>40</v>
      </c>
      <c r="D362" s="1146">
        <v>3</v>
      </c>
      <c r="E362" s="1146">
        <v>0</v>
      </c>
      <c r="F362" s="1146">
        <v>1</v>
      </c>
      <c r="G362" s="1146">
        <v>145</v>
      </c>
      <c r="H362" s="1146">
        <v>91</v>
      </c>
      <c r="I362" s="1146">
        <v>279</v>
      </c>
      <c r="J362" s="1147">
        <v>910</v>
      </c>
      <c r="K362" s="1147">
        <v>10</v>
      </c>
      <c r="L362" s="1066" t="s">
        <v>988</v>
      </c>
      <c r="M362" s="959">
        <v>4350000</v>
      </c>
      <c r="N362" s="959">
        <v>15089012.84608</v>
      </c>
      <c r="O362" s="1149">
        <v>11350725.619328</v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237">
        <f>MAX(J362/J370)</f>
        <v>3.3514532785315479E-2</v>
      </c>
      <c r="AD362" s="235">
        <f t="shared" si="66"/>
        <v>145788.21761612233</v>
      </c>
      <c r="AE362" s="238">
        <f>MAX(I362/I370)</f>
        <v>7.1020973588089051E-2</v>
      </c>
      <c r="AF362" s="235">
        <f t="shared" si="67"/>
        <v>1071636.382811784</v>
      </c>
      <c r="AG362" s="238">
        <f>MAX(H362/H370)</f>
        <v>4.0845327720915994E-2</v>
      </c>
      <c r="AH362" s="235">
        <f t="shared" si="68"/>
        <v>463624.10779164929</v>
      </c>
    </row>
    <row r="363" spans="1:34" ht="15" customHeight="1" x14ac:dyDescent="0.2">
      <c r="A363" s="962" t="s">
        <v>386</v>
      </c>
      <c r="B363" s="1146">
        <v>9.9</v>
      </c>
      <c r="C363" s="1146">
        <v>2</v>
      </c>
      <c r="D363" s="1146">
        <v>0</v>
      </c>
      <c r="E363" s="1146">
        <v>0</v>
      </c>
      <c r="F363" s="1146">
        <v>0</v>
      </c>
      <c r="G363" s="1146">
        <v>1</v>
      </c>
      <c r="H363" s="1146">
        <v>8.9</v>
      </c>
      <c r="I363" s="1146">
        <v>11.9</v>
      </c>
      <c r="J363" s="1147">
        <v>106.80000000000001</v>
      </c>
      <c r="K363" s="1147">
        <v>12</v>
      </c>
      <c r="L363" s="1066" t="s">
        <v>988</v>
      </c>
      <c r="M363" s="959">
        <v>4350000</v>
      </c>
      <c r="N363" s="959">
        <v>15089012.84608</v>
      </c>
      <c r="O363" s="1149">
        <v>11350725.619328</v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237">
        <f>MAX(J363/J370)</f>
        <v>3.9333539576612018E-3</v>
      </c>
      <c r="AD363" s="235">
        <f t="shared" si="66"/>
        <v>17110.089715826227</v>
      </c>
      <c r="AE363" s="238">
        <f>MAX(I363/I370)</f>
        <v>3.0292099845815757E-3</v>
      </c>
      <c r="AF363" s="235">
        <f t="shared" si="67"/>
        <v>45707.78837082519</v>
      </c>
      <c r="AG363" s="238">
        <f>MAX(H363/H370)</f>
        <v>3.9947628210566192E-3</v>
      </c>
      <c r="AH363" s="235">
        <f t="shared" si="68"/>
        <v>45343.456696106361</v>
      </c>
    </row>
    <row r="364" spans="1:34" ht="15" customHeight="1" x14ac:dyDescent="0.2">
      <c r="A364" s="962" t="s">
        <v>387</v>
      </c>
      <c r="B364" s="1146">
        <v>1055.21</v>
      </c>
      <c r="C364" s="1146">
        <v>30</v>
      </c>
      <c r="D364" s="1146">
        <v>10</v>
      </c>
      <c r="E364" s="1146">
        <v>15</v>
      </c>
      <c r="F364" s="1146">
        <v>5</v>
      </c>
      <c r="G364" s="1146">
        <v>200</v>
      </c>
      <c r="H364" s="1146">
        <v>825.21</v>
      </c>
      <c r="I364" s="1146">
        <v>1065.21</v>
      </c>
      <c r="J364" s="1147">
        <v>12378.150000000001</v>
      </c>
      <c r="K364" s="1147">
        <v>15</v>
      </c>
      <c r="L364" s="1066" t="s">
        <v>988</v>
      </c>
      <c r="M364" s="959">
        <v>4350000</v>
      </c>
      <c r="N364" s="959">
        <v>15089012.84608</v>
      </c>
      <c r="O364" s="1149">
        <v>11350725.619328</v>
      </c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237">
        <f>MAX(J364/J370)</f>
        <v>0.45587682856764045</v>
      </c>
      <c r="AD364" s="235">
        <f t="shared" si="66"/>
        <v>1983064.204269236</v>
      </c>
      <c r="AE364" s="238">
        <f>MAX(I364/I370)</f>
        <v>0.27115502249379331</v>
      </c>
      <c r="AF364" s="235">
        <f t="shared" si="67"/>
        <v>4091461.6176879583</v>
      </c>
      <c r="AG364" s="238">
        <f>MAX(H364/H370)</f>
        <v>0.3703953064678801</v>
      </c>
      <c r="AH364" s="235">
        <f t="shared" si="68"/>
        <v>4204255.494403813</v>
      </c>
    </row>
    <row r="365" spans="1:34" ht="15" customHeight="1" x14ac:dyDescent="0.2">
      <c r="A365" s="962" t="s">
        <v>388</v>
      </c>
      <c r="B365" s="1146">
        <v>49.18</v>
      </c>
      <c r="C365" s="1146">
        <v>50</v>
      </c>
      <c r="D365" s="1146">
        <v>5</v>
      </c>
      <c r="E365" s="1146">
        <v>5</v>
      </c>
      <c r="F365" s="1146">
        <v>2</v>
      </c>
      <c r="G365" s="1146">
        <v>15</v>
      </c>
      <c r="H365" s="1146">
        <v>22.180000000000007</v>
      </c>
      <c r="I365" s="1146">
        <v>92.18</v>
      </c>
      <c r="J365" s="1147">
        <v>266.16000000000008</v>
      </c>
      <c r="K365" s="1147">
        <v>12</v>
      </c>
      <c r="L365" s="1066" t="s">
        <v>988</v>
      </c>
      <c r="M365" s="959">
        <v>4350000</v>
      </c>
      <c r="N365" s="959">
        <v>15089012.84608</v>
      </c>
      <c r="O365" s="1149">
        <v>11350725.619328</v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237">
        <f>MAX(J365/J370)</f>
        <v>9.802448402351175E-3</v>
      </c>
      <c r="AD365" s="235">
        <f t="shared" si="66"/>
        <v>42640.650550227612</v>
      </c>
      <c r="AE365" s="238">
        <f>MAX(I365/I370)</f>
        <v>2.34649223847672E-2</v>
      </c>
      <c r="AF365" s="235">
        <f t="shared" si="67"/>
        <v>354062.51529602241</v>
      </c>
      <c r="AG365" s="238">
        <f>MAX(H365/H370)</f>
        <v>9.9554875697793078E-3</v>
      </c>
      <c r="AH365" s="235">
        <f t="shared" si="68"/>
        <v>113002.00781119544</v>
      </c>
    </row>
    <row r="366" spans="1:34" ht="15" customHeight="1" x14ac:dyDescent="0.2">
      <c r="A366" s="962" t="s">
        <v>389</v>
      </c>
      <c r="B366" s="1146">
        <v>145.30000000000001</v>
      </c>
      <c r="C366" s="1146">
        <v>30</v>
      </c>
      <c r="D366" s="1146"/>
      <c r="E366" s="1146"/>
      <c r="F366" s="1146"/>
      <c r="G366" s="1146">
        <v>35</v>
      </c>
      <c r="H366" s="1146">
        <v>110.30000000000001</v>
      </c>
      <c r="I366" s="1146">
        <v>175.3</v>
      </c>
      <c r="J366" s="1147">
        <v>1103</v>
      </c>
      <c r="K366" s="1147">
        <v>10</v>
      </c>
      <c r="L366" s="1066" t="s">
        <v>988</v>
      </c>
      <c r="M366" s="959">
        <v>4350000</v>
      </c>
      <c r="N366" s="959">
        <v>15089012.84608</v>
      </c>
      <c r="O366" s="1149">
        <v>11350725.619328</v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237">
        <f>MAX(J366/J370)</f>
        <v>4.0622560068354914E-2</v>
      </c>
      <c r="AD366" s="235">
        <f t="shared" si="66"/>
        <v>176708.13629734388</v>
      </c>
      <c r="AE366" s="238">
        <f>MAX(I366/I370)</f>
        <v>4.4623572293878172E-2</v>
      </c>
      <c r="AF366" s="235">
        <f t="shared" si="67"/>
        <v>673325.65558030724</v>
      </c>
      <c r="AG366" s="238">
        <f>MAX(H366/H370)</f>
        <v>4.9508127995791594E-2</v>
      </c>
      <c r="AH366" s="235">
        <f t="shared" si="68"/>
        <v>561953.17680680146</v>
      </c>
    </row>
    <row r="367" spans="1:34" ht="15" customHeight="1" x14ac:dyDescent="0.2">
      <c r="A367" s="962" t="s">
        <v>390</v>
      </c>
      <c r="B367" s="1146">
        <v>43.2</v>
      </c>
      <c r="C367" s="1146"/>
      <c r="D367" s="1146"/>
      <c r="E367" s="1146"/>
      <c r="F367" s="1146"/>
      <c r="G367" s="1146">
        <v>38</v>
      </c>
      <c r="H367" s="1146">
        <v>5.2000000000000028</v>
      </c>
      <c r="I367" s="1146">
        <v>43.2</v>
      </c>
      <c r="J367" s="1147">
        <v>52.000000000000028</v>
      </c>
      <c r="K367" s="1147">
        <v>10</v>
      </c>
      <c r="L367" s="1066" t="s">
        <v>988</v>
      </c>
      <c r="M367" s="959">
        <v>4350000</v>
      </c>
      <c r="N367" s="959">
        <v>15089012.84608</v>
      </c>
      <c r="O367" s="1149">
        <v>11350725.619328</v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237">
        <f>MAX(J367/J370)</f>
        <v>1.9151161591608853E-3</v>
      </c>
      <c r="AD367" s="235">
        <f t="shared" si="66"/>
        <v>8330.7552923498515</v>
      </c>
      <c r="AE367" s="238">
        <f>MAX(I367/I370)</f>
        <v>1.0996795910413788E-2</v>
      </c>
      <c r="AF367" s="235">
        <f t="shared" si="67"/>
        <v>165930.79475795364</v>
      </c>
      <c r="AG367" s="238">
        <f>MAX(H367/H370)</f>
        <v>2.3340187269094868E-3</v>
      </c>
      <c r="AH367" s="235">
        <f t="shared" si="68"/>
        <v>26492.806159522836</v>
      </c>
    </row>
    <row r="368" spans="1:34" ht="15" customHeight="1" x14ac:dyDescent="0.2">
      <c r="A368" s="962" t="s">
        <v>941</v>
      </c>
      <c r="B368" s="2325">
        <v>392.48699999999997</v>
      </c>
      <c r="C368" s="956">
        <v>15</v>
      </c>
      <c r="D368" s="956"/>
      <c r="E368" s="956"/>
      <c r="F368" s="956"/>
      <c r="G368" s="956">
        <v>99</v>
      </c>
      <c r="H368" s="1146">
        <v>293.48699999999997</v>
      </c>
      <c r="I368" s="1146">
        <v>407.48699999999997</v>
      </c>
      <c r="J368" s="1147">
        <v>2934.87</v>
      </c>
      <c r="K368" s="1147">
        <v>10</v>
      </c>
      <c r="L368" s="1066" t="s">
        <v>988</v>
      </c>
      <c r="M368" s="959">
        <v>4350000</v>
      </c>
      <c r="N368" s="959">
        <v>15089012.84608</v>
      </c>
      <c r="O368" s="1149">
        <v>11350725.619328</v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237">
        <f>MAX(J368/J370)</f>
        <v>0.10808878773147124</v>
      </c>
      <c r="AD368" s="235">
        <f t="shared" si="66"/>
        <v>470186.22663189989</v>
      </c>
      <c r="AE368" s="238">
        <f>MAX(I368/I370)</f>
        <v>0.10372804109136072</v>
      </c>
      <c r="AF368" s="235">
        <f t="shared" si="67"/>
        <v>1565153.7445262559</v>
      </c>
      <c r="AG368" s="238">
        <f>MAX(H368/H370)</f>
        <v>0.13173156809701617</v>
      </c>
      <c r="AH368" s="235">
        <f t="shared" si="68"/>
        <v>1495248.8848730524</v>
      </c>
    </row>
    <row r="369" spans="1:34" ht="15" customHeight="1" thickBot="1" x14ac:dyDescent="0.25">
      <c r="A369" s="1140" t="s">
        <v>392</v>
      </c>
      <c r="B369" s="244">
        <v>52</v>
      </c>
      <c r="C369" s="1141">
        <v>4</v>
      </c>
      <c r="D369" s="1141">
        <v>0</v>
      </c>
      <c r="E369" s="1141">
        <v>0</v>
      </c>
      <c r="F369" s="1141">
        <v>0</v>
      </c>
      <c r="G369" s="1141">
        <v>26</v>
      </c>
      <c r="H369" s="1146">
        <v>26</v>
      </c>
      <c r="I369" s="1146">
        <v>56</v>
      </c>
      <c r="J369" s="1147">
        <v>312</v>
      </c>
      <c r="K369" s="1142">
        <v>12</v>
      </c>
      <c r="L369" s="1066" t="s">
        <v>988</v>
      </c>
      <c r="M369" s="959">
        <v>4350000</v>
      </c>
      <c r="N369" s="959">
        <v>15089012.84608</v>
      </c>
      <c r="O369" s="1149">
        <v>11350725.619328</v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237">
        <f>MAX(J369/J370)</f>
        <v>1.1490696954965306E-2</v>
      </c>
      <c r="AD369" s="235">
        <f t="shared" si="66"/>
        <v>49984.53175409908</v>
      </c>
      <c r="AE369" s="238">
        <f>MAX(I369/I370)</f>
        <v>1.4255105809795651E-2</v>
      </c>
      <c r="AF369" s="235">
        <f t="shared" si="67"/>
        <v>215095.47468623621</v>
      </c>
      <c r="AG369" s="238">
        <f>MAX(H369/H370)</f>
        <v>1.1670093634547428E-2</v>
      </c>
      <c r="AH369" s="235">
        <f t="shared" si="68"/>
        <v>132464.0307976141</v>
      </c>
    </row>
    <row r="370" spans="1:34" ht="15" customHeight="1" thickBot="1" x14ac:dyDescent="0.25">
      <c r="A370" s="405" t="s">
        <v>942</v>
      </c>
      <c r="B370" s="1131">
        <v>3478.4169999999999</v>
      </c>
      <c r="C370" s="1131">
        <v>521</v>
      </c>
      <c r="D370" s="1131">
        <v>27.5</v>
      </c>
      <c r="E370" s="1131">
        <v>43</v>
      </c>
      <c r="F370" s="1131">
        <v>28</v>
      </c>
      <c r="G370" s="1131">
        <v>1152</v>
      </c>
      <c r="H370" s="1131">
        <v>2227.9169999999999</v>
      </c>
      <c r="I370" s="1131">
        <v>3928.4169999999999</v>
      </c>
      <c r="J370" s="1132">
        <v>27152.400000000001</v>
      </c>
      <c r="K370" s="1132">
        <v>12.187348092410984</v>
      </c>
      <c r="L370" s="1525" t="s">
        <v>988</v>
      </c>
      <c r="M370" s="1134">
        <v>4350000</v>
      </c>
      <c r="N370" s="1134">
        <v>15089012.84608</v>
      </c>
      <c r="O370" s="506">
        <v>11350725.619328002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1159">
        <f t="shared" ref="AC370:AH370" si="69">SUM(AC330:AC369)</f>
        <v>1</v>
      </c>
      <c r="AD370" s="1160">
        <f t="shared" si="69"/>
        <v>4350000</v>
      </c>
      <c r="AE370" s="1161">
        <f t="shared" si="69"/>
        <v>0.99999999999999989</v>
      </c>
      <c r="AF370" s="1160">
        <f t="shared" si="69"/>
        <v>15089012.84608</v>
      </c>
      <c r="AG370" s="1161">
        <f t="shared" si="69"/>
        <v>1</v>
      </c>
      <c r="AH370" s="1160">
        <f t="shared" si="69"/>
        <v>11350725.619328002</v>
      </c>
    </row>
    <row r="371" spans="1:34" x14ac:dyDescent="0.2">
      <c r="A371" s="7" t="s">
        <v>1934</v>
      </c>
      <c r="B371" s="8"/>
      <c r="C371" s="8"/>
      <c r="D371" s="8"/>
      <c r="E371" s="4"/>
      <c r="F371" s="5"/>
      <c r="G371" s="9"/>
      <c r="H371" s="8"/>
      <c r="I371" s="224"/>
      <c r="J371" s="224"/>
      <c r="K371" s="240"/>
      <c r="L371" s="241"/>
      <c r="M371" s="240"/>
      <c r="N371" s="240"/>
      <c r="O371" s="240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</row>
    <row r="372" spans="1:34" x14ac:dyDescent="0.2">
      <c r="A372" s="242"/>
      <c r="B372" s="224"/>
      <c r="C372" s="224"/>
      <c r="D372" s="224"/>
      <c r="E372" s="224"/>
      <c r="F372" s="224"/>
      <c r="G372" s="224"/>
      <c r="H372" s="224"/>
      <c r="I372" s="224"/>
      <c r="J372" s="224"/>
      <c r="K372" s="240"/>
      <c r="L372" s="241"/>
      <c r="M372" s="240"/>
      <c r="N372" s="240"/>
      <c r="O372" s="240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</row>
    <row r="373" spans="1:34" x14ac:dyDescent="0.2">
      <c r="A373" s="242"/>
      <c r="B373" s="224"/>
      <c r="C373" s="224"/>
      <c r="D373" s="224"/>
      <c r="E373" s="224"/>
      <c r="F373" s="224"/>
      <c r="G373" s="224"/>
      <c r="H373" s="224"/>
      <c r="I373" s="224"/>
      <c r="J373" s="224"/>
      <c r="K373" s="240"/>
      <c r="L373" s="241"/>
      <c r="M373" s="240"/>
      <c r="N373" s="240"/>
      <c r="O373" s="240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</row>
    <row r="374" spans="1:34" x14ac:dyDescent="0.2">
      <c r="A374" s="242"/>
      <c r="B374" s="224"/>
      <c r="C374" s="224"/>
      <c r="D374" s="224"/>
      <c r="E374" s="224"/>
      <c r="F374" s="224"/>
      <c r="G374" s="224"/>
      <c r="H374" s="224"/>
      <c r="I374" s="224"/>
      <c r="J374" s="224"/>
      <c r="K374" s="240"/>
      <c r="L374" s="241"/>
      <c r="M374" s="240"/>
      <c r="N374" s="240"/>
      <c r="O374" s="240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</row>
    <row r="375" spans="1:34" ht="15" customHeight="1" x14ac:dyDescent="0.25">
      <c r="A375" s="2843" t="s">
        <v>1931</v>
      </c>
      <c r="B375" s="2843"/>
      <c r="C375" s="2843"/>
      <c r="D375" s="2843"/>
      <c r="E375" s="2843"/>
      <c r="F375" s="2843"/>
      <c r="G375" s="2843"/>
      <c r="H375" s="2843"/>
      <c r="I375" s="2843"/>
      <c r="J375" s="2843"/>
      <c r="K375" s="2843"/>
      <c r="L375" s="2843"/>
      <c r="M375" s="2843"/>
      <c r="N375" s="2843"/>
      <c r="O375" s="2843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</row>
    <row r="376" spans="1:34" ht="15" customHeight="1" thickBot="1" x14ac:dyDescent="0.25">
      <c r="A376" s="8" t="s">
        <v>1864</v>
      </c>
      <c r="B376" s="225"/>
      <c r="C376" s="227"/>
      <c r="D376" s="227"/>
      <c r="E376" s="227"/>
      <c r="F376" s="227"/>
      <c r="G376" s="227"/>
      <c r="H376" s="225"/>
      <c r="I376" s="225"/>
      <c r="J376" s="225"/>
      <c r="K376" s="225"/>
      <c r="L376" s="171"/>
      <c r="M376" s="227"/>
      <c r="N376" s="227"/>
      <c r="O376" s="227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228" t="s">
        <v>910</v>
      </c>
      <c r="AD376" s="229"/>
      <c r="AE376" s="229"/>
      <c r="AF376" s="229"/>
      <c r="AG376" s="229"/>
      <c r="AH376" s="229"/>
    </row>
    <row r="377" spans="1:34" ht="15" customHeight="1" x14ac:dyDescent="0.2">
      <c r="A377" s="2844" t="s">
        <v>327</v>
      </c>
      <c r="B377" s="2847" t="s">
        <v>1932</v>
      </c>
      <c r="C377" s="2848"/>
      <c r="D377" s="2848"/>
      <c r="E377" s="2848"/>
      <c r="F377" s="2848"/>
      <c r="G377" s="2848"/>
      <c r="H377" s="2848"/>
      <c r="I377" s="2848"/>
      <c r="J377" s="2848"/>
      <c r="K377" s="2848"/>
      <c r="L377" s="2848"/>
      <c r="M377" s="2848"/>
      <c r="N377" s="2848"/>
      <c r="O377" s="284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228" t="s">
        <v>910</v>
      </c>
      <c r="AD377" s="229"/>
      <c r="AE377" s="229"/>
      <c r="AF377" s="229"/>
      <c r="AG377" s="229"/>
      <c r="AH377" s="243"/>
    </row>
    <row r="378" spans="1:34" ht="15" customHeight="1" x14ac:dyDescent="0.2">
      <c r="A378" s="2845"/>
      <c r="B378" s="2850" t="s">
        <v>191</v>
      </c>
      <c r="C378" s="2850"/>
      <c r="D378" s="2850"/>
      <c r="E378" s="2850"/>
      <c r="F378" s="2850"/>
      <c r="G378" s="2850"/>
      <c r="H378" s="2850"/>
      <c r="I378" s="2850"/>
      <c r="J378" s="2119"/>
      <c r="K378" s="2119" t="s">
        <v>904</v>
      </c>
      <c r="L378" s="2119"/>
      <c r="M378" s="1122" t="s">
        <v>437</v>
      </c>
      <c r="N378" s="1122" t="s">
        <v>911</v>
      </c>
      <c r="O378" s="1127" t="s">
        <v>911</v>
      </c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230" t="s">
        <v>333</v>
      </c>
      <c r="AD378" s="231" t="s">
        <v>333</v>
      </c>
      <c r="AE378" s="231" t="s">
        <v>333</v>
      </c>
      <c r="AF378" s="231" t="s">
        <v>333</v>
      </c>
      <c r="AG378" s="231" t="s">
        <v>333</v>
      </c>
      <c r="AH378" s="231" t="s">
        <v>333</v>
      </c>
    </row>
    <row r="379" spans="1:34" ht="15" customHeight="1" x14ac:dyDescent="0.2">
      <c r="A379" s="2845"/>
      <c r="B379" s="2119" t="s">
        <v>433</v>
      </c>
      <c r="C379" s="2119"/>
      <c r="D379" s="2841" t="s">
        <v>1865</v>
      </c>
      <c r="E379" s="2119"/>
      <c r="F379" s="2119"/>
      <c r="G379" s="2119" t="s">
        <v>912</v>
      </c>
      <c r="H379" s="2119"/>
      <c r="I379" s="2119" t="s">
        <v>433</v>
      </c>
      <c r="J379" s="2138" t="s">
        <v>913</v>
      </c>
      <c r="K379" s="2138" t="s">
        <v>842</v>
      </c>
      <c r="L379" s="2138" t="s">
        <v>329</v>
      </c>
      <c r="M379" s="1123" t="s">
        <v>914</v>
      </c>
      <c r="N379" s="1123" t="s">
        <v>915</v>
      </c>
      <c r="O379" s="1128" t="s">
        <v>914</v>
      </c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230" t="s">
        <v>913</v>
      </c>
      <c r="AD379" s="231" t="s">
        <v>916</v>
      </c>
      <c r="AE379" s="231" t="s">
        <v>917</v>
      </c>
      <c r="AF379" s="231" t="s">
        <v>918</v>
      </c>
      <c r="AG379" s="231" t="s">
        <v>192</v>
      </c>
      <c r="AH379" s="231" t="s">
        <v>918</v>
      </c>
    </row>
    <row r="380" spans="1:34" ht="15" customHeight="1" x14ac:dyDescent="0.2">
      <c r="A380" s="2845"/>
      <c r="B380" s="2138" t="s">
        <v>920</v>
      </c>
      <c r="C380" s="2138" t="s">
        <v>922</v>
      </c>
      <c r="D380" s="2842"/>
      <c r="E380" s="2138" t="s">
        <v>867</v>
      </c>
      <c r="F380" s="2138" t="s">
        <v>921</v>
      </c>
      <c r="G380" s="2138" t="s">
        <v>923</v>
      </c>
      <c r="H380" s="2138" t="s">
        <v>836</v>
      </c>
      <c r="I380" s="2138" t="s">
        <v>835</v>
      </c>
      <c r="J380" s="2138" t="s">
        <v>924</v>
      </c>
      <c r="K380" s="2138" t="s">
        <v>925</v>
      </c>
      <c r="L380" s="2138" t="s">
        <v>336</v>
      </c>
      <c r="M380" s="1123" t="s">
        <v>926</v>
      </c>
      <c r="N380" s="1123" t="s">
        <v>927</v>
      </c>
      <c r="O380" s="1128" t="s">
        <v>928</v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230"/>
      <c r="AD380" s="231" t="s">
        <v>843</v>
      </c>
      <c r="AE380" s="231"/>
      <c r="AF380" s="231" t="s">
        <v>929</v>
      </c>
      <c r="AG380" s="231"/>
      <c r="AH380" s="231" t="s">
        <v>930</v>
      </c>
    </row>
    <row r="381" spans="1:34" ht="15" customHeight="1" thickBot="1" x14ac:dyDescent="0.25">
      <c r="A381" s="2846"/>
      <c r="B381" s="1881">
        <v>44926</v>
      </c>
      <c r="C381" s="2139">
        <v>2023</v>
      </c>
      <c r="D381" s="2139">
        <v>2023</v>
      </c>
      <c r="E381" s="2139">
        <v>2023</v>
      </c>
      <c r="F381" s="2139">
        <v>2023</v>
      </c>
      <c r="G381" s="2139" t="s">
        <v>931</v>
      </c>
      <c r="H381" s="1126">
        <v>2023</v>
      </c>
      <c r="I381" s="1881">
        <v>44926</v>
      </c>
      <c r="J381" s="1881" t="s">
        <v>1933</v>
      </c>
      <c r="K381" s="1881" t="s">
        <v>1933</v>
      </c>
      <c r="L381" s="2139" t="s">
        <v>441</v>
      </c>
      <c r="M381" s="1125" t="s">
        <v>932</v>
      </c>
      <c r="N381" s="1125" t="s">
        <v>933</v>
      </c>
      <c r="O381" s="1129" t="s">
        <v>933</v>
      </c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232"/>
      <c r="AD381" s="233" t="s">
        <v>934</v>
      </c>
      <c r="AE381" s="233"/>
      <c r="AF381" s="233" t="s">
        <v>935</v>
      </c>
      <c r="AG381" s="233"/>
      <c r="AH381" s="233" t="s">
        <v>936</v>
      </c>
    </row>
    <row r="382" spans="1:34" ht="15" customHeight="1" x14ac:dyDescent="0.2">
      <c r="A382" s="1135" t="s">
        <v>352</v>
      </c>
      <c r="B382" s="1130">
        <v>176.27</v>
      </c>
      <c r="C382" s="1130">
        <v>19</v>
      </c>
      <c r="D382" s="1130">
        <v>0</v>
      </c>
      <c r="E382" s="1130">
        <v>1</v>
      </c>
      <c r="F382" s="1130">
        <v>1</v>
      </c>
      <c r="G382" s="1130">
        <v>51</v>
      </c>
      <c r="H382" s="1130">
        <v>123.27000000000001</v>
      </c>
      <c r="I382" s="1130">
        <v>193.27</v>
      </c>
      <c r="J382" s="1136">
        <v>1150.79</v>
      </c>
      <c r="K382" s="1535">
        <v>9.3355236472783307</v>
      </c>
      <c r="L382" s="380"/>
      <c r="M382" s="1138"/>
      <c r="N382" s="1138"/>
      <c r="O382" s="113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1155"/>
      <c r="AD382" s="1156"/>
      <c r="AE382" s="1156"/>
      <c r="AF382" s="1156"/>
      <c r="AG382" s="1156"/>
      <c r="AH382" s="1156"/>
    </row>
    <row r="383" spans="1:34" ht="15" customHeight="1" x14ac:dyDescent="0.2">
      <c r="A383" s="962" t="s">
        <v>353</v>
      </c>
      <c r="B383" s="959">
        <v>0</v>
      </c>
      <c r="C383" s="1146"/>
      <c r="D383" s="1146"/>
      <c r="E383" s="1146"/>
      <c r="F383" s="1146"/>
      <c r="G383" s="1146"/>
      <c r="H383" s="1146">
        <v>0</v>
      </c>
      <c r="I383" s="1146">
        <v>0</v>
      </c>
      <c r="J383" s="1147">
        <v>0</v>
      </c>
      <c r="K383" s="1147">
        <v>0</v>
      </c>
      <c r="L383" s="1066"/>
      <c r="M383" s="959"/>
      <c r="N383" s="959"/>
      <c r="O383" s="1149"/>
      <c r="P383" s="9"/>
      <c r="Q383" s="9"/>
      <c r="R383" s="9"/>
      <c r="S383" s="9"/>
      <c r="U383" s="9"/>
      <c r="W383" s="9"/>
      <c r="X383" s="9"/>
      <c r="Y383" s="9"/>
      <c r="Z383" s="9"/>
      <c r="AA383" s="9"/>
      <c r="AB383" s="9"/>
      <c r="AC383" s="237">
        <f>MAX(J383/J423)</f>
        <v>0</v>
      </c>
      <c r="AD383" s="235">
        <f t="shared" ref="AD383:AD397" si="70">MAX(M383*AC383)</f>
        <v>0</v>
      </c>
      <c r="AE383" s="238">
        <f>MAX(I383/I423)</f>
        <v>0</v>
      </c>
      <c r="AF383" s="235">
        <f t="shared" ref="AF383:AF397" si="71">MAX(N383*AE383)</f>
        <v>0</v>
      </c>
      <c r="AG383" s="238">
        <f>MAX(H383/H423)</f>
        <v>0</v>
      </c>
      <c r="AH383" s="235">
        <f t="shared" ref="AH383:AH397" si="72">MAX(O383*AG383)</f>
        <v>0</v>
      </c>
    </row>
    <row r="384" spans="1:34" ht="15" customHeight="1" x14ac:dyDescent="0.2">
      <c r="A384" s="962" t="s">
        <v>354</v>
      </c>
      <c r="B384" s="959">
        <v>0</v>
      </c>
      <c r="C384" s="1146"/>
      <c r="D384" s="1146"/>
      <c r="E384" s="1146"/>
      <c r="F384" s="1146"/>
      <c r="G384" s="1146"/>
      <c r="H384" s="1146">
        <v>0</v>
      </c>
      <c r="I384" s="1146">
        <v>0</v>
      </c>
      <c r="J384" s="1147">
        <v>0</v>
      </c>
      <c r="K384" s="1147">
        <v>0</v>
      </c>
      <c r="L384" s="1066"/>
      <c r="M384" s="959"/>
      <c r="N384" s="959"/>
      <c r="O384" s="1149"/>
      <c r="P384" s="9"/>
      <c r="Q384" s="9"/>
      <c r="R384" s="9"/>
      <c r="S384" s="9"/>
      <c r="U384" s="9"/>
      <c r="W384" s="9"/>
      <c r="X384" s="9"/>
      <c r="Y384" s="9"/>
      <c r="Z384" s="9"/>
      <c r="AA384" s="9"/>
      <c r="AB384" s="9"/>
      <c r="AC384" s="237">
        <f>MAX(J384/J423)</f>
        <v>0</v>
      </c>
      <c r="AD384" s="235">
        <f t="shared" si="70"/>
        <v>0</v>
      </c>
      <c r="AE384" s="238">
        <f>MAX(I384/I423)</f>
        <v>0</v>
      </c>
      <c r="AF384" s="235">
        <f t="shared" si="71"/>
        <v>0</v>
      </c>
      <c r="AG384" s="238">
        <f>MAX(H384/H423)</f>
        <v>0</v>
      </c>
      <c r="AH384" s="235">
        <f t="shared" si="72"/>
        <v>0</v>
      </c>
    </row>
    <row r="385" spans="1:34" ht="15" customHeight="1" x14ac:dyDescent="0.2">
      <c r="A385" s="962" t="s">
        <v>355</v>
      </c>
      <c r="B385" s="1146">
        <v>28.96</v>
      </c>
      <c r="C385" s="1146"/>
      <c r="D385" s="1146"/>
      <c r="E385" s="1146"/>
      <c r="F385" s="1146"/>
      <c r="G385" s="1146">
        <v>18</v>
      </c>
      <c r="H385" s="1146">
        <v>10.96</v>
      </c>
      <c r="I385" s="1146">
        <v>28.96</v>
      </c>
      <c r="J385" s="1147">
        <v>98.640000000000015</v>
      </c>
      <c r="K385" s="1147">
        <v>9</v>
      </c>
      <c r="L385" s="1066" t="s">
        <v>988</v>
      </c>
      <c r="M385" s="959">
        <v>5473000</v>
      </c>
      <c r="N385" s="959">
        <v>15089012.84608</v>
      </c>
      <c r="O385" s="1149">
        <v>11350725.619328</v>
      </c>
      <c r="P385" s="9"/>
      <c r="Q385" s="9"/>
      <c r="R385" s="9"/>
      <c r="S385" s="9"/>
      <c r="U385" s="9"/>
      <c r="W385" s="9"/>
      <c r="X385" s="9"/>
      <c r="Y385" s="9"/>
      <c r="Z385" s="9"/>
      <c r="AA385" s="9"/>
      <c r="AB385" s="9"/>
      <c r="AC385" s="237">
        <f>MAX(J385/J423)</f>
        <v>3.0099085310035231E-2</v>
      </c>
      <c r="AD385" s="235">
        <f t="shared" si="70"/>
        <v>164732.29390182282</v>
      </c>
      <c r="AE385" s="238">
        <f>MAX(I385/I423)</f>
        <v>5.2078837577327002E-2</v>
      </c>
      <c r="AF385" s="235">
        <f t="shared" si="71"/>
        <v>785818.24921320088</v>
      </c>
      <c r="AG385" s="238">
        <f>MAX(H385/H423)</f>
        <v>3.3304971435517201E-2</v>
      </c>
      <c r="AH385" s="235">
        <f t="shared" si="72"/>
        <v>378035.59252411232</v>
      </c>
    </row>
    <row r="386" spans="1:34" ht="15" customHeight="1" x14ac:dyDescent="0.2">
      <c r="A386" s="962" t="s">
        <v>356</v>
      </c>
      <c r="B386" s="1146">
        <v>0</v>
      </c>
      <c r="C386" s="1146"/>
      <c r="D386" s="1146"/>
      <c r="E386" s="1146"/>
      <c r="F386" s="1146"/>
      <c r="G386" s="1146"/>
      <c r="H386" s="1146">
        <v>0</v>
      </c>
      <c r="I386" s="1146">
        <v>0</v>
      </c>
      <c r="J386" s="1147">
        <v>0</v>
      </c>
      <c r="K386" s="1147">
        <v>0</v>
      </c>
      <c r="L386" s="1066"/>
      <c r="M386" s="959"/>
      <c r="N386" s="959"/>
      <c r="O386" s="1149"/>
      <c r="P386" s="9"/>
      <c r="Q386" s="9"/>
      <c r="R386" s="9"/>
      <c r="S386" s="9"/>
      <c r="U386" s="9"/>
      <c r="W386" s="9"/>
      <c r="X386" s="9"/>
      <c r="Y386" s="9"/>
      <c r="Z386" s="9"/>
      <c r="AA386" s="9"/>
      <c r="AB386" s="9"/>
      <c r="AC386" s="237">
        <f>MAX(J386/J423)</f>
        <v>0</v>
      </c>
      <c r="AD386" s="235">
        <f t="shared" si="70"/>
        <v>0</v>
      </c>
      <c r="AE386" s="238">
        <f>MAX(I386/I423)</f>
        <v>0</v>
      </c>
      <c r="AF386" s="235">
        <f t="shared" si="71"/>
        <v>0</v>
      </c>
      <c r="AG386" s="238">
        <f>MAX(H386/H423)</f>
        <v>0</v>
      </c>
      <c r="AH386" s="235">
        <f t="shared" si="72"/>
        <v>0</v>
      </c>
    </row>
    <row r="387" spans="1:34" ht="15" customHeight="1" x14ac:dyDescent="0.2">
      <c r="A387" s="962" t="s">
        <v>357</v>
      </c>
      <c r="B387" s="1146">
        <v>10.81</v>
      </c>
      <c r="C387" s="1146">
        <v>0</v>
      </c>
      <c r="D387" s="1146">
        <v>0</v>
      </c>
      <c r="E387" s="1146">
        <v>0</v>
      </c>
      <c r="F387" s="1146">
        <v>0</v>
      </c>
      <c r="G387" s="1146">
        <v>1</v>
      </c>
      <c r="H387" s="1146">
        <v>9.81</v>
      </c>
      <c r="I387" s="1146">
        <v>10.81</v>
      </c>
      <c r="J387" s="1147">
        <v>147.15</v>
      </c>
      <c r="K387" s="1147">
        <v>15</v>
      </c>
      <c r="L387" s="1066" t="s">
        <v>988</v>
      </c>
      <c r="M387" s="959">
        <v>5473000</v>
      </c>
      <c r="N387" s="959">
        <v>15089012.84608</v>
      </c>
      <c r="O387" s="1149">
        <v>11350725.619328</v>
      </c>
      <c r="P387" s="9"/>
      <c r="Q387" s="9"/>
      <c r="R387" s="9"/>
      <c r="S387" s="9"/>
      <c r="U387" s="9"/>
      <c r="W387" s="9"/>
      <c r="X387" s="9"/>
      <c r="Y387" s="9"/>
      <c r="Z387" s="9"/>
      <c r="AA387" s="9"/>
      <c r="AB387" s="9"/>
      <c r="AC387" s="237">
        <f>MAX(J387/J423)</f>
        <v>4.4901463943346348E-2</v>
      </c>
      <c r="AD387" s="235">
        <f t="shared" si="70"/>
        <v>245745.71216193456</v>
      </c>
      <c r="AE387" s="238">
        <f>MAX(I387/I423)</f>
        <v>1.9439648971371026E-2</v>
      </c>
      <c r="AF387" s="235">
        <f t="shared" si="71"/>
        <v>293325.11305230326</v>
      </c>
      <c r="AG387" s="238">
        <f>MAX(H387/H423)</f>
        <v>2.9810380454600709E-2</v>
      </c>
      <c r="AH387" s="235">
        <f t="shared" si="72"/>
        <v>338369.44914795092</v>
      </c>
    </row>
    <row r="388" spans="1:34" ht="15" customHeight="1" x14ac:dyDescent="0.2">
      <c r="A388" s="962" t="s">
        <v>358</v>
      </c>
      <c r="B388" s="1146">
        <v>10</v>
      </c>
      <c r="C388" s="1146">
        <v>0</v>
      </c>
      <c r="D388" s="1146">
        <v>0</v>
      </c>
      <c r="E388" s="1146">
        <v>0</v>
      </c>
      <c r="F388" s="1146">
        <v>0</v>
      </c>
      <c r="G388" s="1146">
        <v>0</v>
      </c>
      <c r="H388" s="1146">
        <v>10</v>
      </c>
      <c r="I388" s="1146">
        <v>10</v>
      </c>
      <c r="J388" s="1147">
        <v>120</v>
      </c>
      <c r="K388" s="1147">
        <v>12</v>
      </c>
      <c r="L388" s="1066" t="s">
        <v>988</v>
      </c>
      <c r="M388" s="959">
        <v>5473000</v>
      </c>
      <c r="N388" s="959">
        <v>15089012.84608</v>
      </c>
      <c r="O388" s="1149">
        <v>11350725.619328</v>
      </c>
      <c r="P388" s="9"/>
      <c r="Q388" s="9"/>
      <c r="R388" s="9"/>
      <c r="S388" s="9"/>
      <c r="U388" s="9"/>
      <c r="W388" s="9"/>
      <c r="X388" s="9"/>
      <c r="Y388" s="9"/>
      <c r="Z388" s="9"/>
      <c r="AA388" s="9"/>
      <c r="AB388" s="9"/>
      <c r="AC388" s="237">
        <f>MAX(J388/J423)</f>
        <v>3.6616892104665726E-2</v>
      </c>
      <c r="AD388" s="235">
        <f t="shared" si="70"/>
        <v>200404.2504888355</v>
      </c>
      <c r="AE388" s="238">
        <f>MAX(I388/I423)</f>
        <v>1.7983024025320097E-2</v>
      </c>
      <c r="AF388" s="235">
        <f t="shared" si="71"/>
        <v>271346.08052942023</v>
      </c>
      <c r="AG388" s="238">
        <f>MAX(H388/H423)</f>
        <v>3.0387747660143433E-2</v>
      </c>
      <c r="AH388" s="235">
        <f t="shared" si="72"/>
        <v>344922.98587966454</v>
      </c>
    </row>
    <row r="389" spans="1:34" ht="15" customHeight="1" x14ac:dyDescent="0.2">
      <c r="A389" s="962" t="s">
        <v>937</v>
      </c>
      <c r="B389" s="1146">
        <v>3</v>
      </c>
      <c r="C389" s="1146">
        <v>4</v>
      </c>
      <c r="D389" s="1146">
        <v>0</v>
      </c>
      <c r="E389" s="1146">
        <v>0</v>
      </c>
      <c r="F389" s="1146">
        <v>0</v>
      </c>
      <c r="G389" s="1146">
        <v>3</v>
      </c>
      <c r="H389" s="1146">
        <v>0</v>
      </c>
      <c r="I389" s="1146">
        <v>7</v>
      </c>
      <c r="J389" s="1147">
        <v>0</v>
      </c>
      <c r="K389" s="1147">
        <v>8</v>
      </c>
      <c r="L389" s="1066" t="s">
        <v>988</v>
      </c>
      <c r="M389" s="959">
        <v>5473000</v>
      </c>
      <c r="N389" s="959">
        <v>15089012.84608</v>
      </c>
      <c r="O389" s="1149">
        <v>11350725.619328</v>
      </c>
      <c r="P389" s="9"/>
      <c r="Q389" s="9"/>
      <c r="R389" s="9"/>
      <c r="S389" s="9"/>
      <c r="U389" s="9"/>
      <c r="W389" s="9"/>
      <c r="X389" s="9"/>
      <c r="Y389" s="9"/>
      <c r="Z389" s="9"/>
      <c r="AA389" s="9"/>
      <c r="AB389" s="9"/>
      <c r="AC389" s="237">
        <f>MAX(J389/J423)</f>
        <v>0</v>
      </c>
      <c r="AD389" s="235">
        <f t="shared" si="70"/>
        <v>0</v>
      </c>
      <c r="AE389" s="238">
        <f>MAX(I389/I423)</f>
        <v>1.2588116817724067E-2</v>
      </c>
      <c r="AF389" s="235">
        <f t="shared" si="71"/>
        <v>189942.25637059414</v>
      </c>
      <c r="AG389" s="238">
        <f>MAX(H389/H423)</f>
        <v>0</v>
      </c>
      <c r="AH389" s="235">
        <f t="shared" si="72"/>
        <v>0</v>
      </c>
    </row>
    <row r="390" spans="1:34" ht="15" customHeight="1" x14ac:dyDescent="0.2">
      <c r="A390" s="962" t="s">
        <v>360</v>
      </c>
      <c r="B390" s="1146">
        <v>0</v>
      </c>
      <c r="C390" s="1146">
        <v>0</v>
      </c>
      <c r="D390" s="1146">
        <v>0</v>
      </c>
      <c r="E390" s="1146">
        <v>0</v>
      </c>
      <c r="F390" s="1146">
        <v>0</v>
      </c>
      <c r="G390" s="1146">
        <v>0</v>
      </c>
      <c r="H390" s="1146">
        <v>0</v>
      </c>
      <c r="I390" s="1146">
        <v>0</v>
      </c>
      <c r="J390" s="1147">
        <v>0</v>
      </c>
      <c r="K390" s="1147">
        <v>0</v>
      </c>
      <c r="L390" s="1066"/>
      <c r="M390" s="959"/>
      <c r="N390" s="959"/>
      <c r="O390" s="1149"/>
      <c r="P390" s="9"/>
      <c r="Q390" s="9"/>
      <c r="R390" s="9"/>
      <c r="S390" s="9"/>
      <c r="U390" s="9"/>
      <c r="W390" s="9"/>
      <c r="X390" s="9"/>
      <c r="Y390" s="9"/>
      <c r="Z390" s="9"/>
      <c r="AA390" s="9"/>
      <c r="AB390" s="9"/>
      <c r="AC390" s="237">
        <f>MAX(J390/J423)</f>
        <v>0</v>
      </c>
      <c r="AD390" s="235">
        <f t="shared" si="70"/>
        <v>0</v>
      </c>
      <c r="AE390" s="238">
        <f>MAX(I390/I423)</f>
        <v>0</v>
      </c>
      <c r="AF390" s="235">
        <f t="shared" si="71"/>
        <v>0</v>
      </c>
      <c r="AG390" s="238">
        <f>MAX(H390/H423)</f>
        <v>0</v>
      </c>
      <c r="AH390" s="235">
        <f t="shared" si="72"/>
        <v>0</v>
      </c>
    </row>
    <row r="391" spans="1:34" ht="15" customHeight="1" x14ac:dyDescent="0.2">
      <c r="A391" s="962" t="s">
        <v>938</v>
      </c>
      <c r="B391" s="1146">
        <v>50</v>
      </c>
      <c r="C391" s="1146">
        <v>10</v>
      </c>
      <c r="D391" s="1146">
        <v>0</v>
      </c>
      <c r="E391" s="1146">
        <v>1</v>
      </c>
      <c r="F391" s="1146">
        <v>1</v>
      </c>
      <c r="G391" s="1146">
        <v>10</v>
      </c>
      <c r="H391" s="1146">
        <v>38</v>
      </c>
      <c r="I391" s="1146">
        <v>58</v>
      </c>
      <c r="J391" s="1147">
        <v>304</v>
      </c>
      <c r="K391" s="1147">
        <v>8</v>
      </c>
      <c r="L391" s="1066" t="s">
        <v>988</v>
      </c>
      <c r="M391" s="959">
        <v>5473000</v>
      </c>
      <c r="N391" s="959">
        <v>15089012.84608</v>
      </c>
      <c r="O391" s="1149">
        <v>11350725.619328</v>
      </c>
      <c r="P391" s="9"/>
      <c r="Q391" s="9"/>
      <c r="R391" s="9"/>
      <c r="S391" s="9"/>
      <c r="U391" s="9"/>
      <c r="W391" s="9"/>
      <c r="X391" s="9"/>
      <c r="Y391" s="9"/>
      <c r="Z391" s="9"/>
      <c r="AA391" s="9"/>
      <c r="AB391" s="9"/>
      <c r="AC391" s="237">
        <f>MAX(J391/J423)</f>
        <v>9.2762793331819832E-2</v>
      </c>
      <c r="AD391" s="235">
        <f t="shared" si="70"/>
        <v>507690.76790504996</v>
      </c>
      <c r="AE391" s="238">
        <f>MAX(I391/I423)</f>
        <v>0.10430153934685656</v>
      </c>
      <c r="AF391" s="235">
        <f t="shared" si="71"/>
        <v>1573807.2670706371</v>
      </c>
      <c r="AG391" s="238">
        <f>MAX(H391/H423)</f>
        <v>0.11547344110854504</v>
      </c>
      <c r="AH391" s="235">
        <f t="shared" si="72"/>
        <v>1310707.3463427252</v>
      </c>
    </row>
    <row r="392" spans="1:34" ht="15" customHeight="1" x14ac:dyDescent="0.2">
      <c r="A392" s="962" t="s">
        <v>362</v>
      </c>
      <c r="B392" s="1146">
        <v>7</v>
      </c>
      <c r="C392" s="1146">
        <v>1</v>
      </c>
      <c r="D392" s="1146">
        <v>0</v>
      </c>
      <c r="E392" s="1146">
        <v>0</v>
      </c>
      <c r="F392" s="1146">
        <v>0</v>
      </c>
      <c r="G392" s="1146">
        <v>4</v>
      </c>
      <c r="H392" s="1146">
        <v>3</v>
      </c>
      <c r="I392" s="1146">
        <v>8</v>
      </c>
      <c r="J392" s="1147">
        <v>33</v>
      </c>
      <c r="K392" s="1147">
        <v>11</v>
      </c>
      <c r="L392" s="1066" t="s">
        <v>988</v>
      </c>
      <c r="M392" s="959">
        <v>5473000</v>
      </c>
      <c r="N392" s="959">
        <v>15089012.84608</v>
      </c>
      <c r="O392" s="1149">
        <v>11350725.619328</v>
      </c>
      <c r="P392" s="9"/>
      <c r="Q392" s="9"/>
      <c r="R392" s="9"/>
      <c r="S392" s="9"/>
      <c r="U392" s="9"/>
      <c r="W392" s="9"/>
      <c r="X392" s="9"/>
      <c r="Y392" s="9"/>
      <c r="Z392" s="9"/>
      <c r="AA392" s="9"/>
      <c r="AB392" s="9"/>
      <c r="AC392" s="237">
        <f>MAX(J392/J423)</f>
        <v>1.0069645328783074E-2</v>
      </c>
      <c r="AD392" s="235">
        <f t="shared" si="70"/>
        <v>55111.168884429761</v>
      </c>
      <c r="AE392" s="238">
        <f>MAX(I392/I423)</f>
        <v>1.4386419220256077E-2</v>
      </c>
      <c r="AF392" s="235">
        <f t="shared" si="71"/>
        <v>217076.86442353614</v>
      </c>
      <c r="AG392" s="238">
        <f>MAX(H392/H423)</f>
        <v>9.1163242980430298E-3</v>
      </c>
      <c r="AH392" s="235">
        <f t="shared" si="72"/>
        <v>103476.89576389936</v>
      </c>
    </row>
    <row r="393" spans="1:34" ht="15" customHeight="1" x14ac:dyDescent="0.2">
      <c r="A393" s="962" t="s">
        <v>363</v>
      </c>
      <c r="B393" s="1146">
        <v>20</v>
      </c>
      <c r="C393" s="1146">
        <v>0</v>
      </c>
      <c r="D393" s="1146">
        <v>0</v>
      </c>
      <c r="E393" s="1146">
        <v>0</v>
      </c>
      <c r="F393" s="1146">
        <v>0</v>
      </c>
      <c r="G393" s="1146">
        <v>10</v>
      </c>
      <c r="H393" s="1146">
        <v>10</v>
      </c>
      <c r="I393" s="1146">
        <v>20</v>
      </c>
      <c r="J393" s="1147">
        <v>100</v>
      </c>
      <c r="K393" s="1147">
        <v>10</v>
      </c>
      <c r="L393" s="1066" t="s">
        <v>988</v>
      </c>
      <c r="M393" s="959">
        <v>5473000</v>
      </c>
      <c r="N393" s="959">
        <v>15089012.84608</v>
      </c>
      <c r="O393" s="1149">
        <v>11350725.619328</v>
      </c>
      <c r="P393" s="9"/>
      <c r="Q393" s="9"/>
      <c r="R393" s="9"/>
      <c r="S393" s="9"/>
      <c r="U393" s="9"/>
      <c r="W393" s="9"/>
      <c r="X393" s="9"/>
      <c r="Y393" s="9"/>
      <c r="Z393" s="9"/>
      <c r="AA393" s="9"/>
      <c r="AB393" s="9"/>
      <c r="AC393" s="237">
        <f>MAX(J393/J423)</f>
        <v>3.0514076753888106E-2</v>
      </c>
      <c r="AD393" s="235">
        <f t="shared" si="70"/>
        <v>167003.5420740296</v>
      </c>
      <c r="AE393" s="238">
        <f>MAX(I393/I423)</f>
        <v>3.5966048050640194E-2</v>
      </c>
      <c r="AF393" s="235">
        <f t="shared" si="71"/>
        <v>542692.16105884046</v>
      </c>
      <c r="AG393" s="238">
        <f>MAX(H393/H423)</f>
        <v>3.0387747660143433E-2</v>
      </c>
      <c r="AH393" s="235">
        <f t="shared" si="72"/>
        <v>344922.98587966454</v>
      </c>
    </row>
    <row r="394" spans="1:34" ht="15" customHeight="1" x14ac:dyDescent="0.2">
      <c r="A394" s="962" t="s">
        <v>939</v>
      </c>
      <c r="B394" s="1146">
        <v>10</v>
      </c>
      <c r="C394" s="1146">
        <v>0</v>
      </c>
      <c r="D394" s="1146">
        <v>0</v>
      </c>
      <c r="E394" s="1146">
        <v>0</v>
      </c>
      <c r="F394" s="1146">
        <v>0</v>
      </c>
      <c r="G394" s="1146">
        <v>2</v>
      </c>
      <c r="H394" s="1146">
        <v>8</v>
      </c>
      <c r="I394" s="1146">
        <v>10</v>
      </c>
      <c r="J394" s="1147">
        <v>80</v>
      </c>
      <c r="K394" s="1147">
        <v>10</v>
      </c>
      <c r="L394" s="1066" t="s">
        <v>988</v>
      </c>
      <c r="M394" s="959">
        <v>5473000</v>
      </c>
      <c r="N394" s="959">
        <v>15089012.84608</v>
      </c>
      <c r="O394" s="1149">
        <v>11350725.619328</v>
      </c>
      <c r="P394" s="9"/>
      <c r="Q394" s="9"/>
      <c r="R394" s="9"/>
      <c r="S394" s="9"/>
      <c r="U394" s="9"/>
      <c r="W394" s="9"/>
      <c r="X394" s="9"/>
      <c r="Y394" s="9"/>
      <c r="Z394" s="9"/>
      <c r="AA394" s="9"/>
      <c r="AB394" s="9"/>
      <c r="AC394" s="237">
        <f>MAX(J394/J423)</f>
        <v>2.4411261403110483E-2</v>
      </c>
      <c r="AD394" s="235">
        <f t="shared" si="70"/>
        <v>133602.83365922366</v>
      </c>
      <c r="AE394" s="238">
        <f>MAX(I394/I423)</f>
        <v>1.7983024025320097E-2</v>
      </c>
      <c r="AF394" s="235">
        <f t="shared" si="71"/>
        <v>271346.08052942023</v>
      </c>
      <c r="AG394" s="238">
        <f>MAX(H394/H423)</f>
        <v>2.4310198128114746E-2</v>
      </c>
      <c r="AH394" s="235">
        <f t="shared" si="72"/>
        <v>275938.38870373165</v>
      </c>
    </row>
    <row r="395" spans="1:34" ht="15" customHeight="1" x14ac:dyDescent="0.2">
      <c r="A395" s="962" t="s">
        <v>365</v>
      </c>
      <c r="B395" s="956">
        <v>36.5</v>
      </c>
      <c r="C395" s="1146">
        <v>4</v>
      </c>
      <c r="D395" s="1146">
        <v>0</v>
      </c>
      <c r="E395" s="1146">
        <v>0</v>
      </c>
      <c r="F395" s="1146">
        <v>0</v>
      </c>
      <c r="G395" s="1146">
        <v>3</v>
      </c>
      <c r="H395" s="1146">
        <v>33.5</v>
      </c>
      <c r="I395" s="1146">
        <v>40.5</v>
      </c>
      <c r="J395" s="1147">
        <v>268</v>
      </c>
      <c r="K395" s="1147">
        <v>8</v>
      </c>
      <c r="L395" s="1066" t="s">
        <v>988</v>
      </c>
      <c r="M395" s="959">
        <v>5473000</v>
      </c>
      <c r="N395" s="959">
        <v>15089012.84608</v>
      </c>
      <c r="O395" s="1149">
        <v>11350725.619328</v>
      </c>
      <c r="P395" s="9"/>
      <c r="Q395" s="9"/>
      <c r="R395" s="9"/>
      <c r="S395" s="9"/>
      <c r="U395" s="9"/>
      <c r="W395" s="9"/>
      <c r="X395" s="9"/>
      <c r="Y395" s="9"/>
      <c r="Z395" s="9"/>
      <c r="AA395" s="9"/>
      <c r="AB395" s="9"/>
      <c r="AC395" s="237">
        <f>MAX(J395/J423)</f>
        <v>8.177772570042012E-2</v>
      </c>
      <c r="AD395" s="235">
        <f t="shared" si="70"/>
        <v>447569.49275839934</v>
      </c>
      <c r="AE395" s="238">
        <f>MAX(I395/I423)</f>
        <v>7.2831247302546392E-2</v>
      </c>
      <c r="AF395" s="235">
        <f t="shared" si="71"/>
        <v>1098951.6261441519</v>
      </c>
      <c r="AG395" s="238">
        <f>MAX(H395/H423)</f>
        <v>0.10179895466148049</v>
      </c>
      <c r="AH395" s="235">
        <f t="shared" si="72"/>
        <v>1155492.0026968762</v>
      </c>
    </row>
    <row r="396" spans="1:34" ht="15" customHeight="1" x14ac:dyDescent="0.2">
      <c r="A396" s="962" t="s">
        <v>366</v>
      </c>
      <c r="B396" s="956">
        <v>0</v>
      </c>
      <c r="C396" s="1146"/>
      <c r="D396" s="1146"/>
      <c r="E396" s="1146"/>
      <c r="F396" s="1146"/>
      <c r="G396" s="1146"/>
      <c r="H396" s="1146">
        <v>0</v>
      </c>
      <c r="I396" s="1146">
        <v>0</v>
      </c>
      <c r="J396" s="1147">
        <v>0</v>
      </c>
      <c r="K396" s="1147"/>
      <c r="L396" s="1148"/>
      <c r="M396" s="959"/>
      <c r="N396" s="959"/>
      <c r="O396" s="1149"/>
      <c r="P396" s="9"/>
      <c r="Q396" s="9"/>
      <c r="R396" s="9"/>
      <c r="S396" s="9"/>
      <c r="U396" s="9"/>
      <c r="W396" s="9"/>
      <c r="X396" s="9"/>
      <c r="Y396" s="9"/>
      <c r="Z396" s="9"/>
      <c r="AA396" s="9"/>
      <c r="AB396" s="9"/>
      <c r="AC396" s="237">
        <f>MAX(J396/J423)</f>
        <v>0</v>
      </c>
      <c r="AD396" s="235">
        <f t="shared" si="70"/>
        <v>0</v>
      </c>
      <c r="AE396" s="238">
        <f>MAX(I396/I423)</f>
        <v>0</v>
      </c>
      <c r="AF396" s="235">
        <f t="shared" si="71"/>
        <v>0</v>
      </c>
      <c r="AG396" s="238">
        <f>MAX(H396/H423)</f>
        <v>0</v>
      </c>
      <c r="AH396" s="235">
        <f t="shared" si="72"/>
        <v>0</v>
      </c>
    </row>
    <row r="397" spans="1:34" ht="15" customHeight="1" x14ac:dyDescent="0.2">
      <c r="A397" s="962" t="s">
        <v>367</v>
      </c>
      <c r="B397" s="956">
        <v>0</v>
      </c>
      <c r="C397" s="1146"/>
      <c r="D397" s="1146"/>
      <c r="E397" s="1146"/>
      <c r="F397" s="1146"/>
      <c r="G397" s="1146"/>
      <c r="H397" s="1146">
        <v>0</v>
      </c>
      <c r="I397" s="1146">
        <v>0</v>
      </c>
      <c r="J397" s="1147">
        <v>0</v>
      </c>
      <c r="K397" s="1147"/>
      <c r="L397" s="1148"/>
      <c r="M397" s="959"/>
      <c r="N397" s="959"/>
      <c r="O397" s="1149"/>
      <c r="P397" s="9"/>
      <c r="Q397" s="9"/>
      <c r="R397" s="9"/>
      <c r="S397" s="9"/>
      <c r="U397" s="9"/>
      <c r="W397" s="9"/>
      <c r="X397" s="9"/>
      <c r="Y397" s="9"/>
      <c r="Z397" s="9"/>
      <c r="AA397" s="9"/>
      <c r="AB397" s="9"/>
      <c r="AC397" s="237">
        <f>MAX(J397/J423)</f>
        <v>0</v>
      </c>
      <c r="AD397" s="235">
        <f t="shared" si="70"/>
        <v>0</v>
      </c>
      <c r="AE397" s="238">
        <f>MAX(I397/I423)</f>
        <v>0</v>
      </c>
      <c r="AF397" s="235">
        <f t="shared" si="71"/>
        <v>0</v>
      </c>
      <c r="AG397" s="238">
        <f>MAX(H397/H423)</f>
        <v>0</v>
      </c>
      <c r="AH397" s="235">
        <f t="shared" si="72"/>
        <v>0</v>
      </c>
    </row>
    <row r="398" spans="1:34" ht="15" customHeight="1" x14ac:dyDescent="0.2">
      <c r="A398" s="434" t="s">
        <v>940</v>
      </c>
      <c r="B398" s="1002">
        <v>27</v>
      </c>
      <c r="C398" s="1002">
        <v>4</v>
      </c>
      <c r="D398" s="1002">
        <v>0</v>
      </c>
      <c r="E398" s="1002">
        <v>2</v>
      </c>
      <c r="F398" s="1002">
        <v>1</v>
      </c>
      <c r="G398" s="1002">
        <v>10</v>
      </c>
      <c r="H398" s="1002">
        <v>14</v>
      </c>
      <c r="I398" s="1002">
        <v>28</v>
      </c>
      <c r="J398" s="1150">
        <v>84</v>
      </c>
      <c r="K398" s="1150">
        <v>6</v>
      </c>
      <c r="L398" s="1152"/>
      <c r="M398" s="996"/>
      <c r="N398" s="996"/>
      <c r="O398" s="1153"/>
      <c r="P398" s="9"/>
      <c r="Q398" s="9"/>
      <c r="R398" s="9"/>
      <c r="S398" s="9"/>
      <c r="U398" s="9"/>
      <c r="W398" s="9"/>
      <c r="X398" s="9"/>
      <c r="Y398" s="9"/>
      <c r="Z398" s="9"/>
      <c r="AA398" s="9"/>
      <c r="AB398" s="9"/>
      <c r="AC398" s="1157"/>
      <c r="AD398" s="1156"/>
      <c r="AE398" s="1158"/>
      <c r="AF398" s="1156"/>
      <c r="AG398" s="1158"/>
      <c r="AH398" s="1156"/>
    </row>
    <row r="399" spans="1:34" ht="15" customHeight="1" x14ac:dyDescent="0.2">
      <c r="A399" s="962" t="s">
        <v>369</v>
      </c>
      <c r="B399" s="1146">
        <v>17</v>
      </c>
      <c r="C399" s="1146">
        <v>4</v>
      </c>
      <c r="D399" s="1146">
        <v>0</v>
      </c>
      <c r="E399" s="1146">
        <v>2</v>
      </c>
      <c r="F399" s="1146">
        <v>1</v>
      </c>
      <c r="G399" s="1146">
        <v>6</v>
      </c>
      <c r="H399" s="1146">
        <v>8</v>
      </c>
      <c r="I399" s="1146">
        <v>18</v>
      </c>
      <c r="J399" s="1147">
        <v>48</v>
      </c>
      <c r="K399" s="1147">
        <v>6</v>
      </c>
      <c r="L399" s="1066" t="s">
        <v>988</v>
      </c>
      <c r="M399" s="959">
        <v>5473000</v>
      </c>
      <c r="N399" s="959">
        <v>15089012.84608</v>
      </c>
      <c r="O399" s="1149">
        <v>11350725.619328</v>
      </c>
      <c r="P399" s="9"/>
      <c r="W399" s="9"/>
      <c r="X399" s="9"/>
      <c r="Y399" s="9"/>
      <c r="Z399" s="9"/>
      <c r="AA399" s="9"/>
      <c r="AB399" s="9"/>
      <c r="AC399" s="237">
        <f>MAX(J399/J423)</f>
        <v>1.4646756841866291E-2</v>
      </c>
      <c r="AD399" s="235">
        <f>MAX(M399*AC399)</f>
        <v>80161.700195534213</v>
      </c>
      <c r="AE399" s="238">
        <f>MAX(I399/I423)</f>
        <v>3.2369443245576175E-2</v>
      </c>
      <c r="AF399" s="235">
        <f>MAX(N399*AE399)</f>
        <v>488422.9449529564</v>
      </c>
      <c r="AG399" s="238">
        <f>MAX(H399/H423)</f>
        <v>2.4310198128114746E-2</v>
      </c>
      <c r="AH399" s="235">
        <f>MAX(O399*AG399)</f>
        <v>275938.38870373165</v>
      </c>
    </row>
    <row r="400" spans="1:34" ht="15" customHeight="1" x14ac:dyDescent="0.2">
      <c r="A400" s="962" t="s">
        <v>370</v>
      </c>
      <c r="B400" s="1146">
        <v>0</v>
      </c>
      <c r="C400" s="1146">
        <v>0</v>
      </c>
      <c r="D400" s="1146">
        <v>0</v>
      </c>
      <c r="E400" s="1146">
        <v>0</v>
      </c>
      <c r="F400" s="1146">
        <v>0</v>
      </c>
      <c r="G400" s="1146">
        <v>0</v>
      </c>
      <c r="H400" s="1146">
        <v>0</v>
      </c>
      <c r="I400" s="1146">
        <v>0</v>
      </c>
      <c r="J400" s="1147">
        <v>0</v>
      </c>
      <c r="K400" s="1147">
        <v>0</v>
      </c>
      <c r="L400" s="1066"/>
      <c r="M400" s="959"/>
      <c r="N400" s="959"/>
      <c r="O400" s="1149"/>
      <c r="P400" s="9"/>
      <c r="Q400" s="9"/>
      <c r="R400" s="9"/>
      <c r="S400" s="9"/>
      <c r="U400" s="9"/>
      <c r="W400" s="9"/>
      <c r="X400" s="9"/>
      <c r="Y400" s="9"/>
      <c r="Z400" s="9"/>
      <c r="AA400" s="9"/>
      <c r="AB400" s="9"/>
      <c r="AC400" s="237">
        <f>MAX(J400/J423)</f>
        <v>0</v>
      </c>
      <c r="AD400" s="235">
        <f>MAX(M400*AC400)</f>
        <v>0</v>
      </c>
      <c r="AE400" s="238">
        <f>MAX(I400/I423)</f>
        <v>0</v>
      </c>
      <c r="AF400" s="235">
        <f>MAX(N400*AE400)</f>
        <v>0</v>
      </c>
      <c r="AG400" s="238">
        <f>MAX(H400/H423)</f>
        <v>0</v>
      </c>
      <c r="AH400" s="235">
        <f>MAX(O400*AG400)</f>
        <v>0</v>
      </c>
    </row>
    <row r="401" spans="1:34" ht="15" customHeight="1" x14ac:dyDescent="0.2">
      <c r="A401" s="962" t="s">
        <v>371</v>
      </c>
      <c r="B401" s="1146">
        <v>0</v>
      </c>
      <c r="C401" s="1146">
        <v>0</v>
      </c>
      <c r="D401" s="1146">
        <v>0</v>
      </c>
      <c r="E401" s="1146">
        <v>0</v>
      </c>
      <c r="F401" s="1146">
        <v>0</v>
      </c>
      <c r="G401" s="1146">
        <v>0</v>
      </c>
      <c r="H401" s="1146">
        <v>0</v>
      </c>
      <c r="I401" s="1146">
        <v>0</v>
      </c>
      <c r="J401" s="1147">
        <v>0</v>
      </c>
      <c r="K401" s="1147">
        <v>0</v>
      </c>
      <c r="L401" s="1066"/>
      <c r="M401" s="959"/>
      <c r="N401" s="959"/>
      <c r="O401" s="1149"/>
      <c r="P401" s="9"/>
      <c r="W401" s="9"/>
      <c r="X401" s="9"/>
      <c r="Y401" s="9"/>
      <c r="Z401" s="9"/>
      <c r="AA401" s="9"/>
      <c r="AB401" s="9"/>
      <c r="AC401" s="237">
        <f>MAX(J401/J423)</f>
        <v>0</v>
      </c>
      <c r="AD401" s="235">
        <f>MAX(M401*AC401)</f>
        <v>0</v>
      </c>
      <c r="AE401" s="238">
        <f>MAX(I401/I423)</f>
        <v>0</v>
      </c>
      <c r="AF401" s="235">
        <f>MAX(N401*AE401)</f>
        <v>0</v>
      </c>
      <c r="AG401" s="238">
        <f>MAX(H401/H423)</f>
        <v>0</v>
      </c>
      <c r="AH401" s="235">
        <f>MAX(O401*AG401)</f>
        <v>0</v>
      </c>
    </row>
    <row r="402" spans="1:34" ht="15" customHeight="1" x14ac:dyDescent="0.2">
      <c r="A402" s="962" t="s">
        <v>372</v>
      </c>
      <c r="B402" s="1146">
        <v>10</v>
      </c>
      <c r="C402" s="1146">
        <v>0</v>
      </c>
      <c r="D402" s="1146">
        <v>0</v>
      </c>
      <c r="E402" s="1146">
        <v>0</v>
      </c>
      <c r="F402" s="1146">
        <v>0</v>
      </c>
      <c r="G402" s="1146">
        <v>4</v>
      </c>
      <c r="H402" s="1146">
        <v>6</v>
      </c>
      <c r="I402" s="1146">
        <v>10</v>
      </c>
      <c r="J402" s="1147">
        <v>36</v>
      </c>
      <c r="K402" s="1147">
        <v>6</v>
      </c>
      <c r="L402" s="1066" t="s">
        <v>988</v>
      </c>
      <c r="M402" s="959">
        <v>5473000</v>
      </c>
      <c r="N402" s="959">
        <v>15089012.84608</v>
      </c>
      <c r="O402" s="1149">
        <v>11350725.619328</v>
      </c>
      <c r="P402" s="9"/>
      <c r="W402" s="9"/>
      <c r="X402" s="9"/>
      <c r="Y402" s="9"/>
      <c r="Z402" s="9"/>
      <c r="AA402" s="9"/>
      <c r="AB402" s="9"/>
      <c r="AC402" s="237">
        <f>MAX(J402/J423)</f>
        <v>1.0985067631399718E-2</v>
      </c>
      <c r="AD402" s="235">
        <f>MAX(M402*AC402)</f>
        <v>60121.27514665066</v>
      </c>
      <c r="AE402" s="238">
        <f>MAX(I402/I423)</f>
        <v>1.7983024025320097E-2</v>
      </c>
      <c r="AF402" s="235">
        <f>MAX(N402*AE402)</f>
        <v>271346.08052942023</v>
      </c>
      <c r="AG402" s="238">
        <f>MAX(H402/H423)</f>
        <v>1.823264859608606E-2</v>
      </c>
      <c r="AH402" s="235">
        <f>MAX(O402*AG402)</f>
        <v>206953.79152779872</v>
      </c>
    </row>
    <row r="403" spans="1:34" ht="15" customHeight="1" x14ac:dyDescent="0.2">
      <c r="A403" s="962" t="s">
        <v>373</v>
      </c>
      <c r="B403" s="1146">
        <v>0</v>
      </c>
      <c r="C403" s="1146">
        <v>0</v>
      </c>
      <c r="D403" s="1146">
        <v>0</v>
      </c>
      <c r="E403" s="1146">
        <v>0</v>
      </c>
      <c r="F403" s="1146">
        <v>0</v>
      </c>
      <c r="G403" s="1146">
        <v>0</v>
      </c>
      <c r="H403" s="1146">
        <v>0</v>
      </c>
      <c r="I403" s="1146">
        <v>0</v>
      </c>
      <c r="J403" s="1147">
        <v>0</v>
      </c>
      <c r="K403" s="1147">
        <v>0</v>
      </c>
      <c r="L403" s="1066"/>
      <c r="M403" s="959"/>
      <c r="N403" s="959"/>
      <c r="O403" s="1149"/>
      <c r="P403" s="9"/>
      <c r="W403" s="9"/>
      <c r="X403" s="9"/>
      <c r="Y403" s="9"/>
      <c r="Z403" s="9"/>
      <c r="AA403" s="9"/>
      <c r="AB403" s="9"/>
      <c r="AC403" s="237">
        <f>MAX(J403/J423)</f>
        <v>0</v>
      </c>
      <c r="AD403" s="235">
        <f>MAX(M403*AC403)</f>
        <v>0</v>
      </c>
      <c r="AE403" s="238">
        <f>MAX(I403/I423)</f>
        <v>0</v>
      </c>
      <c r="AF403" s="235">
        <f>MAX(N403*AE403)</f>
        <v>0</v>
      </c>
      <c r="AG403" s="238">
        <f>MAX(H403/H423)</f>
        <v>0</v>
      </c>
      <c r="AH403" s="235">
        <f>MAX(O403*AG403)</f>
        <v>0</v>
      </c>
    </row>
    <row r="404" spans="1:34" ht="15" customHeight="1" x14ac:dyDescent="0.2">
      <c r="A404" s="1154" t="s">
        <v>374</v>
      </c>
      <c r="B404" s="1002">
        <v>244.98</v>
      </c>
      <c r="C404" s="1002">
        <v>3</v>
      </c>
      <c r="D404" s="1002">
        <v>1</v>
      </c>
      <c r="E404" s="1002">
        <v>20</v>
      </c>
      <c r="F404" s="1002">
        <v>0</v>
      </c>
      <c r="G404" s="1002">
        <v>74</v>
      </c>
      <c r="H404" s="1002">
        <v>149.98000000000002</v>
      </c>
      <c r="I404" s="1002">
        <v>227.98</v>
      </c>
      <c r="J404" s="1150">
        <v>1523.4259999999999</v>
      </c>
      <c r="K404" s="1150">
        <v>10.157527670356046</v>
      </c>
      <c r="L404" s="1152"/>
      <c r="M404" s="996"/>
      <c r="N404" s="996"/>
      <c r="O404" s="1153"/>
      <c r="P404" s="9"/>
      <c r="W404" s="9"/>
      <c r="X404" s="9"/>
      <c r="Y404" s="9"/>
      <c r="Z404" s="9"/>
      <c r="AA404" s="9"/>
      <c r="AB404" s="9"/>
      <c r="AC404" s="1157"/>
      <c r="AD404" s="1156"/>
      <c r="AE404" s="1158"/>
      <c r="AF404" s="1156"/>
      <c r="AG404" s="1158"/>
      <c r="AH404" s="1156"/>
    </row>
    <row r="405" spans="1:34" ht="15" customHeight="1" x14ac:dyDescent="0.2">
      <c r="A405" s="962" t="s">
        <v>375</v>
      </c>
      <c r="B405" s="1146">
        <v>5</v>
      </c>
      <c r="C405" s="1146">
        <v>2</v>
      </c>
      <c r="D405" s="1146">
        <v>1</v>
      </c>
      <c r="E405" s="1146">
        <v>0</v>
      </c>
      <c r="F405" s="1146">
        <v>0</v>
      </c>
      <c r="G405" s="1146">
        <v>1</v>
      </c>
      <c r="H405" s="1146">
        <v>3</v>
      </c>
      <c r="I405" s="1146">
        <v>7</v>
      </c>
      <c r="J405" s="1147">
        <v>33</v>
      </c>
      <c r="K405" s="1147">
        <v>11</v>
      </c>
      <c r="L405" s="1066" t="s">
        <v>988</v>
      </c>
      <c r="M405" s="959">
        <v>5473000</v>
      </c>
      <c r="N405" s="959">
        <v>15089012.84608</v>
      </c>
      <c r="O405" s="1149">
        <v>11350725.619328</v>
      </c>
      <c r="P405" s="9"/>
      <c r="Q405" s="9"/>
      <c r="R405" s="9"/>
      <c r="S405" s="9"/>
      <c r="U405" s="9"/>
      <c r="W405" s="9"/>
      <c r="X405" s="9"/>
      <c r="Y405" s="9"/>
      <c r="Z405" s="9"/>
      <c r="AA405" s="9"/>
      <c r="AB405" s="9"/>
      <c r="AC405" s="237">
        <f>MAX(J405/J423)</f>
        <v>1.0069645328783074E-2</v>
      </c>
      <c r="AD405" s="235">
        <f t="shared" ref="AD405:AD412" si="73">MAX(M405*AC405)</f>
        <v>55111.168884429761</v>
      </c>
      <c r="AE405" s="238">
        <f>MAX(I405/I423)</f>
        <v>1.2588116817724067E-2</v>
      </c>
      <c r="AF405" s="235">
        <f t="shared" ref="AF405:AF412" si="74">MAX(N405*AE405)</f>
        <v>189942.25637059414</v>
      </c>
      <c r="AG405" s="238">
        <f>MAX(H405/H423)</f>
        <v>9.1163242980430298E-3</v>
      </c>
      <c r="AH405" s="235">
        <f t="shared" ref="AH405:AH412" si="75">MAX(O405*AG405)</f>
        <v>103476.89576389936</v>
      </c>
    </row>
    <row r="406" spans="1:34" ht="15" customHeight="1" x14ac:dyDescent="0.2">
      <c r="A406" s="962" t="s">
        <v>376</v>
      </c>
      <c r="B406" s="1146">
        <v>0</v>
      </c>
      <c r="C406" s="1146">
        <v>0</v>
      </c>
      <c r="D406" s="1146">
        <v>0</v>
      </c>
      <c r="E406" s="1146">
        <v>0</v>
      </c>
      <c r="F406" s="1146">
        <v>0</v>
      </c>
      <c r="G406" s="1146">
        <v>0</v>
      </c>
      <c r="H406" s="1146">
        <v>0</v>
      </c>
      <c r="I406" s="1146">
        <v>0</v>
      </c>
      <c r="J406" s="1147">
        <v>0</v>
      </c>
      <c r="K406" s="1147">
        <v>0</v>
      </c>
      <c r="L406" s="1066"/>
      <c r="M406" s="959"/>
      <c r="N406" s="959"/>
      <c r="O406" s="1149"/>
      <c r="P406" s="9"/>
      <c r="Q406" s="9"/>
      <c r="R406" s="9"/>
      <c r="S406" s="9"/>
      <c r="U406" s="9"/>
      <c r="W406" s="9"/>
      <c r="X406" s="9"/>
      <c r="Y406" s="9"/>
      <c r="Z406" s="9"/>
      <c r="AA406" s="9"/>
      <c r="AB406" s="9"/>
      <c r="AC406" s="237">
        <f>MAX(J406/J423)</f>
        <v>0</v>
      </c>
      <c r="AD406" s="235">
        <f t="shared" si="73"/>
        <v>0</v>
      </c>
      <c r="AE406" s="238">
        <f>MAX(I406/I423)</f>
        <v>0</v>
      </c>
      <c r="AF406" s="235">
        <f t="shared" si="74"/>
        <v>0</v>
      </c>
      <c r="AG406" s="238">
        <f>MAX(H406/H423)</f>
        <v>0</v>
      </c>
      <c r="AH406" s="235">
        <f t="shared" si="75"/>
        <v>0</v>
      </c>
    </row>
    <row r="407" spans="1:34" ht="15" customHeight="1" x14ac:dyDescent="0.2">
      <c r="A407" s="962" t="s">
        <v>377</v>
      </c>
      <c r="B407" s="1146">
        <v>0</v>
      </c>
      <c r="C407" s="1146"/>
      <c r="D407" s="1146"/>
      <c r="E407" s="1146"/>
      <c r="F407" s="1146"/>
      <c r="G407" s="1146"/>
      <c r="H407" s="1146">
        <v>0</v>
      </c>
      <c r="I407" s="1146">
        <v>0</v>
      </c>
      <c r="J407" s="1147">
        <v>0</v>
      </c>
      <c r="K407" s="1147">
        <v>0</v>
      </c>
      <c r="L407" s="1066"/>
      <c r="M407" s="959"/>
      <c r="N407" s="959"/>
      <c r="O407" s="1149"/>
      <c r="P407" s="9"/>
      <c r="Q407" s="9"/>
      <c r="R407" s="9"/>
      <c r="S407" s="9"/>
      <c r="U407" s="9"/>
      <c r="W407" s="9"/>
      <c r="X407" s="9"/>
      <c r="Y407" s="9"/>
      <c r="Z407" s="9"/>
      <c r="AA407" s="9"/>
      <c r="AB407" s="9"/>
      <c r="AC407" s="237">
        <f>MAX(J407/J423)</f>
        <v>0</v>
      </c>
      <c r="AD407" s="235">
        <f t="shared" si="73"/>
        <v>0</v>
      </c>
      <c r="AE407" s="238">
        <f>MAX(I407/I423)</f>
        <v>0</v>
      </c>
      <c r="AF407" s="235">
        <f t="shared" si="74"/>
        <v>0</v>
      </c>
      <c r="AG407" s="238">
        <f>MAX(H407/H423)</f>
        <v>0</v>
      </c>
      <c r="AH407" s="235">
        <f t="shared" si="75"/>
        <v>0</v>
      </c>
    </row>
    <row r="408" spans="1:34" ht="15" customHeight="1" x14ac:dyDescent="0.2">
      <c r="A408" s="962" t="s">
        <v>378</v>
      </c>
      <c r="B408" s="1146">
        <v>53.68</v>
      </c>
      <c r="C408" s="1146">
        <v>0</v>
      </c>
      <c r="D408" s="1146">
        <v>0</v>
      </c>
      <c r="E408" s="1146">
        <v>20</v>
      </c>
      <c r="F408" s="1146">
        <v>0</v>
      </c>
      <c r="G408" s="1146">
        <v>0</v>
      </c>
      <c r="H408" s="1146">
        <v>33.68</v>
      </c>
      <c r="I408" s="1146">
        <v>33.68</v>
      </c>
      <c r="J408" s="1147">
        <v>343.536</v>
      </c>
      <c r="K408" s="1147">
        <v>10.199999999999999</v>
      </c>
      <c r="L408" s="1066" t="s">
        <v>988</v>
      </c>
      <c r="M408" s="959">
        <v>5473000</v>
      </c>
      <c r="N408" s="959">
        <v>15089012.84608</v>
      </c>
      <c r="O408" s="1149">
        <v>11350725.619328</v>
      </c>
      <c r="P408" s="9"/>
      <c r="W408" s="9"/>
      <c r="X408" s="9"/>
      <c r="Y408" s="9"/>
      <c r="Z408" s="9"/>
      <c r="AA408" s="9"/>
      <c r="AB408" s="9"/>
      <c r="AC408" s="237">
        <f>MAX(J408/J423)</f>
        <v>0.10482683871723704</v>
      </c>
      <c r="AD408" s="235">
        <f t="shared" si="73"/>
        <v>573717.28829943831</v>
      </c>
      <c r="AE408" s="238">
        <f>MAX(I408/I423)</f>
        <v>6.0566824917278085E-2</v>
      </c>
      <c r="AF408" s="235">
        <f t="shared" si="74"/>
        <v>913893.59922308719</v>
      </c>
      <c r="AG408" s="238">
        <f>MAX(H408/H423)</f>
        <v>0.10234593411936307</v>
      </c>
      <c r="AH408" s="235">
        <f t="shared" si="75"/>
        <v>1161700.6164427102</v>
      </c>
    </row>
    <row r="409" spans="1:34" ht="15" customHeight="1" x14ac:dyDescent="0.2">
      <c r="A409" s="962" t="s">
        <v>379</v>
      </c>
      <c r="B409" s="1146">
        <v>38.200000000000003</v>
      </c>
      <c r="C409" s="1146"/>
      <c r="D409" s="1146"/>
      <c r="E409" s="1146"/>
      <c r="F409" s="1146"/>
      <c r="G409" s="1146">
        <v>15</v>
      </c>
      <c r="H409" s="1146">
        <v>23.200000000000003</v>
      </c>
      <c r="I409" s="1146">
        <v>38.200000000000003</v>
      </c>
      <c r="J409" s="1147">
        <v>232.00000000000003</v>
      </c>
      <c r="K409" s="1147">
        <v>10</v>
      </c>
      <c r="L409" s="1066" t="s">
        <v>988</v>
      </c>
      <c r="M409" s="959">
        <v>5473000</v>
      </c>
      <c r="N409" s="959">
        <v>15089012.84608</v>
      </c>
      <c r="O409" s="1149">
        <v>11350725.619328</v>
      </c>
      <c r="P409" s="9"/>
      <c r="W409" s="9"/>
      <c r="X409" s="9"/>
      <c r="Y409" s="9"/>
      <c r="Z409" s="9"/>
      <c r="AA409" s="9"/>
      <c r="AB409" s="9"/>
      <c r="AC409" s="237">
        <f>MAX(J409/J423)</f>
        <v>7.0792658069020409E-2</v>
      </c>
      <c r="AD409" s="235">
        <f t="shared" si="73"/>
        <v>387448.21761174873</v>
      </c>
      <c r="AE409" s="238">
        <f>MAX(I409/I423)</f>
        <v>6.8695151776722779E-2</v>
      </c>
      <c r="AF409" s="235">
        <f t="shared" si="74"/>
        <v>1036542.0276223853</v>
      </c>
      <c r="AG409" s="238">
        <f>MAX(H409/H423)</f>
        <v>7.0499574571532775E-2</v>
      </c>
      <c r="AH409" s="235">
        <f t="shared" si="75"/>
        <v>800221.32724082191</v>
      </c>
    </row>
    <row r="410" spans="1:34" ht="15" customHeight="1" x14ac:dyDescent="0.2">
      <c r="A410" s="962" t="s">
        <v>380</v>
      </c>
      <c r="B410" s="956">
        <v>8.629999999999999</v>
      </c>
      <c r="C410" s="1146">
        <v>1</v>
      </c>
      <c r="D410" s="1146">
        <v>0</v>
      </c>
      <c r="E410" s="1146">
        <v>0</v>
      </c>
      <c r="F410" s="1146">
        <v>0</v>
      </c>
      <c r="G410" s="1146">
        <v>4</v>
      </c>
      <c r="H410" s="1146">
        <v>4.629999999999999</v>
      </c>
      <c r="I410" s="1146">
        <v>9.629999999999999</v>
      </c>
      <c r="J410" s="1147">
        <v>60.189999999999984</v>
      </c>
      <c r="K410" s="1147">
        <v>13</v>
      </c>
      <c r="L410" s="1066" t="s">
        <v>988</v>
      </c>
      <c r="M410" s="959">
        <v>5473000</v>
      </c>
      <c r="N410" s="959">
        <v>15089012.84608</v>
      </c>
      <c r="O410" s="1149">
        <v>11350725.619328</v>
      </c>
      <c r="P410" s="9"/>
      <c r="Q410" s="9"/>
      <c r="R410" s="9"/>
      <c r="S410" s="9"/>
      <c r="T410" s="9"/>
      <c r="U410" s="9"/>
      <c r="W410" s="9"/>
      <c r="X410" s="9"/>
      <c r="Y410" s="9"/>
      <c r="Z410" s="9"/>
      <c r="AA410" s="9"/>
      <c r="AB410" s="9"/>
      <c r="AC410" s="237">
        <f>MAX(J410/J423)</f>
        <v>1.8366422798165246E-2</v>
      </c>
      <c r="AD410" s="235">
        <f t="shared" si="73"/>
        <v>100519.43197435839</v>
      </c>
      <c r="AE410" s="238">
        <f>MAX(I410/I423)</f>
        <v>1.7317652136383251E-2</v>
      </c>
      <c r="AF410" s="235">
        <f t="shared" si="74"/>
        <v>261306.27554983163</v>
      </c>
      <c r="AG410" s="238">
        <f>MAX(H410/H423)</f>
        <v>1.4069527166646405E-2</v>
      </c>
      <c r="AH410" s="235">
        <f t="shared" si="75"/>
        <v>159699.34246228464</v>
      </c>
    </row>
    <row r="411" spans="1:34" ht="15" customHeight="1" x14ac:dyDescent="0.2">
      <c r="A411" s="962" t="s">
        <v>381</v>
      </c>
      <c r="B411" s="956">
        <v>139.47</v>
      </c>
      <c r="C411" s="1146"/>
      <c r="D411" s="1146"/>
      <c r="E411" s="1146"/>
      <c r="F411" s="1146"/>
      <c r="G411" s="1146">
        <v>54</v>
      </c>
      <c r="H411" s="1146">
        <v>85.47</v>
      </c>
      <c r="I411" s="1146">
        <v>139.47</v>
      </c>
      <c r="J411" s="1147">
        <v>854.7</v>
      </c>
      <c r="K411" s="1147">
        <v>10</v>
      </c>
      <c r="L411" s="1066" t="s">
        <v>988</v>
      </c>
      <c r="M411" s="959">
        <v>5473000</v>
      </c>
      <c r="N411" s="959">
        <v>15089012.84608</v>
      </c>
      <c r="O411" s="1149">
        <v>11350725.619328</v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237">
        <f>MAX(J411/J423)</f>
        <v>0.26080381401548164</v>
      </c>
      <c r="AD411" s="235">
        <f t="shared" si="73"/>
        <v>1427379.2741067309</v>
      </c>
      <c r="AE411" s="238">
        <f>MAX(I411/I423)</f>
        <v>0.25080923608113936</v>
      </c>
      <c r="AF411" s="235">
        <f t="shared" si="74"/>
        <v>3784463.7851438234</v>
      </c>
      <c r="AG411" s="238">
        <f>MAX(H411/H423)</f>
        <v>0.25972407925124591</v>
      </c>
      <c r="AH411" s="235">
        <f t="shared" si="75"/>
        <v>2948056.7603134927</v>
      </c>
    </row>
    <row r="412" spans="1:34" ht="15" customHeight="1" x14ac:dyDescent="0.2">
      <c r="A412" s="962" t="s">
        <v>382</v>
      </c>
      <c r="B412" s="956">
        <v>0</v>
      </c>
      <c r="C412" s="1146">
        <v>0</v>
      </c>
      <c r="D412" s="1146">
        <v>0</v>
      </c>
      <c r="E412" s="1146">
        <v>0</v>
      </c>
      <c r="F412" s="1146">
        <v>0</v>
      </c>
      <c r="G412" s="1146">
        <v>0</v>
      </c>
      <c r="H412" s="1146">
        <v>0</v>
      </c>
      <c r="I412" s="1146">
        <v>0</v>
      </c>
      <c r="J412" s="1147">
        <v>0</v>
      </c>
      <c r="K412" s="1147">
        <v>0</v>
      </c>
      <c r="L412" s="1066"/>
      <c r="M412" s="959"/>
      <c r="N412" s="959"/>
      <c r="O412" s="114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237">
        <f>MAX(J412/J423)</f>
        <v>0</v>
      </c>
      <c r="AD412" s="235">
        <f t="shared" si="73"/>
        <v>0</v>
      </c>
      <c r="AE412" s="238">
        <f>MAX(I412/I423)</f>
        <v>0</v>
      </c>
      <c r="AF412" s="235">
        <f t="shared" si="74"/>
        <v>0</v>
      </c>
      <c r="AG412" s="238">
        <f>MAX(H412/H423)</f>
        <v>0</v>
      </c>
      <c r="AH412" s="235">
        <f t="shared" si="75"/>
        <v>0</v>
      </c>
    </row>
    <row r="413" spans="1:34" ht="15" customHeight="1" x14ac:dyDescent="0.2">
      <c r="A413" s="1154" t="s">
        <v>383</v>
      </c>
      <c r="B413" s="1002">
        <v>78.83</v>
      </c>
      <c r="C413" s="1002">
        <v>31</v>
      </c>
      <c r="D413" s="1002">
        <v>6</v>
      </c>
      <c r="E413" s="1002">
        <v>3</v>
      </c>
      <c r="F413" s="1002">
        <v>0</v>
      </c>
      <c r="G413" s="1002">
        <v>28</v>
      </c>
      <c r="H413" s="1002">
        <v>41.83</v>
      </c>
      <c r="I413" s="1002">
        <v>106.83</v>
      </c>
      <c r="J413" s="1150">
        <v>518.96</v>
      </c>
      <c r="K413" s="1150">
        <v>12.406406885010759</v>
      </c>
      <c r="L413" s="1152"/>
      <c r="M413" s="996"/>
      <c r="N413" s="996"/>
      <c r="O413" s="1153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1157"/>
      <c r="AD413" s="1156"/>
      <c r="AE413" s="1158"/>
      <c r="AF413" s="1156"/>
      <c r="AG413" s="1158"/>
      <c r="AH413" s="1156"/>
    </row>
    <row r="414" spans="1:34" ht="15" customHeight="1" x14ac:dyDescent="0.2">
      <c r="A414" s="962" t="s">
        <v>384</v>
      </c>
      <c r="B414" s="1146">
        <v>21.83</v>
      </c>
      <c r="C414" s="1146">
        <v>12</v>
      </c>
      <c r="D414" s="1146">
        <v>0</v>
      </c>
      <c r="E414" s="1146">
        <v>2</v>
      </c>
      <c r="F414" s="1146">
        <v>0</v>
      </c>
      <c r="G414" s="1146">
        <v>3</v>
      </c>
      <c r="H414" s="1146">
        <v>16.829999999999998</v>
      </c>
      <c r="I414" s="1146">
        <v>31.83</v>
      </c>
      <c r="J414" s="1147">
        <v>201.95999999999998</v>
      </c>
      <c r="K414" s="1147">
        <v>12</v>
      </c>
      <c r="L414" s="1066" t="s">
        <v>988</v>
      </c>
      <c r="M414" s="959">
        <v>5473000</v>
      </c>
      <c r="N414" s="959">
        <v>15089012.84608</v>
      </c>
      <c r="O414" s="1149">
        <v>11350725.619328</v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237">
        <f>MAX(J414/J423)</f>
        <v>6.1626229412152407E-2</v>
      </c>
      <c r="AD414" s="235">
        <f t="shared" ref="AD414:AD422" si="76">MAX(M414*AC414)</f>
        <v>337280.35357271013</v>
      </c>
      <c r="AE414" s="238">
        <f>MAX(I414/I423)</f>
        <v>5.7239965472593864E-2</v>
      </c>
      <c r="AF414" s="235">
        <f t="shared" ref="AF414:AF422" si="77">MAX(N414*AE414)</f>
        <v>863694.57432514441</v>
      </c>
      <c r="AG414" s="238">
        <f>MAX(H414/H423)</f>
        <v>5.1142579312021388E-2</v>
      </c>
      <c r="AH414" s="235">
        <f t="shared" ref="AH414:AH422" si="78">MAX(O414*AG414)</f>
        <v>580505.38523547526</v>
      </c>
    </row>
    <row r="415" spans="1:34" ht="15" customHeight="1" x14ac:dyDescent="0.2">
      <c r="A415" s="962" t="s">
        <v>385</v>
      </c>
      <c r="B415" s="1146">
        <v>8</v>
      </c>
      <c r="C415" s="1146">
        <v>1</v>
      </c>
      <c r="D415" s="1146">
        <v>1</v>
      </c>
      <c r="E415" s="1146">
        <v>0</v>
      </c>
      <c r="F415" s="1146">
        <v>0</v>
      </c>
      <c r="G415" s="1146">
        <v>3</v>
      </c>
      <c r="H415" s="1146">
        <v>4</v>
      </c>
      <c r="I415" s="1146">
        <v>9</v>
      </c>
      <c r="J415" s="1147">
        <v>60</v>
      </c>
      <c r="K415" s="1147">
        <v>15</v>
      </c>
      <c r="L415" s="1066" t="s">
        <v>988</v>
      </c>
      <c r="M415" s="959">
        <v>5473000</v>
      </c>
      <c r="N415" s="959">
        <v>15089012.84608</v>
      </c>
      <c r="O415" s="1149">
        <v>11350725.619328</v>
      </c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237">
        <f>MAX(J415/J423)</f>
        <v>1.8308446052332863E-2</v>
      </c>
      <c r="AD415" s="235">
        <f t="shared" si="76"/>
        <v>100202.12524441775</v>
      </c>
      <c r="AE415" s="238">
        <f>MAX(I415/I423)</f>
        <v>1.6184721622788088E-2</v>
      </c>
      <c r="AF415" s="235">
        <f t="shared" si="77"/>
        <v>244211.4724764782</v>
      </c>
      <c r="AG415" s="238">
        <f>MAX(H415/H423)</f>
        <v>1.2155099064057373E-2</v>
      </c>
      <c r="AH415" s="235">
        <f t="shared" si="78"/>
        <v>137969.19435186582</v>
      </c>
    </row>
    <row r="416" spans="1:34" ht="15" customHeight="1" x14ac:dyDescent="0.2">
      <c r="A416" s="962" t="s">
        <v>386</v>
      </c>
      <c r="B416" s="1146">
        <v>7</v>
      </c>
      <c r="C416" s="1146">
        <v>0</v>
      </c>
      <c r="D416" s="1146">
        <v>0</v>
      </c>
      <c r="E416" s="1146">
        <v>0</v>
      </c>
      <c r="F416" s="1146">
        <v>0</v>
      </c>
      <c r="G416" s="1146">
        <v>3</v>
      </c>
      <c r="H416" s="1146">
        <v>4</v>
      </c>
      <c r="I416" s="1146">
        <v>7</v>
      </c>
      <c r="J416" s="1147">
        <v>60</v>
      </c>
      <c r="K416" s="1147">
        <v>15</v>
      </c>
      <c r="L416" s="1066" t="s">
        <v>988</v>
      </c>
      <c r="M416" s="959">
        <v>5473000</v>
      </c>
      <c r="N416" s="959">
        <v>15089012.84608</v>
      </c>
      <c r="O416" s="1149">
        <v>11350725.619328</v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237">
        <f>MAX(J416/J423)</f>
        <v>1.8308446052332863E-2</v>
      </c>
      <c r="AD416" s="235">
        <f t="shared" si="76"/>
        <v>100202.12524441775</v>
      </c>
      <c r="AE416" s="238">
        <f>MAX(I416/I423)</f>
        <v>1.2588116817724067E-2</v>
      </c>
      <c r="AF416" s="235">
        <f t="shared" si="77"/>
        <v>189942.25637059414</v>
      </c>
      <c r="AG416" s="238">
        <f>MAX(H416/H423)</f>
        <v>1.2155099064057373E-2</v>
      </c>
      <c r="AH416" s="235">
        <f t="shared" si="78"/>
        <v>137969.19435186582</v>
      </c>
    </row>
    <row r="417" spans="1:34" ht="15" customHeight="1" x14ac:dyDescent="0.2">
      <c r="A417" s="962" t="s">
        <v>387</v>
      </c>
      <c r="B417" s="1146">
        <v>14</v>
      </c>
      <c r="C417" s="1146">
        <v>3</v>
      </c>
      <c r="D417" s="1146">
        <v>2</v>
      </c>
      <c r="E417" s="1146">
        <v>1</v>
      </c>
      <c r="F417" s="1146">
        <v>0</v>
      </c>
      <c r="G417" s="1146">
        <v>5</v>
      </c>
      <c r="H417" s="1146">
        <v>6</v>
      </c>
      <c r="I417" s="1146">
        <v>16</v>
      </c>
      <c r="J417" s="1147">
        <v>90</v>
      </c>
      <c r="K417" s="1147">
        <v>15</v>
      </c>
      <c r="L417" s="1066" t="s">
        <v>988</v>
      </c>
      <c r="M417" s="959">
        <v>5473000</v>
      </c>
      <c r="N417" s="959">
        <v>15089012.84608</v>
      </c>
      <c r="O417" s="1149">
        <v>11350725.619328</v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237">
        <f>MAX(J417/J423)</f>
        <v>2.7462669078499292E-2</v>
      </c>
      <c r="AD417" s="235">
        <f t="shared" si="76"/>
        <v>150303.18786662663</v>
      </c>
      <c r="AE417" s="238">
        <f>MAX(I417/I423)</f>
        <v>2.8772838440512153E-2</v>
      </c>
      <c r="AF417" s="235">
        <f t="shared" si="77"/>
        <v>434153.72884707229</v>
      </c>
      <c r="AG417" s="238">
        <f>MAX(H417/H423)</f>
        <v>1.823264859608606E-2</v>
      </c>
      <c r="AH417" s="235">
        <f t="shared" si="78"/>
        <v>206953.79152779872</v>
      </c>
    </row>
    <row r="418" spans="1:34" ht="15" customHeight="1" x14ac:dyDescent="0.2">
      <c r="A418" s="962" t="s">
        <v>388</v>
      </c>
      <c r="B418" s="1146">
        <v>15</v>
      </c>
      <c r="C418" s="1146">
        <v>15</v>
      </c>
      <c r="D418" s="1146">
        <v>3</v>
      </c>
      <c r="E418" s="1146">
        <v>0</v>
      </c>
      <c r="F418" s="1146">
        <v>0</v>
      </c>
      <c r="G418" s="1146">
        <v>6</v>
      </c>
      <c r="H418" s="1146">
        <v>6</v>
      </c>
      <c r="I418" s="1146">
        <v>30</v>
      </c>
      <c r="J418" s="1147">
        <v>60</v>
      </c>
      <c r="K418" s="1147">
        <v>10</v>
      </c>
      <c r="L418" s="1066" t="s">
        <v>988</v>
      </c>
      <c r="M418" s="959">
        <v>5473000</v>
      </c>
      <c r="N418" s="959">
        <v>15089012.84608</v>
      </c>
      <c r="O418" s="1149">
        <v>11350725.619328</v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237">
        <f>MAX(J418/J423)</f>
        <v>1.8308446052332863E-2</v>
      </c>
      <c r="AD418" s="235">
        <f t="shared" si="76"/>
        <v>100202.12524441775</v>
      </c>
      <c r="AE418" s="238">
        <f>MAX(I418/I423)</f>
        <v>5.3949072075960287E-2</v>
      </c>
      <c r="AF418" s="235">
        <f t="shared" si="77"/>
        <v>814038.24158826051</v>
      </c>
      <c r="AG418" s="238">
        <f>MAX(H418/H423)</f>
        <v>1.823264859608606E-2</v>
      </c>
      <c r="AH418" s="235">
        <f t="shared" si="78"/>
        <v>206953.79152779872</v>
      </c>
    </row>
    <row r="419" spans="1:34" ht="15" customHeight="1" x14ac:dyDescent="0.2">
      <c r="A419" s="962" t="s">
        <v>389</v>
      </c>
      <c r="B419" s="1146">
        <v>0</v>
      </c>
      <c r="C419" s="1146">
        <v>0</v>
      </c>
      <c r="D419" s="1146"/>
      <c r="E419" s="1146"/>
      <c r="F419" s="1146"/>
      <c r="G419" s="1146"/>
      <c r="H419" s="1146">
        <v>0</v>
      </c>
      <c r="I419" s="1146">
        <v>0</v>
      </c>
      <c r="J419" s="1147">
        <v>0</v>
      </c>
      <c r="K419" s="1147"/>
      <c r="L419" s="1066"/>
      <c r="M419" s="959"/>
      <c r="N419" s="959"/>
      <c r="O419" s="114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237">
        <f>MAX(J419/J423)</f>
        <v>0</v>
      </c>
      <c r="AD419" s="235">
        <f t="shared" si="76"/>
        <v>0</v>
      </c>
      <c r="AE419" s="238">
        <f>MAX(I419/I423)</f>
        <v>0</v>
      </c>
      <c r="AF419" s="235">
        <f t="shared" si="77"/>
        <v>0</v>
      </c>
      <c r="AG419" s="238">
        <f>MAX(H419/H423)</f>
        <v>0</v>
      </c>
      <c r="AH419" s="235">
        <f t="shared" si="78"/>
        <v>0</v>
      </c>
    </row>
    <row r="420" spans="1:34" ht="15" customHeight="1" x14ac:dyDescent="0.2">
      <c r="A420" s="962" t="s">
        <v>390</v>
      </c>
      <c r="B420" s="1146">
        <v>10</v>
      </c>
      <c r="C420" s="1146"/>
      <c r="D420" s="1146"/>
      <c r="E420" s="1146"/>
      <c r="F420" s="1146"/>
      <c r="G420" s="1146">
        <v>8</v>
      </c>
      <c r="H420" s="1146">
        <v>2</v>
      </c>
      <c r="I420" s="1146">
        <v>10</v>
      </c>
      <c r="J420" s="1147">
        <v>20</v>
      </c>
      <c r="K420" s="1147">
        <v>10</v>
      </c>
      <c r="L420" s="1066" t="s">
        <v>988</v>
      </c>
      <c r="M420" s="959">
        <v>5473000</v>
      </c>
      <c r="N420" s="959">
        <v>15089012.84608</v>
      </c>
      <c r="O420" s="1149">
        <v>11350725.619328</v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237">
        <f>MAX(J420/J423)</f>
        <v>6.1028153507776206E-3</v>
      </c>
      <c r="AD420" s="235">
        <f t="shared" si="76"/>
        <v>33400.708414805915</v>
      </c>
      <c r="AE420" s="238">
        <f>MAX(I420/I423)</f>
        <v>1.7983024025320097E-2</v>
      </c>
      <c r="AF420" s="235">
        <f t="shared" si="77"/>
        <v>271346.08052942023</v>
      </c>
      <c r="AG420" s="238">
        <f>MAX(H420/H423)</f>
        <v>6.0775495320286865E-3</v>
      </c>
      <c r="AH420" s="235">
        <f t="shared" si="78"/>
        <v>68984.597175932911</v>
      </c>
    </row>
    <row r="421" spans="1:34" ht="15" customHeight="1" x14ac:dyDescent="0.2">
      <c r="A421" s="962" t="s">
        <v>941</v>
      </c>
      <c r="B421" s="956">
        <v>0</v>
      </c>
      <c r="C421" s="1146"/>
      <c r="D421" s="1146"/>
      <c r="E421" s="1146"/>
      <c r="F421" s="1146"/>
      <c r="G421" s="1146"/>
      <c r="H421" s="1146">
        <v>0</v>
      </c>
      <c r="I421" s="1146">
        <v>0</v>
      </c>
      <c r="J421" s="1147">
        <v>0</v>
      </c>
      <c r="K421" s="1147"/>
      <c r="L421" s="1066"/>
      <c r="M421" s="959"/>
      <c r="N421" s="959"/>
      <c r="O421" s="114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237">
        <f>MAX(J421/J423)</f>
        <v>0</v>
      </c>
      <c r="AD421" s="235">
        <f t="shared" si="76"/>
        <v>0</v>
      </c>
      <c r="AE421" s="238">
        <f>MAX(I421/I423)</f>
        <v>0</v>
      </c>
      <c r="AF421" s="235">
        <f t="shared" si="77"/>
        <v>0</v>
      </c>
      <c r="AG421" s="238">
        <f>MAX(H421/H423)</f>
        <v>0</v>
      </c>
      <c r="AH421" s="235">
        <f t="shared" si="78"/>
        <v>0</v>
      </c>
    </row>
    <row r="422" spans="1:34" ht="15" customHeight="1" thickBot="1" x14ac:dyDescent="0.25">
      <c r="A422" s="1140" t="s">
        <v>392</v>
      </c>
      <c r="B422" s="244">
        <v>3</v>
      </c>
      <c r="C422" s="1141">
        <v>0</v>
      </c>
      <c r="D422" s="1141">
        <v>0</v>
      </c>
      <c r="E422" s="1141">
        <v>0</v>
      </c>
      <c r="F422" s="1141">
        <v>0</v>
      </c>
      <c r="G422" s="1141">
        <v>0</v>
      </c>
      <c r="H422" s="1146">
        <v>3</v>
      </c>
      <c r="I422" s="1146">
        <v>3</v>
      </c>
      <c r="J422" s="1147">
        <v>27</v>
      </c>
      <c r="K422" s="1142">
        <v>9</v>
      </c>
      <c r="L422" s="1066" t="s">
        <v>988</v>
      </c>
      <c r="M422" s="959">
        <v>5473000</v>
      </c>
      <c r="N422" s="959">
        <v>15089012.84608</v>
      </c>
      <c r="O422" s="1149">
        <v>11350725.619328</v>
      </c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237">
        <f>MAX(J422/J423)</f>
        <v>8.2388007235497888E-3</v>
      </c>
      <c r="AD422" s="235">
        <f t="shared" si="76"/>
        <v>45090.956359987991</v>
      </c>
      <c r="AE422" s="238">
        <f>MAX(I422/I423)</f>
        <v>5.3949072075960289E-3</v>
      </c>
      <c r="AF422" s="235">
        <f t="shared" si="77"/>
        <v>81403.824158826057</v>
      </c>
      <c r="AG422" s="238">
        <f>MAX(H422/H423)</f>
        <v>9.1163242980430298E-3</v>
      </c>
      <c r="AH422" s="235">
        <f t="shared" si="78"/>
        <v>103476.89576389936</v>
      </c>
    </row>
    <row r="423" spans="1:34" ht="15" customHeight="1" thickBot="1" x14ac:dyDescent="0.25">
      <c r="A423" s="405" t="s">
        <v>942</v>
      </c>
      <c r="B423" s="1131">
        <v>527.08000000000004</v>
      </c>
      <c r="C423" s="1131">
        <v>57</v>
      </c>
      <c r="D423" s="1131">
        <v>7</v>
      </c>
      <c r="E423" s="1131">
        <v>26</v>
      </c>
      <c r="F423" s="1131">
        <v>2</v>
      </c>
      <c r="G423" s="1131">
        <v>163</v>
      </c>
      <c r="H423" s="1131">
        <v>329.08</v>
      </c>
      <c r="I423" s="1131">
        <v>556.08000000000004</v>
      </c>
      <c r="J423" s="1132">
        <v>3277.1759999999999</v>
      </c>
      <c r="K423" s="1132">
        <v>9.9585997325878211</v>
      </c>
      <c r="L423" s="1525" t="s">
        <v>988</v>
      </c>
      <c r="M423" s="1134">
        <v>5473000.0000000019</v>
      </c>
      <c r="N423" s="1134">
        <v>15089012.84608</v>
      </c>
      <c r="O423" s="506">
        <v>11350725.619328</v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1159">
        <f t="shared" ref="AC423:AH423" si="79">SUM(AC383:AC422)</f>
        <v>0.99999999999999989</v>
      </c>
      <c r="AD423" s="1160">
        <f t="shared" si="79"/>
        <v>5473000.0000000019</v>
      </c>
      <c r="AE423" s="1161">
        <f t="shared" si="79"/>
        <v>1</v>
      </c>
      <c r="AF423" s="1160">
        <f t="shared" si="79"/>
        <v>15089012.84608</v>
      </c>
      <c r="AG423" s="1161">
        <f t="shared" si="79"/>
        <v>1</v>
      </c>
      <c r="AH423" s="1160">
        <f t="shared" si="79"/>
        <v>11350725.619328</v>
      </c>
    </row>
    <row r="424" spans="1:34" ht="15" customHeight="1" x14ac:dyDescent="0.2">
      <c r="A424" s="7" t="s">
        <v>1934</v>
      </c>
      <c r="B424" s="8"/>
      <c r="C424" s="8"/>
      <c r="D424" s="8"/>
      <c r="E424" s="4"/>
      <c r="F424" s="5"/>
      <c r="G424" s="9"/>
      <c r="H424" s="8"/>
      <c r="I424" s="224"/>
      <c r="J424" s="224"/>
      <c r="K424" s="240"/>
      <c r="L424" s="241"/>
      <c r="M424" s="240"/>
      <c r="N424" s="240"/>
      <c r="O424" s="240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</row>
    <row r="425" spans="1:34" x14ac:dyDescent="0.2">
      <c r="A425" s="242"/>
      <c r="B425" s="224"/>
      <c r="C425" s="224"/>
      <c r="D425" s="224"/>
      <c r="E425" s="224"/>
      <c r="F425" s="224"/>
      <c r="G425" s="224"/>
      <c r="H425" s="224"/>
      <c r="I425" s="224"/>
      <c r="J425" s="224"/>
      <c r="K425" s="240"/>
      <c r="L425" s="241"/>
      <c r="M425" s="240"/>
      <c r="N425" s="240"/>
      <c r="O425" s="240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</row>
    <row r="426" spans="1:34" x14ac:dyDescent="0.2">
      <c r="A426" s="242"/>
      <c r="B426" s="224"/>
      <c r="C426" s="224"/>
      <c r="D426" s="224"/>
      <c r="E426" s="224"/>
      <c r="F426" s="224"/>
      <c r="G426" s="224"/>
      <c r="H426" s="224"/>
      <c r="I426" s="224"/>
      <c r="J426" s="224"/>
      <c r="K426" s="240"/>
      <c r="L426" s="241"/>
      <c r="M426" s="240"/>
      <c r="N426" s="240"/>
      <c r="O426" s="240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</row>
    <row r="427" spans="1:34" ht="15" x14ac:dyDescent="0.25">
      <c r="A427" s="2843" t="s">
        <v>1931</v>
      </c>
      <c r="B427" s="2843"/>
      <c r="C427" s="2843"/>
      <c r="D427" s="2843"/>
      <c r="E427" s="2843"/>
      <c r="F427" s="2843"/>
      <c r="G427" s="2843"/>
      <c r="H427" s="2843"/>
      <c r="I427" s="2843"/>
      <c r="J427" s="2843"/>
      <c r="K427" s="2843"/>
      <c r="L427" s="2843"/>
      <c r="M427" s="2843"/>
      <c r="N427" s="2843"/>
      <c r="O427" s="2843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</row>
    <row r="428" spans="1:34" ht="13.5" thickBot="1" x14ac:dyDescent="0.25">
      <c r="A428" s="8" t="s">
        <v>1690</v>
      </c>
      <c r="B428" s="225"/>
      <c r="C428" s="224"/>
      <c r="D428" s="224"/>
      <c r="E428" s="224"/>
      <c r="F428" s="224"/>
      <c r="G428" s="224"/>
      <c r="H428" s="224"/>
      <c r="I428" s="224"/>
      <c r="J428" s="224"/>
      <c r="K428" s="240"/>
      <c r="L428" s="241"/>
      <c r="M428" s="240"/>
      <c r="N428" s="240"/>
      <c r="O428" s="240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</row>
    <row r="429" spans="1:34" ht="15" customHeight="1" x14ac:dyDescent="0.2">
      <c r="A429" s="2844" t="s">
        <v>327</v>
      </c>
      <c r="B429" s="2847" t="s">
        <v>1932</v>
      </c>
      <c r="C429" s="2848"/>
      <c r="D429" s="2848"/>
      <c r="E429" s="2848"/>
      <c r="F429" s="2848"/>
      <c r="G429" s="2848"/>
      <c r="H429" s="2848"/>
      <c r="I429" s="2848"/>
      <c r="J429" s="2848"/>
      <c r="K429" s="2848"/>
      <c r="L429" s="2848"/>
      <c r="M429" s="2848"/>
      <c r="N429" s="2848"/>
      <c r="O429" s="284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228" t="s">
        <v>910</v>
      </c>
      <c r="AD429" s="229"/>
      <c r="AE429" s="229"/>
      <c r="AF429" s="229"/>
      <c r="AG429" s="229"/>
      <c r="AH429" s="243"/>
    </row>
    <row r="430" spans="1:34" ht="15" customHeight="1" x14ac:dyDescent="0.2">
      <c r="A430" s="2845"/>
      <c r="B430" s="2850" t="s">
        <v>191</v>
      </c>
      <c r="C430" s="2850"/>
      <c r="D430" s="2850"/>
      <c r="E430" s="2850"/>
      <c r="F430" s="2850"/>
      <c r="G430" s="2850"/>
      <c r="H430" s="2850"/>
      <c r="I430" s="2850"/>
      <c r="J430" s="2119"/>
      <c r="K430" s="2119" t="s">
        <v>904</v>
      </c>
      <c r="L430" s="2119"/>
      <c r="M430" s="1122" t="s">
        <v>437</v>
      </c>
      <c r="N430" s="1122" t="s">
        <v>911</v>
      </c>
      <c r="O430" s="1127" t="s">
        <v>911</v>
      </c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230" t="s">
        <v>333</v>
      </c>
      <c r="AD430" s="231" t="s">
        <v>333</v>
      </c>
      <c r="AE430" s="231" t="s">
        <v>333</v>
      </c>
      <c r="AF430" s="231" t="s">
        <v>333</v>
      </c>
      <c r="AG430" s="231" t="s">
        <v>333</v>
      </c>
      <c r="AH430" s="231" t="s">
        <v>333</v>
      </c>
    </row>
    <row r="431" spans="1:34" ht="15" customHeight="1" x14ac:dyDescent="0.2">
      <c r="A431" s="2845"/>
      <c r="B431" s="2119" t="s">
        <v>433</v>
      </c>
      <c r="C431" s="2119"/>
      <c r="D431" s="2841" t="s">
        <v>1865</v>
      </c>
      <c r="E431" s="2119"/>
      <c r="F431" s="2119"/>
      <c r="G431" s="2119" t="s">
        <v>912</v>
      </c>
      <c r="H431" s="2119"/>
      <c r="I431" s="2119" t="s">
        <v>433</v>
      </c>
      <c r="J431" s="2138" t="s">
        <v>913</v>
      </c>
      <c r="K431" s="2138" t="s">
        <v>842</v>
      </c>
      <c r="L431" s="2138" t="s">
        <v>329</v>
      </c>
      <c r="M431" s="1123" t="s">
        <v>914</v>
      </c>
      <c r="N431" s="1123" t="s">
        <v>915</v>
      </c>
      <c r="O431" s="1128" t="s">
        <v>914</v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230" t="s">
        <v>913</v>
      </c>
      <c r="AD431" s="231" t="s">
        <v>916</v>
      </c>
      <c r="AE431" s="231" t="s">
        <v>917</v>
      </c>
      <c r="AF431" s="231" t="s">
        <v>918</v>
      </c>
      <c r="AG431" s="231" t="s">
        <v>192</v>
      </c>
      <c r="AH431" s="231" t="s">
        <v>918</v>
      </c>
    </row>
    <row r="432" spans="1:34" ht="15" customHeight="1" x14ac:dyDescent="0.2">
      <c r="A432" s="2845"/>
      <c r="B432" s="2138" t="s">
        <v>920</v>
      </c>
      <c r="C432" s="2138" t="s">
        <v>922</v>
      </c>
      <c r="D432" s="2842"/>
      <c r="E432" s="2138" t="s">
        <v>867</v>
      </c>
      <c r="F432" s="2138" t="s">
        <v>921</v>
      </c>
      <c r="G432" s="2138" t="s">
        <v>923</v>
      </c>
      <c r="H432" s="2138" t="s">
        <v>836</v>
      </c>
      <c r="I432" s="2138" t="s">
        <v>835</v>
      </c>
      <c r="J432" s="2138" t="s">
        <v>924</v>
      </c>
      <c r="K432" s="2138" t="s">
        <v>925</v>
      </c>
      <c r="L432" s="2138" t="s">
        <v>336</v>
      </c>
      <c r="M432" s="1123" t="s">
        <v>926</v>
      </c>
      <c r="N432" s="1123" t="s">
        <v>927</v>
      </c>
      <c r="O432" s="1128" t="s">
        <v>928</v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230"/>
      <c r="AD432" s="231" t="s">
        <v>843</v>
      </c>
      <c r="AE432" s="231"/>
      <c r="AF432" s="231" t="s">
        <v>929</v>
      </c>
      <c r="AG432" s="231"/>
      <c r="AH432" s="231" t="s">
        <v>930</v>
      </c>
    </row>
    <row r="433" spans="1:34" ht="15" customHeight="1" thickBot="1" x14ac:dyDescent="0.25">
      <c r="A433" s="2846"/>
      <c r="B433" s="1881">
        <v>44926</v>
      </c>
      <c r="C433" s="2139">
        <v>2023</v>
      </c>
      <c r="D433" s="2139">
        <v>2023</v>
      </c>
      <c r="E433" s="2139">
        <v>2023</v>
      </c>
      <c r="F433" s="2139">
        <v>2023</v>
      </c>
      <c r="G433" s="2139" t="s">
        <v>931</v>
      </c>
      <c r="H433" s="1126">
        <v>2023</v>
      </c>
      <c r="I433" s="1881">
        <v>45291</v>
      </c>
      <c r="J433" s="1881" t="s">
        <v>1902</v>
      </c>
      <c r="K433" s="1881" t="s">
        <v>1933</v>
      </c>
      <c r="L433" s="2139" t="s">
        <v>441</v>
      </c>
      <c r="M433" s="1125" t="s">
        <v>932</v>
      </c>
      <c r="N433" s="1125" t="s">
        <v>933</v>
      </c>
      <c r="O433" s="1129" t="s">
        <v>933</v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232"/>
      <c r="AD433" s="233" t="s">
        <v>934</v>
      </c>
      <c r="AE433" s="233"/>
      <c r="AF433" s="233" t="s">
        <v>935</v>
      </c>
      <c r="AG433" s="233"/>
      <c r="AH433" s="233" t="s">
        <v>936</v>
      </c>
    </row>
    <row r="434" spans="1:34" ht="15" customHeight="1" x14ac:dyDescent="0.2">
      <c r="A434" s="1135" t="s">
        <v>352</v>
      </c>
      <c r="B434" s="1130">
        <v>40.950000000000003</v>
      </c>
      <c r="C434" s="1130">
        <v>16.850000000000001</v>
      </c>
      <c r="D434" s="1130">
        <v>0</v>
      </c>
      <c r="E434" s="1130">
        <v>0</v>
      </c>
      <c r="F434" s="1130">
        <v>2</v>
      </c>
      <c r="G434" s="1130">
        <v>0</v>
      </c>
      <c r="H434" s="1130">
        <v>38.950000000000003</v>
      </c>
      <c r="I434" s="1130">
        <v>55.8</v>
      </c>
      <c r="J434" s="1136">
        <v>417.9</v>
      </c>
      <c r="K434" s="1150">
        <v>10.729139922978176</v>
      </c>
      <c r="L434" s="380"/>
      <c r="M434" s="1138"/>
      <c r="N434" s="1138"/>
      <c r="O434" s="113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1155"/>
      <c r="AD434" s="1156"/>
      <c r="AE434" s="1156"/>
      <c r="AF434" s="1156"/>
      <c r="AG434" s="1156"/>
      <c r="AH434" s="1156"/>
    </row>
    <row r="435" spans="1:34" ht="15" customHeight="1" x14ac:dyDescent="0.2">
      <c r="A435" s="962" t="s">
        <v>353</v>
      </c>
      <c r="B435" s="1498">
        <v>25</v>
      </c>
      <c r="C435" s="1146"/>
      <c r="D435" s="1146"/>
      <c r="E435" s="1146"/>
      <c r="F435" s="1146"/>
      <c r="G435" s="1146"/>
      <c r="H435" s="1146">
        <v>25</v>
      </c>
      <c r="I435" s="1146">
        <v>25</v>
      </c>
      <c r="J435" s="1147">
        <v>250</v>
      </c>
      <c r="K435" s="1147">
        <v>10</v>
      </c>
      <c r="L435" s="1066" t="s">
        <v>988</v>
      </c>
      <c r="M435" s="959">
        <v>2000000</v>
      </c>
      <c r="N435" s="1837">
        <v>19490827.037500001</v>
      </c>
      <c r="O435" s="1838">
        <v>12807317.4125</v>
      </c>
      <c r="P435" s="950"/>
      <c r="Q435" s="950"/>
      <c r="R435" s="950"/>
      <c r="S435" s="950"/>
      <c r="T435" s="950"/>
      <c r="U435" s="950"/>
      <c r="V435" s="950"/>
      <c r="W435" s="950"/>
      <c r="X435" s="950"/>
      <c r="Y435" s="950"/>
      <c r="Z435" s="9"/>
      <c r="AA435" s="9"/>
      <c r="AB435" s="9"/>
      <c r="AC435" s="237">
        <f>MAX(J435/J475)</f>
        <v>0.15921893558957181</v>
      </c>
      <c r="AD435" s="235">
        <f t="shared" ref="AD435:AD449" si="80">MAX(M435*AC435)</f>
        <v>318437.87117914361</v>
      </c>
      <c r="AE435" s="238">
        <f>MAX(I435/I475)</f>
        <v>0.14795963661113251</v>
      </c>
      <c r="AF435" s="235">
        <f t="shared" ref="AF435:AF449" si="81">MAX(N435*AE435)</f>
        <v>2883855.6857189368</v>
      </c>
      <c r="AG435" s="238">
        <f>MAX(H435/H475)</f>
        <v>0.19667230460606538</v>
      </c>
      <c r="AH435" s="235">
        <f t="shared" ref="AH435:AH449" si="82">MAX(O435*AG435)</f>
        <v>2518844.6313377651</v>
      </c>
    </row>
    <row r="436" spans="1:34" ht="15" customHeight="1" x14ac:dyDescent="0.2">
      <c r="A436" s="962" t="s">
        <v>354</v>
      </c>
      <c r="B436" s="1498">
        <v>0</v>
      </c>
      <c r="C436" s="1146"/>
      <c r="D436" s="1146"/>
      <c r="E436" s="1146"/>
      <c r="F436" s="1146"/>
      <c r="G436" s="1146"/>
      <c r="H436" s="1146">
        <v>0</v>
      </c>
      <c r="I436" s="1146">
        <v>0</v>
      </c>
      <c r="J436" s="1147">
        <v>0</v>
      </c>
      <c r="K436" s="1147"/>
      <c r="L436" s="1148"/>
      <c r="M436" s="959"/>
      <c r="N436" s="959"/>
      <c r="O436" s="1149"/>
      <c r="P436" s="950"/>
      <c r="Q436" s="950"/>
      <c r="R436" s="950"/>
      <c r="S436" s="950"/>
      <c r="T436" s="950"/>
      <c r="U436" s="950"/>
      <c r="V436" s="950"/>
      <c r="W436" s="950"/>
      <c r="X436" s="950"/>
      <c r="Y436" s="950"/>
      <c r="Z436" s="9"/>
      <c r="AA436" s="9"/>
      <c r="AB436" s="9"/>
      <c r="AC436" s="237">
        <f>MAX(J436/J475)</f>
        <v>0</v>
      </c>
      <c r="AD436" s="235">
        <f t="shared" si="80"/>
        <v>0</v>
      </c>
      <c r="AE436" s="238">
        <f>MAX(I436/I475)</f>
        <v>0</v>
      </c>
      <c r="AF436" s="235">
        <f t="shared" si="81"/>
        <v>0</v>
      </c>
      <c r="AG436" s="238">
        <f>MAX(H436/H475)</f>
        <v>0</v>
      </c>
      <c r="AH436" s="235">
        <f t="shared" si="82"/>
        <v>0</v>
      </c>
    </row>
    <row r="437" spans="1:34" ht="15" customHeight="1" x14ac:dyDescent="0.2">
      <c r="A437" s="962" t="s">
        <v>355</v>
      </c>
      <c r="B437" s="1498">
        <v>0</v>
      </c>
      <c r="C437" s="1146"/>
      <c r="D437" s="1146"/>
      <c r="E437" s="1146"/>
      <c r="F437" s="1146"/>
      <c r="G437" s="1146"/>
      <c r="H437" s="1146">
        <v>0</v>
      </c>
      <c r="I437" s="1146">
        <v>0</v>
      </c>
      <c r="J437" s="1147">
        <v>0</v>
      </c>
      <c r="K437" s="1147"/>
      <c r="L437" s="1148"/>
      <c r="M437" s="959"/>
      <c r="N437" s="959"/>
      <c r="O437" s="1149"/>
      <c r="P437" s="950"/>
      <c r="Q437" s="950"/>
      <c r="R437" s="950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237">
        <f>MAX(J437/J475)</f>
        <v>0</v>
      </c>
      <c r="AD437" s="235">
        <f t="shared" si="80"/>
        <v>0</v>
      </c>
      <c r="AE437" s="238">
        <f>MAX(I437/I475)</f>
        <v>0</v>
      </c>
      <c r="AF437" s="235">
        <f t="shared" si="81"/>
        <v>0</v>
      </c>
      <c r="AG437" s="238">
        <f>MAX(H437/H475)</f>
        <v>0</v>
      </c>
      <c r="AH437" s="235">
        <f t="shared" si="82"/>
        <v>0</v>
      </c>
    </row>
    <row r="438" spans="1:34" ht="15" customHeight="1" x14ac:dyDescent="0.2">
      <c r="A438" s="962" t="s">
        <v>356</v>
      </c>
      <c r="B438" s="1498">
        <v>3</v>
      </c>
      <c r="C438" s="1146">
        <v>5</v>
      </c>
      <c r="D438" s="1146"/>
      <c r="E438" s="1146"/>
      <c r="F438" s="1146"/>
      <c r="G438" s="1146"/>
      <c r="H438" s="1146">
        <v>3</v>
      </c>
      <c r="I438" s="1146">
        <v>8</v>
      </c>
      <c r="J438" s="1147">
        <v>42</v>
      </c>
      <c r="K438" s="1147">
        <v>14</v>
      </c>
      <c r="L438" s="1066" t="s">
        <v>988</v>
      </c>
      <c r="M438" s="959">
        <v>2000000</v>
      </c>
      <c r="N438" s="1837">
        <v>19490827.037500001</v>
      </c>
      <c r="O438" s="1838">
        <v>12807317.4125</v>
      </c>
      <c r="P438" s="9"/>
      <c r="Q438" s="2005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237">
        <f>MAX(J438/J475)</f>
        <v>2.6748781179048064E-2</v>
      </c>
      <c r="AD438" s="235">
        <f t="shared" si="80"/>
        <v>53497.562358096126</v>
      </c>
      <c r="AE438" s="238">
        <f>MAX(I438/I475)</f>
        <v>4.7347083715562399E-2</v>
      </c>
      <c r="AF438" s="235">
        <f t="shared" si="81"/>
        <v>922833.81943005964</v>
      </c>
      <c r="AG438" s="238">
        <f>MAX(H438/H475)</f>
        <v>2.3600676552727847E-2</v>
      </c>
      <c r="AH438" s="235">
        <f t="shared" si="82"/>
        <v>302261.35576053185</v>
      </c>
    </row>
    <row r="439" spans="1:34" ht="15" customHeight="1" x14ac:dyDescent="0.2">
      <c r="A439" s="962" t="s">
        <v>357</v>
      </c>
      <c r="B439" s="1498">
        <v>7.1</v>
      </c>
      <c r="C439" s="1146">
        <v>3</v>
      </c>
      <c r="D439" s="1146">
        <v>0</v>
      </c>
      <c r="E439" s="1146">
        <v>0</v>
      </c>
      <c r="F439" s="1146">
        <v>0</v>
      </c>
      <c r="G439" s="1146">
        <v>0</v>
      </c>
      <c r="H439" s="1146">
        <v>7.1</v>
      </c>
      <c r="I439" s="1146">
        <v>10.1</v>
      </c>
      <c r="J439" s="1147">
        <v>71</v>
      </c>
      <c r="K439" s="1147">
        <v>10</v>
      </c>
      <c r="L439" s="1066" t="s">
        <v>988</v>
      </c>
      <c r="M439" s="959">
        <v>2000000</v>
      </c>
      <c r="N439" s="1837">
        <v>19490827.037500001</v>
      </c>
      <c r="O439" s="1838">
        <v>12807317.4125</v>
      </c>
      <c r="P439" s="950"/>
      <c r="Q439" s="950"/>
      <c r="R439" s="950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237">
        <f>MAX(J439/J475)</f>
        <v>4.5218177707438391E-2</v>
      </c>
      <c r="AD439" s="235">
        <f t="shared" si="80"/>
        <v>90436.355414876787</v>
      </c>
      <c r="AE439" s="238">
        <f>MAX(I439/I475)</f>
        <v>5.9775693190897532E-2</v>
      </c>
      <c r="AF439" s="235">
        <f t="shared" si="81"/>
        <v>1165077.6970304505</v>
      </c>
      <c r="AG439" s="238">
        <f>MAX(H439/H475)</f>
        <v>5.5854934508122567E-2</v>
      </c>
      <c r="AH439" s="235">
        <f t="shared" si="82"/>
        <v>715351.87529992522</v>
      </c>
    </row>
    <row r="440" spans="1:34" ht="15" customHeight="1" x14ac:dyDescent="0.2">
      <c r="A440" s="962" t="s">
        <v>358</v>
      </c>
      <c r="B440" s="1498">
        <v>0</v>
      </c>
      <c r="C440" s="1146">
        <v>0</v>
      </c>
      <c r="D440" s="1146">
        <v>0</v>
      </c>
      <c r="E440" s="1146">
        <v>0</v>
      </c>
      <c r="F440" s="1146">
        <v>0</v>
      </c>
      <c r="G440" s="1146">
        <v>0</v>
      </c>
      <c r="H440" s="1146">
        <v>0</v>
      </c>
      <c r="I440" s="1146">
        <v>0</v>
      </c>
      <c r="J440" s="1147">
        <v>0</v>
      </c>
      <c r="K440" s="1147">
        <v>0</v>
      </c>
      <c r="L440" s="1148"/>
      <c r="M440" s="959"/>
      <c r="N440" s="959"/>
      <c r="O440" s="1149"/>
      <c r="P440" s="950"/>
      <c r="Q440" s="950"/>
      <c r="R440" s="950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237">
        <f>MAX(J440/J475)</f>
        <v>0</v>
      </c>
      <c r="AD440" s="235">
        <f t="shared" si="80"/>
        <v>0</v>
      </c>
      <c r="AE440" s="238">
        <f>MAX(I440/I475)</f>
        <v>0</v>
      </c>
      <c r="AF440" s="235">
        <f t="shared" si="81"/>
        <v>0</v>
      </c>
      <c r="AG440" s="238">
        <f>MAX(H440/H475)</f>
        <v>0</v>
      </c>
      <c r="AH440" s="235">
        <f t="shared" si="82"/>
        <v>0</v>
      </c>
    </row>
    <row r="441" spans="1:34" ht="15" customHeight="1" x14ac:dyDescent="0.2">
      <c r="A441" s="962" t="s">
        <v>937</v>
      </c>
      <c r="B441" s="1498">
        <v>0</v>
      </c>
      <c r="C441" s="1146">
        <v>4</v>
      </c>
      <c r="D441" s="1146">
        <v>0</v>
      </c>
      <c r="E441" s="1146">
        <v>0</v>
      </c>
      <c r="F441" s="1146">
        <v>0</v>
      </c>
      <c r="G441" s="1146">
        <v>0</v>
      </c>
      <c r="H441" s="1146">
        <v>0</v>
      </c>
      <c r="I441" s="1146">
        <v>4</v>
      </c>
      <c r="J441" s="1147">
        <v>0</v>
      </c>
      <c r="K441" s="1147">
        <v>0</v>
      </c>
      <c r="L441" s="1066"/>
      <c r="M441" s="959"/>
      <c r="N441" s="1837">
        <v>19490827.037500001</v>
      </c>
      <c r="O441" s="1838"/>
      <c r="U441" s="9"/>
      <c r="V441" s="9"/>
      <c r="W441" s="9"/>
      <c r="X441" s="9"/>
      <c r="Y441" s="9"/>
      <c r="Z441" s="9"/>
      <c r="AA441" s="9"/>
      <c r="AB441" s="9"/>
      <c r="AC441" s="237">
        <f>MAX(J441/J475)</f>
        <v>0</v>
      </c>
      <c r="AD441" s="235">
        <f t="shared" si="80"/>
        <v>0</v>
      </c>
      <c r="AE441" s="238">
        <f>MAX(I441/I475)</f>
        <v>2.36735418577812E-2</v>
      </c>
      <c r="AF441" s="235">
        <f t="shared" si="81"/>
        <v>461416.90971502982</v>
      </c>
      <c r="AG441" s="238">
        <f>MAX(H441/H475)</f>
        <v>0</v>
      </c>
      <c r="AH441" s="235">
        <f t="shared" si="82"/>
        <v>0</v>
      </c>
    </row>
    <row r="442" spans="1:34" ht="15" customHeight="1" x14ac:dyDescent="0.2">
      <c r="A442" s="962" t="s">
        <v>360</v>
      </c>
      <c r="B442" s="1498">
        <v>2.8499999999999996</v>
      </c>
      <c r="C442" s="1146">
        <v>2.85</v>
      </c>
      <c r="D442" s="1146">
        <v>0</v>
      </c>
      <c r="E442" s="1146">
        <v>0</v>
      </c>
      <c r="F442" s="1146">
        <v>0</v>
      </c>
      <c r="G442" s="1146">
        <v>0</v>
      </c>
      <c r="H442" s="1146">
        <v>2.8499999999999992</v>
      </c>
      <c r="I442" s="1146">
        <v>5.6999999999999993</v>
      </c>
      <c r="J442" s="1147">
        <v>39.899999999999991</v>
      </c>
      <c r="K442" s="1147">
        <v>14</v>
      </c>
      <c r="L442" s="1066" t="s">
        <v>988</v>
      </c>
      <c r="M442" s="959">
        <v>2000000</v>
      </c>
      <c r="N442" s="1837">
        <v>19490827.037500001</v>
      </c>
      <c r="O442" s="1838">
        <v>12807317.4125</v>
      </c>
      <c r="U442" s="9"/>
      <c r="V442" s="9"/>
      <c r="W442" s="9"/>
      <c r="X442" s="9"/>
      <c r="Y442" s="9"/>
      <c r="Z442" s="9"/>
      <c r="AA442" s="9"/>
      <c r="AB442" s="9"/>
      <c r="AC442" s="237">
        <f>MAX(J442/J475)</f>
        <v>2.5411342120095656E-2</v>
      </c>
      <c r="AD442" s="235">
        <f t="shared" si="80"/>
        <v>50822.684240191309</v>
      </c>
      <c r="AE442" s="238">
        <f>MAX(I442/I475)</f>
        <v>3.3734797147338208E-2</v>
      </c>
      <c r="AF442" s="235">
        <f t="shared" si="81"/>
        <v>657519.09634391742</v>
      </c>
      <c r="AG442" s="238">
        <f>MAX(H442/H475)</f>
        <v>2.2420642725091446E-2</v>
      </c>
      <c r="AH442" s="235">
        <f t="shared" si="82"/>
        <v>287148.28797250515</v>
      </c>
    </row>
    <row r="443" spans="1:34" ht="15" customHeight="1" x14ac:dyDescent="0.2">
      <c r="A443" s="962" t="s">
        <v>938</v>
      </c>
      <c r="B443" s="1498">
        <v>0</v>
      </c>
      <c r="C443" s="1146">
        <v>0</v>
      </c>
      <c r="D443" s="1146">
        <v>0</v>
      </c>
      <c r="E443" s="1146">
        <v>0</v>
      </c>
      <c r="F443" s="1146">
        <v>0</v>
      </c>
      <c r="G443" s="1146">
        <v>0</v>
      </c>
      <c r="H443" s="1146">
        <v>0</v>
      </c>
      <c r="I443" s="1146">
        <v>0</v>
      </c>
      <c r="J443" s="1147">
        <v>0</v>
      </c>
      <c r="K443" s="1147">
        <v>0</v>
      </c>
      <c r="L443" s="1148"/>
      <c r="M443" s="959"/>
      <c r="N443" s="959"/>
      <c r="O443" s="1149"/>
      <c r="U443" s="9"/>
      <c r="V443" s="9"/>
      <c r="W443" s="9"/>
      <c r="X443" s="9"/>
      <c r="Y443" s="9"/>
      <c r="Z443" s="9"/>
      <c r="AA443" s="9"/>
      <c r="AB443" s="9"/>
      <c r="AC443" s="237">
        <f>MAX(J443/J475)</f>
        <v>0</v>
      </c>
      <c r="AD443" s="235">
        <f t="shared" si="80"/>
        <v>0</v>
      </c>
      <c r="AE443" s="238">
        <f>MAX(I443/I475)</f>
        <v>0</v>
      </c>
      <c r="AF443" s="235">
        <f t="shared" si="81"/>
        <v>0</v>
      </c>
      <c r="AG443" s="238">
        <f>MAX(H443/H475)</f>
        <v>0</v>
      </c>
      <c r="AH443" s="235">
        <f t="shared" si="82"/>
        <v>0</v>
      </c>
    </row>
    <row r="444" spans="1:34" ht="15" customHeight="1" x14ac:dyDescent="0.2">
      <c r="A444" s="962" t="s">
        <v>362</v>
      </c>
      <c r="B444" s="1498">
        <v>3</v>
      </c>
      <c r="C444" s="1146">
        <v>2</v>
      </c>
      <c r="D444" s="1146">
        <v>0</v>
      </c>
      <c r="E444" s="1146">
        <v>0</v>
      </c>
      <c r="F444" s="1146">
        <v>2</v>
      </c>
      <c r="G444" s="1146">
        <v>0</v>
      </c>
      <c r="H444" s="1146">
        <v>1</v>
      </c>
      <c r="I444" s="1146">
        <v>3</v>
      </c>
      <c r="J444" s="1147">
        <v>15</v>
      </c>
      <c r="K444" s="1147">
        <v>15</v>
      </c>
      <c r="L444" s="1066" t="s">
        <v>988</v>
      </c>
      <c r="M444" s="959">
        <v>2000000</v>
      </c>
      <c r="N444" s="1837">
        <v>19490827.037500001</v>
      </c>
      <c r="O444" s="1838">
        <v>12807317.4125</v>
      </c>
      <c r="U444" s="9"/>
      <c r="V444" s="9"/>
      <c r="W444" s="9"/>
      <c r="X444" s="9"/>
      <c r="Y444" s="9"/>
      <c r="Z444" s="9"/>
      <c r="AA444" s="9"/>
      <c r="AB444" s="9"/>
      <c r="AC444" s="237">
        <f>MAX(J444/J475)</f>
        <v>9.5531361353743075E-3</v>
      </c>
      <c r="AD444" s="235">
        <f t="shared" si="80"/>
        <v>19106.272270748614</v>
      </c>
      <c r="AE444" s="238">
        <f>MAX(I444/I475)</f>
        <v>1.77551563933359E-2</v>
      </c>
      <c r="AF444" s="235">
        <f t="shared" si="81"/>
        <v>346062.68228627235</v>
      </c>
      <c r="AG444" s="238">
        <f>MAX(H444/H475)</f>
        <v>7.8668921842426145E-3</v>
      </c>
      <c r="AH444" s="235">
        <f t="shared" si="82"/>
        <v>100753.78525351059</v>
      </c>
    </row>
    <row r="445" spans="1:34" ht="15" customHeight="1" x14ac:dyDescent="0.2">
      <c r="A445" s="962" t="s">
        <v>363</v>
      </c>
      <c r="B445" s="956">
        <v>0</v>
      </c>
      <c r="C445" s="1146">
        <v>0</v>
      </c>
      <c r="D445" s="1146">
        <v>0</v>
      </c>
      <c r="E445" s="1146">
        <v>0</v>
      </c>
      <c r="F445" s="1146">
        <v>0</v>
      </c>
      <c r="G445" s="1146">
        <v>0</v>
      </c>
      <c r="H445" s="1146">
        <v>0</v>
      </c>
      <c r="I445" s="1146">
        <v>0</v>
      </c>
      <c r="J445" s="1147">
        <v>0</v>
      </c>
      <c r="K445" s="1147">
        <v>0</v>
      </c>
      <c r="L445" s="1148"/>
      <c r="M445" s="959"/>
      <c r="N445" s="959"/>
      <c r="O445" s="1149"/>
      <c r="U445" s="9"/>
      <c r="V445" s="9"/>
      <c r="W445" s="9"/>
      <c r="X445" s="9"/>
      <c r="Y445" s="9"/>
      <c r="Z445" s="9"/>
      <c r="AA445" s="9"/>
      <c r="AB445" s="9"/>
      <c r="AC445" s="237">
        <f>MAX(J445/J475)</f>
        <v>0</v>
      </c>
      <c r="AD445" s="235">
        <f t="shared" si="80"/>
        <v>0</v>
      </c>
      <c r="AE445" s="238">
        <f>MAX(I445/I475)</f>
        <v>0</v>
      </c>
      <c r="AF445" s="235">
        <f t="shared" si="81"/>
        <v>0</v>
      </c>
      <c r="AG445" s="238">
        <f>MAX(H445/H475)</f>
        <v>0</v>
      </c>
      <c r="AH445" s="235">
        <f t="shared" si="82"/>
        <v>0</v>
      </c>
    </row>
    <row r="446" spans="1:34" ht="15" customHeight="1" x14ac:dyDescent="0.2">
      <c r="A446" s="962" t="s">
        <v>939</v>
      </c>
      <c r="B446" s="956">
        <v>0</v>
      </c>
      <c r="C446" s="1146">
        <v>0</v>
      </c>
      <c r="D446" s="1146">
        <v>0</v>
      </c>
      <c r="E446" s="1146">
        <v>0</v>
      </c>
      <c r="F446" s="1146">
        <v>0</v>
      </c>
      <c r="G446" s="1146">
        <v>0</v>
      </c>
      <c r="H446" s="1146">
        <v>0</v>
      </c>
      <c r="I446" s="1146">
        <v>0</v>
      </c>
      <c r="J446" s="1147">
        <v>0</v>
      </c>
      <c r="K446" s="1147">
        <v>0</v>
      </c>
      <c r="L446" s="1148"/>
      <c r="M446" s="959"/>
      <c r="N446" s="959"/>
      <c r="O446" s="1149"/>
      <c r="U446" s="9"/>
      <c r="V446" s="9"/>
      <c r="W446" s="9"/>
      <c r="X446" s="9"/>
      <c r="Y446" s="9"/>
      <c r="Z446" s="9"/>
      <c r="AA446" s="9"/>
      <c r="AB446" s="9"/>
      <c r="AC446" s="237">
        <f>MAX(J446/J475)</f>
        <v>0</v>
      </c>
      <c r="AD446" s="235">
        <f t="shared" si="80"/>
        <v>0</v>
      </c>
      <c r="AE446" s="238">
        <f>MAX(I446/I475)</f>
        <v>0</v>
      </c>
      <c r="AF446" s="235">
        <f t="shared" si="81"/>
        <v>0</v>
      </c>
      <c r="AG446" s="238">
        <f>MAX(H446/H475)</f>
        <v>0</v>
      </c>
      <c r="AH446" s="235">
        <f t="shared" si="82"/>
        <v>0</v>
      </c>
    </row>
    <row r="447" spans="1:34" ht="15" customHeight="1" x14ac:dyDescent="0.2">
      <c r="A447" s="962" t="s">
        <v>365</v>
      </c>
      <c r="B447" s="956">
        <v>0</v>
      </c>
      <c r="C447" s="1146"/>
      <c r="D447" s="1146"/>
      <c r="E447" s="1146"/>
      <c r="F447" s="1146"/>
      <c r="G447" s="1146"/>
      <c r="H447" s="1146">
        <v>0</v>
      </c>
      <c r="I447" s="1146">
        <v>0</v>
      </c>
      <c r="J447" s="1147">
        <v>0</v>
      </c>
      <c r="K447" s="1147"/>
      <c r="L447" s="1148"/>
      <c r="M447" s="959"/>
      <c r="N447" s="959"/>
      <c r="O447" s="1149"/>
      <c r="U447" s="9"/>
      <c r="V447" s="9"/>
      <c r="W447" s="9"/>
      <c r="X447" s="9"/>
      <c r="Y447" s="9"/>
      <c r="Z447" s="9"/>
      <c r="AA447" s="9"/>
      <c r="AB447" s="9"/>
      <c r="AC447" s="237">
        <f>MAX(J447/J475)</f>
        <v>0</v>
      </c>
      <c r="AD447" s="235">
        <f t="shared" si="80"/>
        <v>0</v>
      </c>
      <c r="AE447" s="238">
        <f>MAX(I447/I475)</f>
        <v>0</v>
      </c>
      <c r="AF447" s="235">
        <f t="shared" si="81"/>
        <v>0</v>
      </c>
      <c r="AG447" s="238">
        <f>MAX(H447/H475)</f>
        <v>0</v>
      </c>
      <c r="AH447" s="235">
        <f t="shared" si="82"/>
        <v>0</v>
      </c>
    </row>
    <row r="448" spans="1:34" ht="15" customHeight="1" x14ac:dyDescent="0.2">
      <c r="A448" s="962" t="s">
        <v>366</v>
      </c>
      <c r="B448" s="956">
        <v>0</v>
      </c>
      <c r="C448" s="1146"/>
      <c r="D448" s="1146"/>
      <c r="E448" s="1146"/>
      <c r="F448" s="1146"/>
      <c r="G448" s="1146"/>
      <c r="H448" s="1146">
        <v>0</v>
      </c>
      <c r="I448" s="1146">
        <v>0</v>
      </c>
      <c r="J448" s="1147">
        <v>0</v>
      </c>
      <c r="K448" s="1147"/>
      <c r="L448" s="1148"/>
      <c r="M448" s="959"/>
      <c r="N448" s="959"/>
      <c r="O448" s="1149"/>
      <c r="U448" s="9"/>
      <c r="V448" s="9"/>
      <c r="W448" s="9"/>
      <c r="X448" s="9"/>
      <c r="Y448" s="9"/>
      <c r="Z448" s="9"/>
      <c r="AA448" s="9"/>
      <c r="AB448" s="9"/>
      <c r="AC448" s="237">
        <f>MAX(J448/J475)</f>
        <v>0</v>
      </c>
      <c r="AD448" s="235">
        <f t="shared" si="80"/>
        <v>0</v>
      </c>
      <c r="AE448" s="238">
        <f>MAX(I448/I475)</f>
        <v>0</v>
      </c>
      <c r="AF448" s="235">
        <f t="shared" si="81"/>
        <v>0</v>
      </c>
      <c r="AG448" s="238">
        <f>MAX(H448/H475)</f>
        <v>0</v>
      </c>
      <c r="AH448" s="235">
        <f t="shared" si="82"/>
        <v>0</v>
      </c>
    </row>
    <row r="449" spans="1:34" ht="15" customHeight="1" x14ac:dyDescent="0.2">
      <c r="A449" s="962" t="s">
        <v>367</v>
      </c>
      <c r="B449" s="956">
        <v>0</v>
      </c>
      <c r="C449" s="1146"/>
      <c r="D449" s="1146"/>
      <c r="E449" s="1146"/>
      <c r="F449" s="1146"/>
      <c r="G449" s="1146"/>
      <c r="H449" s="1146">
        <v>0</v>
      </c>
      <c r="I449" s="1146">
        <v>0</v>
      </c>
      <c r="J449" s="1147">
        <v>0</v>
      </c>
      <c r="K449" s="1147"/>
      <c r="L449" s="1148"/>
      <c r="M449" s="959"/>
      <c r="N449" s="959"/>
      <c r="O449" s="1149"/>
      <c r="U449" s="9"/>
      <c r="V449" s="9"/>
      <c r="W449" s="9"/>
      <c r="X449" s="9"/>
      <c r="Y449" s="9"/>
      <c r="Z449" s="9"/>
      <c r="AA449" s="9"/>
      <c r="AB449" s="9"/>
      <c r="AC449" s="237">
        <f>MAX(J449/J475)</f>
        <v>0</v>
      </c>
      <c r="AD449" s="235">
        <f t="shared" si="80"/>
        <v>0</v>
      </c>
      <c r="AE449" s="238">
        <f>MAX(I449/I475)</f>
        <v>0</v>
      </c>
      <c r="AF449" s="235">
        <f t="shared" si="81"/>
        <v>0</v>
      </c>
      <c r="AG449" s="238">
        <f>MAX(H449/H475)</f>
        <v>0</v>
      </c>
      <c r="AH449" s="235">
        <f t="shared" si="82"/>
        <v>0</v>
      </c>
    </row>
    <row r="450" spans="1:34" ht="15" customHeight="1" x14ac:dyDescent="0.2">
      <c r="A450" s="434" t="s">
        <v>940</v>
      </c>
      <c r="B450" s="1002">
        <v>19.5</v>
      </c>
      <c r="C450" s="1002">
        <v>1</v>
      </c>
      <c r="D450" s="1002">
        <v>0</v>
      </c>
      <c r="E450" s="1002">
        <v>1</v>
      </c>
      <c r="F450" s="1002">
        <v>2</v>
      </c>
      <c r="G450" s="1002">
        <v>2</v>
      </c>
      <c r="H450" s="1002">
        <v>23.5</v>
      </c>
      <c r="I450" s="1002">
        <v>26.5</v>
      </c>
      <c r="J450" s="1150">
        <v>309.5</v>
      </c>
      <c r="K450" s="1150">
        <v>13.170212765957446</v>
      </c>
      <c r="L450" s="1152"/>
      <c r="M450" s="996"/>
      <c r="N450" s="996"/>
      <c r="O450" s="1153"/>
      <c r="U450" s="9"/>
      <c r="V450" s="9"/>
      <c r="W450" s="9"/>
      <c r="X450" s="9"/>
      <c r="Y450" s="9"/>
      <c r="Z450" s="9"/>
      <c r="AA450" s="9"/>
      <c r="AB450" s="9"/>
      <c r="AC450" s="1157"/>
      <c r="AD450" s="1156"/>
      <c r="AE450" s="1158"/>
      <c r="AF450" s="1156"/>
      <c r="AG450" s="1158"/>
      <c r="AH450" s="1156"/>
    </row>
    <row r="451" spans="1:34" ht="15" customHeight="1" x14ac:dyDescent="0.2">
      <c r="A451" s="962" t="s">
        <v>369</v>
      </c>
      <c r="B451" s="1498">
        <v>13.5</v>
      </c>
      <c r="C451" s="1146">
        <v>1</v>
      </c>
      <c r="D451" s="1146">
        <v>0</v>
      </c>
      <c r="E451" s="1146">
        <v>1</v>
      </c>
      <c r="F451" s="1146">
        <v>2</v>
      </c>
      <c r="G451" s="1146">
        <v>2</v>
      </c>
      <c r="H451" s="1146">
        <v>8.5</v>
      </c>
      <c r="I451" s="1146">
        <v>11.5</v>
      </c>
      <c r="J451" s="1147">
        <v>127.5</v>
      </c>
      <c r="K451" s="1147">
        <v>15</v>
      </c>
      <c r="L451" s="1066" t="s">
        <v>988</v>
      </c>
      <c r="M451" s="959">
        <v>2000000</v>
      </c>
      <c r="N451" s="1837">
        <v>19490827.037500001</v>
      </c>
      <c r="O451" s="1838">
        <v>12807317.4125</v>
      </c>
      <c r="P451" s="950"/>
      <c r="Q451" s="950"/>
      <c r="R451" s="950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237">
        <f>MAX(J451/J475)</f>
        <v>8.1201657150681616E-2</v>
      </c>
      <c r="AD451" s="235">
        <f>MAX(M451*AC451)</f>
        <v>162403.31430136322</v>
      </c>
      <c r="AE451" s="238">
        <f>MAX(I451/I475)</f>
        <v>6.8061432841120956E-2</v>
      </c>
      <c r="AF451" s="235">
        <f>MAX(N451*AE451)</f>
        <v>1326573.6154307108</v>
      </c>
      <c r="AG451" s="238">
        <f>MAX(H451/H475)</f>
        <v>6.6868583566062234E-2</v>
      </c>
      <c r="AH451" s="235">
        <f>MAX(O451*AG451)</f>
        <v>856407.17465484014</v>
      </c>
    </row>
    <row r="452" spans="1:34" ht="15" customHeight="1" x14ac:dyDescent="0.2">
      <c r="A452" s="962" t="s">
        <v>370</v>
      </c>
      <c r="B452" s="1498">
        <v>0</v>
      </c>
      <c r="C452" s="1146">
        <v>0</v>
      </c>
      <c r="D452" s="1146">
        <v>0</v>
      </c>
      <c r="E452" s="1146">
        <v>0</v>
      </c>
      <c r="F452" s="1146">
        <v>0</v>
      </c>
      <c r="G452" s="1146">
        <v>0</v>
      </c>
      <c r="H452" s="1146">
        <v>0</v>
      </c>
      <c r="I452" s="1146">
        <v>0</v>
      </c>
      <c r="J452" s="1147">
        <v>0</v>
      </c>
      <c r="K452" s="1147">
        <v>0</v>
      </c>
      <c r="L452" s="1148"/>
      <c r="M452" s="959"/>
      <c r="N452" s="959"/>
      <c r="O452" s="1149"/>
      <c r="P452" s="950"/>
      <c r="Q452" s="950"/>
      <c r="R452" s="950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237">
        <f>MAX(J452/J475)</f>
        <v>0</v>
      </c>
      <c r="AD452" s="235">
        <f>MAX(M452*AC452)</f>
        <v>0</v>
      </c>
      <c r="AE452" s="238">
        <f>MAX(I452/I475)</f>
        <v>0</v>
      </c>
      <c r="AF452" s="235">
        <f>MAX(N452*AE452)</f>
        <v>0</v>
      </c>
      <c r="AG452" s="238">
        <f>MAX(H452/H475)</f>
        <v>0</v>
      </c>
      <c r="AH452" s="235">
        <f>MAX(O452*AG452)</f>
        <v>0</v>
      </c>
    </row>
    <row r="453" spans="1:34" ht="15" customHeight="1" x14ac:dyDescent="0.2">
      <c r="A453" s="962" t="s">
        <v>371</v>
      </c>
      <c r="B453" s="1498">
        <v>1</v>
      </c>
      <c r="C453" s="1146">
        <v>0</v>
      </c>
      <c r="D453" s="1146">
        <v>0</v>
      </c>
      <c r="E453" s="1146">
        <v>0</v>
      </c>
      <c r="F453" s="1146">
        <v>0</v>
      </c>
      <c r="G453" s="1146">
        <v>0</v>
      </c>
      <c r="H453" s="1146">
        <v>1</v>
      </c>
      <c r="I453" s="1146">
        <v>1</v>
      </c>
      <c r="J453" s="1147">
        <v>12</v>
      </c>
      <c r="K453" s="1147">
        <v>12</v>
      </c>
      <c r="L453" s="1066" t="s">
        <v>988</v>
      </c>
      <c r="M453" s="959">
        <v>2000000</v>
      </c>
      <c r="N453" s="1837">
        <v>19490827.037500001</v>
      </c>
      <c r="O453" s="1838">
        <v>12807317.4125</v>
      </c>
      <c r="P453" s="950"/>
      <c r="Q453" s="950"/>
      <c r="R453" s="950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237">
        <f>MAX(J453/J475)</f>
        <v>7.6425089082994462E-3</v>
      </c>
      <c r="AD453" s="235">
        <f>MAX(M453*AC453)</f>
        <v>15285.017816598893</v>
      </c>
      <c r="AE453" s="238">
        <f>MAX(I453/I475)</f>
        <v>5.9183854644452999E-3</v>
      </c>
      <c r="AF453" s="235">
        <f>MAX(N453*AE453)</f>
        <v>115354.22742875745</v>
      </c>
      <c r="AG453" s="238">
        <f>MAX(H453/H475)</f>
        <v>7.8668921842426145E-3</v>
      </c>
      <c r="AH453" s="235">
        <f>MAX(O453*AG453)</f>
        <v>100753.78525351059</v>
      </c>
    </row>
    <row r="454" spans="1:34" ht="15" customHeight="1" x14ac:dyDescent="0.2">
      <c r="A454" s="962" t="s">
        <v>372</v>
      </c>
      <c r="B454" s="1498">
        <v>3</v>
      </c>
      <c r="C454" s="1146">
        <v>0</v>
      </c>
      <c r="D454" s="1146">
        <v>0</v>
      </c>
      <c r="E454" s="1146">
        <v>0</v>
      </c>
      <c r="F454" s="1146">
        <v>0</v>
      </c>
      <c r="G454" s="1146">
        <v>0</v>
      </c>
      <c r="H454" s="1146">
        <v>12</v>
      </c>
      <c r="I454" s="1146">
        <v>12</v>
      </c>
      <c r="J454" s="1147">
        <v>144</v>
      </c>
      <c r="K454" s="1147">
        <v>12</v>
      </c>
      <c r="L454" s="1066" t="s">
        <v>988</v>
      </c>
      <c r="M454" s="959">
        <v>2000000</v>
      </c>
      <c r="N454" s="1837">
        <v>19490827.037500001</v>
      </c>
      <c r="O454" s="1838">
        <v>12807317.4125</v>
      </c>
      <c r="V454" s="9"/>
      <c r="W454" s="9"/>
      <c r="X454" s="9"/>
      <c r="Y454" s="9"/>
      <c r="Z454" s="9"/>
      <c r="AA454" s="9"/>
      <c r="AB454" s="9"/>
      <c r="AC454" s="237">
        <f>MAX(J454/J475)</f>
        <v>9.1710106899593358E-2</v>
      </c>
      <c r="AD454" s="235">
        <f>MAX(M454*AC454)</f>
        <v>183420.21379918672</v>
      </c>
      <c r="AE454" s="238">
        <f>MAX(I454/I475)</f>
        <v>7.1020625573343599E-2</v>
      </c>
      <c r="AF454" s="235">
        <f>MAX(N454*AE454)</f>
        <v>1384250.7291450894</v>
      </c>
      <c r="AG454" s="238">
        <f>MAX(H454/H475)</f>
        <v>9.4402706210911388E-2</v>
      </c>
      <c r="AH454" s="235">
        <f>MAX(O454*AG454)</f>
        <v>1209045.4230421274</v>
      </c>
    </row>
    <row r="455" spans="1:34" ht="15" customHeight="1" x14ac:dyDescent="0.2">
      <c r="A455" s="962" t="s">
        <v>373</v>
      </c>
      <c r="B455" s="956">
        <v>2</v>
      </c>
      <c r="C455" s="1146">
        <v>0</v>
      </c>
      <c r="D455" s="1146">
        <v>0</v>
      </c>
      <c r="E455" s="1146">
        <v>0</v>
      </c>
      <c r="F455" s="1146">
        <v>0</v>
      </c>
      <c r="G455" s="1146">
        <v>0</v>
      </c>
      <c r="H455" s="1146">
        <v>2</v>
      </c>
      <c r="I455" s="1146">
        <v>2</v>
      </c>
      <c r="J455" s="1147">
        <v>26</v>
      </c>
      <c r="K455" s="1147">
        <v>13</v>
      </c>
      <c r="L455" s="1066" t="s">
        <v>988</v>
      </c>
      <c r="M455" s="959">
        <v>2000000</v>
      </c>
      <c r="N455" s="1837">
        <v>19490827.037500001</v>
      </c>
      <c r="O455" s="1838">
        <v>12807317.4125</v>
      </c>
      <c r="V455" s="9"/>
      <c r="W455" s="9"/>
      <c r="X455" s="9"/>
      <c r="Y455" s="9"/>
      <c r="Z455" s="9"/>
      <c r="AA455" s="9"/>
      <c r="AB455" s="9"/>
      <c r="AC455" s="237">
        <f>MAX(J455/J475)</f>
        <v>1.6558769301315467E-2</v>
      </c>
      <c r="AD455" s="235">
        <f>MAX(M455*AC455)</f>
        <v>33117.538602630935</v>
      </c>
      <c r="AE455" s="238">
        <f>MAX(I455/I475)</f>
        <v>1.18367709288906E-2</v>
      </c>
      <c r="AF455" s="235">
        <f>MAX(N455*AE455)</f>
        <v>230708.45485751491</v>
      </c>
      <c r="AG455" s="238">
        <f>MAX(H455/H475)</f>
        <v>1.5733784368485229E-2</v>
      </c>
      <c r="AH455" s="235">
        <f>MAX(O455*AG455)</f>
        <v>201507.57050702118</v>
      </c>
    </row>
    <row r="456" spans="1:34" ht="15" customHeight="1" x14ac:dyDescent="0.2">
      <c r="A456" s="1154" t="s">
        <v>374</v>
      </c>
      <c r="B456" s="1002">
        <v>79.664999999999992</v>
      </c>
      <c r="C456" s="1002">
        <v>12</v>
      </c>
      <c r="D456" s="1002">
        <v>6</v>
      </c>
      <c r="E456" s="1002">
        <v>2</v>
      </c>
      <c r="F456" s="1002">
        <v>3</v>
      </c>
      <c r="G456" s="1002">
        <v>4</v>
      </c>
      <c r="H456" s="1002">
        <v>64.664999999999992</v>
      </c>
      <c r="I456" s="1002">
        <v>86.664999999999992</v>
      </c>
      <c r="J456" s="1150">
        <v>842.7650000000001</v>
      </c>
      <c r="K456" s="1150">
        <v>13.03278435011212</v>
      </c>
      <c r="L456" s="1152"/>
      <c r="M456" s="996"/>
      <c r="N456" s="996"/>
      <c r="O456" s="1153"/>
      <c r="V456" s="9"/>
      <c r="W456" s="9"/>
      <c r="X456" s="9"/>
      <c r="Y456" s="9"/>
      <c r="Z456" s="9"/>
      <c r="AA456" s="9"/>
      <c r="AB456" s="9"/>
      <c r="AC456" s="1157"/>
      <c r="AD456" s="1156"/>
      <c r="AE456" s="1158"/>
      <c r="AF456" s="1156"/>
      <c r="AG456" s="1158"/>
      <c r="AH456" s="1156"/>
    </row>
    <row r="457" spans="1:34" ht="15" customHeight="1" x14ac:dyDescent="0.2">
      <c r="A457" s="962" t="s">
        <v>375</v>
      </c>
      <c r="B457" s="1498">
        <v>21.5</v>
      </c>
      <c r="C457" s="1146">
        <v>2</v>
      </c>
      <c r="D457" s="1146">
        <v>0</v>
      </c>
      <c r="E457" s="1146">
        <v>0</v>
      </c>
      <c r="F457" s="1146">
        <v>1</v>
      </c>
      <c r="G457" s="1146">
        <v>2</v>
      </c>
      <c r="H457" s="1146">
        <v>18.5</v>
      </c>
      <c r="I457" s="1146">
        <v>22.5</v>
      </c>
      <c r="J457" s="1147">
        <v>222</v>
      </c>
      <c r="K457" s="1147">
        <v>12</v>
      </c>
      <c r="L457" s="1066" t="s">
        <v>988</v>
      </c>
      <c r="M457" s="959">
        <v>2000000</v>
      </c>
      <c r="N457" s="1837">
        <v>19490827.037500001</v>
      </c>
      <c r="O457" s="1838">
        <v>12807317.4125</v>
      </c>
      <c r="P457" s="950"/>
      <c r="Q457" s="950"/>
      <c r="R457" s="950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237">
        <f>MAX(J457/J475)</f>
        <v>0.14138641480353975</v>
      </c>
      <c r="AD457" s="235">
        <f t="shared" ref="AD457:AD464" si="83">MAX(M457*AC457)</f>
        <v>282772.8296070795</v>
      </c>
      <c r="AE457" s="238">
        <f>MAX(I457/I475)</f>
        <v>0.13316367295001924</v>
      </c>
      <c r="AF457" s="235">
        <f t="shared" ref="AF457:AF464" si="84">MAX(N457*AE457)</f>
        <v>2595470.1171470424</v>
      </c>
      <c r="AG457" s="238">
        <f>MAX(H457/H475)</f>
        <v>0.14553750540848839</v>
      </c>
      <c r="AH457" s="235">
        <f t="shared" ref="AH457:AH464" si="85">MAX(O457*AG457)</f>
        <v>1863945.0271899463</v>
      </c>
    </row>
    <row r="458" spans="1:34" ht="15" customHeight="1" x14ac:dyDescent="0.2">
      <c r="A458" s="962" t="s">
        <v>376</v>
      </c>
      <c r="B458" s="1498">
        <v>10.455</v>
      </c>
      <c r="C458" s="1146">
        <v>4</v>
      </c>
      <c r="D458" s="1146">
        <v>0</v>
      </c>
      <c r="E458" s="1146">
        <v>0</v>
      </c>
      <c r="F458" s="1146">
        <v>0</v>
      </c>
      <c r="G458" s="1146">
        <v>0</v>
      </c>
      <c r="H458" s="1146">
        <v>10.455</v>
      </c>
      <c r="I458" s="1146">
        <v>14.455</v>
      </c>
      <c r="J458" s="1147">
        <v>156.82499999999999</v>
      </c>
      <c r="K458" s="1147">
        <v>15</v>
      </c>
      <c r="L458" s="1066" t="s">
        <v>988</v>
      </c>
      <c r="M458" s="959">
        <v>2000000</v>
      </c>
      <c r="N458" s="1837">
        <v>19490827.037500001</v>
      </c>
      <c r="O458" s="1838">
        <v>12807317.4125</v>
      </c>
      <c r="P458" s="950"/>
      <c r="Q458" s="950"/>
      <c r="R458" s="950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237">
        <f>MAX(J458/J475)</f>
        <v>9.9878038295338381E-2</v>
      </c>
      <c r="AD458" s="235">
        <f t="shared" si="83"/>
        <v>199756.07659067676</v>
      </c>
      <c r="AE458" s="238">
        <f>MAX(I458/I475)</f>
        <v>8.5550261888556814E-2</v>
      </c>
      <c r="AF458" s="235">
        <f t="shared" si="84"/>
        <v>1667445.3574826892</v>
      </c>
      <c r="AG458" s="238">
        <f>MAX(H458/H475)</f>
        <v>8.224835778625654E-2</v>
      </c>
      <c r="AH458" s="235">
        <f t="shared" si="85"/>
        <v>1053380.8248254533</v>
      </c>
    </row>
    <row r="459" spans="1:34" ht="15" customHeight="1" x14ac:dyDescent="0.2">
      <c r="A459" s="962" t="s">
        <v>377</v>
      </c>
      <c r="B459" s="1498">
        <v>14</v>
      </c>
      <c r="C459" s="1146"/>
      <c r="D459" s="1146"/>
      <c r="E459" s="1146"/>
      <c r="F459" s="1146"/>
      <c r="G459" s="1146"/>
      <c r="H459" s="1146">
        <v>14</v>
      </c>
      <c r="I459" s="1146">
        <v>14</v>
      </c>
      <c r="J459" s="1147">
        <v>196</v>
      </c>
      <c r="K459" s="1147">
        <v>14</v>
      </c>
      <c r="L459" s="1066" t="s">
        <v>988</v>
      </c>
      <c r="M459" s="959">
        <v>2000000</v>
      </c>
      <c r="N459" s="1837">
        <v>19490827.037500001</v>
      </c>
      <c r="O459" s="1838">
        <v>12807317.4125</v>
      </c>
      <c r="P459" s="950"/>
      <c r="Q459" s="950"/>
      <c r="R459" s="950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237">
        <f>MAX(J459/J475)</f>
        <v>0.12482764550222429</v>
      </c>
      <c r="AD459" s="235">
        <f t="shared" si="83"/>
        <v>249655.29100444858</v>
      </c>
      <c r="AE459" s="238">
        <f>MAX(I459/I475)</f>
        <v>8.2857396502234198E-2</v>
      </c>
      <c r="AF459" s="235">
        <f t="shared" si="84"/>
        <v>1614959.1840026043</v>
      </c>
      <c r="AG459" s="238">
        <f>MAX(H459/H475)</f>
        <v>0.11013649057939662</v>
      </c>
      <c r="AH459" s="235">
        <f t="shared" si="85"/>
        <v>1410552.9935491486</v>
      </c>
    </row>
    <row r="460" spans="1:34" ht="15" customHeight="1" x14ac:dyDescent="0.2">
      <c r="A460" s="962" t="s">
        <v>378</v>
      </c>
      <c r="B460" s="1498">
        <v>9</v>
      </c>
      <c r="C460" s="1146">
        <v>0</v>
      </c>
      <c r="D460" s="1146">
        <v>0</v>
      </c>
      <c r="E460" s="1146">
        <v>0</v>
      </c>
      <c r="F460" s="1146">
        <v>0</v>
      </c>
      <c r="G460" s="1146">
        <v>0</v>
      </c>
      <c r="H460" s="1146">
        <v>9</v>
      </c>
      <c r="I460" s="1146">
        <v>9</v>
      </c>
      <c r="J460" s="1147">
        <v>126</v>
      </c>
      <c r="K460" s="1147">
        <v>14</v>
      </c>
      <c r="L460" s="1066" t="s">
        <v>988</v>
      </c>
      <c r="M460" s="959">
        <v>2000000</v>
      </c>
      <c r="N460" s="1837">
        <v>19490827.037500001</v>
      </c>
      <c r="O460" s="1838">
        <v>12807317.4125</v>
      </c>
      <c r="P460" s="950"/>
      <c r="Q460" s="950"/>
      <c r="R460" s="950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237">
        <f>MAX(J460/J475)</f>
        <v>8.0246343537144188E-2</v>
      </c>
      <c r="AD460" s="235">
        <f t="shared" si="83"/>
        <v>160492.68707428838</v>
      </c>
      <c r="AE460" s="238">
        <f>MAX(I460/I475)</f>
        <v>5.3265469180007699E-2</v>
      </c>
      <c r="AF460" s="235">
        <f t="shared" si="84"/>
        <v>1038188.0468588171</v>
      </c>
      <c r="AG460" s="238">
        <f>MAX(H460/H475)</f>
        <v>7.0802029658183538E-2</v>
      </c>
      <c r="AH460" s="235">
        <f t="shared" si="85"/>
        <v>906784.06728159543</v>
      </c>
    </row>
    <row r="461" spans="1:34" ht="15" customHeight="1" x14ac:dyDescent="0.2">
      <c r="A461" s="962" t="s">
        <v>379</v>
      </c>
      <c r="B461" s="1498">
        <v>8</v>
      </c>
      <c r="C461" s="1146"/>
      <c r="D461" s="1146"/>
      <c r="E461" s="1146"/>
      <c r="F461" s="1146"/>
      <c r="G461" s="1146">
        <v>2</v>
      </c>
      <c r="H461" s="1146">
        <v>6</v>
      </c>
      <c r="I461" s="1146">
        <v>8</v>
      </c>
      <c r="J461" s="1147">
        <v>72</v>
      </c>
      <c r="K461" s="1147">
        <v>12</v>
      </c>
      <c r="L461" s="1066" t="s">
        <v>988</v>
      </c>
      <c r="M461" s="959">
        <v>2000000</v>
      </c>
      <c r="N461" s="1837">
        <v>19490827.037500001</v>
      </c>
      <c r="O461" s="1838">
        <v>12807317.4125</v>
      </c>
      <c r="P461" s="950"/>
      <c r="Q461" s="950"/>
      <c r="R461" s="950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237">
        <f>MAX(J461/J475)</f>
        <v>4.5855053449796679E-2</v>
      </c>
      <c r="AD461" s="235">
        <f t="shared" si="83"/>
        <v>91710.10689959336</v>
      </c>
      <c r="AE461" s="238">
        <f>MAX(I461/I475)</f>
        <v>4.7347083715562399E-2</v>
      </c>
      <c r="AF461" s="235">
        <f t="shared" si="84"/>
        <v>922833.81943005964</v>
      </c>
      <c r="AG461" s="238">
        <f>MAX(H461/H475)</f>
        <v>4.7201353105455694E-2</v>
      </c>
      <c r="AH461" s="235">
        <f t="shared" si="85"/>
        <v>604522.7115210637</v>
      </c>
    </row>
    <row r="462" spans="1:34" ht="15" customHeight="1" x14ac:dyDescent="0.2">
      <c r="A462" s="962" t="s">
        <v>380</v>
      </c>
      <c r="B462" s="1498">
        <v>6</v>
      </c>
      <c r="C462" s="1146">
        <v>1</v>
      </c>
      <c r="D462" s="1146">
        <v>0</v>
      </c>
      <c r="E462" s="1146">
        <v>0</v>
      </c>
      <c r="F462" s="1146">
        <v>0</v>
      </c>
      <c r="G462" s="1146">
        <v>0</v>
      </c>
      <c r="H462" s="1146">
        <v>6</v>
      </c>
      <c r="I462" s="1146">
        <v>7</v>
      </c>
      <c r="J462" s="1147">
        <v>60</v>
      </c>
      <c r="K462" s="1147">
        <v>10</v>
      </c>
      <c r="L462" s="1066" t="s">
        <v>988</v>
      </c>
      <c r="M462" s="959">
        <v>2000000</v>
      </c>
      <c r="N462" s="1837">
        <v>19490827.037500001</v>
      </c>
      <c r="O462" s="1838">
        <v>12807317.4125</v>
      </c>
      <c r="P462" s="950"/>
      <c r="Q462" s="950"/>
      <c r="R462" s="950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237">
        <f>MAX(J462/J475)</f>
        <v>3.821254454149723E-2</v>
      </c>
      <c r="AD462" s="235">
        <f t="shared" si="83"/>
        <v>76425.089082994455</v>
      </c>
      <c r="AE462" s="238">
        <f>MAX(I462/I475)</f>
        <v>4.1428698251117099E-2</v>
      </c>
      <c r="AF462" s="235">
        <f t="shared" si="84"/>
        <v>807479.59200130217</v>
      </c>
      <c r="AG462" s="238">
        <f>MAX(H462/H475)</f>
        <v>4.7201353105455694E-2</v>
      </c>
      <c r="AH462" s="235">
        <f t="shared" si="85"/>
        <v>604522.7115210637</v>
      </c>
    </row>
    <row r="463" spans="1:34" ht="15" customHeight="1" x14ac:dyDescent="0.2">
      <c r="A463" s="962" t="s">
        <v>381</v>
      </c>
      <c r="B463" s="1498">
        <v>0</v>
      </c>
      <c r="C463" s="1146"/>
      <c r="D463" s="1146"/>
      <c r="E463" s="1146"/>
      <c r="F463" s="1146"/>
      <c r="G463" s="1146"/>
      <c r="H463" s="1146">
        <v>0</v>
      </c>
      <c r="I463" s="1146">
        <v>0</v>
      </c>
      <c r="J463" s="1147">
        <v>0</v>
      </c>
      <c r="K463" s="1147"/>
      <c r="L463" s="1148"/>
      <c r="M463" s="959"/>
      <c r="N463" s="959"/>
      <c r="O463" s="1149"/>
      <c r="P463" s="950"/>
      <c r="Q463" s="950"/>
      <c r="R463" s="950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237">
        <f>MAX(J463/J475)</f>
        <v>0</v>
      </c>
      <c r="AD463" s="235">
        <f t="shared" si="83"/>
        <v>0</v>
      </c>
      <c r="AE463" s="238">
        <f>MAX(I463/I475)</f>
        <v>0</v>
      </c>
      <c r="AF463" s="235">
        <f t="shared" si="84"/>
        <v>0</v>
      </c>
      <c r="AG463" s="238">
        <f>MAX(H463/H475)</f>
        <v>0</v>
      </c>
      <c r="AH463" s="235">
        <f t="shared" si="85"/>
        <v>0</v>
      </c>
    </row>
    <row r="464" spans="1:34" ht="15" customHeight="1" x14ac:dyDescent="0.2">
      <c r="A464" s="962" t="s">
        <v>382</v>
      </c>
      <c r="B464" s="1498">
        <v>10.71</v>
      </c>
      <c r="C464" s="1146">
        <v>5</v>
      </c>
      <c r="D464" s="1146">
        <v>6</v>
      </c>
      <c r="E464" s="1146">
        <v>2</v>
      </c>
      <c r="F464" s="1146">
        <v>2</v>
      </c>
      <c r="G464" s="1146">
        <v>0</v>
      </c>
      <c r="H464" s="1146">
        <v>0.71000000000000085</v>
      </c>
      <c r="I464" s="1146">
        <v>11.71</v>
      </c>
      <c r="J464" s="1147">
        <v>9.9400000000000119</v>
      </c>
      <c r="K464" s="1147">
        <v>14</v>
      </c>
      <c r="L464" s="1066" t="s">
        <v>988</v>
      </c>
      <c r="M464" s="959">
        <v>2000000</v>
      </c>
      <c r="N464" s="1837">
        <v>19490827.037500001</v>
      </c>
      <c r="O464" s="1838">
        <v>12807317.4125</v>
      </c>
      <c r="P464" s="950"/>
      <c r="Q464" s="950"/>
      <c r="R464" s="950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237">
        <f>MAX(J464/J475)</f>
        <v>6.3305448790413827E-3</v>
      </c>
      <c r="AD464" s="235">
        <f t="shared" si="83"/>
        <v>12661.089758082766</v>
      </c>
      <c r="AE464" s="238">
        <f>MAX(I464/I475)</f>
        <v>6.9304293788654464E-2</v>
      </c>
      <c r="AF464" s="235">
        <f t="shared" si="84"/>
        <v>1350798.0031907498</v>
      </c>
      <c r="AG464" s="238">
        <f>MAX(H464/H475)</f>
        <v>5.5854934508122638E-3</v>
      </c>
      <c r="AH464" s="235">
        <f t="shared" si="85"/>
        <v>71535.187529992618</v>
      </c>
    </row>
    <row r="465" spans="1:34" ht="15" customHeight="1" x14ac:dyDescent="0.2">
      <c r="A465" s="1154" t="s">
        <v>383</v>
      </c>
      <c r="B465" s="1002">
        <v>0</v>
      </c>
      <c r="C465" s="1002">
        <v>0</v>
      </c>
      <c r="D465" s="1002">
        <v>0</v>
      </c>
      <c r="E465" s="1002">
        <v>0</v>
      </c>
      <c r="F465" s="1002">
        <v>0</v>
      </c>
      <c r="G465" s="1002">
        <v>0</v>
      </c>
      <c r="H465" s="1002">
        <v>0</v>
      </c>
      <c r="I465" s="1002">
        <v>0</v>
      </c>
      <c r="J465" s="1150">
        <v>0</v>
      </c>
      <c r="K465" s="1151"/>
      <c r="L465" s="1152"/>
      <c r="M465" s="996"/>
      <c r="N465" s="996"/>
      <c r="O465" s="1153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1157"/>
      <c r="AD465" s="1156"/>
      <c r="AE465" s="1158"/>
      <c r="AF465" s="1156"/>
      <c r="AG465" s="1158"/>
      <c r="AH465" s="1156"/>
    </row>
    <row r="466" spans="1:34" ht="15" customHeight="1" x14ac:dyDescent="0.2">
      <c r="A466" s="962" t="s">
        <v>384</v>
      </c>
      <c r="B466" s="956">
        <v>0</v>
      </c>
      <c r="C466" s="1146">
        <v>0</v>
      </c>
      <c r="D466" s="1146">
        <v>0</v>
      </c>
      <c r="E466" s="1146">
        <v>0</v>
      </c>
      <c r="F466" s="1146">
        <v>0</v>
      </c>
      <c r="G466" s="1146">
        <v>0</v>
      </c>
      <c r="H466" s="1146">
        <v>0</v>
      </c>
      <c r="I466" s="1146">
        <v>0</v>
      </c>
      <c r="J466" s="1147">
        <v>0</v>
      </c>
      <c r="K466" s="1147">
        <v>0</v>
      </c>
      <c r="L466" s="1148"/>
      <c r="M466" s="959"/>
      <c r="N466" s="959"/>
      <c r="O466" s="1149"/>
      <c r="P466" s="950"/>
      <c r="Q466" s="950"/>
      <c r="R466" s="950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237">
        <f>MAX(J466/J475)</f>
        <v>0</v>
      </c>
      <c r="AD466" s="235">
        <f t="shared" ref="AD466:AD474" si="86">MAX(M466*AC466)</f>
        <v>0</v>
      </c>
      <c r="AE466" s="238">
        <f>MAX(I466/I475)</f>
        <v>0</v>
      </c>
      <c r="AF466" s="235">
        <f t="shared" ref="AF466:AF474" si="87">MAX(N466*AE466)</f>
        <v>0</v>
      </c>
      <c r="AG466" s="238">
        <f>MAX(H466/H475)</f>
        <v>0</v>
      </c>
      <c r="AH466" s="235">
        <f t="shared" ref="AH466:AH474" si="88">MAX(O466*AG466)</f>
        <v>0</v>
      </c>
    </row>
    <row r="467" spans="1:34" ht="15" customHeight="1" x14ac:dyDescent="0.2">
      <c r="A467" s="962" t="s">
        <v>385</v>
      </c>
      <c r="B467" s="956">
        <v>0</v>
      </c>
      <c r="C467" s="1146">
        <v>0</v>
      </c>
      <c r="D467" s="1146">
        <v>0</v>
      </c>
      <c r="E467" s="1146">
        <v>0</v>
      </c>
      <c r="F467" s="1146">
        <v>0</v>
      </c>
      <c r="G467" s="1146">
        <v>0</v>
      </c>
      <c r="H467" s="1146">
        <v>0</v>
      </c>
      <c r="I467" s="1146">
        <v>0</v>
      </c>
      <c r="J467" s="1147">
        <v>0</v>
      </c>
      <c r="K467" s="1147">
        <v>0</v>
      </c>
      <c r="L467" s="1148"/>
      <c r="M467" s="959"/>
      <c r="N467" s="959"/>
      <c r="O467" s="1149"/>
      <c r="P467" s="950"/>
      <c r="Q467" s="950"/>
      <c r="R467" s="950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237">
        <f>MAX(J467/J475)</f>
        <v>0</v>
      </c>
      <c r="AD467" s="235">
        <f t="shared" si="86"/>
        <v>0</v>
      </c>
      <c r="AE467" s="238">
        <f>MAX(I467/I475)</f>
        <v>0</v>
      </c>
      <c r="AF467" s="235">
        <f t="shared" si="87"/>
        <v>0</v>
      </c>
      <c r="AG467" s="238">
        <f>MAX(H467/H475)</f>
        <v>0</v>
      </c>
      <c r="AH467" s="235">
        <f t="shared" si="88"/>
        <v>0</v>
      </c>
    </row>
    <row r="468" spans="1:34" ht="15" customHeight="1" x14ac:dyDescent="0.2">
      <c r="A468" s="962" t="s">
        <v>386</v>
      </c>
      <c r="B468" s="956">
        <v>0</v>
      </c>
      <c r="C468" s="1146">
        <v>0</v>
      </c>
      <c r="D468" s="1146">
        <v>0</v>
      </c>
      <c r="E468" s="1146">
        <v>0</v>
      </c>
      <c r="F468" s="1146">
        <v>0</v>
      </c>
      <c r="G468" s="1146">
        <v>0</v>
      </c>
      <c r="H468" s="1146">
        <v>0</v>
      </c>
      <c r="I468" s="1146">
        <v>0</v>
      </c>
      <c r="J468" s="1147">
        <v>0</v>
      </c>
      <c r="K468" s="1147">
        <v>0</v>
      </c>
      <c r="L468" s="1148"/>
      <c r="M468" s="959"/>
      <c r="N468" s="959"/>
      <c r="O468" s="1149"/>
      <c r="P468" s="950"/>
      <c r="Q468" s="950"/>
      <c r="R468" s="950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237">
        <f>MAX(J468/J475)</f>
        <v>0</v>
      </c>
      <c r="AD468" s="235">
        <f t="shared" si="86"/>
        <v>0</v>
      </c>
      <c r="AE468" s="238">
        <f>MAX(I468/I475)</f>
        <v>0</v>
      </c>
      <c r="AF468" s="235">
        <f t="shared" si="87"/>
        <v>0</v>
      </c>
      <c r="AG468" s="238">
        <f>MAX(H468/H475)</f>
        <v>0</v>
      </c>
      <c r="AH468" s="235">
        <f t="shared" si="88"/>
        <v>0</v>
      </c>
    </row>
    <row r="469" spans="1:34" ht="15" customHeight="1" x14ac:dyDescent="0.2">
      <c r="A469" s="962" t="s">
        <v>387</v>
      </c>
      <c r="B469" s="956">
        <v>0</v>
      </c>
      <c r="C469" s="1146">
        <v>0</v>
      </c>
      <c r="D469" s="1146">
        <v>0</v>
      </c>
      <c r="E469" s="1146">
        <v>0</v>
      </c>
      <c r="F469" s="1146">
        <v>0</v>
      </c>
      <c r="G469" s="1146">
        <v>0</v>
      </c>
      <c r="H469" s="1146">
        <v>0</v>
      </c>
      <c r="I469" s="1146">
        <v>0</v>
      </c>
      <c r="J469" s="1147">
        <v>0</v>
      </c>
      <c r="K469" s="1147">
        <v>0</v>
      </c>
      <c r="L469" s="1148"/>
      <c r="M469" s="959"/>
      <c r="N469" s="959"/>
      <c r="O469" s="1149"/>
      <c r="P469" s="950"/>
      <c r="Q469" s="950"/>
      <c r="R469" s="950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237">
        <f>MAX(J469/J475)</f>
        <v>0</v>
      </c>
      <c r="AD469" s="235">
        <f t="shared" si="86"/>
        <v>0</v>
      </c>
      <c r="AE469" s="238">
        <f>MAX(I469/I475)</f>
        <v>0</v>
      </c>
      <c r="AF469" s="235">
        <f t="shared" si="87"/>
        <v>0</v>
      </c>
      <c r="AG469" s="238">
        <f>MAX(H469/H475)</f>
        <v>0</v>
      </c>
      <c r="AH469" s="235">
        <f t="shared" si="88"/>
        <v>0</v>
      </c>
    </row>
    <row r="470" spans="1:34" ht="15" customHeight="1" x14ac:dyDescent="0.2">
      <c r="A470" s="962" t="s">
        <v>388</v>
      </c>
      <c r="B470" s="956">
        <v>0</v>
      </c>
      <c r="C470" s="1146">
        <v>0</v>
      </c>
      <c r="D470" s="1146">
        <v>0</v>
      </c>
      <c r="E470" s="1146">
        <v>0</v>
      </c>
      <c r="F470" s="1146">
        <v>0</v>
      </c>
      <c r="G470" s="1146">
        <v>0</v>
      </c>
      <c r="H470" s="1146">
        <v>0</v>
      </c>
      <c r="I470" s="1146">
        <v>0</v>
      </c>
      <c r="J470" s="1147">
        <v>0</v>
      </c>
      <c r="K470" s="1147">
        <v>0</v>
      </c>
      <c r="L470" s="1148"/>
      <c r="M470" s="959"/>
      <c r="N470" s="959"/>
      <c r="O470" s="1149"/>
      <c r="P470" s="950"/>
      <c r="Q470" s="950"/>
      <c r="R470" s="950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237">
        <f>MAX(J470/J475)</f>
        <v>0</v>
      </c>
      <c r="AD470" s="235">
        <f t="shared" si="86"/>
        <v>0</v>
      </c>
      <c r="AE470" s="238">
        <f>MAX(I470/I475)</f>
        <v>0</v>
      </c>
      <c r="AF470" s="235">
        <f t="shared" si="87"/>
        <v>0</v>
      </c>
      <c r="AG470" s="238">
        <f>MAX(H470/H475)</f>
        <v>0</v>
      </c>
      <c r="AH470" s="235">
        <f t="shared" si="88"/>
        <v>0</v>
      </c>
    </row>
    <row r="471" spans="1:34" ht="15" customHeight="1" x14ac:dyDescent="0.2">
      <c r="A471" s="962" t="s">
        <v>389</v>
      </c>
      <c r="B471" s="956">
        <v>0</v>
      </c>
      <c r="C471" s="1146">
        <v>0</v>
      </c>
      <c r="D471" s="1146">
        <v>0</v>
      </c>
      <c r="E471" s="1146">
        <v>0</v>
      </c>
      <c r="F471" s="1146">
        <v>0</v>
      </c>
      <c r="G471" s="1146">
        <v>0</v>
      </c>
      <c r="H471" s="1146">
        <v>0</v>
      </c>
      <c r="I471" s="1146">
        <v>0</v>
      </c>
      <c r="J471" s="1147">
        <v>0</v>
      </c>
      <c r="K471" s="1147">
        <v>0</v>
      </c>
      <c r="L471" s="1148"/>
      <c r="M471" s="959"/>
      <c r="N471" s="959"/>
      <c r="O471" s="1149"/>
      <c r="P471" s="950"/>
      <c r="Q471" s="950"/>
      <c r="R471" s="950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237">
        <f>MAX(J471/J475)</f>
        <v>0</v>
      </c>
      <c r="AD471" s="235">
        <f t="shared" si="86"/>
        <v>0</v>
      </c>
      <c r="AE471" s="238">
        <f>MAX(I471/I475)</f>
        <v>0</v>
      </c>
      <c r="AF471" s="235">
        <f t="shared" si="87"/>
        <v>0</v>
      </c>
      <c r="AG471" s="238">
        <f>MAX(H471/H475)</f>
        <v>0</v>
      </c>
      <c r="AH471" s="235">
        <f t="shared" si="88"/>
        <v>0</v>
      </c>
    </row>
    <row r="472" spans="1:34" ht="15" customHeight="1" x14ac:dyDescent="0.2">
      <c r="A472" s="962" t="s">
        <v>390</v>
      </c>
      <c r="B472" s="956">
        <v>0</v>
      </c>
      <c r="C472" s="1146">
        <v>0</v>
      </c>
      <c r="D472" s="1146">
        <v>0</v>
      </c>
      <c r="E472" s="1146">
        <v>0</v>
      </c>
      <c r="F472" s="1146">
        <v>0</v>
      </c>
      <c r="G472" s="1146">
        <v>0</v>
      </c>
      <c r="H472" s="1146">
        <v>0</v>
      </c>
      <c r="I472" s="1146">
        <v>0</v>
      </c>
      <c r="J472" s="1147">
        <v>0</v>
      </c>
      <c r="K472" s="1147">
        <v>0</v>
      </c>
      <c r="L472" s="1148"/>
      <c r="M472" s="959"/>
      <c r="N472" s="959"/>
      <c r="O472" s="1149"/>
      <c r="P472" s="950"/>
      <c r="Q472" s="950"/>
      <c r="R472" s="950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237">
        <f>MAX(J472/J475)</f>
        <v>0</v>
      </c>
      <c r="AD472" s="235">
        <f t="shared" si="86"/>
        <v>0</v>
      </c>
      <c r="AE472" s="238">
        <f>MAX(I472/I475)</f>
        <v>0</v>
      </c>
      <c r="AF472" s="235">
        <f t="shared" si="87"/>
        <v>0</v>
      </c>
      <c r="AG472" s="238">
        <f>MAX(H472/H475)</f>
        <v>0</v>
      </c>
      <c r="AH472" s="235">
        <f t="shared" si="88"/>
        <v>0</v>
      </c>
    </row>
    <row r="473" spans="1:34" ht="15" customHeight="1" x14ac:dyDescent="0.2">
      <c r="A473" s="962" t="s">
        <v>941</v>
      </c>
      <c r="B473" s="956">
        <v>0</v>
      </c>
      <c r="C473" s="1146">
        <v>0</v>
      </c>
      <c r="D473" s="1146">
        <v>0</v>
      </c>
      <c r="E473" s="1146">
        <v>0</v>
      </c>
      <c r="F473" s="1146">
        <v>0</v>
      </c>
      <c r="G473" s="1146">
        <v>0</v>
      </c>
      <c r="H473" s="1146">
        <v>0</v>
      </c>
      <c r="I473" s="1146">
        <v>0</v>
      </c>
      <c r="J473" s="1147">
        <v>0</v>
      </c>
      <c r="K473" s="1147">
        <v>0</v>
      </c>
      <c r="L473" s="1148"/>
      <c r="M473" s="959"/>
      <c r="N473" s="959"/>
      <c r="O473" s="1149"/>
      <c r="P473" s="950"/>
      <c r="Q473" s="950"/>
      <c r="R473" s="950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237">
        <f>MAX(J473/J475)</f>
        <v>0</v>
      </c>
      <c r="AD473" s="235">
        <f t="shared" si="86"/>
        <v>0</v>
      </c>
      <c r="AE473" s="238">
        <f>MAX(I473/I475)</f>
        <v>0</v>
      </c>
      <c r="AF473" s="235">
        <f t="shared" si="87"/>
        <v>0</v>
      </c>
      <c r="AG473" s="238">
        <f>MAX(H473/H475)</f>
        <v>0</v>
      </c>
      <c r="AH473" s="235">
        <f t="shared" si="88"/>
        <v>0</v>
      </c>
    </row>
    <row r="474" spans="1:34" ht="15" customHeight="1" thickBot="1" x14ac:dyDescent="0.25">
      <c r="A474" s="1140" t="s">
        <v>392</v>
      </c>
      <c r="B474" s="244">
        <v>0</v>
      </c>
      <c r="C474" s="1141">
        <v>0</v>
      </c>
      <c r="D474" s="1141">
        <v>0</v>
      </c>
      <c r="E474" s="1141">
        <v>0</v>
      </c>
      <c r="F474" s="1141">
        <v>0</v>
      </c>
      <c r="G474" s="1141">
        <v>0</v>
      </c>
      <c r="H474" s="1146">
        <v>0</v>
      </c>
      <c r="I474" s="1146">
        <v>0</v>
      </c>
      <c r="J474" s="1147">
        <v>0</v>
      </c>
      <c r="K474" s="1147">
        <v>0</v>
      </c>
      <c r="L474" s="1143"/>
      <c r="M474" s="1144"/>
      <c r="N474" s="1144"/>
      <c r="O474" s="1145"/>
      <c r="P474" s="950"/>
      <c r="Q474" s="950"/>
      <c r="R474" s="950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237">
        <f>MAX(J474/J475)</f>
        <v>0</v>
      </c>
      <c r="AD474" s="235">
        <f t="shared" si="86"/>
        <v>0</v>
      </c>
      <c r="AE474" s="238">
        <f>MAX(I474/I475)</f>
        <v>0</v>
      </c>
      <c r="AF474" s="235">
        <f t="shared" si="87"/>
        <v>0</v>
      </c>
      <c r="AG474" s="238">
        <f>MAX(H474/H475)</f>
        <v>0</v>
      </c>
      <c r="AH474" s="235">
        <f t="shared" si="88"/>
        <v>0</v>
      </c>
    </row>
    <row r="475" spans="1:34" ht="15" customHeight="1" thickBot="1" x14ac:dyDescent="0.25">
      <c r="A475" s="405" t="s">
        <v>942</v>
      </c>
      <c r="B475" s="1131">
        <v>140.11500000000001</v>
      </c>
      <c r="C475" s="1131">
        <v>29.85</v>
      </c>
      <c r="D475" s="1131">
        <v>6</v>
      </c>
      <c r="E475" s="1131">
        <v>3</v>
      </c>
      <c r="F475" s="1131">
        <v>7</v>
      </c>
      <c r="G475" s="1131">
        <v>6</v>
      </c>
      <c r="H475" s="1131">
        <v>127.11499999999999</v>
      </c>
      <c r="I475" s="1131">
        <v>168.96499999999997</v>
      </c>
      <c r="J475" s="1132">
        <v>1570.165</v>
      </c>
      <c r="K475" s="1132">
        <v>12.352318766471306</v>
      </c>
      <c r="L475" s="1525" t="s">
        <v>988</v>
      </c>
      <c r="M475" s="1134">
        <v>1999999.9999999998</v>
      </c>
      <c r="N475" s="1134">
        <v>19490827.037500001</v>
      </c>
      <c r="O475" s="506">
        <v>12807317.412500001</v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1159">
        <f t="shared" ref="AC475:AH475" si="89">SUM(AC435:AC474)</f>
        <v>1</v>
      </c>
      <c r="AD475" s="1160">
        <f t="shared" si="89"/>
        <v>1999999.9999999998</v>
      </c>
      <c r="AE475" s="1161">
        <f t="shared" si="89"/>
        <v>1.0000000000000002</v>
      </c>
      <c r="AF475" s="1160">
        <f t="shared" si="89"/>
        <v>19490827.037500001</v>
      </c>
      <c r="AG475" s="1161">
        <f t="shared" si="89"/>
        <v>1</v>
      </c>
      <c r="AH475" s="1160">
        <f t="shared" si="89"/>
        <v>12807317.412500001</v>
      </c>
    </row>
    <row r="476" spans="1:34" x14ac:dyDescent="0.2">
      <c r="A476" s="7" t="s">
        <v>1934</v>
      </c>
      <c r="B476" s="8"/>
      <c r="C476" s="8"/>
      <c r="D476" s="8"/>
      <c r="E476" s="4"/>
      <c r="F476" s="5"/>
      <c r="G476" s="9"/>
      <c r="H476" s="8"/>
      <c r="I476" s="224"/>
      <c r="J476" s="224"/>
      <c r="K476" s="240"/>
      <c r="L476" s="241"/>
      <c r="M476" s="240"/>
      <c r="N476" s="240"/>
      <c r="O476" s="240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</row>
    <row r="477" spans="1:34" x14ac:dyDescent="0.2">
      <c r="A477" s="34"/>
      <c r="B477" s="224"/>
      <c r="C477" s="224"/>
      <c r="D477" s="224"/>
      <c r="E477" s="224"/>
      <c r="F477" s="224"/>
      <c r="G477" s="224"/>
      <c r="H477" s="224"/>
      <c r="I477" s="224"/>
      <c r="J477" s="224"/>
      <c r="K477" s="240"/>
      <c r="L477" s="241"/>
      <c r="M477" s="240"/>
      <c r="N477" s="240"/>
      <c r="O477" s="240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</row>
    <row r="478" spans="1:34" x14ac:dyDescent="0.2">
      <c r="A478" s="242"/>
      <c r="B478" s="224"/>
      <c r="C478" s="224"/>
      <c r="D478" s="224"/>
      <c r="E478" s="224"/>
      <c r="F478" s="224"/>
      <c r="G478" s="224"/>
      <c r="H478" s="224"/>
      <c r="I478" s="224"/>
      <c r="J478" s="224"/>
      <c r="K478" s="240"/>
      <c r="L478" s="241"/>
      <c r="M478" s="240"/>
      <c r="N478" s="240"/>
      <c r="O478" s="240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</row>
    <row r="479" spans="1:34" x14ac:dyDescent="0.2">
      <c r="A479" s="242"/>
      <c r="B479" s="224"/>
      <c r="C479" s="224"/>
      <c r="D479" s="224"/>
      <c r="E479" s="224"/>
      <c r="F479" s="224"/>
      <c r="G479" s="224"/>
      <c r="H479" s="224"/>
      <c r="I479" s="224"/>
      <c r="J479" s="224"/>
      <c r="K479" s="240"/>
      <c r="L479" s="241"/>
      <c r="M479" s="240"/>
      <c r="N479" s="240"/>
      <c r="O479" s="240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</row>
    <row r="480" spans="1:34" ht="15" x14ac:dyDescent="0.25">
      <c r="A480" s="2843" t="s">
        <v>1931</v>
      </c>
      <c r="B480" s="2843"/>
      <c r="C480" s="2843"/>
      <c r="D480" s="2843"/>
      <c r="E480" s="2843"/>
      <c r="F480" s="2843"/>
      <c r="G480" s="2843"/>
      <c r="H480" s="2843"/>
      <c r="I480" s="2843"/>
      <c r="J480" s="2843"/>
      <c r="K480" s="2843"/>
      <c r="L480" s="2843"/>
      <c r="M480" s="2843"/>
      <c r="N480" s="2843"/>
      <c r="O480" s="2843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</row>
    <row r="481" spans="1:34" ht="13.5" thickBot="1" x14ac:dyDescent="0.25">
      <c r="A481" s="225" t="s">
        <v>943</v>
      </c>
      <c r="B481" s="225"/>
      <c r="C481" s="224"/>
      <c r="D481" s="224"/>
      <c r="E481" s="224"/>
      <c r="F481" s="224"/>
      <c r="G481" s="224"/>
      <c r="H481" s="224"/>
      <c r="I481" s="224"/>
      <c r="J481" s="224"/>
      <c r="K481" s="240"/>
      <c r="L481" s="241"/>
      <c r="M481" s="240"/>
      <c r="N481" s="240"/>
      <c r="O481" s="240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</row>
    <row r="482" spans="1:34" ht="15" customHeight="1" x14ac:dyDescent="0.2">
      <c r="A482" s="2844" t="s">
        <v>327</v>
      </c>
      <c r="B482" s="2847" t="s">
        <v>1932</v>
      </c>
      <c r="C482" s="2848"/>
      <c r="D482" s="2848"/>
      <c r="E482" s="2848"/>
      <c r="F482" s="2848"/>
      <c r="G482" s="2848"/>
      <c r="H482" s="2848"/>
      <c r="I482" s="2848"/>
      <c r="J482" s="2848"/>
      <c r="K482" s="2848"/>
      <c r="L482" s="2848"/>
      <c r="M482" s="2848"/>
      <c r="N482" s="2848"/>
      <c r="O482" s="284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228" t="s">
        <v>910</v>
      </c>
      <c r="AD482" s="229"/>
      <c r="AE482" s="229"/>
      <c r="AF482" s="229"/>
      <c r="AG482" s="229"/>
      <c r="AH482" s="243"/>
    </row>
    <row r="483" spans="1:34" ht="15" customHeight="1" x14ac:dyDescent="0.2">
      <c r="A483" s="2845"/>
      <c r="B483" s="2850" t="s">
        <v>191</v>
      </c>
      <c r="C483" s="2850"/>
      <c r="D483" s="2850"/>
      <c r="E483" s="2850"/>
      <c r="F483" s="2850"/>
      <c r="G483" s="2850"/>
      <c r="H483" s="2850"/>
      <c r="I483" s="2850"/>
      <c r="J483" s="2119"/>
      <c r="K483" s="2119" t="s">
        <v>904</v>
      </c>
      <c r="L483" s="2119"/>
      <c r="M483" s="1122" t="s">
        <v>437</v>
      </c>
      <c r="N483" s="1122" t="s">
        <v>911</v>
      </c>
      <c r="O483" s="1127" t="s">
        <v>911</v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230" t="s">
        <v>333</v>
      </c>
      <c r="AD483" s="231" t="s">
        <v>333</v>
      </c>
      <c r="AE483" s="231" t="s">
        <v>333</v>
      </c>
      <c r="AF483" s="231" t="s">
        <v>333</v>
      </c>
      <c r="AG483" s="231" t="s">
        <v>333</v>
      </c>
      <c r="AH483" s="231" t="s">
        <v>333</v>
      </c>
    </row>
    <row r="484" spans="1:34" ht="15" customHeight="1" x14ac:dyDescent="0.2">
      <c r="A484" s="2845"/>
      <c r="B484" s="2119" t="s">
        <v>433</v>
      </c>
      <c r="C484" s="2119"/>
      <c r="D484" s="2841" t="s">
        <v>1865</v>
      </c>
      <c r="E484" s="2119"/>
      <c r="F484" s="2119"/>
      <c r="G484" s="2119" t="s">
        <v>912</v>
      </c>
      <c r="H484" s="2119"/>
      <c r="I484" s="2119" t="s">
        <v>433</v>
      </c>
      <c r="J484" s="2138" t="s">
        <v>913</v>
      </c>
      <c r="K484" s="2138" t="s">
        <v>842</v>
      </c>
      <c r="L484" s="2138" t="s">
        <v>329</v>
      </c>
      <c r="M484" s="1123" t="s">
        <v>914</v>
      </c>
      <c r="N484" s="1123" t="s">
        <v>915</v>
      </c>
      <c r="O484" s="1128" t="s">
        <v>914</v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230" t="s">
        <v>913</v>
      </c>
      <c r="AD484" s="231" t="s">
        <v>916</v>
      </c>
      <c r="AE484" s="231" t="s">
        <v>917</v>
      </c>
      <c r="AF484" s="231" t="s">
        <v>918</v>
      </c>
      <c r="AG484" s="231" t="s">
        <v>192</v>
      </c>
      <c r="AH484" s="231" t="s">
        <v>918</v>
      </c>
    </row>
    <row r="485" spans="1:34" ht="15" customHeight="1" x14ac:dyDescent="0.2">
      <c r="A485" s="2845"/>
      <c r="B485" s="2138" t="s">
        <v>920</v>
      </c>
      <c r="C485" s="2138" t="s">
        <v>922</v>
      </c>
      <c r="D485" s="2842"/>
      <c r="E485" s="2138" t="s">
        <v>867</v>
      </c>
      <c r="F485" s="2138" t="s">
        <v>921</v>
      </c>
      <c r="G485" s="2138" t="s">
        <v>923</v>
      </c>
      <c r="H485" s="2138" t="s">
        <v>836</v>
      </c>
      <c r="I485" s="2138" t="s">
        <v>835</v>
      </c>
      <c r="J485" s="2138" t="s">
        <v>924</v>
      </c>
      <c r="K485" s="2138" t="s">
        <v>925</v>
      </c>
      <c r="L485" s="2138" t="s">
        <v>336</v>
      </c>
      <c r="M485" s="1123" t="s">
        <v>926</v>
      </c>
      <c r="N485" s="1123" t="s">
        <v>927</v>
      </c>
      <c r="O485" s="1128" t="s">
        <v>928</v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230"/>
      <c r="AD485" s="231" t="s">
        <v>843</v>
      </c>
      <c r="AE485" s="231"/>
      <c r="AF485" s="231" t="s">
        <v>929</v>
      </c>
      <c r="AG485" s="231"/>
      <c r="AH485" s="231" t="s">
        <v>930</v>
      </c>
    </row>
    <row r="486" spans="1:34" ht="15" customHeight="1" thickBot="1" x14ac:dyDescent="0.25">
      <c r="A486" s="2846"/>
      <c r="B486" s="1881">
        <v>44926</v>
      </c>
      <c r="C486" s="2139">
        <v>2023</v>
      </c>
      <c r="D486" s="2139">
        <v>2023</v>
      </c>
      <c r="E486" s="2139">
        <v>2023</v>
      </c>
      <c r="F486" s="2139">
        <v>2023</v>
      </c>
      <c r="G486" s="2139" t="s">
        <v>931</v>
      </c>
      <c r="H486" s="1126">
        <v>2023</v>
      </c>
      <c r="I486" s="1881">
        <v>45291</v>
      </c>
      <c r="J486" s="1881" t="s">
        <v>1933</v>
      </c>
      <c r="K486" s="1881" t="s">
        <v>1933</v>
      </c>
      <c r="L486" s="2139" t="s">
        <v>441</v>
      </c>
      <c r="M486" s="1125" t="s">
        <v>932</v>
      </c>
      <c r="N486" s="1125" t="s">
        <v>933</v>
      </c>
      <c r="O486" s="1129" t="s">
        <v>933</v>
      </c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232"/>
      <c r="AD486" s="233" t="s">
        <v>934</v>
      </c>
      <c r="AE486" s="233"/>
      <c r="AF486" s="233" t="s">
        <v>935</v>
      </c>
      <c r="AG486" s="233"/>
      <c r="AH486" s="233" t="s">
        <v>936</v>
      </c>
    </row>
    <row r="487" spans="1:34" ht="15" customHeight="1" x14ac:dyDescent="0.2">
      <c r="A487" s="1135" t="s">
        <v>352</v>
      </c>
      <c r="B487" s="1130">
        <v>2349.5</v>
      </c>
      <c r="C487" s="1130">
        <v>388</v>
      </c>
      <c r="D487" s="1130">
        <v>200</v>
      </c>
      <c r="E487" s="1130">
        <v>24</v>
      </c>
      <c r="F487" s="1130">
        <v>44</v>
      </c>
      <c r="G487" s="1130">
        <v>137</v>
      </c>
      <c r="H487" s="1130">
        <v>1944.5</v>
      </c>
      <c r="I487" s="1130">
        <v>2669.5</v>
      </c>
      <c r="J487" s="1136">
        <v>14194.75</v>
      </c>
      <c r="K487" s="1150">
        <v>7.2999485728979172</v>
      </c>
      <c r="L487" s="380"/>
      <c r="M487" s="1138"/>
      <c r="N487" s="1138"/>
      <c r="O487" s="1139"/>
      <c r="P487" s="950"/>
      <c r="Q487" s="950"/>
      <c r="R487" s="950"/>
      <c r="S487" s="950"/>
      <c r="T487" s="950"/>
      <c r="U487" s="9"/>
      <c r="V487" s="9"/>
      <c r="W487" s="9"/>
      <c r="X487" s="9"/>
      <c r="Y487" s="9"/>
      <c r="Z487" s="9"/>
      <c r="AA487" s="9"/>
      <c r="AB487" s="9"/>
      <c r="AC487" s="1155"/>
      <c r="AD487" s="1156"/>
      <c r="AE487" s="1156"/>
      <c r="AF487" s="1156"/>
      <c r="AG487" s="1156"/>
      <c r="AH487" s="1156"/>
    </row>
    <row r="488" spans="1:34" ht="15" customHeight="1" x14ac:dyDescent="0.2">
      <c r="A488" s="2104" t="s">
        <v>353</v>
      </c>
      <c r="B488" s="956">
        <v>309</v>
      </c>
      <c r="C488" s="1146"/>
      <c r="D488" s="1146">
        <v>20</v>
      </c>
      <c r="E488" s="1146"/>
      <c r="F488" s="1146">
        <v>12</v>
      </c>
      <c r="G488" s="1146"/>
      <c r="H488" s="1146">
        <v>277</v>
      </c>
      <c r="I488" s="1146">
        <v>297</v>
      </c>
      <c r="J488" s="1147">
        <v>2216</v>
      </c>
      <c r="K488" s="2269">
        <v>8</v>
      </c>
      <c r="L488" s="1066" t="s">
        <v>988</v>
      </c>
      <c r="M488" s="959">
        <v>1348000</v>
      </c>
      <c r="N488" s="1837">
        <v>11549305.7448</v>
      </c>
      <c r="O488" s="1838">
        <v>9550068.6184816025</v>
      </c>
      <c r="P488" s="950"/>
      <c r="Q488" s="950"/>
      <c r="R488" s="950"/>
      <c r="S488" s="9"/>
      <c r="T488" s="9"/>
      <c r="U488" s="950"/>
      <c r="V488" s="950"/>
      <c r="W488" s="950"/>
      <c r="X488" s="950"/>
      <c r="Y488" s="950"/>
      <c r="Z488" s="9"/>
      <c r="AA488" s="9"/>
      <c r="AB488" s="9"/>
      <c r="AC488" s="237">
        <f>MAX(J488/J528)</f>
        <v>9.3712349604577014E-2</v>
      </c>
      <c r="AD488" s="235">
        <f t="shared" ref="AD488:AD502" si="90">MAX(M488*AC488)</f>
        <v>126324.24726696982</v>
      </c>
      <c r="AE488" s="238">
        <f>MAX(I488/I528)</f>
        <v>7.5847926184900397E-2</v>
      </c>
      <c r="AF488" s="235">
        <f t="shared" ref="AF488:AF502" si="91">MAX(N488*AE488)</f>
        <v>875990.88961843646</v>
      </c>
      <c r="AG488" s="238">
        <f>MAX(H488/H528)</f>
        <v>9.324307493444374E-2</v>
      </c>
      <c r="AH488" s="235">
        <f t="shared" ref="AH488:AH502" si="92">MAX(O488*AG488)</f>
        <v>890477.76382215961</v>
      </c>
    </row>
    <row r="489" spans="1:34" ht="15" customHeight="1" x14ac:dyDescent="0.2">
      <c r="A489" s="2104" t="s">
        <v>354</v>
      </c>
      <c r="B489" s="956">
        <v>5.5</v>
      </c>
      <c r="C489" s="1146">
        <v>6</v>
      </c>
      <c r="D489" s="1146"/>
      <c r="E489" s="1146"/>
      <c r="F489" s="1146"/>
      <c r="G489" s="1146"/>
      <c r="H489" s="1146">
        <v>5.5</v>
      </c>
      <c r="I489" s="1146">
        <v>11.5</v>
      </c>
      <c r="J489" s="1147">
        <v>27.5</v>
      </c>
      <c r="K489" s="2269">
        <v>5</v>
      </c>
      <c r="L489" s="1066" t="s">
        <v>988</v>
      </c>
      <c r="M489" s="959">
        <v>1348000</v>
      </c>
      <c r="N489" s="1837">
        <v>11549305.7448</v>
      </c>
      <c r="O489" s="1838">
        <v>9550068.6184816025</v>
      </c>
      <c r="P489" s="950"/>
      <c r="Q489" s="950"/>
      <c r="R489" s="950"/>
      <c r="S489" s="9"/>
      <c r="T489" s="9"/>
      <c r="U489" s="9"/>
      <c r="V489" s="9"/>
      <c r="W489" s="950"/>
      <c r="X489" s="950"/>
      <c r="Y489" s="950"/>
      <c r="Z489" s="9"/>
      <c r="AA489" s="9"/>
      <c r="AB489" s="9"/>
      <c r="AC489" s="237">
        <f>MAX(J489/J528)</f>
        <v>1.162946576771601E-3</v>
      </c>
      <c r="AD489" s="235">
        <f t="shared" si="90"/>
        <v>1567.651985488118</v>
      </c>
      <c r="AE489" s="238">
        <f>MAX(I489/I528)</f>
        <v>2.9368725627149984E-3</v>
      </c>
      <c r="AF489" s="235">
        <f t="shared" si="91"/>
        <v>33918.839160309828</v>
      </c>
      <c r="AG489" s="238">
        <f>MAX(H489/H528)</f>
        <v>1.8513967947272221E-3</v>
      </c>
      <c r="AH489" s="235">
        <f t="shared" si="92"/>
        <v>17680.96642968187</v>
      </c>
    </row>
    <row r="490" spans="1:34" ht="15" customHeight="1" x14ac:dyDescent="0.2">
      <c r="A490" s="2104" t="s">
        <v>355</v>
      </c>
      <c r="B490" s="1625">
        <v>101</v>
      </c>
      <c r="C490" s="1626">
        <v>200</v>
      </c>
      <c r="D490" s="1626"/>
      <c r="E490" s="1626"/>
      <c r="F490" s="1626"/>
      <c r="G490" s="1626"/>
      <c r="H490" s="1146">
        <v>101</v>
      </c>
      <c r="I490" s="1146">
        <v>301</v>
      </c>
      <c r="J490" s="1540">
        <v>707</v>
      </c>
      <c r="K490" s="2269">
        <v>7</v>
      </c>
      <c r="L490" s="1066" t="s">
        <v>988</v>
      </c>
      <c r="M490" s="959">
        <v>1348000</v>
      </c>
      <c r="N490" s="1837">
        <v>11549305.7448</v>
      </c>
      <c r="O490" s="1838">
        <v>9550068.6184816025</v>
      </c>
      <c r="P490" s="950"/>
      <c r="Q490" s="950"/>
      <c r="R490" s="950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237">
        <f>MAX(J490/J528)</f>
        <v>2.9898299264637159E-2</v>
      </c>
      <c r="AD490" s="235">
        <f t="shared" si="90"/>
        <v>40302.907408730891</v>
      </c>
      <c r="AE490" s="238">
        <f>MAX(I490/I528)</f>
        <v>7.6869447076279532E-2</v>
      </c>
      <c r="AF490" s="235">
        <f t="shared" si="91"/>
        <v>887788.74671767477</v>
      </c>
      <c r="AG490" s="238">
        <f>MAX(H490/H528)</f>
        <v>3.3998377503172625E-2</v>
      </c>
      <c r="AH490" s="235">
        <f t="shared" si="92"/>
        <v>324686.83807233977</v>
      </c>
    </row>
    <row r="491" spans="1:34" ht="15" customHeight="1" x14ac:dyDescent="0.2">
      <c r="A491" s="2104" t="s">
        <v>356</v>
      </c>
      <c r="B491" s="956">
        <v>136</v>
      </c>
      <c r="C491" s="1146">
        <v>15</v>
      </c>
      <c r="D491" s="1146"/>
      <c r="E491" s="1146">
        <v>10</v>
      </c>
      <c r="F491" s="1146"/>
      <c r="G491" s="1146"/>
      <c r="H491" s="1146">
        <v>126</v>
      </c>
      <c r="I491" s="1146">
        <v>141</v>
      </c>
      <c r="J491" s="1147">
        <v>1008</v>
      </c>
      <c r="K491" s="2269">
        <v>8</v>
      </c>
      <c r="L491" s="1066" t="s">
        <v>988</v>
      </c>
      <c r="M491" s="959">
        <v>1348000</v>
      </c>
      <c r="N491" s="1837">
        <v>11549305.7448</v>
      </c>
      <c r="O491" s="1838">
        <v>9550068.6184816025</v>
      </c>
      <c r="P491" s="950"/>
      <c r="Q491" s="950"/>
      <c r="R491" s="950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237">
        <f>MAX(J491/J528)</f>
        <v>4.2627278159482682E-2</v>
      </c>
      <c r="AD491" s="235">
        <f t="shared" si="90"/>
        <v>57461.570958982658</v>
      </c>
      <c r="AE491" s="238">
        <f>MAX(I491/I528)</f>
        <v>3.6008611421114327E-2</v>
      </c>
      <c r="AF491" s="235">
        <f t="shared" si="91"/>
        <v>415874.46274814656</v>
      </c>
      <c r="AG491" s="238">
        <f>MAX(H491/H528)</f>
        <v>4.2413817479205453E-2</v>
      </c>
      <c r="AH491" s="235">
        <f t="shared" si="92"/>
        <v>405054.86729816644</v>
      </c>
    </row>
    <row r="492" spans="1:34" ht="15" customHeight="1" x14ac:dyDescent="0.2">
      <c r="A492" s="2104" t="s">
        <v>357</v>
      </c>
      <c r="B492" s="956">
        <v>93.5</v>
      </c>
      <c r="C492" s="1146">
        <v>0</v>
      </c>
      <c r="D492" s="1146">
        <v>5</v>
      </c>
      <c r="E492" s="1146">
        <v>0</v>
      </c>
      <c r="F492" s="1146">
        <v>10</v>
      </c>
      <c r="G492" s="1146">
        <v>0</v>
      </c>
      <c r="H492" s="1146">
        <v>78.5</v>
      </c>
      <c r="I492" s="1146">
        <v>83.5</v>
      </c>
      <c r="J492" s="1147">
        <v>785</v>
      </c>
      <c r="K492" s="2269">
        <v>10</v>
      </c>
      <c r="L492" s="1066" t="s">
        <v>988</v>
      </c>
      <c r="M492" s="959">
        <v>1348000</v>
      </c>
      <c r="N492" s="1837">
        <v>11549305.7448</v>
      </c>
      <c r="O492" s="1838">
        <v>9550068.6184816025</v>
      </c>
      <c r="P492" s="950"/>
      <c r="Q492" s="950"/>
      <c r="R492" s="950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237">
        <f>MAX(J492/J528)</f>
        <v>3.3196838646025705E-2</v>
      </c>
      <c r="AD492" s="235">
        <f t="shared" si="90"/>
        <v>44749.338494842646</v>
      </c>
      <c r="AE492" s="238">
        <f>MAX(I492/I528)</f>
        <v>2.1324248607539339E-2</v>
      </c>
      <c r="AF492" s="235">
        <f t="shared" si="91"/>
        <v>246280.26694659746</v>
      </c>
      <c r="AG492" s="238">
        <f>MAX(H492/H528)</f>
        <v>2.6424481524743082E-2</v>
      </c>
      <c r="AH492" s="235">
        <f t="shared" si="92"/>
        <v>252355.61176909579</v>
      </c>
    </row>
    <row r="493" spans="1:34" ht="15" customHeight="1" x14ac:dyDescent="0.2">
      <c r="A493" s="2104" t="s">
        <v>358</v>
      </c>
      <c r="B493" s="956">
        <v>18</v>
      </c>
      <c r="C493" s="1146">
        <v>0</v>
      </c>
      <c r="D493" s="1146">
        <v>0</v>
      </c>
      <c r="E493" s="1146">
        <v>0</v>
      </c>
      <c r="F493" s="1146">
        <v>0</v>
      </c>
      <c r="G493" s="1146">
        <v>0</v>
      </c>
      <c r="H493" s="1146">
        <v>18</v>
      </c>
      <c r="I493" s="1146">
        <v>18</v>
      </c>
      <c r="J493" s="1147">
        <v>144</v>
      </c>
      <c r="K493" s="2269">
        <v>8</v>
      </c>
      <c r="L493" s="1066" t="s">
        <v>988</v>
      </c>
      <c r="M493" s="959">
        <v>1348000</v>
      </c>
      <c r="N493" s="1837">
        <v>11549305.7448</v>
      </c>
      <c r="O493" s="1838">
        <v>9550068.6184816025</v>
      </c>
      <c r="P493" s="950"/>
      <c r="Q493" s="950"/>
      <c r="R493" s="950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237">
        <f>MAX(J493/J528)</f>
        <v>6.0896111656403833E-3</v>
      </c>
      <c r="AD493" s="235">
        <f t="shared" si="90"/>
        <v>8208.7958512832374</v>
      </c>
      <c r="AE493" s="238">
        <f>MAX(I493/I528)</f>
        <v>4.5968440112060848E-3</v>
      </c>
      <c r="AF493" s="235">
        <f t="shared" si="91"/>
        <v>53090.356946571905</v>
      </c>
      <c r="AG493" s="238">
        <f>MAX(H493/H528)</f>
        <v>6.0591167827436362E-3</v>
      </c>
      <c r="AH493" s="235">
        <f t="shared" si="92"/>
        <v>57864.981042595209</v>
      </c>
    </row>
    <row r="494" spans="1:34" ht="15" customHeight="1" x14ac:dyDescent="0.2">
      <c r="A494" s="2104" t="s">
        <v>937</v>
      </c>
      <c r="B494" s="956">
        <v>38</v>
      </c>
      <c r="C494" s="1146">
        <v>0</v>
      </c>
      <c r="D494" s="1146">
        <v>0</v>
      </c>
      <c r="E494" s="1146">
        <v>1</v>
      </c>
      <c r="F494" s="1146">
        <v>4</v>
      </c>
      <c r="G494" s="1146">
        <v>0</v>
      </c>
      <c r="H494" s="1146">
        <v>33</v>
      </c>
      <c r="I494" s="1146">
        <v>33</v>
      </c>
      <c r="J494" s="1147">
        <v>231</v>
      </c>
      <c r="K494" s="2269">
        <v>7</v>
      </c>
      <c r="L494" s="1066" t="s">
        <v>988</v>
      </c>
      <c r="M494" s="959">
        <v>1348000</v>
      </c>
      <c r="N494" s="1837">
        <v>11549305.7448</v>
      </c>
      <c r="O494" s="1838">
        <v>9550068.6184816025</v>
      </c>
      <c r="P494" s="950"/>
      <c r="Q494" s="950"/>
      <c r="R494" s="950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237">
        <f>MAX(J494/J528)</f>
        <v>9.7687512448814493E-3</v>
      </c>
      <c r="AD494" s="235">
        <f t="shared" si="90"/>
        <v>13168.276678100194</v>
      </c>
      <c r="AE494" s="238">
        <f>MAX(I494/I528)</f>
        <v>8.4275473538778217E-3</v>
      </c>
      <c r="AF494" s="235">
        <f t="shared" si="91"/>
        <v>97332.321068715159</v>
      </c>
      <c r="AG494" s="238">
        <f>MAX(H494/H528)</f>
        <v>1.1108380768363334E-2</v>
      </c>
      <c r="AH494" s="235">
        <f t="shared" si="92"/>
        <v>106085.79857809123</v>
      </c>
    </row>
    <row r="495" spans="1:34" ht="15" customHeight="1" x14ac:dyDescent="0.2">
      <c r="A495" s="2104" t="s">
        <v>360</v>
      </c>
      <c r="B495" s="956">
        <v>0</v>
      </c>
      <c r="C495" s="1146">
        <v>0</v>
      </c>
      <c r="D495" s="1146">
        <v>0</v>
      </c>
      <c r="E495" s="1146">
        <v>0</v>
      </c>
      <c r="F495" s="1146">
        <v>0</v>
      </c>
      <c r="G495" s="1146">
        <v>0</v>
      </c>
      <c r="H495" s="1146">
        <v>0</v>
      </c>
      <c r="I495" s="1146">
        <v>0</v>
      </c>
      <c r="J495" s="1147">
        <v>0</v>
      </c>
      <c r="K495" s="2269">
        <v>0</v>
      </c>
      <c r="L495" s="1066"/>
      <c r="M495" s="959"/>
      <c r="N495" s="959"/>
      <c r="O495" s="1149"/>
      <c r="U495" s="9"/>
      <c r="V495" s="9"/>
      <c r="W495" s="9"/>
      <c r="X495" s="9"/>
      <c r="Y495" s="9"/>
      <c r="Z495" s="9"/>
      <c r="AA495" s="9"/>
      <c r="AB495" s="9"/>
      <c r="AC495" s="237">
        <f>MAX(J495/J528)</f>
        <v>0</v>
      </c>
      <c r="AD495" s="235">
        <f t="shared" si="90"/>
        <v>0</v>
      </c>
      <c r="AE495" s="238">
        <f>MAX(I495/I528)</f>
        <v>0</v>
      </c>
      <c r="AF495" s="235">
        <f t="shared" si="91"/>
        <v>0</v>
      </c>
      <c r="AG495" s="238">
        <f>MAX(H495/H528)</f>
        <v>0</v>
      </c>
      <c r="AH495" s="235">
        <f t="shared" si="92"/>
        <v>0</v>
      </c>
    </row>
    <row r="496" spans="1:34" ht="15" customHeight="1" x14ac:dyDescent="0.2">
      <c r="A496" s="2104" t="s">
        <v>938</v>
      </c>
      <c r="B496" s="956">
        <v>122.5</v>
      </c>
      <c r="C496" s="1146">
        <v>40</v>
      </c>
      <c r="D496" s="1146">
        <v>10</v>
      </c>
      <c r="E496" s="1146">
        <v>10</v>
      </c>
      <c r="F496" s="1146">
        <v>0</v>
      </c>
      <c r="G496" s="1146">
        <v>5</v>
      </c>
      <c r="H496" s="1146">
        <v>97.5</v>
      </c>
      <c r="I496" s="1146">
        <v>152.5</v>
      </c>
      <c r="J496" s="1147">
        <v>633.75</v>
      </c>
      <c r="K496" s="2269">
        <v>6.5</v>
      </c>
      <c r="L496" s="1066" t="s">
        <v>988</v>
      </c>
      <c r="M496" s="959">
        <v>1348000</v>
      </c>
      <c r="N496" s="1837">
        <v>11549305.7448</v>
      </c>
      <c r="O496" s="1838">
        <v>9550068.6184816025</v>
      </c>
      <c r="P496" s="950"/>
      <c r="Q496" s="950"/>
      <c r="R496" s="950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237">
        <f>MAX(J496/J528)</f>
        <v>2.6800632473781897E-2</v>
      </c>
      <c r="AD496" s="235">
        <f t="shared" si="90"/>
        <v>36127.252574658</v>
      </c>
      <c r="AE496" s="238">
        <f>MAX(I496/I528)</f>
        <v>3.8945483983829327E-2</v>
      </c>
      <c r="AF496" s="235">
        <f t="shared" si="91"/>
        <v>449793.30190845643</v>
      </c>
      <c r="AG496" s="238">
        <f>MAX(H496/H528)</f>
        <v>3.2820215906528033E-2</v>
      </c>
      <c r="AH496" s="235">
        <f t="shared" si="92"/>
        <v>313435.31398072408</v>
      </c>
    </row>
    <row r="497" spans="1:34" ht="15" customHeight="1" x14ac:dyDescent="0.2">
      <c r="A497" s="2104" t="s">
        <v>362</v>
      </c>
      <c r="B497" s="956">
        <v>206</v>
      </c>
      <c r="C497" s="1146">
        <v>2</v>
      </c>
      <c r="D497" s="1146">
        <v>5</v>
      </c>
      <c r="E497" s="1146">
        <v>0</v>
      </c>
      <c r="F497" s="1146">
        <v>2</v>
      </c>
      <c r="G497" s="1146">
        <v>4</v>
      </c>
      <c r="H497" s="1146">
        <v>195</v>
      </c>
      <c r="I497" s="1146">
        <v>206</v>
      </c>
      <c r="J497" s="1147">
        <v>1267.5</v>
      </c>
      <c r="K497" s="2269">
        <v>6.5</v>
      </c>
      <c r="L497" s="1066" t="s">
        <v>988</v>
      </c>
      <c r="M497" s="959">
        <v>1348000</v>
      </c>
      <c r="N497" s="1837">
        <v>11549305.7448</v>
      </c>
      <c r="O497" s="1838">
        <v>9550068.6184816025</v>
      </c>
      <c r="P497" s="950"/>
      <c r="Q497" s="950"/>
      <c r="R497" s="950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237">
        <f>MAX(J497/J528)</f>
        <v>5.3601264947563794E-2</v>
      </c>
      <c r="AD497" s="235">
        <f t="shared" si="90"/>
        <v>72254.505149315999</v>
      </c>
      <c r="AE497" s="238">
        <f>MAX(I497/I528)</f>
        <v>5.260832590602519E-2</v>
      </c>
      <c r="AF497" s="235">
        <f t="shared" si="91"/>
        <v>607589.64061076741</v>
      </c>
      <c r="AG497" s="238">
        <f>MAX(H497/H528)</f>
        <v>6.5640431813056066E-2</v>
      </c>
      <c r="AH497" s="235">
        <f t="shared" si="92"/>
        <v>626870.62796144816</v>
      </c>
    </row>
    <row r="498" spans="1:34" ht="15" customHeight="1" x14ac:dyDescent="0.2">
      <c r="A498" s="2104" t="s">
        <v>363</v>
      </c>
      <c r="B498" s="956">
        <v>30</v>
      </c>
      <c r="C498" s="1146">
        <v>10</v>
      </c>
      <c r="D498" s="1146">
        <v>0</v>
      </c>
      <c r="E498" s="1146">
        <v>0</v>
      </c>
      <c r="F498" s="1146">
        <v>0</v>
      </c>
      <c r="G498" s="1146">
        <v>0</v>
      </c>
      <c r="H498" s="1146">
        <v>30</v>
      </c>
      <c r="I498" s="1146">
        <v>40</v>
      </c>
      <c r="J498" s="1147">
        <v>240</v>
      </c>
      <c r="K498" s="2269">
        <v>8</v>
      </c>
      <c r="L498" s="1066" t="s">
        <v>988</v>
      </c>
      <c r="M498" s="959">
        <v>1348000</v>
      </c>
      <c r="N498" s="1837">
        <v>11549305.7448</v>
      </c>
      <c r="O498" s="1838">
        <v>9550068.6184816025</v>
      </c>
      <c r="P498" s="950"/>
      <c r="Q498" s="950"/>
      <c r="R498" s="950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237">
        <f>MAX(J498/J528)</f>
        <v>1.0149351942733972E-2</v>
      </c>
      <c r="AD498" s="235">
        <f t="shared" si="90"/>
        <v>13681.326418805394</v>
      </c>
      <c r="AE498" s="238">
        <f>MAX(I498/I528)</f>
        <v>1.0215208913791299E-2</v>
      </c>
      <c r="AF498" s="235">
        <f t="shared" si="91"/>
        <v>117978.57099238202</v>
      </c>
      <c r="AG498" s="238">
        <f>MAX(H498/H528)</f>
        <v>1.0098527971239394E-2</v>
      </c>
      <c r="AH498" s="235">
        <f t="shared" si="92"/>
        <v>96441.635070992023</v>
      </c>
    </row>
    <row r="499" spans="1:34" ht="15" customHeight="1" x14ac:dyDescent="0.2">
      <c r="A499" s="2104" t="s">
        <v>939</v>
      </c>
      <c r="B499" s="956">
        <v>1242</v>
      </c>
      <c r="C499" s="1146">
        <v>95</v>
      </c>
      <c r="D499" s="1146">
        <v>145</v>
      </c>
      <c r="E499" s="1146">
        <v>3</v>
      </c>
      <c r="F499" s="1146">
        <v>6</v>
      </c>
      <c r="G499" s="1146">
        <v>123</v>
      </c>
      <c r="H499" s="1146">
        <v>965</v>
      </c>
      <c r="I499" s="1146">
        <v>1328</v>
      </c>
      <c r="J499" s="1147">
        <v>6755</v>
      </c>
      <c r="K499" s="2269">
        <v>7</v>
      </c>
      <c r="L499" s="1066" t="s">
        <v>988</v>
      </c>
      <c r="M499" s="959">
        <v>1348000</v>
      </c>
      <c r="N499" s="1837">
        <v>11549305.7448</v>
      </c>
      <c r="O499" s="1838">
        <v>9550068.6184816025</v>
      </c>
      <c r="P499" s="950"/>
      <c r="Q499" s="950"/>
      <c r="R499" s="950"/>
      <c r="S499" s="950"/>
      <c r="T499" s="950"/>
      <c r="U499" s="950"/>
      <c r="V499" s="950"/>
      <c r="W499" s="9"/>
      <c r="X499" s="9"/>
      <c r="Y499" s="9"/>
      <c r="Z499" s="9"/>
      <c r="AA499" s="9"/>
      <c r="AB499" s="1967"/>
      <c r="AC499" s="237">
        <f>MAX(J499/J528)</f>
        <v>0.28566196822153328</v>
      </c>
      <c r="AD499" s="235">
        <f t="shared" si="90"/>
        <v>385072.33316262683</v>
      </c>
      <c r="AE499" s="238">
        <f>MAX(I499/I528)</f>
        <v>0.33914493593787115</v>
      </c>
      <c r="AF499" s="235">
        <f t="shared" si="91"/>
        <v>3916888.5569470832</v>
      </c>
      <c r="AG499" s="238">
        <f>MAX(H499/H528)</f>
        <v>0.32483598307486716</v>
      </c>
      <c r="AH499" s="235">
        <f t="shared" si="92"/>
        <v>3102205.9281169097</v>
      </c>
    </row>
    <row r="500" spans="1:34" ht="15" customHeight="1" x14ac:dyDescent="0.2">
      <c r="A500" s="962" t="s">
        <v>365</v>
      </c>
      <c r="B500" s="956">
        <v>48</v>
      </c>
      <c r="C500" s="1146">
        <v>20</v>
      </c>
      <c r="D500" s="1146">
        <v>15</v>
      </c>
      <c r="E500" s="1146">
        <v>0</v>
      </c>
      <c r="F500" s="1146">
        <v>10</v>
      </c>
      <c r="G500" s="1146">
        <v>5</v>
      </c>
      <c r="H500" s="1146">
        <v>18</v>
      </c>
      <c r="I500" s="1146">
        <v>58</v>
      </c>
      <c r="J500" s="1147">
        <v>180</v>
      </c>
      <c r="K500" s="2269">
        <v>10</v>
      </c>
      <c r="L500" s="1066" t="s">
        <v>988</v>
      </c>
      <c r="M500" s="959">
        <v>1348000</v>
      </c>
      <c r="N500" s="1837">
        <v>11549305.7448</v>
      </c>
      <c r="O500" s="1838">
        <v>9550068.6184816025</v>
      </c>
      <c r="P500" s="9"/>
      <c r="Q500" s="2005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1967"/>
      <c r="AC500" s="237">
        <f>MAX(J500/J528)</f>
        <v>7.6120139570504796E-3</v>
      </c>
      <c r="AD500" s="235">
        <f t="shared" si="90"/>
        <v>10260.994814104046</v>
      </c>
      <c r="AE500" s="238">
        <f>MAX(I500/I528)</f>
        <v>1.4812052924997383E-2</v>
      </c>
      <c r="AF500" s="235">
        <f t="shared" si="91"/>
        <v>171068.92793895392</v>
      </c>
      <c r="AG500" s="238">
        <f>MAX(H500/H528)</f>
        <v>6.0591167827436362E-3</v>
      </c>
      <c r="AH500" s="235">
        <f t="shared" si="92"/>
        <v>57864.981042595209</v>
      </c>
    </row>
    <row r="501" spans="1:34" ht="15" customHeight="1" x14ac:dyDescent="0.2">
      <c r="A501" s="962" t="s">
        <v>366</v>
      </c>
      <c r="B501" s="956">
        <v>0</v>
      </c>
      <c r="C501" s="1146"/>
      <c r="D501" s="1146"/>
      <c r="E501" s="1146"/>
      <c r="F501" s="1146"/>
      <c r="G501" s="1146"/>
      <c r="H501" s="1146">
        <v>0</v>
      </c>
      <c r="I501" s="1146">
        <v>0</v>
      </c>
      <c r="J501" s="1147">
        <v>0</v>
      </c>
      <c r="K501" s="2269"/>
      <c r="L501" s="1148"/>
      <c r="M501" s="959"/>
      <c r="N501" s="959"/>
      <c r="O501" s="1149"/>
      <c r="U501" s="9"/>
      <c r="V501" s="9"/>
      <c r="W501" s="9"/>
      <c r="X501" s="9"/>
      <c r="Y501" s="9"/>
      <c r="Z501" s="9"/>
      <c r="AA501" s="9"/>
      <c r="AB501" s="1967"/>
      <c r="AC501" s="237">
        <f>MAX(J501/J528)</f>
        <v>0</v>
      </c>
      <c r="AD501" s="235">
        <f t="shared" si="90"/>
        <v>0</v>
      </c>
      <c r="AE501" s="238">
        <f>MAX(I501/I528)</f>
        <v>0</v>
      </c>
      <c r="AF501" s="235">
        <f t="shared" si="91"/>
        <v>0</v>
      </c>
      <c r="AG501" s="238">
        <f>MAX(H501/H528)</f>
        <v>0</v>
      </c>
      <c r="AH501" s="235">
        <f t="shared" si="92"/>
        <v>0</v>
      </c>
    </row>
    <row r="502" spans="1:34" ht="15" customHeight="1" x14ac:dyDescent="0.2">
      <c r="A502" s="962" t="s">
        <v>367</v>
      </c>
      <c r="B502" s="956">
        <v>0</v>
      </c>
      <c r="C502" s="1146"/>
      <c r="D502" s="1146"/>
      <c r="E502" s="1146"/>
      <c r="F502" s="1146"/>
      <c r="G502" s="1146"/>
      <c r="H502" s="1146">
        <v>0</v>
      </c>
      <c r="I502" s="1146">
        <v>0</v>
      </c>
      <c r="J502" s="1147">
        <v>0</v>
      </c>
      <c r="K502" s="2269"/>
      <c r="L502" s="1148"/>
      <c r="M502" s="959"/>
      <c r="N502" s="959"/>
      <c r="O502" s="1149"/>
      <c r="U502" s="9"/>
      <c r="V502" s="9"/>
      <c r="W502" s="9"/>
      <c r="X502" s="9"/>
      <c r="Y502" s="9"/>
      <c r="Z502" s="9"/>
      <c r="AA502" s="9"/>
      <c r="AB502" s="1967"/>
      <c r="AC502" s="237">
        <f>MAX(J502/J528)</f>
        <v>0</v>
      </c>
      <c r="AD502" s="235">
        <f t="shared" si="90"/>
        <v>0</v>
      </c>
      <c r="AE502" s="238">
        <f>MAX(I502/I528)</f>
        <v>0</v>
      </c>
      <c r="AF502" s="235">
        <f t="shared" si="91"/>
        <v>0</v>
      </c>
      <c r="AG502" s="238">
        <f>MAX(H502/H528)</f>
        <v>0</v>
      </c>
      <c r="AH502" s="235">
        <f t="shared" si="92"/>
        <v>0</v>
      </c>
    </row>
    <row r="503" spans="1:34" ht="15" customHeight="1" x14ac:dyDescent="0.2">
      <c r="A503" s="434" t="s">
        <v>940</v>
      </c>
      <c r="B503" s="1002">
        <v>160.56</v>
      </c>
      <c r="C503" s="1002">
        <v>14</v>
      </c>
      <c r="D503" s="1002">
        <v>11</v>
      </c>
      <c r="E503" s="1002">
        <v>2</v>
      </c>
      <c r="F503" s="1002">
        <v>1</v>
      </c>
      <c r="G503" s="1002">
        <v>17</v>
      </c>
      <c r="H503" s="1002">
        <v>129.56</v>
      </c>
      <c r="I503" s="1002">
        <v>171.56</v>
      </c>
      <c r="J503" s="1150">
        <v>1191.7</v>
      </c>
      <c r="K503" s="1150">
        <v>9.198054955233097</v>
      </c>
      <c r="L503" s="1152"/>
      <c r="M503" s="996"/>
      <c r="N503" s="996"/>
      <c r="O503" s="1153"/>
      <c r="U503" s="9"/>
      <c r="V503" s="9"/>
      <c r="W503" s="9"/>
      <c r="X503" s="9"/>
      <c r="Y503" s="9"/>
      <c r="Z503" s="9"/>
      <c r="AA503" s="9"/>
      <c r="AB503" s="1967"/>
      <c r="AC503" s="1157"/>
      <c r="AD503" s="1156"/>
      <c r="AE503" s="1158"/>
      <c r="AF503" s="1156"/>
      <c r="AG503" s="1158"/>
      <c r="AH503" s="1156"/>
    </row>
    <row r="504" spans="1:34" ht="15" customHeight="1" x14ac:dyDescent="0.2">
      <c r="A504" s="2104" t="s">
        <v>369</v>
      </c>
      <c r="B504" s="956">
        <v>118.4</v>
      </c>
      <c r="C504" s="1146">
        <v>10</v>
      </c>
      <c r="D504" s="1146">
        <v>5</v>
      </c>
      <c r="E504" s="1146">
        <v>2</v>
      </c>
      <c r="F504" s="1146">
        <v>1</v>
      </c>
      <c r="G504" s="1146">
        <v>15</v>
      </c>
      <c r="H504" s="1146">
        <v>95.4</v>
      </c>
      <c r="I504" s="1146">
        <v>125.4</v>
      </c>
      <c r="J504" s="1147">
        <v>954</v>
      </c>
      <c r="K504" s="1147">
        <v>10</v>
      </c>
      <c r="L504" s="1066" t="s">
        <v>988</v>
      </c>
      <c r="M504" s="959">
        <v>1348000</v>
      </c>
      <c r="N504" s="1837">
        <v>11549305.7448</v>
      </c>
      <c r="O504" s="1838">
        <v>9550068.6184816025</v>
      </c>
      <c r="P504" s="950"/>
      <c r="Q504" s="950"/>
      <c r="R504" s="950"/>
      <c r="S504" s="9"/>
      <c r="T504" s="9"/>
      <c r="U504" s="9"/>
      <c r="V504" s="9"/>
      <c r="W504" s="9"/>
      <c r="X504" s="9"/>
      <c r="Y504" s="9"/>
      <c r="Z504" s="9"/>
      <c r="AA504" s="9"/>
      <c r="AB504" s="1967"/>
      <c r="AC504" s="237">
        <f>MAX(J504/J528)</f>
        <v>4.0343673972367537E-2</v>
      </c>
      <c r="AD504" s="235">
        <f>MAX(M504*AC504)</f>
        <v>54383.272514751443</v>
      </c>
      <c r="AE504" s="238">
        <f>MAX(I504/I528)</f>
        <v>3.2024679944735727E-2</v>
      </c>
      <c r="AF504" s="235">
        <f>MAX(N504*AE504)</f>
        <v>369862.82006111764</v>
      </c>
      <c r="AG504" s="238">
        <f>MAX(H504/H528)</f>
        <v>3.2113318948541275E-2</v>
      </c>
      <c r="AH504" s="235">
        <f>MAX(O504*AG504)</f>
        <v>306684.39952575462</v>
      </c>
    </row>
    <row r="505" spans="1:34" ht="15" customHeight="1" x14ac:dyDescent="0.2">
      <c r="A505" s="2104" t="s">
        <v>370</v>
      </c>
      <c r="B505" s="956">
        <v>0</v>
      </c>
      <c r="C505" s="1146">
        <v>0</v>
      </c>
      <c r="D505" s="1146">
        <v>0</v>
      </c>
      <c r="E505" s="1146">
        <v>0</v>
      </c>
      <c r="F505" s="1146">
        <v>0</v>
      </c>
      <c r="G505" s="1146">
        <v>0</v>
      </c>
      <c r="H505" s="1146">
        <v>0</v>
      </c>
      <c r="I505" s="1146">
        <v>0</v>
      </c>
      <c r="J505" s="1147">
        <v>0</v>
      </c>
      <c r="K505" s="1147">
        <v>0</v>
      </c>
      <c r="L505" s="1148"/>
      <c r="M505" s="959"/>
      <c r="N505" s="959"/>
      <c r="O505" s="1149"/>
      <c r="U505" s="9"/>
      <c r="V505" s="9"/>
      <c r="W505" s="9"/>
      <c r="X505" s="9"/>
      <c r="Y505" s="9"/>
      <c r="Z505" s="9"/>
      <c r="AA505" s="9"/>
      <c r="AB505" s="1967"/>
      <c r="AC505" s="237">
        <f>MAX(J505/J528)</f>
        <v>0</v>
      </c>
      <c r="AD505" s="235">
        <f>MAX(M505*AC505)</f>
        <v>0</v>
      </c>
      <c r="AE505" s="238">
        <f>MAX(I505/I528)</f>
        <v>0</v>
      </c>
      <c r="AF505" s="235">
        <f>MAX(N505*AE505)</f>
        <v>0</v>
      </c>
      <c r="AG505" s="238">
        <f>MAX(H505/H528)</f>
        <v>0</v>
      </c>
      <c r="AH505" s="235">
        <f>MAX(O505*AG505)</f>
        <v>0</v>
      </c>
    </row>
    <row r="506" spans="1:34" ht="15" customHeight="1" x14ac:dyDescent="0.2">
      <c r="A506" s="2104" t="s">
        <v>371</v>
      </c>
      <c r="B506" s="956">
        <v>9.16</v>
      </c>
      <c r="C506" s="1146">
        <v>0</v>
      </c>
      <c r="D506" s="1146">
        <v>0</v>
      </c>
      <c r="E506" s="1146">
        <v>0</v>
      </c>
      <c r="F506" s="1146">
        <v>0</v>
      </c>
      <c r="G506" s="1146">
        <v>0</v>
      </c>
      <c r="H506" s="1146">
        <v>9.16</v>
      </c>
      <c r="I506" s="1146">
        <v>9.16</v>
      </c>
      <c r="J506" s="1147">
        <v>68.7</v>
      </c>
      <c r="K506" s="1147">
        <v>7.5</v>
      </c>
      <c r="L506" s="1066" t="s">
        <v>988</v>
      </c>
      <c r="M506" s="959">
        <v>1348000</v>
      </c>
      <c r="N506" s="1837">
        <v>11549305.7448</v>
      </c>
      <c r="O506" s="1838">
        <v>9550068.6184816025</v>
      </c>
      <c r="P506" s="950"/>
      <c r="Q506" s="950"/>
      <c r="R506" s="950"/>
      <c r="S506" s="9"/>
      <c r="T506" s="9"/>
      <c r="U506" s="9"/>
      <c r="V506" s="9"/>
      <c r="W506" s="9"/>
      <c r="X506" s="9"/>
      <c r="Y506" s="9"/>
      <c r="Z506" s="9"/>
      <c r="AA506" s="9"/>
      <c r="AB506" s="1967"/>
      <c r="AC506" s="237">
        <f>MAX(J506/J528)</f>
        <v>2.9052519936075996E-3</v>
      </c>
      <c r="AD506" s="235">
        <f>MAX(M506*AC506)</f>
        <v>3916.2796873830443</v>
      </c>
      <c r="AE506" s="238">
        <f>MAX(I506/I528)</f>
        <v>2.3392828412582074E-3</v>
      </c>
      <c r="AF506" s="235">
        <f>MAX(N506*AE506)</f>
        <v>27017.092757255479</v>
      </c>
      <c r="AG506" s="238">
        <f>MAX(H506/H528)</f>
        <v>3.0834172072184284E-3</v>
      </c>
      <c r="AH506" s="235">
        <f>MAX(O506*AG506)</f>
        <v>29446.845908342897</v>
      </c>
    </row>
    <row r="507" spans="1:34" ht="15" customHeight="1" x14ac:dyDescent="0.2">
      <c r="A507" s="2104" t="s">
        <v>372</v>
      </c>
      <c r="B507" s="956">
        <v>8</v>
      </c>
      <c r="C507" s="1146">
        <v>0</v>
      </c>
      <c r="D507" s="1146">
        <v>0</v>
      </c>
      <c r="E507" s="1146">
        <v>0</v>
      </c>
      <c r="F507" s="1146">
        <v>0</v>
      </c>
      <c r="G507" s="1146">
        <v>2</v>
      </c>
      <c r="H507" s="1146">
        <v>6</v>
      </c>
      <c r="I507" s="1146">
        <v>8</v>
      </c>
      <c r="J507" s="1147">
        <v>36</v>
      </c>
      <c r="K507" s="1147">
        <v>6</v>
      </c>
      <c r="L507" s="1066" t="s">
        <v>988</v>
      </c>
      <c r="M507" s="959">
        <v>1348000</v>
      </c>
      <c r="N507" s="1837">
        <v>11549305.7448</v>
      </c>
      <c r="O507" s="1838">
        <v>9550068.6184816025</v>
      </c>
      <c r="P507" s="950"/>
      <c r="Q507" s="950"/>
      <c r="R507" s="950"/>
      <c r="S507" s="9"/>
      <c r="T507" s="9"/>
      <c r="U507" s="9"/>
      <c r="V507" s="9"/>
      <c r="W507" s="9"/>
      <c r="X507" s="9"/>
      <c r="Y507" s="9"/>
      <c r="Z507" s="9"/>
      <c r="AA507" s="9"/>
      <c r="AB507" s="1967"/>
      <c r="AC507" s="237">
        <f>MAX(J507/J528)</f>
        <v>1.5224027914100958E-3</v>
      </c>
      <c r="AD507" s="235">
        <f>MAX(M507*AC507)</f>
        <v>2052.1989628208094</v>
      </c>
      <c r="AE507" s="238">
        <f>MAX(I507/I528)</f>
        <v>2.0430417827582599E-3</v>
      </c>
      <c r="AF507" s="235">
        <f>MAX(N507*AE507)</f>
        <v>23595.714198476402</v>
      </c>
      <c r="AG507" s="238">
        <f>MAX(H507/H528)</f>
        <v>2.0197055942478789E-3</v>
      </c>
      <c r="AH507" s="235">
        <f>MAX(O507*AG507)</f>
        <v>19288.327014198403</v>
      </c>
    </row>
    <row r="508" spans="1:34" ht="15" customHeight="1" x14ac:dyDescent="0.2">
      <c r="A508" s="2104" t="s">
        <v>373</v>
      </c>
      <c r="B508" s="956">
        <v>25</v>
      </c>
      <c r="C508" s="1146">
        <v>4</v>
      </c>
      <c r="D508" s="1146">
        <v>6</v>
      </c>
      <c r="E508" s="1146">
        <v>0</v>
      </c>
      <c r="F508" s="1146">
        <v>0</v>
      </c>
      <c r="G508" s="1146">
        <v>0</v>
      </c>
      <c r="H508" s="1146">
        <v>19</v>
      </c>
      <c r="I508" s="1146">
        <v>29</v>
      </c>
      <c r="J508" s="1147">
        <v>133</v>
      </c>
      <c r="K508" s="1147">
        <v>7</v>
      </c>
      <c r="L508" s="1066" t="s">
        <v>988</v>
      </c>
      <c r="M508" s="959">
        <v>1348000</v>
      </c>
      <c r="N508" s="1837">
        <v>11549305.7448</v>
      </c>
      <c r="O508" s="1838">
        <v>9550068.6184816025</v>
      </c>
      <c r="P508" s="9"/>
      <c r="Q508" s="2005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1967"/>
      <c r="AC508" s="237">
        <f>MAX(J508/J528)</f>
        <v>5.6244325349317434E-3</v>
      </c>
      <c r="AD508" s="235">
        <f>MAX(M508*AC508)</f>
        <v>7581.7350570879898</v>
      </c>
      <c r="AE508" s="238">
        <f>MAX(I508/I528)</f>
        <v>7.4060264624986917E-3</v>
      </c>
      <c r="AF508" s="235">
        <f>MAX(N508*AE508)</f>
        <v>85534.463969476958</v>
      </c>
      <c r="AG508" s="238">
        <f>MAX(H508/H528)</f>
        <v>6.3957343817849493E-3</v>
      </c>
      <c r="AH508" s="235">
        <f>MAX(O508*AG508)</f>
        <v>61079.702211628275</v>
      </c>
    </row>
    <row r="509" spans="1:34" ht="15" customHeight="1" x14ac:dyDescent="0.2">
      <c r="A509" s="1154" t="s">
        <v>374</v>
      </c>
      <c r="B509" s="1002">
        <v>207.95</v>
      </c>
      <c r="C509" s="1002">
        <v>16</v>
      </c>
      <c r="D509" s="1002">
        <v>7</v>
      </c>
      <c r="E509" s="1002">
        <v>2</v>
      </c>
      <c r="F509" s="1002">
        <v>0</v>
      </c>
      <c r="G509" s="1002">
        <v>2</v>
      </c>
      <c r="H509" s="1002">
        <v>196.95</v>
      </c>
      <c r="I509" s="1002">
        <v>221.95</v>
      </c>
      <c r="J509" s="1150">
        <v>1561.43</v>
      </c>
      <c r="K509" s="1150">
        <v>7.9280528052805286</v>
      </c>
      <c r="L509" s="1152"/>
      <c r="M509" s="996"/>
      <c r="N509" s="996"/>
      <c r="O509" s="1153"/>
      <c r="U509" s="9"/>
      <c r="V509" s="9"/>
      <c r="W509" s="9"/>
      <c r="X509" s="9"/>
      <c r="Y509" s="9"/>
      <c r="Z509" s="9"/>
      <c r="AA509" s="9"/>
      <c r="AB509" s="1967"/>
      <c r="AC509" s="1157"/>
      <c r="AD509" s="1156"/>
      <c r="AE509" s="1158"/>
      <c r="AF509" s="1156"/>
      <c r="AG509" s="1158"/>
      <c r="AH509" s="1156"/>
    </row>
    <row r="510" spans="1:34" ht="15" customHeight="1" x14ac:dyDescent="0.2">
      <c r="A510" s="962" t="s">
        <v>375</v>
      </c>
      <c r="B510" s="956">
        <v>32</v>
      </c>
      <c r="C510" s="1146">
        <v>8</v>
      </c>
      <c r="D510" s="1146">
        <v>5</v>
      </c>
      <c r="E510" s="1146">
        <v>1</v>
      </c>
      <c r="F510" s="1146">
        <v>0</v>
      </c>
      <c r="G510" s="1146">
        <v>2</v>
      </c>
      <c r="H510" s="1146">
        <v>24</v>
      </c>
      <c r="I510" s="1146">
        <v>39</v>
      </c>
      <c r="J510" s="1147">
        <v>240</v>
      </c>
      <c r="K510" s="1147">
        <v>10</v>
      </c>
      <c r="L510" s="1066" t="s">
        <v>988</v>
      </c>
      <c r="M510" s="959">
        <v>1348000</v>
      </c>
      <c r="N510" s="1837">
        <v>11549305.7448</v>
      </c>
      <c r="O510" s="1838">
        <v>9550068.6184816025</v>
      </c>
      <c r="P510" s="950"/>
      <c r="Q510" s="950"/>
      <c r="R510" s="950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237">
        <f>MAX(J510/J528)</f>
        <v>1.0149351942733972E-2</v>
      </c>
      <c r="AD510" s="235">
        <f t="shared" ref="AD510:AD517" si="93">MAX(M510*AC510)</f>
        <v>13681.326418805394</v>
      </c>
      <c r="AE510" s="238">
        <f>MAX(I510/I528)</f>
        <v>9.9598286909465174E-3</v>
      </c>
      <c r="AF510" s="235">
        <f t="shared" ref="AF510:AF517" si="94">MAX(N510*AE510)</f>
        <v>115029.10671757247</v>
      </c>
      <c r="AG510" s="238">
        <f>MAX(H510/H528)</f>
        <v>8.0788223769915155E-3</v>
      </c>
      <c r="AH510" s="235">
        <f t="shared" ref="AH510:AH517" si="95">MAX(O510*AG510)</f>
        <v>77153.308056793612</v>
      </c>
    </row>
    <row r="511" spans="1:34" ht="15" customHeight="1" x14ac:dyDescent="0.2">
      <c r="A511" s="962" t="s">
        <v>376</v>
      </c>
      <c r="B511" s="956">
        <v>0</v>
      </c>
      <c r="C511" s="1146">
        <v>0</v>
      </c>
      <c r="D511" s="1146">
        <v>0</v>
      </c>
      <c r="E511" s="1146">
        <v>0</v>
      </c>
      <c r="F511" s="1146">
        <v>0</v>
      </c>
      <c r="G511" s="1146">
        <v>0</v>
      </c>
      <c r="H511" s="1146">
        <v>0</v>
      </c>
      <c r="I511" s="1146">
        <v>0</v>
      </c>
      <c r="J511" s="1147">
        <v>0</v>
      </c>
      <c r="K511" s="1147">
        <v>0</v>
      </c>
      <c r="L511" s="1148"/>
      <c r="M511" s="959"/>
      <c r="N511" s="959"/>
      <c r="O511" s="1149"/>
      <c r="U511" s="9"/>
      <c r="V511" s="9"/>
      <c r="W511" s="9"/>
      <c r="X511" s="9"/>
      <c r="Y511" s="9"/>
      <c r="Z511" s="9"/>
      <c r="AA511" s="9"/>
      <c r="AB511" s="9"/>
      <c r="AC511" s="237">
        <f>MAX(J511/J528)</f>
        <v>0</v>
      </c>
      <c r="AD511" s="235">
        <f t="shared" si="93"/>
        <v>0</v>
      </c>
      <c r="AE511" s="238">
        <f>MAX(I511/I528)</f>
        <v>0</v>
      </c>
      <c r="AF511" s="235">
        <f t="shared" si="94"/>
        <v>0</v>
      </c>
      <c r="AG511" s="238">
        <f>MAX(H511/H528)</f>
        <v>0</v>
      </c>
      <c r="AH511" s="235">
        <f t="shared" si="95"/>
        <v>0</v>
      </c>
    </row>
    <row r="512" spans="1:34" ht="15" customHeight="1" x14ac:dyDescent="0.2">
      <c r="A512" s="962" t="s">
        <v>377</v>
      </c>
      <c r="B512" s="956">
        <v>0</v>
      </c>
      <c r="C512" s="1146"/>
      <c r="D512" s="1146"/>
      <c r="E512" s="1146"/>
      <c r="F512" s="1146"/>
      <c r="G512" s="1146"/>
      <c r="H512" s="1146">
        <v>0</v>
      </c>
      <c r="I512" s="1146">
        <v>0</v>
      </c>
      <c r="J512" s="1147">
        <v>0</v>
      </c>
      <c r="K512" s="1147"/>
      <c r="L512" s="1148"/>
      <c r="M512" s="959"/>
      <c r="N512" s="959"/>
      <c r="O512" s="1149"/>
      <c r="U512" s="9"/>
      <c r="V512" s="9"/>
      <c r="W512" s="9"/>
      <c r="X512" s="9"/>
      <c r="Y512" s="9"/>
      <c r="Z512" s="9"/>
      <c r="AA512" s="9"/>
      <c r="AB512" s="9"/>
      <c r="AC512" s="237">
        <f>MAX(J512/J528)</f>
        <v>0</v>
      </c>
      <c r="AD512" s="235">
        <f t="shared" si="93"/>
        <v>0</v>
      </c>
      <c r="AE512" s="238">
        <f>MAX(I512/I528)</f>
        <v>0</v>
      </c>
      <c r="AF512" s="235">
        <f t="shared" si="94"/>
        <v>0</v>
      </c>
      <c r="AG512" s="238">
        <f>MAX(H512/H528)</f>
        <v>0</v>
      </c>
      <c r="AH512" s="235">
        <f t="shared" si="95"/>
        <v>0</v>
      </c>
    </row>
    <row r="513" spans="1:34" ht="15" customHeight="1" x14ac:dyDescent="0.2">
      <c r="A513" s="2104" t="s">
        <v>378</v>
      </c>
      <c r="B513" s="956">
        <v>100</v>
      </c>
      <c r="C513" s="1146">
        <v>0</v>
      </c>
      <c r="D513" s="1146">
        <v>0</v>
      </c>
      <c r="E513" s="1146">
        <v>0</v>
      </c>
      <c r="F513" s="1146">
        <v>0</v>
      </c>
      <c r="G513" s="1146">
        <v>0</v>
      </c>
      <c r="H513" s="1146">
        <v>100</v>
      </c>
      <c r="I513" s="1146">
        <v>100</v>
      </c>
      <c r="J513" s="1147">
        <v>850</v>
      </c>
      <c r="K513" s="1147">
        <v>8.5</v>
      </c>
      <c r="L513" s="1066" t="s">
        <v>988</v>
      </c>
      <c r="M513" s="959">
        <v>1348000</v>
      </c>
      <c r="N513" s="1837">
        <v>11549305.7448</v>
      </c>
      <c r="O513" s="1838">
        <v>9550068.6184816025</v>
      </c>
      <c r="P513" s="950"/>
      <c r="Q513" s="950"/>
      <c r="R513" s="950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237">
        <f>MAX(J513/J528)</f>
        <v>3.5945621463849484E-2</v>
      </c>
      <c r="AD513" s="235">
        <f t="shared" si="93"/>
        <v>48454.697733269102</v>
      </c>
      <c r="AE513" s="238">
        <f>MAX(I513/I528)</f>
        <v>2.5538022284478247E-2</v>
      </c>
      <c r="AF513" s="235">
        <f t="shared" si="94"/>
        <v>294946.42748095503</v>
      </c>
      <c r="AG513" s="238">
        <f>MAX(H513/H528)</f>
        <v>3.3661759904131311E-2</v>
      </c>
      <c r="AH513" s="235">
        <f t="shared" si="95"/>
        <v>321472.11690330668</v>
      </c>
    </row>
    <row r="514" spans="1:34" ht="15" customHeight="1" x14ac:dyDescent="0.2">
      <c r="A514" s="2104" t="s">
        <v>379</v>
      </c>
      <c r="B514" s="956">
        <v>29</v>
      </c>
      <c r="C514" s="1146"/>
      <c r="D514" s="1146"/>
      <c r="E514" s="1146"/>
      <c r="F514" s="1146"/>
      <c r="G514" s="1146"/>
      <c r="H514" s="1146">
        <v>29</v>
      </c>
      <c r="I514" s="1146">
        <v>29</v>
      </c>
      <c r="J514" s="1147">
        <v>174</v>
      </c>
      <c r="K514" s="1147">
        <v>6</v>
      </c>
      <c r="L514" s="1066" t="s">
        <v>988</v>
      </c>
      <c r="M514" s="959">
        <v>1348000</v>
      </c>
      <c r="N514" s="1837">
        <v>11549305.7448</v>
      </c>
      <c r="O514" s="1838">
        <v>9550068.6184816025</v>
      </c>
      <c r="P514" s="950"/>
      <c r="Q514" s="950"/>
      <c r="R514" s="950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237">
        <f>MAX(J514/J528)</f>
        <v>7.3582801584821302E-3</v>
      </c>
      <c r="AD514" s="235">
        <f t="shared" si="93"/>
        <v>9918.9616536339108</v>
      </c>
      <c r="AE514" s="238">
        <f>MAX(I514/I528)</f>
        <v>7.4060264624986917E-3</v>
      </c>
      <c r="AF514" s="235">
        <f t="shared" si="94"/>
        <v>85534.463969476958</v>
      </c>
      <c r="AG514" s="238">
        <f>MAX(H514/H528)</f>
        <v>9.76191037219808E-3</v>
      </c>
      <c r="AH514" s="235">
        <f t="shared" si="95"/>
        <v>93226.913901958949</v>
      </c>
    </row>
    <row r="515" spans="1:34" ht="15" customHeight="1" x14ac:dyDescent="0.2">
      <c r="A515" s="2104" t="s">
        <v>380</v>
      </c>
      <c r="B515" s="956">
        <v>5</v>
      </c>
      <c r="C515" s="1146">
        <v>1</v>
      </c>
      <c r="D515" s="1146">
        <v>0</v>
      </c>
      <c r="E515" s="1146">
        <v>0</v>
      </c>
      <c r="F515" s="1146">
        <v>0</v>
      </c>
      <c r="G515" s="1146">
        <v>0</v>
      </c>
      <c r="H515" s="1146">
        <v>5</v>
      </c>
      <c r="I515" s="1146">
        <v>6</v>
      </c>
      <c r="J515" s="1147">
        <v>42.5</v>
      </c>
      <c r="K515" s="1147">
        <v>8.5</v>
      </c>
      <c r="L515" s="1066" t="s">
        <v>988</v>
      </c>
      <c r="M515" s="959">
        <v>1348000</v>
      </c>
      <c r="N515" s="1837">
        <v>11549305.7448</v>
      </c>
      <c r="O515" s="1838">
        <v>9550068.6184816025</v>
      </c>
      <c r="P515" s="950"/>
      <c r="Q515" s="950"/>
      <c r="R515" s="950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237">
        <f>MAX(J515/J528)</f>
        <v>1.7972810731924744E-3</v>
      </c>
      <c r="AD515" s="235">
        <f t="shared" si="93"/>
        <v>2422.7348866634557</v>
      </c>
      <c r="AE515" s="238">
        <f>MAX(I515/I528)</f>
        <v>1.5322813370686949E-3</v>
      </c>
      <c r="AF515" s="235">
        <f t="shared" si="94"/>
        <v>17696.785648857302</v>
      </c>
      <c r="AG515" s="238">
        <f>MAX(H515/H528)</f>
        <v>1.6830879952065656E-3</v>
      </c>
      <c r="AH515" s="235">
        <f t="shared" si="95"/>
        <v>16073.605845165335</v>
      </c>
    </row>
    <row r="516" spans="1:34" ht="15" customHeight="1" x14ac:dyDescent="0.2">
      <c r="A516" s="2104" t="s">
        <v>381</v>
      </c>
      <c r="B516" s="956">
        <v>37</v>
      </c>
      <c r="C516" s="1146"/>
      <c r="D516" s="1146"/>
      <c r="E516" s="1146"/>
      <c r="F516" s="1146"/>
      <c r="G516" s="1146"/>
      <c r="H516" s="1146">
        <v>37</v>
      </c>
      <c r="I516" s="1146">
        <v>37</v>
      </c>
      <c r="J516" s="1147">
        <v>240.5</v>
      </c>
      <c r="K516" s="1147">
        <v>6.5</v>
      </c>
      <c r="L516" s="1066" t="s">
        <v>988</v>
      </c>
      <c r="M516" s="959">
        <v>1348000</v>
      </c>
      <c r="N516" s="1837">
        <v>11549305.7448</v>
      </c>
      <c r="O516" s="1838">
        <v>9550068.6184816025</v>
      </c>
      <c r="P516" s="950"/>
      <c r="Q516" s="950"/>
      <c r="R516" s="950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237">
        <f>MAX(J516/J528)</f>
        <v>1.0170496425948002E-2</v>
      </c>
      <c r="AD516" s="235">
        <f t="shared" si="93"/>
        <v>13709.829182177906</v>
      </c>
      <c r="AE516" s="238">
        <f>MAX(I516/I528)</f>
        <v>9.4490682452569516E-3</v>
      </c>
      <c r="AF516" s="235">
        <f t="shared" si="94"/>
        <v>109130.17816795336</v>
      </c>
      <c r="AG516" s="238">
        <f>MAX(H516/H528)</f>
        <v>1.2454851164528586E-2</v>
      </c>
      <c r="AH516" s="235">
        <f t="shared" si="95"/>
        <v>118944.68325422349</v>
      </c>
    </row>
    <row r="517" spans="1:34" ht="15" customHeight="1" x14ac:dyDescent="0.2">
      <c r="A517" s="962" t="s">
        <v>382</v>
      </c>
      <c r="B517" s="956">
        <v>4.95</v>
      </c>
      <c r="C517" s="1146">
        <v>7</v>
      </c>
      <c r="D517" s="1146">
        <v>2</v>
      </c>
      <c r="E517" s="1146">
        <v>1</v>
      </c>
      <c r="F517" s="1146">
        <v>0</v>
      </c>
      <c r="G517" s="1146">
        <v>0</v>
      </c>
      <c r="H517" s="1146">
        <v>1.9499999999999993</v>
      </c>
      <c r="I517" s="1146">
        <v>10.95</v>
      </c>
      <c r="J517" s="1147">
        <v>14.429999999999996</v>
      </c>
      <c r="K517" s="1147">
        <v>7.4</v>
      </c>
      <c r="L517" s="1066" t="s">
        <v>988</v>
      </c>
      <c r="M517" s="959">
        <v>1348000</v>
      </c>
      <c r="N517" s="1837">
        <v>11549305.7448</v>
      </c>
      <c r="O517" s="1838">
        <v>9550068.6184816025</v>
      </c>
      <c r="P517" s="950"/>
      <c r="Q517" s="950"/>
      <c r="R517" s="950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237">
        <f>MAX(J517/J528)</f>
        <v>6.1022978555687996E-4</v>
      </c>
      <c r="AD517" s="235">
        <f t="shared" si="93"/>
        <v>822.5897509306742</v>
      </c>
      <c r="AE517" s="238">
        <f>MAX(I517/I528)</f>
        <v>2.7964134401503682E-3</v>
      </c>
      <c r="AF517" s="235">
        <f t="shared" si="94"/>
        <v>32296.633809164578</v>
      </c>
      <c r="AG517" s="238">
        <f>MAX(H517/H528)</f>
        <v>6.5640431813056039E-4</v>
      </c>
      <c r="AH517" s="235">
        <f t="shared" si="95"/>
        <v>6268.7062796144792</v>
      </c>
    </row>
    <row r="518" spans="1:34" ht="15" customHeight="1" x14ac:dyDescent="0.2">
      <c r="A518" s="1154" t="s">
        <v>383</v>
      </c>
      <c r="B518" s="1002">
        <v>776.72</v>
      </c>
      <c r="C518" s="1002">
        <v>87</v>
      </c>
      <c r="D518" s="1002">
        <v>57</v>
      </c>
      <c r="E518" s="1002">
        <v>5</v>
      </c>
      <c r="F518" s="1002">
        <v>6</v>
      </c>
      <c r="G518" s="1002">
        <v>9</v>
      </c>
      <c r="H518" s="1002">
        <v>699.72</v>
      </c>
      <c r="I518" s="1002">
        <v>852.72</v>
      </c>
      <c r="J518" s="1150">
        <v>6698.95</v>
      </c>
      <c r="K518" s="1150">
        <v>9.5737580746584339</v>
      </c>
      <c r="L518" s="1152"/>
      <c r="M518" s="996"/>
      <c r="N518" s="996"/>
      <c r="O518" s="1153"/>
      <c r="U518" s="9"/>
      <c r="V518" s="9"/>
      <c r="W518" s="9"/>
      <c r="X518" s="9"/>
      <c r="Y518" s="9"/>
      <c r="Z518" s="9"/>
      <c r="AA518" s="9"/>
      <c r="AB518" s="9"/>
      <c r="AC518" s="1157"/>
      <c r="AD518" s="1156"/>
      <c r="AE518" s="1158"/>
      <c r="AF518" s="1156"/>
      <c r="AG518" s="1158"/>
      <c r="AH518" s="1156"/>
    </row>
    <row r="519" spans="1:34" ht="15" customHeight="1" x14ac:dyDescent="0.2">
      <c r="A519" s="2104" t="s">
        <v>384</v>
      </c>
      <c r="B519" s="956">
        <v>129.47</v>
      </c>
      <c r="C519" s="1146">
        <v>10</v>
      </c>
      <c r="D519" s="1146">
        <v>18</v>
      </c>
      <c r="E519" s="1146">
        <v>0</v>
      </c>
      <c r="F519" s="1146">
        <v>0</v>
      </c>
      <c r="G519" s="1146">
        <v>0</v>
      </c>
      <c r="H519" s="1146">
        <v>111.47</v>
      </c>
      <c r="I519" s="1146">
        <v>139.47</v>
      </c>
      <c r="J519" s="1147">
        <v>1114.7</v>
      </c>
      <c r="K519" s="1147">
        <v>10</v>
      </c>
      <c r="L519" s="1066" t="s">
        <v>988</v>
      </c>
      <c r="M519" s="959">
        <v>1348000</v>
      </c>
      <c r="N519" s="1837">
        <v>11549305.7448</v>
      </c>
      <c r="O519" s="1838">
        <v>9550068.6184816025</v>
      </c>
      <c r="P519" s="950"/>
      <c r="Q519" s="950"/>
      <c r="R519" s="950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237">
        <f>MAX(J519/J528)</f>
        <v>4.7139510877356496E-2</v>
      </c>
      <c r="AD519" s="235">
        <f t="shared" ref="AD519:AD527" si="96">MAX(M519*AC519)</f>
        <v>63544.060662676558</v>
      </c>
      <c r="AE519" s="238">
        <f>MAX(I519/I528)</f>
        <v>3.5617879680161814E-2</v>
      </c>
      <c r="AF519" s="235">
        <f t="shared" ref="AF519:AF527" si="97">MAX(N519*AE519)</f>
        <v>411361.78240768804</v>
      </c>
      <c r="AG519" s="238">
        <f>MAX(H519/H528)</f>
        <v>3.7522763765135171E-2</v>
      </c>
      <c r="AH519" s="235">
        <f t="shared" ref="AH519:AH527" si="98">MAX(O519*AG519)</f>
        <v>358344.96871211595</v>
      </c>
    </row>
    <row r="520" spans="1:34" ht="15" customHeight="1" x14ac:dyDescent="0.2">
      <c r="A520" s="2104" t="s">
        <v>385</v>
      </c>
      <c r="B520" s="956">
        <v>22</v>
      </c>
      <c r="C520" s="1146">
        <v>5</v>
      </c>
      <c r="D520" s="1146">
        <v>3</v>
      </c>
      <c r="E520" s="1146">
        <v>1</v>
      </c>
      <c r="F520" s="1146">
        <v>2</v>
      </c>
      <c r="G520" s="1146">
        <v>0</v>
      </c>
      <c r="H520" s="1146">
        <v>16</v>
      </c>
      <c r="I520" s="1146">
        <v>24</v>
      </c>
      <c r="J520" s="1147">
        <v>160</v>
      </c>
      <c r="K520" s="1147">
        <v>10</v>
      </c>
      <c r="L520" s="1066" t="s">
        <v>988</v>
      </c>
      <c r="M520" s="959">
        <v>1348000</v>
      </c>
      <c r="N520" s="1837">
        <v>11549305.7448</v>
      </c>
      <c r="O520" s="1838">
        <v>9550068.6184816025</v>
      </c>
      <c r="P520" s="950"/>
      <c r="Q520" s="950"/>
      <c r="R520" s="950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237">
        <f>MAX(J520/J528)</f>
        <v>6.7662346284893147E-3</v>
      </c>
      <c r="AD520" s="235">
        <f t="shared" si="96"/>
        <v>9120.8842792035957</v>
      </c>
      <c r="AE520" s="238">
        <f>MAX(I520/I528)</f>
        <v>6.1291253482747797E-3</v>
      </c>
      <c r="AF520" s="235">
        <f t="shared" si="97"/>
        <v>70787.142595429206</v>
      </c>
      <c r="AG520" s="238">
        <f>MAX(H520/H528)</f>
        <v>5.3858815846610101E-3</v>
      </c>
      <c r="AH520" s="235">
        <f t="shared" si="98"/>
        <v>51435.538704529077</v>
      </c>
    </row>
    <row r="521" spans="1:34" ht="15" customHeight="1" x14ac:dyDescent="0.2">
      <c r="A521" s="2104" t="s">
        <v>386</v>
      </c>
      <c r="B521" s="956">
        <v>4</v>
      </c>
      <c r="C521" s="1146">
        <v>0</v>
      </c>
      <c r="D521" s="1146">
        <v>0</v>
      </c>
      <c r="E521" s="1146">
        <v>0</v>
      </c>
      <c r="F521" s="1146">
        <v>0</v>
      </c>
      <c r="G521" s="1146">
        <v>0</v>
      </c>
      <c r="H521" s="1146">
        <v>4</v>
      </c>
      <c r="I521" s="1146">
        <v>4</v>
      </c>
      <c r="J521" s="1147">
        <v>24</v>
      </c>
      <c r="K521" s="1147">
        <v>6</v>
      </c>
      <c r="L521" s="1066" t="s">
        <v>988</v>
      </c>
      <c r="M521" s="959">
        <v>1348000</v>
      </c>
      <c r="N521" s="1837">
        <v>11549305.7448</v>
      </c>
      <c r="O521" s="1838">
        <v>9550068.6184816025</v>
      </c>
      <c r="P521" s="950"/>
      <c r="Q521" s="950"/>
      <c r="R521" s="950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237">
        <f>MAX(J521/J528)</f>
        <v>1.0149351942733973E-3</v>
      </c>
      <c r="AD521" s="235">
        <f t="shared" si="96"/>
        <v>1368.1326418805395</v>
      </c>
      <c r="AE521" s="238">
        <f>MAX(I521/I528)</f>
        <v>1.0215208913791299E-3</v>
      </c>
      <c r="AF521" s="235">
        <f t="shared" si="97"/>
        <v>11797.857099238201</v>
      </c>
      <c r="AG521" s="238">
        <f>MAX(H521/H528)</f>
        <v>1.3464703961652525E-3</v>
      </c>
      <c r="AH521" s="235">
        <f t="shared" si="98"/>
        <v>12858.884676132269</v>
      </c>
    </row>
    <row r="522" spans="1:34" ht="15" customHeight="1" x14ac:dyDescent="0.2">
      <c r="A522" s="2104" t="s">
        <v>387</v>
      </c>
      <c r="B522" s="956">
        <v>29</v>
      </c>
      <c r="C522" s="1146">
        <v>2</v>
      </c>
      <c r="D522" s="1146">
        <v>4</v>
      </c>
      <c r="E522" s="1146">
        <v>2</v>
      </c>
      <c r="F522" s="1146">
        <v>1</v>
      </c>
      <c r="G522" s="1146">
        <v>4</v>
      </c>
      <c r="H522" s="1146">
        <v>18</v>
      </c>
      <c r="I522" s="1146">
        <v>28</v>
      </c>
      <c r="J522" s="1147">
        <v>126</v>
      </c>
      <c r="K522" s="1147">
        <v>7</v>
      </c>
      <c r="L522" s="1066" t="s">
        <v>988</v>
      </c>
      <c r="M522" s="959">
        <v>1348000</v>
      </c>
      <c r="N522" s="1837">
        <v>11549305.7448</v>
      </c>
      <c r="O522" s="1838">
        <v>9550068.6184816025</v>
      </c>
      <c r="P522" s="950"/>
      <c r="Q522" s="950"/>
      <c r="R522" s="950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237">
        <f>MAX(J522/J528)</f>
        <v>5.3284097699353352E-3</v>
      </c>
      <c r="AD522" s="235">
        <f t="shared" si="96"/>
        <v>7182.6963698728323</v>
      </c>
      <c r="AE522" s="238">
        <f>MAX(I522/I528)</f>
        <v>7.1506462396539096E-3</v>
      </c>
      <c r="AF522" s="235">
        <f t="shared" si="97"/>
        <v>82584.999694667407</v>
      </c>
      <c r="AG522" s="238">
        <f>MAX(H522/H528)</f>
        <v>6.0591167827436362E-3</v>
      </c>
      <c r="AH522" s="235">
        <f t="shared" si="98"/>
        <v>57864.981042595209</v>
      </c>
    </row>
    <row r="523" spans="1:34" ht="15" customHeight="1" x14ac:dyDescent="0.2">
      <c r="A523" s="2104" t="s">
        <v>388</v>
      </c>
      <c r="B523" s="956">
        <v>22</v>
      </c>
      <c r="C523" s="1146">
        <v>20</v>
      </c>
      <c r="D523" s="1146">
        <v>5</v>
      </c>
      <c r="E523" s="1146">
        <v>2</v>
      </c>
      <c r="F523" s="1146">
        <v>3</v>
      </c>
      <c r="G523" s="1146">
        <v>5</v>
      </c>
      <c r="H523" s="1146">
        <v>7</v>
      </c>
      <c r="I523" s="1146">
        <v>37</v>
      </c>
      <c r="J523" s="1147">
        <v>42</v>
      </c>
      <c r="K523" s="1147">
        <v>6</v>
      </c>
      <c r="L523" s="1066" t="s">
        <v>988</v>
      </c>
      <c r="M523" s="959">
        <v>1348000</v>
      </c>
      <c r="N523" s="1837">
        <v>11549305.7448</v>
      </c>
      <c r="O523" s="1838">
        <v>9550068.6184816025</v>
      </c>
      <c r="P523" s="950"/>
      <c r="Q523" s="950"/>
      <c r="R523" s="950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237">
        <f>MAX(J523/J528)</f>
        <v>1.7761365899784452E-3</v>
      </c>
      <c r="AD523" s="235">
        <f t="shared" si="96"/>
        <v>2394.2321232909439</v>
      </c>
      <c r="AE523" s="238">
        <f>MAX(I523/I528)</f>
        <v>9.4490682452569516E-3</v>
      </c>
      <c r="AF523" s="235">
        <f t="shared" si="97"/>
        <v>109130.17816795336</v>
      </c>
      <c r="AG523" s="238">
        <f>MAX(H523/H528)</f>
        <v>2.356323193289192E-3</v>
      </c>
      <c r="AH523" s="235">
        <f t="shared" si="98"/>
        <v>22503.048183231473</v>
      </c>
    </row>
    <row r="524" spans="1:34" ht="15" customHeight="1" x14ac:dyDescent="0.2">
      <c r="A524" s="2104" t="s">
        <v>389</v>
      </c>
      <c r="B524" s="956">
        <v>68</v>
      </c>
      <c r="C524" s="1146">
        <v>10</v>
      </c>
      <c r="D524" s="1146"/>
      <c r="E524" s="1146"/>
      <c r="F524" s="1146"/>
      <c r="G524" s="1146"/>
      <c r="H524" s="1146">
        <v>68</v>
      </c>
      <c r="I524" s="1146">
        <v>78</v>
      </c>
      <c r="J524" s="1147">
        <v>612</v>
      </c>
      <c r="K524" s="1147">
        <v>9</v>
      </c>
      <c r="L524" s="1066" t="s">
        <v>988</v>
      </c>
      <c r="M524" s="959">
        <v>1348000</v>
      </c>
      <c r="N524" s="1837">
        <v>11549305.7448</v>
      </c>
      <c r="O524" s="1838">
        <v>9550068.6184816025</v>
      </c>
      <c r="P524" s="950"/>
      <c r="Q524" s="950"/>
      <c r="R524" s="950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237">
        <f>MAX(J524/J528)</f>
        <v>2.588084745397163E-2</v>
      </c>
      <c r="AD524" s="235">
        <f t="shared" si="96"/>
        <v>34887.38236795376</v>
      </c>
      <c r="AE524" s="238">
        <f>MAX(I524/I528)</f>
        <v>1.9919657381893035E-2</v>
      </c>
      <c r="AF524" s="235">
        <f t="shared" si="97"/>
        <v>230058.21343514495</v>
      </c>
      <c r="AG524" s="238">
        <f>MAX(H524/H528)</f>
        <v>2.2889996734809293E-2</v>
      </c>
      <c r="AH524" s="235">
        <f t="shared" si="98"/>
        <v>218601.03949424857</v>
      </c>
    </row>
    <row r="525" spans="1:34" ht="15" customHeight="1" x14ac:dyDescent="0.2">
      <c r="A525" s="2104" t="s">
        <v>390</v>
      </c>
      <c r="B525" s="956">
        <v>19.25</v>
      </c>
      <c r="C525" s="1146"/>
      <c r="D525" s="1146">
        <v>2</v>
      </c>
      <c r="E525" s="1146"/>
      <c r="F525" s="1146"/>
      <c r="G525" s="1146"/>
      <c r="H525" s="1146">
        <v>17.25</v>
      </c>
      <c r="I525" s="1146">
        <v>19.25</v>
      </c>
      <c r="J525" s="1147">
        <v>86.25</v>
      </c>
      <c r="K525" s="1147">
        <v>5</v>
      </c>
      <c r="L525" s="1066" t="s">
        <v>988</v>
      </c>
      <c r="M525" s="959">
        <v>1348000</v>
      </c>
      <c r="N525" s="1837">
        <v>11549305.7448</v>
      </c>
      <c r="O525" s="1838">
        <v>9550068.6184816025</v>
      </c>
      <c r="P525" s="950"/>
      <c r="Q525" s="950"/>
      <c r="R525" s="950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237">
        <f>MAX(J525/J528)</f>
        <v>3.6474233544200214E-3</v>
      </c>
      <c r="AD525" s="235">
        <f t="shared" si="96"/>
        <v>4916.7266817581885</v>
      </c>
      <c r="AE525" s="238">
        <f>MAX(I525/I528)</f>
        <v>4.9160692897620628E-3</v>
      </c>
      <c r="AF525" s="235">
        <f t="shared" si="97"/>
        <v>56777.187290083843</v>
      </c>
      <c r="AG525" s="238">
        <f>MAX(H525/H528)</f>
        <v>5.8066535834626516E-3</v>
      </c>
      <c r="AH525" s="235">
        <f t="shared" si="98"/>
        <v>55453.940165820415</v>
      </c>
    </row>
    <row r="526" spans="1:34" ht="15" customHeight="1" x14ac:dyDescent="0.2">
      <c r="A526" s="2104" t="s">
        <v>941</v>
      </c>
      <c r="B526" s="956">
        <v>23</v>
      </c>
      <c r="C526" s="1146"/>
      <c r="D526" s="1146"/>
      <c r="E526" s="1146"/>
      <c r="F526" s="1146"/>
      <c r="G526" s="1146"/>
      <c r="H526" s="1146">
        <v>23</v>
      </c>
      <c r="I526" s="1146">
        <v>23</v>
      </c>
      <c r="J526" s="1147">
        <v>184</v>
      </c>
      <c r="K526" s="1147">
        <v>8</v>
      </c>
      <c r="L526" s="1066" t="s">
        <v>988</v>
      </c>
      <c r="M526" s="959">
        <v>1348000</v>
      </c>
      <c r="N526" s="1837">
        <v>11549305.7448</v>
      </c>
      <c r="O526" s="1838">
        <v>9550068.6184816025</v>
      </c>
      <c r="P526" s="9"/>
      <c r="Q526" s="2005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237">
        <f>MAX(J526/J528)</f>
        <v>7.7811698227627122E-3</v>
      </c>
      <c r="AD526" s="235">
        <f t="shared" si="96"/>
        <v>10489.016921084136</v>
      </c>
      <c r="AE526" s="238">
        <f>MAX(I526/I528)</f>
        <v>5.8737451254299968E-3</v>
      </c>
      <c r="AF526" s="235">
        <f t="shared" si="97"/>
        <v>67837.678320619656</v>
      </c>
      <c r="AG526" s="238">
        <f>MAX(H526/H528)</f>
        <v>7.7422047779502016E-3</v>
      </c>
      <c r="AH526" s="235">
        <f t="shared" si="98"/>
        <v>73938.586887760539</v>
      </c>
    </row>
    <row r="527" spans="1:34" ht="15" customHeight="1" thickBot="1" x14ac:dyDescent="0.25">
      <c r="A527" s="1140" t="s">
        <v>392</v>
      </c>
      <c r="B527" s="244">
        <v>460</v>
      </c>
      <c r="C527" s="1141">
        <v>40</v>
      </c>
      <c r="D527" s="1141">
        <v>25</v>
      </c>
      <c r="E527" s="1141">
        <v>0</v>
      </c>
      <c r="F527" s="1141">
        <v>0</v>
      </c>
      <c r="G527" s="1141">
        <v>0</v>
      </c>
      <c r="H527" s="1146">
        <v>435</v>
      </c>
      <c r="I527" s="1146">
        <v>500</v>
      </c>
      <c r="J527" s="1147">
        <v>4350</v>
      </c>
      <c r="K527" s="1142">
        <v>10</v>
      </c>
      <c r="L527" s="1066" t="s">
        <v>988</v>
      </c>
      <c r="M527" s="959">
        <v>1348000</v>
      </c>
      <c r="N527" s="1837">
        <v>11549305.7448</v>
      </c>
      <c r="O527" s="1838">
        <v>9550068.6184816025</v>
      </c>
      <c r="P527" s="950"/>
      <c r="Q527" s="950"/>
      <c r="R527" s="950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237">
        <f>MAX(J527/J528)</f>
        <v>0.18395700396205325</v>
      </c>
      <c r="AD527" s="235">
        <f t="shared" si="96"/>
        <v>247974.04134084779</v>
      </c>
      <c r="AE527" s="238">
        <f>MAX(I527/I528)</f>
        <v>0.12769011142239123</v>
      </c>
      <c r="AF527" s="235">
        <f t="shared" si="97"/>
        <v>1474732.137404775</v>
      </c>
      <c r="AG527" s="238">
        <f>MAX(H527/H528)</f>
        <v>0.14642865558297122</v>
      </c>
      <c r="AH527" s="235">
        <f t="shared" si="98"/>
        <v>1398403.7085293843</v>
      </c>
    </row>
    <row r="528" spans="1:34" ht="15" customHeight="1" thickBot="1" x14ac:dyDescent="0.25">
      <c r="A528" s="405" t="s">
        <v>942</v>
      </c>
      <c r="B528" s="1131">
        <v>3494.7299999999996</v>
      </c>
      <c r="C528" s="1131">
        <v>505</v>
      </c>
      <c r="D528" s="1131">
        <v>275</v>
      </c>
      <c r="E528" s="1131">
        <v>33</v>
      </c>
      <c r="F528" s="1131">
        <v>51</v>
      </c>
      <c r="G528" s="1131">
        <v>165</v>
      </c>
      <c r="H528" s="1131">
        <v>2970.7299999999996</v>
      </c>
      <c r="I528" s="1131">
        <v>3915.7299999999996</v>
      </c>
      <c r="J528" s="1132">
        <v>23646.83</v>
      </c>
      <c r="K528" s="1132">
        <v>7.9599391395380952</v>
      </c>
      <c r="L528" s="1525" t="s">
        <v>988</v>
      </c>
      <c r="M528" s="1134">
        <v>1347999.9999999998</v>
      </c>
      <c r="N528" s="1134">
        <v>11549305.744800003</v>
      </c>
      <c r="O528" s="506">
        <v>9550068.6184816044</v>
      </c>
      <c r="P528" s="950"/>
      <c r="Q528" s="950"/>
      <c r="R528" s="950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1159">
        <f t="shared" ref="AC528:AH528" si="99">SUM(AC488:AC527)</f>
        <v>0.99999999999999989</v>
      </c>
      <c r="AD528" s="1160">
        <f t="shared" si="99"/>
        <v>1347999.9999999998</v>
      </c>
      <c r="AE528" s="1161">
        <f t="shared" si="99"/>
        <v>1</v>
      </c>
      <c r="AF528" s="1160">
        <f t="shared" si="99"/>
        <v>11549305.744800003</v>
      </c>
      <c r="AG528" s="1161">
        <f t="shared" si="99"/>
        <v>1</v>
      </c>
      <c r="AH528" s="1160">
        <f t="shared" si="99"/>
        <v>9550068.6184816044</v>
      </c>
    </row>
    <row r="529" spans="1:34" x14ac:dyDescent="0.2">
      <c r="A529" s="7" t="s">
        <v>1934</v>
      </c>
      <c r="B529" s="8"/>
      <c r="C529" s="8"/>
      <c r="D529" s="8"/>
      <c r="E529" s="4"/>
      <c r="F529" s="5"/>
      <c r="G529" s="9"/>
      <c r="H529" s="8"/>
      <c r="I529" s="224"/>
      <c r="J529" s="224"/>
      <c r="K529" s="240"/>
      <c r="L529" s="241"/>
      <c r="M529" s="240"/>
      <c r="N529" s="240"/>
      <c r="O529" s="240"/>
      <c r="P529" s="950"/>
      <c r="Q529" s="950"/>
      <c r="R529" s="950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</row>
    <row r="530" spans="1:34" x14ac:dyDescent="0.2">
      <c r="A530" s="34"/>
      <c r="B530" s="224"/>
      <c r="C530" s="224"/>
      <c r="D530" s="224"/>
      <c r="E530" s="224"/>
      <c r="F530" s="224"/>
      <c r="G530" s="224"/>
      <c r="H530" s="224"/>
      <c r="I530" s="224"/>
      <c r="J530" s="224"/>
      <c r="K530" s="240"/>
      <c r="L530" s="241"/>
      <c r="M530" s="240"/>
      <c r="N530" s="240"/>
      <c r="O530" s="240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</row>
    <row r="531" spans="1:34" x14ac:dyDescent="0.2">
      <c r="A531" s="242"/>
      <c r="B531" s="224"/>
      <c r="C531" s="224"/>
      <c r="D531" s="224"/>
      <c r="E531" s="224"/>
      <c r="F531" s="224"/>
      <c r="G531" s="224"/>
      <c r="H531" s="224"/>
      <c r="I531" s="224"/>
      <c r="J531" s="224"/>
      <c r="K531" s="240"/>
      <c r="L531" s="241"/>
      <c r="M531" s="240"/>
      <c r="N531" s="240"/>
      <c r="O531" s="240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</row>
    <row r="532" spans="1:34" x14ac:dyDescent="0.2">
      <c r="A532" s="242"/>
      <c r="B532" s="224"/>
      <c r="C532" s="224"/>
      <c r="D532" s="224"/>
      <c r="E532" s="224"/>
      <c r="F532" s="224"/>
      <c r="G532" s="224"/>
      <c r="H532" s="224"/>
      <c r="I532" s="224"/>
      <c r="J532" s="224"/>
      <c r="K532" s="240"/>
      <c r="L532" s="241"/>
      <c r="M532" s="240"/>
      <c r="N532" s="240"/>
      <c r="O532" s="240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</row>
    <row r="533" spans="1:34" ht="15" x14ac:dyDescent="0.25">
      <c r="A533" s="2843" t="s">
        <v>1931</v>
      </c>
      <c r="B533" s="2843"/>
      <c r="C533" s="2843"/>
      <c r="D533" s="2843"/>
      <c r="E533" s="2843"/>
      <c r="F533" s="2843"/>
      <c r="G533" s="2843"/>
      <c r="H533" s="2843"/>
      <c r="I533" s="2843"/>
      <c r="J533" s="2843"/>
      <c r="K533" s="2843"/>
      <c r="L533" s="2843"/>
      <c r="M533" s="2843"/>
      <c r="N533" s="2843"/>
      <c r="O533" s="2843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</row>
    <row r="534" spans="1:34" ht="13.5" thickBot="1" x14ac:dyDescent="0.25">
      <c r="A534" s="8" t="s">
        <v>1691</v>
      </c>
      <c r="B534" s="225"/>
      <c r="C534" s="224"/>
      <c r="D534" s="224"/>
      <c r="E534" s="224"/>
      <c r="F534" s="224"/>
      <c r="G534" s="224"/>
      <c r="H534" s="224"/>
      <c r="I534" s="224"/>
      <c r="J534" s="224"/>
      <c r="K534" s="240"/>
      <c r="L534" s="241"/>
      <c r="M534" s="240"/>
      <c r="N534" s="240"/>
      <c r="O534" s="240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</row>
    <row r="535" spans="1:34" ht="15" customHeight="1" x14ac:dyDescent="0.2">
      <c r="A535" s="2844" t="s">
        <v>327</v>
      </c>
      <c r="B535" s="2847" t="s">
        <v>1932</v>
      </c>
      <c r="C535" s="2848"/>
      <c r="D535" s="2848"/>
      <c r="E535" s="2848"/>
      <c r="F535" s="2848"/>
      <c r="G535" s="2848"/>
      <c r="H535" s="2848"/>
      <c r="I535" s="2848"/>
      <c r="J535" s="2848"/>
      <c r="K535" s="2848"/>
      <c r="L535" s="2848"/>
      <c r="M535" s="2848"/>
      <c r="N535" s="2848"/>
      <c r="O535" s="284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228" t="s">
        <v>910</v>
      </c>
      <c r="AD535" s="229"/>
      <c r="AE535" s="229"/>
      <c r="AF535" s="229"/>
      <c r="AG535" s="229"/>
      <c r="AH535" s="243"/>
    </row>
    <row r="536" spans="1:34" ht="15" customHeight="1" x14ac:dyDescent="0.2">
      <c r="A536" s="2845"/>
      <c r="B536" s="2850" t="s">
        <v>191</v>
      </c>
      <c r="C536" s="2850"/>
      <c r="D536" s="2850"/>
      <c r="E536" s="2850"/>
      <c r="F536" s="2850"/>
      <c r="G536" s="2850"/>
      <c r="H536" s="2850"/>
      <c r="I536" s="2850"/>
      <c r="J536" s="2119"/>
      <c r="K536" s="2119" t="s">
        <v>904</v>
      </c>
      <c r="L536" s="2119"/>
      <c r="M536" s="1122" t="s">
        <v>437</v>
      </c>
      <c r="N536" s="1122" t="s">
        <v>911</v>
      </c>
      <c r="O536" s="1127" t="s">
        <v>911</v>
      </c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230" t="s">
        <v>333</v>
      </c>
      <c r="AD536" s="231" t="s">
        <v>333</v>
      </c>
      <c r="AE536" s="231" t="s">
        <v>333</v>
      </c>
      <c r="AF536" s="231" t="s">
        <v>333</v>
      </c>
      <c r="AG536" s="231" t="s">
        <v>333</v>
      </c>
      <c r="AH536" s="231" t="s">
        <v>333</v>
      </c>
    </row>
    <row r="537" spans="1:34" ht="15" customHeight="1" x14ac:dyDescent="0.2">
      <c r="A537" s="2845"/>
      <c r="B537" s="2119" t="s">
        <v>433</v>
      </c>
      <c r="C537" s="2119"/>
      <c r="D537" s="2841" t="s">
        <v>1865</v>
      </c>
      <c r="E537" s="2119"/>
      <c r="F537" s="2119"/>
      <c r="G537" s="2119" t="s">
        <v>912</v>
      </c>
      <c r="H537" s="2119"/>
      <c r="I537" s="2119" t="s">
        <v>433</v>
      </c>
      <c r="J537" s="2138" t="s">
        <v>913</v>
      </c>
      <c r="K537" s="2138" t="s">
        <v>842</v>
      </c>
      <c r="L537" s="2138" t="s">
        <v>329</v>
      </c>
      <c r="M537" s="1123" t="s">
        <v>914</v>
      </c>
      <c r="N537" s="1123" t="s">
        <v>915</v>
      </c>
      <c r="O537" s="1128" t="s">
        <v>914</v>
      </c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230" t="s">
        <v>913</v>
      </c>
      <c r="AD537" s="231" t="s">
        <v>916</v>
      </c>
      <c r="AE537" s="231" t="s">
        <v>917</v>
      </c>
      <c r="AF537" s="231" t="s">
        <v>918</v>
      </c>
      <c r="AG537" s="231" t="s">
        <v>192</v>
      </c>
      <c r="AH537" s="231" t="s">
        <v>918</v>
      </c>
    </row>
    <row r="538" spans="1:34" ht="15" customHeight="1" x14ac:dyDescent="0.2">
      <c r="A538" s="2845"/>
      <c r="B538" s="2138" t="s">
        <v>920</v>
      </c>
      <c r="C538" s="2138" t="s">
        <v>922</v>
      </c>
      <c r="D538" s="2842"/>
      <c r="E538" s="2138" t="s">
        <v>867</v>
      </c>
      <c r="F538" s="2138" t="s">
        <v>921</v>
      </c>
      <c r="G538" s="2138" t="s">
        <v>923</v>
      </c>
      <c r="H538" s="2138" t="s">
        <v>836</v>
      </c>
      <c r="I538" s="2138" t="s">
        <v>835</v>
      </c>
      <c r="J538" s="2138" t="s">
        <v>924</v>
      </c>
      <c r="K538" s="2138" t="s">
        <v>925</v>
      </c>
      <c r="L538" s="2138" t="s">
        <v>336</v>
      </c>
      <c r="M538" s="1123" t="s">
        <v>926</v>
      </c>
      <c r="N538" s="1123" t="s">
        <v>927</v>
      </c>
      <c r="O538" s="1128" t="s">
        <v>928</v>
      </c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230"/>
      <c r="AD538" s="231" t="s">
        <v>843</v>
      </c>
      <c r="AE538" s="231"/>
      <c r="AF538" s="231" t="s">
        <v>929</v>
      </c>
      <c r="AG538" s="231"/>
      <c r="AH538" s="231" t="s">
        <v>930</v>
      </c>
    </row>
    <row r="539" spans="1:34" ht="15" customHeight="1" thickBot="1" x14ac:dyDescent="0.25">
      <c r="A539" s="2846"/>
      <c r="B539" s="1881">
        <v>44926</v>
      </c>
      <c r="C539" s="2139">
        <v>2023</v>
      </c>
      <c r="D539" s="2139">
        <v>2023</v>
      </c>
      <c r="E539" s="2139">
        <v>2023</v>
      </c>
      <c r="F539" s="2139">
        <v>2023</v>
      </c>
      <c r="G539" s="2139" t="s">
        <v>931</v>
      </c>
      <c r="H539" s="1126">
        <v>2023</v>
      </c>
      <c r="I539" s="1881">
        <v>45291</v>
      </c>
      <c r="J539" s="1881" t="s">
        <v>1933</v>
      </c>
      <c r="K539" s="1881" t="s">
        <v>1933</v>
      </c>
      <c r="L539" s="2139" t="s">
        <v>441</v>
      </c>
      <c r="M539" s="1125" t="s">
        <v>932</v>
      </c>
      <c r="N539" s="1125" t="s">
        <v>933</v>
      </c>
      <c r="O539" s="1129" t="s">
        <v>933</v>
      </c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232"/>
      <c r="AD539" s="233" t="s">
        <v>934</v>
      </c>
      <c r="AE539" s="233"/>
      <c r="AF539" s="233" t="s">
        <v>935</v>
      </c>
      <c r="AG539" s="233"/>
      <c r="AH539" s="233" t="s">
        <v>936</v>
      </c>
    </row>
    <row r="540" spans="1:34" ht="15" customHeight="1" x14ac:dyDescent="0.2">
      <c r="A540" s="1135" t="s">
        <v>352</v>
      </c>
      <c r="B540" s="1130">
        <v>53.5</v>
      </c>
      <c r="C540" s="1130">
        <v>10</v>
      </c>
      <c r="D540" s="1130">
        <v>0</v>
      </c>
      <c r="E540" s="1130">
        <v>0</v>
      </c>
      <c r="F540" s="1130">
        <v>0</v>
      </c>
      <c r="G540" s="1130">
        <v>3</v>
      </c>
      <c r="H540" s="1130">
        <v>50.5</v>
      </c>
      <c r="I540" s="1130">
        <v>63.5</v>
      </c>
      <c r="J540" s="1136">
        <v>316.5</v>
      </c>
      <c r="K540" s="1150">
        <v>6.2673267326732676</v>
      </c>
      <c r="L540" s="380"/>
      <c r="M540" s="1138"/>
      <c r="N540" s="1138"/>
      <c r="O540" s="113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1155"/>
      <c r="AD540" s="1156"/>
      <c r="AE540" s="1156"/>
      <c r="AF540" s="1156"/>
      <c r="AG540" s="1156"/>
      <c r="AH540" s="1156"/>
    </row>
    <row r="541" spans="1:34" ht="15" customHeight="1" x14ac:dyDescent="0.2">
      <c r="A541" s="962" t="s">
        <v>353</v>
      </c>
      <c r="B541" s="956">
        <v>19</v>
      </c>
      <c r="C541" s="1146"/>
      <c r="D541" s="1146"/>
      <c r="E541" s="1146"/>
      <c r="F541" s="1146"/>
      <c r="G541" s="1146"/>
      <c r="H541" s="1146">
        <v>19</v>
      </c>
      <c r="I541" s="1146">
        <v>19</v>
      </c>
      <c r="J541" s="1147">
        <v>133</v>
      </c>
      <c r="K541" s="1147">
        <v>7</v>
      </c>
      <c r="L541" s="1066" t="s">
        <v>988</v>
      </c>
      <c r="M541" s="959">
        <v>1556000</v>
      </c>
      <c r="N541" s="1837">
        <v>12630757.918480001</v>
      </c>
      <c r="O541" s="1149">
        <v>8974537.4549788237</v>
      </c>
      <c r="P541" s="950"/>
      <c r="Q541" s="950"/>
      <c r="R541" s="950"/>
      <c r="S541" s="950"/>
      <c r="T541" s="950"/>
      <c r="U541" s="950"/>
      <c r="V541" s="950"/>
      <c r="W541" s="950"/>
      <c r="X541" s="950"/>
      <c r="Y541" s="950"/>
      <c r="Z541" s="9"/>
      <c r="AA541" s="9"/>
      <c r="AB541" s="9"/>
      <c r="AC541" s="237">
        <f>MAX(J541/J581)</f>
        <v>0.20182094081942337</v>
      </c>
      <c r="AD541" s="235">
        <f t="shared" ref="AD541:AD555" si="100">MAX(M541*AC541)</f>
        <v>314033.38391502277</v>
      </c>
      <c r="AE541" s="238">
        <f>MAX(I541/I581)</f>
        <v>0.15447154471544716</v>
      </c>
      <c r="AF541" s="235">
        <f t="shared" ref="AF541:AF555" si="101">MAX(N541*AE541)</f>
        <v>1951092.6865944718</v>
      </c>
      <c r="AG541" s="238">
        <f>MAX(H541/H581)</f>
        <v>0.18627450980392157</v>
      </c>
      <c r="AH541" s="235">
        <f t="shared" ref="AH541:AH555" si="102">MAX(O541*AG541)</f>
        <v>1671727.5651431142</v>
      </c>
    </row>
    <row r="542" spans="1:34" ht="15" customHeight="1" x14ac:dyDescent="0.2">
      <c r="A542" s="962" t="s">
        <v>354</v>
      </c>
      <c r="B542" s="956">
        <v>0</v>
      </c>
      <c r="C542" s="1146"/>
      <c r="D542" s="1146"/>
      <c r="E542" s="1146"/>
      <c r="F542" s="1146"/>
      <c r="G542" s="1146"/>
      <c r="H542" s="1146">
        <v>0</v>
      </c>
      <c r="I542" s="1146">
        <v>0</v>
      </c>
      <c r="J542" s="1147">
        <v>0</v>
      </c>
      <c r="K542" s="1147"/>
      <c r="L542" s="1148"/>
      <c r="M542" s="959"/>
      <c r="N542" s="959"/>
      <c r="O542" s="1149"/>
      <c r="P542" s="950"/>
      <c r="Q542" s="950"/>
      <c r="R542" s="950"/>
      <c r="S542" s="950"/>
      <c r="T542" s="950"/>
      <c r="U542" s="950"/>
      <c r="V542" s="950"/>
      <c r="W542" s="950"/>
      <c r="X542" s="950"/>
      <c r="Y542" s="950"/>
      <c r="Z542" s="9"/>
      <c r="AA542" s="9"/>
      <c r="AB542" s="9"/>
      <c r="AC542" s="237">
        <f>MAX(J542/J581)</f>
        <v>0</v>
      </c>
      <c r="AD542" s="235">
        <f t="shared" si="100"/>
        <v>0</v>
      </c>
      <c r="AE542" s="238">
        <f>MAX(I542/I581)</f>
        <v>0</v>
      </c>
      <c r="AF542" s="235">
        <f t="shared" si="101"/>
        <v>0</v>
      </c>
      <c r="AG542" s="238">
        <f>MAX(H542/H581)</f>
        <v>0</v>
      </c>
      <c r="AH542" s="235">
        <f t="shared" si="102"/>
        <v>0</v>
      </c>
    </row>
    <row r="543" spans="1:34" ht="15" customHeight="1" x14ac:dyDescent="0.2">
      <c r="A543" s="962" t="s">
        <v>355</v>
      </c>
      <c r="B543" s="1498">
        <v>19</v>
      </c>
      <c r="C543" s="1146"/>
      <c r="D543" s="1146"/>
      <c r="E543" s="1146"/>
      <c r="F543" s="1146"/>
      <c r="G543" s="1146"/>
      <c r="H543" s="1146">
        <v>19</v>
      </c>
      <c r="I543" s="1146">
        <v>19</v>
      </c>
      <c r="J543" s="1147">
        <v>95</v>
      </c>
      <c r="K543" s="1147">
        <v>5</v>
      </c>
      <c r="L543" s="1066" t="s">
        <v>988</v>
      </c>
      <c r="M543" s="959">
        <v>1556000</v>
      </c>
      <c r="N543" s="1837">
        <v>12630757.918480001</v>
      </c>
      <c r="O543" s="1149">
        <v>8974537.4549788237</v>
      </c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237">
        <f>MAX(J543/J581)</f>
        <v>0.1441578148710167</v>
      </c>
      <c r="AD543" s="235">
        <f t="shared" si="100"/>
        <v>224309.55993930198</v>
      </c>
      <c r="AE543" s="238">
        <f>MAX(I543/I581)</f>
        <v>0.15447154471544716</v>
      </c>
      <c r="AF543" s="235">
        <f t="shared" si="101"/>
        <v>1951092.6865944718</v>
      </c>
      <c r="AG543" s="238">
        <f>MAX(H543/H581)</f>
        <v>0.18627450980392157</v>
      </c>
      <c r="AH543" s="235">
        <f t="shared" si="102"/>
        <v>1671727.5651431142</v>
      </c>
    </row>
    <row r="544" spans="1:34" ht="15" customHeight="1" x14ac:dyDescent="0.2">
      <c r="A544" s="962" t="s">
        <v>356</v>
      </c>
      <c r="B544" s="1498">
        <v>6.5</v>
      </c>
      <c r="C544" s="1146">
        <v>10</v>
      </c>
      <c r="D544" s="1146"/>
      <c r="E544" s="1146"/>
      <c r="F544" s="1146"/>
      <c r="G544" s="1146"/>
      <c r="H544" s="1146">
        <v>6.5</v>
      </c>
      <c r="I544" s="1146">
        <v>16.5</v>
      </c>
      <c r="J544" s="1147">
        <v>45.5</v>
      </c>
      <c r="K544" s="1147">
        <v>7</v>
      </c>
      <c r="L544" s="1066" t="s">
        <v>988</v>
      </c>
      <c r="M544" s="959">
        <v>1556000</v>
      </c>
      <c r="N544" s="1837">
        <v>12630757.918480001</v>
      </c>
      <c r="O544" s="1149">
        <v>8974537.4549788237</v>
      </c>
      <c r="P544" s="9"/>
      <c r="Q544" s="2005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237">
        <f>MAX(J544/J581)</f>
        <v>6.9044006069802738E-2</v>
      </c>
      <c r="AD544" s="235">
        <f t="shared" si="100"/>
        <v>107432.47344461306</v>
      </c>
      <c r="AE544" s="238">
        <f>MAX(I544/I581)</f>
        <v>0.13414634146341464</v>
      </c>
      <c r="AF544" s="235">
        <f t="shared" si="101"/>
        <v>1694369.9646741466</v>
      </c>
      <c r="AG544" s="238">
        <f>MAX(H544/H581)</f>
        <v>6.3725490196078427E-2</v>
      </c>
      <c r="AH544" s="235">
        <f t="shared" si="102"/>
        <v>571906.79860159161</v>
      </c>
    </row>
    <row r="545" spans="1:34" ht="15" customHeight="1" x14ac:dyDescent="0.2">
      <c r="A545" s="962" t="s">
        <v>357</v>
      </c>
      <c r="B545" s="1498">
        <v>0</v>
      </c>
      <c r="C545" s="1146">
        <v>0</v>
      </c>
      <c r="D545" s="1146">
        <v>0</v>
      </c>
      <c r="E545" s="1146">
        <v>0</v>
      </c>
      <c r="F545" s="1146">
        <v>0</v>
      </c>
      <c r="G545" s="1146">
        <v>0</v>
      </c>
      <c r="H545" s="1146">
        <v>0</v>
      </c>
      <c r="I545" s="1146">
        <v>0</v>
      </c>
      <c r="J545" s="1147">
        <v>0</v>
      </c>
      <c r="K545" s="1147">
        <v>0</v>
      </c>
      <c r="L545" s="1148"/>
      <c r="M545" s="959"/>
      <c r="N545" s="959"/>
      <c r="O545" s="1149"/>
      <c r="P545" s="9"/>
      <c r="Q545" s="2005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237">
        <f>MAX(J545/J581)</f>
        <v>0</v>
      </c>
      <c r="AD545" s="235">
        <f t="shared" si="100"/>
        <v>0</v>
      </c>
      <c r="AE545" s="238">
        <f>MAX(I545/I581)</f>
        <v>0</v>
      </c>
      <c r="AF545" s="235">
        <f t="shared" si="101"/>
        <v>0</v>
      </c>
      <c r="AG545" s="238">
        <f>MAX(H545/H581)</f>
        <v>0</v>
      </c>
      <c r="AH545" s="235">
        <f t="shared" si="102"/>
        <v>0</v>
      </c>
    </row>
    <row r="546" spans="1:34" ht="15" customHeight="1" x14ac:dyDescent="0.2">
      <c r="A546" s="962" t="s">
        <v>358</v>
      </c>
      <c r="B546" s="1498">
        <v>5</v>
      </c>
      <c r="C546" s="1146">
        <v>0</v>
      </c>
      <c r="D546" s="1146">
        <v>0</v>
      </c>
      <c r="E546" s="1146">
        <v>0</v>
      </c>
      <c r="F546" s="1146">
        <v>0</v>
      </c>
      <c r="G546" s="1146">
        <v>0</v>
      </c>
      <c r="H546" s="1146">
        <v>5</v>
      </c>
      <c r="I546" s="1146">
        <v>5</v>
      </c>
      <c r="J546" s="1147">
        <v>35</v>
      </c>
      <c r="K546" s="1147">
        <v>7</v>
      </c>
      <c r="L546" s="1066" t="s">
        <v>988</v>
      </c>
      <c r="M546" s="959">
        <v>1556000</v>
      </c>
      <c r="N546" s="1837">
        <v>12630757.918480001</v>
      </c>
      <c r="O546" s="1149">
        <v>8974537.4549788237</v>
      </c>
      <c r="P546" s="9"/>
      <c r="Q546" s="2005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237">
        <f>MAX(J546/J581)</f>
        <v>5.3110773899848251E-2</v>
      </c>
      <c r="AD546" s="235">
        <f t="shared" si="100"/>
        <v>82640.364188163876</v>
      </c>
      <c r="AE546" s="238">
        <f>MAX(I546/I581)</f>
        <v>4.065040650406504E-2</v>
      </c>
      <c r="AF546" s="235">
        <f t="shared" si="101"/>
        <v>513445.44384065043</v>
      </c>
      <c r="AG546" s="238">
        <f>MAX(H546/H581)</f>
        <v>4.9019607843137254E-2</v>
      </c>
      <c r="AH546" s="235">
        <f t="shared" si="102"/>
        <v>439928.30661660898</v>
      </c>
    </row>
    <row r="547" spans="1:34" ht="15" customHeight="1" x14ac:dyDescent="0.2">
      <c r="A547" s="962" t="s">
        <v>937</v>
      </c>
      <c r="B547" s="1498">
        <v>0</v>
      </c>
      <c r="C547" s="1146">
        <v>0</v>
      </c>
      <c r="D547" s="1146">
        <v>0</v>
      </c>
      <c r="E547" s="1146">
        <v>0</v>
      </c>
      <c r="F547" s="1146">
        <v>0</v>
      </c>
      <c r="G547" s="1146">
        <v>0</v>
      </c>
      <c r="H547" s="1146">
        <v>0</v>
      </c>
      <c r="I547" s="1146">
        <v>0</v>
      </c>
      <c r="J547" s="1147">
        <v>0</v>
      </c>
      <c r="K547" s="1147">
        <v>0</v>
      </c>
      <c r="L547" s="1148"/>
      <c r="M547" s="959"/>
      <c r="N547" s="959"/>
      <c r="O547" s="1149"/>
      <c r="U547" s="9"/>
      <c r="V547" s="9"/>
      <c r="W547" s="9"/>
      <c r="X547" s="9"/>
      <c r="Y547" s="9"/>
      <c r="Z547" s="9"/>
      <c r="AA547" s="9"/>
      <c r="AB547" s="9"/>
      <c r="AC547" s="237">
        <f>MAX(J547/J581)</f>
        <v>0</v>
      </c>
      <c r="AD547" s="235">
        <f t="shared" si="100"/>
        <v>0</v>
      </c>
      <c r="AE547" s="238">
        <f>MAX(I547/I581)</f>
        <v>0</v>
      </c>
      <c r="AF547" s="235">
        <f t="shared" si="101"/>
        <v>0</v>
      </c>
      <c r="AG547" s="238">
        <f>MAX(H547/H581)</f>
        <v>0</v>
      </c>
      <c r="AH547" s="235">
        <f t="shared" si="102"/>
        <v>0</v>
      </c>
    </row>
    <row r="548" spans="1:34" ht="15" customHeight="1" x14ac:dyDescent="0.2">
      <c r="A548" s="962" t="s">
        <v>360</v>
      </c>
      <c r="B548" s="1498">
        <v>0</v>
      </c>
      <c r="C548" s="1146">
        <v>0</v>
      </c>
      <c r="D548" s="1146">
        <v>0</v>
      </c>
      <c r="E548" s="1146">
        <v>0</v>
      </c>
      <c r="F548" s="1146">
        <v>0</v>
      </c>
      <c r="G548" s="1146">
        <v>0</v>
      </c>
      <c r="H548" s="1146">
        <v>0</v>
      </c>
      <c r="I548" s="1146">
        <v>0</v>
      </c>
      <c r="J548" s="1147">
        <v>0</v>
      </c>
      <c r="K548" s="1147">
        <v>0</v>
      </c>
      <c r="L548" s="1148"/>
      <c r="M548" s="959"/>
      <c r="N548" s="959"/>
      <c r="O548" s="1149"/>
      <c r="U548" s="9"/>
      <c r="V548" s="9"/>
      <c r="W548" s="9"/>
      <c r="X548" s="9"/>
      <c r="Y548" s="9"/>
      <c r="Z548" s="9"/>
      <c r="AA548" s="9"/>
      <c r="AB548" s="9"/>
      <c r="AC548" s="237">
        <f>MAX(J548/J581)</f>
        <v>0</v>
      </c>
      <c r="AD548" s="235">
        <f t="shared" si="100"/>
        <v>0</v>
      </c>
      <c r="AE548" s="238">
        <f>MAX(I548/I581)</f>
        <v>0</v>
      </c>
      <c r="AF548" s="235">
        <f t="shared" si="101"/>
        <v>0</v>
      </c>
      <c r="AG548" s="238">
        <f>MAX(H548/H581)</f>
        <v>0</v>
      </c>
      <c r="AH548" s="235">
        <f t="shared" si="102"/>
        <v>0</v>
      </c>
    </row>
    <row r="549" spans="1:34" ht="15" customHeight="1" x14ac:dyDescent="0.2">
      <c r="A549" s="962" t="s">
        <v>938</v>
      </c>
      <c r="B549" s="1498">
        <v>0</v>
      </c>
      <c r="C549" s="1146">
        <v>0</v>
      </c>
      <c r="D549" s="1146">
        <v>0</v>
      </c>
      <c r="E549" s="1146">
        <v>0</v>
      </c>
      <c r="F549" s="1146">
        <v>0</v>
      </c>
      <c r="G549" s="1146">
        <v>0</v>
      </c>
      <c r="H549" s="1146">
        <v>0</v>
      </c>
      <c r="I549" s="1146">
        <v>0</v>
      </c>
      <c r="J549" s="1147">
        <v>0</v>
      </c>
      <c r="K549" s="1147">
        <v>0</v>
      </c>
      <c r="L549" s="1148"/>
      <c r="M549" s="959"/>
      <c r="N549" s="959"/>
      <c r="O549" s="1149"/>
      <c r="U549" s="9"/>
      <c r="V549" s="9"/>
      <c r="W549" s="9"/>
      <c r="X549" s="9"/>
      <c r="Y549" s="9"/>
      <c r="Z549" s="9"/>
      <c r="AA549" s="9"/>
      <c r="AB549" s="9"/>
      <c r="AC549" s="237">
        <f>MAX(J549/J581)</f>
        <v>0</v>
      </c>
      <c r="AD549" s="235">
        <f t="shared" si="100"/>
        <v>0</v>
      </c>
      <c r="AE549" s="238">
        <f>MAX(I549/I581)</f>
        <v>0</v>
      </c>
      <c r="AF549" s="235">
        <f t="shared" si="101"/>
        <v>0</v>
      </c>
      <c r="AG549" s="238">
        <f>MAX(H549/H581)</f>
        <v>0</v>
      </c>
      <c r="AH549" s="235">
        <f t="shared" si="102"/>
        <v>0</v>
      </c>
    </row>
    <row r="550" spans="1:34" ht="15" customHeight="1" x14ac:dyDescent="0.2">
      <c r="A550" s="962" t="s">
        <v>362</v>
      </c>
      <c r="B550" s="1498">
        <v>0</v>
      </c>
      <c r="C550" s="1146">
        <v>0</v>
      </c>
      <c r="D550" s="1146">
        <v>0</v>
      </c>
      <c r="E550" s="1146">
        <v>0</v>
      </c>
      <c r="F550" s="1146">
        <v>0</v>
      </c>
      <c r="G550" s="1146">
        <v>0</v>
      </c>
      <c r="H550" s="1146">
        <v>0</v>
      </c>
      <c r="I550" s="1146">
        <v>0</v>
      </c>
      <c r="J550" s="1147">
        <v>0</v>
      </c>
      <c r="K550" s="1147">
        <v>0</v>
      </c>
      <c r="L550" s="1148"/>
      <c r="M550" s="959"/>
      <c r="N550" s="959"/>
      <c r="O550" s="1149"/>
      <c r="U550" s="9"/>
      <c r="V550" s="9"/>
      <c r="W550" s="9"/>
      <c r="X550" s="9"/>
      <c r="Y550" s="9"/>
      <c r="Z550" s="9"/>
      <c r="AA550" s="9"/>
      <c r="AB550" s="9"/>
      <c r="AC550" s="237">
        <f>MAX(J550/J581)</f>
        <v>0</v>
      </c>
      <c r="AD550" s="235">
        <f t="shared" si="100"/>
        <v>0</v>
      </c>
      <c r="AE550" s="238">
        <f>MAX(I550/I581)</f>
        <v>0</v>
      </c>
      <c r="AF550" s="235">
        <f t="shared" si="101"/>
        <v>0</v>
      </c>
      <c r="AG550" s="238">
        <f>MAX(H550/H581)</f>
        <v>0</v>
      </c>
      <c r="AH550" s="235">
        <f t="shared" si="102"/>
        <v>0</v>
      </c>
    </row>
    <row r="551" spans="1:34" ht="15" customHeight="1" x14ac:dyDescent="0.2">
      <c r="A551" s="962" t="s">
        <v>363</v>
      </c>
      <c r="B551" s="1498">
        <v>0</v>
      </c>
      <c r="C551" s="1146">
        <v>0</v>
      </c>
      <c r="D551" s="1146">
        <v>0</v>
      </c>
      <c r="E551" s="1146">
        <v>0</v>
      </c>
      <c r="F551" s="1146">
        <v>0</v>
      </c>
      <c r="G551" s="1146">
        <v>0</v>
      </c>
      <c r="H551" s="1146">
        <v>0</v>
      </c>
      <c r="I551" s="1146">
        <v>0</v>
      </c>
      <c r="J551" s="1147">
        <v>0</v>
      </c>
      <c r="K551" s="1147">
        <v>0</v>
      </c>
      <c r="L551" s="1148"/>
      <c r="M551" s="959"/>
      <c r="N551" s="959"/>
      <c r="O551" s="1149"/>
      <c r="U551" s="9"/>
      <c r="V551" s="9"/>
      <c r="W551" s="9"/>
      <c r="X551" s="9"/>
      <c r="Y551" s="9"/>
      <c r="Z551" s="9"/>
      <c r="AA551" s="9"/>
      <c r="AB551" s="9"/>
      <c r="AC551" s="237">
        <f>MAX(J551/J581)</f>
        <v>0</v>
      </c>
      <c r="AD551" s="235">
        <f t="shared" si="100"/>
        <v>0</v>
      </c>
      <c r="AE551" s="238">
        <f>MAX(I551/I581)</f>
        <v>0</v>
      </c>
      <c r="AF551" s="235">
        <f t="shared" si="101"/>
        <v>0</v>
      </c>
      <c r="AG551" s="238">
        <f>MAX(H551/H581)</f>
        <v>0</v>
      </c>
      <c r="AH551" s="235">
        <f t="shared" si="102"/>
        <v>0</v>
      </c>
    </row>
    <row r="552" spans="1:34" ht="15" customHeight="1" x14ac:dyDescent="0.2">
      <c r="A552" s="962" t="s">
        <v>939</v>
      </c>
      <c r="B552" s="1498">
        <v>4</v>
      </c>
      <c r="C552" s="1146">
        <v>0</v>
      </c>
      <c r="D552" s="1146">
        <v>0</v>
      </c>
      <c r="E552" s="1146">
        <v>0</v>
      </c>
      <c r="F552" s="1146">
        <v>0</v>
      </c>
      <c r="G552" s="1146">
        <v>3</v>
      </c>
      <c r="H552" s="1146">
        <v>1</v>
      </c>
      <c r="I552" s="1146">
        <v>4</v>
      </c>
      <c r="J552" s="1147">
        <v>8</v>
      </c>
      <c r="K552" s="1147">
        <v>8</v>
      </c>
      <c r="L552" s="1066" t="s">
        <v>988</v>
      </c>
      <c r="M552" s="959">
        <v>1556000</v>
      </c>
      <c r="N552" s="1837">
        <v>12630757.918480001</v>
      </c>
      <c r="O552" s="1149">
        <v>8974537.4549788237</v>
      </c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1966"/>
      <c r="AC552" s="237">
        <f>MAX(J552/J581)</f>
        <v>1.2139605462822459E-2</v>
      </c>
      <c r="AD552" s="235">
        <f t="shared" si="100"/>
        <v>18889.226100151747</v>
      </c>
      <c r="AE552" s="238">
        <f>MAX(I552/I581)</f>
        <v>3.2520325203252036E-2</v>
      </c>
      <c r="AF552" s="235">
        <f t="shared" si="101"/>
        <v>410756.35507252044</v>
      </c>
      <c r="AG552" s="238">
        <f>MAX(H552/H581)</f>
        <v>9.8039215686274508E-3</v>
      </c>
      <c r="AH552" s="235">
        <f t="shared" si="102"/>
        <v>87985.661323321794</v>
      </c>
    </row>
    <row r="553" spans="1:34" ht="15" customHeight="1" x14ac:dyDescent="0.2">
      <c r="A553" s="962" t="s">
        <v>365</v>
      </c>
      <c r="B553" s="956">
        <v>0</v>
      </c>
      <c r="C553" s="1146"/>
      <c r="D553" s="1146"/>
      <c r="E553" s="1146"/>
      <c r="F553" s="1146"/>
      <c r="G553" s="1146"/>
      <c r="H553" s="1146">
        <v>0</v>
      </c>
      <c r="I553" s="1146">
        <v>0</v>
      </c>
      <c r="J553" s="1147">
        <v>0</v>
      </c>
      <c r="K553" s="1147">
        <v>0</v>
      </c>
      <c r="L553" s="1148"/>
      <c r="M553" s="959"/>
      <c r="N553" s="1533"/>
      <c r="O553" s="1534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1966"/>
      <c r="AC553" s="237">
        <f>MAX(J553/J581)</f>
        <v>0</v>
      </c>
      <c r="AD553" s="235">
        <f t="shared" si="100"/>
        <v>0</v>
      </c>
      <c r="AE553" s="238">
        <f>MAX(I553/I581)</f>
        <v>0</v>
      </c>
      <c r="AF553" s="235">
        <f t="shared" si="101"/>
        <v>0</v>
      </c>
      <c r="AG553" s="238">
        <f>MAX(H553/H581)</f>
        <v>0</v>
      </c>
      <c r="AH553" s="235">
        <f t="shared" si="102"/>
        <v>0</v>
      </c>
    </row>
    <row r="554" spans="1:34" ht="15" customHeight="1" x14ac:dyDescent="0.2">
      <c r="A554" s="962" t="s">
        <v>366</v>
      </c>
      <c r="B554" s="956">
        <v>0</v>
      </c>
      <c r="C554" s="1146"/>
      <c r="D554" s="1146"/>
      <c r="E554" s="1146"/>
      <c r="F554" s="1146"/>
      <c r="G554" s="1146"/>
      <c r="H554" s="1146">
        <v>0</v>
      </c>
      <c r="I554" s="1146">
        <v>0</v>
      </c>
      <c r="J554" s="1147">
        <v>0</v>
      </c>
      <c r="K554" s="1147">
        <v>0</v>
      </c>
      <c r="L554" s="1148"/>
      <c r="M554" s="959"/>
      <c r="N554" s="1533"/>
      <c r="O554" s="1534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1966"/>
      <c r="AC554" s="237">
        <f>MAX(J554/J581)</f>
        <v>0</v>
      </c>
      <c r="AD554" s="235">
        <f t="shared" si="100"/>
        <v>0</v>
      </c>
      <c r="AE554" s="238">
        <f>MAX(I554/I581)</f>
        <v>0</v>
      </c>
      <c r="AF554" s="235">
        <f t="shared" si="101"/>
        <v>0</v>
      </c>
      <c r="AG554" s="238">
        <f>MAX(H554/H581)</f>
        <v>0</v>
      </c>
      <c r="AH554" s="235">
        <f t="shared" si="102"/>
        <v>0</v>
      </c>
    </row>
    <row r="555" spans="1:34" ht="15" customHeight="1" x14ac:dyDescent="0.2">
      <c r="A555" s="962" t="s">
        <v>367</v>
      </c>
      <c r="B555" s="956">
        <v>0</v>
      </c>
      <c r="C555" s="1146"/>
      <c r="D555" s="1146"/>
      <c r="E555" s="1146"/>
      <c r="F555" s="1146"/>
      <c r="G555" s="1146"/>
      <c r="H555" s="1146">
        <v>0</v>
      </c>
      <c r="I555" s="1146">
        <v>0</v>
      </c>
      <c r="J555" s="1147">
        <v>0</v>
      </c>
      <c r="K555" s="1147">
        <v>0</v>
      </c>
      <c r="L555" s="1148"/>
      <c r="M555" s="959"/>
      <c r="N555" s="1533"/>
      <c r="O555" s="1534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1966"/>
      <c r="AC555" s="237">
        <f>MAX(J555/J581)</f>
        <v>0</v>
      </c>
      <c r="AD555" s="235">
        <f t="shared" si="100"/>
        <v>0</v>
      </c>
      <c r="AE555" s="238">
        <f>MAX(I555/I581)</f>
        <v>0</v>
      </c>
      <c r="AF555" s="235">
        <f t="shared" si="101"/>
        <v>0</v>
      </c>
      <c r="AG555" s="238">
        <f>MAX(H555/H581)</f>
        <v>0</v>
      </c>
      <c r="AH555" s="235">
        <f t="shared" si="102"/>
        <v>0</v>
      </c>
    </row>
    <row r="556" spans="1:34" ht="15" customHeight="1" x14ac:dyDescent="0.2">
      <c r="A556" s="434" t="s">
        <v>940</v>
      </c>
      <c r="B556" s="1002">
        <v>14</v>
      </c>
      <c r="C556" s="1002">
        <v>1</v>
      </c>
      <c r="D556" s="1002">
        <v>0</v>
      </c>
      <c r="E556" s="1002">
        <v>2</v>
      </c>
      <c r="F556" s="1002">
        <v>1</v>
      </c>
      <c r="G556" s="1002">
        <v>2</v>
      </c>
      <c r="H556" s="1002">
        <v>9</v>
      </c>
      <c r="I556" s="1002">
        <v>12</v>
      </c>
      <c r="J556" s="1150">
        <v>90</v>
      </c>
      <c r="K556" s="1150">
        <v>10</v>
      </c>
      <c r="L556" s="1152"/>
      <c r="M556" s="996"/>
      <c r="N556" s="435"/>
      <c r="O556" s="436"/>
      <c r="P556" s="9"/>
      <c r="Q556" s="2005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1157"/>
      <c r="AD556" s="1156"/>
      <c r="AE556" s="1158"/>
      <c r="AF556" s="1156"/>
      <c r="AG556" s="1158"/>
      <c r="AH556" s="1156"/>
    </row>
    <row r="557" spans="1:34" ht="15" customHeight="1" x14ac:dyDescent="0.2">
      <c r="A557" s="962" t="s">
        <v>369</v>
      </c>
      <c r="B557" s="1498">
        <v>14</v>
      </c>
      <c r="C557" s="1146">
        <v>1</v>
      </c>
      <c r="D557" s="1146">
        <v>0</v>
      </c>
      <c r="E557" s="1146">
        <v>2</v>
      </c>
      <c r="F557" s="1146">
        <v>1</v>
      </c>
      <c r="G557" s="1146">
        <v>2</v>
      </c>
      <c r="H557" s="1146">
        <v>9</v>
      </c>
      <c r="I557" s="1146">
        <v>12</v>
      </c>
      <c r="J557" s="1147">
        <v>90</v>
      </c>
      <c r="K557" s="1147">
        <v>10</v>
      </c>
      <c r="L557" s="1066" t="s">
        <v>988</v>
      </c>
      <c r="M557" s="959">
        <v>1556000</v>
      </c>
      <c r="N557" s="1837">
        <v>12630757.918480001</v>
      </c>
      <c r="O557" s="1149">
        <v>8974537.4549788237</v>
      </c>
      <c r="P557" s="9"/>
      <c r="Q557" s="2005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237">
        <f>MAX(J557/J581)</f>
        <v>0.13657056145675264</v>
      </c>
      <c r="AD557" s="235">
        <f>MAX(M557*AC557)</f>
        <v>212503.79362670711</v>
      </c>
      <c r="AE557" s="238">
        <f>MAX(I557/I581)</f>
        <v>9.7560975609756101E-2</v>
      </c>
      <c r="AF557" s="235">
        <f>MAX(N557*AE557)</f>
        <v>1232269.0652175611</v>
      </c>
      <c r="AG557" s="238">
        <f>MAX(H557/H581)</f>
        <v>8.8235294117647065E-2</v>
      </c>
      <c r="AH557" s="235">
        <f>MAX(O557*AG557)</f>
        <v>791870.95190989622</v>
      </c>
    </row>
    <row r="558" spans="1:34" ht="15" customHeight="1" x14ac:dyDescent="0.2">
      <c r="A558" s="962" t="s">
        <v>370</v>
      </c>
      <c r="B558" s="956">
        <v>0</v>
      </c>
      <c r="C558" s="1146">
        <v>0</v>
      </c>
      <c r="D558" s="1146">
        <v>0</v>
      </c>
      <c r="E558" s="1146">
        <v>0</v>
      </c>
      <c r="F558" s="1146">
        <v>0</v>
      </c>
      <c r="G558" s="1146">
        <v>0</v>
      </c>
      <c r="H558" s="1146">
        <v>0</v>
      </c>
      <c r="I558" s="1146">
        <v>0</v>
      </c>
      <c r="J558" s="1147">
        <v>0</v>
      </c>
      <c r="K558" s="1147">
        <v>0</v>
      </c>
      <c r="L558" s="1148"/>
      <c r="M558" s="959"/>
      <c r="N558" s="1533"/>
      <c r="O558" s="1534"/>
      <c r="P558" s="9"/>
      <c r="Q558" s="2005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237">
        <f>MAX(J558/J581)</f>
        <v>0</v>
      </c>
      <c r="AD558" s="235">
        <f>MAX(M558*AC558)</f>
        <v>0</v>
      </c>
      <c r="AE558" s="238">
        <f>MAX(I558/I581)</f>
        <v>0</v>
      </c>
      <c r="AF558" s="235">
        <f>MAX(N558*AE558)</f>
        <v>0</v>
      </c>
      <c r="AG558" s="238">
        <f>MAX(H558/H581)</f>
        <v>0</v>
      </c>
      <c r="AH558" s="235">
        <f>MAX(O558*AG558)</f>
        <v>0</v>
      </c>
    </row>
    <row r="559" spans="1:34" ht="15" customHeight="1" x14ac:dyDescent="0.2">
      <c r="A559" s="962" t="s">
        <v>371</v>
      </c>
      <c r="B559" s="956">
        <v>0</v>
      </c>
      <c r="C559" s="1146">
        <v>0</v>
      </c>
      <c r="D559" s="1146">
        <v>0</v>
      </c>
      <c r="E559" s="1146">
        <v>0</v>
      </c>
      <c r="F559" s="1146">
        <v>0</v>
      </c>
      <c r="G559" s="1146">
        <v>0</v>
      </c>
      <c r="H559" s="1146">
        <v>0</v>
      </c>
      <c r="I559" s="1146">
        <v>0</v>
      </c>
      <c r="J559" s="1147">
        <v>0</v>
      </c>
      <c r="K559" s="1147">
        <v>0</v>
      </c>
      <c r="L559" s="1148"/>
      <c r="M559" s="959"/>
      <c r="N559" s="1533"/>
      <c r="O559" s="1534"/>
      <c r="P559" s="9"/>
      <c r="Q559" s="2005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237">
        <f>MAX(J559/J581)</f>
        <v>0</v>
      </c>
      <c r="AD559" s="235">
        <f>MAX(M559*AC559)</f>
        <v>0</v>
      </c>
      <c r="AE559" s="238">
        <f>MAX(I559/I581)</f>
        <v>0</v>
      </c>
      <c r="AF559" s="235">
        <f>MAX(N559*AE559)</f>
        <v>0</v>
      </c>
      <c r="AG559" s="238">
        <f>MAX(H559/H581)</f>
        <v>0</v>
      </c>
      <c r="AH559" s="235">
        <f>MAX(O559*AG559)</f>
        <v>0</v>
      </c>
    </row>
    <row r="560" spans="1:34" ht="15" customHeight="1" x14ac:dyDescent="0.2">
      <c r="A560" s="962" t="s">
        <v>372</v>
      </c>
      <c r="B560" s="956">
        <v>0</v>
      </c>
      <c r="C560" s="1146">
        <v>0</v>
      </c>
      <c r="D560" s="1146">
        <v>0</v>
      </c>
      <c r="E560" s="1146">
        <v>0</v>
      </c>
      <c r="F560" s="1146">
        <v>0</v>
      </c>
      <c r="G560" s="1146">
        <v>0</v>
      </c>
      <c r="H560" s="1146">
        <v>0</v>
      </c>
      <c r="I560" s="1146">
        <v>0</v>
      </c>
      <c r="J560" s="1147">
        <v>0</v>
      </c>
      <c r="K560" s="1147">
        <v>0</v>
      </c>
      <c r="L560" s="1148"/>
      <c r="M560" s="959"/>
      <c r="N560" s="1533"/>
      <c r="O560" s="1534"/>
      <c r="P560" s="9"/>
      <c r="Q560" s="2005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237">
        <f>MAX(J560/J581)</f>
        <v>0</v>
      </c>
      <c r="AD560" s="235">
        <f>MAX(M560*AC560)</f>
        <v>0</v>
      </c>
      <c r="AE560" s="238">
        <f>MAX(I560/I581)</f>
        <v>0</v>
      </c>
      <c r="AF560" s="235">
        <f>MAX(N560*AE560)</f>
        <v>0</v>
      </c>
      <c r="AG560" s="238">
        <f>MAX(H560/H581)</f>
        <v>0</v>
      </c>
      <c r="AH560" s="235">
        <f>MAX(O560*AG560)</f>
        <v>0</v>
      </c>
    </row>
    <row r="561" spans="1:34" ht="15" customHeight="1" x14ac:dyDescent="0.2">
      <c r="A561" s="962" t="s">
        <v>373</v>
      </c>
      <c r="B561" s="956">
        <v>0</v>
      </c>
      <c r="C561" s="1146">
        <v>0</v>
      </c>
      <c r="D561" s="1146">
        <v>0</v>
      </c>
      <c r="E561" s="1146">
        <v>0</v>
      </c>
      <c r="F561" s="1146">
        <v>0</v>
      </c>
      <c r="G561" s="1146">
        <v>0</v>
      </c>
      <c r="H561" s="1146">
        <v>0</v>
      </c>
      <c r="I561" s="1146">
        <v>0</v>
      </c>
      <c r="J561" s="1147">
        <v>0</v>
      </c>
      <c r="K561" s="1147">
        <v>0</v>
      </c>
      <c r="L561" s="1148"/>
      <c r="M561" s="959"/>
      <c r="N561" s="959"/>
      <c r="O561" s="1149"/>
      <c r="P561" s="9"/>
      <c r="Q561" s="2005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237">
        <f>MAX(J561/J581)</f>
        <v>0</v>
      </c>
      <c r="AD561" s="235">
        <f>MAX(M561*AC561)</f>
        <v>0</v>
      </c>
      <c r="AE561" s="238">
        <f>MAX(I561/I581)</f>
        <v>0</v>
      </c>
      <c r="AF561" s="235">
        <f>MAX(N561*AE561)</f>
        <v>0</v>
      </c>
      <c r="AG561" s="238">
        <f>MAX(H561/H581)</f>
        <v>0</v>
      </c>
      <c r="AH561" s="235">
        <f>MAX(O561*AG561)</f>
        <v>0</v>
      </c>
    </row>
    <row r="562" spans="1:34" ht="15" customHeight="1" x14ac:dyDescent="0.2">
      <c r="A562" s="1154" t="s">
        <v>374</v>
      </c>
      <c r="B562" s="1002">
        <v>28.5</v>
      </c>
      <c r="C562" s="1002">
        <v>2</v>
      </c>
      <c r="D562" s="1002">
        <v>2</v>
      </c>
      <c r="E562" s="1002">
        <v>2</v>
      </c>
      <c r="F562" s="1002">
        <v>1</v>
      </c>
      <c r="G562" s="1002">
        <v>0</v>
      </c>
      <c r="H562" s="1002">
        <v>23.5</v>
      </c>
      <c r="I562" s="1002">
        <v>27.5</v>
      </c>
      <c r="J562" s="1150">
        <v>152.5</v>
      </c>
      <c r="K562" s="1150">
        <v>6.4893617021276597</v>
      </c>
      <c r="L562" s="1152"/>
      <c r="M562" s="996"/>
      <c r="N562" s="435"/>
      <c r="O562" s="436"/>
      <c r="P562" s="9"/>
      <c r="Q562" s="2005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1157"/>
      <c r="AD562" s="1156"/>
      <c r="AE562" s="1158"/>
      <c r="AF562" s="1156"/>
      <c r="AG562" s="1158"/>
      <c r="AH562" s="1156"/>
    </row>
    <row r="563" spans="1:34" ht="15" customHeight="1" x14ac:dyDescent="0.2">
      <c r="A563" s="962" t="s">
        <v>375</v>
      </c>
      <c r="B563" s="956">
        <v>13</v>
      </c>
      <c r="C563" s="1146">
        <v>0</v>
      </c>
      <c r="D563" s="1146">
        <v>2</v>
      </c>
      <c r="E563" s="1146">
        <v>2</v>
      </c>
      <c r="F563" s="1146">
        <v>1</v>
      </c>
      <c r="G563" s="1146">
        <v>0</v>
      </c>
      <c r="H563" s="1146">
        <v>8</v>
      </c>
      <c r="I563" s="1146">
        <v>10</v>
      </c>
      <c r="J563" s="1147">
        <v>48</v>
      </c>
      <c r="K563" s="1147">
        <v>6</v>
      </c>
      <c r="L563" s="1066" t="s">
        <v>988</v>
      </c>
      <c r="M563" s="959">
        <v>1556000</v>
      </c>
      <c r="N563" s="1837">
        <v>12630757.918480001</v>
      </c>
      <c r="O563" s="1149">
        <v>8974537.4549788237</v>
      </c>
      <c r="P563" s="9"/>
      <c r="Q563" s="2005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237">
        <f>MAX(J563/J581)</f>
        <v>7.2837632776934752E-2</v>
      </c>
      <c r="AD563" s="235">
        <f t="shared" ref="AD563:AD570" si="103">MAX(M563*AC563)</f>
        <v>113335.35660091047</v>
      </c>
      <c r="AE563" s="238">
        <f>MAX(I563/I581)</f>
        <v>8.1300813008130079E-2</v>
      </c>
      <c r="AF563" s="235">
        <f t="shared" ref="AF563:AF570" si="104">MAX(N563*AE563)</f>
        <v>1026890.8876813009</v>
      </c>
      <c r="AG563" s="238">
        <f>MAX(H563/H581)</f>
        <v>7.8431372549019607E-2</v>
      </c>
      <c r="AH563" s="235">
        <f t="shared" ref="AH563:AH570" si="105">MAX(O563*AG563)</f>
        <v>703885.29058657435</v>
      </c>
    </row>
    <row r="564" spans="1:34" ht="15" customHeight="1" x14ac:dyDescent="0.2">
      <c r="A564" s="962" t="s">
        <v>376</v>
      </c>
      <c r="B564" s="956">
        <v>0</v>
      </c>
      <c r="C564" s="1146">
        <v>0</v>
      </c>
      <c r="D564" s="1146">
        <v>0</v>
      </c>
      <c r="E564" s="1146">
        <v>0</v>
      </c>
      <c r="F564" s="1146">
        <v>0</v>
      </c>
      <c r="G564" s="1146">
        <v>0</v>
      </c>
      <c r="H564" s="1146">
        <v>0</v>
      </c>
      <c r="I564" s="1146">
        <v>0</v>
      </c>
      <c r="J564" s="1147">
        <v>0</v>
      </c>
      <c r="K564" s="1147">
        <v>0</v>
      </c>
      <c r="L564" s="1148"/>
      <c r="M564" s="959"/>
      <c r="N564" s="959"/>
      <c r="O564" s="114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237">
        <f>MAX(J564/J581)</f>
        <v>0</v>
      </c>
      <c r="AD564" s="235">
        <f t="shared" si="103"/>
        <v>0</v>
      </c>
      <c r="AE564" s="238">
        <f>MAX(I564/I581)</f>
        <v>0</v>
      </c>
      <c r="AF564" s="235">
        <f t="shared" si="104"/>
        <v>0</v>
      </c>
      <c r="AG564" s="238">
        <f>MAX(H564/H581)</f>
        <v>0</v>
      </c>
      <c r="AH564" s="235">
        <f t="shared" si="105"/>
        <v>0</v>
      </c>
    </row>
    <row r="565" spans="1:34" ht="15" customHeight="1" x14ac:dyDescent="0.2">
      <c r="A565" s="962" t="s">
        <v>377</v>
      </c>
      <c r="B565" s="956">
        <v>0</v>
      </c>
      <c r="C565" s="1146"/>
      <c r="D565" s="1146"/>
      <c r="E565" s="1146"/>
      <c r="F565" s="1146"/>
      <c r="G565" s="1146"/>
      <c r="H565" s="1146">
        <v>0</v>
      </c>
      <c r="I565" s="1146">
        <v>0</v>
      </c>
      <c r="J565" s="1147">
        <v>0</v>
      </c>
      <c r="K565" s="1147">
        <v>0</v>
      </c>
      <c r="L565" s="1148"/>
      <c r="M565" s="959"/>
      <c r="N565" s="1533"/>
      <c r="O565" s="1534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237">
        <f>MAX(J565/J581)</f>
        <v>0</v>
      </c>
      <c r="AD565" s="235">
        <f t="shared" si="103"/>
        <v>0</v>
      </c>
      <c r="AE565" s="238">
        <f>MAX(I565/I581)</f>
        <v>0</v>
      </c>
      <c r="AF565" s="235">
        <f t="shared" si="104"/>
        <v>0</v>
      </c>
      <c r="AG565" s="238">
        <f>MAX(H565/H581)</f>
        <v>0</v>
      </c>
      <c r="AH565" s="235">
        <f t="shared" si="105"/>
        <v>0</v>
      </c>
    </row>
    <row r="566" spans="1:34" ht="15" customHeight="1" x14ac:dyDescent="0.2">
      <c r="A566" s="962" t="s">
        <v>378</v>
      </c>
      <c r="B566" s="956">
        <v>0</v>
      </c>
      <c r="C566" s="1146">
        <v>0</v>
      </c>
      <c r="D566" s="1146">
        <v>0</v>
      </c>
      <c r="E566" s="1146">
        <v>0</v>
      </c>
      <c r="F566" s="1146">
        <v>0</v>
      </c>
      <c r="G566" s="1146">
        <v>0</v>
      </c>
      <c r="H566" s="1146">
        <v>0</v>
      </c>
      <c r="I566" s="1146">
        <v>0</v>
      </c>
      <c r="J566" s="1147">
        <v>0</v>
      </c>
      <c r="K566" s="1147">
        <v>0</v>
      </c>
      <c r="L566" s="1066"/>
      <c r="M566" s="959"/>
      <c r="N566" s="1837"/>
      <c r="O566" s="114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237">
        <f>MAX(J566/J581)</f>
        <v>0</v>
      </c>
      <c r="AD566" s="235">
        <f t="shared" si="103"/>
        <v>0</v>
      </c>
      <c r="AE566" s="238">
        <f>MAX(I566/I581)</f>
        <v>0</v>
      </c>
      <c r="AF566" s="235">
        <f t="shared" si="104"/>
        <v>0</v>
      </c>
      <c r="AG566" s="238">
        <f>MAX(H566/H581)</f>
        <v>0</v>
      </c>
      <c r="AH566" s="235">
        <f t="shared" si="105"/>
        <v>0</v>
      </c>
    </row>
    <row r="567" spans="1:34" ht="15" customHeight="1" x14ac:dyDescent="0.2">
      <c r="A567" s="962" t="s">
        <v>379</v>
      </c>
      <c r="B567" s="1498">
        <v>11.5</v>
      </c>
      <c r="C567" s="1146"/>
      <c r="D567" s="1146"/>
      <c r="E567" s="1146"/>
      <c r="F567" s="1146"/>
      <c r="G567" s="1146"/>
      <c r="H567" s="1146">
        <v>11.5</v>
      </c>
      <c r="I567" s="1146">
        <v>11.5</v>
      </c>
      <c r="J567" s="1147">
        <v>80.5</v>
      </c>
      <c r="K567" s="1147">
        <v>7</v>
      </c>
      <c r="L567" s="1066" t="s">
        <v>988</v>
      </c>
      <c r="M567" s="959">
        <v>1556000</v>
      </c>
      <c r="N567" s="1837">
        <v>12630757.918480001</v>
      </c>
      <c r="O567" s="1149">
        <v>8974537.4549788237</v>
      </c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237">
        <f>MAX(J567/J581)</f>
        <v>0.12215477996965099</v>
      </c>
      <c r="AD567" s="235">
        <f t="shared" si="103"/>
        <v>190072.83763277694</v>
      </c>
      <c r="AE567" s="238">
        <f>MAX(I567/I581)</f>
        <v>9.3495934959349589E-2</v>
      </c>
      <c r="AF567" s="235">
        <f t="shared" si="104"/>
        <v>1180924.520833496</v>
      </c>
      <c r="AG567" s="238">
        <f>MAX(H567/H581)</f>
        <v>0.11274509803921569</v>
      </c>
      <c r="AH567" s="235">
        <f t="shared" si="105"/>
        <v>1011835.1052182007</v>
      </c>
    </row>
    <row r="568" spans="1:34" ht="15" customHeight="1" x14ac:dyDescent="0.2">
      <c r="A568" s="962" t="s">
        <v>380</v>
      </c>
      <c r="B568" s="1498">
        <v>4</v>
      </c>
      <c r="C568" s="1146">
        <v>2</v>
      </c>
      <c r="D568" s="1146">
        <v>0</v>
      </c>
      <c r="E568" s="1146">
        <v>0</v>
      </c>
      <c r="F568" s="1146">
        <v>0</v>
      </c>
      <c r="G568" s="1146">
        <v>0</v>
      </c>
      <c r="H568" s="1146">
        <v>4</v>
      </c>
      <c r="I568" s="1146">
        <v>6</v>
      </c>
      <c r="J568" s="1147">
        <v>24</v>
      </c>
      <c r="K568" s="1147">
        <v>6</v>
      </c>
      <c r="L568" s="1066" t="s">
        <v>988</v>
      </c>
      <c r="M568" s="959">
        <v>1556000</v>
      </c>
      <c r="N568" s="1837">
        <v>12630757.918480001</v>
      </c>
      <c r="O568" s="1149">
        <v>8974537.4549788237</v>
      </c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237">
        <f>MAX(J568/J581)</f>
        <v>3.6418816388467376E-2</v>
      </c>
      <c r="AD568" s="235">
        <f t="shared" si="103"/>
        <v>56667.678300455234</v>
      </c>
      <c r="AE568" s="238">
        <f>MAX(I568/I581)</f>
        <v>4.878048780487805E-2</v>
      </c>
      <c r="AF568" s="235">
        <f t="shared" si="104"/>
        <v>616134.53260878054</v>
      </c>
      <c r="AG568" s="238">
        <f>MAX(H568/H581)</f>
        <v>3.9215686274509803E-2</v>
      </c>
      <c r="AH568" s="235">
        <f t="shared" si="105"/>
        <v>351942.64529328718</v>
      </c>
    </row>
    <row r="569" spans="1:34" ht="15" customHeight="1" x14ac:dyDescent="0.2">
      <c r="A569" s="962" t="s">
        <v>381</v>
      </c>
      <c r="B569" s="1498">
        <v>0</v>
      </c>
      <c r="C569" s="1146"/>
      <c r="D569" s="1146"/>
      <c r="E569" s="1146"/>
      <c r="F569" s="1146"/>
      <c r="G569" s="1146"/>
      <c r="H569" s="1146">
        <v>0</v>
      </c>
      <c r="I569" s="1146">
        <v>0</v>
      </c>
      <c r="J569" s="1147">
        <v>0</v>
      </c>
      <c r="K569" s="1147">
        <v>0</v>
      </c>
      <c r="L569" s="1148"/>
      <c r="M569" s="959"/>
      <c r="N569" s="1533"/>
      <c r="O569" s="1534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237">
        <f>MAX(J569/J581)</f>
        <v>0</v>
      </c>
      <c r="AD569" s="235">
        <f t="shared" si="103"/>
        <v>0</v>
      </c>
      <c r="AE569" s="238">
        <f>MAX(I569/I581)</f>
        <v>0</v>
      </c>
      <c r="AF569" s="235">
        <f t="shared" si="104"/>
        <v>0</v>
      </c>
      <c r="AG569" s="238">
        <f>MAX(H569/H581)</f>
        <v>0</v>
      </c>
      <c r="AH569" s="235">
        <f t="shared" si="105"/>
        <v>0</v>
      </c>
    </row>
    <row r="570" spans="1:34" ht="15" customHeight="1" x14ac:dyDescent="0.2">
      <c r="A570" s="962" t="s">
        <v>382</v>
      </c>
      <c r="B570" s="1498">
        <v>0</v>
      </c>
      <c r="C570" s="1146">
        <v>0</v>
      </c>
      <c r="D570" s="1146">
        <v>0</v>
      </c>
      <c r="E570" s="1146">
        <v>0</v>
      </c>
      <c r="F570" s="1146">
        <v>0</v>
      </c>
      <c r="G570" s="1146">
        <v>0</v>
      </c>
      <c r="H570" s="1146">
        <v>0</v>
      </c>
      <c r="I570" s="1146">
        <v>0</v>
      </c>
      <c r="J570" s="1147">
        <v>0</v>
      </c>
      <c r="K570" s="1147">
        <v>0</v>
      </c>
      <c r="L570" s="1148"/>
      <c r="M570" s="959"/>
      <c r="N570" s="1533"/>
      <c r="O570" s="1534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237">
        <f>MAX(J570/J581)</f>
        <v>0</v>
      </c>
      <c r="AD570" s="235">
        <f t="shared" si="103"/>
        <v>0</v>
      </c>
      <c r="AE570" s="238">
        <f>MAX(I570/I581)</f>
        <v>0</v>
      </c>
      <c r="AF570" s="235">
        <f t="shared" si="104"/>
        <v>0</v>
      </c>
      <c r="AG570" s="238">
        <f>MAX(H570/H581)</f>
        <v>0</v>
      </c>
      <c r="AH570" s="235">
        <f t="shared" si="105"/>
        <v>0</v>
      </c>
    </row>
    <row r="571" spans="1:34" ht="15" customHeight="1" x14ac:dyDescent="0.2">
      <c r="A571" s="1154" t="s">
        <v>383</v>
      </c>
      <c r="B571" s="1002">
        <v>25</v>
      </c>
      <c r="C571" s="1002">
        <v>1</v>
      </c>
      <c r="D571" s="1002">
        <v>0</v>
      </c>
      <c r="E571" s="1002">
        <v>2</v>
      </c>
      <c r="F571" s="1002">
        <v>4</v>
      </c>
      <c r="G571" s="1002">
        <v>0</v>
      </c>
      <c r="H571" s="1002">
        <v>19</v>
      </c>
      <c r="I571" s="1002">
        <v>20</v>
      </c>
      <c r="J571" s="1150">
        <v>100</v>
      </c>
      <c r="K571" s="1150"/>
      <c r="L571" s="1152"/>
      <c r="M571" s="996"/>
      <c r="N571" s="435"/>
      <c r="O571" s="436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1157"/>
      <c r="AD571" s="1156"/>
      <c r="AE571" s="1158"/>
      <c r="AF571" s="1156"/>
      <c r="AG571" s="1158"/>
      <c r="AH571" s="1156"/>
    </row>
    <row r="572" spans="1:34" ht="15" customHeight="1" x14ac:dyDescent="0.2">
      <c r="A572" s="962" t="s">
        <v>384</v>
      </c>
      <c r="B572" s="956">
        <v>8</v>
      </c>
      <c r="C572" s="1146">
        <v>1</v>
      </c>
      <c r="D572" s="1146">
        <v>0</v>
      </c>
      <c r="E572" s="1146">
        <v>2</v>
      </c>
      <c r="F572" s="1146">
        <v>1</v>
      </c>
      <c r="G572" s="1146">
        <v>0</v>
      </c>
      <c r="H572" s="1146">
        <v>5</v>
      </c>
      <c r="I572" s="1146">
        <v>6</v>
      </c>
      <c r="J572" s="1147">
        <v>30</v>
      </c>
      <c r="K572" s="1147">
        <v>6</v>
      </c>
      <c r="L572" s="1066" t="s">
        <v>988</v>
      </c>
      <c r="M572" s="959">
        <v>1556000</v>
      </c>
      <c r="N572" s="1837">
        <v>12630757.918480001</v>
      </c>
      <c r="O572" s="1149">
        <v>8974537.4549788237</v>
      </c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237">
        <f>MAX(J572/J581)</f>
        <v>4.5523520485584217E-2</v>
      </c>
      <c r="AD572" s="235">
        <f t="shared" ref="AD572:AD580" si="106">MAX(M572*AC572)</f>
        <v>70834.597875569045</v>
      </c>
      <c r="AE572" s="238">
        <f>MAX(I572/I581)</f>
        <v>4.878048780487805E-2</v>
      </c>
      <c r="AF572" s="235">
        <f t="shared" ref="AF572:AF580" si="107">MAX(N572*AE572)</f>
        <v>616134.53260878054</v>
      </c>
      <c r="AG572" s="238">
        <f>MAX(H572/H581)</f>
        <v>4.9019607843137254E-2</v>
      </c>
      <c r="AH572" s="235">
        <f t="shared" ref="AH572:AH580" si="108">MAX(O572*AG572)</f>
        <v>439928.30661660898</v>
      </c>
    </row>
    <row r="573" spans="1:34" ht="15" customHeight="1" x14ac:dyDescent="0.2">
      <c r="A573" s="962" t="s">
        <v>385</v>
      </c>
      <c r="B573" s="956">
        <v>0</v>
      </c>
      <c r="C573" s="1146">
        <v>0</v>
      </c>
      <c r="D573" s="1146">
        <v>0</v>
      </c>
      <c r="E573" s="1146">
        <v>0</v>
      </c>
      <c r="F573" s="1146">
        <v>0</v>
      </c>
      <c r="G573" s="1146">
        <v>0</v>
      </c>
      <c r="H573" s="1146">
        <v>0</v>
      </c>
      <c r="I573" s="1146">
        <v>0</v>
      </c>
      <c r="J573" s="1147">
        <v>0</v>
      </c>
      <c r="K573" s="1147">
        <v>0</v>
      </c>
      <c r="L573" s="1148"/>
      <c r="M573" s="959"/>
      <c r="N573" s="1533"/>
      <c r="O573" s="1534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237">
        <f>MAX(J573/J581)</f>
        <v>0</v>
      </c>
      <c r="AD573" s="235">
        <f t="shared" si="106"/>
        <v>0</v>
      </c>
      <c r="AE573" s="238">
        <f>MAX(I573/I581)</f>
        <v>0</v>
      </c>
      <c r="AF573" s="235">
        <f t="shared" si="107"/>
        <v>0</v>
      </c>
      <c r="AG573" s="238">
        <f>MAX(H573/H581)</f>
        <v>0</v>
      </c>
      <c r="AH573" s="235">
        <f t="shared" si="108"/>
        <v>0</v>
      </c>
    </row>
    <row r="574" spans="1:34" ht="15" customHeight="1" x14ac:dyDescent="0.2">
      <c r="A574" s="962" t="s">
        <v>386</v>
      </c>
      <c r="B574" s="956">
        <v>0</v>
      </c>
      <c r="C574" s="1146">
        <v>0</v>
      </c>
      <c r="D574" s="1146">
        <v>0</v>
      </c>
      <c r="E574" s="1146">
        <v>0</v>
      </c>
      <c r="F574" s="1146">
        <v>0</v>
      </c>
      <c r="G574" s="1146">
        <v>0</v>
      </c>
      <c r="H574" s="1146">
        <v>0</v>
      </c>
      <c r="I574" s="1146">
        <v>0</v>
      </c>
      <c r="J574" s="1147">
        <v>0</v>
      </c>
      <c r="K574" s="1147">
        <v>0</v>
      </c>
      <c r="L574" s="1148"/>
      <c r="M574" s="959"/>
      <c r="N574" s="959"/>
      <c r="O574" s="114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237">
        <f>MAX(J574/J581)</f>
        <v>0</v>
      </c>
      <c r="AD574" s="235">
        <f t="shared" si="106"/>
        <v>0</v>
      </c>
      <c r="AE574" s="238">
        <f>MAX(I574/I581)</f>
        <v>0</v>
      </c>
      <c r="AF574" s="235">
        <f t="shared" si="107"/>
        <v>0</v>
      </c>
      <c r="AG574" s="238">
        <f>MAX(H574/H581)</f>
        <v>0</v>
      </c>
      <c r="AH574" s="235">
        <f t="shared" si="108"/>
        <v>0</v>
      </c>
    </row>
    <row r="575" spans="1:34" ht="15" customHeight="1" x14ac:dyDescent="0.2">
      <c r="A575" s="962" t="s">
        <v>387</v>
      </c>
      <c r="B575" s="956">
        <v>0</v>
      </c>
      <c r="C575" s="1146">
        <v>0</v>
      </c>
      <c r="D575" s="1146">
        <v>0</v>
      </c>
      <c r="E575" s="1146">
        <v>0</v>
      </c>
      <c r="F575" s="1146">
        <v>0</v>
      </c>
      <c r="G575" s="1146">
        <v>0</v>
      </c>
      <c r="H575" s="1146">
        <v>0</v>
      </c>
      <c r="I575" s="1146">
        <v>0</v>
      </c>
      <c r="J575" s="1147">
        <v>0</v>
      </c>
      <c r="K575" s="1147">
        <v>0</v>
      </c>
      <c r="L575" s="1148"/>
      <c r="M575" s="959"/>
      <c r="N575" s="959"/>
      <c r="O575" s="114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237">
        <f>MAX(J575/J581)</f>
        <v>0</v>
      </c>
      <c r="AD575" s="235">
        <f t="shared" si="106"/>
        <v>0</v>
      </c>
      <c r="AE575" s="238">
        <f>MAX(I575/I581)</f>
        <v>0</v>
      </c>
      <c r="AF575" s="235">
        <f t="shared" si="107"/>
        <v>0</v>
      </c>
      <c r="AG575" s="238">
        <f>MAX(H575/H581)</f>
        <v>0</v>
      </c>
      <c r="AH575" s="235">
        <f t="shared" si="108"/>
        <v>0</v>
      </c>
    </row>
    <row r="576" spans="1:34" ht="15" customHeight="1" x14ac:dyDescent="0.2">
      <c r="A576" s="962" t="s">
        <v>388</v>
      </c>
      <c r="B576" s="956">
        <v>0</v>
      </c>
      <c r="C576" s="1146"/>
      <c r="D576" s="1146"/>
      <c r="E576" s="1146"/>
      <c r="F576" s="1146"/>
      <c r="G576" s="1146"/>
      <c r="H576" s="1146">
        <v>0</v>
      </c>
      <c r="I576" s="1146">
        <v>0</v>
      </c>
      <c r="J576" s="1147">
        <v>0</v>
      </c>
      <c r="K576" s="1147">
        <v>0</v>
      </c>
      <c r="L576" s="1148"/>
      <c r="M576" s="959"/>
      <c r="N576" s="959"/>
      <c r="O576" s="114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237">
        <f>MAX(J576/J581)</f>
        <v>0</v>
      </c>
      <c r="AD576" s="235">
        <f t="shared" si="106"/>
        <v>0</v>
      </c>
      <c r="AE576" s="238">
        <f>MAX(I576/I581)</f>
        <v>0</v>
      </c>
      <c r="AF576" s="235">
        <f t="shared" si="107"/>
        <v>0</v>
      </c>
      <c r="AG576" s="238">
        <f>MAX(H576/H581)</f>
        <v>0</v>
      </c>
      <c r="AH576" s="235">
        <f t="shared" si="108"/>
        <v>0</v>
      </c>
    </row>
    <row r="577" spans="1:34" ht="15" customHeight="1" x14ac:dyDescent="0.2">
      <c r="A577" s="962" t="s">
        <v>389</v>
      </c>
      <c r="B577" s="956">
        <v>0</v>
      </c>
      <c r="C577" s="1146">
        <v>0</v>
      </c>
      <c r="D577" s="1146"/>
      <c r="E577" s="1146"/>
      <c r="F577" s="1146"/>
      <c r="G577" s="1146"/>
      <c r="H577" s="1146">
        <v>0</v>
      </c>
      <c r="I577" s="1146">
        <v>0</v>
      </c>
      <c r="J577" s="1147">
        <v>0</v>
      </c>
      <c r="K577" s="1147">
        <v>0</v>
      </c>
      <c r="L577" s="1148"/>
      <c r="M577" s="959"/>
      <c r="N577" s="1533"/>
      <c r="O577" s="1534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237">
        <f>MAX(J577/J581)</f>
        <v>0</v>
      </c>
      <c r="AD577" s="235">
        <f t="shared" si="106"/>
        <v>0</v>
      </c>
      <c r="AE577" s="238">
        <f>MAX(I577/I581)</f>
        <v>0</v>
      </c>
      <c r="AF577" s="235">
        <f t="shared" si="107"/>
        <v>0</v>
      </c>
      <c r="AG577" s="238">
        <f>MAX(H577/H581)</f>
        <v>0</v>
      </c>
      <c r="AH577" s="235">
        <f t="shared" si="108"/>
        <v>0</v>
      </c>
    </row>
    <row r="578" spans="1:34" ht="15" customHeight="1" x14ac:dyDescent="0.2">
      <c r="A578" s="962" t="s">
        <v>390</v>
      </c>
      <c r="B578" s="956">
        <v>0</v>
      </c>
      <c r="C578" s="1146"/>
      <c r="D578" s="1146"/>
      <c r="E578" s="1146"/>
      <c r="F578" s="1146"/>
      <c r="G578" s="1146"/>
      <c r="H578" s="1146">
        <v>0</v>
      </c>
      <c r="I578" s="1146">
        <v>0</v>
      </c>
      <c r="J578" s="1147">
        <v>0</v>
      </c>
      <c r="K578" s="1147">
        <v>0</v>
      </c>
      <c r="L578" s="1148"/>
      <c r="M578" s="959"/>
      <c r="N578" s="959"/>
      <c r="O578" s="114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237">
        <f>MAX(J578/J581)</f>
        <v>0</v>
      </c>
      <c r="AD578" s="235">
        <f t="shared" si="106"/>
        <v>0</v>
      </c>
      <c r="AE578" s="238">
        <f>MAX(I578/I581)</f>
        <v>0</v>
      </c>
      <c r="AF578" s="235">
        <f t="shared" si="107"/>
        <v>0</v>
      </c>
      <c r="AG578" s="238">
        <f>MAX(H578/H581)</f>
        <v>0</v>
      </c>
      <c r="AH578" s="235">
        <f t="shared" si="108"/>
        <v>0</v>
      </c>
    </row>
    <row r="579" spans="1:34" ht="15" customHeight="1" x14ac:dyDescent="0.2">
      <c r="A579" s="962" t="s">
        <v>941</v>
      </c>
      <c r="B579" s="1498">
        <v>17</v>
      </c>
      <c r="C579" s="1146"/>
      <c r="D579" s="1146"/>
      <c r="E579" s="1146"/>
      <c r="F579" s="1146">
        <v>3</v>
      </c>
      <c r="G579" s="1146"/>
      <c r="H579" s="1146">
        <v>14</v>
      </c>
      <c r="I579" s="1146">
        <v>14</v>
      </c>
      <c r="J579" s="1147">
        <v>70</v>
      </c>
      <c r="K579" s="1147">
        <v>5</v>
      </c>
      <c r="L579" s="1066" t="s">
        <v>988</v>
      </c>
      <c r="M579" s="959">
        <v>1556000</v>
      </c>
      <c r="N579" s="1837">
        <v>12630757.918480001</v>
      </c>
      <c r="O579" s="1149">
        <v>8974537.4549788237</v>
      </c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237">
        <f>MAX(J579/J581)</f>
        <v>0.1062215477996965</v>
      </c>
      <c r="AD579" s="235">
        <f t="shared" si="106"/>
        <v>165280.72837632775</v>
      </c>
      <c r="AE579" s="238">
        <f>MAX(I579/I581)</f>
        <v>0.11382113821138211</v>
      </c>
      <c r="AF579" s="235">
        <f t="shared" si="107"/>
        <v>1437647.2427538212</v>
      </c>
      <c r="AG579" s="238">
        <f>MAX(H579/H581)</f>
        <v>0.13725490196078433</v>
      </c>
      <c r="AH579" s="235">
        <f t="shared" si="108"/>
        <v>1231799.2585265052</v>
      </c>
    </row>
    <row r="580" spans="1:34" ht="15" customHeight="1" thickBot="1" x14ac:dyDescent="0.25">
      <c r="A580" s="1140" t="s">
        <v>392</v>
      </c>
      <c r="B580" s="244">
        <v>0</v>
      </c>
      <c r="C580" s="1141">
        <v>0</v>
      </c>
      <c r="D580" s="1141">
        <v>0</v>
      </c>
      <c r="E580" s="1141">
        <v>0</v>
      </c>
      <c r="F580" s="1141">
        <v>0</v>
      </c>
      <c r="G580" s="1141">
        <v>0</v>
      </c>
      <c r="H580" s="1146">
        <v>0</v>
      </c>
      <c r="I580" s="1146">
        <v>0</v>
      </c>
      <c r="J580" s="1526">
        <v>0</v>
      </c>
      <c r="K580" s="1142">
        <v>0</v>
      </c>
      <c r="L580" s="1143"/>
      <c r="M580" s="1144"/>
      <c r="N580" s="1144"/>
      <c r="O580" s="1145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237">
        <f>MAX(J580/J581)</f>
        <v>0</v>
      </c>
      <c r="AD580" s="235">
        <f t="shared" si="106"/>
        <v>0</v>
      </c>
      <c r="AE580" s="238">
        <f>MAX(I580/I581)</f>
        <v>0</v>
      </c>
      <c r="AF580" s="235">
        <f t="shared" si="107"/>
        <v>0</v>
      </c>
      <c r="AG580" s="238">
        <f>MAX(H580/H581)</f>
        <v>0</v>
      </c>
      <c r="AH580" s="235">
        <f t="shared" si="108"/>
        <v>0</v>
      </c>
    </row>
    <row r="581" spans="1:34" ht="15" customHeight="1" thickBot="1" x14ac:dyDescent="0.25">
      <c r="A581" s="405" t="s">
        <v>942</v>
      </c>
      <c r="B581" s="1131">
        <v>121</v>
      </c>
      <c r="C581" s="1131">
        <v>14</v>
      </c>
      <c r="D581" s="1131">
        <v>2</v>
      </c>
      <c r="E581" s="1131">
        <v>6</v>
      </c>
      <c r="F581" s="1131">
        <v>6</v>
      </c>
      <c r="G581" s="1131">
        <v>5</v>
      </c>
      <c r="H581" s="1131">
        <v>102</v>
      </c>
      <c r="I581" s="1131">
        <v>123</v>
      </c>
      <c r="J581" s="1132">
        <v>659</v>
      </c>
      <c r="K581" s="1132">
        <v>6.4607843137254903</v>
      </c>
      <c r="L581" s="1525" t="s">
        <v>988</v>
      </c>
      <c r="M581" s="1134">
        <v>1556000</v>
      </c>
      <c r="N581" s="1134">
        <v>12630757.918480003</v>
      </c>
      <c r="O581" s="506">
        <v>8974537.4549788237</v>
      </c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1159">
        <f t="shared" ref="AC581:AH581" si="109">SUM(AC541:AC580)</f>
        <v>0.99999999999999989</v>
      </c>
      <c r="AD581" s="1160">
        <f t="shared" si="109"/>
        <v>1556000</v>
      </c>
      <c r="AE581" s="1161">
        <f t="shared" si="109"/>
        <v>1</v>
      </c>
      <c r="AF581" s="1160">
        <f t="shared" si="109"/>
        <v>12630757.918480003</v>
      </c>
      <c r="AG581" s="1161">
        <f t="shared" si="109"/>
        <v>1.0000000000000002</v>
      </c>
      <c r="AH581" s="1160">
        <f t="shared" si="109"/>
        <v>8974537.4549788237</v>
      </c>
    </row>
    <row r="582" spans="1:34" x14ac:dyDescent="0.2">
      <c r="A582" s="7" t="s">
        <v>1934</v>
      </c>
      <c r="B582" s="8"/>
      <c r="C582" s="8"/>
      <c r="D582" s="8"/>
      <c r="E582" s="4"/>
      <c r="F582" s="5"/>
      <c r="G582" s="9"/>
      <c r="H582" s="8"/>
      <c r="I582" s="224"/>
      <c r="J582" s="224"/>
      <c r="K582" s="240"/>
      <c r="L582" s="241"/>
      <c r="M582" s="240"/>
      <c r="N582" s="240"/>
      <c r="O582" s="240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</row>
    <row r="583" spans="1:34" x14ac:dyDescent="0.2">
      <c r="A583" s="34"/>
      <c r="B583" s="224"/>
      <c r="C583" s="224"/>
      <c r="D583" s="224"/>
      <c r="E583" s="224"/>
      <c r="F583" s="224"/>
      <c r="G583" s="224"/>
      <c r="H583" s="224"/>
      <c r="I583" s="224"/>
      <c r="J583" s="224"/>
      <c r="K583" s="240"/>
      <c r="L583" s="241"/>
      <c r="M583" s="240"/>
      <c r="N583" s="240"/>
      <c r="O583" s="240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</row>
    <row r="584" spans="1:34" x14ac:dyDescent="0.2">
      <c r="A584" s="242"/>
      <c r="B584" s="224"/>
      <c r="C584" s="224"/>
      <c r="D584" s="224"/>
      <c r="E584" s="224"/>
      <c r="F584" s="224"/>
      <c r="G584" s="224"/>
      <c r="H584" s="224"/>
      <c r="I584" s="224"/>
      <c r="J584" s="224"/>
      <c r="K584" s="240"/>
      <c r="L584" s="241"/>
      <c r="M584" s="240"/>
      <c r="N584" s="240"/>
      <c r="O584" s="240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</row>
    <row r="585" spans="1:34" x14ac:dyDescent="0.2">
      <c r="A585" s="242"/>
      <c r="B585" s="224"/>
      <c r="C585" s="224"/>
      <c r="D585" s="224"/>
      <c r="E585" s="224"/>
      <c r="F585" s="224"/>
      <c r="G585" s="224"/>
      <c r="H585" s="224"/>
      <c r="I585" s="224"/>
      <c r="J585" s="224"/>
      <c r="K585" s="240"/>
      <c r="L585" s="241"/>
      <c r="M585" s="240"/>
      <c r="N585" s="240"/>
      <c r="O585" s="240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</row>
    <row r="586" spans="1:34" ht="15" x14ac:dyDescent="0.25">
      <c r="A586" s="2843" t="s">
        <v>1931</v>
      </c>
      <c r="B586" s="2843"/>
      <c r="C586" s="2843"/>
      <c r="D586" s="2843"/>
      <c r="E586" s="2843"/>
      <c r="F586" s="2843"/>
      <c r="G586" s="2843"/>
      <c r="H586" s="2843"/>
      <c r="I586" s="2843"/>
      <c r="J586" s="2843"/>
      <c r="K586" s="2843"/>
      <c r="L586" s="2843"/>
      <c r="M586" s="2843"/>
      <c r="N586" s="2843"/>
      <c r="O586" s="2843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</row>
    <row r="587" spans="1:34" ht="13.5" thickBot="1" x14ac:dyDescent="0.25">
      <c r="A587" s="8" t="s">
        <v>1827</v>
      </c>
      <c r="B587" s="225"/>
      <c r="C587" s="224"/>
      <c r="D587" s="224"/>
      <c r="E587" s="224"/>
      <c r="F587" s="224"/>
      <c r="G587" s="224"/>
      <c r="H587" s="224"/>
      <c r="I587" s="224"/>
      <c r="J587" s="224"/>
      <c r="K587" s="240"/>
      <c r="L587" s="241"/>
      <c r="M587" s="240"/>
      <c r="N587" s="240"/>
      <c r="O587" s="240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</row>
    <row r="588" spans="1:34" ht="15" customHeight="1" x14ac:dyDescent="0.2">
      <c r="A588" s="2844" t="s">
        <v>327</v>
      </c>
      <c r="B588" s="2847" t="s">
        <v>1932</v>
      </c>
      <c r="C588" s="2848"/>
      <c r="D588" s="2848"/>
      <c r="E588" s="2848"/>
      <c r="F588" s="2848"/>
      <c r="G588" s="2848"/>
      <c r="H588" s="2848"/>
      <c r="I588" s="2848"/>
      <c r="J588" s="2848"/>
      <c r="K588" s="2848"/>
      <c r="L588" s="2848"/>
      <c r="M588" s="2848"/>
      <c r="N588" s="2848"/>
      <c r="O588" s="284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228" t="s">
        <v>910</v>
      </c>
      <c r="AD588" s="229"/>
      <c r="AE588" s="229"/>
      <c r="AF588" s="229"/>
      <c r="AG588" s="229"/>
      <c r="AH588" s="243"/>
    </row>
    <row r="589" spans="1:34" ht="15" customHeight="1" x14ac:dyDescent="0.2">
      <c r="A589" s="2845"/>
      <c r="B589" s="2850" t="s">
        <v>191</v>
      </c>
      <c r="C589" s="2850"/>
      <c r="D589" s="2850"/>
      <c r="E589" s="2850"/>
      <c r="F589" s="2850"/>
      <c r="G589" s="2850"/>
      <c r="H589" s="2850"/>
      <c r="I589" s="2850"/>
      <c r="J589" s="2119"/>
      <c r="K589" s="2119" t="s">
        <v>904</v>
      </c>
      <c r="L589" s="2119"/>
      <c r="M589" s="1122" t="s">
        <v>437</v>
      </c>
      <c r="N589" s="1122" t="s">
        <v>911</v>
      </c>
      <c r="O589" s="1127" t="s">
        <v>911</v>
      </c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230" t="s">
        <v>333</v>
      </c>
      <c r="AD589" s="231" t="s">
        <v>333</v>
      </c>
      <c r="AE589" s="231" t="s">
        <v>333</v>
      </c>
      <c r="AF589" s="231" t="s">
        <v>333</v>
      </c>
      <c r="AG589" s="231" t="s">
        <v>333</v>
      </c>
      <c r="AH589" s="231" t="s">
        <v>333</v>
      </c>
    </row>
    <row r="590" spans="1:34" ht="15" customHeight="1" x14ac:dyDescent="0.2">
      <c r="A590" s="2845"/>
      <c r="B590" s="2119" t="s">
        <v>433</v>
      </c>
      <c r="C590" s="2119"/>
      <c r="D590" s="2841" t="s">
        <v>1865</v>
      </c>
      <c r="E590" s="2119"/>
      <c r="F590" s="2119"/>
      <c r="G590" s="2119" t="s">
        <v>912</v>
      </c>
      <c r="H590" s="2119"/>
      <c r="I590" s="2119" t="s">
        <v>433</v>
      </c>
      <c r="J590" s="2138" t="s">
        <v>913</v>
      </c>
      <c r="K590" s="2138" t="s">
        <v>842</v>
      </c>
      <c r="L590" s="2138" t="s">
        <v>329</v>
      </c>
      <c r="M590" s="1123" t="s">
        <v>914</v>
      </c>
      <c r="N590" s="1123" t="s">
        <v>915</v>
      </c>
      <c r="O590" s="1128" t="s">
        <v>914</v>
      </c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230" t="s">
        <v>913</v>
      </c>
      <c r="AD590" s="231" t="s">
        <v>916</v>
      </c>
      <c r="AE590" s="231" t="s">
        <v>917</v>
      </c>
      <c r="AF590" s="231" t="s">
        <v>918</v>
      </c>
      <c r="AG590" s="231" t="s">
        <v>192</v>
      </c>
      <c r="AH590" s="231" t="s">
        <v>918</v>
      </c>
    </row>
    <row r="591" spans="1:34" ht="15" customHeight="1" x14ac:dyDescent="0.2">
      <c r="A591" s="2845"/>
      <c r="B591" s="2138" t="s">
        <v>920</v>
      </c>
      <c r="C591" s="2138" t="s">
        <v>922</v>
      </c>
      <c r="D591" s="2842"/>
      <c r="E591" s="2138" t="s">
        <v>867</v>
      </c>
      <c r="F591" s="2138" t="s">
        <v>921</v>
      </c>
      <c r="G591" s="2138" t="s">
        <v>923</v>
      </c>
      <c r="H591" s="2138" t="s">
        <v>836</v>
      </c>
      <c r="I591" s="2138" t="s">
        <v>835</v>
      </c>
      <c r="J591" s="2138" t="s">
        <v>924</v>
      </c>
      <c r="K591" s="2138" t="s">
        <v>925</v>
      </c>
      <c r="L591" s="2138" t="s">
        <v>336</v>
      </c>
      <c r="M591" s="1123" t="s">
        <v>926</v>
      </c>
      <c r="N591" s="1123" t="s">
        <v>927</v>
      </c>
      <c r="O591" s="1128" t="s">
        <v>928</v>
      </c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230"/>
      <c r="AD591" s="231" t="s">
        <v>843</v>
      </c>
      <c r="AE591" s="231"/>
      <c r="AF591" s="231" t="s">
        <v>929</v>
      </c>
      <c r="AG591" s="231"/>
      <c r="AH591" s="231" t="s">
        <v>930</v>
      </c>
    </row>
    <row r="592" spans="1:34" ht="15" customHeight="1" thickBot="1" x14ac:dyDescent="0.25">
      <c r="A592" s="2846"/>
      <c r="B592" s="1881">
        <v>44926</v>
      </c>
      <c r="C592" s="2139">
        <v>2023</v>
      </c>
      <c r="D592" s="2139">
        <v>2023</v>
      </c>
      <c r="E592" s="2139">
        <v>2023</v>
      </c>
      <c r="F592" s="2139">
        <v>2023</v>
      </c>
      <c r="G592" s="2139" t="s">
        <v>931</v>
      </c>
      <c r="H592" s="1126">
        <v>2023</v>
      </c>
      <c r="I592" s="1881">
        <v>45291</v>
      </c>
      <c r="J592" s="1881" t="s">
        <v>1933</v>
      </c>
      <c r="K592" s="1881" t="s">
        <v>1933</v>
      </c>
      <c r="L592" s="2139" t="s">
        <v>441</v>
      </c>
      <c r="M592" s="1125" t="s">
        <v>932</v>
      </c>
      <c r="N592" s="1125" t="s">
        <v>933</v>
      </c>
      <c r="O592" s="1129" t="s">
        <v>933</v>
      </c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232"/>
      <c r="AD592" s="233" t="s">
        <v>934</v>
      </c>
      <c r="AE592" s="233"/>
      <c r="AF592" s="233" t="s">
        <v>935</v>
      </c>
      <c r="AG592" s="233"/>
      <c r="AH592" s="233" t="s">
        <v>936</v>
      </c>
    </row>
    <row r="593" spans="1:34" ht="15" customHeight="1" x14ac:dyDescent="0.2">
      <c r="A593" s="1135" t="s">
        <v>352</v>
      </c>
      <c r="B593" s="1130">
        <v>1122.55</v>
      </c>
      <c r="C593" s="1130">
        <v>125</v>
      </c>
      <c r="D593" s="1130">
        <v>17</v>
      </c>
      <c r="E593" s="1130">
        <v>21.2</v>
      </c>
      <c r="F593" s="1130">
        <v>13</v>
      </c>
      <c r="G593" s="1130">
        <v>109</v>
      </c>
      <c r="H593" s="1130">
        <v>962.35</v>
      </c>
      <c r="I593" s="1130">
        <v>1213.3499999999999</v>
      </c>
      <c r="J593" s="1136">
        <v>9947.380000000001</v>
      </c>
      <c r="K593" s="1150">
        <v>10.336551150828701</v>
      </c>
      <c r="L593" s="380"/>
      <c r="M593" s="1138"/>
      <c r="N593" s="1138"/>
      <c r="O593" s="113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1155"/>
      <c r="AD593" s="1156"/>
      <c r="AE593" s="1156"/>
      <c r="AF593" s="1156"/>
      <c r="AG593" s="1156"/>
      <c r="AH593" s="1156"/>
    </row>
    <row r="594" spans="1:34" ht="15" customHeight="1" x14ac:dyDescent="0.2">
      <c r="A594" s="962" t="s">
        <v>353</v>
      </c>
      <c r="B594" s="1498">
        <v>167</v>
      </c>
      <c r="C594" s="1146"/>
      <c r="D594" s="1146"/>
      <c r="E594" s="1146"/>
      <c r="F594" s="1146"/>
      <c r="G594" s="1146">
        <v>25</v>
      </c>
      <c r="H594" s="1146">
        <v>142</v>
      </c>
      <c r="I594" s="1146">
        <v>167</v>
      </c>
      <c r="J594" s="1147">
        <v>1136</v>
      </c>
      <c r="K594" s="1147">
        <v>8</v>
      </c>
      <c r="L594" s="1066" t="s">
        <v>988</v>
      </c>
      <c r="M594" s="959">
        <v>1600000</v>
      </c>
      <c r="N594" s="959">
        <v>15012211.34736</v>
      </c>
      <c r="O594" s="1149">
        <v>11231825.9794304</v>
      </c>
      <c r="P594" s="950"/>
      <c r="Q594" s="950"/>
      <c r="R594" s="950"/>
      <c r="S594" s="950"/>
      <c r="T594" s="950"/>
      <c r="U594" s="950"/>
      <c r="V594" s="950"/>
      <c r="W594" s="950"/>
      <c r="X594" s="950"/>
      <c r="Y594" s="950"/>
      <c r="Z594" s="9"/>
      <c r="AA594" s="9"/>
      <c r="AB594" s="9"/>
      <c r="AC594" s="237">
        <f>MAX(J594/J634)</f>
        <v>4.4201646666977942E-2</v>
      </c>
      <c r="AD594" s="235">
        <f t="shared" ref="AD594:AD608" si="110">MAX(M594*AC594)</f>
        <v>70722.634667164704</v>
      </c>
      <c r="AE594" s="238">
        <f>MAX(I594/I634)</f>
        <v>5.5268457430877202E-2</v>
      </c>
      <c r="AF594" s="235">
        <f t="shared" ref="AF594:AF608" si="111">MAX(N594*AE594)</f>
        <v>829701.76379489782</v>
      </c>
      <c r="AG594" s="238">
        <f>MAX(H594/H634)</f>
        <v>6.0174208571434636E-2</v>
      </c>
      <c r="AH594" s="235">
        <f t="shared" ref="AH594:AH608" si="112">MAX(O594*AG594)</f>
        <v>675866.23912430299</v>
      </c>
    </row>
    <row r="595" spans="1:34" ht="15" customHeight="1" x14ac:dyDescent="0.2">
      <c r="A595" s="962" t="s">
        <v>354</v>
      </c>
      <c r="B595" s="1498">
        <v>145</v>
      </c>
      <c r="C595" s="1146"/>
      <c r="D595" s="1146"/>
      <c r="E595" s="1146"/>
      <c r="F595" s="1146"/>
      <c r="G595" s="1146">
        <v>10</v>
      </c>
      <c r="H595" s="1146">
        <v>135</v>
      </c>
      <c r="I595" s="1146">
        <v>145</v>
      </c>
      <c r="J595" s="1147">
        <v>1215</v>
      </c>
      <c r="K595" s="1147">
        <v>9</v>
      </c>
      <c r="L595" s="1066" t="s">
        <v>988</v>
      </c>
      <c r="M595" s="959">
        <v>1600000</v>
      </c>
      <c r="N595" s="959">
        <v>15012211.34736</v>
      </c>
      <c r="O595" s="1149">
        <v>11231825.9794304</v>
      </c>
      <c r="P595" s="950"/>
      <c r="Q595" s="950"/>
      <c r="R595" s="950"/>
      <c r="S595" s="950"/>
      <c r="T595" s="9"/>
      <c r="U595" s="9"/>
      <c r="V595" s="9"/>
      <c r="W595" s="950"/>
      <c r="X595" s="950"/>
      <c r="Y595" s="950"/>
      <c r="Z595" s="9"/>
      <c r="AA595" s="9"/>
      <c r="AB595" s="9"/>
      <c r="AC595" s="237">
        <f>MAX(J595/J634)</f>
        <v>4.7275528785544189E-2</v>
      </c>
      <c r="AD595" s="235">
        <f t="shared" si="110"/>
        <v>75640.846056870709</v>
      </c>
      <c r="AE595" s="238">
        <f>MAX(I595/I634)</f>
        <v>4.7987582799264634E-2</v>
      </c>
      <c r="AF595" s="235">
        <f t="shared" si="111"/>
        <v>720399.73503149813</v>
      </c>
      <c r="AG595" s="238">
        <f>MAX(H595/H634)</f>
        <v>5.7207874346082224E-2</v>
      </c>
      <c r="AH595" s="235">
        <f t="shared" si="112"/>
        <v>642548.88930831617</v>
      </c>
    </row>
    <row r="596" spans="1:34" ht="15" customHeight="1" x14ac:dyDescent="0.2">
      <c r="A596" s="962" t="s">
        <v>355</v>
      </c>
      <c r="B596" s="1498">
        <v>69</v>
      </c>
      <c r="C596" s="1146"/>
      <c r="D596" s="1146"/>
      <c r="E596" s="1146"/>
      <c r="F596" s="1146"/>
      <c r="G596" s="1146">
        <v>13</v>
      </c>
      <c r="H596" s="1146">
        <v>56</v>
      </c>
      <c r="I596" s="1146">
        <v>69</v>
      </c>
      <c r="J596" s="1147">
        <v>280</v>
      </c>
      <c r="K596" s="1147">
        <v>5</v>
      </c>
      <c r="L596" s="1066" t="s">
        <v>988</v>
      </c>
      <c r="M596" s="959">
        <v>1600000</v>
      </c>
      <c r="N596" s="959">
        <v>15012211.34736</v>
      </c>
      <c r="O596" s="1149">
        <v>11231825.9794304</v>
      </c>
      <c r="P596" s="950"/>
      <c r="Q596" s="950"/>
      <c r="R596" s="950"/>
      <c r="S596" s="950"/>
      <c r="W596" s="9"/>
      <c r="X596" s="9"/>
      <c r="Y596" s="9"/>
      <c r="Z596" s="9"/>
      <c r="AA596" s="9"/>
      <c r="AB596" s="9"/>
      <c r="AC596" s="237">
        <f>MAX(J596/J634)</f>
        <v>1.0894772065804423E-2</v>
      </c>
      <c r="AD596" s="235">
        <f t="shared" si="110"/>
        <v>17431.635305287076</v>
      </c>
      <c r="AE596" s="238">
        <f>MAX(I596/I634)</f>
        <v>2.2835470435512137E-2</v>
      </c>
      <c r="AF596" s="235">
        <f t="shared" si="111"/>
        <v>342810.9083942991</v>
      </c>
      <c r="AG596" s="238">
        <f>MAX(H596/H634)</f>
        <v>2.3730673802819294E-2</v>
      </c>
      <c r="AH596" s="235">
        <f t="shared" si="112"/>
        <v>266538.79852789413</v>
      </c>
    </row>
    <row r="597" spans="1:34" ht="15" customHeight="1" x14ac:dyDescent="0.2">
      <c r="A597" s="962" t="s">
        <v>356</v>
      </c>
      <c r="B597" s="1498">
        <v>15</v>
      </c>
      <c r="C597" s="1146">
        <v>10</v>
      </c>
      <c r="D597" s="1146"/>
      <c r="E597" s="1146"/>
      <c r="F597" s="1146"/>
      <c r="G597" s="1146">
        <v>3</v>
      </c>
      <c r="H597" s="1146">
        <v>12</v>
      </c>
      <c r="I597" s="1146">
        <v>25</v>
      </c>
      <c r="J597" s="1147">
        <v>45.72</v>
      </c>
      <c r="K597" s="1147">
        <v>3.81</v>
      </c>
      <c r="L597" s="1066" t="s">
        <v>988</v>
      </c>
      <c r="M597" s="959">
        <v>1600000</v>
      </c>
      <c r="N597" s="959">
        <v>15012211.34736</v>
      </c>
      <c r="O597" s="1149">
        <v>11231825.9794304</v>
      </c>
      <c r="P597" s="950"/>
      <c r="Q597" s="950"/>
      <c r="R597" s="950"/>
      <c r="S597" s="950"/>
      <c r="W597" s="9"/>
      <c r="X597" s="9"/>
      <c r="Y597" s="9"/>
      <c r="Z597" s="9"/>
      <c r="AA597" s="9"/>
      <c r="AB597" s="9"/>
      <c r="AC597" s="237">
        <f>MAX(J597/J634)</f>
        <v>1.7789606387449222E-3</v>
      </c>
      <c r="AD597" s="235">
        <f t="shared" si="110"/>
        <v>2846.3370219918756</v>
      </c>
      <c r="AE597" s="238">
        <f>MAX(I597/I634)</f>
        <v>8.2737211722870053E-3</v>
      </c>
      <c r="AF597" s="235">
        <f t="shared" si="111"/>
        <v>124206.85086749967</v>
      </c>
      <c r="AG597" s="238">
        <f>MAX(H597/H634)</f>
        <v>5.0851443863184197E-3</v>
      </c>
      <c r="AH597" s="235">
        <f t="shared" si="112"/>
        <v>57115.456827405884</v>
      </c>
    </row>
    <row r="598" spans="1:34" ht="15" customHeight="1" x14ac:dyDescent="0.2">
      <c r="A598" s="962" t="s">
        <v>357</v>
      </c>
      <c r="B598" s="1498">
        <v>101</v>
      </c>
      <c r="C598" s="1146">
        <v>0</v>
      </c>
      <c r="D598" s="1146">
        <v>0</v>
      </c>
      <c r="E598" s="1146">
        <v>0</v>
      </c>
      <c r="F598" s="1146">
        <v>0</v>
      </c>
      <c r="G598" s="1146">
        <v>0</v>
      </c>
      <c r="H598" s="1146">
        <v>101</v>
      </c>
      <c r="I598" s="1146">
        <v>101</v>
      </c>
      <c r="J598" s="1147">
        <v>707</v>
      </c>
      <c r="K598" s="1147">
        <v>7</v>
      </c>
      <c r="L598" s="1066" t="s">
        <v>988</v>
      </c>
      <c r="M598" s="959">
        <v>1600000</v>
      </c>
      <c r="N598" s="959">
        <v>15012211.34736</v>
      </c>
      <c r="O598" s="1149">
        <v>11231825.9794304</v>
      </c>
      <c r="P598" s="950"/>
      <c r="Q598" s="950"/>
      <c r="R598" s="950"/>
      <c r="S598" s="950"/>
      <c r="T598" s="9"/>
      <c r="U598" s="9"/>
      <c r="V598" s="9"/>
      <c r="W598" s="9"/>
      <c r="X598" s="9"/>
      <c r="Y598" s="9"/>
      <c r="Z598" s="9"/>
      <c r="AA598" s="9"/>
      <c r="AB598" s="9"/>
      <c r="AC598" s="237">
        <f>MAX(J598/J634)</f>
        <v>2.7509299466156167E-2</v>
      </c>
      <c r="AD598" s="235">
        <f t="shared" si="110"/>
        <v>44014.879145849867</v>
      </c>
      <c r="AE598" s="238">
        <f>MAX(I598/I634)</f>
        <v>3.3425833536039506E-2</v>
      </c>
      <c r="AF598" s="235">
        <f t="shared" si="111"/>
        <v>501795.67750469869</v>
      </c>
      <c r="AG598" s="238">
        <f>MAX(H598/H634)</f>
        <v>4.2799965251513368E-2</v>
      </c>
      <c r="AH598" s="235">
        <f t="shared" si="112"/>
        <v>480721.76163066621</v>
      </c>
    </row>
    <row r="599" spans="1:34" ht="15" customHeight="1" x14ac:dyDescent="0.2">
      <c r="A599" s="962" t="s">
        <v>358</v>
      </c>
      <c r="B599" s="1498">
        <v>35.5</v>
      </c>
      <c r="C599" s="1146">
        <v>0</v>
      </c>
      <c r="D599" s="1146">
        <v>0</v>
      </c>
      <c r="E599" s="1146">
        <v>0</v>
      </c>
      <c r="F599" s="1146">
        <v>0</v>
      </c>
      <c r="G599" s="1146">
        <v>0</v>
      </c>
      <c r="H599" s="1146">
        <v>35.5</v>
      </c>
      <c r="I599" s="1146">
        <v>35.5</v>
      </c>
      <c r="J599" s="1147">
        <v>426</v>
      </c>
      <c r="K599" s="1147">
        <v>12</v>
      </c>
      <c r="L599" s="1066" t="s">
        <v>988</v>
      </c>
      <c r="M599" s="959">
        <v>1600000</v>
      </c>
      <c r="N599" s="959">
        <v>15012211.34736</v>
      </c>
      <c r="O599" s="1149">
        <v>11231825.9794304</v>
      </c>
      <c r="P599" s="950"/>
      <c r="Q599" s="950"/>
      <c r="R599" s="950"/>
      <c r="S599" s="950"/>
      <c r="T599" s="9"/>
      <c r="U599" s="9"/>
      <c r="V599" s="9"/>
      <c r="W599" s="9"/>
      <c r="X599" s="9"/>
      <c r="Y599" s="9"/>
      <c r="Z599" s="9"/>
      <c r="AA599" s="9"/>
      <c r="AB599" s="9"/>
      <c r="AC599" s="237">
        <f>MAX(J599/J634)</f>
        <v>1.657561750011673E-2</v>
      </c>
      <c r="AD599" s="235">
        <f t="shared" si="110"/>
        <v>26520.988000186768</v>
      </c>
      <c r="AE599" s="238">
        <f>MAX(I599/I634)</f>
        <v>1.1748684064647548E-2</v>
      </c>
      <c r="AF599" s="235">
        <f t="shared" si="111"/>
        <v>176373.72823184953</v>
      </c>
      <c r="AG599" s="238">
        <f>MAX(H599/H634)</f>
        <v>1.5043552142858659E-2</v>
      </c>
      <c r="AH599" s="235">
        <f t="shared" si="112"/>
        <v>168966.55978107575</v>
      </c>
    </row>
    <row r="600" spans="1:34" ht="15" customHeight="1" x14ac:dyDescent="0.2">
      <c r="A600" s="962" t="s">
        <v>937</v>
      </c>
      <c r="B600" s="1498">
        <v>15.5</v>
      </c>
      <c r="C600" s="1146">
        <v>46</v>
      </c>
      <c r="D600" s="1146">
        <v>0</v>
      </c>
      <c r="E600" s="1146">
        <v>0</v>
      </c>
      <c r="F600" s="1146">
        <v>0</v>
      </c>
      <c r="G600" s="1146">
        <v>0</v>
      </c>
      <c r="H600" s="1146">
        <v>15.5</v>
      </c>
      <c r="I600" s="1146">
        <v>61.5</v>
      </c>
      <c r="J600" s="1147">
        <v>124</v>
      </c>
      <c r="K600" s="1147">
        <v>8</v>
      </c>
      <c r="L600" s="1066" t="s">
        <v>988</v>
      </c>
      <c r="M600" s="959">
        <v>1600000</v>
      </c>
      <c r="N600" s="959">
        <v>15012211.34736</v>
      </c>
      <c r="O600" s="1149">
        <v>11231825.9794304</v>
      </c>
      <c r="P600" s="950"/>
      <c r="Q600" s="950"/>
      <c r="R600" s="950"/>
      <c r="S600" s="950"/>
      <c r="T600" s="9"/>
      <c r="U600" s="9"/>
      <c r="V600" s="9"/>
      <c r="W600" s="9"/>
      <c r="X600" s="9"/>
      <c r="Y600" s="9"/>
      <c r="Z600" s="9"/>
      <c r="AA600" s="9"/>
      <c r="AB600" s="9"/>
      <c r="AC600" s="237">
        <f>MAX(J600/J634)</f>
        <v>4.8248276291419584E-3</v>
      </c>
      <c r="AD600" s="235">
        <f t="shared" si="110"/>
        <v>7719.7242066271338</v>
      </c>
      <c r="AE600" s="238">
        <f>MAX(I600/I634)</f>
        <v>2.0353354083826034E-2</v>
      </c>
      <c r="AF600" s="235">
        <f t="shared" si="111"/>
        <v>305548.85313404916</v>
      </c>
      <c r="AG600" s="238">
        <f>MAX(H600/H634)</f>
        <v>6.5683114989946254E-3</v>
      </c>
      <c r="AH600" s="235">
        <f t="shared" si="112"/>
        <v>73774.131735399264</v>
      </c>
    </row>
    <row r="601" spans="1:34" ht="15" customHeight="1" x14ac:dyDescent="0.2">
      <c r="A601" s="962" t="s">
        <v>360</v>
      </c>
      <c r="B601" s="1498">
        <v>0</v>
      </c>
      <c r="C601" s="1146">
        <v>0</v>
      </c>
      <c r="D601" s="1146">
        <v>0</v>
      </c>
      <c r="E601" s="1146">
        <v>0</v>
      </c>
      <c r="F601" s="1146">
        <v>0</v>
      </c>
      <c r="G601" s="1146">
        <v>0</v>
      </c>
      <c r="H601" s="1146">
        <v>0</v>
      </c>
      <c r="I601" s="1146">
        <v>0</v>
      </c>
      <c r="J601" s="1147">
        <v>0</v>
      </c>
      <c r="K601" s="1147">
        <v>0</v>
      </c>
      <c r="L601" s="1148"/>
      <c r="M601" s="959"/>
      <c r="N601" s="959"/>
      <c r="O601" s="1149"/>
      <c r="P601" s="950"/>
      <c r="Q601" s="950"/>
      <c r="R601" s="950"/>
      <c r="S601" s="950"/>
      <c r="T601" s="9"/>
      <c r="U601" s="9"/>
      <c r="V601" s="9"/>
      <c r="W601" s="9"/>
      <c r="X601" s="9"/>
      <c r="Y601" s="9"/>
      <c r="Z601" s="9"/>
      <c r="AA601" s="9"/>
      <c r="AB601" s="9"/>
      <c r="AC601" s="237">
        <f>MAX(J601/J634)</f>
        <v>0</v>
      </c>
      <c r="AD601" s="235">
        <f t="shared" si="110"/>
        <v>0</v>
      </c>
      <c r="AE601" s="238">
        <f>MAX(I601/I634)</f>
        <v>0</v>
      </c>
      <c r="AF601" s="235">
        <f t="shared" si="111"/>
        <v>0</v>
      </c>
      <c r="AG601" s="238">
        <f>MAX(H601/H634)</f>
        <v>0</v>
      </c>
      <c r="AH601" s="235">
        <f t="shared" si="112"/>
        <v>0</v>
      </c>
    </row>
    <row r="602" spans="1:34" ht="15" customHeight="1" x14ac:dyDescent="0.2">
      <c r="A602" s="962" t="s">
        <v>938</v>
      </c>
      <c r="B602" s="1498">
        <v>32.630000000000003</v>
      </c>
      <c r="C602" s="1146">
        <v>5</v>
      </c>
      <c r="D602" s="1146">
        <v>0</v>
      </c>
      <c r="E602" s="1146">
        <v>0.2</v>
      </c>
      <c r="F602" s="1146">
        <v>2</v>
      </c>
      <c r="G602" s="1146">
        <v>10</v>
      </c>
      <c r="H602" s="1146">
        <v>20.43</v>
      </c>
      <c r="I602" s="1146">
        <v>35.43</v>
      </c>
      <c r="J602" s="1147">
        <v>204.3</v>
      </c>
      <c r="K602" s="1147">
        <v>10</v>
      </c>
      <c r="L602" s="1066" t="s">
        <v>988</v>
      </c>
      <c r="M602" s="959">
        <v>1600000</v>
      </c>
      <c r="N602" s="959">
        <v>15012211.34736</v>
      </c>
      <c r="O602" s="1149">
        <v>11231825.9794304</v>
      </c>
      <c r="P602" s="950"/>
      <c r="Q602" s="950"/>
      <c r="R602" s="950"/>
      <c r="S602" s="950"/>
      <c r="T602" s="9"/>
      <c r="U602" s="9"/>
      <c r="V602" s="9"/>
      <c r="W602" s="9"/>
      <c r="X602" s="9"/>
      <c r="Y602" s="9"/>
      <c r="Z602" s="9"/>
      <c r="AA602" s="9"/>
      <c r="AB602" s="9"/>
      <c r="AC602" s="237">
        <f>MAX(J602/J634)</f>
        <v>7.9492926180137272E-3</v>
      </c>
      <c r="AD602" s="235">
        <f t="shared" si="110"/>
        <v>12718.868188821963</v>
      </c>
      <c r="AE602" s="238">
        <f>MAX(I602/I634)</f>
        <v>1.1725517645365145E-2</v>
      </c>
      <c r="AF602" s="235">
        <f t="shared" si="111"/>
        <v>176025.94904942054</v>
      </c>
      <c r="AG602" s="238">
        <f>MAX(H602/H634)</f>
        <v>8.6574583177071104E-3</v>
      </c>
      <c r="AH602" s="235">
        <f t="shared" si="112"/>
        <v>97239.065248658531</v>
      </c>
    </row>
    <row r="603" spans="1:34" ht="15" customHeight="1" x14ac:dyDescent="0.2">
      <c r="A603" s="962" t="s">
        <v>362</v>
      </c>
      <c r="B603" s="1498">
        <v>77</v>
      </c>
      <c r="C603" s="1146">
        <v>2</v>
      </c>
      <c r="D603" s="1146">
        <v>0</v>
      </c>
      <c r="E603" s="1146">
        <v>0</v>
      </c>
      <c r="F603" s="1146">
        <v>0</v>
      </c>
      <c r="G603" s="1146">
        <v>6</v>
      </c>
      <c r="H603" s="1146">
        <v>71</v>
      </c>
      <c r="I603" s="1146">
        <v>79</v>
      </c>
      <c r="J603" s="1147">
        <v>852</v>
      </c>
      <c r="K603" s="1147">
        <v>12</v>
      </c>
      <c r="L603" s="1066" t="s">
        <v>988</v>
      </c>
      <c r="M603" s="959">
        <v>1600000</v>
      </c>
      <c r="N603" s="959">
        <v>15012211.34736</v>
      </c>
      <c r="O603" s="1149">
        <v>11231825.9794304</v>
      </c>
      <c r="P603" s="950"/>
      <c r="Q603" s="950"/>
      <c r="R603" s="950"/>
      <c r="S603" s="950"/>
      <c r="T603" s="9"/>
      <c r="U603" s="9"/>
      <c r="V603" s="9"/>
      <c r="W603" s="9"/>
      <c r="X603" s="9"/>
      <c r="Y603" s="9"/>
      <c r="Z603" s="9"/>
      <c r="AA603" s="9"/>
      <c r="AB603" s="9"/>
      <c r="AC603" s="237">
        <f>MAX(J603/J634)</f>
        <v>3.315123500023346E-2</v>
      </c>
      <c r="AD603" s="235">
        <f t="shared" si="110"/>
        <v>53041.976000373535</v>
      </c>
      <c r="AE603" s="238">
        <f>MAX(I603/I634)</f>
        <v>2.6144958904426939E-2</v>
      </c>
      <c r="AF603" s="235">
        <f t="shared" si="111"/>
        <v>392493.648741299</v>
      </c>
      <c r="AG603" s="238">
        <f>MAX(H603/H634)</f>
        <v>3.0087104285717318E-2</v>
      </c>
      <c r="AH603" s="235">
        <f t="shared" si="112"/>
        <v>337933.11956215149</v>
      </c>
    </row>
    <row r="604" spans="1:34" ht="15" customHeight="1" x14ac:dyDescent="0.2">
      <c r="A604" s="962" t="s">
        <v>363</v>
      </c>
      <c r="B604" s="1498">
        <v>19</v>
      </c>
      <c r="C604" s="1146">
        <v>0</v>
      </c>
      <c r="D604" s="1146">
        <v>0</v>
      </c>
      <c r="E604" s="1146">
        <v>0</v>
      </c>
      <c r="F604" s="1146">
        <v>0</v>
      </c>
      <c r="G604" s="1146">
        <v>0</v>
      </c>
      <c r="H604" s="1146">
        <v>19</v>
      </c>
      <c r="I604" s="1146">
        <v>19</v>
      </c>
      <c r="J604" s="1147">
        <v>190</v>
      </c>
      <c r="K604" s="1147">
        <v>10</v>
      </c>
      <c r="L604" s="1066" t="s">
        <v>988</v>
      </c>
      <c r="M604" s="959">
        <v>1600000</v>
      </c>
      <c r="N604" s="959">
        <v>15012211.34736</v>
      </c>
      <c r="O604" s="1149">
        <v>11231825.9794304</v>
      </c>
      <c r="P604" s="950"/>
      <c r="Q604" s="950"/>
      <c r="R604" s="950"/>
      <c r="S604" s="950"/>
      <c r="T604" s="9"/>
      <c r="U604" s="9"/>
      <c r="V604" s="9"/>
      <c r="W604" s="9"/>
      <c r="X604" s="9"/>
      <c r="Y604" s="9"/>
      <c r="Z604" s="9"/>
      <c r="AA604" s="9"/>
      <c r="AB604" s="9"/>
      <c r="AC604" s="237">
        <f>MAX(J604/J634)</f>
        <v>7.3928810446530014E-3</v>
      </c>
      <c r="AD604" s="235">
        <f t="shared" si="110"/>
        <v>11828.609671444801</v>
      </c>
      <c r="AE604" s="238">
        <f>MAX(I604/I634)</f>
        <v>6.2880280909381244E-3</v>
      </c>
      <c r="AF604" s="235">
        <f t="shared" si="111"/>
        <v>94397.206659299743</v>
      </c>
      <c r="AG604" s="238">
        <f>MAX(H604/H634)</f>
        <v>8.0514786116708311E-3</v>
      </c>
      <c r="AH604" s="235">
        <f t="shared" si="112"/>
        <v>90432.806643392643</v>
      </c>
    </row>
    <row r="605" spans="1:34" ht="15" customHeight="1" x14ac:dyDescent="0.2">
      <c r="A605" s="962" t="s">
        <v>939</v>
      </c>
      <c r="B605" s="1498">
        <v>125</v>
      </c>
      <c r="C605" s="1146">
        <v>1</v>
      </c>
      <c r="D605" s="1146">
        <v>0</v>
      </c>
      <c r="E605" s="1146">
        <v>1</v>
      </c>
      <c r="F605" s="1146">
        <v>1</v>
      </c>
      <c r="G605" s="1146">
        <v>15</v>
      </c>
      <c r="H605" s="1146">
        <v>108</v>
      </c>
      <c r="I605" s="1146">
        <v>124</v>
      </c>
      <c r="J605" s="1147">
        <v>1296</v>
      </c>
      <c r="K605" s="1147">
        <v>12</v>
      </c>
      <c r="L605" s="1066" t="s">
        <v>988</v>
      </c>
      <c r="M605" s="959">
        <v>1600000</v>
      </c>
      <c r="N605" s="959">
        <v>15012211.34736</v>
      </c>
      <c r="O605" s="1149">
        <v>11231825.9794304</v>
      </c>
      <c r="P605" s="950"/>
      <c r="Q605" s="950"/>
      <c r="R605" s="950"/>
      <c r="S605" s="950"/>
      <c r="T605" s="9"/>
      <c r="U605" s="9"/>
      <c r="V605" s="9"/>
      <c r="W605" s="9"/>
      <c r="X605" s="9"/>
      <c r="Y605" s="9"/>
      <c r="Z605" s="9"/>
      <c r="AA605" s="9"/>
      <c r="AB605" s="9"/>
      <c r="AC605" s="237">
        <f>MAX(J605/J634)</f>
        <v>5.0427230704580474E-2</v>
      </c>
      <c r="AD605" s="235">
        <f t="shared" si="110"/>
        <v>80683.569127328752</v>
      </c>
      <c r="AE605" s="238">
        <f>MAX(I605/I634)</f>
        <v>4.1037657014543552E-2</v>
      </c>
      <c r="AF605" s="235">
        <f t="shared" si="111"/>
        <v>616065.98030279845</v>
      </c>
      <c r="AG605" s="238">
        <f>MAX(H605/H634)</f>
        <v>4.5766299476865779E-2</v>
      </c>
      <c r="AH605" s="235">
        <f t="shared" si="112"/>
        <v>514039.11144665297</v>
      </c>
    </row>
    <row r="606" spans="1:34" ht="15" customHeight="1" x14ac:dyDescent="0.2">
      <c r="A606" s="962" t="s">
        <v>365</v>
      </c>
      <c r="B606" s="1498">
        <v>6.7</v>
      </c>
      <c r="C606" s="1146">
        <v>4</v>
      </c>
      <c r="D606" s="1146">
        <v>2</v>
      </c>
      <c r="E606" s="1146">
        <v>0</v>
      </c>
      <c r="F606" s="1146">
        <v>0</v>
      </c>
      <c r="G606" s="1146">
        <v>2</v>
      </c>
      <c r="H606" s="1146">
        <v>2.6999999999999993</v>
      </c>
      <c r="I606" s="1146">
        <v>10.7</v>
      </c>
      <c r="J606" s="1147">
        <v>21.059999999999995</v>
      </c>
      <c r="K606" s="1147">
        <v>7.8</v>
      </c>
      <c r="L606" s="1066" t="s">
        <v>988</v>
      </c>
      <c r="M606" s="959">
        <v>1600000</v>
      </c>
      <c r="N606" s="959">
        <v>15012211.34736</v>
      </c>
      <c r="O606" s="1149">
        <v>11231825.9794304</v>
      </c>
      <c r="P606" s="9"/>
      <c r="Q606" s="2005"/>
      <c r="R606" s="9"/>
      <c r="S606" s="950"/>
      <c r="T606" s="9"/>
      <c r="U606" s="9"/>
      <c r="V606" s="9"/>
      <c r="W606" s="9"/>
      <c r="X606" s="9"/>
      <c r="Y606" s="9"/>
      <c r="Z606" s="9"/>
      <c r="AA606" s="9"/>
      <c r="AB606" s="9"/>
      <c r="AC606" s="237">
        <f>MAX(J606/J634)</f>
        <v>8.1944249894943242E-4</v>
      </c>
      <c r="AD606" s="235">
        <f t="shared" si="110"/>
        <v>1311.1079983190918</v>
      </c>
      <c r="AE606" s="238">
        <f>MAX(I606/I634)</f>
        <v>3.5411526617388383E-3</v>
      </c>
      <c r="AF606" s="235">
        <f t="shared" si="111"/>
        <v>53160.532171289859</v>
      </c>
      <c r="AG606" s="238">
        <f>MAX(H606/H634)</f>
        <v>1.1441574869216441E-3</v>
      </c>
      <c r="AH606" s="235">
        <f t="shared" si="112"/>
        <v>12850.977786166321</v>
      </c>
    </row>
    <row r="607" spans="1:34" ht="15" customHeight="1" x14ac:dyDescent="0.2">
      <c r="A607" s="962" t="s">
        <v>366</v>
      </c>
      <c r="B607" s="1498">
        <v>243.22</v>
      </c>
      <c r="C607" s="1146">
        <v>57</v>
      </c>
      <c r="D607" s="1146">
        <v>15</v>
      </c>
      <c r="E607" s="1146">
        <v>20</v>
      </c>
      <c r="F607" s="1146">
        <v>10</v>
      </c>
      <c r="G607" s="1146">
        <v>25</v>
      </c>
      <c r="H607" s="1146">
        <v>173.22000000000003</v>
      </c>
      <c r="I607" s="1146">
        <v>270.22000000000003</v>
      </c>
      <c r="J607" s="1147">
        <v>2598.3000000000002</v>
      </c>
      <c r="K607" s="1147">
        <v>15</v>
      </c>
      <c r="L607" s="1066" t="s">
        <v>988</v>
      </c>
      <c r="M607" s="959">
        <v>1600000</v>
      </c>
      <c r="N607" s="959">
        <v>15012211.34736</v>
      </c>
      <c r="O607" s="1149">
        <v>11231825.9794304</v>
      </c>
      <c r="P607" s="950"/>
      <c r="Q607" s="950"/>
      <c r="R607" s="950"/>
      <c r="S607" s="950"/>
      <c r="T607" s="9"/>
      <c r="U607" s="9"/>
      <c r="V607" s="9"/>
      <c r="W607" s="9"/>
      <c r="X607" s="9"/>
      <c r="Y607" s="9"/>
      <c r="Z607" s="9"/>
      <c r="AA607" s="9"/>
      <c r="AB607" s="9"/>
      <c r="AC607" s="237">
        <f>MAX(J607/J634)</f>
        <v>0.10109959378064155</v>
      </c>
      <c r="AD607" s="235">
        <f t="shared" si="110"/>
        <v>161759.35004902649</v>
      </c>
      <c r="AE607" s="238">
        <f>MAX(I607/I634)</f>
        <v>8.9428997407015806E-2</v>
      </c>
      <c r="AF607" s="235">
        <f t="shared" si="111"/>
        <v>1342527.0096566307</v>
      </c>
      <c r="AG607" s="238">
        <f>MAX(H607/H634)</f>
        <v>7.3404059216506404E-2</v>
      </c>
      <c r="AH607" s="235">
        <f t="shared" si="112"/>
        <v>824461.61930360412</v>
      </c>
    </row>
    <row r="608" spans="1:34" ht="15" customHeight="1" x14ac:dyDescent="0.2">
      <c r="A608" s="962" t="s">
        <v>367</v>
      </c>
      <c r="B608" s="1498">
        <v>71</v>
      </c>
      <c r="C608" s="1146"/>
      <c r="D608" s="1146"/>
      <c r="E608" s="1146"/>
      <c r="F608" s="1146"/>
      <c r="G608" s="1146"/>
      <c r="H608" s="1146">
        <v>71</v>
      </c>
      <c r="I608" s="1146">
        <v>71</v>
      </c>
      <c r="J608" s="1147">
        <v>852</v>
      </c>
      <c r="K608" s="1147">
        <v>12</v>
      </c>
      <c r="L608" s="1066" t="s">
        <v>988</v>
      </c>
      <c r="M608" s="959">
        <v>1600000</v>
      </c>
      <c r="N608" s="959">
        <v>15012211.34736</v>
      </c>
      <c r="O608" s="1149">
        <v>11231825.9794304</v>
      </c>
      <c r="P608" s="950"/>
      <c r="Q608" s="950"/>
      <c r="R608" s="950"/>
      <c r="S608" s="950"/>
      <c r="T608" s="9"/>
      <c r="U608" s="9"/>
      <c r="V608" s="9"/>
      <c r="W608" s="9"/>
      <c r="X608" s="9"/>
      <c r="Y608" s="9"/>
      <c r="Z608" s="9"/>
      <c r="AA608" s="9"/>
      <c r="AB608" s="1966"/>
      <c r="AC608" s="237">
        <f>MAX(J608/J634)</f>
        <v>3.315123500023346E-2</v>
      </c>
      <c r="AD608" s="235">
        <f t="shared" si="110"/>
        <v>53041.976000373535</v>
      </c>
      <c r="AE608" s="238">
        <f>MAX(I608/I634)</f>
        <v>2.3497368129295097E-2</v>
      </c>
      <c r="AF608" s="235">
        <f t="shared" si="111"/>
        <v>352747.45646369905</v>
      </c>
      <c r="AG608" s="238">
        <f>MAX(H608/H634)</f>
        <v>3.0087104285717318E-2</v>
      </c>
      <c r="AH608" s="235">
        <f t="shared" si="112"/>
        <v>337933.11956215149</v>
      </c>
    </row>
    <row r="609" spans="1:34" ht="15" customHeight="1" x14ac:dyDescent="0.2">
      <c r="A609" s="434" t="s">
        <v>940</v>
      </c>
      <c r="B609" s="1002">
        <v>232.75</v>
      </c>
      <c r="C609" s="1002">
        <v>21</v>
      </c>
      <c r="D609" s="1002">
        <v>0</v>
      </c>
      <c r="E609" s="1002">
        <v>2</v>
      </c>
      <c r="F609" s="1002">
        <v>2</v>
      </c>
      <c r="G609" s="1002">
        <v>41</v>
      </c>
      <c r="H609" s="1002">
        <v>187.75</v>
      </c>
      <c r="I609" s="1002">
        <v>249.75</v>
      </c>
      <c r="J609" s="1150">
        <v>2103.4499999999998</v>
      </c>
      <c r="K609" s="1150">
        <v>11.2034620505992</v>
      </c>
      <c r="L609" s="1152"/>
      <c r="M609" s="996"/>
      <c r="N609" s="435"/>
      <c r="O609" s="436"/>
      <c r="P609" s="950"/>
      <c r="Q609" s="950"/>
      <c r="R609" s="950"/>
      <c r="S609" s="950"/>
      <c r="T609" s="9"/>
      <c r="U609" s="9"/>
      <c r="V609" s="9"/>
      <c r="W609" s="9"/>
      <c r="X609" s="9"/>
      <c r="Y609" s="9"/>
      <c r="Z609" s="9"/>
      <c r="AA609" s="9"/>
      <c r="AB609" s="1966"/>
      <c r="AC609" s="1157"/>
      <c r="AD609" s="1156"/>
      <c r="AE609" s="1158"/>
      <c r="AF609" s="1156"/>
      <c r="AG609" s="1158"/>
      <c r="AH609" s="1156"/>
    </row>
    <row r="610" spans="1:34" ht="15" customHeight="1" x14ac:dyDescent="0.2">
      <c r="A610" s="962" t="s">
        <v>369</v>
      </c>
      <c r="B610" s="1498">
        <v>104.25</v>
      </c>
      <c r="C610" s="1146">
        <v>15</v>
      </c>
      <c r="D610" s="1146">
        <v>0</v>
      </c>
      <c r="E610" s="1146">
        <v>2</v>
      </c>
      <c r="F610" s="1146">
        <v>2</v>
      </c>
      <c r="G610" s="1146">
        <v>25</v>
      </c>
      <c r="H610" s="1146">
        <v>75.25</v>
      </c>
      <c r="I610" s="1146">
        <v>115.25</v>
      </c>
      <c r="J610" s="1147">
        <v>1128.75</v>
      </c>
      <c r="K610" s="1147">
        <v>15</v>
      </c>
      <c r="L610" s="1066" t="s">
        <v>988</v>
      </c>
      <c r="M610" s="959">
        <v>1600000</v>
      </c>
      <c r="N610" s="959">
        <v>15012211.34736</v>
      </c>
      <c r="O610" s="1149">
        <v>11231825.9794304</v>
      </c>
      <c r="P610" s="950"/>
      <c r="Q610" s="950"/>
      <c r="R610" s="950"/>
      <c r="S610" s="950"/>
      <c r="T610" s="950"/>
      <c r="U610" s="950"/>
      <c r="V610" s="950"/>
      <c r="W610" s="9"/>
      <c r="X610" s="9"/>
      <c r="Y610" s="9"/>
      <c r="Z610" s="9"/>
      <c r="AA610" s="9"/>
      <c r="AB610" s="1966"/>
      <c r="AC610" s="237">
        <f>MAX(J610/J634)</f>
        <v>4.3919549890274079E-2</v>
      </c>
      <c r="AD610" s="235">
        <f>MAX(M610*AC610)</f>
        <v>70271.279824438519</v>
      </c>
      <c r="AE610" s="238">
        <f>MAX(I610/I634)</f>
        <v>3.8141854604243096E-2</v>
      </c>
      <c r="AF610" s="235">
        <f>MAX(N610*AE610)</f>
        <v>572593.58249917347</v>
      </c>
      <c r="AG610" s="238">
        <f>MAX(H610/H634)</f>
        <v>3.1888092922538427E-2</v>
      </c>
      <c r="AH610" s="235">
        <f>MAX(O610*AG610)</f>
        <v>358161.51052185777</v>
      </c>
    </row>
    <row r="611" spans="1:34" ht="15" customHeight="1" x14ac:dyDescent="0.2">
      <c r="A611" s="962" t="s">
        <v>370</v>
      </c>
      <c r="B611" s="1498">
        <v>24</v>
      </c>
      <c r="C611" s="1146">
        <v>0</v>
      </c>
      <c r="D611" s="1146">
        <v>0</v>
      </c>
      <c r="E611" s="1146">
        <v>0</v>
      </c>
      <c r="F611" s="1146">
        <v>0</v>
      </c>
      <c r="G611" s="1146">
        <v>5</v>
      </c>
      <c r="H611" s="1146">
        <v>19</v>
      </c>
      <c r="I611" s="1146">
        <v>24</v>
      </c>
      <c r="J611" s="1147">
        <v>114</v>
      </c>
      <c r="K611" s="1147">
        <v>6</v>
      </c>
      <c r="L611" s="1066" t="s">
        <v>988</v>
      </c>
      <c r="M611" s="959">
        <v>1600000</v>
      </c>
      <c r="N611" s="959">
        <v>15012211.34736</v>
      </c>
      <c r="O611" s="1149">
        <v>11231825.9794304</v>
      </c>
      <c r="P611" s="950"/>
      <c r="Q611" s="950"/>
      <c r="R611" s="950"/>
      <c r="S611" s="950"/>
      <c r="T611" s="9"/>
      <c r="U611" s="9"/>
      <c r="V611" s="9"/>
      <c r="W611" s="9"/>
      <c r="X611" s="9"/>
      <c r="Y611" s="9"/>
      <c r="Z611" s="9"/>
      <c r="AA611" s="9"/>
      <c r="AB611" s="1966"/>
      <c r="AC611" s="237">
        <f>MAX(J611/J634)</f>
        <v>4.4357286267918006E-3</v>
      </c>
      <c r="AD611" s="235">
        <f>MAX(M611*AC611)</f>
        <v>7097.1658028668808</v>
      </c>
      <c r="AE611" s="238">
        <f>MAX(I611/I634)</f>
        <v>7.9427723253955255E-3</v>
      </c>
      <c r="AF611" s="235">
        <f>MAX(N611*AE611)</f>
        <v>119238.57683279968</v>
      </c>
      <c r="AG611" s="238">
        <f>MAX(H611/H634)</f>
        <v>8.0514786116708311E-3</v>
      </c>
      <c r="AH611" s="235">
        <f>MAX(O611*AG611)</f>
        <v>90432.806643392643</v>
      </c>
    </row>
    <row r="612" spans="1:34" ht="15" customHeight="1" x14ac:dyDescent="0.2">
      <c r="A612" s="962" t="s">
        <v>371</v>
      </c>
      <c r="B612" s="1498">
        <v>7</v>
      </c>
      <c r="C612" s="1146">
        <v>0</v>
      </c>
      <c r="D612" s="1146">
        <v>0</v>
      </c>
      <c r="E612" s="1146">
        <v>0</v>
      </c>
      <c r="F612" s="1146">
        <v>0</v>
      </c>
      <c r="G612" s="1146">
        <v>0</v>
      </c>
      <c r="H612" s="1146">
        <v>7</v>
      </c>
      <c r="I612" s="1146">
        <v>7</v>
      </c>
      <c r="J612" s="1147">
        <v>42</v>
      </c>
      <c r="K612" s="1147">
        <v>6</v>
      </c>
      <c r="L612" s="1066" t="s">
        <v>988</v>
      </c>
      <c r="M612" s="959">
        <v>1600000</v>
      </c>
      <c r="N612" s="959">
        <v>15012211.34736</v>
      </c>
      <c r="O612" s="1149">
        <v>11231825.9794304</v>
      </c>
      <c r="P612" s="950"/>
      <c r="Q612" s="950"/>
      <c r="R612" s="950"/>
      <c r="S612" s="950"/>
      <c r="T612" s="9"/>
      <c r="U612" s="9"/>
      <c r="V612" s="9"/>
      <c r="W612" s="9"/>
      <c r="X612" s="9"/>
      <c r="Y612" s="9"/>
      <c r="Z612" s="9"/>
      <c r="AA612" s="9"/>
      <c r="AB612" s="1966"/>
      <c r="AC612" s="237">
        <f>MAX(J612/J634)</f>
        <v>1.6342158098706634E-3</v>
      </c>
      <c r="AD612" s="235">
        <f>MAX(M612*AC612)</f>
        <v>2614.7452957930614</v>
      </c>
      <c r="AE612" s="238">
        <f>MAX(I612/I634)</f>
        <v>2.3166419282403617E-3</v>
      </c>
      <c r="AF612" s="235">
        <f>MAX(N612*AE612)</f>
        <v>34777.918242899905</v>
      </c>
      <c r="AG612" s="238">
        <f>MAX(H612/H634)</f>
        <v>2.9663342253524118E-3</v>
      </c>
      <c r="AH612" s="235">
        <f>MAX(O612*AG612)</f>
        <v>33317.349815986767</v>
      </c>
    </row>
    <row r="613" spans="1:34" ht="15" customHeight="1" x14ac:dyDescent="0.2">
      <c r="A613" s="962" t="s">
        <v>372</v>
      </c>
      <c r="B613" s="1498">
        <v>91</v>
      </c>
      <c r="C613" s="1146">
        <v>4</v>
      </c>
      <c r="D613" s="1146">
        <v>0</v>
      </c>
      <c r="E613" s="1146">
        <v>0</v>
      </c>
      <c r="F613" s="1146">
        <v>0</v>
      </c>
      <c r="G613" s="1146">
        <v>10</v>
      </c>
      <c r="H613" s="1146">
        <v>81</v>
      </c>
      <c r="I613" s="1146">
        <v>95</v>
      </c>
      <c r="J613" s="1147">
        <v>785.69999999999993</v>
      </c>
      <c r="K613" s="1147">
        <v>9.6999999999999993</v>
      </c>
      <c r="L613" s="1066" t="s">
        <v>988</v>
      </c>
      <c r="M613" s="959">
        <v>1600000</v>
      </c>
      <c r="N613" s="959">
        <v>15012211.34736</v>
      </c>
      <c r="O613" s="1149">
        <v>11231825.9794304</v>
      </c>
      <c r="P613" s="950"/>
      <c r="Q613" s="950"/>
      <c r="R613" s="950"/>
      <c r="S613" s="950"/>
      <c r="T613" s="9"/>
      <c r="U613" s="9"/>
      <c r="V613" s="9"/>
      <c r="W613" s="9"/>
      <c r="X613" s="9"/>
      <c r="Y613" s="9"/>
      <c r="Z613" s="9"/>
      <c r="AA613" s="9"/>
      <c r="AB613" s="1966"/>
      <c r="AC613" s="237">
        <f>MAX(J613/J634)</f>
        <v>3.0571508614651906E-2</v>
      </c>
      <c r="AD613" s="235">
        <f>MAX(M613*AC613)</f>
        <v>48914.413783443051</v>
      </c>
      <c r="AE613" s="238">
        <f>MAX(I613/I634)</f>
        <v>3.1440140454690624E-2</v>
      </c>
      <c r="AF613" s="235">
        <f>MAX(N613*AE613)</f>
        <v>471986.03329649876</v>
      </c>
      <c r="AG613" s="238">
        <f>MAX(H613/H634)</f>
        <v>3.4324724607649335E-2</v>
      </c>
      <c r="AH613" s="235">
        <f>MAX(O613*AG613)</f>
        <v>385529.33358498971</v>
      </c>
    </row>
    <row r="614" spans="1:34" ht="15" customHeight="1" x14ac:dyDescent="0.2">
      <c r="A614" s="962" t="s">
        <v>373</v>
      </c>
      <c r="B614" s="1498">
        <v>6.5</v>
      </c>
      <c r="C614" s="1146">
        <v>2</v>
      </c>
      <c r="D614" s="1146">
        <v>0</v>
      </c>
      <c r="E614" s="1146">
        <v>0</v>
      </c>
      <c r="F614" s="1146">
        <v>0</v>
      </c>
      <c r="G614" s="1146">
        <v>1</v>
      </c>
      <c r="H614" s="1146">
        <v>5.5</v>
      </c>
      <c r="I614" s="1146">
        <v>8.5</v>
      </c>
      <c r="J614" s="1147">
        <v>33</v>
      </c>
      <c r="K614" s="1147">
        <v>6</v>
      </c>
      <c r="L614" s="1066" t="s">
        <v>988</v>
      </c>
      <c r="M614" s="959">
        <v>1600000</v>
      </c>
      <c r="N614" s="959">
        <v>15012211.34736</v>
      </c>
      <c r="O614" s="1149">
        <v>11231825.9794304</v>
      </c>
      <c r="P614" s="950"/>
      <c r="Q614" s="950"/>
      <c r="R614" s="950"/>
      <c r="S614" s="950"/>
      <c r="T614" s="9"/>
      <c r="U614" s="9"/>
      <c r="V614" s="9"/>
      <c r="W614" s="9"/>
      <c r="X614" s="9"/>
      <c r="Y614" s="9"/>
      <c r="Z614" s="9"/>
      <c r="AA614" s="9"/>
      <c r="AB614" s="1966"/>
      <c r="AC614" s="237">
        <f>MAX(J614/J634)</f>
        <v>1.2840267077555213E-3</v>
      </c>
      <c r="AD614" s="235">
        <f>MAX(M614*AC614)</f>
        <v>2054.4427324088342</v>
      </c>
      <c r="AE614" s="238">
        <f>MAX(I614/I634)</f>
        <v>2.8130651985775819E-3</v>
      </c>
      <c r="AF614" s="235">
        <f>MAX(N614*AE614)</f>
        <v>42230.329294949886</v>
      </c>
      <c r="AG614" s="238">
        <f>MAX(H614/H634)</f>
        <v>2.3306911770626091E-3</v>
      </c>
      <c r="AH614" s="235">
        <f>MAX(O614*AG614)</f>
        <v>26177.917712561029</v>
      </c>
    </row>
    <row r="615" spans="1:34" ht="15" customHeight="1" x14ac:dyDescent="0.2">
      <c r="A615" s="1154" t="s">
        <v>374</v>
      </c>
      <c r="B615" s="1002">
        <v>1017.3150000000001</v>
      </c>
      <c r="C615" s="1002">
        <v>78</v>
      </c>
      <c r="D615" s="1002">
        <v>16</v>
      </c>
      <c r="E615" s="1002">
        <v>10</v>
      </c>
      <c r="F615" s="1002">
        <v>5</v>
      </c>
      <c r="G615" s="1002">
        <v>65.8</v>
      </c>
      <c r="H615" s="1002">
        <v>920.51499999999999</v>
      </c>
      <c r="I615" s="1002">
        <v>1080.3150000000001</v>
      </c>
      <c r="J615" s="1150">
        <v>11108.07</v>
      </c>
      <c r="K615" s="1150">
        <v>12.06723410264906</v>
      </c>
      <c r="L615" s="1152"/>
      <c r="M615" s="996"/>
      <c r="N615" s="435"/>
      <c r="O615" s="436"/>
      <c r="P615" s="950"/>
      <c r="Q615" s="950"/>
      <c r="R615" s="950"/>
      <c r="S615" s="950"/>
      <c r="T615" s="9"/>
      <c r="U615" s="9"/>
      <c r="V615" s="9"/>
      <c r="W615" s="9"/>
      <c r="X615" s="9"/>
      <c r="Y615" s="9"/>
      <c r="Z615" s="9"/>
      <c r="AA615" s="9"/>
      <c r="AB615" s="1966"/>
      <c r="AC615" s="1157"/>
      <c r="AD615" s="1156"/>
      <c r="AE615" s="1158"/>
      <c r="AF615" s="1156"/>
      <c r="AG615" s="1158"/>
      <c r="AH615" s="1156"/>
    </row>
    <row r="616" spans="1:34" ht="15" customHeight="1" x14ac:dyDescent="0.2">
      <c r="A616" s="962" t="s">
        <v>375</v>
      </c>
      <c r="B616" s="1498">
        <v>176</v>
      </c>
      <c r="C616" s="1146">
        <v>10</v>
      </c>
      <c r="D616" s="1146">
        <v>2</v>
      </c>
      <c r="E616" s="1146">
        <v>5</v>
      </c>
      <c r="F616" s="1146">
        <v>1</v>
      </c>
      <c r="G616" s="1146">
        <v>6</v>
      </c>
      <c r="H616" s="1146">
        <v>162</v>
      </c>
      <c r="I616" s="1146">
        <v>180</v>
      </c>
      <c r="J616" s="1147">
        <v>2430</v>
      </c>
      <c r="K616" s="1147">
        <v>15</v>
      </c>
      <c r="L616" s="1066" t="s">
        <v>988</v>
      </c>
      <c r="M616" s="959">
        <v>1600000</v>
      </c>
      <c r="N616" s="959">
        <v>15012211.34736</v>
      </c>
      <c r="O616" s="1149">
        <v>11231825.9794304</v>
      </c>
      <c r="P616" s="9"/>
      <c r="Q616" s="2005"/>
      <c r="R616" s="9"/>
      <c r="S616" s="950"/>
      <c r="T616" s="9"/>
      <c r="U616" s="9"/>
      <c r="V616" s="9"/>
      <c r="W616" s="9"/>
      <c r="X616" s="9"/>
      <c r="Y616" s="9"/>
      <c r="Z616" s="9"/>
      <c r="AA616" s="9"/>
      <c r="AB616" s="1966"/>
      <c r="AC616" s="237">
        <f>MAX(J616/J634)</f>
        <v>9.4551057571088379E-2</v>
      </c>
      <c r="AD616" s="235">
        <f t="shared" ref="AD616:AD623" si="113">MAX(M616*AC616)</f>
        <v>151281.69211374142</v>
      </c>
      <c r="AE616" s="238">
        <f>MAX(I616/I634)</f>
        <v>5.9570792440466445E-2</v>
      </c>
      <c r="AF616" s="235">
        <f t="shared" ref="AF616:AF623" si="114">MAX(N616*AE616)</f>
        <v>894289.32624599768</v>
      </c>
      <c r="AG616" s="238">
        <f>MAX(H616/H634)</f>
        <v>6.8649449215298669E-2</v>
      </c>
      <c r="AH616" s="235">
        <f t="shared" ref="AH616:AH623" si="115">MAX(O616*AG616)</f>
        <v>771058.66716997942</v>
      </c>
    </row>
    <row r="617" spans="1:34" ht="15" customHeight="1" x14ac:dyDescent="0.2">
      <c r="A617" s="962" t="s">
        <v>376</v>
      </c>
      <c r="B617" s="1498">
        <v>52.614999999999995</v>
      </c>
      <c r="C617" s="1146">
        <v>14</v>
      </c>
      <c r="D617" s="1146">
        <v>0</v>
      </c>
      <c r="E617" s="1146">
        <v>0</v>
      </c>
      <c r="F617" s="1146">
        <v>0</v>
      </c>
      <c r="G617" s="1146">
        <v>0</v>
      </c>
      <c r="H617" s="1146">
        <v>52.614999999999995</v>
      </c>
      <c r="I617" s="1146">
        <v>66.614999999999995</v>
      </c>
      <c r="J617" s="1147">
        <v>947.06999999999994</v>
      </c>
      <c r="K617" s="1147">
        <v>18</v>
      </c>
      <c r="L617" s="1066" t="s">
        <v>988</v>
      </c>
      <c r="M617" s="959">
        <v>1600000</v>
      </c>
      <c r="N617" s="959">
        <v>15012211.34736</v>
      </c>
      <c r="O617" s="1149">
        <v>11231825.9794304</v>
      </c>
      <c r="P617" s="950"/>
      <c r="Q617" s="950"/>
      <c r="R617" s="950"/>
      <c r="S617" s="950"/>
      <c r="T617" s="9"/>
      <c r="U617" s="9"/>
      <c r="V617" s="9"/>
      <c r="W617" s="9"/>
      <c r="X617" s="9"/>
      <c r="Y617" s="9"/>
      <c r="Z617" s="9"/>
      <c r="AA617" s="9"/>
      <c r="AB617" s="1966"/>
      <c r="AC617" s="237">
        <f>MAX(J617/J634)</f>
        <v>3.685039921557641E-2</v>
      </c>
      <c r="AD617" s="235">
        <f t="shared" si="113"/>
        <v>58960.638744922253</v>
      </c>
      <c r="AE617" s="238">
        <f>MAX(I617/I634)</f>
        <v>2.2046157435675954E-2</v>
      </c>
      <c r="AF617" s="235">
        <f t="shared" si="114"/>
        <v>330961.57482153957</v>
      </c>
      <c r="AG617" s="238">
        <f>MAX(H617/H634)</f>
        <v>2.2296239323845304E-2</v>
      </c>
      <c r="AH617" s="235">
        <f t="shared" si="115"/>
        <v>250427.48008116338</v>
      </c>
    </row>
    <row r="618" spans="1:34" ht="15" customHeight="1" x14ac:dyDescent="0.2">
      <c r="A618" s="962" t="s">
        <v>377</v>
      </c>
      <c r="B618" s="1498">
        <v>221.5</v>
      </c>
      <c r="C618" s="1146"/>
      <c r="D618" s="1146"/>
      <c r="E618" s="1146"/>
      <c r="F618" s="1146"/>
      <c r="G618" s="1146">
        <v>35</v>
      </c>
      <c r="H618" s="1146">
        <v>186.5</v>
      </c>
      <c r="I618" s="1146">
        <v>221.5</v>
      </c>
      <c r="J618" s="1147">
        <v>2238</v>
      </c>
      <c r="K618" s="1147">
        <v>12</v>
      </c>
      <c r="L618" s="1066" t="s">
        <v>988</v>
      </c>
      <c r="M618" s="959">
        <v>1600000</v>
      </c>
      <c r="N618" s="959">
        <v>15012211.34736</v>
      </c>
      <c r="O618" s="1149">
        <v>11231825.9794304</v>
      </c>
      <c r="P618" s="950"/>
      <c r="Q618" s="950"/>
      <c r="R618" s="950"/>
      <c r="S618" s="950"/>
      <c r="T618" s="9"/>
      <c r="U618" s="9"/>
      <c r="V618" s="9"/>
      <c r="W618" s="9"/>
      <c r="X618" s="9"/>
      <c r="Y618" s="9"/>
      <c r="Z618" s="9"/>
      <c r="AA618" s="9"/>
      <c r="AB618" s="1966"/>
      <c r="AC618" s="237">
        <f>MAX(J618/J634)</f>
        <v>8.7080356725965355E-2</v>
      </c>
      <c r="AD618" s="235">
        <f t="shared" si="113"/>
        <v>139328.57076154457</v>
      </c>
      <c r="AE618" s="238">
        <f>MAX(I618/I634)</f>
        <v>7.3305169586462868E-2</v>
      </c>
      <c r="AF618" s="235">
        <f t="shared" si="114"/>
        <v>1100472.698686047</v>
      </c>
      <c r="AG618" s="238">
        <f>MAX(H618/H634)</f>
        <v>7.9031619004032105E-2</v>
      </c>
      <c r="AH618" s="235">
        <f t="shared" si="115"/>
        <v>887669.39152593305</v>
      </c>
    </row>
    <row r="619" spans="1:34" ht="15" customHeight="1" x14ac:dyDescent="0.2">
      <c r="A619" s="962" t="s">
        <v>378</v>
      </c>
      <c r="B619" s="1498">
        <v>185</v>
      </c>
      <c r="C619" s="1146">
        <v>15</v>
      </c>
      <c r="D619" s="1146">
        <v>0</v>
      </c>
      <c r="E619" s="1146">
        <v>0</v>
      </c>
      <c r="F619" s="1146">
        <v>0</v>
      </c>
      <c r="G619" s="1146">
        <v>0</v>
      </c>
      <c r="H619" s="1146">
        <v>185</v>
      </c>
      <c r="I619" s="1146">
        <v>200</v>
      </c>
      <c r="J619" s="1147">
        <v>1665</v>
      </c>
      <c r="K619" s="1147">
        <v>9</v>
      </c>
      <c r="L619" s="1066" t="s">
        <v>988</v>
      </c>
      <c r="M619" s="959">
        <v>1600000</v>
      </c>
      <c r="N619" s="959">
        <v>15012211.34736</v>
      </c>
      <c r="O619" s="1149">
        <v>11231825.9794304</v>
      </c>
      <c r="P619" s="950"/>
      <c r="Q619" s="950"/>
      <c r="R619" s="950"/>
      <c r="S619" s="950"/>
      <c r="T619" s="9"/>
      <c r="U619" s="9"/>
      <c r="V619" s="9"/>
      <c r="W619" s="9"/>
      <c r="X619" s="9"/>
      <c r="Y619" s="9"/>
      <c r="Z619" s="9"/>
      <c r="AA619" s="9"/>
      <c r="AB619" s="1966"/>
      <c r="AC619" s="237">
        <f>MAX(J619/J634)</f>
        <v>6.4784983891301301E-2</v>
      </c>
      <c r="AD619" s="235">
        <f t="shared" si="113"/>
        <v>103655.97422608208</v>
      </c>
      <c r="AE619" s="238">
        <f>MAX(I619/I634)</f>
        <v>6.6189769378296043E-2</v>
      </c>
      <c r="AF619" s="235">
        <f t="shared" si="114"/>
        <v>993654.80693999736</v>
      </c>
      <c r="AG619" s="238">
        <f>MAX(H619/H634)</f>
        <v>7.8395975955742311E-2</v>
      </c>
      <c r="AH619" s="235">
        <f t="shared" si="115"/>
        <v>880529.95942250744</v>
      </c>
    </row>
    <row r="620" spans="1:34" ht="15" customHeight="1" x14ac:dyDescent="0.2">
      <c r="A620" s="962" t="s">
        <v>379</v>
      </c>
      <c r="B620" s="1498">
        <v>69</v>
      </c>
      <c r="C620" s="1146"/>
      <c r="D620" s="1146"/>
      <c r="E620" s="1146"/>
      <c r="F620" s="1146"/>
      <c r="G620" s="1146"/>
      <c r="H620" s="1146">
        <v>69</v>
      </c>
      <c r="I620" s="1146">
        <v>69</v>
      </c>
      <c r="J620" s="1147">
        <v>690</v>
      </c>
      <c r="K620" s="1147">
        <v>10</v>
      </c>
      <c r="L620" s="1066" t="s">
        <v>988</v>
      </c>
      <c r="M620" s="959">
        <v>1600000</v>
      </c>
      <c r="N620" s="959">
        <v>15012211.34736</v>
      </c>
      <c r="O620" s="1149">
        <v>11231825.9794304</v>
      </c>
      <c r="P620" s="950"/>
      <c r="Q620" s="950"/>
      <c r="R620" s="950"/>
      <c r="S620" s="950"/>
      <c r="T620" s="9"/>
      <c r="U620" s="9"/>
      <c r="V620" s="9"/>
      <c r="W620" s="9"/>
      <c r="X620" s="9"/>
      <c r="Y620" s="9"/>
      <c r="Z620" s="9"/>
      <c r="AA620" s="9"/>
      <c r="AB620" s="1966"/>
      <c r="AC620" s="237">
        <f>MAX(J620/J634)</f>
        <v>2.6847831162160898E-2</v>
      </c>
      <c r="AD620" s="235">
        <f t="shared" si="113"/>
        <v>42956.529859457434</v>
      </c>
      <c r="AE620" s="238">
        <f>MAX(I620/I634)</f>
        <v>2.2835470435512137E-2</v>
      </c>
      <c r="AF620" s="235">
        <f t="shared" si="114"/>
        <v>342810.9083942991</v>
      </c>
      <c r="AG620" s="238">
        <f>MAX(H620/H634)</f>
        <v>2.9239580221330913E-2</v>
      </c>
      <c r="AH620" s="235">
        <f t="shared" si="115"/>
        <v>328413.87675758381</v>
      </c>
    </row>
    <row r="621" spans="1:34" ht="15" customHeight="1" x14ac:dyDescent="0.2">
      <c r="A621" s="962" t="s">
        <v>380</v>
      </c>
      <c r="B621" s="1498">
        <v>129</v>
      </c>
      <c r="C621" s="1146">
        <v>15</v>
      </c>
      <c r="D621" s="1146">
        <v>2</v>
      </c>
      <c r="E621" s="1146">
        <v>0</v>
      </c>
      <c r="F621" s="1146">
        <v>2</v>
      </c>
      <c r="G621" s="1146">
        <v>4</v>
      </c>
      <c r="H621" s="1146">
        <v>121</v>
      </c>
      <c r="I621" s="1146">
        <v>142</v>
      </c>
      <c r="J621" s="1147">
        <v>1694</v>
      </c>
      <c r="K621" s="1147">
        <v>14</v>
      </c>
      <c r="L621" s="1066" t="s">
        <v>988</v>
      </c>
      <c r="M621" s="959">
        <v>1600000</v>
      </c>
      <c r="N621" s="959">
        <v>15012211.34736</v>
      </c>
      <c r="O621" s="1149">
        <v>11231825.9794304</v>
      </c>
      <c r="P621" s="950"/>
      <c r="Q621" s="950"/>
      <c r="R621" s="950"/>
      <c r="S621" s="950"/>
      <c r="T621" s="9"/>
      <c r="U621" s="9"/>
      <c r="V621" s="9"/>
      <c r="W621" s="9"/>
      <c r="X621" s="9"/>
      <c r="Y621" s="9"/>
      <c r="Z621" s="9"/>
      <c r="AA621" s="9"/>
      <c r="AB621" s="1966"/>
      <c r="AC621" s="237">
        <f>MAX(J621/J634)</f>
        <v>6.5913370998116755E-2</v>
      </c>
      <c r="AD621" s="235">
        <f t="shared" si="113"/>
        <v>105461.3935969868</v>
      </c>
      <c r="AE621" s="238">
        <f>MAX(I621/I634)</f>
        <v>4.6994736258590193E-2</v>
      </c>
      <c r="AF621" s="235">
        <f t="shared" si="114"/>
        <v>705494.91292739811</v>
      </c>
      <c r="AG621" s="238">
        <f>MAX(H621/H634)</f>
        <v>5.1275205895377401E-2</v>
      </c>
      <c r="AH621" s="235">
        <f t="shared" si="115"/>
        <v>575914.18967634265</v>
      </c>
    </row>
    <row r="622" spans="1:34" ht="15" customHeight="1" x14ac:dyDescent="0.2">
      <c r="A622" s="962" t="s">
        <v>381</v>
      </c>
      <c r="B622" s="1498">
        <v>114</v>
      </c>
      <c r="C622" s="1146"/>
      <c r="D622" s="1146"/>
      <c r="E622" s="1146"/>
      <c r="F622" s="1146"/>
      <c r="G622" s="1146">
        <v>18</v>
      </c>
      <c r="H622" s="1146">
        <v>96</v>
      </c>
      <c r="I622" s="1146">
        <v>114</v>
      </c>
      <c r="J622" s="1147">
        <v>960</v>
      </c>
      <c r="K622" s="1147">
        <v>10</v>
      </c>
      <c r="L622" s="1066" t="s">
        <v>988</v>
      </c>
      <c r="M622" s="959">
        <v>1600000</v>
      </c>
      <c r="N622" s="959">
        <v>15012211.34736</v>
      </c>
      <c r="O622" s="1149">
        <v>11231825.9794304</v>
      </c>
      <c r="P622" s="9"/>
      <c r="Q622" s="2005"/>
      <c r="R622" s="9"/>
      <c r="S622" s="950"/>
      <c r="T622" s="9"/>
      <c r="U622" s="9"/>
      <c r="V622" s="9"/>
      <c r="W622" s="9"/>
      <c r="X622" s="9"/>
      <c r="Y622" s="9"/>
      <c r="Z622" s="9"/>
      <c r="AA622" s="9"/>
      <c r="AB622" s="1966"/>
      <c r="AC622" s="237">
        <f>MAX(J622/J634)</f>
        <v>3.7353504225615161E-2</v>
      </c>
      <c r="AD622" s="235">
        <f t="shared" si="113"/>
        <v>59765.606760984258</v>
      </c>
      <c r="AE622" s="238">
        <f>MAX(I622/I634)</f>
        <v>3.772816854562875E-2</v>
      </c>
      <c r="AF622" s="235">
        <f t="shared" si="114"/>
        <v>566383.23995579861</v>
      </c>
      <c r="AG622" s="238">
        <f>MAX(H622/H634)</f>
        <v>4.0681155090547358E-2</v>
      </c>
      <c r="AH622" s="235">
        <f t="shared" si="115"/>
        <v>456923.65461924707</v>
      </c>
    </row>
    <row r="623" spans="1:34" ht="15" customHeight="1" x14ac:dyDescent="0.2">
      <c r="A623" s="962" t="s">
        <v>382</v>
      </c>
      <c r="B623" s="1498">
        <v>70.2</v>
      </c>
      <c r="C623" s="1146">
        <v>24</v>
      </c>
      <c r="D623" s="1146">
        <v>12</v>
      </c>
      <c r="E623" s="1146">
        <v>5</v>
      </c>
      <c r="F623" s="1146">
        <v>2</v>
      </c>
      <c r="G623" s="1146">
        <v>2.8</v>
      </c>
      <c r="H623" s="1146">
        <v>48.400000000000006</v>
      </c>
      <c r="I623" s="1146">
        <v>87.2</v>
      </c>
      <c r="J623" s="1147">
        <v>484.00000000000006</v>
      </c>
      <c r="K623" s="1147">
        <v>10</v>
      </c>
      <c r="L623" s="1066" t="s">
        <v>988</v>
      </c>
      <c r="M623" s="959">
        <v>1600000</v>
      </c>
      <c r="N623" s="959">
        <v>15012211.34736</v>
      </c>
      <c r="O623" s="1149">
        <v>11231825.9794304</v>
      </c>
      <c r="P623" s="950"/>
      <c r="Q623" s="950"/>
      <c r="R623" s="950"/>
      <c r="S623" s="950"/>
      <c r="T623" s="9"/>
      <c r="U623" s="9"/>
      <c r="V623" s="9"/>
      <c r="W623" s="9"/>
      <c r="X623" s="9"/>
      <c r="Y623" s="9"/>
      <c r="Z623" s="9"/>
      <c r="AA623" s="9"/>
      <c r="AB623" s="1966"/>
      <c r="AC623" s="237">
        <f>MAX(J623/J634)</f>
        <v>1.8832391713747648E-2</v>
      </c>
      <c r="AD623" s="235">
        <f t="shared" si="113"/>
        <v>30131.826741996236</v>
      </c>
      <c r="AE623" s="238">
        <f>MAX(I623/I634)</f>
        <v>2.885873944893708E-2</v>
      </c>
      <c r="AF623" s="235">
        <f t="shared" si="114"/>
        <v>433233.49582583888</v>
      </c>
      <c r="AG623" s="238">
        <f>MAX(H623/H634)</f>
        <v>2.0510082358150963E-2</v>
      </c>
      <c r="AH623" s="235">
        <f t="shared" si="115"/>
        <v>230365.67587053709</v>
      </c>
    </row>
    <row r="624" spans="1:34" ht="15" customHeight="1" x14ac:dyDescent="0.2">
      <c r="A624" s="1154" t="s">
        <v>383</v>
      </c>
      <c r="B624" s="1002">
        <v>444.2</v>
      </c>
      <c r="C624" s="1002">
        <v>39</v>
      </c>
      <c r="D624" s="1002">
        <v>7</v>
      </c>
      <c r="E624" s="1002">
        <v>2</v>
      </c>
      <c r="F624" s="1002">
        <v>3</v>
      </c>
      <c r="G624" s="1002">
        <v>143</v>
      </c>
      <c r="H624" s="1002">
        <v>289.2</v>
      </c>
      <c r="I624" s="1002">
        <v>478.2</v>
      </c>
      <c r="J624" s="1150">
        <v>2541.5</v>
      </c>
      <c r="K624" s="1150">
        <v>8.7880359612724757</v>
      </c>
      <c r="L624" s="1152"/>
      <c r="M624" s="996"/>
      <c r="N624" s="435"/>
      <c r="O624" s="436"/>
      <c r="P624" s="950"/>
      <c r="Q624" s="950"/>
      <c r="R624" s="950"/>
      <c r="S624" s="950"/>
      <c r="T624" s="9"/>
      <c r="U624" s="9"/>
      <c r="V624" s="9"/>
      <c r="W624" s="9"/>
      <c r="X624" s="9"/>
      <c r="Y624" s="9"/>
      <c r="Z624" s="9"/>
      <c r="AA624" s="9"/>
      <c r="AB624" s="1966"/>
      <c r="AC624" s="1157"/>
      <c r="AD624" s="1156"/>
      <c r="AE624" s="1158"/>
      <c r="AF624" s="1156"/>
      <c r="AG624" s="1158"/>
      <c r="AH624" s="1156"/>
    </row>
    <row r="625" spans="1:34" ht="15" customHeight="1" x14ac:dyDescent="0.2">
      <c r="A625" s="962" t="s">
        <v>384</v>
      </c>
      <c r="B625" s="1498">
        <v>100.2</v>
      </c>
      <c r="C625" s="1146">
        <v>5</v>
      </c>
      <c r="D625" s="1146">
        <v>0</v>
      </c>
      <c r="E625" s="1146">
        <v>0</v>
      </c>
      <c r="F625" s="1146">
        <v>0</v>
      </c>
      <c r="G625" s="1146">
        <v>11</v>
      </c>
      <c r="H625" s="1146">
        <v>89.2</v>
      </c>
      <c r="I625" s="1146">
        <v>105.2</v>
      </c>
      <c r="J625" s="1147">
        <v>892</v>
      </c>
      <c r="K625" s="1147">
        <v>10</v>
      </c>
      <c r="L625" s="1066" t="s">
        <v>988</v>
      </c>
      <c r="M625" s="959">
        <v>1600000</v>
      </c>
      <c r="N625" s="959">
        <v>15012211.34736</v>
      </c>
      <c r="O625" s="1149">
        <v>11231825.9794304</v>
      </c>
      <c r="P625" s="950"/>
      <c r="Q625" s="950"/>
      <c r="R625" s="950"/>
      <c r="S625" s="950"/>
      <c r="T625" s="9"/>
      <c r="U625" s="9"/>
      <c r="V625" s="9"/>
      <c r="W625" s="9"/>
      <c r="X625" s="9"/>
      <c r="Y625" s="9"/>
      <c r="Z625" s="9"/>
      <c r="AA625" s="9"/>
      <c r="AB625" s="1966"/>
      <c r="AC625" s="237">
        <f>MAX(J625/J634)</f>
        <v>3.4707631009634088E-2</v>
      </c>
      <c r="AD625" s="235">
        <f t="shared" ref="AD625:AD633" si="116">MAX(M625*AC625)</f>
        <v>55532.20961541454</v>
      </c>
      <c r="AE625" s="238">
        <f>MAX(I625/I634)</f>
        <v>3.4815818692983724E-2</v>
      </c>
      <c r="AF625" s="235">
        <f t="shared" ref="AF625:AF633" si="117">MAX(N625*AE625)</f>
        <v>522662.42845043866</v>
      </c>
      <c r="AG625" s="238">
        <f>MAX(H625/H634)</f>
        <v>3.7799573271633587E-2</v>
      </c>
      <c r="AH625" s="235">
        <f t="shared" ref="AH625:AH633" si="118">MAX(O625*AG625)</f>
        <v>424558.22908371704</v>
      </c>
    </row>
    <row r="626" spans="1:34" ht="15" customHeight="1" x14ac:dyDescent="0.2">
      <c r="A626" s="962" t="s">
        <v>385</v>
      </c>
      <c r="B626" s="1498">
        <v>37</v>
      </c>
      <c r="C626" s="1146">
        <v>5</v>
      </c>
      <c r="D626" s="1146">
        <v>2</v>
      </c>
      <c r="E626" s="1146">
        <v>0</v>
      </c>
      <c r="F626" s="1146">
        <v>0</v>
      </c>
      <c r="G626" s="1146">
        <v>5</v>
      </c>
      <c r="H626" s="1146">
        <v>30</v>
      </c>
      <c r="I626" s="1146">
        <v>42</v>
      </c>
      <c r="J626" s="1147">
        <v>210</v>
      </c>
      <c r="K626" s="1147">
        <v>7</v>
      </c>
      <c r="L626" s="1066" t="s">
        <v>988</v>
      </c>
      <c r="M626" s="959">
        <v>1600000</v>
      </c>
      <c r="N626" s="959">
        <v>15012211.34736</v>
      </c>
      <c r="O626" s="1149">
        <v>11231825.9794304</v>
      </c>
      <c r="P626" s="950"/>
      <c r="Q626" s="950"/>
      <c r="R626" s="950"/>
      <c r="S626" s="950"/>
      <c r="T626" s="9"/>
      <c r="U626" s="9"/>
      <c r="V626" s="9"/>
      <c r="W626" s="9"/>
      <c r="X626" s="9"/>
      <c r="Y626" s="9"/>
      <c r="Z626" s="9"/>
      <c r="AA626" s="9"/>
      <c r="AB626" s="9"/>
      <c r="AC626" s="237">
        <f>MAX(J626/J634)</f>
        <v>8.1710790493533178E-3</v>
      </c>
      <c r="AD626" s="235">
        <f t="shared" si="116"/>
        <v>13073.726478965309</v>
      </c>
      <c r="AE626" s="238">
        <f>MAX(I626/I634)</f>
        <v>1.389985156944217E-2</v>
      </c>
      <c r="AF626" s="235">
        <f t="shared" si="117"/>
        <v>208667.50945739946</v>
      </c>
      <c r="AG626" s="238">
        <f>MAX(H626/H634)</f>
        <v>1.271286096579605E-2</v>
      </c>
      <c r="AH626" s="235">
        <f t="shared" si="118"/>
        <v>142788.64206851472</v>
      </c>
    </row>
    <row r="627" spans="1:34" ht="15" customHeight="1" x14ac:dyDescent="0.2">
      <c r="A627" s="962" t="s">
        <v>386</v>
      </c>
      <c r="B627" s="1498">
        <v>13</v>
      </c>
      <c r="C627" s="1146">
        <v>0</v>
      </c>
      <c r="D627" s="1146">
        <v>0</v>
      </c>
      <c r="E627" s="1146">
        <v>0</v>
      </c>
      <c r="F627" s="1146">
        <v>0</v>
      </c>
      <c r="G627" s="1146">
        <v>0</v>
      </c>
      <c r="H627" s="1146">
        <v>13</v>
      </c>
      <c r="I627" s="1146">
        <v>13</v>
      </c>
      <c r="J627" s="1147">
        <v>104</v>
      </c>
      <c r="K627" s="1147">
        <v>8</v>
      </c>
      <c r="L627" s="1066" t="s">
        <v>988</v>
      </c>
      <c r="M627" s="959">
        <v>1600000</v>
      </c>
      <c r="N627" s="959">
        <v>15012211.34736</v>
      </c>
      <c r="O627" s="1149">
        <v>11231825.9794304</v>
      </c>
      <c r="P627" s="950"/>
      <c r="Q627" s="950"/>
      <c r="R627" s="950"/>
      <c r="S627" s="950"/>
      <c r="T627" s="9"/>
      <c r="U627" s="9"/>
      <c r="V627" s="9"/>
      <c r="W627" s="9"/>
      <c r="X627" s="9"/>
      <c r="Y627" s="9"/>
      <c r="Z627" s="9"/>
      <c r="AA627" s="9"/>
      <c r="AB627" s="9"/>
      <c r="AC627" s="237">
        <f>MAX(J627/J634)</f>
        <v>4.0466296244416429E-3</v>
      </c>
      <c r="AD627" s="235">
        <f t="shared" si="116"/>
        <v>6474.6073991066287</v>
      </c>
      <c r="AE627" s="238">
        <f>MAX(I627/I634)</f>
        <v>4.3023350095892435E-3</v>
      </c>
      <c r="AF627" s="235">
        <f t="shared" si="117"/>
        <v>64587.562451099839</v>
      </c>
      <c r="AG627" s="238">
        <f>MAX(H627/H634)</f>
        <v>5.5089064185116212E-3</v>
      </c>
      <c r="AH627" s="235">
        <f t="shared" si="118"/>
        <v>61875.078229689709</v>
      </c>
    </row>
    <row r="628" spans="1:34" ht="15" customHeight="1" x14ac:dyDescent="0.2">
      <c r="A628" s="962" t="s">
        <v>387</v>
      </c>
      <c r="B628" s="1498">
        <v>85</v>
      </c>
      <c r="C628" s="1146">
        <v>5</v>
      </c>
      <c r="D628" s="1146">
        <v>5</v>
      </c>
      <c r="E628" s="1146">
        <v>2</v>
      </c>
      <c r="F628" s="1146">
        <v>3</v>
      </c>
      <c r="G628" s="1146">
        <v>45</v>
      </c>
      <c r="H628" s="1146">
        <v>30</v>
      </c>
      <c r="I628" s="1146">
        <v>85</v>
      </c>
      <c r="J628" s="1147">
        <v>300</v>
      </c>
      <c r="K628" s="1147">
        <v>10</v>
      </c>
      <c r="L628" s="1066" t="s">
        <v>988</v>
      </c>
      <c r="M628" s="959">
        <v>1600000</v>
      </c>
      <c r="N628" s="959">
        <v>15012211.34736</v>
      </c>
      <c r="O628" s="1149">
        <v>11231825.9794304</v>
      </c>
      <c r="P628" s="950"/>
      <c r="Q628" s="950"/>
      <c r="R628" s="950"/>
      <c r="S628" s="950"/>
      <c r="T628" s="9"/>
      <c r="U628" s="9"/>
      <c r="V628" s="9"/>
      <c r="W628" s="9"/>
      <c r="X628" s="9"/>
      <c r="Y628" s="9"/>
      <c r="Z628" s="9"/>
      <c r="AA628" s="9"/>
      <c r="AB628" s="9"/>
      <c r="AC628" s="237">
        <f>MAX(J628/J634)</f>
        <v>1.1672970070504739E-2</v>
      </c>
      <c r="AD628" s="235">
        <f t="shared" si="116"/>
        <v>18676.752112807582</v>
      </c>
      <c r="AE628" s="238">
        <f>MAX(I628/I634)</f>
        <v>2.8130651985775822E-2</v>
      </c>
      <c r="AF628" s="235">
        <f t="shared" si="117"/>
        <v>422303.29294949892</v>
      </c>
      <c r="AG628" s="238">
        <f>MAX(H628/H634)</f>
        <v>1.271286096579605E-2</v>
      </c>
      <c r="AH628" s="235">
        <f t="shared" si="118"/>
        <v>142788.64206851472</v>
      </c>
    </row>
    <row r="629" spans="1:34" ht="15" customHeight="1" x14ac:dyDescent="0.2">
      <c r="A629" s="962" t="s">
        <v>388</v>
      </c>
      <c r="B629" s="1498">
        <v>19</v>
      </c>
      <c r="C629" s="1146">
        <v>2</v>
      </c>
      <c r="D629" s="1146"/>
      <c r="E629" s="1146"/>
      <c r="F629" s="1146"/>
      <c r="G629" s="1146">
        <v>2</v>
      </c>
      <c r="H629" s="1146">
        <v>17</v>
      </c>
      <c r="I629" s="1146">
        <v>21</v>
      </c>
      <c r="J629" s="1147">
        <v>170</v>
      </c>
      <c r="K629" s="1147">
        <v>10</v>
      </c>
      <c r="L629" s="1066" t="s">
        <v>988</v>
      </c>
      <c r="M629" s="959">
        <v>1600000</v>
      </c>
      <c r="N629" s="959">
        <v>15012211.34736</v>
      </c>
      <c r="O629" s="1149">
        <v>11231825.9794304</v>
      </c>
      <c r="P629" s="950"/>
      <c r="Q629" s="950"/>
      <c r="R629" s="950"/>
      <c r="S629" s="950"/>
      <c r="T629" s="9"/>
      <c r="U629" s="9"/>
      <c r="V629" s="9"/>
      <c r="W629" s="9"/>
      <c r="X629" s="9"/>
      <c r="Y629" s="9"/>
      <c r="Z629" s="9"/>
      <c r="AA629" s="9"/>
      <c r="AB629" s="9"/>
      <c r="AC629" s="237">
        <f>MAX(J629/J634)</f>
        <v>6.6146830399526849E-3</v>
      </c>
      <c r="AD629" s="235">
        <f t="shared" si="116"/>
        <v>10583.492863924295</v>
      </c>
      <c r="AE629" s="238">
        <f>MAX(I629/I634)</f>
        <v>6.949925784721085E-3</v>
      </c>
      <c r="AF629" s="235">
        <f t="shared" si="117"/>
        <v>104333.75472869973</v>
      </c>
      <c r="AG629" s="238">
        <f>MAX(H629/H634)</f>
        <v>7.2039545472844281E-3</v>
      </c>
      <c r="AH629" s="235">
        <f t="shared" si="118"/>
        <v>80913.563838825008</v>
      </c>
    </row>
    <row r="630" spans="1:34" ht="15" customHeight="1" x14ac:dyDescent="0.2">
      <c r="A630" s="962" t="s">
        <v>389</v>
      </c>
      <c r="B630" s="1498">
        <v>12.5</v>
      </c>
      <c r="C630" s="1146">
        <v>22</v>
      </c>
      <c r="D630" s="1146"/>
      <c r="E630" s="1146"/>
      <c r="F630" s="1146"/>
      <c r="G630" s="1146">
        <v>10</v>
      </c>
      <c r="H630" s="1146">
        <v>2.5</v>
      </c>
      <c r="I630" s="1146">
        <v>34.5</v>
      </c>
      <c r="J630" s="1147">
        <v>17.5</v>
      </c>
      <c r="K630" s="1147">
        <v>7</v>
      </c>
      <c r="L630" s="1066" t="s">
        <v>988</v>
      </c>
      <c r="M630" s="959">
        <v>1600000</v>
      </c>
      <c r="N630" s="959">
        <v>15012211.34736</v>
      </c>
      <c r="O630" s="1149">
        <v>11231825.9794304</v>
      </c>
      <c r="P630" s="950"/>
      <c r="Q630" s="950"/>
      <c r="R630" s="950"/>
      <c r="S630" s="950"/>
      <c r="T630" s="9"/>
      <c r="U630" s="9"/>
      <c r="V630" s="9"/>
      <c r="W630" s="9"/>
      <c r="X630" s="9"/>
      <c r="Y630" s="9"/>
      <c r="Z630" s="9"/>
      <c r="AA630" s="9"/>
      <c r="AB630" s="9"/>
      <c r="AC630" s="237">
        <f>MAX(J630/J634)</f>
        <v>6.8092325411277645E-4</v>
      </c>
      <c r="AD630" s="235">
        <f t="shared" si="116"/>
        <v>1089.4772065804423</v>
      </c>
      <c r="AE630" s="238">
        <f>MAX(I630/I634)</f>
        <v>1.1417735217756068E-2</v>
      </c>
      <c r="AF630" s="235">
        <f t="shared" si="117"/>
        <v>171405.45419714955</v>
      </c>
      <c r="AG630" s="238">
        <f>MAX(H630/H634)</f>
        <v>1.0594050804830042E-3</v>
      </c>
      <c r="AH630" s="235">
        <f t="shared" si="118"/>
        <v>11899.05350570956</v>
      </c>
    </row>
    <row r="631" spans="1:34" ht="15" customHeight="1" x14ac:dyDescent="0.2">
      <c r="A631" s="962" t="s">
        <v>390</v>
      </c>
      <c r="B631" s="1498">
        <v>138</v>
      </c>
      <c r="C631" s="1146"/>
      <c r="D631" s="1146"/>
      <c r="E631" s="1146"/>
      <c r="F631" s="1146"/>
      <c r="G631" s="1146">
        <v>70</v>
      </c>
      <c r="H631" s="1146">
        <v>68</v>
      </c>
      <c r="I631" s="1146">
        <v>138</v>
      </c>
      <c r="J631" s="1147">
        <v>476</v>
      </c>
      <c r="K631" s="1147">
        <v>7</v>
      </c>
      <c r="L631" s="1066" t="s">
        <v>988</v>
      </c>
      <c r="M631" s="959">
        <v>1600000</v>
      </c>
      <c r="N631" s="959">
        <v>15012211.34736</v>
      </c>
      <c r="O631" s="1149">
        <v>11231825.9794304</v>
      </c>
      <c r="P631" s="950"/>
      <c r="Q631" s="950"/>
      <c r="R631" s="950"/>
      <c r="S631" s="950"/>
      <c r="T631" s="9"/>
      <c r="U631" s="9"/>
      <c r="V631" s="9"/>
      <c r="W631" s="9"/>
      <c r="X631" s="9"/>
      <c r="Y631" s="9"/>
      <c r="Z631" s="9"/>
      <c r="AA631" s="9"/>
      <c r="AB631" s="9"/>
      <c r="AC631" s="237">
        <f>MAX(J631/J634)</f>
        <v>1.852111251186752E-2</v>
      </c>
      <c r="AD631" s="235">
        <f t="shared" si="116"/>
        <v>29633.780018988033</v>
      </c>
      <c r="AE631" s="238">
        <f>MAX(I631/I634)</f>
        <v>4.5670940871024274E-2</v>
      </c>
      <c r="AF631" s="235">
        <f t="shared" si="117"/>
        <v>685621.8167885982</v>
      </c>
      <c r="AG631" s="238">
        <f>MAX(H631/H634)</f>
        <v>2.8815818189137712E-2</v>
      </c>
      <c r="AH631" s="235">
        <f t="shared" si="118"/>
        <v>323654.25535530003</v>
      </c>
    </row>
    <row r="632" spans="1:34" ht="15" customHeight="1" x14ac:dyDescent="0.2">
      <c r="A632" s="962" t="s">
        <v>941</v>
      </c>
      <c r="B632" s="1498">
        <v>11.5</v>
      </c>
      <c r="C632" s="1146"/>
      <c r="D632" s="1146"/>
      <c r="E632" s="1146"/>
      <c r="F632" s="1146"/>
      <c r="G632" s="1146"/>
      <c r="H632" s="1146">
        <v>11.5</v>
      </c>
      <c r="I632" s="1146">
        <v>11.5</v>
      </c>
      <c r="J632" s="1147">
        <v>92</v>
      </c>
      <c r="K632" s="1147">
        <v>8</v>
      </c>
      <c r="L632" s="1066" t="s">
        <v>988</v>
      </c>
      <c r="M632" s="959">
        <v>1600000</v>
      </c>
      <c r="N632" s="959">
        <v>15012211.34736</v>
      </c>
      <c r="O632" s="1149">
        <v>11231825.9794304</v>
      </c>
      <c r="P632" s="950"/>
      <c r="Q632" s="950"/>
      <c r="R632" s="950"/>
      <c r="S632" s="950"/>
      <c r="T632" s="9"/>
      <c r="U632" s="9"/>
      <c r="V632" s="9"/>
      <c r="Z632" s="9"/>
      <c r="AA632" s="9"/>
      <c r="AB632" s="9"/>
      <c r="AC632" s="237">
        <f>MAX(J632/J634)</f>
        <v>3.579710821621453E-3</v>
      </c>
      <c r="AD632" s="235">
        <f t="shared" si="116"/>
        <v>5727.5373145943249</v>
      </c>
      <c r="AE632" s="238">
        <f>MAX(I632/I634)</f>
        <v>3.8059117392520228E-3</v>
      </c>
      <c r="AF632" s="235">
        <f t="shared" si="117"/>
        <v>57135.15139904985</v>
      </c>
      <c r="AG632" s="238">
        <f>MAX(H632/H634)</f>
        <v>4.8732633702218194E-3</v>
      </c>
      <c r="AH632" s="235">
        <f t="shared" si="118"/>
        <v>54735.646126263979</v>
      </c>
    </row>
    <row r="633" spans="1:34" ht="15" customHeight="1" thickBot="1" x14ac:dyDescent="0.25">
      <c r="A633" s="1140" t="s">
        <v>392</v>
      </c>
      <c r="B633" s="1536">
        <v>28</v>
      </c>
      <c r="C633" s="1141">
        <v>0</v>
      </c>
      <c r="D633" s="1141">
        <v>0</v>
      </c>
      <c r="E633" s="1141">
        <v>0</v>
      </c>
      <c r="F633" s="1141">
        <v>0</v>
      </c>
      <c r="G633" s="1146">
        <v>0</v>
      </c>
      <c r="H633" s="1146">
        <v>28</v>
      </c>
      <c r="I633" s="1146">
        <v>28</v>
      </c>
      <c r="J633" s="1526">
        <v>280</v>
      </c>
      <c r="K633" s="1142">
        <v>10</v>
      </c>
      <c r="L633" s="1066" t="s">
        <v>988</v>
      </c>
      <c r="M633" s="959">
        <v>1600000</v>
      </c>
      <c r="N633" s="959">
        <v>15012211.34736</v>
      </c>
      <c r="O633" s="1149">
        <v>11231825.9794304</v>
      </c>
      <c r="P633" s="950"/>
      <c r="Q633" s="950"/>
      <c r="R633" s="950"/>
      <c r="S633" s="950"/>
      <c r="T633" s="9"/>
      <c r="U633" s="9"/>
      <c r="V633" s="9"/>
      <c r="Z633" s="9"/>
      <c r="AA633" s="9"/>
      <c r="AB633" s="9"/>
      <c r="AC633" s="237">
        <f>MAX(J633/J634)</f>
        <v>1.0894772065804423E-2</v>
      </c>
      <c r="AD633" s="235">
        <f t="shared" si="116"/>
        <v>17431.635305287076</v>
      </c>
      <c r="AE633" s="238">
        <f>MAX(I633/I634)</f>
        <v>9.2665677129614467E-3</v>
      </c>
      <c r="AF633" s="235">
        <f t="shared" si="117"/>
        <v>139111.67297159962</v>
      </c>
      <c r="AG633" s="238">
        <f>MAX(H633/H634)</f>
        <v>1.1865336901409647E-2</v>
      </c>
      <c r="AH633" s="235">
        <f t="shared" si="118"/>
        <v>133269.39926394707</v>
      </c>
    </row>
    <row r="634" spans="1:34" ht="15" customHeight="1" thickBot="1" x14ac:dyDescent="0.25">
      <c r="A634" s="405" t="s">
        <v>942</v>
      </c>
      <c r="B634" s="1131">
        <v>2816.8149999999996</v>
      </c>
      <c r="C634" s="1131">
        <v>263</v>
      </c>
      <c r="D634" s="1131">
        <v>40</v>
      </c>
      <c r="E634" s="1131">
        <v>35.200000000000003</v>
      </c>
      <c r="F634" s="1131">
        <v>23</v>
      </c>
      <c r="G634" s="1131">
        <v>358.8</v>
      </c>
      <c r="H634" s="1131">
        <v>2359.8149999999996</v>
      </c>
      <c r="I634" s="1131">
        <v>3021.6149999999998</v>
      </c>
      <c r="J634" s="1132">
        <v>25700.400000000001</v>
      </c>
      <c r="K634" s="1132">
        <v>10.89085373217816</v>
      </c>
      <c r="L634" s="1525" t="s">
        <v>988</v>
      </c>
      <c r="M634" s="1134">
        <v>1599999.9999999995</v>
      </c>
      <c r="N634" s="1134">
        <v>15012211.34736</v>
      </c>
      <c r="O634" s="506">
        <v>11231825.979430402</v>
      </c>
      <c r="P634" s="9"/>
      <c r="Q634" s="397"/>
      <c r="R634" s="397"/>
      <c r="S634" s="397"/>
      <c r="Z634" s="9"/>
      <c r="AA634" s="9"/>
      <c r="AB634" s="9"/>
      <c r="AC634" s="1159">
        <f t="shared" ref="AC634:AH634" si="119">SUM(AC594:AC633)</f>
        <v>1</v>
      </c>
      <c r="AD634" s="1160">
        <f t="shared" si="119"/>
        <v>1599999.9999999995</v>
      </c>
      <c r="AE634" s="1161">
        <f t="shared" si="119"/>
        <v>1.0000000000000002</v>
      </c>
      <c r="AF634" s="1160">
        <f t="shared" si="119"/>
        <v>15012211.34736</v>
      </c>
      <c r="AG634" s="1161">
        <f t="shared" si="119"/>
        <v>1.0000000000000002</v>
      </c>
      <c r="AH634" s="1160">
        <f t="shared" si="119"/>
        <v>11231825.979430402</v>
      </c>
    </row>
    <row r="635" spans="1:34" x14ac:dyDescent="0.2">
      <c r="A635" s="7" t="s">
        <v>1934</v>
      </c>
      <c r="B635" s="8"/>
      <c r="C635" s="8"/>
      <c r="D635" s="8"/>
      <c r="E635" s="4"/>
      <c r="F635" s="5"/>
      <c r="G635" s="9"/>
      <c r="H635" s="8"/>
      <c r="I635" s="224"/>
      <c r="J635" s="224"/>
      <c r="K635" s="240"/>
      <c r="L635" s="241"/>
      <c r="M635" s="240"/>
      <c r="N635" s="240"/>
      <c r="O635" s="240"/>
      <c r="P635" s="9"/>
      <c r="Z635" s="9"/>
      <c r="AA635" s="9"/>
      <c r="AB635" s="9"/>
      <c r="AC635" s="9"/>
      <c r="AD635" s="9"/>
      <c r="AE635" s="9"/>
      <c r="AF635" s="9"/>
      <c r="AG635" s="9"/>
      <c r="AH635" s="9"/>
    </row>
    <row r="636" spans="1:34" x14ac:dyDescent="0.2">
      <c r="A636" s="34"/>
      <c r="B636" s="224"/>
      <c r="C636" s="224"/>
      <c r="D636" s="224"/>
      <c r="E636" s="224"/>
      <c r="F636" s="224"/>
      <c r="G636" s="224"/>
      <c r="H636" s="224"/>
      <c r="I636" s="224"/>
      <c r="J636" s="224"/>
      <c r="K636" s="240"/>
      <c r="L636" s="241"/>
      <c r="M636" s="240"/>
      <c r="N636" s="240"/>
      <c r="O636" s="240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</row>
    <row r="637" spans="1:34" x14ac:dyDescent="0.2">
      <c r="A637" s="242"/>
      <c r="B637" s="224"/>
      <c r="C637" s="224"/>
      <c r="D637" s="224"/>
      <c r="E637" s="224"/>
      <c r="F637" s="224"/>
      <c r="G637" s="224"/>
      <c r="H637" s="224"/>
      <c r="I637" s="224"/>
      <c r="J637" s="224"/>
      <c r="K637" s="240"/>
      <c r="L637" s="241"/>
      <c r="M637" s="240"/>
      <c r="N637" s="240"/>
      <c r="O637" s="240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</row>
    <row r="638" spans="1:34" x14ac:dyDescent="0.2">
      <c r="A638" s="242"/>
      <c r="B638" s="224"/>
      <c r="C638" s="224"/>
      <c r="D638" s="224"/>
      <c r="E638" s="224"/>
      <c r="F638" s="224"/>
      <c r="G638" s="224"/>
      <c r="H638" s="224"/>
      <c r="I638" s="224"/>
      <c r="J638" s="224"/>
      <c r="K638" s="240"/>
      <c r="L638" s="241"/>
      <c r="M638" s="240"/>
      <c r="N638" s="240"/>
      <c r="O638" s="240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</row>
    <row r="639" spans="1:34" ht="15" x14ac:dyDescent="0.25">
      <c r="A639" s="2843" t="s">
        <v>1931</v>
      </c>
      <c r="B639" s="2843"/>
      <c r="C639" s="2843"/>
      <c r="D639" s="2843"/>
      <c r="E639" s="2843"/>
      <c r="F639" s="2843"/>
      <c r="G639" s="2843"/>
      <c r="H639" s="2843"/>
      <c r="I639" s="2843"/>
      <c r="J639" s="2843"/>
      <c r="K639" s="2843"/>
      <c r="L639" s="2843"/>
      <c r="M639" s="2843"/>
      <c r="N639" s="2843"/>
      <c r="O639" s="2843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</row>
    <row r="640" spans="1:34" ht="13.5" thickBot="1" x14ac:dyDescent="0.25">
      <c r="A640" s="246" t="s">
        <v>947</v>
      </c>
      <c r="B640" s="246"/>
      <c r="C640" s="240"/>
      <c r="D640" s="240"/>
      <c r="E640" s="240"/>
      <c r="F640" s="240"/>
      <c r="G640" s="240"/>
      <c r="H640" s="240"/>
      <c r="I640" s="240"/>
      <c r="J640" s="240"/>
      <c r="K640" s="240"/>
      <c r="L640" s="241"/>
      <c r="M640" s="240"/>
      <c r="N640" s="240"/>
      <c r="O640" s="240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</row>
    <row r="641" spans="1:34" ht="15" customHeight="1" x14ac:dyDescent="0.2">
      <c r="A641" s="2844" t="s">
        <v>327</v>
      </c>
      <c r="B641" s="2847" t="s">
        <v>1932</v>
      </c>
      <c r="C641" s="2848"/>
      <c r="D641" s="2848"/>
      <c r="E641" s="2848"/>
      <c r="F641" s="2848"/>
      <c r="G641" s="2848"/>
      <c r="H641" s="2848"/>
      <c r="I641" s="2848"/>
      <c r="J641" s="2848"/>
      <c r="K641" s="2848"/>
      <c r="L641" s="2848"/>
      <c r="M641" s="2848"/>
      <c r="N641" s="2848"/>
      <c r="O641" s="284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228" t="s">
        <v>910</v>
      </c>
      <c r="AD641" s="229"/>
      <c r="AE641" s="229"/>
      <c r="AF641" s="229"/>
      <c r="AG641" s="229"/>
      <c r="AH641" s="243"/>
    </row>
    <row r="642" spans="1:34" ht="15" customHeight="1" x14ac:dyDescent="0.2">
      <c r="A642" s="2845"/>
      <c r="B642" s="2850" t="s">
        <v>191</v>
      </c>
      <c r="C642" s="2850"/>
      <c r="D642" s="2850"/>
      <c r="E642" s="2850"/>
      <c r="F642" s="2850"/>
      <c r="G642" s="2850"/>
      <c r="H642" s="2850"/>
      <c r="I642" s="2850"/>
      <c r="J642" s="2119"/>
      <c r="K642" s="2119" t="s">
        <v>904</v>
      </c>
      <c r="L642" s="2119"/>
      <c r="M642" s="1122" t="s">
        <v>437</v>
      </c>
      <c r="N642" s="1122" t="s">
        <v>911</v>
      </c>
      <c r="O642" s="1127" t="s">
        <v>911</v>
      </c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230" t="s">
        <v>333</v>
      </c>
      <c r="AD642" s="231" t="s">
        <v>333</v>
      </c>
      <c r="AE642" s="231" t="s">
        <v>333</v>
      </c>
      <c r="AF642" s="231" t="s">
        <v>333</v>
      </c>
      <c r="AG642" s="231" t="s">
        <v>333</v>
      </c>
      <c r="AH642" s="231" t="s">
        <v>333</v>
      </c>
    </row>
    <row r="643" spans="1:34" ht="15" customHeight="1" x14ac:dyDescent="0.2">
      <c r="A643" s="2845"/>
      <c r="B643" s="2119" t="s">
        <v>433</v>
      </c>
      <c r="C643" s="2119"/>
      <c r="D643" s="2841" t="s">
        <v>1865</v>
      </c>
      <c r="E643" s="2119"/>
      <c r="F643" s="2119"/>
      <c r="G643" s="2119" t="s">
        <v>912</v>
      </c>
      <c r="H643" s="2119"/>
      <c r="I643" s="2119" t="s">
        <v>433</v>
      </c>
      <c r="J643" s="2138" t="s">
        <v>913</v>
      </c>
      <c r="K643" s="2138" t="s">
        <v>842</v>
      </c>
      <c r="L643" s="2138" t="s">
        <v>329</v>
      </c>
      <c r="M643" s="1123" t="s">
        <v>914</v>
      </c>
      <c r="N643" s="1123" t="s">
        <v>915</v>
      </c>
      <c r="O643" s="1128" t="s">
        <v>914</v>
      </c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230" t="s">
        <v>913</v>
      </c>
      <c r="AD643" s="231" t="s">
        <v>916</v>
      </c>
      <c r="AE643" s="231" t="s">
        <v>917</v>
      </c>
      <c r="AF643" s="231" t="s">
        <v>918</v>
      </c>
      <c r="AG643" s="231" t="s">
        <v>192</v>
      </c>
      <c r="AH643" s="231" t="s">
        <v>918</v>
      </c>
    </row>
    <row r="644" spans="1:34" ht="15" customHeight="1" x14ac:dyDescent="0.2">
      <c r="A644" s="2845"/>
      <c r="B644" s="2138" t="s">
        <v>920</v>
      </c>
      <c r="C644" s="2138" t="s">
        <v>922</v>
      </c>
      <c r="D644" s="2842"/>
      <c r="E644" s="2138" t="s">
        <v>867</v>
      </c>
      <c r="F644" s="2138" t="s">
        <v>921</v>
      </c>
      <c r="G644" s="2138" t="s">
        <v>923</v>
      </c>
      <c r="H644" s="2138" t="s">
        <v>836</v>
      </c>
      <c r="I644" s="2138" t="s">
        <v>835</v>
      </c>
      <c r="J644" s="2138" t="s">
        <v>924</v>
      </c>
      <c r="K644" s="2138" t="s">
        <v>925</v>
      </c>
      <c r="L644" s="2138" t="s">
        <v>336</v>
      </c>
      <c r="M644" s="1123" t="s">
        <v>926</v>
      </c>
      <c r="N644" s="1123" t="s">
        <v>927</v>
      </c>
      <c r="O644" s="1128" t="s">
        <v>928</v>
      </c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230"/>
      <c r="AD644" s="231" t="s">
        <v>843</v>
      </c>
      <c r="AE644" s="231"/>
      <c r="AF644" s="231" t="s">
        <v>929</v>
      </c>
      <c r="AG644" s="231"/>
      <c r="AH644" s="231" t="s">
        <v>930</v>
      </c>
    </row>
    <row r="645" spans="1:34" ht="15" customHeight="1" thickBot="1" x14ac:dyDescent="0.25">
      <c r="A645" s="2846"/>
      <c r="B645" s="1881">
        <v>44926</v>
      </c>
      <c r="C645" s="2139">
        <v>2023</v>
      </c>
      <c r="D645" s="2139">
        <v>2023</v>
      </c>
      <c r="E645" s="2139">
        <v>2023</v>
      </c>
      <c r="F645" s="2139">
        <v>2023</v>
      </c>
      <c r="G645" s="2139" t="s">
        <v>931</v>
      </c>
      <c r="H645" s="1126">
        <v>2023</v>
      </c>
      <c r="I645" s="1881">
        <v>45291</v>
      </c>
      <c r="J645" s="1881" t="s">
        <v>1933</v>
      </c>
      <c r="K645" s="1881" t="s">
        <v>1933</v>
      </c>
      <c r="L645" s="2139" t="s">
        <v>441</v>
      </c>
      <c r="M645" s="1125" t="s">
        <v>932</v>
      </c>
      <c r="N645" s="1125" t="s">
        <v>933</v>
      </c>
      <c r="O645" s="1129" t="s">
        <v>933</v>
      </c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232"/>
      <c r="AD645" s="233" t="s">
        <v>934</v>
      </c>
      <c r="AE645" s="233"/>
      <c r="AF645" s="233" t="s">
        <v>935</v>
      </c>
      <c r="AG645" s="233"/>
      <c r="AH645" s="233" t="s">
        <v>936</v>
      </c>
    </row>
    <row r="646" spans="1:34" ht="15" customHeight="1" x14ac:dyDescent="0.2">
      <c r="A646" s="1135" t="s">
        <v>352</v>
      </c>
      <c r="B646" s="1130">
        <v>278.02499999999998</v>
      </c>
      <c r="C646" s="1130">
        <v>219</v>
      </c>
      <c r="D646" s="1130">
        <v>0</v>
      </c>
      <c r="E646" s="1130">
        <v>5</v>
      </c>
      <c r="F646" s="1130">
        <v>32</v>
      </c>
      <c r="G646" s="1130">
        <v>14</v>
      </c>
      <c r="H646" s="1130">
        <v>227.02500000000001</v>
      </c>
      <c r="I646" s="1130">
        <v>460.02499999999998</v>
      </c>
      <c r="J646" s="1136">
        <v>1819.2</v>
      </c>
      <c r="K646" s="1535">
        <v>8.013214403700033</v>
      </c>
      <c r="L646" s="380"/>
      <c r="M646" s="1138"/>
      <c r="N646" s="1138"/>
      <c r="O646" s="113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1155"/>
      <c r="AD646" s="1156"/>
      <c r="AE646" s="1156"/>
      <c r="AF646" s="1156"/>
      <c r="AG646" s="1156"/>
      <c r="AH646" s="1156"/>
    </row>
    <row r="647" spans="1:34" ht="15" customHeight="1" x14ac:dyDescent="0.2">
      <c r="A647" s="962" t="s">
        <v>353</v>
      </c>
      <c r="B647" s="1146">
        <v>29.5</v>
      </c>
      <c r="C647" s="1146">
        <v>2</v>
      </c>
      <c r="D647" s="1146"/>
      <c r="E647" s="1146"/>
      <c r="F647" s="1146">
        <v>6</v>
      </c>
      <c r="G647" s="1146">
        <v>1</v>
      </c>
      <c r="H647" s="1146">
        <v>22.5</v>
      </c>
      <c r="I647" s="1146">
        <v>25.5</v>
      </c>
      <c r="J647" s="1147">
        <v>135</v>
      </c>
      <c r="K647" s="1147">
        <v>6</v>
      </c>
      <c r="L647" s="1066" t="s">
        <v>988</v>
      </c>
      <c r="M647" s="959">
        <v>2244000</v>
      </c>
      <c r="N647" s="959">
        <v>20573950.995439999</v>
      </c>
      <c r="O647" s="1149">
        <v>10025213.581488</v>
      </c>
      <c r="P647" s="950"/>
      <c r="Q647" s="950"/>
      <c r="R647" s="950"/>
      <c r="S647" s="950"/>
      <c r="T647" s="950"/>
      <c r="U647" s="950"/>
      <c r="V647" s="950"/>
      <c r="W647" s="950"/>
      <c r="X647" s="950"/>
      <c r="Y647" s="950"/>
      <c r="Z647" s="9"/>
      <c r="AA647" s="9"/>
      <c r="AB647" s="9"/>
      <c r="AC647" s="237">
        <f>MAX(J647/J687)</f>
        <v>6.557536309321417E-2</v>
      </c>
      <c r="AD647" s="235">
        <f t="shared" ref="AD647:AD661" si="120">MAX(M647*AC647)</f>
        <v>147151.1147811726</v>
      </c>
      <c r="AE647" s="238">
        <f>MAX(I647/I687)</f>
        <v>2.5011647580981341E-2</v>
      </c>
      <c r="AF647" s="235">
        <f t="shared" ref="AF647:AF661" si="121">MAX(N647*AE647)</f>
        <v>514588.41164632549</v>
      </c>
      <c r="AG647" s="238">
        <f>MAX(H647/H687)</f>
        <v>8.2561232914411531E-2</v>
      </c>
      <c r="AH647" s="235">
        <f t="shared" ref="AH647:AH661" si="122">MAX(O647*AG647)</f>
        <v>827693.99351795262</v>
      </c>
    </row>
    <row r="648" spans="1:34" ht="15" customHeight="1" x14ac:dyDescent="0.2">
      <c r="A648" s="962" t="s">
        <v>354</v>
      </c>
      <c r="B648" s="1146">
        <v>0</v>
      </c>
      <c r="C648" s="1146"/>
      <c r="D648" s="1146"/>
      <c r="E648" s="1146"/>
      <c r="F648" s="1146"/>
      <c r="G648" s="1146"/>
      <c r="H648" s="1146">
        <v>0</v>
      </c>
      <c r="I648" s="1146">
        <v>0</v>
      </c>
      <c r="J648" s="1147">
        <v>0</v>
      </c>
      <c r="K648" s="1147">
        <v>0</v>
      </c>
      <c r="L648" s="1148"/>
      <c r="M648" s="959"/>
      <c r="N648" s="959"/>
      <c r="O648" s="1149"/>
      <c r="P648" s="950"/>
      <c r="Q648" s="950"/>
      <c r="R648" s="950"/>
      <c r="S648" s="950"/>
      <c r="T648" s="950"/>
      <c r="U648" s="950"/>
      <c r="V648" s="950"/>
      <c r="W648" s="950"/>
      <c r="X648" s="950"/>
      <c r="Y648" s="950"/>
      <c r="Z648" s="9"/>
      <c r="AA648" s="9"/>
      <c r="AB648" s="9"/>
      <c r="AC648" s="237">
        <f>MAX(J648/J687)</f>
        <v>0</v>
      </c>
      <c r="AD648" s="235">
        <f t="shared" si="120"/>
        <v>0</v>
      </c>
      <c r="AE648" s="238">
        <f>MAX(I648/I687)</f>
        <v>0</v>
      </c>
      <c r="AF648" s="235">
        <f t="shared" si="121"/>
        <v>0</v>
      </c>
      <c r="AG648" s="238">
        <f>MAX(H648/H687)</f>
        <v>0</v>
      </c>
      <c r="AH648" s="235">
        <f t="shared" si="122"/>
        <v>0</v>
      </c>
    </row>
    <row r="649" spans="1:34" ht="15" customHeight="1" x14ac:dyDescent="0.2">
      <c r="A649" s="962" t="s">
        <v>355</v>
      </c>
      <c r="B649" s="1146">
        <v>18</v>
      </c>
      <c r="C649" s="1146"/>
      <c r="D649" s="1146"/>
      <c r="E649" s="1146"/>
      <c r="F649" s="1146"/>
      <c r="G649" s="1146"/>
      <c r="H649" s="1146">
        <v>18</v>
      </c>
      <c r="I649" s="1146">
        <v>18</v>
      </c>
      <c r="J649" s="1147">
        <v>180</v>
      </c>
      <c r="K649" s="1147">
        <v>10</v>
      </c>
      <c r="L649" s="1066" t="s">
        <v>988</v>
      </c>
      <c r="M649" s="959">
        <v>2244000</v>
      </c>
      <c r="N649" s="959">
        <v>20573950.995439999</v>
      </c>
      <c r="O649" s="1149">
        <v>10025213.581488</v>
      </c>
      <c r="P649" s="950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237">
        <f>MAX(J649/J687)</f>
        <v>8.7433817457618898E-2</v>
      </c>
      <c r="AD649" s="235">
        <f t="shared" si="120"/>
        <v>196201.48637489681</v>
      </c>
      <c r="AE649" s="238">
        <f>MAX(I649/I687)</f>
        <v>1.7655280645398595E-2</v>
      </c>
      <c r="AF649" s="235">
        <f t="shared" si="121"/>
        <v>363238.87880917097</v>
      </c>
      <c r="AG649" s="238">
        <f>MAX(H649/H687)</f>
        <v>6.6048986331529225E-2</v>
      </c>
      <c r="AH649" s="235">
        <f t="shared" si="122"/>
        <v>662155.1948143621</v>
      </c>
    </row>
    <row r="650" spans="1:34" ht="15" customHeight="1" x14ac:dyDescent="0.2">
      <c r="A650" s="962" t="s">
        <v>356</v>
      </c>
      <c r="B650" s="1146">
        <v>10</v>
      </c>
      <c r="C650" s="1146">
        <v>200</v>
      </c>
      <c r="D650" s="1146"/>
      <c r="E650" s="1146"/>
      <c r="F650" s="1146"/>
      <c r="G650" s="1146"/>
      <c r="H650" s="1146">
        <v>10</v>
      </c>
      <c r="I650" s="1146">
        <v>210</v>
      </c>
      <c r="J650" s="1147">
        <v>80</v>
      </c>
      <c r="K650" s="1147">
        <v>8</v>
      </c>
      <c r="L650" s="1066" t="s">
        <v>988</v>
      </c>
      <c r="M650" s="959">
        <v>2244000</v>
      </c>
      <c r="N650" s="959">
        <v>20573950.995439999</v>
      </c>
      <c r="O650" s="1149">
        <v>10025213.581488</v>
      </c>
      <c r="P650" s="950"/>
      <c r="Q650" s="2005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237">
        <f>MAX(J650/J687)</f>
        <v>3.8859474425608394E-2</v>
      </c>
      <c r="AD650" s="235">
        <f t="shared" si="120"/>
        <v>87200.660611065236</v>
      </c>
      <c r="AE650" s="238">
        <f>MAX(I650/I687)</f>
        <v>0.20597827419631692</v>
      </c>
      <c r="AF650" s="235">
        <f t="shared" si="121"/>
        <v>4237786.9194403272</v>
      </c>
      <c r="AG650" s="238">
        <f>MAX(H650/H687)</f>
        <v>3.6693881295294016E-2</v>
      </c>
      <c r="AH650" s="235">
        <f t="shared" si="122"/>
        <v>367863.99711909005</v>
      </c>
    </row>
    <row r="651" spans="1:34" ht="15" customHeight="1" x14ac:dyDescent="0.2">
      <c r="A651" s="962" t="s">
        <v>357</v>
      </c>
      <c r="B651" s="1146">
        <v>54</v>
      </c>
      <c r="C651" s="1146">
        <v>0</v>
      </c>
      <c r="D651" s="1146">
        <v>0</v>
      </c>
      <c r="E651" s="1146">
        <v>0</v>
      </c>
      <c r="F651" s="1146">
        <v>0</v>
      </c>
      <c r="G651" s="1146">
        <v>0</v>
      </c>
      <c r="H651" s="1146">
        <v>54</v>
      </c>
      <c r="I651" s="1146">
        <v>54</v>
      </c>
      <c r="J651" s="1147">
        <v>432</v>
      </c>
      <c r="K651" s="1147">
        <v>8</v>
      </c>
      <c r="L651" s="1066" t="s">
        <v>988</v>
      </c>
      <c r="M651" s="959">
        <v>2244000</v>
      </c>
      <c r="N651" s="959">
        <v>20573950.995439999</v>
      </c>
      <c r="O651" s="1149">
        <v>10025213.581488</v>
      </c>
      <c r="P651" s="9"/>
      <c r="Q651" s="2005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237">
        <f>MAX(J651/J687)</f>
        <v>0.20984116189828533</v>
      </c>
      <c r="AD651" s="235">
        <f t="shared" si="120"/>
        <v>470883.56729975226</v>
      </c>
      <c r="AE651" s="238">
        <f>MAX(I651/I687)</f>
        <v>5.296584193619578E-2</v>
      </c>
      <c r="AF651" s="235">
        <f t="shared" si="121"/>
        <v>1089716.6364275129</v>
      </c>
      <c r="AG651" s="238">
        <f>MAX(H651/H687)</f>
        <v>0.19814695899458767</v>
      </c>
      <c r="AH651" s="235">
        <f t="shared" si="122"/>
        <v>1986465.5844430863</v>
      </c>
    </row>
    <row r="652" spans="1:34" ht="15" customHeight="1" x14ac:dyDescent="0.2">
      <c r="A652" s="962" t="s">
        <v>358</v>
      </c>
      <c r="B652" s="1146">
        <v>8</v>
      </c>
      <c r="C652" s="1146">
        <v>0</v>
      </c>
      <c r="D652" s="1146">
        <v>0</v>
      </c>
      <c r="E652" s="1146">
        <v>0</v>
      </c>
      <c r="F652" s="1146">
        <v>0</v>
      </c>
      <c r="G652" s="1146">
        <v>0</v>
      </c>
      <c r="H652" s="1146">
        <v>8</v>
      </c>
      <c r="I652" s="1146">
        <v>8</v>
      </c>
      <c r="J652" s="1147">
        <v>64</v>
      </c>
      <c r="K652" s="1147">
        <v>8</v>
      </c>
      <c r="L652" s="1066" t="s">
        <v>988</v>
      </c>
      <c r="M652" s="959">
        <v>2244000</v>
      </c>
      <c r="N652" s="959">
        <v>20573950.995439999</v>
      </c>
      <c r="O652" s="1149">
        <v>10025213.581488</v>
      </c>
      <c r="P652" s="950"/>
      <c r="Q652" s="2005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237">
        <f>MAX(J652/J687)</f>
        <v>3.1087579540486718E-2</v>
      </c>
      <c r="AD652" s="235">
        <f t="shared" si="120"/>
        <v>69760.5284888522</v>
      </c>
      <c r="AE652" s="238">
        <f>MAX(I652/I687)</f>
        <v>7.84679139795493E-3</v>
      </c>
      <c r="AF652" s="235">
        <f t="shared" si="121"/>
        <v>161439.50169296484</v>
      </c>
      <c r="AG652" s="238">
        <f>MAX(H652/H687)</f>
        <v>2.9355105036235209E-2</v>
      </c>
      <c r="AH652" s="235">
        <f t="shared" si="122"/>
        <v>294291.19769527199</v>
      </c>
    </row>
    <row r="653" spans="1:34" ht="15" customHeight="1" x14ac:dyDescent="0.2">
      <c r="A653" s="962" t="s">
        <v>937</v>
      </c>
      <c r="B653" s="1146">
        <v>0</v>
      </c>
      <c r="C653" s="1146">
        <v>0</v>
      </c>
      <c r="D653" s="1146">
        <v>0</v>
      </c>
      <c r="E653" s="1146">
        <v>0</v>
      </c>
      <c r="F653" s="1146">
        <v>0</v>
      </c>
      <c r="G653" s="1146">
        <v>0</v>
      </c>
      <c r="H653" s="1146">
        <v>0</v>
      </c>
      <c r="I653" s="1146">
        <v>0</v>
      </c>
      <c r="J653" s="1147">
        <v>0</v>
      </c>
      <c r="K653" s="1147">
        <v>0</v>
      </c>
      <c r="L653" s="1148"/>
      <c r="M653" s="959"/>
      <c r="N653" s="959"/>
      <c r="O653" s="1149"/>
      <c r="P653" s="950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237">
        <f>MAX(J653/J687)</f>
        <v>0</v>
      </c>
      <c r="AD653" s="235">
        <f t="shared" si="120"/>
        <v>0</v>
      </c>
      <c r="AE653" s="238">
        <f>MAX(I653/I687)</f>
        <v>0</v>
      </c>
      <c r="AF653" s="235">
        <f t="shared" si="121"/>
        <v>0</v>
      </c>
      <c r="AG653" s="238">
        <f>MAX(H653/H687)</f>
        <v>0</v>
      </c>
      <c r="AH653" s="235">
        <f t="shared" si="122"/>
        <v>0</v>
      </c>
    </row>
    <row r="654" spans="1:34" ht="15" customHeight="1" x14ac:dyDescent="0.2">
      <c r="A654" s="962" t="s">
        <v>360</v>
      </c>
      <c r="B654" s="1146">
        <v>4.8999999999999995</v>
      </c>
      <c r="C654" s="1146">
        <v>2</v>
      </c>
      <c r="D654" s="1146">
        <v>0</v>
      </c>
      <c r="E654" s="1146">
        <v>2</v>
      </c>
      <c r="F654" s="1146">
        <v>0</v>
      </c>
      <c r="G654" s="1146">
        <v>0</v>
      </c>
      <c r="H654" s="1146">
        <v>2.8999999999999995</v>
      </c>
      <c r="I654" s="1146">
        <v>4.8999999999999995</v>
      </c>
      <c r="J654" s="1147">
        <v>23.199999999999996</v>
      </c>
      <c r="K654" s="1147">
        <v>8</v>
      </c>
      <c r="L654" s="1066" t="s">
        <v>988</v>
      </c>
      <c r="M654" s="959">
        <v>2244000</v>
      </c>
      <c r="N654" s="959">
        <v>20573950.995439999</v>
      </c>
      <c r="O654" s="1149">
        <v>10025213.581488</v>
      </c>
      <c r="P654" s="950"/>
      <c r="Q654" s="2005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237">
        <f>MAX(J654/J687)</f>
        <v>1.1269247583426433E-2</v>
      </c>
      <c r="AD654" s="235">
        <f t="shared" si="120"/>
        <v>25288.191577208916</v>
      </c>
      <c r="AE654" s="238">
        <f>MAX(I654/I687)</f>
        <v>4.8061597312473942E-3</v>
      </c>
      <c r="AF654" s="235">
        <f t="shared" si="121"/>
        <v>98881.694786940963</v>
      </c>
      <c r="AG654" s="238">
        <f>MAX(H654/H687)</f>
        <v>1.0641225575635262E-2</v>
      </c>
      <c r="AH654" s="235">
        <f t="shared" si="122"/>
        <v>106680.5591645361</v>
      </c>
    </row>
    <row r="655" spans="1:34" ht="15" customHeight="1" x14ac:dyDescent="0.2">
      <c r="A655" s="962" t="s">
        <v>938</v>
      </c>
      <c r="B655" s="1146">
        <v>29</v>
      </c>
      <c r="C655" s="1146">
        <v>10</v>
      </c>
      <c r="D655" s="1146">
        <v>0</v>
      </c>
      <c r="E655" s="1146">
        <v>3</v>
      </c>
      <c r="F655" s="1146">
        <v>1</v>
      </c>
      <c r="G655" s="1146">
        <v>10</v>
      </c>
      <c r="H655" s="1146">
        <v>15</v>
      </c>
      <c r="I655" s="1146">
        <v>35</v>
      </c>
      <c r="J655" s="1147">
        <v>120</v>
      </c>
      <c r="K655" s="1147">
        <v>8</v>
      </c>
      <c r="L655" s="1066" t="s">
        <v>988</v>
      </c>
      <c r="M655" s="959">
        <v>2244000</v>
      </c>
      <c r="N655" s="959">
        <v>20573950.995439999</v>
      </c>
      <c r="O655" s="1149">
        <v>10025213.581488</v>
      </c>
      <c r="P655" s="950"/>
      <c r="Q655" s="2005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237">
        <f>MAX(J655/J687)</f>
        <v>5.8289211638412594E-2</v>
      </c>
      <c r="AD655" s="235">
        <f t="shared" si="120"/>
        <v>130800.99091659786</v>
      </c>
      <c r="AE655" s="238">
        <f>MAX(I655/I687)</f>
        <v>3.4329712366052818E-2</v>
      </c>
      <c r="AF655" s="235">
        <f t="shared" si="121"/>
        <v>706297.81990672124</v>
      </c>
      <c r="AG655" s="238">
        <f>MAX(H655/H687)</f>
        <v>5.5040821942941021E-2</v>
      </c>
      <c r="AH655" s="235">
        <f t="shared" si="122"/>
        <v>551795.99567863508</v>
      </c>
    </row>
    <row r="656" spans="1:34" ht="15" customHeight="1" x14ac:dyDescent="0.2">
      <c r="A656" s="962" t="s">
        <v>362</v>
      </c>
      <c r="B656" s="1146">
        <v>116</v>
      </c>
      <c r="C656" s="1146">
        <v>5</v>
      </c>
      <c r="D656" s="1146">
        <v>0</v>
      </c>
      <c r="E656" s="1146">
        <v>0</v>
      </c>
      <c r="F656" s="1146">
        <v>25</v>
      </c>
      <c r="G656" s="1146">
        <v>2</v>
      </c>
      <c r="H656" s="1146">
        <v>89</v>
      </c>
      <c r="I656" s="1146">
        <v>96</v>
      </c>
      <c r="J656" s="1147">
        <v>712</v>
      </c>
      <c r="K656" s="1147">
        <v>8</v>
      </c>
      <c r="L656" s="1066" t="s">
        <v>988</v>
      </c>
      <c r="M656" s="959">
        <v>2244000</v>
      </c>
      <c r="N656" s="959">
        <v>20573950.995439999</v>
      </c>
      <c r="O656" s="1149">
        <v>10025213.581488</v>
      </c>
      <c r="P656" s="950"/>
      <c r="Q656" s="2005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237">
        <f>MAX(J656/J687)</f>
        <v>0.34584932238791471</v>
      </c>
      <c r="AD656" s="235">
        <f t="shared" si="120"/>
        <v>776085.8794384806</v>
      </c>
      <c r="AE656" s="238">
        <f>MAX(I656/I687)</f>
        <v>9.4161496775459166E-2</v>
      </c>
      <c r="AF656" s="235">
        <f t="shared" si="121"/>
        <v>1937274.0203155784</v>
      </c>
      <c r="AG656" s="238">
        <f>MAX(H656/H687)</f>
        <v>0.32657554352811674</v>
      </c>
      <c r="AH656" s="235">
        <f t="shared" si="122"/>
        <v>3273989.5743599017</v>
      </c>
    </row>
    <row r="657" spans="1:34" ht="15" customHeight="1" x14ac:dyDescent="0.2">
      <c r="A657" s="962" t="s">
        <v>363</v>
      </c>
      <c r="B657" s="1146">
        <v>0</v>
      </c>
      <c r="C657" s="1146">
        <v>0</v>
      </c>
      <c r="D657" s="1146">
        <v>0</v>
      </c>
      <c r="E657" s="1146">
        <v>0</v>
      </c>
      <c r="F657" s="1146">
        <v>0</v>
      </c>
      <c r="G657" s="1146">
        <v>0</v>
      </c>
      <c r="H657" s="1146">
        <v>0</v>
      </c>
      <c r="I657" s="1146">
        <v>0</v>
      </c>
      <c r="J657" s="1147">
        <v>0</v>
      </c>
      <c r="K657" s="1147">
        <v>0</v>
      </c>
      <c r="L657" s="1066"/>
      <c r="M657" s="959"/>
      <c r="N657" s="959"/>
      <c r="O657" s="1149"/>
      <c r="P657" s="950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237">
        <f>MAX(J657/J687)</f>
        <v>0</v>
      </c>
      <c r="AD657" s="235">
        <f t="shared" si="120"/>
        <v>0</v>
      </c>
      <c r="AE657" s="238">
        <f>MAX(I657/I687)</f>
        <v>0</v>
      </c>
      <c r="AF657" s="235">
        <f t="shared" si="121"/>
        <v>0</v>
      </c>
      <c r="AG657" s="238">
        <f>MAX(H657/H687)</f>
        <v>0</v>
      </c>
      <c r="AH657" s="235">
        <f t="shared" si="122"/>
        <v>0</v>
      </c>
    </row>
    <row r="658" spans="1:34" ht="15" customHeight="1" x14ac:dyDescent="0.2">
      <c r="A658" s="962" t="s">
        <v>939</v>
      </c>
      <c r="B658" s="1146">
        <v>7</v>
      </c>
      <c r="C658" s="1146">
        <v>0</v>
      </c>
      <c r="D658" s="1146">
        <v>0</v>
      </c>
      <c r="E658" s="1146">
        <v>0</v>
      </c>
      <c r="F658" s="1146">
        <v>0</v>
      </c>
      <c r="G658" s="1146">
        <v>1</v>
      </c>
      <c r="H658" s="1146">
        <v>6</v>
      </c>
      <c r="I658" s="1146">
        <v>7</v>
      </c>
      <c r="J658" s="1147">
        <v>60</v>
      </c>
      <c r="K658" s="1147">
        <v>10</v>
      </c>
      <c r="L658" s="1066" t="s">
        <v>988</v>
      </c>
      <c r="M658" s="959">
        <v>2244000</v>
      </c>
      <c r="N658" s="959">
        <v>20573950.995439999</v>
      </c>
      <c r="O658" s="1149">
        <v>10025213.581488</v>
      </c>
      <c r="P658" s="950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237">
        <f>MAX(J658/J687)</f>
        <v>2.9144605819206297E-2</v>
      </c>
      <c r="AD658" s="235">
        <f t="shared" si="120"/>
        <v>65400.49545829893</v>
      </c>
      <c r="AE658" s="238">
        <f>MAX(I658/I687)</f>
        <v>6.8659424732105635E-3</v>
      </c>
      <c r="AF658" s="235">
        <f t="shared" si="121"/>
        <v>141259.56398134425</v>
      </c>
      <c r="AG658" s="238">
        <f>MAX(H658/H687)</f>
        <v>2.2016328777176408E-2</v>
      </c>
      <c r="AH658" s="235">
        <f t="shared" si="122"/>
        <v>220718.39827145403</v>
      </c>
    </row>
    <row r="659" spans="1:34" ht="15" customHeight="1" x14ac:dyDescent="0.2">
      <c r="A659" s="962" t="s">
        <v>365</v>
      </c>
      <c r="B659" s="1146">
        <v>0.5</v>
      </c>
      <c r="C659" s="1146">
        <v>0</v>
      </c>
      <c r="D659" s="1146">
        <v>0</v>
      </c>
      <c r="E659" s="1146">
        <v>0</v>
      </c>
      <c r="F659" s="1146">
        <v>0</v>
      </c>
      <c r="G659" s="1146">
        <v>0</v>
      </c>
      <c r="H659" s="1146">
        <v>0.5</v>
      </c>
      <c r="I659" s="1146">
        <v>0.5</v>
      </c>
      <c r="J659" s="1147">
        <v>4</v>
      </c>
      <c r="K659" s="1147">
        <v>8</v>
      </c>
      <c r="L659" s="1066" t="s">
        <v>988</v>
      </c>
      <c r="M659" s="959">
        <v>2244000</v>
      </c>
      <c r="N659" s="959">
        <v>20573950.995439999</v>
      </c>
      <c r="O659" s="1149">
        <v>10025213.581488</v>
      </c>
      <c r="P659" s="950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1966"/>
      <c r="AC659" s="237">
        <f>MAX(J659/J687)</f>
        <v>1.9429737212804199E-3</v>
      </c>
      <c r="AD659" s="235">
        <f t="shared" si="120"/>
        <v>4360.0330305532625</v>
      </c>
      <c r="AE659" s="238">
        <f>MAX(I659/I687)</f>
        <v>4.9042446237218312E-4</v>
      </c>
      <c r="AF659" s="235">
        <f t="shared" si="121"/>
        <v>10089.968855810303</v>
      </c>
      <c r="AG659" s="238">
        <f>MAX(H659/H687)</f>
        <v>1.8346940647647005E-3</v>
      </c>
      <c r="AH659" s="235">
        <f t="shared" si="122"/>
        <v>18393.199855954499</v>
      </c>
    </row>
    <row r="660" spans="1:34" ht="15" customHeight="1" x14ac:dyDescent="0.2">
      <c r="A660" s="962" t="s">
        <v>366</v>
      </c>
      <c r="B660" s="956">
        <v>0</v>
      </c>
      <c r="C660" s="1147"/>
      <c r="D660" s="1147"/>
      <c r="E660" s="1147"/>
      <c r="F660" s="1147"/>
      <c r="G660" s="1147"/>
      <c r="H660" s="1146">
        <v>0</v>
      </c>
      <c r="I660" s="1146">
        <v>0</v>
      </c>
      <c r="J660" s="1147">
        <v>0</v>
      </c>
      <c r="K660" s="1147">
        <v>0</v>
      </c>
      <c r="L660" s="1066"/>
      <c r="M660" s="959"/>
      <c r="N660" s="959"/>
      <c r="O660" s="1149"/>
      <c r="P660" s="950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1966"/>
      <c r="AC660" s="237">
        <f>MAX(J660/J687)</f>
        <v>0</v>
      </c>
      <c r="AD660" s="235">
        <f t="shared" si="120"/>
        <v>0</v>
      </c>
      <c r="AE660" s="238">
        <f>MAX(I660/I687)</f>
        <v>0</v>
      </c>
      <c r="AF660" s="235">
        <f t="shared" si="121"/>
        <v>0</v>
      </c>
      <c r="AG660" s="238">
        <f>MAX(H660/H687)</f>
        <v>0</v>
      </c>
      <c r="AH660" s="235">
        <f t="shared" si="122"/>
        <v>0</v>
      </c>
    </row>
    <row r="661" spans="1:34" ht="15" customHeight="1" x14ac:dyDescent="0.2">
      <c r="A661" s="962" t="s">
        <v>367</v>
      </c>
      <c r="B661" s="2325">
        <v>1.125</v>
      </c>
      <c r="C661" s="1146"/>
      <c r="D661" s="1146"/>
      <c r="E661" s="1146"/>
      <c r="F661" s="1146"/>
      <c r="G661" s="1146"/>
      <c r="H661" s="1146">
        <v>1.125</v>
      </c>
      <c r="I661" s="1146">
        <v>1.125</v>
      </c>
      <c r="J661" s="1147">
        <v>9</v>
      </c>
      <c r="K661" s="1147">
        <v>8</v>
      </c>
      <c r="L661" s="1066" t="s">
        <v>988</v>
      </c>
      <c r="M661" s="959">
        <v>2244000</v>
      </c>
      <c r="N661" s="959">
        <v>20573950.995439999</v>
      </c>
      <c r="O661" s="1149">
        <v>10025213.581488</v>
      </c>
      <c r="P661" s="950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1966"/>
      <c r="AC661" s="237">
        <f>MAX(J661/J687)</f>
        <v>4.3716908728809447E-3</v>
      </c>
      <c r="AD661" s="235">
        <f t="shared" si="120"/>
        <v>9810.0743187448406</v>
      </c>
      <c r="AE661" s="238">
        <f>MAX(I661/I687)</f>
        <v>1.1034550403374122E-3</v>
      </c>
      <c r="AF661" s="235">
        <f t="shared" si="121"/>
        <v>22702.429925573186</v>
      </c>
      <c r="AG661" s="238">
        <f>MAX(H661/H687)</f>
        <v>4.1280616457205765E-3</v>
      </c>
      <c r="AH661" s="235">
        <f t="shared" si="122"/>
        <v>41384.699675897631</v>
      </c>
    </row>
    <row r="662" spans="1:34" ht="15" customHeight="1" x14ac:dyDescent="0.2">
      <c r="A662" s="434" t="s">
        <v>940</v>
      </c>
      <c r="B662" s="1002">
        <v>6</v>
      </c>
      <c r="C662" s="1002">
        <v>1</v>
      </c>
      <c r="D662" s="1002">
        <v>0</v>
      </c>
      <c r="E662" s="1002">
        <v>1</v>
      </c>
      <c r="F662" s="1002">
        <v>0</v>
      </c>
      <c r="G662" s="1002">
        <v>2</v>
      </c>
      <c r="H662" s="1002">
        <v>3</v>
      </c>
      <c r="I662" s="1002">
        <v>6</v>
      </c>
      <c r="J662" s="1150">
        <v>27</v>
      </c>
      <c r="K662" s="1150">
        <v>9</v>
      </c>
      <c r="L662" s="1152"/>
      <c r="M662" s="996"/>
      <c r="N662" s="435"/>
      <c r="O662" s="436"/>
      <c r="P662" s="950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1966"/>
      <c r="AC662" s="1157"/>
      <c r="AD662" s="1156"/>
      <c r="AE662" s="1158"/>
      <c r="AF662" s="1156"/>
      <c r="AG662" s="1158"/>
      <c r="AH662" s="1156"/>
    </row>
    <row r="663" spans="1:34" ht="15" customHeight="1" x14ac:dyDescent="0.2">
      <c r="A663" s="962" t="s">
        <v>369</v>
      </c>
      <c r="B663" s="1818">
        <v>6</v>
      </c>
      <c r="C663" s="1146">
        <v>1</v>
      </c>
      <c r="D663" s="1146">
        <v>0</v>
      </c>
      <c r="E663" s="1146">
        <v>1</v>
      </c>
      <c r="F663" s="1146">
        <v>0</v>
      </c>
      <c r="G663" s="1146">
        <v>2</v>
      </c>
      <c r="H663" s="1146">
        <v>3</v>
      </c>
      <c r="I663" s="1146">
        <v>6</v>
      </c>
      <c r="J663" s="1147">
        <v>27</v>
      </c>
      <c r="K663" s="1147">
        <v>9</v>
      </c>
      <c r="L663" s="1066" t="s">
        <v>988</v>
      </c>
      <c r="M663" s="959">
        <v>2244000</v>
      </c>
      <c r="N663" s="959">
        <v>20573950.995439999</v>
      </c>
      <c r="O663" s="1149">
        <v>10025213.581488</v>
      </c>
      <c r="P663" s="950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1966"/>
      <c r="AC663" s="237">
        <f>MAX(J663/J687)</f>
        <v>1.3115072618642833E-2</v>
      </c>
      <c r="AD663" s="235">
        <f>MAX(M663*AC663)</f>
        <v>29430.222956234516</v>
      </c>
      <c r="AE663" s="238">
        <f>MAX(I663/I687)</f>
        <v>5.8850935484661979E-3</v>
      </c>
      <c r="AF663" s="235">
        <f>MAX(N663*AE663)</f>
        <v>121079.62626972365</v>
      </c>
      <c r="AG663" s="238">
        <f>MAX(H663/H687)</f>
        <v>1.1008164388588204E-2</v>
      </c>
      <c r="AH663" s="235">
        <f>MAX(O663*AG663)</f>
        <v>110359.19913572702</v>
      </c>
    </row>
    <row r="664" spans="1:34" ht="15" customHeight="1" x14ac:dyDescent="0.2">
      <c r="A664" s="962" t="s">
        <v>370</v>
      </c>
      <c r="B664" s="1818">
        <v>0</v>
      </c>
      <c r="C664" s="1146">
        <v>0</v>
      </c>
      <c r="D664" s="1146">
        <v>0</v>
      </c>
      <c r="E664" s="1146">
        <v>0</v>
      </c>
      <c r="F664" s="1146">
        <v>0</v>
      </c>
      <c r="G664" s="1146">
        <v>0</v>
      </c>
      <c r="H664" s="1146">
        <v>0</v>
      </c>
      <c r="I664" s="1146">
        <v>0</v>
      </c>
      <c r="J664" s="1147">
        <v>0</v>
      </c>
      <c r="K664" s="1147">
        <v>0</v>
      </c>
      <c r="L664" s="1148"/>
      <c r="M664" s="959"/>
      <c r="N664" s="959"/>
      <c r="O664" s="1149"/>
      <c r="P664" s="950"/>
      <c r="Q664" s="2005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237">
        <f>MAX(J664/J687)</f>
        <v>0</v>
      </c>
      <c r="AD664" s="235">
        <f>MAX(M664*AC664)</f>
        <v>0</v>
      </c>
      <c r="AE664" s="238">
        <f>MAX(I664/I687)</f>
        <v>0</v>
      </c>
      <c r="AF664" s="235">
        <f>MAX(N664*AE664)</f>
        <v>0</v>
      </c>
      <c r="AG664" s="238">
        <f>MAX(H664/H687)</f>
        <v>0</v>
      </c>
      <c r="AH664" s="235">
        <f>MAX(O664*AG664)</f>
        <v>0</v>
      </c>
    </row>
    <row r="665" spans="1:34" ht="15" customHeight="1" x14ac:dyDescent="0.2">
      <c r="A665" s="962" t="s">
        <v>371</v>
      </c>
      <c r="B665" s="1818">
        <v>0</v>
      </c>
      <c r="C665" s="1146">
        <v>0</v>
      </c>
      <c r="D665" s="1146">
        <v>0</v>
      </c>
      <c r="E665" s="1146">
        <v>0</v>
      </c>
      <c r="F665" s="1146">
        <v>0</v>
      </c>
      <c r="G665" s="1146">
        <v>0</v>
      </c>
      <c r="H665" s="1146">
        <v>0</v>
      </c>
      <c r="I665" s="1146">
        <v>0</v>
      </c>
      <c r="J665" s="1147">
        <v>0</v>
      </c>
      <c r="K665" s="1147">
        <v>0</v>
      </c>
      <c r="L665" s="1148"/>
      <c r="M665" s="959"/>
      <c r="N665" s="959"/>
      <c r="O665" s="1534"/>
      <c r="P665" s="950"/>
      <c r="Q665" s="2005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237">
        <f>MAX(J665/J687)</f>
        <v>0</v>
      </c>
      <c r="AD665" s="235">
        <f>MAX(M665*AC665)</f>
        <v>0</v>
      </c>
      <c r="AE665" s="238">
        <f>MAX(I665/I687)</f>
        <v>0</v>
      </c>
      <c r="AF665" s="235">
        <f>MAX(N665*AE665)</f>
        <v>0</v>
      </c>
      <c r="AG665" s="238">
        <f>MAX(H665/H687)</f>
        <v>0</v>
      </c>
      <c r="AH665" s="235">
        <f>MAX(O665*AG665)</f>
        <v>0</v>
      </c>
    </row>
    <row r="666" spans="1:34" ht="15" customHeight="1" x14ac:dyDescent="0.2">
      <c r="A666" s="962" t="s">
        <v>372</v>
      </c>
      <c r="B666" s="1818">
        <v>0</v>
      </c>
      <c r="C666" s="1146">
        <v>0</v>
      </c>
      <c r="D666" s="1146">
        <v>0</v>
      </c>
      <c r="E666" s="1146">
        <v>0</v>
      </c>
      <c r="F666" s="1146">
        <v>0</v>
      </c>
      <c r="G666" s="1146">
        <v>0</v>
      </c>
      <c r="H666" s="1146">
        <v>0</v>
      </c>
      <c r="I666" s="1146">
        <v>0</v>
      </c>
      <c r="J666" s="1147">
        <v>0</v>
      </c>
      <c r="K666" s="1147">
        <v>0</v>
      </c>
      <c r="L666" s="1148"/>
      <c r="M666" s="959"/>
      <c r="N666" s="959"/>
      <c r="O666" s="1149"/>
      <c r="P666" s="950"/>
      <c r="Q666" s="2005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237">
        <f>MAX(J666/J687)</f>
        <v>0</v>
      </c>
      <c r="AD666" s="235">
        <f>MAX(M666*AC666)</f>
        <v>0</v>
      </c>
      <c r="AE666" s="238">
        <f>MAX(I666/I687)</f>
        <v>0</v>
      </c>
      <c r="AF666" s="235">
        <f>MAX(N666*AE666)</f>
        <v>0</v>
      </c>
      <c r="AG666" s="238">
        <f>MAX(H666/H687)</f>
        <v>0</v>
      </c>
      <c r="AH666" s="235">
        <f>MAX(O666*AG666)</f>
        <v>0</v>
      </c>
    </row>
    <row r="667" spans="1:34" ht="15" customHeight="1" x14ac:dyDescent="0.2">
      <c r="A667" s="962" t="s">
        <v>373</v>
      </c>
      <c r="B667" s="1818">
        <v>0</v>
      </c>
      <c r="C667" s="1146">
        <v>0</v>
      </c>
      <c r="D667" s="1146">
        <v>0</v>
      </c>
      <c r="E667" s="1146">
        <v>0</v>
      </c>
      <c r="F667" s="1146">
        <v>0</v>
      </c>
      <c r="G667" s="1146">
        <v>0</v>
      </c>
      <c r="H667" s="1146">
        <v>0</v>
      </c>
      <c r="I667" s="1146">
        <v>0</v>
      </c>
      <c r="J667" s="1147">
        <v>0</v>
      </c>
      <c r="K667" s="1147">
        <v>0</v>
      </c>
      <c r="L667" s="1148"/>
      <c r="M667" s="959"/>
      <c r="N667" s="959"/>
      <c r="O667" s="1149"/>
      <c r="P667" s="950"/>
      <c r="Q667" s="2005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237">
        <f>MAX(J667/J687)</f>
        <v>0</v>
      </c>
      <c r="AD667" s="235">
        <f>MAX(M667*AC667)</f>
        <v>0</v>
      </c>
      <c r="AE667" s="238">
        <f>MAX(I667/I687)</f>
        <v>0</v>
      </c>
      <c r="AF667" s="235">
        <f>MAX(N667*AE667)</f>
        <v>0</v>
      </c>
      <c r="AG667" s="238">
        <f>MAX(H667/H687)</f>
        <v>0</v>
      </c>
      <c r="AH667" s="235">
        <f>MAX(O667*AG667)</f>
        <v>0</v>
      </c>
    </row>
    <row r="668" spans="1:34" ht="15" customHeight="1" x14ac:dyDescent="0.2">
      <c r="A668" s="1154" t="s">
        <v>374</v>
      </c>
      <c r="B668" s="1002">
        <v>42.5</v>
      </c>
      <c r="C668" s="1002">
        <v>500</v>
      </c>
      <c r="D668" s="1002">
        <v>0</v>
      </c>
      <c r="E668" s="1002">
        <v>8</v>
      </c>
      <c r="F668" s="1002">
        <v>0</v>
      </c>
      <c r="G668" s="1002">
        <v>0</v>
      </c>
      <c r="H668" s="1002">
        <v>34.5</v>
      </c>
      <c r="I668" s="1002">
        <v>534.5</v>
      </c>
      <c r="J668" s="1150">
        <v>172.5</v>
      </c>
      <c r="K668" s="1150">
        <v>5</v>
      </c>
      <c r="L668" s="1152"/>
      <c r="M668" s="996"/>
      <c r="N668" s="435"/>
      <c r="O668" s="436"/>
      <c r="P668" s="9"/>
      <c r="Q668" s="2005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1157"/>
      <c r="AD668" s="1156"/>
      <c r="AE668" s="1158"/>
      <c r="AF668" s="1156"/>
      <c r="AG668" s="1158"/>
      <c r="AH668" s="1156"/>
    </row>
    <row r="669" spans="1:34" ht="15" customHeight="1" x14ac:dyDescent="0.2">
      <c r="A669" s="962" t="s">
        <v>375</v>
      </c>
      <c r="B669" s="956">
        <v>2</v>
      </c>
      <c r="C669" s="1146">
        <v>0</v>
      </c>
      <c r="D669" s="1146">
        <v>0</v>
      </c>
      <c r="E669" s="1146">
        <v>0</v>
      </c>
      <c r="F669" s="1146">
        <v>0</v>
      </c>
      <c r="G669" s="1146">
        <v>0</v>
      </c>
      <c r="H669" s="1146">
        <v>2</v>
      </c>
      <c r="I669" s="1146">
        <v>2</v>
      </c>
      <c r="J669" s="1147">
        <v>20</v>
      </c>
      <c r="K669" s="1147">
        <v>10</v>
      </c>
      <c r="L669" s="1066" t="s">
        <v>988</v>
      </c>
      <c r="M669" s="959">
        <v>2244000</v>
      </c>
      <c r="N669" s="959">
        <v>20573950.995439999</v>
      </c>
      <c r="O669" s="1149">
        <v>10025213.581488</v>
      </c>
      <c r="P669" s="950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237">
        <f>MAX(J669/J687)</f>
        <v>9.7148686064020984E-3</v>
      </c>
      <c r="AD669" s="235">
        <f t="shared" ref="AD669:AD676" si="123">MAX(M669*AC669)</f>
        <v>21800.165152766309</v>
      </c>
      <c r="AE669" s="238">
        <f>MAX(I669/I687)</f>
        <v>1.9616978494887325E-3</v>
      </c>
      <c r="AF669" s="235">
        <f t="shared" ref="AF669:AF676" si="124">MAX(N669*AE669)</f>
        <v>40359.87542324121</v>
      </c>
      <c r="AG669" s="238">
        <f>MAX(H669/H687)</f>
        <v>7.3387762590588022E-3</v>
      </c>
      <c r="AH669" s="235">
        <f t="shared" ref="AH669:AH676" si="125">MAX(O669*AG669)</f>
        <v>73572.799423817996</v>
      </c>
    </row>
    <row r="670" spans="1:34" ht="15" customHeight="1" x14ac:dyDescent="0.2">
      <c r="A670" s="962" t="s">
        <v>376</v>
      </c>
      <c r="B670" s="956">
        <v>0</v>
      </c>
      <c r="C670" s="1146">
        <v>0</v>
      </c>
      <c r="D670" s="1146">
        <v>0</v>
      </c>
      <c r="E670" s="1146">
        <v>0</v>
      </c>
      <c r="F670" s="1146">
        <v>0</v>
      </c>
      <c r="G670" s="1146">
        <v>0</v>
      </c>
      <c r="H670" s="1146">
        <v>0</v>
      </c>
      <c r="I670" s="1146">
        <v>0</v>
      </c>
      <c r="J670" s="1147">
        <v>0</v>
      </c>
      <c r="K670" s="1147">
        <v>0</v>
      </c>
      <c r="L670" s="1148"/>
      <c r="M670" s="959"/>
      <c r="N670" s="959"/>
      <c r="O670" s="1149"/>
      <c r="P670" s="950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237">
        <f>MAX(J670/J687)</f>
        <v>0</v>
      </c>
      <c r="AD670" s="235">
        <f t="shared" si="123"/>
        <v>0</v>
      </c>
      <c r="AE670" s="238">
        <f>MAX(I670/I687)</f>
        <v>0</v>
      </c>
      <c r="AF670" s="235">
        <f t="shared" si="124"/>
        <v>0</v>
      </c>
      <c r="AG670" s="238">
        <f>MAX(H670/H687)</f>
        <v>0</v>
      </c>
      <c r="AH670" s="235">
        <f t="shared" si="125"/>
        <v>0</v>
      </c>
    </row>
    <row r="671" spans="1:34" ht="15" customHeight="1" x14ac:dyDescent="0.2">
      <c r="A671" s="962" t="s">
        <v>377</v>
      </c>
      <c r="B671" s="956">
        <v>5</v>
      </c>
      <c r="C671" s="1146"/>
      <c r="D671" s="1146"/>
      <c r="E671" s="1146"/>
      <c r="F671" s="1146"/>
      <c r="G671" s="1146"/>
      <c r="H671" s="1146">
        <v>5</v>
      </c>
      <c r="I671" s="1146">
        <v>5</v>
      </c>
      <c r="J671" s="1147">
        <v>35</v>
      </c>
      <c r="K671" s="1147">
        <v>7</v>
      </c>
      <c r="L671" s="1066" t="s">
        <v>988</v>
      </c>
      <c r="M671" s="959">
        <v>2244000</v>
      </c>
      <c r="N671" s="959">
        <v>20573950.995439999</v>
      </c>
      <c r="O671" s="1149">
        <v>10025213.581488</v>
      </c>
      <c r="P671" s="950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237">
        <f>MAX(J671/J687)</f>
        <v>1.7001020061203673E-2</v>
      </c>
      <c r="AD671" s="235">
        <f t="shared" si="123"/>
        <v>38150.289017341041</v>
      </c>
      <c r="AE671" s="238">
        <f>MAX(I671/I687)</f>
        <v>4.9042446237218314E-3</v>
      </c>
      <c r="AF671" s="235">
        <f t="shared" si="124"/>
        <v>100899.68855810304</v>
      </c>
      <c r="AG671" s="238">
        <f>MAX(H671/H687)</f>
        <v>1.8346940647647008E-2</v>
      </c>
      <c r="AH671" s="235">
        <f t="shared" si="125"/>
        <v>183931.99855954503</v>
      </c>
    </row>
    <row r="672" spans="1:34" ht="15" customHeight="1" x14ac:dyDescent="0.2">
      <c r="A672" s="962" t="s">
        <v>378</v>
      </c>
      <c r="B672" s="1146">
        <v>13.5</v>
      </c>
      <c r="C672" s="1146">
        <v>500</v>
      </c>
      <c r="D672" s="1146">
        <v>0</v>
      </c>
      <c r="E672" s="1146">
        <v>8</v>
      </c>
      <c r="F672" s="1146">
        <v>0</v>
      </c>
      <c r="G672" s="1146">
        <v>0</v>
      </c>
      <c r="H672" s="1146">
        <v>5.5</v>
      </c>
      <c r="I672" s="1146">
        <v>505.5</v>
      </c>
      <c r="J672" s="1147">
        <v>38.5</v>
      </c>
      <c r="K672" s="1147">
        <v>7</v>
      </c>
      <c r="L672" s="1066" t="s">
        <v>988</v>
      </c>
      <c r="M672" s="959">
        <v>2244000</v>
      </c>
      <c r="N672" s="959">
        <v>20573950.995439999</v>
      </c>
      <c r="O672" s="1149">
        <v>10025213.581488</v>
      </c>
      <c r="P672" s="950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237">
        <f>MAX(J672/J687)</f>
        <v>1.8701122067324043E-2</v>
      </c>
      <c r="AD672" s="235">
        <f t="shared" si="123"/>
        <v>41965.317919075154</v>
      </c>
      <c r="AE672" s="238">
        <f>MAX(I672/I687)</f>
        <v>0.49581913145827716</v>
      </c>
      <c r="AF672" s="235">
        <f t="shared" si="124"/>
        <v>10200958.513224216</v>
      </c>
      <c r="AG672" s="238">
        <f>MAX(H672/H687)</f>
        <v>2.0181634712411706E-2</v>
      </c>
      <c r="AH672" s="235">
        <f t="shared" si="125"/>
        <v>202325.1984154995</v>
      </c>
    </row>
    <row r="673" spans="1:34" ht="15" customHeight="1" x14ac:dyDescent="0.2">
      <c r="A673" s="962" t="s">
        <v>379</v>
      </c>
      <c r="B673" s="956">
        <v>7</v>
      </c>
      <c r="C673" s="1146"/>
      <c r="D673" s="1146"/>
      <c r="E673" s="1146"/>
      <c r="F673" s="1146"/>
      <c r="G673" s="1146"/>
      <c r="H673" s="1146">
        <v>7</v>
      </c>
      <c r="I673" s="1146">
        <v>7</v>
      </c>
      <c r="J673" s="1147">
        <v>49</v>
      </c>
      <c r="K673" s="1147">
        <v>7</v>
      </c>
      <c r="L673" s="1066" t="s">
        <v>988</v>
      </c>
      <c r="M673" s="959">
        <v>2244000</v>
      </c>
      <c r="N673" s="959">
        <v>20573950.995439999</v>
      </c>
      <c r="O673" s="1149">
        <v>10025213.581488</v>
      </c>
      <c r="P673" s="950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237">
        <f>MAX(J673/J687)</f>
        <v>2.3801428085685142E-2</v>
      </c>
      <c r="AD673" s="235">
        <f t="shared" si="123"/>
        <v>53410.404624277457</v>
      </c>
      <c r="AE673" s="238">
        <f>MAX(I673/I687)</f>
        <v>6.8659424732105635E-3</v>
      </c>
      <c r="AF673" s="235">
        <f t="shared" si="124"/>
        <v>141259.56398134425</v>
      </c>
      <c r="AG673" s="238">
        <f>MAX(H673/H687)</f>
        <v>2.5685716906705808E-2</v>
      </c>
      <c r="AH673" s="235">
        <f t="shared" si="125"/>
        <v>257504.79798336301</v>
      </c>
    </row>
    <row r="674" spans="1:34" ht="15" customHeight="1" x14ac:dyDescent="0.2">
      <c r="A674" s="962" t="s">
        <v>380</v>
      </c>
      <c r="B674" s="956">
        <v>6</v>
      </c>
      <c r="C674" s="1146">
        <v>0</v>
      </c>
      <c r="D674" s="1146">
        <v>0</v>
      </c>
      <c r="E674" s="1146">
        <v>0</v>
      </c>
      <c r="F674" s="1146">
        <v>0</v>
      </c>
      <c r="G674" s="1146">
        <v>0</v>
      </c>
      <c r="H674" s="1146">
        <v>6</v>
      </c>
      <c r="I674" s="1146">
        <v>6</v>
      </c>
      <c r="J674" s="1147">
        <v>30</v>
      </c>
      <c r="K674" s="1147">
        <v>5</v>
      </c>
      <c r="L674" s="1066" t="s">
        <v>988</v>
      </c>
      <c r="M674" s="959">
        <v>2244000</v>
      </c>
      <c r="N674" s="959">
        <v>20573950.995439999</v>
      </c>
      <c r="O674" s="1149">
        <v>10025213.581488</v>
      </c>
      <c r="P674" s="950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237">
        <f>MAX(J674/J687)</f>
        <v>1.4572302909603149E-2</v>
      </c>
      <c r="AD674" s="235">
        <f t="shared" si="123"/>
        <v>32700.247729149465</v>
      </c>
      <c r="AE674" s="238">
        <f>MAX(I674/I687)</f>
        <v>5.8850935484661979E-3</v>
      </c>
      <c r="AF674" s="235">
        <f t="shared" si="124"/>
        <v>121079.62626972365</v>
      </c>
      <c r="AG674" s="238">
        <f>MAX(H674/H687)</f>
        <v>2.2016328777176408E-2</v>
      </c>
      <c r="AH674" s="235">
        <f t="shared" si="125"/>
        <v>220718.39827145403</v>
      </c>
    </row>
    <row r="675" spans="1:34" ht="15" customHeight="1" x14ac:dyDescent="0.2">
      <c r="A675" s="962" t="s">
        <v>381</v>
      </c>
      <c r="B675" s="956">
        <v>9</v>
      </c>
      <c r="C675" s="1146"/>
      <c r="D675" s="1146"/>
      <c r="E675" s="1146"/>
      <c r="F675" s="1146"/>
      <c r="G675" s="1146"/>
      <c r="H675" s="1146">
        <v>9</v>
      </c>
      <c r="I675" s="1146">
        <v>9</v>
      </c>
      <c r="J675" s="1147">
        <v>0</v>
      </c>
      <c r="K675" s="1147">
        <v>0</v>
      </c>
      <c r="L675" s="1066" t="s">
        <v>988</v>
      </c>
      <c r="M675" s="959">
        <v>2244000</v>
      </c>
      <c r="N675" s="959">
        <v>20573950.995439999</v>
      </c>
      <c r="O675" s="1149">
        <v>10025213.581488</v>
      </c>
      <c r="P675" s="950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237">
        <f>MAX(J675/J687)</f>
        <v>0</v>
      </c>
      <c r="AD675" s="235">
        <f t="shared" si="123"/>
        <v>0</v>
      </c>
      <c r="AE675" s="238">
        <f>MAX(I675/I687)</f>
        <v>8.8276403226992973E-3</v>
      </c>
      <c r="AF675" s="235">
        <f t="shared" si="124"/>
        <v>181619.43940458549</v>
      </c>
      <c r="AG675" s="238">
        <f>MAX(H675/H687)</f>
        <v>3.3024493165764612E-2</v>
      </c>
      <c r="AH675" s="235">
        <f t="shared" si="125"/>
        <v>331077.59740718105</v>
      </c>
    </row>
    <row r="676" spans="1:34" ht="15" customHeight="1" x14ac:dyDescent="0.2">
      <c r="A676" s="962" t="s">
        <v>382</v>
      </c>
      <c r="B676" s="956">
        <v>0</v>
      </c>
      <c r="C676" s="1146">
        <v>0</v>
      </c>
      <c r="D676" s="1146">
        <v>0</v>
      </c>
      <c r="E676" s="1146">
        <v>0</v>
      </c>
      <c r="F676" s="1146">
        <v>0</v>
      </c>
      <c r="G676" s="1146">
        <v>0</v>
      </c>
      <c r="H676" s="1146">
        <v>0</v>
      </c>
      <c r="I676" s="1146">
        <v>0</v>
      </c>
      <c r="J676" s="1147">
        <v>0</v>
      </c>
      <c r="K676" s="1147">
        <v>0</v>
      </c>
      <c r="L676" s="1148"/>
      <c r="M676" s="959"/>
      <c r="N676" s="959"/>
      <c r="O676" s="1149"/>
      <c r="P676" s="950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237">
        <f>MAX(J676/J687)</f>
        <v>0</v>
      </c>
      <c r="AD676" s="235">
        <f t="shared" si="123"/>
        <v>0</v>
      </c>
      <c r="AE676" s="238">
        <f>MAX(I676/I687)</f>
        <v>0</v>
      </c>
      <c r="AF676" s="235">
        <f t="shared" si="124"/>
        <v>0</v>
      </c>
      <c r="AG676" s="238">
        <f>MAX(H676/H687)</f>
        <v>0</v>
      </c>
      <c r="AH676" s="235">
        <f t="shared" si="125"/>
        <v>0</v>
      </c>
    </row>
    <row r="677" spans="1:34" ht="15" customHeight="1" x14ac:dyDescent="0.2">
      <c r="A677" s="1154" t="s">
        <v>383</v>
      </c>
      <c r="B677" s="1002">
        <v>22</v>
      </c>
      <c r="C677" s="1002">
        <v>0</v>
      </c>
      <c r="D677" s="1002">
        <v>3</v>
      </c>
      <c r="E677" s="1002">
        <v>2</v>
      </c>
      <c r="F677" s="1002">
        <v>1</v>
      </c>
      <c r="G677" s="1002">
        <v>8</v>
      </c>
      <c r="H677" s="1002">
        <v>8</v>
      </c>
      <c r="I677" s="1002">
        <v>19</v>
      </c>
      <c r="J677" s="1150">
        <v>40</v>
      </c>
      <c r="K677" s="1150"/>
      <c r="L677" s="1152"/>
      <c r="M677" s="996"/>
      <c r="N677" s="996"/>
      <c r="O677" s="1153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1157"/>
      <c r="AD677" s="1156"/>
      <c r="AE677" s="1158"/>
      <c r="AF677" s="1156"/>
      <c r="AG677" s="1158"/>
      <c r="AH677" s="1156"/>
    </row>
    <row r="678" spans="1:34" ht="15" customHeight="1" x14ac:dyDescent="0.2">
      <c r="A678" s="962" t="s">
        <v>384</v>
      </c>
      <c r="B678" s="956">
        <v>0</v>
      </c>
      <c r="C678" s="1146">
        <v>0</v>
      </c>
      <c r="D678" s="1146">
        <v>0</v>
      </c>
      <c r="E678" s="1146">
        <v>0</v>
      </c>
      <c r="F678" s="1146">
        <v>0</v>
      </c>
      <c r="G678" s="1146">
        <v>0</v>
      </c>
      <c r="H678" s="1146">
        <v>0</v>
      </c>
      <c r="I678" s="1146">
        <v>0</v>
      </c>
      <c r="J678" s="1147">
        <v>0</v>
      </c>
      <c r="K678" s="1147">
        <v>0</v>
      </c>
      <c r="L678" s="1148"/>
      <c r="M678" s="959"/>
      <c r="N678" s="959"/>
      <c r="O678" s="1149"/>
      <c r="P678" s="950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237">
        <f>MAX(J678/J687)</f>
        <v>0</v>
      </c>
      <c r="AD678" s="235">
        <f t="shared" ref="AD678:AD686" si="126">MAX(M678*AC678)</f>
        <v>0</v>
      </c>
      <c r="AE678" s="238">
        <f>MAX(I678/I687)</f>
        <v>0</v>
      </c>
      <c r="AF678" s="235">
        <f t="shared" ref="AF678:AF686" si="127">MAX(N678*AE678)</f>
        <v>0</v>
      </c>
      <c r="AG678" s="238">
        <f>MAX(H678/H687)</f>
        <v>0</v>
      </c>
      <c r="AH678" s="235">
        <f t="shared" ref="AH678:AH686" si="128">MAX(O678*AG678)</f>
        <v>0</v>
      </c>
    </row>
    <row r="679" spans="1:34" ht="15" customHeight="1" x14ac:dyDescent="0.2">
      <c r="A679" s="962" t="s">
        <v>385</v>
      </c>
      <c r="B679" s="956">
        <v>0</v>
      </c>
      <c r="C679" s="1146">
        <v>0</v>
      </c>
      <c r="D679" s="1146">
        <v>0</v>
      </c>
      <c r="E679" s="1146">
        <v>0</v>
      </c>
      <c r="F679" s="1146">
        <v>0</v>
      </c>
      <c r="G679" s="1146">
        <v>0</v>
      </c>
      <c r="H679" s="1146">
        <v>0</v>
      </c>
      <c r="I679" s="1146">
        <v>0</v>
      </c>
      <c r="J679" s="1147">
        <v>0</v>
      </c>
      <c r="K679" s="1147">
        <v>0</v>
      </c>
      <c r="L679" s="1148"/>
      <c r="M679" s="959"/>
      <c r="N679" s="959"/>
      <c r="O679" s="1149"/>
      <c r="P679" s="950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237">
        <f>MAX(J679/J687)</f>
        <v>0</v>
      </c>
      <c r="AD679" s="235">
        <f t="shared" si="126"/>
        <v>0</v>
      </c>
      <c r="AE679" s="238">
        <f>MAX(I679/I687)</f>
        <v>0</v>
      </c>
      <c r="AF679" s="235">
        <f t="shared" si="127"/>
        <v>0</v>
      </c>
      <c r="AG679" s="238">
        <f>MAX(H679/H687)</f>
        <v>0</v>
      </c>
      <c r="AH679" s="235">
        <f t="shared" si="128"/>
        <v>0</v>
      </c>
    </row>
    <row r="680" spans="1:34" ht="15" customHeight="1" x14ac:dyDescent="0.2">
      <c r="A680" s="962" t="s">
        <v>386</v>
      </c>
      <c r="B680" s="956">
        <v>0</v>
      </c>
      <c r="C680" s="1146">
        <v>0</v>
      </c>
      <c r="D680" s="1146">
        <v>0</v>
      </c>
      <c r="E680" s="1146">
        <v>0</v>
      </c>
      <c r="F680" s="1146">
        <v>0</v>
      </c>
      <c r="G680" s="1146">
        <v>0</v>
      </c>
      <c r="H680" s="1146">
        <v>0</v>
      </c>
      <c r="I680" s="1146">
        <v>0</v>
      </c>
      <c r="J680" s="1147">
        <v>0</v>
      </c>
      <c r="K680" s="1147">
        <v>0</v>
      </c>
      <c r="L680" s="1148"/>
      <c r="M680" s="959"/>
      <c r="N680" s="959"/>
      <c r="O680" s="1149"/>
      <c r="P680" s="950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237">
        <f>MAX(J680/J687)</f>
        <v>0</v>
      </c>
      <c r="AD680" s="235">
        <f t="shared" si="126"/>
        <v>0</v>
      </c>
      <c r="AE680" s="238">
        <f>MAX(I680/I687)</f>
        <v>0</v>
      </c>
      <c r="AF680" s="235">
        <f t="shared" si="127"/>
        <v>0</v>
      </c>
      <c r="AG680" s="238">
        <f>MAX(H680/H687)</f>
        <v>0</v>
      </c>
      <c r="AH680" s="235">
        <f t="shared" si="128"/>
        <v>0</v>
      </c>
    </row>
    <row r="681" spans="1:34" ht="15" customHeight="1" x14ac:dyDescent="0.2">
      <c r="A681" s="962" t="s">
        <v>387</v>
      </c>
      <c r="B681" s="956">
        <v>22</v>
      </c>
      <c r="C681" s="1146">
        <v>0</v>
      </c>
      <c r="D681" s="1146">
        <v>3</v>
      </c>
      <c r="E681" s="1146">
        <v>2</v>
      </c>
      <c r="F681" s="1146">
        <v>1</v>
      </c>
      <c r="G681" s="1146">
        <v>8</v>
      </c>
      <c r="H681" s="1146">
        <v>8</v>
      </c>
      <c r="I681" s="1146">
        <v>19</v>
      </c>
      <c r="J681" s="1147">
        <v>40</v>
      </c>
      <c r="K681" s="1147">
        <v>5</v>
      </c>
      <c r="L681" s="1066" t="s">
        <v>988</v>
      </c>
      <c r="M681" s="959">
        <v>2244000</v>
      </c>
      <c r="N681" s="959">
        <v>20573950.995439999</v>
      </c>
      <c r="O681" s="1149">
        <v>10025213.581488</v>
      </c>
      <c r="P681" s="950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237">
        <f>MAX(J681/J687)</f>
        <v>1.9429737212804197E-2</v>
      </c>
      <c r="AD681" s="235">
        <f t="shared" si="126"/>
        <v>43600.330305532618</v>
      </c>
      <c r="AE681" s="238">
        <f>MAX(I681/I687)</f>
        <v>1.8636129570142958E-2</v>
      </c>
      <c r="AF681" s="235">
        <f t="shared" si="127"/>
        <v>383418.8165207915</v>
      </c>
      <c r="AG681" s="238">
        <f>MAX(H681/H687)</f>
        <v>2.9355105036235209E-2</v>
      </c>
      <c r="AH681" s="235">
        <f t="shared" si="128"/>
        <v>294291.19769527199</v>
      </c>
    </row>
    <row r="682" spans="1:34" ht="15" customHeight="1" x14ac:dyDescent="0.2">
      <c r="A682" s="962" t="s">
        <v>388</v>
      </c>
      <c r="B682" s="956">
        <v>0</v>
      </c>
      <c r="C682" s="1146"/>
      <c r="D682" s="1146"/>
      <c r="E682" s="1146"/>
      <c r="F682" s="1146"/>
      <c r="G682" s="1146"/>
      <c r="H682" s="1146">
        <v>0</v>
      </c>
      <c r="I682" s="1146">
        <v>0</v>
      </c>
      <c r="J682" s="1147">
        <v>0</v>
      </c>
      <c r="K682" s="1147">
        <v>0</v>
      </c>
      <c r="L682" s="1148"/>
      <c r="M682" s="959"/>
      <c r="N682" s="959"/>
      <c r="O682" s="1149"/>
      <c r="P682" s="950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237">
        <f>MAX(J682/J687)</f>
        <v>0</v>
      </c>
      <c r="AD682" s="235">
        <f t="shared" si="126"/>
        <v>0</v>
      </c>
      <c r="AE682" s="238">
        <f>MAX(I682/I687)</f>
        <v>0</v>
      </c>
      <c r="AF682" s="235">
        <f t="shared" si="127"/>
        <v>0</v>
      </c>
      <c r="AG682" s="238">
        <f>MAX(H682/H687)</f>
        <v>0</v>
      </c>
      <c r="AH682" s="235">
        <f t="shared" si="128"/>
        <v>0</v>
      </c>
    </row>
    <row r="683" spans="1:34" ht="15" customHeight="1" x14ac:dyDescent="0.2">
      <c r="A683" s="962" t="s">
        <v>389</v>
      </c>
      <c r="B683" s="956">
        <v>0</v>
      </c>
      <c r="C683" s="1146"/>
      <c r="D683" s="1146"/>
      <c r="E683" s="1146"/>
      <c r="F683" s="1146"/>
      <c r="G683" s="1146"/>
      <c r="H683" s="1146">
        <v>0</v>
      </c>
      <c r="I683" s="1146">
        <v>0</v>
      </c>
      <c r="J683" s="1147">
        <v>0</v>
      </c>
      <c r="K683" s="1147">
        <v>0</v>
      </c>
      <c r="L683" s="1148"/>
      <c r="M683" s="959"/>
      <c r="N683" s="959"/>
      <c r="O683" s="1149"/>
      <c r="P683" s="950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237">
        <f>MAX(J683/J687)</f>
        <v>0</v>
      </c>
      <c r="AD683" s="235">
        <f t="shared" si="126"/>
        <v>0</v>
      </c>
      <c r="AE683" s="238">
        <f>MAX(I683/I687)</f>
        <v>0</v>
      </c>
      <c r="AF683" s="235">
        <f t="shared" si="127"/>
        <v>0</v>
      </c>
      <c r="AG683" s="238">
        <f>MAX(H683/H687)</f>
        <v>0</v>
      </c>
      <c r="AH683" s="235">
        <f t="shared" si="128"/>
        <v>0</v>
      </c>
    </row>
    <row r="684" spans="1:34" ht="15" customHeight="1" x14ac:dyDescent="0.2">
      <c r="A684" s="962" t="s">
        <v>390</v>
      </c>
      <c r="B684" s="956">
        <v>0</v>
      </c>
      <c r="C684" s="1146"/>
      <c r="D684" s="1146"/>
      <c r="E684" s="1146"/>
      <c r="F684" s="1146"/>
      <c r="G684" s="1146"/>
      <c r="H684" s="1146">
        <v>0</v>
      </c>
      <c r="I684" s="1146">
        <v>0</v>
      </c>
      <c r="J684" s="1147">
        <v>0</v>
      </c>
      <c r="K684" s="1147">
        <v>0</v>
      </c>
      <c r="L684" s="1148"/>
      <c r="M684" s="959"/>
      <c r="N684" s="959"/>
      <c r="O684" s="1149"/>
      <c r="P684" s="950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237">
        <f>MAX(J684/J687)</f>
        <v>0</v>
      </c>
      <c r="AD684" s="235">
        <f t="shared" si="126"/>
        <v>0</v>
      </c>
      <c r="AE684" s="238">
        <f>MAX(I684/I687)</f>
        <v>0</v>
      </c>
      <c r="AF684" s="235">
        <f t="shared" si="127"/>
        <v>0</v>
      </c>
      <c r="AG684" s="238">
        <f>MAX(H684/H687)</f>
        <v>0</v>
      </c>
      <c r="AH684" s="235">
        <f t="shared" si="128"/>
        <v>0</v>
      </c>
    </row>
    <row r="685" spans="1:34" ht="15" customHeight="1" x14ac:dyDescent="0.2">
      <c r="A685" s="962" t="s">
        <v>941</v>
      </c>
      <c r="B685" s="956">
        <v>0</v>
      </c>
      <c r="C685" s="1146"/>
      <c r="D685" s="1146"/>
      <c r="E685" s="1146"/>
      <c r="F685" s="1146"/>
      <c r="G685" s="1146"/>
      <c r="H685" s="1146">
        <v>0</v>
      </c>
      <c r="I685" s="1146">
        <v>0</v>
      </c>
      <c r="J685" s="1147">
        <v>0</v>
      </c>
      <c r="K685" s="1147">
        <v>0</v>
      </c>
      <c r="L685" s="1148"/>
      <c r="M685" s="959"/>
      <c r="N685" s="959"/>
      <c r="O685" s="1149"/>
      <c r="P685" s="950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237">
        <f>MAX(J685/J687)</f>
        <v>0</v>
      </c>
      <c r="AD685" s="235">
        <f t="shared" si="126"/>
        <v>0</v>
      </c>
      <c r="AE685" s="238">
        <f>MAX(I685/I687)</f>
        <v>0</v>
      </c>
      <c r="AF685" s="235">
        <f t="shared" si="127"/>
        <v>0</v>
      </c>
      <c r="AG685" s="238">
        <f>MAX(H685/H687)</f>
        <v>0</v>
      </c>
      <c r="AH685" s="235">
        <f t="shared" si="128"/>
        <v>0</v>
      </c>
    </row>
    <row r="686" spans="1:34" ht="15" customHeight="1" thickBot="1" x14ac:dyDescent="0.25">
      <c r="A686" s="1140" t="s">
        <v>392</v>
      </c>
      <c r="B686" s="244">
        <v>0</v>
      </c>
      <c r="C686" s="1141">
        <v>0</v>
      </c>
      <c r="D686" s="1141">
        <v>0</v>
      </c>
      <c r="E686" s="1141">
        <v>0</v>
      </c>
      <c r="F686" s="1141">
        <v>0</v>
      </c>
      <c r="G686" s="1141">
        <v>0</v>
      </c>
      <c r="H686" s="1146">
        <v>0</v>
      </c>
      <c r="I686" s="1146">
        <v>0</v>
      </c>
      <c r="J686" s="1147">
        <v>0</v>
      </c>
      <c r="K686" s="1142">
        <v>0</v>
      </c>
      <c r="L686" s="1143"/>
      <c r="M686" s="1144"/>
      <c r="N686" s="1144"/>
      <c r="O686" s="1145"/>
      <c r="P686" s="950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237">
        <f>MAX(J686/J687)</f>
        <v>0</v>
      </c>
      <c r="AD686" s="235">
        <f t="shared" si="126"/>
        <v>0</v>
      </c>
      <c r="AE686" s="238">
        <f>MAX(I686/I687)</f>
        <v>0</v>
      </c>
      <c r="AF686" s="235">
        <f t="shared" si="127"/>
        <v>0</v>
      </c>
      <c r="AG686" s="238">
        <f>MAX(H686/H687)</f>
        <v>0</v>
      </c>
      <c r="AH686" s="235">
        <f t="shared" si="128"/>
        <v>0</v>
      </c>
    </row>
    <row r="687" spans="1:34" ht="15" customHeight="1" thickBot="1" x14ac:dyDescent="0.25">
      <c r="A687" s="405" t="s">
        <v>942</v>
      </c>
      <c r="B687" s="1131">
        <v>348.52499999999998</v>
      </c>
      <c r="C687" s="1131">
        <v>720</v>
      </c>
      <c r="D687" s="1131">
        <v>3</v>
      </c>
      <c r="E687" s="1131">
        <v>16</v>
      </c>
      <c r="F687" s="1131">
        <v>33</v>
      </c>
      <c r="G687" s="1131">
        <v>24</v>
      </c>
      <c r="H687" s="1131">
        <v>272.52499999999998</v>
      </c>
      <c r="I687" s="1131">
        <v>1019.525</v>
      </c>
      <c r="J687" s="1132">
        <v>2058.6999999999998</v>
      </c>
      <c r="K687" s="1132">
        <v>7.5541693422621776</v>
      </c>
      <c r="L687" s="1525" t="s">
        <v>988</v>
      </c>
      <c r="M687" s="1134">
        <v>2244000</v>
      </c>
      <c r="N687" s="1134">
        <v>20573950.995439995</v>
      </c>
      <c r="O687" s="506">
        <v>10025213.581488002</v>
      </c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1159">
        <f t="shared" ref="AC687:AH687" si="129">SUM(AC647:AC686)</f>
        <v>1</v>
      </c>
      <c r="AD687" s="1160">
        <f t="shared" si="129"/>
        <v>2244000</v>
      </c>
      <c r="AE687" s="1161">
        <f t="shared" si="129"/>
        <v>1.0000000000000002</v>
      </c>
      <c r="AF687" s="1160">
        <f t="shared" si="129"/>
        <v>20573950.995439995</v>
      </c>
      <c r="AG687" s="1161">
        <f t="shared" si="129"/>
        <v>1.0000000000000002</v>
      </c>
      <c r="AH687" s="1160">
        <f t="shared" si="129"/>
        <v>10025213.581488002</v>
      </c>
    </row>
    <row r="688" spans="1:34" x14ac:dyDescent="0.2">
      <c r="A688" s="7" t="s">
        <v>1934</v>
      </c>
      <c r="B688" s="8"/>
      <c r="C688" s="8"/>
      <c r="D688" s="8"/>
      <c r="E688" s="4"/>
      <c r="F688" s="5"/>
      <c r="G688" s="9"/>
      <c r="H688" s="8"/>
      <c r="I688" s="224"/>
      <c r="J688" s="224"/>
      <c r="K688" s="240"/>
      <c r="L688" s="241"/>
      <c r="M688" s="240"/>
      <c r="N688" s="240"/>
      <c r="O688" s="240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</row>
    <row r="689" spans="1:34" x14ac:dyDescent="0.2">
      <c r="A689" s="34" t="s">
        <v>1708</v>
      </c>
      <c r="B689" s="224"/>
      <c r="C689" s="224"/>
      <c r="D689" s="224"/>
      <c r="E689" s="224"/>
      <c r="F689" s="224"/>
      <c r="G689" s="224"/>
      <c r="H689" s="224"/>
      <c r="I689" s="224"/>
      <c r="J689" s="224"/>
      <c r="K689" s="240"/>
      <c r="L689" s="241"/>
      <c r="M689" s="240"/>
      <c r="N689" s="240"/>
      <c r="O689" s="240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</row>
    <row r="690" spans="1:34" x14ac:dyDescent="0.2">
      <c r="A690" s="242"/>
      <c r="B690" s="224"/>
      <c r="C690" s="224"/>
      <c r="D690" s="224"/>
      <c r="E690" s="224"/>
      <c r="F690" s="224"/>
      <c r="G690" s="224"/>
      <c r="H690" s="224"/>
      <c r="I690" s="224"/>
      <c r="J690" s="224"/>
      <c r="K690" s="240"/>
      <c r="L690" s="241"/>
      <c r="M690" s="240"/>
      <c r="N690" s="240"/>
      <c r="O690" s="240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</row>
    <row r="691" spans="1:34" x14ac:dyDescent="0.2">
      <c r="A691" s="242"/>
      <c r="B691" s="224"/>
      <c r="C691" s="224"/>
      <c r="D691" s="224"/>
      <c r="E691" s="224"/>
      <c r="F691" s="224"/>
      <c r="G691" s="224"/>
      <c r="H691" s="224"/>
      <c r="I691" s="224"/>
      <c r="J691" s="224"/>
      <c r="K691" s="240"/>
      <c r="L691" s="241"/>
      <c r="M691" s="240"/>
      <c r="N691" s="240"/>
      <c r="O691" s="240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</row>
    <row r="692" spans="1:34" ht="15" x14ac:dyDescent="0.25">
      <c r="A692" s="2843" t="s">
        <v>1931</v>
      </c>
      <c r="B692" s="2843"/>
      <c r="C692" s="2843"/>
      <c r="D692" s="2843"/>
      <c r="E692" s="2843"/>
      <c r="F692" s="2843"/>
      <c r="G692" s="2843"/>
      <c r="H692" s="2843"/>
      <c r="I692" s="2843"/>
      <c r="J692" s="2843"/>
      <c r="K692" s="2843"/>
      <c r="L692" s="2843"/>
      <c r="M692" s="2843"/>
      <c r="N692" s="2843"/>
      <c r="O692" s="2843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</row>
    <row r="693" spans="1:34" ht="13.5" thickBot="1" x14ac:dyDescent="0.25">
      <c r="A693" s="225" t="s">
        <v>948</v>
      </c>
      <c r="B693" s="224"/>
      <c r="C693" s="224"/>
      <c r="D693" s="224"/>
      <c r="E693" s="224"/>
      <c r="F693" s="224"/>
      <c r="G693" s="224"/>
      <c r="H693" s="224"/>
      <c r="I693" s="224"/>
      <c r="J693" s="224"/>
      <c r="K693" s="224"/>
      <c r="L693" s="226"/>
      <c r="M693" s="224"/>
      <c r="N693" s="224"/>
      <c r="O693" s="224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</row>
    <row r="694" spans="1:34" ht="15" customHeight="1" x14ac:dyDescent="0.2">
      <c r="A694" s="2844" t="s">
        <v>327</v>
      </c>
      <c r="B694" s="2847" t="s">
        <v>1932</v>
      </c>
      <c r="C694" s="2848"/>
      <c r="D694" s="2848"/>
      <c r="E694" s="2848"/>
      <c r="F694" s="2848"/>
      <c r="G694" s="2848"/>
      <c r="H694" s="2848"/>
      <c r="I694" s="2848"/>
      <c r="J694" s="2848"/>
      <c r="K694" s="2848"/>
      <c r="L694" s="2848"/>
      <c r="M694" s="2848"/>
      <c r="N694" s="2848"/>
      <c r="O694" s="284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228" t="s">
        <v>910</v>
      </c>
      <c r="AD694" s="229"/>
      <c r="AE694" s="229"/>
      <c r="AF694" s="229"/>
      <c r="AG694" s="229"/>
      <c r="AH694" s="243"/>
    </row>
    <row r="695" spans="1:34" ht="15" customHeight="1" x14ac:dyDescent="0.2">
      <c r="A695" s="2845"/>
      <c r="B695" s="2850" t="s">
        <v>191</v>
      </c>
      <c r="C695" s="2850"/>
      <c r="D695" s="2850"/>
      <c r="E695" s="2850"/>
      <c r="F695" s="2850"/>
      <c r="G695" s="2850"/>
      <c r="H695" s="2850"/>
      <c r="I695" s="2850"/>
      <c r="J695" s="2119"/>
      <c r="K695" s="2119" t="s">
        <v>904</v>
      </c>
      <c r="L695" s="2119"/>
      <c r="M695" s="1122" t="s">
        <v>437</v>
      </c>
      <c r="N695" s="1122" t="s">
        <v>911</v>
      </c>
      <c r="O695" s="1127" t="s">
        <v>911</v>
      </c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230" t="s">
        <v>333</v>
      </c>
      <c r="AD695" s="231" t="s">
        <v>333</v>
      </c>
      <c r="AE695" s="231" t="s">
        <v>333</v>
      </c>
      <c r="AF695" s="231" t="s">
        <v>333</v>
      </c>
      <c r="AG695" s="231" t="s">
        <v>333</v>
      </c>
      <c r="AH695" s="231" t="s">
        <v>333</v>
      </c>
    </row>
    <row r="696" spans="1:34" ht="15" customHeight="1" x14ac:dyDescent="0.2">
      <c r="A696" s="2845"/>
      <c r="B696" s="2119" t="s">
        <v>433</v>
      </c>
      <c r="C696" s="2119"/>
      <c r="D696" s="2841" t="s">
        <v>1865</v>
      </c>
      <c r="E696" s="2119"/>
      <c r="F696" s="2119"/>
      <c r="G696" s="2119" t="s">
        <v>912</v>
      </c>
      <c r="H696" s="2119"/>
      <c r="I696" s="2119" t="s">
        <v>433</v>
      </c>
      <c r="J696" s="2138" t="s">
        <v>913</v>
      </c>
      <c r="K696" s="2138" t="s">
        <v>842</v>
      </c>
      <c r="L696" s="2138" t="s">
        <v>329</v>
      </c>
      <c r="M696" s="1123" t="s">
        <v>914</v>
      </c>
      <c r="N696" s="1123" t="s">
        <v>915</v>
      </c>
      <c r="O696" s="1128" t="s">
        <v>914</v>
      </c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230" t="s">
        <v>913</v>
      </c>
      <c r="AD696" s="231" t="s">
        <v>916</v>
      </c>
      <c r="AE696" s="231" t="s">
        <v>917</v>
      </c>
      <c r="AF696" s="231" t="s">
        <v>918</v>
      </c>
      <c r="AG696" s="231" t="s">
        <v>192</v>
      </c>
      <c r="AH696" s="231" t="s">
        <v>918</v>
      </c>
    </row>
    <row r="697" spans="1:34" ht="15" customHeight="1" x14ac:dyDescent="0.2">
      <c r="A697" s="2845"/>
      <c r="B697" s="2138" t="s">
        <v>920</v>
      </c>
      <c r="C697" s="2138" t="s">
        <v>922</v>
      </c>
      <c r="D697" s="2842"/>
      <c r="E697" s="2138" t="s">
        <v>867</v>
      </c>
      <c r="F697" s="2138" t="s">
        <v>921</v>
      </c>
      <c r="G697" s="2138" t="s">
        <v>923</v>
      </c>
      <c r="H697" s="2138" t="s">
        <v>836</v>
      </c>
      <c r="I697" s="2138" t="s">
        <v>835</v>
      </c>
      <c r="J697" s="2138" t="s">
        <v>924</v>
      </c>
      <c r="K697" s="2138" t="s">
        <v>925</v>
      </c>
      <c r="L697" s="2138" t="s">
        <v>336</v>
      </c>
      <c r="M697" s="1123" t="s">
        <v>926</v>
      </c>
      <c r="N697" s="1123" t="s">
        <v>927</v>
      </c>
      <c r="O697" s="1128" t="s">
        <v>928</v>
      </c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230"/>
      <c r="AD697" s="231" t="s">
        <v>843</v>
      </c>
      <c r="AE697" s="231"/>
      <c r="AF697" s="231" t="s">
        <v>929</v>
      </c>
      <c r="AG697" s="231"/>
      <c r="AH697" s="231" t="s">
        <v>930</v>
      </c>
    </row>
    <row r="698" spans="1:34" ht="15" customHeight="1" thickBot="1" x14ac:dyDescent="0.25">
      <c r="A698" s="2846"/>
      <c r="B698" s="1881">
        <v>44926</v>
      </c>
      <c r="C698" s="2139">
        <v>2023</v>
      </c>
      <c r="D698" s="2139">
        <v>2023</v>
      </c>
      <c r="E698" s="2139">
        <v>2023</v>
      </c>
      <c r="F698" s="2139">
        <v>2023</v>
      </c>
      <c r="G698" s="2139" t="s">
        <v>931</v>
      </c>
      <c r="H698" s="1126">
        <v>2023</v>
      </c>
      <c r="I698" s="1881">
        <v>45291</v>
      </c>
      <c r="J698" s="1881" t="s">
        <v>1933</v>
      </c>
      <c r="K698" s="1881" t="s">
        <v>1933</v>
      </c>
      <c r="L698" s="2139" t="s">
        <v>441</v>
      </c>
      <c r="M698" s="1125" t="s">
        <v>932</v>
      </c>
      <c r="N698" s="1125" t="s">
        <v>933</v>
      </c>
      <c r="O698" s="1129" t="s">
        <v>933</v>
      </c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232"/>
      <c r="AD698" s="233" t="s">
        <v>934</v>
      </c>
      <c r="AE698" s="233"/>
      <c r="AF698" s="233" t="s">
        <v>935</v>
      </c>
      <c r="AG698" s="233"/>
      <c r="AH698" s="233" t="s">
        <v>936</v>
      </c>
    </row>
    <row r="699" spans="1:34" ht="15" customHeight="1" x14ac:dyDescent="0.2">
      <c r="A699" s="1135" t="s">
        <v>352</v>
      </c>
      <c r="B699" s="1130">
        <v>268.95000000000005</v>
      </c>
      <c r="C699" s="1130">
        <v>19</v>
      </c>
      <c r="D699" s="1130">
        <v>0</v>
      </c>
      <c r="E699" s="1130">
        <v>4</v>
      </c>
      <c r="F699" s="1130">
        <v>15</v>
      </c>
      <c r="G699" s="1130">
        <v>18.5</v>
      </c>
      <c r="H699" s="1130">
        <v>231.45000000000002</v>
      </c>
      <c r="I699" s="1130">
        <v>268.95000000000005</v>
      </c>
      <c r="J699" s="1136">
        <v>2502.35</v>
      </c>
      <c r="K699" s="1535">
        <v>10.811622380643767</v>
      </c>
      <c r="L699" s="380"/>
      <c r="M699" s="1138"/>
      <c r="N699" s="1138"/>
      <c r="O699" s="113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1155"/>
      <c r="AD699" s="1156"/>
      <c r="AE699" s="1156"/>
      <c r="AF699" s="1156"/>
      <c r="AG699" s="1156"/>
      <c r="AH699" s="1156"/>
    </row>
    <row r="700" spans="1:34" ht="15" customHeight="1" x14ac:dyDescent="0.2">
      <c r="A700" s="962" t="s">
        <v>353</v>
      </c>
      <c r="B700" s="1498">
        <v>44.5</v>
      </c>
      <c r="C700" s="1146"/>
      <c r="D700" s="1146"/>
      <c r="E700" s="1146"/>
      <c r="F700" s="1146"/>
      <c r="G700" s="1146"/>
      <c r="H700" s="1146">
        <v>44.5</v>
      </c>
      <c r="I700" s="1146">
        <v>44.5</v>
      </c>
      <c r="J700" s="1147">
        <v>534</v>
      </c>
      <c r="K700" s="1147">
        <v>12</v>
      </c>
      <c r="L700" s="1066" t="s">
        <v>988</v>
      </c>
      <c r="M700" s="959">
        <v>3050000</v>
      </c>
      <c r="N700" s="2000">
        <v>16145486.770111999</v>
      </c>
      <c r="O700" s="1838">
        <v>17075677.150137313</v>
      </c>
      <c r="P700" s="950"/>
      <c r="Q700" s="950"/>
      <c r="R700" s="950"/>
      <c r="S700" s="950"/>
      <c r="T700" s="950"/>
      <c r="U700" s="950"/>
      <c r="V700" s="950"/>
      <c r="W700" s="950"/>
      <c r="X700" s="950"/>
      <c r="Y700" s="950"/>
      <c r="Z700" s="9"/>
      <c r="AA700" s="9"/>
      <c r="AB700" s="9"/>
      <c r="AC700" s="237">
        <f>MAX(J700/J740)</f>
        <v>0.10420894869953477</v>
      </c>
      <c r="AD700" s="235">
        <f t="shared" ref="AD700:AD714" si="130">MAX(M700*AC700)</f>
        <v>317837.29353358108</v>
      </c>
      <c r="AE700" s="238">
        <f>MAX(I700/I740)</f>
        <v>7.175336192718243E-2</v>
      </c>
      <c r="AF700" s="235">
        <f t="shared" ref="AF700:AF714" si="131">MAX(N700*AE700)</f>
        <v>1158492.9557063819</v>
      </c>
      <c r="AG700" s="238">
        <f>MAX(H700/H740)</f>
        <v>8.9235581936311856E-2</v>
      </c>
      <c r="AH700" s="235">
        <f t="shared" ref="AH700:AH714" si="132">MAX(O700*AG700)</f>
        <v>1523757.9874490863</v>
      </c>
    </row>
    <row r="701" spans="1:34" ht="15" customHeight="1" x14ac:dyDescent="0.2">
      <c r="A701" s="962" t="s">
        <v>354</v>
      </c>
      <c r="B701" s="1498">
        <v>5</v>
      </c>
      <c r="C701" s="1146">
        <v>5</v>
      </c>
      <c r="D701" s="1146"/>
      <c r="E701" s="1146"/>
      <c r="F701" s="1146"/>
      <c r="G701" s="1146"/>
      <c r="H701" s="1146">
        <v>5</v>
      </c>
      <c r="I701" s="1146">
        <v>10</v>
      </c>
      <c r="J701" s="1147">
        <v>55</v>
      </c>
      <c r="K701" s="1147">
        <v>11</v>
      </c>
      <c r="L701" s="1066" t="s">
        <v>988</v>
      </c>
      <c r="M701" s="959">
        <v>3050000</v>
      </c>
      <c r="N701" s="2000">
        <v>16145486.770111999</v>
      </c>
      <c r="O701" s="1838">
        <v>17075677.150137313</v>
      </c>
      <c r="P701" s="950"/>
      <c r="Q701" s="950"/>
      <c r="R701" s="950"/>
      <c r="S701" s="950"/>
      <c r="T701" s="950"/>
      <c r="U701" s="950"/>
      <c r="V701" s="950"/>
      <c r="W701" s="950"/>
      <c r="X701" s="950"/>
      <c r="Y701" s="950"/>
      <c r="Z701" s="9"/>
      <c r="AA701" s="9"/>
      <c r="AB701" s="9"/>
      <c r="AC701" s="237">
        <f>MAX(J701/J740)</f>
        <v>1.0733131420364068E-2</v>
      </c>
      <c r="AD701" s="235">
        <f t="shared" si="130"/>
        <v>32736.050832110406</v>
      </c>
      <c r="AE701" s="238">
        <f>MAX(I701/I740)</f>
        <v>1.6124350994872454E-2</v>
      </c>
      <c r="AF701" s="235">
        <f t="shared" si="131"/>
        <v>260335.49566435546</v>
      </c>
      <c r="AG701" s="238">
        <f>MAX(H701/H740)</f>
        <v>1.0026469880484478E-2</v>
      </c>
      <c r="AH701" s="235">
        <f t="shared" si="132"/>
        <v>171208.7626347288</v>
      </c>
    </row>
    <row r="702" spans="1:34" ht="15" customHeight="1" x14ac:dyDescent="0.2">
      <c r="A702" s="962" t="s">
        <v>355</v>
      </c>
      <c r="B702" s="1498">
        <v>15.5</v>
      </c>
      <c r="C702" s="1146">
        <v>3</v>
      </c>
      <c r="D702" s="1146"/>
      <c r="E702" s="1146"/>
      <c r="F702" s="1146"/>
      <c r="G702" s="1146">
        <v>5</v>
      </c>
      <c r="H702" s="1146">
        <v>10.5</v>
      </c>
      <c r="I702" s="1146">
        <v>18.5</v>
      </c>
      <c r="J702" s="1147">
        <v>84</v>
      </c>
      <c r="K702" s="1147">
        <v>8</v>
      </c>
      <c r="L702" s="1066" t="s">
        <v>988</v>
      </c>
      <c r="M702" s="959">
        <v>3050000</v>
      </c>
      <c r="N702" s="2000">
        <v>16145486.770111999</v>
      </c>
      <c r="O702" s="1838">
        <v>17075677.150137313</v>
      </c>
      <c r="P702" s="950"/>
      <c r="Q702" s="950"/>
      <c r="R702" s="950"/>
      <c r="S702" s="950"/>
      <c r="T702" s="9"/>
      <c r="U702" s="9"/>
      <c r="V702" s="9"/>
      <c r="W702" s="9"/>
      <c r="X702" s="9"/>
      <c r="Y702" s="9"/>
      <c r="Z702" s="9"/>
      <c r="AA702" s="9"/>
      <c r="AB702" s="9"/>
      <c r="AC702" s="237">
        <f>MAX(J702/J740)</f>
        <v>1.6392418896556033E-2</v>
      </c>
      <c r="AD702" s="235">
        <f t="shared" si="130"/>
        <v>49996.877634495904</v>
      </c>
      <c r="AE702" s="238">
        <f>MAX(I702/I740)</f>
        <v>2.9830049340514041E-2</v>
      </c>
      <c r="AF702" s="235">
        <f t="shared" si="131"/>
        <v>481620.6669790576</v>
      </c>
      <c r="AG702" s="238">
        <f>MAX(H702/H740)</f>
        <v>2.1055586749017405E-2</v>
      </c>
      <c r="AH702" s="235">
        <f t="shared" si="132"/>
        <v>359538.4015329305</v>
      </c>
    </row>
    <row r="703" spans="1:34" ht="15" customHeight="1" x14ac:dyDescent="0.2">
      <c r="A703" s="962" t="s">
        <v>356</v>
      </c>
      <c r="B703" s="1498">
        <v>2</v>
      </c>
      <c r="C703" s="1146">
        <v>5</v>
      </c>
      <c r="D703" s="1146"/>
      <c r="E703" s="1146"/>
      <c r="F703" s="1146"/>
      <c r="G703" s="1146">
        <v>1</v>
      </c>
      <c r="H703" s="1146">
        <v>1</v>
      </c>
      <c r="I703" s="1146">
        <v>7</v>
      </c>
      <c r="J703" s="1147">
        <v>11</v>
      </c>
      <c r="K703" s="1147">
        <v>11</v>
      </c>
      <c r="L703" s="1066" t="s">
        <v>988</v>
      </c>
      <c r="M703" s="959">
        <v>3050000</v>
      </c>
      <c r="N703" s="2000">
        <v>16145486.770111999</v>
      </c>
      <c r="O703" s="1838">
        <v>17075677.150137313</v>
      </c>
      <c r="P703" s="950"/>
      <c r="Q703" s="950"/>
      <c r="R703" s="950"/>
      <c r="S703" s="950"/>
      <c r="T703" s="9"/>
      <c r="U703" s="9"/>
      <c r="V703" s="9"/>
      <c r="W703" s="9"/>
      <c r="X703" s="9"/>
      <c r="Y703" s="9"/>
      <c r="Z703" s="9"/>
      <c r="AA703" s="9"/>
      <c r="AB703" s="9"/>
      <c r="AC703" s="237">
        <f>MAX(J703/J740)</f>
        <v>2.1466262840728139E-3</v>
      </c>
      <c r="AD703" s="235">
        <f t="shared" si="130"/>
        <v>6547.2101664220827</v>
      </c>
      <c r="AE703" s="238">
        <f>MAX(I703/I740)</f>
        <v>1.1287045696410718E-2</v>
      </c>
      <c r="AF703" s="235">
        <f t="shared" si="131"/>
        <v>182234.84696504881</v>
      </c>
      <c r="AG703" s="238">
        <f>MAX(H703/H740)</f>
        <v>2.0052939760968956E-3</v>
      </c>
      <c r="AH703" s="235">
        <f t="shared" si="132"/>
        <v>34241.752526945762</v>
      </c>
    </row>
    <row r="704" spans="1:34" ht="15" customHeight="1" x14ac:dyDescent="0.2">
      <c r="A704" s="962" t="s">
        <v>357</v>
      </c>
      <c r="B704" s="1498">
        <v>88</v>
      </c>
      <c r="C704" s="1146">
        <v>0</v>
      </c>
      <c r="D704" s="1146">
        <v>0</v>
      </c>
      <c r="E704" s="1146">
        <v>0</v>
      </c>
      <c r="F704" s="1146">
        <v>0</v>
      </c>
      <c r="G704" s="1146">
        <v>0</v>
      </c>
      <c r="H704" s="1146">
        <v>88</v>
      </c>
      <c r="I704" s="1146">
        <v>88</v>
      </c>
      <c r="J704" s="1147">
        <v>880</v>
      </c>
      <c r="K704" s="1147">
        <v>10</v>
      </c>
      <c r="L704" s="1066" t="s">
        <v>988</v>
      </c>
      <c r="M704" s="959">
        <v>3050000</v>
      </c>
      <c r="N704" s="2000">
        <v>16145486.770111999</v>
      </c>
      <c r="O704" s="1838">
        <v>17075677.150137313</v>
      </c>
      <c r="P704" s="9"/>
      <c r="Q704" s="2005"/>
      <c r="R704" s="9"/>
      <c r="S704" s="950"/>
      <c r="T704" s="9"/>
      <c r="U704" s="9"/>
      <c r="V704" s="9"/>
      <c r="W704" s="9"/>
      <c r="X704" s="9"/>
      <c r="Y704" s="9"/>
      <c r="Z704" s="9"/>
      <c r="AA704" s="9"/>
      <c r="AB704" s="9"/>
      <c r="AC704" s="237">
        <f>MAX(J704/J740)</f>
        <v>0.17173010272582509</v>
      </c>
      <c r="AD704" s="235">
        <f t="shared" si="130"/>
        <v>523776.8133137665</v>
      </c>
      <c r="AE704" s="238">
        <f>MAX(I704/I740)</f>
        <v>0.14189428875487761</v>
      </c>
      <c r="AF704" s="235">
        <f t="shared" si="131"/>
        <v>2290952.3618463282</v>
      </c>
      <c r="AG704" s="238">
        <f>MAX(H704/H740)</f>
        <v>0.17646586989652679</v>
      </c>
      <c r="AH704" s="235">
        <f t="shared" si="132"/>
        <v>3013274.2223712266</v>
      </c>
    </row>
    <row r="705" spans="1:34" ht="15" customHeight="1" x14ac:dyDescent="0.2">
      <c r="A705" s="962" t="s">
        <v>358</v>
      </c>
      <c r="B705" s="1498">
        <v>7.5</v>
      </c>
      <c r="C705" s="1146">
        <v>0</v>
      </c>
      <c r="D705" s="1146">
        <v>0</v>
      </c>
      <c r="E705" s="1146">
        <v>0</v>
      </c>
      <c r="F705" s="1146">
        <v>0</v>
      </c>
      <c r="G705" s="1146">
        <v>0</v>
      </c>
      <c r="H705" s="1146">
        <v>7.5</v>
      </c>
      <c r="I705" s="1146">
        <v>7.5</v>
      </c>
      <c r="J705" s="1147">
        <v>60</v>
      </c>
      <c r="K705" s="1147">
        <v>8</v>
      </c>
      <c r="L705" s="1066" t="s">
        <v>988</v>
      </c>
      <c r="M705" s="959">
        <v>3050000</v>
      </c>
      <c r="N705" s="2000">
        <v>16145486.770111999</v>
      </c>
      <c r="O705" s="1838">
        <v>17075677.150137313</v>
      </c>
      <c r="P705" s="950"/>
      <c r="Q705" s="950"/>
      <c r="R705" s="950"/>
      <c r="S705" s="950"/>
      <c r="T705" s="9"/>
      <c r="U705" s="9"/>
      <c r="V705" s="9"/>
      <c r="W705" s="9"/>
      <c r="X705" s="9"/>
      <c r="Y705" s="9"/>
      <c r="Z705" s="9"/>
      <c r="AA705" s="9"/>
      <c r="AB705" s="9"/>
      <c r="AC705" s="237">
        <f>MAX(J705/J740)</f>
        <v>1.1708870640397166E-2</v>
      </c>
      <c r="AD705" s="235">
        <f t="shared" si="130"/>
        <v>35712.055453211353</v>
      </c>
      <c r="AE705" s="238">
        <f>MAX(I705/I740)</f>
        <v>1.2093263246154342E-2</v>
      </c>
      <c r="AF705" s="235">
        <f t="shared" si="131"/>
        <v>195251.6217482666</v>
      </c>
      <c r="AG705" s="238">
        <f>MAX(H705/H740)</f>
        <v>1.5039704820726717E-2</v>
      </c>
      <c r="AH705" s="235">
        <f t="shared" si="132"/>
        <v>256813.14395209317</v>
      </c>
    </row>
    <row r="706" spans="1:34" ht="15" customHeight="1" x14ac:dyDescent="0.2">
      <c r="A706" s="962" t="s">
        <v>937</v>
      </c>
      <c r="B706" s="1498">
        <v>2.5</v>
      </c>
      <c r="C706" s="1146">
        <v>3</v>
      </c>
      <c r="D706" s="1146">
        <v>0</v>
      </c>
      <c r="E706" s="1146">
        <v>2</v>
      </c>
      <c r="F706" s="1146">
        <v>0</v>
      </c>
      <c r="G706" s="1146">
        <v>0.5</v>
      </c>
      <c r="H706" s="1146">
        <v>0</v>
      </c>
      <c r="I706" s="1146">
        <v>3.5</v>
      </c>
      <c r="J706" s="1147">
        <v>0</v>
      </c>
      <c r="K706" s="1147">
        <v>8</v>
      </c>
      <c r="L706" s="1066" t="s">
        <v>988</v>
      </c>
      <c r="M706" s="959">
        <v>3050000</v>
      </c>
      <c r="N706" s="2000">
        <v>16145486.770111999</v>
      </c>
      <c r="O706" s="1838">
        <v>17075677.150137313</v>
      </c>
      <c r="P706" s="950"/>
      <c r="Q706" s="950"/>
      <c r="R706" s="950"/>
      <c r="S706" s="950"/>
      <c r="T706" s="9"/>
      <c r="U706" s="9"/>
      <c r="V706" s="9"/>
      <c r="W706" s="9"/>
      <c r="X706" s="9"/>
      <c r="Y706" s="9"/>
      <c r="Z706" s="9"/>
      <c r="AA706" s="9"/>
      <c r="AB706" s="9"/>
      <c r="AC706" s="237">
        <f>MAX(J706/J740)</f>
        <v>0</v>
      </c>
      <c r="AD706" s="235">
        <f t="shared" si="130"/>
        <v>0</v>
      </c>
      <c r="AE706" s="238">
        <f>MAX(I706/I740)</f>
        <v>5.643522848205359E-3</v>
      </c>
      <c r="AF706" s="235">
        <f t="shared" si="131"/>
        <v>91117.423482524406</v>
      </c>
      <c r="AG706" s="238">
        <f>MAX(H706/H740)</f>
        <v>0</v>
      </c>
      <c r="AH706" s="235">
        <f t="shared" si="132"/>
        <v>0</v>
      </c>
    </row>
    <row r="707" spans="1:34" ht="15" customHeight="1" x14ac:dyDescent="0.2">
      <c r="A707" s="962" t="s">
        <v>360</v>
      </c>
      <c r="B707" s="1498">
        <v>24.400000000000002</v>
      </c>
      <c r="C707" s="1146">
        <v>0</v>
      </c>
      <c r="D707" s="1146">
        <v>0</v>
      </c>
      <c r="E707" s="1146">
        <v>0</v>
      </c>
      <c r="F707" s="1146">
        <v>5</v>
      </c>
      <c r="G707" s="1146">
        <v>0</v>
      </c>
      <c r="H707" s="1146">
        <v>19.400000000000002</v>
      </c>
      <c r="I707" s="1146">
        <v>19.400000000000002</v>
      </c>
      <c r="J707" s="1147">
        <v>213.40000000000003</v>
      </c>
      <c r="K707" s="1147">
        <v>11</v>
      </c>
      <c r="L707" s="1066" t="s">
        <v>988</v>
      </c>
      <c r="M707" s="959">
        <v>3050000</v>
      </c>
      <c r="N707" s="2000">
        <v>16145486.770111999</v>
      </c>
      <c r="O707" s="1838">
        <v>17075677.150137313</v>
      </c>
      <c r="P707" s="950"/>
      <c r="Q707" s="950"/>
      <c r="R707" s="950"/>
      <c r="S707" s="950"/>
      <c r="T707" s="9"/>
      <c r="U707" s="9"/>
      <c r="V707" s="9"/>
      <c r="W707" s="9"/>
      <c r="X707" s="9"/>
      <c r="Y707" s="9"/>
      <c r="Z707" s="9"/>
      <c r="AA707" s="9"/>
      <c r="AB707" s="9"/>
      <c r="AC707" s="237">
        <f>MAX(J707/J740)</f>
        <v>4.1644549911012595E-2</v>
      </c>
      <c r="AD707" s="235">
        <f t="shared" si="130"/>
        <v>127015.87722858842</v>
      </c>
      <c r="AE707" s="238">
        <f>MAX(I707/I740)</f>
        <v>3.1281240930052565E-2</v>
      </c>
      <c r="AF707" s="235">
        <f t="shared" si="131"/>
        <v>505050.86158884963</v>
      </c>
      <c r="AG707" s="238">
        <f>MAX(H707/H740)</f>
        <v>3.8902703136279776E-2</v>
      </c>
      <c r="AH707" s="235">
        <f t="shared" si="132"/>
        <v>664289.99902274774</v>
      </c>
    </row>
    <row r="708" spans="1:34" ht="15" customHeight="1" x14ac:dyDescent="0.2">
      <c r="A708" s="962" t="s">
        <v>938</v>
      </c>
      <c r="B708" s="1498">
        <v>15</v>
      </c>
      <c r="C708" s="1146">
        <v>1</v>
      </c>
      <c r="D708" s="1146">
        <v>0</v>
      </c>
      <c r="E708" s="1146">
        <v>0</v>
      </c>
      <c r="F708" s="1146">
        <v>0</v>
      </c>
      <c r="G708" s="1146">
        <v>5</v>
      </c>
      <c r="H708" s="1146">
        <v>10</v>
      </c>
      <c r="I708" s="1146">
        <v>16</v>
      </c>
      <c r="J708" s="1147">
        <v>95</v>
      </c>
      <c r="K708" s="1147">
        <v>9.5</v>
      </c>
      <c r="L708" s="1066" t="s">
        <v>988</v>
      </c>
      <c r="M708" s="959">
        <v>3050000</v>
      </c>
      <c r="N708" s="2000">
        <v>16145486.770111999</v>
      </c>
      <c r="O708" s="1838">
        <v>17075677.150137313</v>
      </c>
      <c r="P708" s="950"/>
      <c r="Q708" s="950"/>
      <c r="R708" s="950"/>
      <c r="S708" s="950"/>
      <c r="T708" s="9"/>
      <c r="U708" s="9"/>
      <c r="V708" s="9"/>
      <c r="W708" s="9"/>
      <c r="X708" s="9"/>
      <c r="Y708" s="9"/>
      <c r="Z708" s="9"/>
      <c r="AA708" s="9"/>
      <c r="AB708" s="9"/>
      <c r="AC708" s="237">
        <f>MAX(J708/J740)</f>
        <v>1.8539045180628846E-2</v>
      </c>
      <c r="AD708" s="235">
        <f t="shared" si="130"/>
        <v>56544.08780091798</v>
      </c>
      <c r="AE708" s="238">
        <f>MAX(I708/I740)</f>
        <v>2.5798961591795927E-2</v>
      </c>
      <c r="AF708" s="235">
        <f t="shared" si="131"/>
        <v>416536.7930629687</v>
      </c>
      <c r="AG708" s="238">
        <f>MAX(H708/H740)</f>
        <v>2.0052939760968957E-2</v>
      </c>
      <c r="AH708" s="235">
        <f t="shared" si="132"/>
        <v>342417.5252694576</v>
      </c>
    </row>
    <row r="709" spans="1:34" ht="15" customHeight="1" x14ac:dyDescent="0.2">
      <c r="A709" s="962" t="s">
        <v>362</v>
      </c>
      <c r="B709" s="1498">
        <v>32.5</v>
      </c>
      <c r="C709" s="1146">
        <v>2</v>
      </c>
      <c r="D709" s="1146">
        <v>0</v>
      </c>
      <c r="E709" s="1146">
        <v>0</v>
      </c>
      <c r="F709" s="1146">
        <v>8</v>
      </c>
      <c r="G709" s="1146">
        <v>2</v>
      </c>
      <c r="H709" s="1146">
        <v>22.5</v>
      </c>
      <c r="I709" s="1146">
        <v>26.5</v>
      </c>
      <c r="J709" s="1147">
        <v>292.5</v>
      </c>
      <c r="K709" s="1147">
        <v>13</v>
      </c>
      <c r="L709" s="1066" t="s">
        <v>988</v>
      </c>
      <c r="M709" s="959">
        <v>3050000</v>
      </c>
      <c r="N709" s="2000">
        <v>16145486.770111999</v>
      </c>
      <c r="O709" s="1838">
        <v>17075677.150137313</v>
      </c>
      <c r="P709" s="950"/>
      <c r="Q709" s="950"/>
      <c r="R709" s="950"/>
      <c r="S709" s="950"/>
      <c r="T709" s="9"/>
      <c r="U709" s="9"/>
      <c r="V709" s="9"/>
      <c r="W709" s="9"/>
      <c r="X709" s="9"/>
      <c r="Y709" s="9"/>
      <c r="Z709" s="9"/>
      <c r="AA709" s="9"/>
      <c r="AB709" s="9"/>
      <c r="AC709" s="237">
        <f>MAX(J709/J740)</f>
        <v>5.7080744371936179E-2</v>
      </c>
      <c r="AD709" s="235">
        <f t="shared" si="130"/>
        <v>174096.27033440536</v>
      </c>
      <c r="AE709" s="238">
        <f>MAX(I709/I740)</f>
        <v>4.2729530136412008E-2</v>
      </c>
      <c r="AF709" s="235">
        <f t="shared" si="131"/>
        <v>689889.06351054204</v>
      </c>
      <c r="AG709" s="238">
        <f>MAX(H709/H740)</f>
        <v>4.511911446218015E-2</v>
      </c>
      <c r="AH709" s="235">
        <f t="shared" si="132"/>
        <v>770439.43185627961</v>
      </c>
    </row>
    <row r="710" spans="1:34" ht="15" customHeight="1" x14ac:dyDescent="0.2">
      <c r="A710" s="962" t="s">
        <v>363</v>
      </c>
      <c r="B710" s="1498">
        <v>0</v>
      </c>
      <c r="C710" s="1146">
        <v>0</v>
      </c>
      <c r="D710" s="1146">
        <v>0</v>
      </c>
      <c r="E710" s="1146">
        <v>0</v>
      </c>
      <c r="F710" s="1146">
        <v>0</v>
      </c>
      <c r="G710" s="1146">
        <v>0</v>
      </c>
      <c r="H710" s="1146">
        <v>0</v>
      </c>
      <c r="I710" s="1146">
        <v>0</v>
      </c>
      <c r="J710" s="1147">
        <v>0</v>
      </c>
      <c r="K710" s="1147">
        <v>0</v>
      </c>
      <c r="L710" s="1148"/>
      <c r="M710" s="959"/>
      <c r="N710" s="959"/>
      <c r="O710" s="1149"/>
      <c r="P710" s="950"/>
      <c r="Q710" s="950"/>
      <c r="R710" s="950"/>
      <c r="S710" s="950"/>
      <c r="T710" s="9"/>
      <c r="U710" s="9"/>
      <c r="V710" s="9"/>
      <c r="W710" s="9"/>
      <c r="X710" s="9"/>
      <c r="Y710" s="9"/>
      <c r="Z710" s="9"/>
      <c r="AA710" s="9"/>
      <c r="AB710" s="9"/>
      <c r="AC710" s="237">
        <f>MAX(J710/J740)</f>
        <v>0</v>
      </c>
      <c r="AD710" s="235">
        <f t="shared" si="130"/>
        <v>0</v>
      </c>
      <c r="AE710" s="238">
        <f>MAX(I710/I740)</f>
        <v>0</v>
      </c>
      <c r="AF710" s="235">
        <f t="shared" si="131"/>
        <v>0</v>
      </c>
      <c r="AG710" s="238">
        <f>MAX(H710/H740)</f>
        <v>0</v>
      </c>
      <c r="AH710" s="235">
        <f t="shared" si="132"/>
        <v>0</v>
      </c>
    </row>
    <row r="711" spans="1:34" ht="15" customHeight="1" x14ac:dyDescent="0.2">
      <c r="A711" s="962" t="s">
        <v>939</v>
      </c>
      <c r="B711" s="1498">
        <v>6</v>
      </c>
      <c r="C711" s="1146">
        <v>0</v>
      </c>
      <c r="D711" s="1146">
        <v>0</v>
      </c>
      <c r="E711" s="1146">
        <v>0</v>
      </c>
      <c r="F711" s="1146">
        <v>0</v>
      </c>
      <c r="G711" s="1146">
        <v>2</v>
      </c>
      <c r="H711" s="1146">
        <v>4</v>
      </c>
      <c r="I711" s="1146">
        <v>6</v>
      </c>
      <c r="J711" s="1147">
        <v>40</v>
      </c>
      <c r="K711" s="1147">
        <v>10</v>
      </c>
      <c r="L711" s="1066" t="s">
        <v>988</v>
      </c>
      <c r="M711" s="959">
        <v>3050000</v>
      </c>
      <c r="N711" s="2000">
        <v>16145486.770111999</v>
      </c>
      <c r="O711" s="1838">
        <v>17075677.150137313</v>
      </c>
      <c r="U711" s="9"/>
      <c r="V711" s="9"/>
      <c r="W711" s="9"/>
      <c r="X711" s="9"/>
      <c r="Y711" s="9"/>
      <c r="Z711" s="9"/>
      <c r="AA711" s="9"/>
      <c r="AB711" s="9"/>
      <c r="AC711" s="237">
        <f>MAX(J711/J740)</f>
        <v>7.8059137602647767E-3</v>
      </c>
      <c r="AD711" s="235">
        <f t="shared" si="130"/>
        <v>23808.03696880757</v>
      </c>
      <c r="AE711" s="238">
        <f>MAX(I711/I740)</f>
        <v>9.6746105969234726E-3</v>
      </c>
      <c r="AF711" s="235">
        <f t="shared" si="131"/>
        <v>156201.29739861327</v>
      </c>
      <c r="AG711" s="238">
        <f>MAX(H711/H740)</f>
        <v>8.0211759043875824E-3</v>
      </c>
      <c r="AH711" s="235">
        <f t="shared" si="132"/>
        <v>136967.01010778305</v>
      </c>
    </row>
    <row r="712" spans="1:34" ht="15" customHeight="1" x14ac:dyDescent="0.2">
      <c r="A712" s="962" t="s">
        <v>365</v>
      </c>
      <c r="B712" s="1498">
        <v>0</v>
      </c>
      <c r="C712" s="1146"/>
      <c r="D712" s="1146"/>
      <c r="E712" s="1146"/>
      <c r="F712" s="1146"/>
      <c r="G712" s="1146"/>
      <c r="H712" s="1146">
        <v>0</v>
      </c>
      <c r="I712" s="1146">
        <v>0</v>
      </c>
      <c r="J712" s="1147">
        <v>0</v>
      </c>
      <c r="K712" s="1147"/>
      <c r="L712" s="1148"/>
      <c r="M712" s="959"/>
      <c r="N712" s="1533"/>
      <c r="O712" s="1534"/>
      <c r="U712" s="9"/>
      <c r="V712" s="9"/>
      <c r="W712" s="9"/>
      <c r="X712" s="9"/>
      <c r="Y712" s="9"/>
      <c r="Z712" s="9"/>
      <c r="AA712" s="9"/>
      <c r="AB712" s="1966"/>
      <c r="AC712" s="237">
        <f>MAX(J712/J740)</f>
        <v>0</v>
      </c>
      <c r="AD712" s="235">
        <f t="shared" si="130"/>
        <v>0</v>
      </c>
      <c r="AE712" s="238">
        <f>MAX(I712/I740)</f>
        <v>0</v>
      </c>
      <c r="AF712" s="235">
        <f t="shared" si="131"/>
        <v>0</v>
      </c>
      <c r="AG712" s="238">
        <f>MAX(H712/H740)</f>
        <v>0</v>
      </c>
      <c r="AH712" s="235">
        <f t="shared" si="132"/>
        <v>0</v>
      </c>
    </row>
    <row r="713" spans="1:34" ht="15" customHeight="1" x14ac:dyDescent="0.2">
      <c r="A713" s="962" t="s">
        <v>366</v>
      </c>
      <c r="B713" s="1498">
        <v>9.5500000000000007</v>
      </c>
      <c r="C713" s="1146">
        <v>0</v>
      </c>
      <c r="D713" s="1146">
        <v>0</v>
      </c>
      <c r="E713" s="1146">
        <v>2</v>
      </c>
      <c r="F713" s="1146">
        <v>2</v>
      </c>
      <c r="G713" s="1146">
        <v>3</v>
      </c>
      <c r="H713" s="1146">
        <v>2.5500000000000007</v>
      </c>
      <c r="I713" s="1146">
        <v>5.5500000000000007</v>
      </c>
      <c r="J713" s="1147">
        <v>22.950000000000006</v>
      </c>
      <c r="K713" s="1147">
        <v>9</v>
      </c>
      <c r="L713" s="1066" t="s">
        <v>988</v>
      </c>
      <c r="M713" s="959">
        <v>3050000</v>
      </c>
      <c r="N713" s="2000">
        <v>16145486.770111999</v>
      </c>
      <c r="O713" s="1838">
        <v>17075677.150137313</v>
      </c>
      <c r="P713" s="950"/>
      <c r="Q713" s="950"/>
      <c r="R713" s="950"/>
      <c r="S713" s="950"/>
      <c r="T713" s="9"/>
      <c r="U713" s="9"/>
      <c r="V713" s="9"/>
      <c r="W713" s="9"/>
      <c r="X713" s="9"/>
      <c r="Y713" s="9"/>
      <c r="Z713" s="9"/>
      <c r="AA713" s="9"/>
      <c r="AB713" s="1966"/>
      <c r="AC713" s="237">
        <f>MAX(J713/J740)</f>
        <v>4.4786430199519169E-3</v>
      </c>
      <c r="AD713" s="235">
        <f t="shared" si="130"/>
        <v>13659.861210853347</v>
      </c>
      <c r="AE713" s="238">
        <f>MAX(I713/I740)</f>
        <v>8.9490148021542128E-3</v>
      </c>
      <c r="AF713" s="235">
        <f t="shared" si="131"/>
        <v>144486.20009371729</v>
      </c>
      <c r="AG713" s="238">
        <f>MAX(H713/H740)</f>
        <v>5.1134996390470849E-3</v>
      </c>
      <c r="AH713" s="235">
        <f t="shared" si="132"/>
        <v>87316.468943711705</v>
      </c>
    </row>
    <row r="714" spans="1:34" ht="15" customHeight="1" x14ac:dyDescent="0.2">
      <c r="A714" s="962" t="s">
        <v>367</v>
      </c>
      <c r="B714" s="1498">
        <v>16.5</v>
      </c>
      <c r="C714" s="1146"/>
      <c r="D714" s="1146"/>
      <c r="E714" s="1146"/>
      <c r="F714" s="1146"/>
      <c r="G714" s="1146"/>
      <c r="H714" s="1146">
        <v>16.5</v>
      </c>
      <c r="I714" s="1146">
        <v>16.5</v>
      </c>
      <c r="J714" s="1147">
        <v>214.5</v>
      </c>
      <c r="K714" s="1147">
        <v>13</v>
      </c>
      <c r="L714" s="1066" t="s">
        <v>988</v>
      </c>
      <c r="M714" s="959">
        <v>3050000</v>
      </c>
      <c r="N714" s="2000">
        <v>16145486.770111999</v>
      </c>
      <c r="O714" s="1838">
        <v>17075677.150137313</v>
      </c>
      <c r="P714" s="950"/>
      <c r="Q714" s="950"/>
      <c r="R714" s="950"/>
      <c r="S714" s="950"/>
      <c r="T714" s="9"/>
      <c r="U714" s="9"/>
      <c r="V714" s="9"/>
      <c r="W714" s="9"/>
      <c r="X714" s="9"/>
      <c r="Y714" s="9"/>
      <c r="Z714" s="9"/>
      <c r="AA714" s="9"/>
      <c r="AB714" s="1966"/>
      <c r="AC714" s="237">
        <f>MAX(J714/J740)</f>
        <v>4.185921253941987E-2</v>
      </c>
      <c r="AD714" s="235">
        <f t="shared" si="130"/>
        <v>127670.59824523061</v>
      </c>
      <c r="AE714" s="238">
        <f>MAX(I714/I740)</f>
        <v>2.6605179141539551E-2</v>
      </c>
      <c r="AF714" s="235">
        <f t="shared" si="131"/>
        <v>429553.56784618652</v>
      </c>
      <c r="AG714" s="238">
        <f>MAX(H714/H740)</f>
        <v>3.3087350605598774E-2</v>
      </c>
      <c r="AH714" s="235">
        <f t="shared" si="132"/>
        <v>564988.91669460491</v>
      </c>
    </row>
    <row r="715" spans="1:34" ht="15" customHeight="1" x14ac:dyDescent="0.2">
      <c r="A715" s="434" t="s">
        <v>940</v>
      </c>
      <c r="B715" s="1002">
        <v>46.5</v>
      </c>
      <c r="C715" s="1002">
        <v>17</v>
      </c>
      <c r="D715" s="1002">
        <v>0</v>
      </c>
      <c r="E715" s="1002">
        <v>1</v>
      </c>
      <c r="F715" s="1002">
        <v>1</v>
      </c>
      <c r="G715" s="1002">
        <v>15</v>
      </c>
      <c r="H715" s="1002">
        <v>29.5</v>
      </c>
      <c r="I715" s="1002">
        <v>61.5</v>
      </c>
      <c r="J715" s="1150">
        <v>310.5</v>
      </c>
      <c r="K715" s="1150">
        <v>10.525423728813559</v>
      </c>
      <c r="L715" s="1152"/>
      <c r="M715" s="996"/>
      <c r="N715" s="435"/>
      <c r="O715" s="436"/>
      <c r="U715" s="9"/>
      <c r="V715" s="9"/>
      <c r="W715" s="9"/>
      <c r="X715" s="9"/>
      <c r="Y715" s="9"/>
      <c r="Z715" s="9"/>
      <c r="AA715" s="9"/>
      <c r="AB715" s="1966"/>
      <c r="AC715" s="1157"/>
      <c r="AD715" s="1156"/>
      <c r="AE715" s="1158"/>
      <c r="AF715" s="1156"/>
      <c r="AG715" s="1158"/>
      <c r="AH715" s="1156"/>
    </row>
    <row r="716" spans="1:34" ht="15" customHeight="1" x14ac:dyDescent="0.2">
      <c r="A716" s="962" t="s">
        <v>369</v>
      </c>
      <c r="B716" s="1498">
        <v>41.5</v>
      </c>
      <c r="C716" s="1146">
        <v>9</v>
      </c>
      <c r="D716" s="1146">
        <v>0</v>
      </c>
      <c r="E716" s="1146">
        <v>1</v>
      </c>
      <c r="F716" s="1146">
        <v>1</v>
      </c>
      <c r="G716" s="1146">
        <v>14</v>
      </c>
      <c r="H716" s="1146">
        <v>25.5</v>
      </c>
      <c r="I716" s="1146">
        <v>48.5</v>
      </c>
      <c r="J716" s="1147">
        <v>280.5</v>
      </c>
      <c r="K716" s="1147">
        <v>11</v>
      </c>
      <c r="L716" s="1066" t="s">
        <v>988</v>
      </c>
      <c r="M716" s="959">
        <v>3050000</v>
      </c>
      <c r="N716" s="2000">
        <v>16145486.770111999</v>
      </c>
      <c r="O716" s="1838">
        <v>17075677.150137313</v>
      </c>
      <c r="P716" s="950"/>
      <c r="Q716" s="950"/>
      <c r="R716" s="950"/>
      <c r="S716" s="950"/>
      <c r="T716" s="9"/>
      <c r="U716" s="9"/>
      <c r="V716" s="9"/>
      <c r="W716" s="9"/>
      <c r="X716" s="9"/>
      <c r="Y716" s="9"/>
      <c r="Z716" s="9"/>
      <c r="AA716" s="9"/>
      <c r="AB716" s="1966"/>
      <c r="AC716" s="237">
        <f>MAX(J716/J740)</f>
        <v>5.4738970243856752E-2</v>
      </c>
      <c r="AD716" s="235">
        <f>MAX(M716*AC716)</f>
        <v>166953.85924376309</v>
      </c>
      <c r="AE716" s="238">
        <f>MAX(I716/I740)</f>
        <v>7.8203102325131404E-2</v>
      </c>
      <c r="AF716" s="235">
        <f>MAX(N716*AE716)</f>
        <v>1262627.153972124</v>
      </c>
      <c r="AG716" s="238">
        <f>MAX(H716/H740)</f>
        <v>5.1134996390470838E-2</v>
      </c>
      <c r="AH716" s="235">
        <f>MAX(O716*AG716)</f>
        <v>873164.68943711685</v>
      </c>
    </row>
    <row r="717" spans="1:34" ht="15" customHeight="1" x14ac:dyDescent="0.2">
      <c r="A717" s="962" t="s">
        <v>370</v>
      </c>
      <c r="B717" s="956">
        <v>0</v>
      </c>
      <c r="C717" s="1146">
        <v>0</v>
      </c>
      <c r="D717" s="1146">
        <v>0</v>
      </c>
      <c r="E717" s="1146">
        <v>0</v>
      </c>
      <c r="F717" s="1146">
        <v>0</v>
      </c>
      <c r="G717" s="1146">
        <v>0</v>
      </c>
      <c r="H717" s="1146">
        <v>0</v>
      </c>
      <c r="I717" s="1146">
        <v>0</v>
      </c>
      <c r="J717" s="1147">
        <v>0</v>
      </c>
      <c r="K717" s="1147">
        <v>0</v>
      </c>
      <c r="L717" s="1148"/>
      <c r="M717" s="959"/>
      <c r="N717" s="1533"/>
      <c r="O717" s="1534"/>
      <c r="U717" s="9"/>
      <c r="V717" s="9"/>
      <c r="W717" s="9"/>
      <c r="X717" s="9"/>
      <c r="Y717" s="9"/>
      <c r="Z717" s="9"/>
      <c r="AA717" s="9"/>
      <c r="AB717" s="1966"/>
      <c r="AC717" s="237">
        <f>MAX(J717/J740)</f>
        <v>0</v>
      </c>
      <c r="AD717" s="235">
        <f>MAX(M717*AC717)</f>
        <v>0</v>
      </c>
      <c r="AE717" s="238">
        <f>MAX(I717/I740)</f>
        <v>0</v>
      </c>
      <c r="AF717" s="235">
        <f>MAX(N717*AE717)</f>
        <v>0</v>
      </c>
      <c r="AG717" s="238">
        <f>MAX(H717/H740)</f>
        <v>0</v>
      </c>
      <c r="AH717" s="235">
        <f>MAX(O717*AG717)</f>
        <v>0</v>
      </c>
    </row>
    <row r="718" spans="1:34" ht="15" customHeight="1" x14ac:dyDescent="0.2">
      <c r="A718" s="962" t="s">
        <v>371</v>
      </c>
      <c r="B718" s="956">
        <v>0</v>
      </c>
      <c r="C718" s="1146">
        <v>5</v>
      </c>
      <c r="D718" s="1146">
        <v>0</v>
      </c>
      <c r="E718" s="1146">
        <v>0</v>
      </c>
      <c r="F718" s="1146">
        <v>0</v>
      </c>
      <c r="G718" s="1146">
        <v>0</v>
      </c>
      <c r="H718" s="1146">
        <v>0</v>
      </c>
      <c r="I718" s="1146">
        <v>5</v>
      </c>
      <c r="J718" s="1147">
        <v>0</v>
      </c>
      <c r="K718" s="1147">
        <v>0</v>
      </c>
      <c r="L718" s="1066"/>
      <c r="M718" s="959"/>
      <c r="N718" s="2000">
        <v>16145486.770111999</v>
      </c>
      <c r="O718" s="1838"/>
      <c r="P718" s="9"/>
      <c r="Q718" s="2005"/>
      <c r="R718" s="9"/>
      <c r="S718" s="950"/>
      <c r="T718" s="9"/>
      <c r="U718" s="9"/>
      <c r="V718" s="9"/>
      <c r="W718" s="9"/>
      <c r="X718" s="9"/>
      <c r="Y718" s="9"/>
      <c r="Z718" s="9"/>
      <c r="AA718" s="9"/>
      <c r="AB718" s="1966"/>
      <c r="AC718" s="237">
        <f>MAX(J718/J740)</f>
        <v>0</v>
      </c>
      <c r="AD718" s="235">
        <f>MAX(M718*AC718)</f>
        <v>0</v>
      </c>
      <c r="AE718" s="238">
        <f>MAX(I718/I740)</f>
        <v>8.0621754974362272E-3</v>
      </c>
      <c r="AF718" s="235">
        <f>MAX(N718*AE718)</f>
        <v>130167.74783217773</v>
      </c>
      <c r="AG718" s="238">
        <f>MAX(H718/H740)</f>
        <v>0</v>
      </c>
      <c r="AH718" s="235">
        <f>MAX(O718*AG718)</f>
        <v>0</v>
      </c>
    </row>
    <row r="719" spans="1:34" ht="15" customHeight="1" x14ac:dyDescent="0.2">
      <c r="A719" s="962" t="s">
        <v>372</v>
      </c>
      <c r="B719" s="956">
        <v>2</v>
      </c>
      <c r="C719" s="1146">
        <v>0</v>
      </c>
      <c r="D719" s="1146">
        <v>0</v>
      </c>
      <c r="E719" s="1146">
        <v>0</v>
      </c>
      <c r="F719" s="1146">
        <v>0</v>
      </c>
      <c r="G719" s="1146">
        <v>1</v>
      </c>
      <c r="H719" s="1146">
        <v>1</v>
      </c>
      <c r="I719" s="1146">
        <v>2</v>
      </c>
      <c r="J719" s="1147">
        <v>7.5</v>
      </c>
      <c r="K719" s="1147">
        <v>7.5</v>
      </c>
      <c r="L719" s="1066" t="s">
        <v>988</v>
      </c>
      <c r="M719" s="959">
        <v>3050000</v>
      </c>
      <c r="N719" s="2000">
        <v>16145486.770111999</v>
      </c>
      <c r="O719" s="1838">
        <v>17075677.150137313</v>
      </c>
      <c r="U719" s="9"/>
      <c r="V719" s="9"/>
      <c r="W719" s="9"/>
      <c r="X719" s="9"/>
      <c r="Y719" s="9"/>
      <c r="Z719" s="9"/>
      <c r="AA719" s="9"/>
      <c r="AB719" s="1966"/>
      <c r="AC719" s="237">
        <f>MAX(J719/J740)</f>
        <v>1.4636088300496457E-3</v>
      </c>
      <c r="AD719" s="235">
        <f>MAX(M719*AC719)</f>
        <v>4464.0069316514191</v>
      </c>
      <c r="AE719" s="238">
        <f>MAX(I719/I740)</f>
        <v>3.2248701989744909E-3</v>
      </c>
      <c r="AF719" s="235">
        <f>MAX(N719*AE719)</f>
        <v>52067.099132871088</v>
      </c>
      <c r="AG719" s="238">
        <f>MAX(H719/H740)</f>
        <v>2.0052939760968956E-3</v>
      </c>
      <c r="AH719" s="235">
        <f>MAX(O719*AG719)</f>
        <v>34241.752526945762</v>
      </c>
    </row>
    <row r="720" spans="1:34" ht="15" customHeight="1" x14ac:dyDescent="0.2">
      <c r="A720" s="962" t="s">
        <v>373</v>
      </c>
      <c r="B720" s="956">
        <v>3</v>
      </c>
      <c r="C720" s="1146">
        <v>3</v>
      </c>
      <c r="D720" s="1146">
        <v>0</v>
      </c>
      <c r="E720" s="1146">
        <v>0</v>
      </c>
      <c r="F720" s="1146">
        <v>0</v>
      </c>
      <c r="G720" s="1146">
        <v>0</v>
      </c>
      <c r="H720" s="1146">
        <v>3</v>
      </c>
      <c r="I720" s="1146">
        <v>6</v>
      </c>
      <c r="J720" s="1147">
        <v>22.5</v>
      </c>
      <c r="K720" s="1147">
        <v>7.5</v>
      </c>
      <c r="L720" s="1066" t="s">
        <v>988</v>
      </c>
      <c r="M720" s="959">
        <v>3050000</v>
      </c>
      <c r="N720" s="2000">
        <v>16145486.770111999</v>
      </c>
      <c r="O720" s="1838">
        <v>17075677.150137313</v>
      </c>
      <c r="P720" s="950"/>
      <c r="Q720" s="950"/>
      <c r="R720" s="950"/>
      <c r="S720" s="950"/>
      <c r="T720" s="9"/>
      <c r="U720" s="9"/>
      <c r="V720" s="9"/>
      <c r="W720" s="9"/>
      <c r="X720" s="9"/>
      <c r="Y720" s="9"/>
      <c r="Z720" s="9"/>
      <c r="AA720" s="9"/>
      <c r="AB720" s="1966"/>
      <c r="AC720" s="237">
        <f>MAX(J720/J740)</f>
        <v>4.3908264901489375E-3</v>
      </c>
      <c r="AD720" s="235">
        <f>MAX(M720*AC720)</f>
        <v>13392.02079495426</v>
      </c>
      <c r="AE720" s="238">
        <f>MAX(I720/I740)</f>
        <v>9.6746105969234726E-3</v>
      </c>
      <c r="AF720" s="235">
        <f>MAX(N720*AE720)</f>
        <v>156201.29739861327</v>
      </c>
      <c r="AG720" s="238">
        <f>MAX(H720/H740)</f>
        <v>6.0158819282906863E-3</v>
      </c>
      <c r="AH720" s="235">
        <f>MAX(O720*AG720)</f>
        <v>102725.25758083726</v>
      </c>
    </row>
    <row r="721" spans="1:34" ht="15" customHeight="1" x14ac:dyDescent="0.2">
      <c r="A721" s="1154" t="s">
        <v>374</v>
      </c>
      <c r="B721" s="1002">
        <v>213.73000000000002</v>
      </c>
      <c r="C721" s="1002">
        <v>12</v>
      </c>
      <c r="D721" s="1002">
        <v>0</v>
      </c>
      <c r="E721" s="1002">
        <v>4</v>
      </c>
      <c r="F721" s="1002">
        <v>8</v>
      </c>
      <c r="G721" s="1002">
        <v>25</v>
      </c>
      <c r="H721" s="1002">
        <v>176.73000000000002</v>
      </c>
      <c r="I721" s="1002">
        <v>213.73000000000002</v>
      </c>
      <c r="J721" s="1150">
        <v>1694.77</v>
      </c>
      <c r="K721" s="1150">
        <v>9.5895999547332078</v>
      </c>
      <c r="L721" s="1152"/>
      <c r="M721" s="996"/>
      <c r="N721" s="435"/>
      <c r="O721" s="436"/>
      <c r="U721" s="9"/>
      <c r="V721" s="9"/>
      <c r="W721" s="9"/>
      <c r="X721" s="9"/>
      <c r="Y721" s="9"/>
      <c r="Z721" s="9"/>
      <c r="AA721" s="9"/>
      <c r="AB721" s="1966"/>
      <c r="AC721" s="1157"/>
      <c r="AD721" s="1156"/>
      <c r="AE721" s="1158"/>
      <c r="AF721" s="1156"/>
      <c r="AG721" s="1158"/>
      <c r="AH721" s="1156"/>
    </row>
    <row r="722" spans="1:34" ht="15" customHeight="1" x14ac:dyDescent="0.2">
      <c r="A722" s="962" t="s">
        <v>375</v>
      </c>
      <c r="B722" s="1498">
        <v>31.5</v>
      </c>
      <c r="C722" s="1146">
        <v>1</v>
      </c>
      <c r="D722" s="1146">
        <v>0</v>
      </c>
      <c r="E722" s="1146">
        <v>0</v>
      </c>
      <c r="F722" s="1146">
        <v>2</v>
      </c>
      <c r="G722" s="1146">
        <v>5</v>
      </c>
      <c r="H722" s="1146">
        <v>24.5</v>
      </c>
      <c r="I722" s="1146">
        <v>30.5</v>
      </c>
      <c r="J722" s="1147">
        <v>171.5</v>
      </c>
      <c r="K722" s="1147">
        <v>7</v>
      </c>
      <c r="L722" s="1066" t="s">
        <v>988</v>
      </c>
      <c r="M722" s="959">
        <v>3050000</v>
      </c>
      <c r="N722" s="2000">
        <v>16145486.770111999</v>
      </c>
      <c r="O722" s="1838">
        <v>17075677.150137313</v>
      </c>
      <c r="P722" s="950"/>
      <c r="Q722" s="950"/>
      <c r="R722" s="950"/>
      <c r="S722" s="950"/>
      <c r="T722" s="9"/>
      <c r="U722" s="9"/>
      <c r="V722" s="9"/>
      <c r="W722" s="9"/>
      <c r="X722" s="9"/>
      <c r="Y722" s="9"/>
      <c r="Z722" s="9"/>
      <c r="AA722" s="9"/>
      <c r="AB722" s="9"/>
      <c r="AC722" s="237">
        <f>MAX(J722/J740)</f>
        <v>3.3467855247135234E-2</v>
      </c>
      <c r="AD722" s="235">
        <f t="shared" ref="AD722:AD729" si="133">MAX(M722*AC722)</f>
        <v>102076.95850376246</v>
      </c>
      <c r="AE722" s="238">
        <f>MAX(I722/I740)</f>
        <v>4.917927053436099E-2</v>
      </c>
      <c r="AF722" s="235">
        <f t="shared" ref="AF722:AF729" si="134">MAX(N722*AE722)</f>
        <v>794023.2617762842</v>
      </c>
      <c r="AG722" s="238">
        <f>MAX(H722/H740)</f>
        <v>4.9129702414373942E-2</v>
      </c>
      <c r="AH722" s="235">
        <f t="shared" ref="AH722:AH729" si="135">MAX(O722*AG722)</f>
        <v>838922.93691017106</v>
      </c>
    </row>
    <row r="723" spans="1:34" ht="15" customHeight="1" x14ac:dyDescent="0.2">
      <c r="A723" s="962" t="s">
        <v>47</v>
      </c>
      <c r="B723" s="1498">
        <v>6.9300000000000006</v>
      </c>
      <c r="C723" s="1146">
        <v>3</v>
      </c>
      <c r="D723" s="1146">
        <v>0</v>
      </c>
      <c r="E723" s="1146">
        <v>0</v>
      </c>
      <c r="F723" s="1146">
        <v>0</v>
      </c>
      <c r="G723" s="1146">
        <v>0</v>
      </c>
      <c r="H723" s="1146">
        <v>6.93</v>
      </c>
      <c r="I723" s="1146">
        <v>9.93</v>
      </c>
      <c r="J723" s="1147">
        <v>62.37</v>
      </c>
      <c r="K723" s="1147">
        <v>9</v>
      </c>
      <c r="L723" s="1066" t="s">
        <v>988</v>
      </c>
      <c r="M723" s="959">
        <v>3050000</v>
      </c>
      <c r="N723" s="2000">
        <v>16145486.770111999</v>
      </c>
      <c r="O723" s="1838">
        <v>17075677.150137313</v>
      </c>
      <c r="P723" s="950"/>
      <c r="Q723" s="950"/>
      <c r="R723" s="950"/>
      <c r="S723" s="950"/>
      <c r="T723" s="9"/>
      <c r="U723" s="9"/>
      <c r="V723" s="9"/>
      <c r="W723" s="9"/>
      <c r="X723" s="9"/>
      <c r="Y723" s="9"/>
      <c r="Z723" s="9"/>
      <c r="AA723" s="9"/>
      <c r="AB723" s="9"/>
      <c r="AC723" s="237">
        <f>MAX(J723/J740)</f>
        <v>1.2171371030692853E-2</v>
      </c>
      <c r="AD723" s="235">
        <f t="shared" si="133"/>
        <v>37122.681643613199</v>
      </c>
      <c r="AE723" s="238">
        <f>MAX(I723/I740)</f>
        <v>1.6011480537908348E-2</v>
      </c>
      <c r="AF723" s="235">
        <f t="shared" si="134"/>
        <v>258513.14719470497</v>
      </c>
      <c r="AG723" s="238">
        <f>MAX(H723/H740)</f>
        <v>1.3896687254351486E-2</v>
      </c>
      <c r="AH723" s="235">
        <f t="shared" si="135"/>
        <v>237295.34501173408</v>
      </c>
    </row>
    <row r="724" spans="1:34" ht="15" customHeight="1" x14ac:dyDescent="0.2">
      <c r="A724" s="962" t="s">
        <v>377</v>
      </c>
      <c r="B724" s="1498">
        <v>52.900000000000006</v>
      </c>
      <c r="C724" s="1146"/>
      <c r="D724" s="1146"/>
      <c r="E724" s="1146"/>
      <c r="F724" s="1146"/>
      <c r="G724" s="1146"/>
      <c r="H724" s="1146">
        <v>52.900000000000006</v>
      </c>
      <c r="I724" s="1147">
        <v>52.900000000000006</v>
      </c>
      <c r="J724" s="1147">
        <v>529</v>
      </c>
      <c r="K724" s="1147">
        <v>10</v>
      </c>
      <c r="L724" s="1066" t="s">
        <v>988</v>
      </c>
      <c r="M724" s="959">
        <v>3050000</v>
      </c>
      <c r="N724" s="2000">
        <v>16145486.770111999</v>
      </c>
      <c r="O724" s="1838">
        <v>17075677.150137313</v>
      </c>
      <c r="P724" s="950"/>
      <c r="Q724" s="950"/>
      <c r="R724" s="950"/>
      <c r="S724" s="950"/>
      <c r="T724" s="9"/>
      <c r="U724" s="9"/>
      <c r="V724" s="9"/>
      <c r="W724" s="9"/>
      <c r="X724" s="9"/>
      <c r="Y724" s="9"/>
      <c r="Z724" s="9"/>
      <c r="AA724" s="9"/>
      <c r="AB724" s="9"/>
      <c r="AC724" s="237">
        <f>MAX(J724/J740)</f>
        <v>0.10323320947950168</v>
      </c>
      <c r="AD724" s="235">
        <f t="shared" si="133"/>
        <v>314861.28891248011</v>
      </c>
      <c r="AE724" s="238">
        <f>MAX(I724/I740)</f>
        <v>8.5297816762875289E-2</v>
      </c>
      <c r="AF724" s="235">
        <f t="shared" si="134"/>
        <v>1377174.7720644404</v>
      </c>
      <c r="AG724" s="238">
        <f>MAX(H724/H740)</f>
        <v>0.10608005133552578</v>
      </c>
      <c r="AH724" s="235">
        <f t="shared" si="135"/>
        <v>1811388.7086754306</v>
      </c>
    </row>
    <row r="725" spans="1:34" ht="15" customHeight="1" x14ac:dyDescent="0.2">
      <c r="A725" s="962" t="s">
        <v>378</v>
      </c>
      <c r="B725" s="1498">
        <v>31</v>
      </c>
      <c r="C725" s="1146">
        <v>0</v>
      </c>
      <c r="D725" s="1146">
        <v>0</v>
      </c>
      <c r="E725" s="1146">
        <v>0</v>
      </c>
      <c r="F725" s="1146">
        <v>0</v>
      </c>
      <c r="G725" s="1146">
        <v>0</v>
      </c>
      <c r="H725" s="1146">
        <v>31</v>
      </c>
      <c r="I725" s="1146">
        <v>31</v>
      </c>
      <c r="J725" s="1147">
        <v>341</v>
      </c>
      <c r="K725" s="1147">
        <v>11</v>
      </c>
      <c r="L725" s="1066" t="s">
        <v>988</v>
      </c>
      <c r="M725" s="959">
        <v>3050000</v>
      </c>
      <c r="N725" s="2000">
        <v>16145486.770111999</v>
      </c>
      <c r="O725" s="1838">
        <v>17075677.150137313</v>
      </c>
      <c r="P725" s="950"/>
      <c r="Q725" s="950"/>
      <c r="R725" s="950"/>
      <c r="S725" s="950"/>
      <c r="T725" s="9"/>
      <c r="U725" s="9"/>
      <c r="V725" s="9"/>
      <c r="W725" s="9"/>
      <c r="X725" s="9"/>
      <c r="Y725" s="9"/>
      <c r="Z725" s="9"/>
      <c r="AA725" s="9"/>
      <c r="AB725" s="9"/>
      <c r="AC725" s="237">
        <f>MAX(J725/J740)</f>
        <v>6.6545414806257225E-2</v>
      </c>
      <c r="AD725" s="235">
        <f t="shared" si="133"/>
        <v>202963.51515908455</v>
      </c>
      <c r="AE725" s="238">
        <f>MAX(I725/I740)</f>
        <v>4.9985488084104607E-2</v>
      </c>
      <c r="AF725" s="235">
        <f t="shared" si="134"/>
        <v>807040.0365595019</v>
      </c>
      <c r="AG725" s="238">
        <f>MAX(H725/H740)</f>
        <v>6.2164113259003763E-2</v>
      </c>
      <c r="AH725" s="235">
        <f t="shared" si="135"/>
        <v>1061494.3283353185</v>
      </c>
    </row>
    <row r="726" spans="1:34" ht="15" customHeight="1" x14ac:dyDescent="0.2">
      <c r="A726" s="962" t="s">
        <v>379</v>
      </c>
      <c r="B726" s="1498">
        <v>13.5</v>
      </c>
      <c r="C726" s="1146">
        <v>3</v>
      </c>
      <c r="D726" s="1146"/>
      <c r="E726" s="1146"/>
      <c r="F726" s="1146"/>
      <c r="G726" s="1146">
        <v>8</v>
      </c>
      <c r="H726" s="1146">
        <v>5.5</v>
      </c>
      <c r="I726" s="1146">
        <v>16.5</v>
      </c>
      <c r="J726" s="1147">
        <v>44</v>
      </c>
      <c r="K726" s="1147">
        <v>8</v>
      </c>
      <c r="L726" s="1066" t="s">
        <v>988</v>
      </c>
      <c r="M726" s="959">
        <v>3050000</v>
      </c>
      <c r="N726" s="2000">
        <v>16145486.770111999</v>
      </c>
      <c r="O726" s="1838">
        <v>17075677.150137313</v>
      </c>
      <c r="P726" s="9"/>
      <c r="Q726" s="2005"/>
      <c r="R726" s="9"/>
      <c r="S726" s="950"/>
      <c r="T726" s="9"/>
      <c r="U726" s="9"/>
      <c r="V726" s="9"/>
      <c r="W726" s="9"/>
      <c r="X726" s="9"/>
      <c r="Y726" s="9"/>
      <c r="Z726" s="9"/>
      <c r="AA726" s="9"/>
      <c r="AB726" s="9"/>
      <c r="AC726" s="237">
        <f>MAX(J726/J740)</f>
        <v>8.5865051362912555E-3</v>
      </c>
      <c r="AD726" s="235">
        <f t="shared" si="133"/>
        <v>26188.840665688331</v>
      </c>
      <c r="AE726" s="238">
        <f>MAX(I726/I740)</f>
        <v>2.6605179141539551E-2</v>
      </c>
      <c r="AF726" s="235">
        <f t="shared" si="134"/>
        <v>429553.56784618652</v>
      </c>
      <c r="AG726" s="238">
        <f>MAX(H726/H740)</f>
        <v>1.1029116868532925E-2</v>
      </c>
      <c r="AH726" s="235">
        <f t="shared" si="135"/>
        <v>188329.63889820167</v>
      </c>
    </row>
    <row r="727" spans="1:34" ht="15" customHeight="1" x14ac:dyDescent="0.2">
      <c r="A727" s="962" t="s">
        <v>380</v>
      </c>
      <c r="B727" s="1498">
        <v>17</v>
      </c>
      <c r="C727" s="1146">
        <v>0</v>
      </c>
      <c r="D727" s="1146">
        <v>0</v>
      </c>
      <c r="E727" s="1146">
        <v>0</v>
      </c>
      <c r="F727" s="1146">
        <v>0</v>
      </c>
      <c r="G727" s="1146">
        <v>0</v>
      </c>
      <c r="H727" s="1146">
        <v>17</v>
      </c>
      <c r="I727" s="1146">
        <v>17</v>
      </c>
      <c r="J727" s="1147">
        <v>153</v>
      </c>
      <c r="K727" s="1147">
        <v>9</v>
      </c>
      <c r="L727" s="1066" t="s">
        <v>988</v>
      </c>
      <c r="M727" s="959">
        <v>3050000</v>
      </c>
      <c r="N727" s="2000">
        <v>16145486.770111999</v>
      </c>
      <c r="O727" s="1838">
        <v>17075677.150137313</v>
      </c>
      <c r="P727" s="950"/>
      <c r="Q727" s="950"/>
      <c r="R727" s="950"/>
      <c r="S727" s="950"/>
      <c r="T727" s="9"/>
      <c r="U727" s="9"/>
      <c r="V727" s="9"/>
      <c r="W727" s="9"/>
      <c r="X727" s="9"/>
      <c r="Y727" s="9"/>
      <c r="Z727" s="9"/>
      <c r="AA727" s="9"/>
      <c r="AB727" s="9"/>
      <c r="AC727" s="237">
        <f>MAX(J727/J740)</f>
        <v>2.9857620133012772E-2</v>
      </c>
      <c r="AD727" s="235">
        <f t="shared" si="133"/>
        <v>91065.741405688954</v>
      </c>
      <c r="AE727" s="238">
        <f>MAX(I727/I740)</f>
        <v>2.7411396691283174E-2</v>
      </c>
      <c r="AF727" s="235">
        <f t="shared" si="134"/>
        <v>442570.34262940427</v>
      </c>
      <c r="AG727" s="238">
        <f>MAX(H727/H740)</f>
        <v>3.4089997593647225E-2</v>
      </c>
      <c r="AH727" s="235">
        <f t="shared" si="135"/>
        <v>582109.79295807786</v>
      </c>
    </row>
    <row r="728" spans="1:34" ht="15" customHeight="1" x14ac:dyDescent="0.2">
      <c r="A728" s="962" t="s">
        <v>381</v>
      </c>
      <c r="B728" s="1498">
        <v>42</v>
      </c>
      <c r="C728" s="1146"/>
      <c r="D728" s="1146"/>
      <c r="E728" s="1146"/>
      <c r="F728" s="1146"/>
      <c r="G728" s="1146">
        <v>8</v>
      </c>
      <c r="H728" s="1146">
        <v>34</v>
      </c>
      <c r="I728" s="1146">
        <v>42</v>
      </c>
      <c r="J728" s="1147">
        <v>340</v>
      </c>
      <c r="K728" s="1147">
        <v>10</v>
      </c>
      <c r="L728" s="1066" t="s">
        <v>988</v>
      </c>
      <c r="M728" s="959">
        <v>3050000</v>
      </c>
      <c r="N728" s="2000">
        <v>16145486.770111999</v>
      </c>
      <c r="O728" s="1838">
        <v>17075677.150137313</v>
      </c>
      <c r="P728" s="950"/>
      <c r="Q728" s="950"/>
      <c r="R728" s="950"/>
      <c r="S728" s="950"/>
      <c r="T728" s="9"/>
      <c r="U728" s="9"/>
      <c r="V728" s="9"/>
      <c r="W728" s="9"/>
      <c r="X728" s="9"/>
      <c r="Y728" s="9"/>
      <c r="Z728" s="9"/>
      <c r="AA728" s="9"/>
      <c r="AB728" s="9"/>
      <c r="AC728" s="237">
        <f>MAX(J728/J740)</f>
        <v>6.6350266962250604E-2</v>
      </c>
      <c r="AD728" s="235">
        <f t="shared" si="133"/>
        <v>202368.31423486435</v>
      </c>
      <c r="AE728" s="238">
        <f>MAX(I728/I740)</f>
        <v>6.7722274178464312E-2</v>
      </c>
      <c r="AF728" s="235">
        <f t="shared" si="134"/>
        <v>1093409.0817902929</v>
      </c>
      <c r="AG728" s="238">
        <f>MAX(H728/H740)</f>
        <v>6.8179995187294451E-2</v>
      </c>
      <c r="AH728" s="235">
        <f t="shared" si="135"/>
        <v>1164219.5859161557</v>
      </c>
    </row>
    <row r="729" spans="1:34" ht="15" customHeight="1" x14ac:dyDescent="0.2">
      <c r="A729" s="962" t="s">
        <v>382</v>
      </c>
      <c r="B729" s="1498">
        <v>18.899999999999999</v>
      </c>
      <c r="C729" s="1146">
        <v>5</v>
      </c>
      <c r="D729" s="1146">
        <v>0</v>
      </c>
      <c r="E729" s="1146">
        <v>4</v>
      </c>
      <c r="F729" s="1146">
        <v>6</v>
      </c>
      <c r="G729" s="1146">
        <v>4</v>
      </c>
      <c r="H729" s="1146">
        <v>4.8999999999999986</v>
      </c>
      <c r="I729" s="1146">
        <v>13.899999999999999</v>
      </c>
      <c r="J729" s="1147">
        <v>53.899999999999984</v>
      </c>
      <c r="K729" s="1147">
        <v>11</v>
      </c>
      <c r="L729" s="1066" t="s">
        <v>988</v>
      </c>
      <c r="M729" s="959">
        <v>3050000</v>
      </c>
      <c r="N729" s="2000">
        <v>16145486.770111999</v>
      </c>
      <c r="O729" s="1838">
        <v>17075677.150137313</v>
      </c>
      <c r="P729" s="950"/>
      <c r="Q729" s="950"/>
      <c r="R729" s="950"/>
      <c r="S729" s="950"/>
      <c r="T729" s="9"/>
      <c r="U729" s="9"/>
      <c r="V729" s="9"/>
      <c r="W729" s="9"/>
      <c r="X729" s="9"/>
      <c r="Y729" s="9"/>
      <c r="Z729" s="9"/>
      <c r="AA729" s="9"/>
      <c r="AB729" s="9"/>
      <c r="AC729" s="237">
        <f>MAX(J729/J740)</f>
        <v>1.0518468791956784E-2</v>
      </c>
      <c r="AD729" s="235">
        <f t="shared" si="133"/>
        <v>32081.329815468194</v>
      </c>
      <c r="AE729" s="238">
        <f>MAX(I729/I740)</f>
        <v>2.2412847882872709E-2</v>
      </c>
      <c r="AF729" s="235">
        <f t="shared" si="134"/>
        <v>361866.33897345403</v>
      </c>
      <c r="AG729" s="238">
        <f>MAX(H729/H740)</f>
        <v>9.8259404828747853E-3</v>
      </c>
      <c r="AH729" s="235">
        <f t="shared" si="135"/>
        <v>167784.58738203417</v>
      </c>
    </row>
    <row r="730" spans="1:34" ht="15" customHeight="1" x14ac:dyDescent="0.2">
      <c r="A730" s="1154" t="s">
        <v>383</v>
      </c>
      <c r="B730" s="1002">
        <v>71</v>
      </c>
      <c r="C730" s="1002">
        <v>5</v>
      </c>
      <c r="D730" s="1002">
        <v>1</v>
      </c>
      <c r="E730" s="1002">
        <v>0</v>
      </c>
      <c r="F730" s="1002">
        <v>0</v>
      </c>
      <c r="G730" s="1002">
        <v>9</v>
      </c>
      <c r="H730" s="1002">
        <v>61</v>
      </c>
      <c r="I730" s="1002">
        <v>76</v>
      </c>
      <c r="J730" s="1150">
        <v>616.70000000000005</v>
      </c>
      <c r="K730" s="1150">
        <v>10.109836065573772</v>
      </c>
      <c r="L730" s="1152"/>
      <c r="M730" s="996"/>
      <c r="N730" s="435"/>
      <c r="O730" s="436"/>
      <c r="U730" s="9"/>
      <c r="V730" s="9"/>
      <c r="W730" s="9"/>
      <c r="X730" s="9"/>
      <c r="Y730" s="9"/>
      <c r="Z730" s="9"/>
      <c r="AA730" s="9"/>
      <c r="AB730" s="9"/>
      <c r="AC730" s="1157"/>
      <c r="AD730" s="1156"/>
      <c r="AE730" s="1158"/>
      <c r="AF730" s="1156"/>
      <c r="AG730" s="1158"/>
      <c r="AH730" s="1156"/>
    </row>
    <row r="731" spans="1:34" ht="15" customHeight="1" x14ac:dyDescent="0.2">
      <c r="A731" s="962" t="s">
        <v>384</v>
      </c>
      <c r="B731" s="956">
        <v>28.9</v>
      </c>
      <c r="C731" s="1146">
        <v>3</v>
      </c>
      <c r="D731" s="1146">
        <v>0</v>
      </c>
      <c r="E731" s="1146">
        <v>0</v>
      </c>
      <c r="F731" s="1146">
        <v>0</v>
      </c>
      <c r="G731" s="1146">
        <v>5</v>
      </c>
      <c r="H731" s="1146">
        <v>23.9</v>
      </c>
      <c r="I731" s="1146">
        <v>31.9</v>
      </c>
      <c r="J731" s="1147">
        <v>262.89999999999998</v>
      </c>
      <c r="K731" s="1147">
        <v>11</v>
      </c>
      <c r="L731" s="1066" t="s">
        <v>988</v>
      </c>
      <c r="M731" s="959">
        <v>3050000</v>
      </c>
      <c r="N731" s="2000">
        <v>16145486.770111999</v>
      </c>
      <c r="O731" s="1838">
        <v>17075677.150137313</v>
      </c>
      <c r="P731" s="950"/>
      <c r="Q731" s="950"/>
      <c r="R731" s="950"/>
      <c r="S731" s="950"/>
      <c r="T731" s="9"/>
      <c r="U731" s="9"/>
      <c r="V731" s="9"/>
      <c r="W731" s="9"/>
      <c r="X731" s="9"/>
      <c r="Y731" s="9"/>
      <c r="Z731" s="9"/>
      <c r="AA731" s="9"/>
      <c r="AB731" s="9"/>
      <c r="AC731" s="237">
        <f>MAX(J731/J740)</f>
        <v>5.1304368189340241E-2</v>
      </c>
      <c r="AD731" s="235">
        <f t="shared" ref="AD731:AD739" si="136">MAX(M731*AC731)</f>
        <v>156478.32297748773</v>
      </c>
      <c r="AE731" s="238">
        <f>MAX(I731/I740)</f>
        <v>5.1436679673643126E-2</v>
      </c>
      <c r="AF731" s="235">
        <f t="shared" ref="AF731:AF739" si="137">MAX(N731*AE731)</f>
        <v>830470.23116929387</v>
      </c>
      <c r="AG731" s="238">
        <f>MAX(H731/H740)</f>
        <v>4.7926526028715798E-2</v>
      </c>
      <c r="AH731" s="235">
        <f t="shared" ref="AH731:AH739" si="138">MAX(O731*AG731)</f>
        <v>818377.88539400348</v>
      </c>
    </row>
    <row r="732" spans="1:34" ht="15" customHeight="1" x14ac:dyDescent="0.2">
      <c r="A732" s="962" t="s">
        <v>385</v>
      </c>
      <c r="B732" s="956">
        <v>9</v>
      </c>
      <c r="C732" s="1146">
        <v>1</v>
      </c>
      <c r="D732" s="1146">
        <v>0</v>
      </c>
      <c r="E732" s="1146">
        <v>0</v>
      </c>
      <c r="F732" s="1146">
        <v>0</v>
      </c>
      <c r="G732" s="1146">
        <v>0</v>
      </c>
      <c r="H732" s="1146">
        <v>9</v>
      </c>
      <c r="I732" s="1146">
        <v>10</v>
      </c>
      <c r="J732" s="1147">
        <v>63</v>
      </c>
      <c r="K732" s="1147">
        <v>7</v>
      </c>
      <c r="L732" s="1066" t="s">
        <v>988</v>
      </c>
      <c r="M732" s="959">
        <v>3050000</v>
      </c>
      <c r="N732" s="2000">
        <v>16145486.770111999</v>
      </c>
      <c r="O732" s="1838">
        <v>17075677.150137313</v>
      </c>
      <c r="P732" s="950"/>
      <c r="Q732" s="950"/>
      <c r="R732" s="950"/>
      <c r="S732" s="950"/>
      <c r="T732" s="9"/>
      <c r="U732" s="9"/>
      <c r="V732" s="9"/>
      <c r="W732" s="9"/>
      <c r="X732" s="9"/>
      <c r="Y732" s="9"/>
      <c r="Z732" s="9"/>
      <c r="AA732" s="9"/>
      <c r="AB732" s="9"/>
      <c r="AC732" s="237">
        <f>MAX(J732/J740)</f>
        <v>1.2294314172417024E-2</v>
      </c>
      <c r="AD732" s="235">
        <f t="shared" si="136"/>
        <v>37497.658225871921</v>
      </c>
      <c r="AE732" s="238">
        <f>MAX(I732/I740)</f>
        <v>1.6124350994872454E-2</v>
      </c>
      <c r="AF732" s="235">
        <f t="shared" si="137"/>
        <v>260335.49566435546</v>
      </c>
      <c r="AG732" s="238">
        <f>MAX(H732/H740)</f>
        <v>1.8047645784872061E-2</v>
      </c>
      <c r="AH732" s="235">
        <f t="shared" si="138"/>
        <v>308175.77274251182</v>
      </c>
    </row>
    <row r="733" spans="1:34" ht="15" customHeight="1" x14ac:dyDescent="0.2">
      <c r="A733" s="962" t="s">
        <v>386</v>
      </c>
      <c r="B733" s="956">
        <v>6</v>
      </c>
      <c r="C733" s="1146">
        <v>0</v>
      </c>
      <c r="D733" s="1146">
        <v>0</v>
      </c>
      <c r="E733" s="1146">
        <v>0</v>
      </c>
      <c r="F733" s="1146">
        <v>0</v>
      </c>
      <c r="G733" s="1146">
        <v>0</v>
      </c>
      <c r="H733" s="1146">
        <v>6</v>
      </c>
      <c r="I733" s="1146">
        <v>6</v>
      </c>
      <c r="J733" s="1147">
        <v>84</v>
      </c>
      <c r="K733" s="1147">
        <v>14</v>
      </c>
      <c r="L733" s="1066" t="s">
        <v>988</v>
      </c>
      <c r="M733" s="959">
        <v>3050000</v>
      </c>
      <c r="N733" s="2000">
        <v>16145486.770111999</v>
      </c>
      <c r="O733" s="1838">
        <v>17075677.150137313</v>
      </c>
      <c r="P733" s="950"/>
      <c r="Q733" s="950"/>
      <c r="R733" s="950"/>
      <c r="S733" s="950"/>
      <c r="T733" s="9"/>
      <c r="U733" s="9"/>
      <c r="V733" s="9"/>
      <c r="W733" s="9"/>
      <c r="X733" s="9"/>
      <c r="Y733" s="9"/>
      <c r="Z733" s="9"/>
      <c r="AA733" s="9"/>
      <c r="AB733" s="9"/>
      <c r="AC733" s="237">
        <f>MAX(J733/J740)</f>
        <v>1.6392418896556033E-2</v>
      </c>
      <c r="AD733" s="235">
        <f t="shared" si="136"/>
        <v>49996.877634495904</v>
      </c>
      <c r="AE733" s="238">
        <f>MAX(I733/I740)</f>
        <v>9.6746105969234726E-3</v>
      </c>
      <c r="AF733" s="235">
        <f t="shared" si="137"/>
        <v>156201.29739861327</v>
      </c>
      <c r="AG733" s="238">
        <f>MAX(H733/H740)</f>
        <v>1.2031763856581373E-2</v>
      </c>
      <c r="AH733" s="235">
        <f t="shared" si="138"/>
        <v>205450.51516167453</v>
      </c>
    </row>
    <row r="734" spans="1:34" ht="15" customHeight="1" x14ac:dyDescent="0.2">
      <c r="A734" s="962" t="s">
        <v>387</v>
      </c>
      <c r="B734" s="956">
        <v>4</v>
      </c>
      <c r="C734" s="1146">
        <v>1</v>
      </c>
      <c r="D734" s="1146">
        <v>1</v>
      </c>
      <c r="E734" s="1146">
        <v>0</v>
      </c>
      <c r="F734" s="1146">
        <v>0</v>
      </c>
      <c r="G734" s="1146">
        <v>1</v>
      </c>
      <c r="H734" s="1146">
        <v>2</v>
      </c>
      <c r="I734" s="1146">
        <v>5</v>
      </c>
      <c r="J734" s="1147">
        <v>28</v>
      </c>
      <c r="K734" s="1147">
        <v>14</v>
      </c>
      <c r="L734" s="1066" t="s">
        <v>988</v>
      </c>
      <c r="M734" s="959">
        <v>3050000</v>
      </c>
      <c r="N734" s="2000">
        <v>16145486.770111999</v>
      </c>
      <c r="O734" s="1838">
        <v>17075677.150137313</v>
      </c>
      <c r="U734" s="9"/>
      <c r="V734" s="9"/>
      <c r="W734" s="9"/>
      <c r="X734" s="9"/>
      <c r="Y734" s="9"/>
      <c r="Z734" s="9"/>
      <c r="AA734" s="9"/>
      <c r="AB734" s="9"/>
      <c r="AC734" s="237">
        <f>MAX(J734/J740)</f>
        <v>5.4641396321853438E-3</v>
      </c>
      <c r="AD734" s="235">
        <f t="shared" si="136"/>
        <v>16665.625878165298</v>
      </c>
      <c r="AE734" s="238">
        <f>MAX(I734/I740)</f>
        <v>8.0621754974362272E-3</v>
      </c>
      <c r="AF734" s="235">
        <f t="shared" si="137"/>
        <v>130167.74783217773</v>
      </c>
      <c r="AG734" s="238">
        <f>MAX(H734/H740)</f>
        <v>4.0105879521937912E-3</v>
      </c>
      <c r="AH734" s="235">
        <f t="shared" si="138"/>
        <v>68483.505053891524</v>
      </c>
    </row>
    <row r="735" spans="1:34" ht="15" customHeight="1" x14ac:dyDescent="0.2">
      <c r="A735" s="962" t="s">
        <v>388</v>
      </c>
      <c r="B735" s="956">
        <v>0</v>
      </c>
      <c r="C735" s="1146"/>
      <c r="D735" s="1146"/>
      <c r="E735" s="1146"/>
      <c r="F735" s="1146"/>
      <c r="G735" s="1146"/>
      <c r="H735" s="1146">
        <v>0</v>
      </c>
      <c r="I735" s="1146">
        <v>0</v>
      </c>
      <c r="J735" s="1147">
        <v>0</v>
      </c>
      <c r="K735" s="1147">
        <v>0</v>
      </c>
      <c r="L735" s="1066"/>
      <c r="M735" s="959"/>
      <c r="N735" s="2000"/>
      <c r="O735" s="1838"/>
      <c r="P735" s="950"/>
      <c r="Q735" s="950"/>
      <c r="R735" s="950"/>
      <c r="S735" s="950"/>
      <c r="T735" s="9"/>
      <c r="U735" s="9"/>
      <c r="V735" s="9"/>
      <c r="W735" s="9"/>
      <c r="X735" s="9"/>
      <c r="Y735" s="9"/>
      <c r="Z735" s="9"/>
      <c r="AA735" s="9"/>
      <c r="AB735" s="9"/>
      <c r="AC735" s="237">
        <f>MAX(J735/J740)</f>
        <v>0</v>
      </c>
      <c r="AD735" s="235">
        <f t="shared" si="136"/>
        <v>0</v>
      </c>
      <c r="AE735" s="238">
        <f>MAX(I735/I740)</f>
        <v>0</v>
      </c>
      <c r="AF735" s="235">
        <f t="shared" si="137"/>
        <v>0</v>
      </c>
      <c r="AG735" s="238">
        <f>MAX(H735/H740)</f>
        <v>0</v>
      </c>
      <c r="AH735" s="235">
        <f t="shared" si="138"/>
        <v>0</v>
      </c>
    </row>
    <row r="736" spans="1:34" ht="15" customHeight="1" x14ac:dyDescent="0.2">
      <c r="A736" s="962" t="s">
        <v>389</v>
      </c>
      <c r="B736" s="956">
        <v>4</v>
      </c>
      <c r="C736" s="1146">
        <v>0</v>
      </c>
      <c r="D736" s="1146"/>
      <c r="E736" s="1146"/>
      <c r="F736" s="1146"/>
      <c r="G736" s="1146">
        <v>3</v>
      </c>
      <c r="H736" s="1146">
        <v>1</v>
      </c>
      <c r="I736" s="1146">
        <v>4</v>
      </c>
      <c r="J736" s="1147">
        <v>8</v>
      </c>
      <c r="K736" s="1147">
        <v>8</v>
      </c>
      <c r="L736" s="1066" t="s">
        <v>988</v>
      </c>
      <c r="M736" s="959">
        <v>3050000</v>
      </c>
      <c r="N736" s="2000">
        <v>16145486.770111999</v>
      </c>
      <c r="O736" s="1838">
        <v>17075677.150137313</v>
      </c>
      <c r="P736" s="950"/>
      <c r="Q736" s="950"/>
      <c r="R736" s="950"/>
      <c r="S736" s="950"/>
      <c r="T736" s="9"/>
      <c r="U736" s="9"/>
      <c r="V736" s="9"/>
      <c r="W736" s="9"/>
      <c r="X736" s="9"/>
      <c r="Y736" s="9"/>
      <c r="Z736" s="9"/>
      <c r="AA736" s="9"/>
      <c r="AB736" s="9"/>
      <c r="AC736" s="237">
        <f>MAX(J736/J740)</f>
        <v>1.5611827520529554E-3</v>
      </c>
      <c r="AD736" s="235">
        <f t="shared" si="136"/>
        <v>4761.6073937615138</v>
      </c>
      <c r="AE736" s="238">
        <f>MAX(I736/I740)</f>
        <v>6.4497403979489817E-3</v>
      </c>
      <c r="AF736" s="235">
        <f t="shared" si="137"/>
        <v>104134.19826574218</v>
      </c>
      <c r="AG736" s="238">
        <f>MAX(H736/H740)</f>
        <v>2.0052939760968956E-3</v>
      </c>
      <c r="AH736" s="235">
        <f t="shared" si="138"/>
        <v>34241.752526945762</v>
      </c>
    </row>
    <row r="737" spans="1:34" ht="15" customHeight="1" x14ac:dyDescent="0.2">
      <c r="A737" s="962" t="s">
        <v>390</v>
      </c>
      <c r="B737" s="956">
        <v>1.0999999999999996</v>
      </c>
      <c r="C737" s="1146"/>
      <c r="D737" s="1146"/>
      <c r="E737" s="1146"/>
      <c r="F737" s="1146"/>
      <c r="G737" s="1146"/>
      <c r="H737" s="1146">
        <v>1.0999999999999996</v>
      </c>
      <c r="I737" s="1146">
        <v>1.0999999999999996</v>
      </c>
      <c r="J737" s="1147">
        <v>8.7999999999999972</v>
      </c>
      <c r="K737" s="1147">
        <v>8</v>
      </c>
      <c r="L737" s="1066" t="s">
        <v>988</v>
      </c>
      <c r="M737" s="959">
        <v>3050000</v>
      </c>
      <c r="N737" s="2000">
        <v>16145486.770111999</v>
      </c>
      <c r="O737" s="1838">
        <v>17075677.150137313</v>
      </c>
      <c r="P737" s="950"/>
      <c r="Q737" s="950"/>
      <c r="R737" s="950"/>
      <c r="S737" s="950"/>
      <c r="T737" s="9"/>
      <c r="U737" s="9"/>
      <c r="V737" s="9"/>
      <c r="W737" s="9"/>
      <c r="X737" s="9"/>
      <c r="Y737" s="9"/>
      <c r="Z737" s="9"/>
      <c r="AA737" s="9"/>
      <c r="AB737" s="9"/>
      <c r="AC737" s="237">
        <f>MAX(J737/J740)</f>
        <v>1.7173010272582504E-3</v>
      </c>
      <c r="AD737" s="235">
        <f t="shared" si="136"/>
        <v>5237.7681331376634</v>
      </c>
      <c r="AE737" s="238">
        <f>MAX(I737/I740)</f>
        <v>1.7736786094359695E-3</v>
      </c>
      <c r="AF737" s="235">
        <f t="shared" si="137"/>
        <v>28636.904523079091</v>
      </c>
      <c r="AG737" s="238">
        <f>MAX(H737/H740)</f>
        <v>2.2058233737065843E-3</v>
      </c>
      <c r="AH737" s="235">
        <f t="shared" si="138"/>
        <v>37665.927779640318</v>
      </c>
    </row>
    <row r="738" spans="1:34" ht="15" customHeight="1" x14ac:dyDescent="0.2">
      <c r="A738" s="962" t="s">
        <v>941</v>
      </c>
      <c r="B738" s="956">
        <v>0</v>
      </c>
      <c r="C738" s="1146"/>
      <c r="D738" s="1146"/>
      <c r="E738" s="1146"/>
      <c r="F738" s="1146"/>
      <c r="G738" s="1146"/>
      <c r="H738" s="1146">
        <v>0</v>
      </c>
      <c r="I738" s="1146">
        <v>0</v>
      </c>
      <c r="J738" s="1147">
        <v>0</v>
      </c>
      <c r="K738" s="1147">
        <v>0</v>
      </c>
      <c r="L738" s="1148"/>
      <c r="M738" s="959"/>
      <c r="N738" s="959"/>
      <c r="O738" s="1149"/>
      <c r="P738" s="950"/>
      <c r="Q738" s="950"/>
      <c r="R738" s="950"/>
      <c r="S738" s="950"/>
      <c r="T738" s="9"/>
      <c r="U738" s="9"/>
      <c r="V738" s="9"/>
      <c r="W738" s="9"/>
      <c r="X738" s="9"/>
      <c r="Y738" s="9"/>
      <c r="Z738" s="9"/>
      <c r="AA738" s="9"/>
      <c r="AB738" s="9"/>
      <c r="AC738" s="237">
        <f>MAX(J738/J740)</f>
        <v>0</v>
      </c>
      <c r="AD738" s="235">
        <f t="shared" si="136"/>
        <v>0</v>
      </c>
      <c r="AE738" s="238">
        <f>MAX(I738/I740)</f>
        <v>0</v>
      </c>
      <c r="AF738" s="235">
        <f t="shared" si="137"/>
        <v>0</v>
      </c>
      <c r="AG738" s="238">
        <f>MAX(H738/H740)</f>
        <v>0</v>
      </c>
      <c r="AH738" s="235">
        <f t="shared" si="138"/>
        <v>0</v>
      </c>
    </row>
    <row r="739" spans="1:34" ht="15" customHeight="1" thickBot="1" x14ac:dyDescent="0.25">
      <c r="A739" s="1140" t="s">
        <v>392</v>
      </c>
      <c r="B739" s="244">
        <v>18</v>
      </c>
      <c r="C739" s="1141">
        <v>0</v>
      </c>
      <c r="D739" s="1141">
        <v>0</v>
      </c>
      <c r="E739" s="1141">
        <v>0</v>
      </c>
      <c r="F739" s="1141">
        <v>0</v>
      </c>
      <c r="G739" s="1146">
        <v>0</v>
      </c>
      <c r="H739" s="1146">
        <v>18</v>
      </c>
      <c r="I739" s="1146">
        <v>18</v>
      </c>
      <c r="J739" s="1147">
        <v>162</v>
      </c>
      <c r="K739" s="1142">
        <v>9</v>
      </c>
      <c r="L739" s="1066" t="s">
        <v>988</v>
      </c>
      <c r="M739" s="959">
        <v>3050000</v>
      </c>
      <c r="N739" s="2000">
        <v>16145486.770111999</v>
      </c>
      <c r="O739" s="1838">
        <v>17075677.150137313</v>
      </c>
      <c r="P739" s="950"/>
      <c r="Q739" s="950"/>
      <c r="R739" s="950"/>
      <c r="S739" s="950"/>
      <c r="T739" s="9"/>
      <c r="U739" s="9"/>
      <c r="V739" s="9"/>
      <c r="W739" s="9"/>
      <c r="X739" s="9"/>
      <c r="Y739" s="9"/>
      <c r="Z739" s="9"/>
      <c r="AA739" s="9"/>
      <c r="AB739" s="9"/>
      <c r="AC739" s="237">
        <f>MAX(J739/J740)</f>
        <v>3.1613950729072346E-2</v>
      </c>
      <c r="AD739" s="235">
        <f t="shared" si="136"/>
        <v>96422.549723670658</v>
      </c>
      <c r="AE739" s="238">
        <f>MAX(I739/I740)</f>
        <v>2.9023831790770418E-2</v>
      </c>
      <c r="AF739" s="235">
        <f t="shared" si="137"/>
        <v>468603.89219583984</v>
      </c>
      <c r="AG739" s="238">
        <f>MAX(H739/H740)</f>
        <v>3.6095291569744122E-2</v>
      </c>
      <c r="AH739" s="235">
        <f t="shared" si="138"/>
        <v>616351.54548502364</v>
      </c>
    </row>
    <row r="740" spans="1:34" ht="15" customHeight="1" thickBot="1" x14ac:dyDescent="0.25">
      <c r="A740" s="405" t="s">
        <v>942</v>
      </c>
      <c r="B740" s="1131">
        <v>600.18000000000006</v>
      </c>
      <c r="C740" s="1131">
        <v>53</v>
      </c>
      <c r="D740" s="1131">
        <v>1</v>
      </c>
      <c r="E740" s="1131">
        <v>9</v>
      </c>
      <c r="F740" s="1131">
        <v>24</v>
      </c>
      <c r="G740" s="1131">
        <v>67.5</v>
      </c>
      <c r="H740" s="1131">
        <v>498.68000000000006</v>
      </c>
      <c r="I740" s="1131">
        <v>620.18000000000006</v>
      </c>
      <c r="J740" s="1132">
        <v>5124.32</v>
      </c>
      <c r="K740" s="1132">
        <v>10.275768027592843</v>
      </c>
      <c r="L740" s="1525" t="s">
        <v>988</v>
      </c>
      <c r="M740" s="1134">
        <v>3050000.0000000009</v>
      </c>
      <c r="N740" s="1134">
        <v>16145486.770111995</v>
      </c>
      <c r="O740" s="506">
        <v>17075677.150137309</v>
      </c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1159">
        <f t="shared" ref="AC740:AH740" si="139">SUM(AC700:AC739)</f>
        <v>1</v>
      </c>
      <c r="AD740" s="1160">
        <f t="shared" si="139"/>
        <v>3050000.0000000009</v>
      </c>
      <c r="AE740" s="1161">
        <f t="shared" si="139"/>
        <v>1</v>
      </c>
      <c r="AF740" s="1160">
        <f t="shared" si="139"/>
        <v>16145486.770111995</v>
      </c>
      <c r="AG740" s="1161">
        <f t="shared" si="139"/>
        <v>0.99999999999999978</v>
      </c>
      <c r="AH740" s="1160">
        <f t="shared" si="139"/>
        <v>17075677.150137309</v>
      </c>
    </row>
    <row r="741" spans="1:34" x14ac:dyDescent="0.2">
      <c r="A741" s="7" t="s">
        <v>1934</v>
      </c>
      <c r="B741" s="224"/>
      <c r="C741" s="224"/>
      <c r="D741" s="224"/>
      <c r="E741" s="224"/>
      <c r="F741" s="224"/>
      <c r="G741" s="224"/>
      <c r="H741" s="224"/>
      <c r="I741" s="224"/>
      <c r="J741" s="224"/>
      <c r="K741" s="240"/>
      <c r="L741" s="241"/>
      <c r="M741" s="240"/>
      <c r="N741" s="240"/>
      <c r="O741" s="240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</row>
    <row r="742" spans="1:34" x14ac:dyDescent="0.2">
      <c r="A742" s="34"/>
      <c r="B742" s="224"/>
      <c r="C742" s="224"/>
      <c r="D742" s="224"/>
      <c r="E742" s="224"/>
      <c r="F742" s="224"/>
      <c r="G742" s="224"/>
      <c r="H742" s="224"/>
      <c r="I742" s="224"/>
      <c r="J742" s="224"/>
      <c r="K742" s="240"/>
      <c r="L742" s="241"/>
      <c r="M742" s="240"/>
      <c r="N742" s="240"/>
      <c r="O742" s="240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</row>
    <row r="743" spans="1:34" x14ac:dyDescent="0.2">
      <c r="A743" s="242"/>
      <c r="B743" s="224"/>
      <c r="C743" s="224"/>
      <c r="D743" s="224"/>
      <c r="E743" s="224"/>
      <c r="F743" s="224"/>
      <c r="G743" s="224"/>
      <c r="H743" s="224"/>
      <c r="I743" s="224"/>
      <c r="J743" s="224"/>
      <c r="K743" s="240"/>
      <c r="L743" s="241"/>
      <c r="M743" s="240"/>
      <c r="N743" s="240"/>
      <c r="O743" s="240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</row>
    <row r="744" spans="1:34" x14ac:dyDescent="0.2">
      <c r="A744" s="242"/>
      <c r="B744" s="224"/>
      <c r="C744" s="224"/>
      <c r="D744" s="224"/>
      <c r="E744" s="224"/>
      <c r="F744" s="224"/>
      <c r="G744" s="224"/>
      <c r="H744" s="224"/>
      <c r="I744" s="224"/>
      <c r="J744" s="224"/>
      <c r="K744" s="240"/>
      <c r="L744" s="241"/>
      <c r="M744" s="240"/>
      <c r="N744" s="240"/>
      <c r="O744" s="240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</row>
    <row r="745" spans="1:34" ht="15" x14ac:dyDescent="0.25">
      <c r="A745" s="2843" t="s">
        <v>1931</v>
      </c>
      <c r="B745" s="2843"/>
      <c r="C745" s="2843"/>
      <c r="D745" s="2843"/>
      <c r="E745" s="2843"/>
      <c r="F745" s="2843"/>
      <c r="G745" s="2843"/>
      <c r="H745" s="2843"/>
      <c r="I745" s="2843"/>
      <c r="J745" s="2843"/>
      <c r="K745" s="2843"/>
      <c r="L745" s="2843"/>
      <c r="M745" s="2843"/>
      <c r="N745" s="2843"/>
      <c r="O745" s="2843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</row>
    <row r="746" spans="1:34" ht="13.5" thickBot="1" x14ac:dyDescent="0.25">
      <c r="A746" s="8" t="s">
        <v>1130</v>
      </c>
      <c r="B746" s="225"/>
      <c r="C746" s="224"/>
      <c r="D746" s="224"/>
      <c r="E746" s="224"/>
      <c r="F746" s="224"/>
      <c r="G746" s="224"/>
      <c r="H746" s="224"/>
      <c r="I746" s="224"/>
      <c r="J746" s="224"/>
      <c r="K746" s="240"/>
      <c r="L746" s="241"/>
      <c r="M746" s="240"/>
      <c r="N746" s="240"/>
      <c r="O746" s="240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</row>
    <row r="747" spans="1:34" ht="15" customHeight="1" x14ac:dyDescent="0.2">
      <c r="A747" s="2844" t="s">
        <v>327</v>
      </c>
      <c r="B747" s="2847" t="s">
        <v>1932</v>
      </c>
      <c r="C747" s="2848"/>
      <c r="D747" s="2848"/>
      <c r="E747" s="2848"/>
      <c r="F747" s="2848"/>
      <c r="G747" s="2848"/>
      <c r="H747" s="2848"/>
      <c r="I747" s="2848"/>
      <c r="J747" s="2848"/>
      <c r="K747" s="2848"/>
      <c r="L747" s="2848"/>
      <c r="M747" s="2848"/>
      <c r="N747" s="2848"/>
      <c r="O747" s="284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228" t="s">
        <v>910</v>
      </c>
      <c r="AD747" s="229"/>
      <c r="AE747" s="229"/>
      <c r="AF747" s="229"/>
      <c r="AG747" s="229"/>
      <c r="AH747" s="243"/>
    </row>
    <row r="748" spans="1:34" ht="15" customHeight="1" x14ac:dyDescent="0.2">
      <c r="A748" s="2845"/>
      <c r="B748" s="2850" t="s">
        <v>191</v>
      </c>
      <c r="C748" s="2850"/>
      <c r="D748" s="2850"/>
      <c r="E748" s="2850"/>
      <c r="F748" s="2850"/>
      <c r="G748" s="2850"/>
      <c r="H748" s="2850"/>
      <c r="I748" s="2850"/>
      <c r="J748" s="2119"/>
      <c r="K748" s="2119" t="s">
        <v>904</v>
      </c>
      <c r="L748" s="2119"/>
      <c r="M748" s="1122" t="s">
        <v>437</v>
      </c>
      <c r="N748" s="1122" t="s">
        <v>911</v>
      </c>
      <c r="O748" s="1127" t="s">
        <v>911</v>
      </c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230" t="s">
        <v>333</v>
      </c>
      <c r="AD748" s="231" t="s">
        <v>333</v>
      </c>
      <c r="AE748" s="231" t="s">
        <v>333</v>
      </c>
      <c r="AF748" s="231" t="s">
        <v>333</v>
      </c>
      <c r="AG748" s="231" t="s">
        <v>333</v>
      </c>
      <c r="AH748" s="231" t="s">
        <v>333</v>
      </c>
    </row>
    <row r="749" spans="1:34" ht="15" customHeight="1" x14ac:dyDescent="0.2">
      <c r="A749" s="2845"/>
      <c r="B749" s="2119" t="s">
        <v>433</v>
      </c>
      <c r="C749" s="2119"/>
      <c r="D749" s="2841" t="s">
        <v>1865</v>
      </c>
      <c r="E749" s="2119"/>
      <c r="F749" s="2119"/>
      <c r="G749" s="2119" t="s">
        <v>912</v>
      </c>
      <c r="H749" s="2119"/>
      <c r="I749" s="2119" t="s">
        <v>433</v>
      </c>
      <c r="J749" s="2138" t="s">
        <v>913</v>
      </c>
      <c r="K749" s="2138" t="s">
        <v>842</v>
      </c>
      <c r="L749" s="2138" t="s">
        <v>329</v>
      </c>
      <c r="M749" s="1123" t="s">
        <v>914</v>
      </c>
      <c r="N749" s="1123" t="s">
        <v>915</v>
      </c>
      <c r="O749" s="1128" t="s">
        <v>914</v>
      </c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230" t="s">
        <v>913</v>
      </c>
      <c r="AD749" s="231" t="s">
        <v>916</v>
      </c>
      <c r="AE749" s="231" t="s">
        <v>917</v>
      </c>
      <c r="AF749" s="231" t="s">
        <v>918</v>
      </c>
      <c r="AG749" s="231" t="s">
        <v>192</v>
      </c>
      <c r="AH749" s="231" t="s">
        <v>918</v>
      </c>
    </row>
    <row r="750" spans="1:34" ht="15" customHeight="1" x14ac:dyDescent="0.2">
      <c r="A750" s="2845"/>
      <c r="B750" s="2138" t="s">
        <v>920</v>
      </c>
      <c r="C750" s="2138" t="s">
        <v>922</v>
      </c>
      <c r="D750" s="2842"/>
      <c r="E750" s="2138" t="s">
        <v>867</v>
      </c>
      <c r="F750" s="2138" t="s">
        <v>921</v>
      </c>
      <c r="G750" s="2138" t="s">
        <v>923</v>
      </c>
      <c r="H750" s="2138" t="s">
        <v>836</v>
      </c>
      <c r="I750" s="2138" t="s">
        <v>835</v>
      </c>
      <c r="J750" s="2138" t="s">
        <v>924</v>
      </c>
      <c r="K750" s="2138" t="s">
        <v>925</v>
      </c>
      <c r="L750" s="2138" t="s">
        <v>336</v>
      </c>
      <c r="M750" s="1123" t="s">
        <v>926</v>
      </c>
      <c r="N750" s="1123" t="s">
        <v>927</v>
      </c>
      <c r="O750" s="1128" t="s">
        <v>928</v>
      </c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230"/>
      <c r="AD750" s="231" t="s">
        <v>843</v>
      </c>
      <c r="AE750" s="231"/>
      <c r="AF750" s="231" t="s">
        <v>929</v>
      </c>
      <c r="AG750" s="231"/>
      <c r="AH750" s="231" t="s">
        <v>930</v>
      </c>
    </row>
    <row r="751" spans="1:34" ht="15" customHeight="1" thickBot="1" x14ac:dyDescent="0.25">
      <c r="A751" s="2846"/>
      <c r="B751" s="1881">
        <v>44926</v>
      </c>
      <c r="C751" s="2139">
        <v>2023</v>
      </c>
      <c r="D751" s="2139">
        <v>2023</v>
      </c>
      <c r="E751" s="2139">
        <v>2023</v>
      </c>
      <c r="F751" s="2139">
        <v>2023</v>
      </c>
      <c r="G751" s="2139" t="s">
        <v>931</v>
      </c>
      <c r="H751" s="1126">
        <v>2023</v>
      </c>
      <c r="I751" s="1881">
        <v>45291</v>
      </c>
      <c r="J751" s="1881" t="s">
        <v>1933</v>
      </c>
      <c r="K751" s="1881" t="s">
        <v>1933</v>
      </c>
      <c r="L751" s="2139" t="s">
        <v>441</v>
      </c>
      <c r="M751" s="1125" t="s">
        <v>932</v>
      </c>
      <c r="N751" s="1125" t="s">
        <v>933</v>
      </c>
      <c r="O751" s="1129" t="s">
        <v>933</v>
      </c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232"/>
      <c r="AD751" s="233" t="s">
        <v>934</v>
      </c>
      <c r="AE751" s="233"/>
      <c r="AF751" s="233" t="s">
        <v>935</v>
      </c>
      <c r="AG751" s="233"/>
      <c r="AH751" s="233" t="s">
        <v>936</v>
      </c>
    </row>
    <row r="752" spans="1:34" ht="15" customHeight="1" x14ac:dyDescent="0.2">
      <c r="A752" s="1135" t="s">
        <v>352</v>
      </c>
      <c r="B752" s="1130">
        <v>8</v>
      </c>
      <c r="C752" s="1130">
        <v>0</v>
      </c>
      <c r="D752" s="1130">
        <v>0</v>
      </c>
      <c r="E752" s="1130">
        <v>0</v>
      </c>
      <c r="F752" s="1130">
        <v>0</v>
      </c>
      <c r="G752" s="1130">
        <v>1</v>
      </c>
      <c r="H752" s="1130">
        <v>7</v>
      </c>
      <c r="I752" s="1130">
        <v>8</v>
      </c>
      <c r="J752" s="1136">
        <v>10</v>
      </c>
      <c r="K752" s="1150">
        <v>1.4285714285714286</v>
      </c>
      <c r="L752" s="380"/>
      <c r="M752" s="1138"/>
      <c r="N752" s="1138"/>
      <c r="O752" s="113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1155"/>
      <c r="AD752" s="1156"/>
      <c r="AE752" s="1156"/>
      <c r="AF752" s="1156"/>
      <c r="AG752" s="1156"/>
      <c r="AH752" s="1156"/>
    </row>
    <row r="753" spans="1:34" ht="15" customHeight="1" x14ac:dyDescent="0.2">
      <c r="A753" s="962" t="s">
        <v>353</v>
      </c>
      <c r="B753" s="956">
        <v>0</v>
      </c>
      <c r="C753" s="1146"/>
      <c r="D753" s="1146"/>
      <c r="E753" s="1146"/>
      <c r="F753" s="1146"/>
      <c r="G753" s="1146"/>
      <c r="H753" s="1146">
        <v>0</v>
      </c>
      <c r="I753" s="1146">
        <v>0</v>
      </c>
      <c r="J753" s="1147">
        <v>0</v>
      </c>
      <c r="K753" s="1147">
        <v>0</v>
      </c>
      <c r="L753" s="1148"/>
      <c r="M753" s="959"/>
      <c r="N753" s="959"/>
      <c r="O753" s="1149"/>
      <c r="P753" s="950"/>
      <c r="Q753" s="950"/>
      <c r="R753" s="950"/>
      <c r="S753" s="950"/>
      <c r="T753" s="950"/>
      <c r="U753" s="950"/>
      <c r="V753" s="950"/>
      <c r="W753" s="950"/>
      <c r="X753" s="950"/>
      <c r="Y753" s="950"/>
      <c r="Z753" s="9"/>
      <c r="AA753" s="9"/>
      <c r="AB753" s="9"/>
      <c r="AC753" s="237">
        <f>MAX(J753/J793)</f>
        <v>0</v>
      </c>
      <c r="AD753" s="235">
        <f t="shared" ref="AD753:AD767" si="140">MAX(M753*AC753)</f>
        <v>0</v>
      </c>
      <c r="AE753" s="238">
        <f>MAX(I753/I793)</f>
        <v>0</v>
      </c>
      <c r="AF753" s="235">
        <f t="shared" ref="AF753:AF767" si="141">MAX(N753*AE753)</f>
        <v>0</v>
      </c>
      <c r="AG753" s="238">
        <f>MAX(H753/H793)</f>
        <v>0</v>
      </c>
      <c r="AH753" s="235">
        <f t="shared" ref="AH753:AH767" si="142">MAX(O753*AG753)</f>
        <v>0</v>
      </c>
    </row>
    <row r="754" spans="1:34" ht="15" customHeight="1" x14ac:dyDescent="0.2">
      <c r="A754" s="962" t="s">
        <v>354</v>
      </c>
      <c r="B754" s="956">
        <v>0</v>
      </c>
      <c r="C754" s="1146"/>
      <c r="D754" s="1146"/>
      <c r="E754" s="1146"/>
      <c r="F754" s="1146"/>
      <c r="G754" s="1146"/>
      <c r="H754" s="1146">
        <v>0</v>
      </c>
      <c r="I754" s="1146">
        <v>0</v>
      </c>
      <c r="J754" s="1147">
        <v>0</v>
      </c>
      <c r="K754" s="1147">
        <v>0</v>
      </c>
      <c r="L754" s="1148"/>
      <c r="M754" s="959"/>
      <c r="N754" s="959"/>
      <c r="O754" s="1149"/>
      <c r="P754" s="950"/>
      <c r="Q754" s="950"/>
      <c r="R754" s="950"/>
      <c r="S754" s="950"/>
      <c r="T754" s="950"/>
      <c r="U754" s="950"/>
      <c r="V754" s="950"/>
      <c r="W754" s="950"/>
      <c r="X754" s="950"/>
      <c r="Y754" s="950"/>
      <c r="Z754" s="9"/>
      <c r="AA754" s="9"/>
      <c r="AB754" s="9"/>
      <c r="AC754" s="237">
        <f>MAX(J754/J793)</f>
        <v>0</v>
      </c>
      <c r="AD754" s="235">
        <f t="shared" si="140"/>
        <v>0</v>
      </c>
      <c r="AE754" s="238">
        <f>MAX(I754/I793)</f>
        <v>0</v>
      </c>
      <c r="AF754" s="235">
        <f t="shared" si="141"/>
        <v>0</v>
      </c>
      <c r="AG754" s="238">
        <f>MAX(H754/H793)</f>
        <v>0</v>
      </c>
      <c r="AH754" s="235">
        <f t="shared" si="142"/>
        <v>0</v>
      </c>
    </row>
    <row r="755" spans="1:34" ht="15" customHeight="1" x14ac:dyDescent="0.2">
      <c r="A755" s="962" t="s">
        <v>355</v>
      </c>
      <c r="B755" s="956">
        <v>0</v>
      </c>
      <c r="C755" s="1146"/>
      <c r="D755" s="1146"/>
      <c r="E755" s="1146"/>
      <c r="F755" s="1146"/>
      <c r="G755" s="1146"/>
      <c r="H755" s="1146">
        <v>0</v>
      </c>
      <c r="I755" s="1146">
        <v>0</v>
      </c>
      <c r="J755" s="1147">
        <v>0</v>
      </c>
      <c r="K755" s="1147">
        <v>0</v>
      </c>
      <c r="L755" s="1148"/>
      <c r="M755" s="959"/>
      <c r="N755" s="959"/>
      <c r="O755" s="114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237">
        <f>MAX(J755/J793)</f>
        <v>0</v>
      </c>
      <c r="AD755" s="235">
        <f t="shared" si="140"/>
        <v>0</v>
      </c>
      <c r="AE755" s="238">
        <f>MAX(I755/I793)</f>
        <v>0</v>
      </c>
      <c r="AF755" s="235">
        <f t="shared" si="141"/>
        <v>0</v>
      </c>
      <c r="AG755" s="238">
        <f>MAX(H755/H793)</f>
        <v>0</v>
      </c>
      <c r="AH755" s="235">
        <f t="shared" si="142"/>
        <v>0</v>
      </c>
    </row>
    <row r="756" spans="1:34" ht="15" customHeight="1" x14ac:dyDescent="0.2">
      <c r="A756" s="962" t="s">
        <v>356</v>
      </c>
      <c r="B756" s="956">
        <v>3</v>
      </c>
      <c r="C756" s="1146"/>
      <c r="D756" s="1146"/>
      <c r="E756" s="1146"/>
      <c r="F756" s="1146"/>
      <c r="G756" s="1146">
        <v>1</v>
      </c>
      <c r="H756" s="1146">
        <v>2</v>
      </c>
      <c r="I756" s="1146">
        <v>3</v>
      </c>
      <c r="J756" s="1147">
        <v>10</v>
      </c>
      <c r="K756" s="1147">
        <v>5</v>
      </c>
      <c r="L756" s="1066" t="s">
        <v>988</v>
      </c>
      <c r="M756" s="959">
        <v>1800000</v>
      </c>
      <c r="N756" s="959">
        <v>4955925</v>
      </c>
      <c r="O756" s="1149">
        <v>3363564.75</v>
      </c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237">
        <f>MAX(J756/J793)</f>
        <v>8.4160915670762493E-3</v>
      </c>
      <c r="AD756" s="235">
        <f t="shared" si="140"/>
        <v>15148.964820737248</v>
      </c>
      <c r="AE756" s="238">
        <f>MAX(I756/I793)</f>
        <v>1.0611956137247967E-2</v>
      </c>
      <c r="AF756" s="235">
        <f t="shared" si="141"/>
        <v>52592.058719490633</v>
      </c>
      <c r="AG756" s="238">
        <f>MAX(H756/H793)</f>
        <v>1.0378827192527244E-2</v>
      </c>
      <c r="AH756" s="235">
        <f t="shared" si="142"/>
        <v>34909.8572911261</v>
      </c>
    </row>
    <row r="757" spans="1:34" ht="15" customHeight="1" x14ac:dyDescent="0.2">
      <c r="A757" s="962" t="s">
        <v>357</v>
      </c>
      <c r="B757" s="956">
        <v>5</v>
      </c>
      <c r="C757" s="1146">
        <v>0</v>
      </c>
      <c r="D757" s="1146">
        <v>0</v>
      </c>
      <c r="E757" s="1146">
        <v>0</v>
      </c>
      <c r="F757" s="1146">
        <v>0</v>
      </c>
      <c r="G757" s="1146">
        <v>0</v>
      </c>
      <c r="H757" s="1146">
        <v>5</v>
      </c>
      <c r="I757" s="1146">
        <v>5</v>
      </c>
      <c r="J757" s="1147">
        <v>0</v>
      </c>
      <c r="K757" s="1147">
        <v>0</v>
      </c>
      <c r="L757" s="1066" t="s">
        <v>988</v>
      </c>
      <c r="M757" s="959">
        <v>1800000</v>
      </c>
      <c r="N757" s="959">
        <v>4955925</v>
      </c>
      <c r="O757" s="1149">
        <v>3363564.75</v>
      </c>
      <c r="P757" s="9"/>
      <c r="Q757" s="2005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237">
        <f>MAX(J757/J793)</f>
        <v>0</v>
      </c>
      <c r="AD757" s="235">
        <f t="shared" si="140"/>
        <v>0</v>
      </c>
      <c r="AE757" s="238">
        <f>MAX(I757/I793)</f>
        <v>1.7686593562079946E-2</v>
      </c>
      <c r="AF757" s="235">
        <f t="shared" si="141"/>
        <v>87653.431199151048</v>
      </c>
      <c r="AG757" s="238">
        <f>MAX(H757/H793)</f>
        <v>2.5947067981318114E-2</v>
      </c>
      <c r="AH757" s="235">
        <f t="shared" si="142"/>
        <v>87274.643227815264</v>
      </c>
    </row>
    <row r="758" spans="1:34" ht="15" customHeight="1" x14ac:dyDescent="0.2">
      <c r="A758" s="962" t="s">
        <v>358</v>
      </c>
      <c r="B758" s="956">
        <v>0</v>
      </c>
      <c r="C758" s="1146">
        <v>0</v>
      </c>
      <c r="D758" s="1146">
        <v>0</v>
      </c>
      <c r="E758" s="1146">
        <v>0</v>
      </c>
      <c r="F758" s="1146">
        <v>0</v>
      </c>
      <c r="G758" s="1146">
        <v>0</v>
      </c>
      <c r="H758" s="1146">
        <v>0</v>
      </c>
      <c r="I758" s="1146">
        <v>0</v>
      </c>
      <c r="J758" s="1147">
        <v>0</v>
      </c>
      <c r="K758" s="1147">
        <v>0</v>
      </c>
      <c r="L758" s="1148"/>
      <c r="M758" s="959"/>
      <c r="N758" s="959"/>
      <c r="O758" s="1149"/>
      <c r="P758" s="9"/>
      <c r="Q758" s="2005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237">
        <f>MAX(J758/J793)</f>
        <v>0</v>
      </c>
      <c r="AD758" s="235">
        <f t="shared" si="140"/>
        <v>0</v>
      </c>
      <c r="AE758" s="238">
        <f>MAX(I758/I793)</f>
        <v>0</v>
      </c>
      <c r="AF758" s="235">
        <f t="shared" si="141"/>
        <v>0</v>
      </c>
      <c r="AG758" s="238">
        <f>MAX(H758/H793)</f>
        <v>0</v>
      </c>
      <c r="AH758" s="235">
        <f t="shared" si="142"/>
        <v>0</v>
      </c>
    </row>
    <row r="759" spans="1:34" ht="15" customHeight="1" x14ac:dyDescent="0.2">
      <c r="A759" s="962" t="s">
        <v>937</v>
      </c>
      <c r="B759" s="956">
        <v>0</v>
      </c>
      <c r="C759" s="1146">
        <v>0</v>
      </c>
      <c r="D759" s="1146">
        <v>0</v>
      </c>
      <c r="E759" s="1146">
        <v>0</v>
      </c>
      <c r="F759" s="1146">
        <v>0</v>
      </c>
      <c r="G759" s="1146">
        <v>0</v>
      </c>
      <c r="H759" s="1146">
        <v>0</v>
      </c>
      <c r="I759" s="1146">
        <v>0</v>
      </c>
      <c r="J759" s="1147">
        <v>0</v>
      </c>
      <c r="K759" s="1147">
        <v>0</v>
      </c>
      <c r="L759" s="1148"/>
      <c r="M759" s="959"/>
      <c r="N759" s="959"/>
      <c r="O759" s="1149"/>
      <c r="P759" s="9"/>
      <c r="Q759" s="2005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237">
        <f>MAX(J759/J793)</f>
        <v>0</v>
      </c>
      <c r="AD759" s="235">
        <f t="shared" si="140"/>
        <v>0</v>
      </c>
      <c r="AE759" s="238">
        <f>MAX(I759/I793)</f>
        <v>0</v>
      </c>
      <c r="AF759" s="235">
        <f t="shared" si="141"/>
        <v>0</v>
      </c>
      <c r="AG759" s="238">
        <f>MAX(H759/H793)</f>
        <v>0</v>
      </c>
      <c r="AH759" s="235">
        <f t="shared" si="142"/>
        <v>0</v>
      </c>
    </row>
    <row r="760" spans="1:34" ht="15" customHeight="1" x14ac:dyDescent="0.2">
      <c r="A760" s="962" t="s">
        <v>360</v>
      </c>
      <c r="B760" s="956">
        <v>0</v>
      </c>
      <c r="C760" s="1146">
        <v>0</v>
      </c>
      <c r="D760" s="1146">
        <v>0</v>
      </c>
      <c r="E760" s="1146">
        <v>0</v>
      </c>
      <c r="F760" s="1146">
        <v>0</v>
      </c>
      <c r="G760" s="1146">
        <v>0</v>
      </c>
      <c r="H760" s="1146">
        <v>0</v>
      </c>
      <c r="I760" s="1146">
        <v>0</v>
      </c>
      <c r="J760" s="1147">
        <v>0</v>
      </c>
      <c r="K760" s="1147">
        <v>0</v>
      </c>
      <c r="L760" s="1148"/>
      <c r="M760" s="959"/>
      <c r="N760" s="959"/>
      <c r="O760" s="114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237">
        <f>MAX(J760/J793)</f>
        <v>0</v>
      </c>
      <c r="AD760" s="235">
        <f t="shared" si="140"/>
        <v>0</v>
      </c>
      <c r="AE760" s="238">
        <f>MAX(I760/I793)</f>
        <v>0</v>
      </c>
      <c r="AF760" s="235">
        <f t="shared" si="141"/>
        <v>0</v>
      </c>
      <c r="AG760" s="238">
        <f>MAX(H760/H793)</f>
        <v>0</v>
      </c>
      <c r="AH760" s="235">
        <f t="shared" si="142"/>
        <v>0</v>
      </c>
    </row>
    <row r="761" spans="1:34" ht="15" customHeight="1" x14ac:dyDescent="0.2">
      <c r="A761" s="962" t="s">
        <v>938</v>
      </c>
      <c r="B761" s="956">
        <v>0</v>
      </c>
      <c r="C761" s="1146">
        <v>0</v>
      </c>
      <c r="D761" s="1146">
        <v>0</v>
      </c>
      <c r="E761" s="1146">
        <v>0</v>
      </c>
      <c r="F761" s="1146">
        <v>0</v>
      </c>
      <c r="G761" s="1146">
        <v>0</v>
      </c>
      <c r="H761" s="1146">
        <v>0</v>
      </c>
      <c r="I761" s="1146">
        <v>0</v>
      </c>
      <c r="J761" s="1147">
        <v>0</v>
      </c>
      <c r="K761" s="1147">
        <v>0</v>
      </c>
      <c r="L761" s="1148"/>
      <c r="M761" s="959"/>
      <c r="N761" s="959"/>
      <c r="O761" s="114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237">
        <f>MAX(J761/J793)</f>
        <v>0</v>
      </c>
      <c r="AD761" s="235">
        <f t="shared" si="140"/>
        <v>0</v>
      </c>
      <c r="AE761" s="238">
        <f>MAX(I761/I793)</f>
        <v>0</v>
      </c>
      <c r="AF761" s="235">
        <f t="shared" si="141"/>
        <v>0</v>
      </c>
      <c r="AG761" s="238">
        <f>MAX(H761/H793)</f>
        <v>0</v>
      </c>
      <c r="AH761" s="235">
        <f t="shared" si="142"/>
        <v>0</v>
      </c>
    </row>
    <row r="762" spans="1:34" ht="15" customHeight="1" x14ac:dyDescent="0.2">
      <c r="A762" s="962" t="s">
        <v>362</v>
      </c>
      <c r="B762" s="956">
        <v>0</v>
      </c>
      <c r="C762" s="1146">
        <v>0</v>
      </c>
      <c r="D762" s="1146">
        <v>0</v>
      </c>
      <c r="E762" s="1146">
        <v>0</v>
      </c>
      <c r="F762" s="1146">
        <v>0</v>
      </c>
      <c r="G762" s="1146">
        <v>0</v>
      </c>
      <c r="H762" s="1146">
        <v>0</v>
      </c>
      <c r="I762" s="1146">
        <v>0</v>
      </c>
      <c r="J762" s="1147">
        <v>0</v>
      </c>
      <c r="K762" s="1147">
        <v>0</v>
      </c>
      <c r="L762" s="1148"/>
      <c r="M762" s="959"/>
      <c r="N762" s="959"/>
      <c r="O762" s="1149"/>
      <c r="P762" s="9"/>
      <c r="Q762" s="2005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237">
        <f>MAX(J762/J793)</f>
        <v>0</v>
      </c>
      <c r="AD762" s="235">
        <f t="shared" si="140"/>
        <v>0</v>
      </c>
      <c r="AE762" s="238">
        <f>MAX(I762/I793)</f>
        <v>0</v>
      </c>
      <c r="AF762" s="235">
        <f t="shared" si="141"/>
        <v>0</v>
      </c>
      <c r="AG762" s="238">
        <f>MAX(H762/H793)</f>
        <v>0</v>
      </c>
      <c r="AH762" s="235">
        <f t="shared" si="142"/>
        <v>0</v>
      </c>
    </row>
    <row r="763" spans="1:34" ht="15" customHeight="1" x14ac:dyDescent="0.2">
      <c r="A763" s="962" t="s">
        <v>363</v>
      </c>
      <c r="B763" s="956">
        <v>0</v>
      </c>
      <c r="C763" s="1146">
        <v>0</v>
      </c>
      <c r="D763" s="1146">
        <v>0</v>
      </c>
      <c r="E763" s="1146">
        <v>0</v>
      </c>
      <c r="F763" s="1146">
        <v>0</v>
      </c>
      <c r="G763" s="1146">
        <v>0</v>
      </c>
      <c r="H763" s="1146">
        <v>0</v>
      </c>
      <c r="I763" s="1146">
        <v>0</v>
      </c>
      <c r="J763" s="1147">
        <v>0</v>
      </c>
      <c r="K763" s="1147">
        <v>0</v>
      </c>
      <c r="L763" s="1148"/>
      <c r="M763" s="959"/>
      <c r="N763" s="959"/>
      <c r="O763" s="1149"/>
      <c r="P763" s="9"/>
      <c r="Q763" s="2005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237">
        <f>MAX(J763/J793)</f>
        <v>0</v>
      </c>
      <c r="AD763" s="235">
        <f t="shared" si="140"/>
        <v>0</v>
      </c>
      <c r="AE763" s="238">
        <f>MAX(I763/I793)</f>
        <v>0</v>
      </c>
      <c r="AF763" s="235">
        <f t="shared" si="141"/>
        <v>0</v>
      </c>
      <c r="AG763" s="238">
        <f>MAX(H763/H793)</f>
        <v>0</v>
      </c>
      <c r="AH763" s="235">
        <f t="shared" si="142"/>
        <v>0</v>
      </c>
    </row>
    <row r="764" spans="1:34" ht="15" customHeight="1" x14ac:dyDescent="0.2">
      <c r="A764" s="962" t="s">
        <v>939</v>
      </c>
      <c r="B764" s="956">
        <v>0</v>
      </c>
      <c r="C764" s="1146">
        <v>0</v>
      </c>
      <c r="D764" s="1146">
        <v>0</v>
      </c>
      <c r="E764" s="1146">
        <v>0</v>
      </c>
      <c r="F764" s="1146">
        <v>0</v>
      </c>
      <c r="G764" s="1146">
        <v>0</v>
      </c>
      <c r="H764" s="1146">
        <v>0</v>
      </c>
      <c r="I764" s="1146">
        <v>0</v>
      </c>
      <c r="J764" s="1147">
        <v>0</v>
      </c>
      <c r="K764" s="1147">
        <v>0</v>
      </c>
      <c r="L764" s="1148"/>
      <c r="M764" s="959"/>
      <c r="N764" s="959"/>
      <c r="O764" s="114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237">
        <f>MAX(J764/J793)</f>
        <v>0</v>
      </c>
      <c r="AD764" s="235">
        <f t="shared" si="140"/>
        <v>0</v>
      </c>
      <c r="AE764" s="238">
        <f>MAX(I764/I793)</f>
        <v>0</v>
      </c>
      <c r="AF764" s="235">
        <f t="shared" si="141"/>
        <v>0</v>
      </c>
      <c r="AG764" s="238">
        <f>MAX(H764/H793)</f>
        <v>0</v>
      </c>
      <c r="AH764" s="235">
        <f t="shared" si="142"/>
        <v>0</v>
      </c>
    </row>
    <row r="765" spans="1:34" ht="15" customHeight="1" x14ac:dyDescent="0.2">
      <c r="A765" s="962" t="s">
        <v>365</v>
      </c>
      <c r="B765" s="956">
        <v>0</v>
      </c>
      <c r="C765" s="1146"/>
      <c r="D765" s="1146"/>
      <c r="E765" s="1146"/>
      <c r="F765" s="1146"/>
      <c r="G765" s="1146"/>
      <c r="H765" s="1146">
        <v>0</v>
      </c>
      <c r="I765" s="1146">
        <v>0</v>
      </c>
      <c r="J765" s="1147">
        <v>0</v>
      </c>
      <c r="K765" s="1147">
        <v>0</v>
      </c>
      <c r="L765" s="1066"/>
      <c r="M765" s="959"/>
      <c r="N765" s="959"/>
      <c r="O765" s="114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237">
        <f>MAX(J765/J793)</f>
        <v>0</v>
      </c>
      <c r="AD765" s="235">
        <f t="shared" si="140"/>
        <v>0</v>
      </c>
      <c r="AE765" s="238">
        <f>MAX(I765/I793)</f>
        <v>0</v>
      </c>
      <c r="AF765" s="235">
        <f t="shared" si="141"/>
        <v>0</v>
      </c>
      <c r="AG765" s="238">
        <f>MAX(H765/H793)</f>
        <v>0</v>
      </c>
      <c r="AH765" s="235">
        <f t="shared" si="142"/>
        <v>0</v>
      </c>
    </row>
    <row r="766" spans="1:34" ht="15" customHeight="1" x14ac:dyDescent="0.2">
      <c r="A766" s="962" t="s">
        <v>366</v>
      </c>
      <c r="B766" s="956">
        <v>0</v>
      </c>
      <c r="C766" s="1146"/>
      <c r="D766" s="1146"/>
      <c r="E766" s="1146"/>
      <c r="F766" s="1146"/>
      <c r="G766" s="1146"/>
      <c r="H766" s="1146">
        <v>0</v>
      </c>
      <c r="I766" s="1146">
        <v>0</v>
      </c>
      <c r="J766" s="1147">
        <v>0</v>
      </c>
      <c r="K766" s="1147">
        <v>0</v>
      </c>
      <c r="L766" s="1148"/>
      <c r="M766" s="959"/>
      <c r="N766" s="959"/>
      <c r="O766" s="114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237">
        <f>MAX(J766/J793)</f>
        <v>0</v>
      </c>
      <c r="AD766" s="235">
        <f t="shared" si="140"/>
        <v>0</v>
      </c>
      <c r="AE766" s="238">
        <f>MAX(I766/I793)</f>
        <v>0</v>
      </c>
      <c r="AF766" s="235">
        <f t="shared" si="141"/>
        <v>0</v>
      </c>
      <c r="AG766" s="238">
        <f>MAX(H766/H793)</f>
        <v>0</v>
      </c>
      <c r="AH766" s="235">
        <f t="shared" si="142"/>
        <v>0</v>
      </c>
    </row>
    <row r="767" spans="1:34" ht="15" customHeight="1" x14ac:dyDescent="0.2">
      <c r="A767" s="962" t="s">
        <v>367</v>
      </c>
      <c r="B767" s="956">
        <v>0</v>
      </c>
      <c r="C767" s="1146"/>
      <c r="D767" s="1146"/>
      <c r="E767" s="1146"/>
      <c r="F767" s="1146"/>
      <c r="G767" s="1146"/>
      <c r="H767" s="1146">
        <v>0</v>
      </c>
      <c r="I767" s="1146">
        <v>0</v>
      </c>
      <c r="J767" s="1147">
        <v>0</v>
      </c>
      <c r="K767" s="1147">
        <v>0</v>
      </c>
      <c r="L767" s="1148"/>
      <c r="M767" s="959"/>
      <c r="N767" s="959"/>
      <c r="O767" s="114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237">
        <f>MAX(J767/J793)</f>
        <v>0</v>
      </c>
      <c r="AD767" s="235">
        <f t="shared" si="140"/>
        <v>0</v>
      </c>
      <c r="AE767" s="238">
        <f>MAX(I767/I793)</f>
        <v>0</v>
      </c>
      <c r="AF767" s="235">
        <f t="shared" si="141"/>
        <v>0</v>
      </c>
      <c r="AG767" s="238">
        <f>MAX(H767/H793)</f>
        <v>0</v>
      </c>
      <c r="AH767" s="235">
        <f t="shared" si="142"/>
        <v>0</v>
      </c>
    </row>
    <row r="768" spans="1:34" ht="15" customHeight="1" x14ac:dyDescent="0.2">
      <c r="A768" s="434" t="s">
        <v>940</v>
      </c>
      <c r="B768" s="1002">
        <v>121.5</v>
      </c>
      <c r="C768" s="1002">
        <v>41</v>
      </c>
      <c r="D768" s="1002">
        <v>0</v>
      </c>
      <c r="E768" s="1002">
        <v>0</v>
      </c>
      <c r="F768" s="1002">
        <v>0</v>
      </c>
      <c r="G768" s="1002">
        <v>35.5</v>
      </c>
      <c r="H768" s="1002">
        <v>86</v>
      </c>
      <c r="I768" s="1002">
        <v>162.5</v>
      </c>
      <c r="J768" s="1150">
        <v>512.20000000000005</v>
      </c>
      <c r="K768" s="1150">
        <v>5.9558139534883727</v>
      </c>
      <c r="L768" s="1152"/>
      <c r="M768" s="996"/>
      <c r="N768" s="996"/>
      <c r="O768" s="1153"/>
      <c r="P768" s="9"/>
      <c r="Q768" s="2005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1157"/>
      <c r="AD768" s="1156"/>
      <c r="AE768" s="1158"/>
      <c r="AF768" s="1156"/>
      <c r="AG768" s="1158"/>
      <c r="AH768" s="1156"/>
    </row>
    <row r="769" spans="1:34" ht="15" customHeight="1" x14ac:dyDescent="0.2">
      <c r="A769" s="962" t="s">
        <v>369</v>
      </c>
      <c r="B769" s="956">
        <v>29.5</v>
      </c>
      <c r="C769" s="1146">
        <v>1</v>
      </c>
      <c r="D769" s="1146">
        <v>0</v>
      </c>
      <c r="E769" s="1146">
        <v>0</v>
      </c>
      <c r="F769" s="1146">
        <v>0</v>
      </c>
      <c r="G769" s="1146">
        <v>5</v>
      </c>
      <c r="H769" s="1146">
        <v>24.5</v>
      </c>
      <c r="I769" s="1146">
        <v>30.5</v>
      </c>
      <c r="J769" s="1147">
        <v>122.5</v>
      </c>
      <c r="K769" s="1147">
        <v>5</v>
      </c>
      <c r="L769" s="1066" t="s">
        <v>988</v>
      </c>
      <c r="M769" s="959">
        <v>1800000</v>
      </c>
      <c r="N769" s="959">
        <v>4955925</v>
      </c>
      <c r="O769" s="1149">
        <v>3363564.75</v>
      </c>
      <c r="P769" s="9"/>
      <c r="Q769" s="2005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237">
        <f>MAX(J769/J793)</f>
        <v>0.10309712169668406</v>
      </c>
      <c r="AD769" s="235">
        <f>MAX(M769*AC769)</f>
        <v>185574.81905403131</v>
      </c>
      <c r="AE769" s="238">
        <f>MAX(I769/I793)</f>
        <v>0.10788822072868766</v>
      </c>
      <c r="AF769" s="235">
        <f>MAX(N769*AE769)</f>
        <v>534685.93031482142</v>
      </c>
      <c r="AG769" s="238">
        <f>MAX(H769/H793)</f>
        <v>0.12714063310845874</v>
      </c>
      <c r="AH769" s="235">
        <f>MAX(O769*AG769)</f>
        <v>427645.75181629474</v>
      </c>
    </row>
    <row r="770" spans="1:34" ht="15" customHeight="1" x14ac:dyDescent="0.2">
      <c r="A770" s="962" t="s">
        <v>370</v>
      </c>
      <c r="B770" s="956">
        <v>89</v>
      </c>
      <c r="C770" s="1146">
        <v>40</v>
      </c>
      <c r="D770" s="1146">
        <v>0</v>
      </c>
      <c r="E770" s="1146">
        <v>0</v>
      </c>
      <c r="F770" s="1146">
        <v>0</v>
      </c>
      <c r="G770" s="1146">
        <v>30</v>
      </c>
      <c r="H770" s="2159">
        <v>59</v>
      </c>
      <c r="I770" s="1146">
        <v>129</v>
      </c>
      <c r="J770" s="2155">
        <v>371.7</v>
      </c>
      <c r="K770" s="1147">
        <v>6.3</v>
      </c>
      <c r="L770" s="1066" t="s">
        <v>988</v>
      </c>
      <c r="M770" s="959">
        <v>1800000</v>
      </c>
      <c r="N770" s="959">
        <v>4955925</v>
      </c>
      <c r="O770" s="1149">
        <v>3363564.75</v>
      </c>
      <c r="P770" s="9"/>
      <c r="Q770" s="2005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237">
        <f>MAX(J770/J793)</f>
        <v>0.3128261235482242</v>
      </c>
      <c r="AD770" s="235">
        <f>MAX(M770*AC770)</f>
        <v>563087.02238680352</v>
      </c>
      <c r="AE770" s="238">
        <f>MAX(I770/I793)</f>
        <v>0.45631411390166254</v>
      </c>
      <c r="AF770" s="235">
        <f>MAX(N770*AE770)</f>
        <v>2261458.5249380968</v>
      </c>
      <c r="AG770" s="238">
        <f>MAX(H770/H793)</f>
        <v>0.30617540217955375</v>
      </c>
      <c r="AH770" s="235">
        <f>MAX(O770*AG770)</f>
        <v>1029840.7900882202</v>
      </c>
    </row>
    <row r="771" spans="1:34" ht="15" customHeight="1" x14ac:dyDescent="0.2">
      <c r="A771" s="962" t="s">
        <v>371</v>
      </c>
      <c r="B771" s="956">
        <v>2</v>
      </c>
      <c r="C771" s="1146">
        <v>0</v>
      </c>
      <c r="D771" s="1146">
        <v>0</v>
      </c>
      <c r="E771" s="1146">
        <v>0</v>
      </c>
      <c r="F771" s="1146">
        <v>0</v>
      </c>
      <c r="G771" s="1146">
        <v>0</v>
      </c>
      <c r="H771" s="1146">
        <v>2</v>
      </c>
      <c r="I771" s="1146">
        <v>2</v>
      </c>
      <c r="J771" s="1147">
        <v>16</v>
      </c>
      <c r="K771" s="1147">
        <v>8</v>
      </c>
      <c r="L771" s="1066" t="s">
        <v>988</v>
      </c>
      <c r="M771" s="959">
        <v>1800000</v>
      </c>
      <c r="N771" s="959">
        <v>4955925</v>
      </c>
      <c r="O771" s="1149">
        <v>3363564.75</v>
      </c>
      <c r="P771" s="9"/>
      <c r="Q771" s="2005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237">
        <f>MAX(J771/J793)</f>
        <v>1.3465746507321999E-2</v>
      </c>
      <c r="AD771" s="235">
        <f>MAX(M771*AC771)</f>
        <v>24238.343713179598</v>
      </c>
      <c r="AE771" s="238">
        <f>MAX(I771/I793)</f>
        <v>7.0746374248319777E-3</v>
      </c>
      <c r="AF771" s="235">
        <f>MAX(N771*AE771)</f>
        <v>35061.372479660422</v>
      </c>
      <c r="AG771" s="238">
        <f>MAX(H771/H793)</f>
        <v>1.0378827192527244E-2</v>
      </c>
      <c r="AH771" s="235">
        <f>MAX(O771*AG771)</f>
        <v>34909.8572911261</v>
      </c>
    </row>
    <row r="772" spans="1:34" ht="15" customHeight="1" x14ac:dyDescent="0.2">
      <c r="A772" s="962" t="s">
        <v>372</v>
      </c>
      <c r="B772" s="956">
        <v>1</v>
      </c>
      <c r="C772" s="1146">
        <v>0</v>
      </c>
      <c r="D772" s="1146">
        <v>0</v>
      </c>
      <c r="E772" s="1146">
        <v>0</v>
      </c>
      <c r="F772" s="1146">
        <v>0</v>
      </c>
      <c r="G772" s="1146">
        <v>0.5</v>
      </c>
      <c r="H772" s="1146">
        <v>0.5</v>
      </c>
      <c r="I772" s="1146">
        <v>1</v>
      </c>
      <c r="J772" s="1147">
        <v>2</v>
      </c>
      <c r="K772" s="1147">
        <v>4</v>
      </c>
      <c r="L772" s="1066" t="s">
        <v>988</v>
      </c>
      <c r="M772" s="959">
        <v>1800000</v>
      </c>
      <c r="N772" s="959">
        <v>4955925</v>
      </c>
      <c r="O772" s="1149">
        <v>3363564.75</v>
      </c>
      <c r="P772" s="9"/>
      <c r="Q772" s="2005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237">
        <f>MAX(J772/J793)</f>
        <v>1.6832183134152499E-3</v>
      </c>
      <c r="AD772" s="235">
        <f>MAX(M772*AC772)</f>
        <v>3029.7929641474498</v>
      </c>
      <c r="AE772" s="238">
        <f>MAX(I772/I793)</f>
        <v>3.5373187124159888E-3</v>
      </c>
      <c r="AF772" s="235">
        <f>MAX(N772*AE772)</f>
        <v>17530.686239830211</v>
      </c>
      <c r="AG772" s="238">
        <f>MAX(H772/H793)</f>
        <v>2.5947067981318111E-3</v>
      </c>
      <c r="AH772" s="235">
        <f>MAX(O772*AG772)</f>
        <v>8727.464322781525</v>
      </c>
    </row>
    <row r="773" spans="1:34" ht="15" customHeight="1" x14ac:dyDescent="0.2">
      <c r="A773" s="962" t="s">
        <v>373</v>
      </c>
      <c r="B773" s="956">
        <v>0</v>
      </c>
      <c r="C773" s="1146">
        <v>0</v>
      </c>
      <c r="D773" s="1146">
        <v>0</v>
      </c>
      <c r="E773" s="1146">
        <v>0</v>
      </c>
      <c r="F773" s="1146">
        <v>0</v>
      </c>
      <c r="G773" s="1146">
        <v>0</v>
      </c>
      <c r="H773" s="1146">
        <v>0</v>
      </c>
      <c r="I773" s="1146">
        <v>0</v>
      </c>
      <c r="J773" s="1147">
        <v>0</v>
      </c>
      <c r="K773" s="1147">
        <v>0</v>
      </c>
      <c r="L773" s="1148"/>
      <c r="M773" s="959"/>
      <c r="N773" s="959"/>
      <c r="O773" s="1149"/>
      <c r="P773" s="9"/>
      <c r="Q773" s="2005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1966"/>
      <c r="AC773" s="237">
        <f>MAX(J773/J793)</f>
        <v>0</v>
      </c>
      <c r="AD773" s="235">
        <f>MAX(M773*AC773)</f>
        <v>0</v>
      </c>
      <c r="AE773" s="238">
        <f>MAX(I773/I793)</f>
        <v>0</v>
      </c>
      <c r="AF773" s="235">
        <f>MAX(N773*AE773)</f>
        <v>0</v>
      </c>
      <c r="AG773" s="238">
        <f>MAX(H773/H793)</f>
        <v>0</v>
      </c>
      <c r="AH773" s="235">
        <f>MAX(O773*AG773)</f>
        <v>0</v>
      </c>
    </row>
    <row r="774" spans="1:34" ht="15" customHeight="1" x14ac:dyDescent="0.2">
      <c r="A774" s="1154" t="s">
        <v>374</v>
      </c>
      <c r="B774" s="1002">
        <v>12.5</v>
      </c>
      <c r="C774" s="1002">
        <v>0</v>
      </c>
      <c r="D774" s="1002">
        <v>0</v>
      </c>
      <c r="E774" s="1002">
        <v>0</v>
      </c>
      <c r="F774" s="1002">
        <v>0</v>
      </c>
      <c r="G774" s="1002">
        <v>4.5</v>
      </c>
      <c r="H774" s="1002">
        <v>8</v>
      </c>
      <c r="I774" s="1002">
        <v>12.5</v>
      </c>
      <c r="J774" s="1150">
        <v>170</v>
      </c>
      <c r="K774" s="1150">
        <v>21.25</v>
      </c>
      <c r="L774" s="1152"/>
      <c r="M774" s="996"/>
      <c r="N774" s="996"/>
      <c r="O774" s="1153"/>
      <c r="P774" s="9"/>
      <c r="Q774" s="2005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1966"/>
      <c r="AC774" s="1157"/>
      <c r="AD774" s="1156"/>
      <c r="AE774" s="1158"/>
      <c r="AF774" s="1156"/>
      <c r="AG774" s="1158"/>
      <c r="AH774" s="1156"/>
    </row>
    <row r="775" spans="1:34" ht="15" customHeight="1" x14ac:dyDescent="0.2">
      <c r="A775" s="962" t="s">
        <v>375</v>
      </c>
      <c r="B775" s="956">
        <v>5</v>
      </c>
      <c r="C775" s="1146">
        <v>0</v>
      </c>
      <c r="D775" s="1146">
        <v>0</v>
      </c>
      <c r="E775" s="1146">
        <v>0</v>
      </c>
      <c r="F775" s="1146">
        <v>0</v>
      </c>
      <c r="G775" s="1146">
        <v>2</v>
      </c>
      <c r="H775" s="1146">
        <v>3</v>
      </c>
      <c r="I775" s="1146">
        <v>5</v>
      </c>
      <c r="J775" s="1147">
        <v>120</v>
      </c>
      <c r="K775" s="1147">
        <v>40</v>
      </c>
      <c r="L775" s="1066" t="s">
        <v>988</v>
      </c>
      <c r="M775" s="959">
        <v>1800000</v>
      </c>
      <c r="N775" s="959">
        <v>4955925</v>
      </c>
      <c r="O775" s="1149">
        <v>3363564.75</v>
      </c>
      <c r="P775" s="9"/>
      <c r="Q775" s="2005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1966"/>
      <c r="AC775" s="237">
        <f>MAX(J775/J793)</f>
        <v>0.100993098804915</v>
      </c>
      <c r="AD775" s="235">
        <f t="shared" ref="AD775:AD782" si="143">MAX(M775*AC775)</f>
        <v>181787.577848847</v>
      </c>
      <c r="AE775" s="238">
        <f>MAX(I775/I793)</f>
        <v>1.7686593562079946E-2</v>
      </c>
      <c r="AF775" s="235">
        <f t="shared" ref="AF775:AF782" si="144">MAX(N775*AE775)</f>
        <v>87653.431199151048</v>
      </c>
      <c r="AG775" s="238">
        <f>MAX(H775/H793)</f>
        <v>1.5568240788790868E-2</v>
      </c>
      <c r="AH775" s="235">
        <f t="shared" ref="AH775:AH782" si="145">MAX(O775*AG775)</f>
        <v>52364.785936689157</v>
      </c>
    </row>
    <row r="776" spans="1:34" ht="15" customHeight="1" x14ac:dyDescent="0.2">
      <c r="A776" s="962" t="s">
        <v>376</v>
      </c>
      <c r="B776" s="956">
        <v>0</v>
      </c>
      <c r="C776" s="1146">
        <v>0</v>
      </c>
      <c r="D776" s="1146">
        <v>0</v>
      </c>
      <c r="E776" s="1146">
        <v>0</v>
      </c>
      <c r="F776" s="1146">
        <v>0</v>
      </c>
      <c r="G776" s="1146">
        <v>0</v>
      </c>
      <c r="H776" s="1146">
        <v>0</v>
      </c>
      <c r="I776" s="1146">
        <v>0</v>
      </c>
      <c r="J776" s="1147">
        <v>0</v>
      </c>
      <c r="K776" s="1147">
        <v>0</v>
      </c>
      <c r="L776" s="1148"/>
      <c r="M776" s="959"/>
      <c r="N776" s="959"/>
      <c r="O776" s="1149"/>
      <c r="P776" s="9"/>
      <c r="Q776" s="2005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1966"/>
      <c r="AC776" s="237">
        <f>MAX(J776/J793)</f>
        <v>0</v>
      </c>
      <c r="AD776" s="235">
        <f t="shared" si="143"/>
        <v>0</v>
      </c>
      <c r="AE776" s="238">
        <f>MAX(I776/I793)</f>
        <v>0</v>
      </c>
      <c r="AF776" s="235">
        <f t="shared" si="144"/>
        <v>0</v>
      </c>
      <c r="AG776" s="238">
        <f>MAX(H776/H793)</f>
        <v>0</v>
      </c>
      <c r="AH776" s="235">
        <f t="shared" si="145"/>
        <v>0</v>
      </c>
    </row>
    <row r="777" spans="1:34" ht="15" customHeight="1" x14ac:dyDescent="0.2">
      <c r="A777" s="962" t="s">
        <v>377</v>
      </c>
      <c r="B777" s="956">
        <v>0</v>
      </c>
      <c r="C777" s="1146"/>
      <c r="D777" s="1146"/>
      <c r="E777" s="1146"/>
      <c r="F777" s="1146"/>
      <c r="G777" s="1146"/>
      <c r="H777" s="1146">
        <v>0</v>
      </c>
      <c r="I777" s="1146">
        <v>0</v>
      </c>
      <c r="J777" s="1147">
        <v>0</v>
      </c>
      <c r="K777" s="1147">
        <v>0</v>
      </c>
      <c r="L777" s="1148"/>
      <c r="M777" s="959"/>
      <c r="N777" s="959"/>
      <c r="O777" s="114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1966"/>
      <c r="AC777" s="237">
        <f>MAX(J777/J793)</f>
        <v>0</v>
      </c>
      <c r="AD777" s="235">
        <f t="shared" si="143"/>
        <v>0</v>
      </c>
      <c r="AE777" s="238">
        <f>MAX(I777/I793)</f>
        <v>0</v>
      </c>
      <c r="AF777" s="235">
        <f t="shared" si="144"/>
        <v>0</v>
      </c>
      <c r="AG777" s="238">
        <f>MAX(H777/H793)</f>
        <v>0</v>
      </c>
      <c r="AH777" s="235">
        <f t="shared" si="145"/>
        <v>0</v>
      </c>
    </row>
    <row r="778" spans="1:34" ht="15" customHeight="1" x14ac:dyDescent="0.2">
      <c r="A778" s="962" t="s">
        <v>378</v>
      </c>
      <c r="B778" s="956">
        <v>0</v>
      </c>
      <c r="C778" s="1146">
        <v>0</v>
      </c>
      <c r="D778" s="1146">
        <v>0</v>
      </c>
      <c r="E778" s="1146">
        <v>0</v>
      </c>
      <c r="F778" s="1146">
        <v>0</v>
      </c>
      <c r="G778" s="1146">
        <v>0</v>
      </c>
      <c r="H778" s="1146">
        <v>0</v>
      </c>
      <c r="I778" s="1146">
        <v>0</v>
      </c>
      <c r="J778" s="1147">
        <v>0</v>
      </c>
      <c r="K778" s="1147">
        <v>0</v>
      </c>
      <c r="L778" s="1148"/>
      <c r="M778" s="959"/>
      <c r="N778" s="959"/>
      <c r="O778" s="114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1966"/>
      <c r="AC778" s="237">
        <f>MAX(J778/J793)</f>
        <v>0</v>
      </c>
      <c r="AD778" s="235">
        <f t="shared" si="143"/>
        <v>0</v>
      </c>
      <c r="AE778" s="238">
        <f>MAX(I778/I793)</f>
        <v>0</v>
      </c>
      <c r="AF778" s="235">
        <f t="shared" si="144"/>
        <v>0</v>
      </c>
      <c r="AG778" s="238">
        <f>MAX(H778/H793)</f>
        <v>0</v>
      </c>
      <c r="AH778" s="235">
        <f t="shared" si="145"/>
        <v>0</v>
      </c>
    </row>
    <row r="779" spans="1:34" ht="15" customHeight="1" x14ac:dyDescent="0.2">
      <c r="A779" s="962" t="s">
        <v>379</v>
      </c>
      <c r="B779" s="956">
        <v>0</v>
      </c>
      <c r="C779" s="1146"/>
      <c r="D779" s="1146"/>
      <c r="E779" s="1146"/>
      <c r="F779" s="1146"/>
      <c r="G779" s="1146"/>
      <c r="H779" s="1146">
        <v>0</v>
      </c>
      <c r="I779" s="1146">
        <v>0</v>
      </c>
      <c r="J779" s="1147">
        <v>0</v>
      </c>
      <c r="K779" s="1147">
        <v>0</v>
      </c>
      <c r="L779" s="1148"/>
      <c r="M779" s="959"/>
      <c r="N779" s="959"/>
      <c r="O779" s="114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1966"/>
      <c r="AC779" s="237">
        <f>MAX(J779/J793)</f>
        <v>0</v>
      </c>
      <c r="AD779" s="235">
        <f t="shared" si="143"/>
        <v>0</v>
      </c>
      <c r="AE779" s="238">
        <f>MAX(I779/I793)</f>
        <v>0</v>
      </c>
      <c r="AF779" s="235">
        <f t="shared" si="144"/>
        <v>0</v>
      </c>
      <c r="AG779" s="238">
        <f>MAX(H779/H793)</f>
        <v>0</v>
      </c>
      <c r="AH779" s="235">
        <f t="shared" si="145"/>
        <v>0</v>
      </c>
    </row>
    <row r="780" spans="1:34" ht="15" customHeight="1" x14ac:dyDescent="0.2">
      <c r="A780" s="962" t="s">
        <v>380</v>
      </c>
      <c r="B780" s="1498">
        <v>7.5</v>
      </c>
      <c r="C780" s="1146">
        <v>0</v>
      </c>
      <c r="D780" s="1146">
        <v>0</v>
      </c>
      <c r="E780" s="1146">
        <v>0</v>
      </c>
      <c r="F780" s="1146">
        <v>0</v>
      </c>
      <c r="G780" s="1146">
        <v>2.5</v>
      </c>
      <c r="H780" s="1146">
        <v>5</v>
      </c>
      <c r="I780" s="1146">
        <v>7.5</v>
      </c>
      <c r="J780" s="1147">
        <v>50</v>
      </c>
      <c r="K780" s="1147">
        <v>10</v>
      </c>
      <c r="L780" s="1066" t="s">
        <v>988</v>
      </c>
      <c r="M780" s="959">
        <v>1800000</v>
      </c>
      <c r="N780" s="959">
        <v>4955925</v>
      </c>
      <c r="O780" s="1149">
        <v>3363564.75</v>
      </c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1966"/>
      <c r="AC780" s="237">
        <f>MAX(J780/J793)</f>
        <v>4.2080457835381245E-2</v>
      </c>
      <c r="AD780" s="235">
        <f t="shared" si="143"/>
        <v>75744.824103686246</v>
      </c>
      <c r="AE780" s="238">
        <f>MAX(I780/I793)</f>
        <v>2.6529890343119915E-2</v>
      </c>
      <c r="AF780" s="235">
        <f t="shared" si="144"/>
        <v>131480.14679872655</v>
      </c>
      <c r="AG780" s="238">
        <f>MAX(H780/H793)</f>
        <v>2.5947067981318114E-2</v>
      </c>
      <c r="AH780" s="235">
        <f t="shared" si="145"/>
        <v>87274.643227815264</v>
      </c>
    </row>
    <row r="781" spans="1:34" ht="15" customHeight="1" x14ac:dyDescent="0.2">
      <c r="A781" s="962" t="s">
        <v>381</v>
      </c>
      <c r="B781" s="956">
        <v>0</v>
      </c>
      <c r="C781" s="1146"/>
      <c r="D781" s="1146"/>
      <c r="E781" s="1146"/>
      <c r="F781" s="1146"/>
      <c r="G781" s="1146"/>
      <c r="H781" s="1146">
        <v>0</v>
      </c>
      <c r="I781" s="1146">
        <v>0</v>
      </c>
      <c r="J781" s="1147">
        <v>0</v>
      </c>
      <c r="K781" s="1147">
        <v>0</v>
      </c>
      <c r="L781" s="1148"/>
      <c r="M781" s="959"/>
      <c r="N781" s="959"/>
      <c r="O781" s="114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1966"/>
      <c r="AC781" s="237">
        <f>MAX(J781/J793)</f>
        <v>0</v>
      </c>
      <c r="AD781" s="235">
        <f t="shared" si="143"/>
        <v>0</v>
      </c>
      <c r="AE781" s="238">
        <f>MAX(I781/I793)</f>
        <v>0</v>
      </c>
      <c r="AF781" s="235">
        <f t="shared" si="144"/>
        <v>0</v>
      </c>
      <c r="AG781" s="238">
        <f>MAX(H781/H793)</f>
        <v>0</v>
      </c>
      <c r="AH781" s="235">
        <f t="shared" si="145"/>
        <v>0</v>
      </c>
    </row>
    <row r="782" spans="1:34" ht="15" customHeight="1" x14ac:dyDescent="0.2">
      <c r="A782" s="962" t="s">
        <v>382</v>
      </c>
      <c r="B782" s="956">
        <v>0</v>
      </c>
      <c r="C782" s="1146">
        <v>0</v>
      </c>
      <c r="D782" s="1146">
        <v>0</v>
      </c>
      <c r="E782" s="1146">
        <v>0</v>
      </c>
      <c r="F782" s="1146">
        <v>0</v>
      </c>
      <c r="G782" s="1146">
        <v>0</v>
      </c>
      <c r="H782" s="1146">
        <v>0</v>
      </c>
      <c r="I782" s="1146">
        <v>0</v>
      </c>
      <c r="J782" s="1147">
        <v>0</v>
      </c>
      <c r="K782" s="1147">
        <v>0</v>
      </c>
      <c r="L782" s="1148"/>
      <c r="M782" s="959"/>
      <c r="N782" s="959"/>
      <c r="O782" s="114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1966"/>
      <c r="AC782" s="237">
        <f>MAX(J782/J793)</f>
        <v>0</v>
      </c>
      <c r="AD782" s="235">
        <f t="shared" si="143"/>
        <v>0</v>
      </c>
      <c r="AE782" s="238">
        <f>MAX(I782/I793)</f>
        <v>0</v>
      </c>
      <c r="AF782" s="235">
        <f t="shared" si="144"/>
        <v>0</v>
      </c>
      <c r="AG782" s="238">
        <f>MAX(H782/H793)</f>
        <v>0</v>
      </c>
      <c r="AH782" s="235">
        <f t="shared" si="145"/>
        <v>0</v>
      </c>
    </row>
    <row r="783" spans="1:34" ht="15" customHeight="1" x14ac:dyDescent="0.2">
      <c r="A783" s="1154" t="s">
        <v>383</v>
      </c>
      <c r="B783" s="1002">
        <v>97.699999999999989</v>
      </c>
      <c r="C783" s="1002">
        <v>4</v>
      </c>
      <c r="D783" s="1002">
        <v>0</v>
      </c>
      <c r="E783" s="1002">
        <v>0</v>
      </c>
      <c r="F783" s="1002">
        <v>2</v>
      </c>
      <c r="G783" s="1002">
        <v>4</v>
      </c>
      <c r="H783" s="1002">
        <v>91.699999999999989</v>
      </c>
      <c r="I783" s="1002">
        <v>99.699999999999989</v>
      </c>
      <c r="J783" s="1150">
        <v>495.99999999999994</v>
      </c>
      <c r="K783" s="1150">
        <v>5.4089422028353322</v>
      </c>
      <c r="L783" s="1152"/>
      <c r="M783" s="996"/>
      <c r="N783" s="996"/>
      <c r="O783" s="1153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1157"/>
      <c r="AD783" s="1156"/>
      <c r="AE783" s="1158"/>
      <c r="AF783" s="1156"/>
      <c r="AG783" s="1158"/>
      <c r="AH783" s="1156"/>
    </row>
    <row r="784" spans="1:34" ht="15" customHeight="1" x14ac:dyDescent="0.2">
      <c r="A784" s="962" t="s">
        <v>384</v>
      </c>
      <c r="B784" s="1538">
        <v>57.599999999999994</v>
      </c>
      <c r="C784" s="1539">
        <v>0</v>
      </c>
      <c r="D784" s="1539">
        <v>0</v>
      </c>
      <c r="E784" s="1539">
        <v>0</v>
      </c>
      <c r="F784" s="1539">
        <v>0</v>
      </c>
      <c r="G784" s="1539">
        <v>0</v>
      </c>
      <c r="H784" s="1146">
        <v>57.599999999999994</v>
      </c>
      <c r="I784" s="1146">
        <v>57.599999999999994</v>
      </c>
      <c r="J784" s="1540">
        <v>345.59999999999997</v>
      </c>
      <c r="K784" s="1540">
        <v>6</v>
      </c>
      <c r="L784" s="1066" t="s">
        <v>988</v>
      </c>
      <c r="M784" s="959">
        <v>1800000</v>
      </c>
      <c r="N784" s="959">
        <v>4955925</v>
      </c>
      <c r="O784" s="1149">
        <v>3363564.75</v>
      </c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237">
        <f>MAX(J784/J793)</f>
        <v>0.29086012455815513</v>
      </c>
      <c r="AD784" s="235">
        <f t="shared" ref="AD784:AD792" si="146">MAX(M784*AC784)</f>
        <v>523548.22420467925</v>
      </c>
      <c r="AE784" s="238">
        <f>MAX(I784/I793)</f>
        <v>0.20374955783516094</v>
      </c>
      <c r="AF784" s="235">
        <f t="shared" ref="AF784:AF792" si="147">MAX(N784*AE784)</f>
        <v>1009767.5274142199</v>
      </c>
      <c r="AG784" s="238">
        <f>MAX(H784/H793)</f>
        <v>0.2989102231447846</v>
      </c>
      <c r="AH784" s="235">
        <f t="shared" ref="AH784:AH792" si="148">MAX(O784*AG784)</f>
        <v>1005403.8899844317</v>
      </c>
    </row>
    <row r="785" spans="1:34" ht="15" customHeight="1" x14ac:dyDescent="0.2">
      <c r="A785" s="962" t="s">
        <v>385</v>
      </c>
      <c r="B785" s="245">
        <v>12</v>
      </c>
      <c r="C785" s="1146">
        <v>3</v>
      </c>
      <c r="D785" s="1146">
        <v>0</v>
      </c>
      <c r="E785" s="1146">
        <v>0</v>
      </c>
      <c r="F785" s="1146">
        <v>0</v>
      </c>
      <c r="G785" s="1146">
        <v>0</v>
      </c>
      <c r="H785" s="1146">
        <v>12</v>
      </c>
      <c r="I785" s="1146">
        <v>15</v>
      </c>
      <c r="J785" s="1147">
        <v>48</v>
      </c>
      <c r="K785" s="1147">
        <v>4</v>
      </c>
      <c r="L785" s="1066" t="s">
        <v>988</v>
      </c>
      <c r="M785" s="959">
        <v>1800000</v>
      </c>
      <c r="N785" s="959">
        <v>4955925</v>
      </c>
      <c r="O785" s="1149">
        <v>3363564.75</v>
      </c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237">
        <f>MAX(J785/J793)</f>
        <v>4.0397239521966E-2</v>
      </c>
      <c r="AD785" s="235">
        <f t="shared" si="146"/>
        <v>72715.031139538798</v>
      </c>
      <c r="AE785" s="238">
        <f>MAX(I785/I793)</f>
        <v>5.305978068623983E-2</v>
      </c>
      <c r="AF785" s="235">
        <f t="shared" si="147"/>
        <v>262960.2935974531</v>
      </c>
      <c r="AG785" s="238">
        <f>MAX(H785/H793)</f>
        <v>6.2272963155163473E-2</v>
      </c>
      <c r="AH785" s="235">
        <f t="shared" si="148"/>
        <v>209459.14374675663</v>
      </c>
    </row>
    <row r="786" spans="1:34" ht="15" customHeight="1" x14ac:dyDescent="0.2">
      <c r="A786" s="962" t="s">
        <v>386</v>
      </c>
      <c r="B786" s="245">
        <v>1</v>
      </c>
      <c r="C786" s="1146">
        <v>0</v>
      </c>
      <c r="D786" s="1146">
        <v>0</v>
      </c>
      <c r="E786" s="1146">
        <v>0</v>
      </c>
      <c r="F786" s="1146">
        <v>0</v>
      </c>
      <c r="G786" s="1146">
        <v>0</v>
      </c>
      <c r="H786" s="1146">
        <v>1</v>
      </c>
      <c r="I786" s="1146">
        <v>1</v>
      </c>
      <c r="J786" s="1147">
        <v>5</v>
      </c>
      <c r="K786" s="1147">
        <v>5</v>
      </c>
      <c r="L786" s="1066" t="s">
        <v>988</v>
      </c>
      <c r="M786" s="959">
        <v>1800000</v>
      </c>
      <c r="N786" s="959">
        <v>4955925</v>
      </c>
      <c r="O786" s="1149">
        <v>3363564.75</v>
      </c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237">
        <f>MAX(J786/J793)</f>
        <v>4.2080457835381247E-3</v>
      </c>
      <c r="AD786" s="235">
        <f t="shared" si="146"/>
        <v>7574.4824103686242</v>
      </c>
      <c r="AE786" s="238">
        <f>MAX(I786/I793)</f>
        <v>3.5373187124159888E-3</v>
      </c>
      <c r="AF786" s="235">
        <f t="shared" si="147"/>
        <v>17530.686239830211</v>
      </c>
      <c r="AG786" s="238">
        <f>MAX(H786/H793)</f>
        <v>5.1894135962636222E-3</v>
      </c>
      <c r="AH786" s="235">
        <f t="shared" si="148"/>
        <v>17454.92864556305</v>
      </c>
    </row>
    <row r="787" spans="1:34" ht="15" customHeight="1" x14ac:dyDescent="0.2">
      <c r="A787" s="962" t="s">
        <v>387</v>
      </c>
      <c r="B787" s="245">
        <v>10</v>
      </c>
      <c r="C787" s="1146">
        <v>1</v>
      </c>
      <c r="D787" s="1146">
        <v>0</v>
      </c>
      <c r="E787" s="1146">
        <v>0</v>
      </c>
      <c r="F787" s="1146">
        <v>2</v>
      </c>
      <c r="G787" s="1146">
        <v>4</v>
      </c>
      <c r="H787" s="1146">
        <v>4</v>
      </c>
      <c r="I787" s="1146">
        <v>9</v>
      </c>
      <c r="J787" s="1147">
        <v>16</v>
      </c>
      <c r="K787" s="1147">
        <v>4</v>
      </c>
      <c r="L787" s="1066" t="s">
        <v>988</v>
      </c>
      <c r="M787" s="959">
        <v>1800000</v>
      </c>
      <c r="N787" s="959">
        <v>4955925</v>
      </c>
      <c r="O787" s="1149">
        <v>3363564.75</v>
      </c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237">
        <f>MAX(J787/J793)</f>
        <v>1.3465746507321999E-2</v>
      </c>
      <c r="AD787" s="235">
        <f t="shared" si="146"/>
        <v>24238.343713179598</v>
      </c>
      <c r="AE787" s="238">
        <f>MAX(I787/I793)</f>
        <v>3.1835868411743899E-2</v>
      </c>
      <c r="AF787" s="235">
        <f t="shared" si="147"/>
        <v>157776.17615847188</v>
      </c>
      <c r="AG787" s="238">
        <f>MAX(H787/H793)</f>
        <v>2.0757654385054489E-2</v>
      </c>
      <c r="AH787" s="235">
        <f t="shared" si="148"/>
        <v>69819.7145822522</v>
      </c>
    </row>
    <row r="788" spans="1:34" ht="15" customHeight="1" x14ac:dyDescent="0.2">
      <c r="A788" s="962" t="s">
        <v>388</v>
      </c>
      <c r="B788" s="245">
        <v>0</v>
      </c>
      <c r="C788" s="1146"/>
      <c r="D788" s="1146"/>
      <c r="E788" s="1146"/>
      <c r="F788" s="1146"/>
      <c r="G788" s="1146"/>
      <c r="H788" s="1146">
        <v>0</v>
      </c>
      <c r="I788" s="1146">
        <v>0</v>
      </c>
      <c r="J788" s="1147">
        <v>0</v>
      </c>
      <c r="K788" s="1147">
        <v>0</v>
      </c>
      <c r="L788" s="1148"/>
      <c r="M788" s="959"/>
      <c r="N788" s="959"/>
      <c r="O788" s="114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237">
        <f>MAX(J788/J793)</f>
        <v>0</v>
      </c>
      <c r="AD788" s="235">
        <f t="shared" si="146"/>
        <v>0</v>
      </c>
      <c r="AE788" s="238">
        <f>MAX(I788/I793)</f>
        <v>0</v>
      </c>
      <c r="AF788" s="235">
        <f t="shared" si="147"/>
        <v>0</v>
      </c>
      <c r="AG788" s="238">
        <f>MAX(H788/H793)</f>
        <v>0</v>
      </c>
      <c r="AH788" s="235">
        <f t="shared" si="148"/>
        <v>0</v>
      </c>
    </row>
    <row r="789" spans="1:34" ht="15" customHeight="1" x14ac:dyDescent="0.2">
      <c r="A789" s="962" t="s">
        <v>389</v>
      </c>
      <c r="B789" s="245">
        <v>4</v>
      </c>
      <c r="C789" s="1146">
        <v>0</v>
      </c>
      <c r="D789" s="1146"/>
      <c r="E789" s="1146"/>
      <c r="F789" s="1146"/>
      <c r="G789" s="1146"/>
      <c r="H789" s="1146">
        <v>4</v>
      </c>
      <c r="I789" s="1146">
        <v>4</v>
      </c>
      <c r="J789" s="1147">
        <v>16</v>
      </c>
      <c r="K789" s="1147">
        <v>4</v>
      </c>
      <c r="L789" s="1066" t="s">
        <v>988</v>
      </c>
      <c r="M789" s="959">
        <v>1800000</v>
      </c>
      <c r="N789" s="959">
        <v>4955925</v>
      </c>
      <c r="O789" s="1149">
        <v>3363564.75</v>
      </c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237">
        <f>MAX(J789/J793)</f>
        <v>1.3465746507321999E-2</v>
      </c>
      <c r="AD789" s="235">
        <f t="shared" si="146"/>
        <v>24238.343713179598</v>
      </c>
      <c r="AE789" s="238">
        <f>MAX(I789/I793)</f>
        <v>1.4149274849663955E-2</v>
      </c>
      <c r="AF789" s="235">
        <f t="shared" si="147"/>
        <v>70122.744959320844</v>
      </c>
      <c r="AG789" s="238">
        <f>MAX(H789/H793)</f>
        <v>2.0757654385054489E-2</v>
      </c>
      <c r="AH789" s="235">
        <f t="shared" si="148"/>
        <v>69819.7145822522</v>
      </c>
    </row>
    <row r="790" spans="1:34" ht="15" customHeight="1" x14ac:dyDescent="0.2">
      <c r="A790" s="962" t="s">
        <v>390</v>
      </c>
      <c r="B790" s="245">
        <v>0.1</v>
      </c>
      <c r="C790" s="1146"/>
      <c r="D790" s="1146"/>
      <c r="E790" s="1146"/>
      <c r="F790" s="1146"/>
      <c r="G790" s="1146"/>
      <c r="H790" s="1146">
        <v>0.1</v>
      </c>
      <c r="I790" s="1146">
        <v>0.1</v>
      </c>
      <c r="J790" s="1147">
        <v>0.4</v>
      </c>
      <c r="K790" s="1147">
        <v>4</v>
      </c>
      <c r="L790" s="1066" t="s">
        <v>988</v>
      </c>
      <c r="M790" s="959">
        <v>1800000</v>
      </c>
      <c r="N790" s="959">
        <v>4955925</v>
      </c>
      <c r="O790" s="1149">
        <v>3363564.75</v>
      </c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237">
        <f>MAX(J790/J793)</f>
        <v>3.3664366268305E-4</v>
      </c>
      <c r="AD790" s="235">
        <f t="shared" si="146"/>
        <v>605.95859282949004</v>
      </c>
      <c r="AE790" s="238">
        <f>MAX(I790/I793)</f>
        <v>3.5373187124159892E-4</v>
      </c>
      <c r="AF790" s="235">
        <f t="shared" si="147"/>
        <v>1753.0686239830211</v>
      </c>
      <c r="AG790" s="238">
        <f>MAX(H790/H793)</f>
        <v>5.189413596263623E-4</v>
      </c>
      <c r="AH790" s="235">
        <f t="shared" si="148"/>
        <v>1745.4928645563054</v>
      </c>
    </row>
    <row r="791" spans="1:34" ht="15" customHeight="1" x14ac:dyDescent="0.2">
      <c r="A791" s="962" t="s">
        <v>941</v>
      </c>
      <c r="B791" s="245">
        <v>9</v>
      </c>
      <c r="C791" s="1146"/>
      <c r="D791" s="1146"/>
      <c r="E791" s="1146"/>
      <c r="F791" s="1146"/>
      <c r="G791" s="1146"/>
      <c r="H791" s="1146">
        <v>9</v>
      </c>
      <c r="I791" s="1146">
        <v>9</v>
      </c>
      <c r="J791" s="1147">
        <v>45</v>
      </c>
      <c r="K791" s="1147">
        <v>5</v>
      </c>
      <c r="L791" s="1066" t="s">
        <v>988</v>
      </c>
      <c r="M791" s="959">
        <v>1800000</v>
      </c>
      <c r="N791" s="959">
        <v>4955925</v>
      </c>
      <c r="O791" s="1149">
        <v>3363564.75</v>
      </c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237">
        <f>MAX(J791/J793)</f>
        <v>3.7872412051843121E-2</v>
      </c>
      <c r="AD791" s="235">
        <f t="shared" si="146"/>
        <v>68170.34169331762</v>
      </c>
      <c r="AE791" s="238">
        <f>MAX(I791/I793)</f>
        <v>3.1835868411743899E-2</v>
      </c>
      <c r="AF791" s="235">
        <f t="shared" si="147"/>
        <v>157776.17615847188</v>
      </c>
      <c r="AG791" s="238">
        <f>MAX(H791/H793)</f>
        <v>4.6704722366372603E-2</v>
      </c>
      <c r="AH791" s="235">
        <f t="shared" si="148"/>
        <v>157094.35781006748</v>
      </c>
    </row>
    <row r="792" spans="1:34" ht="15" customHeight="1" thickBot="1" x14ac:dyDescent="0.25">
      <c r="A792" s="1140" t="s">
        <v>392</v>
      </c>
      <c r="B792" s="1537">
        <v>4</v>
      </c>
      <c r="C792" s="1141">
        <v>0</v>
      </c>
      <c r="D792" s="1141">
        <v>0</v>
      </c>
      <c r="E792" s="1141">
        <v>0</v>
      </c>
      <c r="F792" s="1141">
        <v>0</v>
      </c>
      <c r="G792" s="1141">
        <v>0</v>
      </c>
      <c r="H792" s="1146">
        <v>4</v>
      </c>
      <c r="I792" s="1146">
        <v>4</v>
      </c>
      <c r="J792" s="1526">
        <v>20</v>
      </c>
      <c r="K792" s="1142">
        <v>5</v>
      </c>
      <c r="L792" s="1066" t="s">
        <v>988</v>
      </c>
      <c r="M792" s="959">
        <v>1800000</v>
      </c>
      <c r="N792" s="959">
        <v>4955925</v>
      </c>
      <c r="O792" s="1149">
        <v>3363564.75</v>
      </c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237">
        <f>MAX(J792/J793)</f>
        <v>1.6832183134152499E-2</v>
      </c>
      <c r="AD792" s="235">
        <f t="shared" si="146"/>
        <v>30297.929641474497</v>
      </c>
      <c r="AE792" s="238">
        <f>MAX(I792/I793)</f>
        <v>1.4149274849663955E-2</v>
      </c>
      <c r="AF792" s="235">
        <f t="shared" si="147"/>
        <v>70122.744959320844</v>
      </c>
      <c r="AG792" s="238">
        <f>MAX(H792/H793)</f>
        <v>2.0757654385054489E-2</v>
      </c>
      <c r="AH792" s="235">
        <f t="shared" si="148"/>
        <v>69819.7145822522</v>
      </c>
    </row>
    <row r="793" spans="1:34" ht="15" customHeight="1" thickBot="1" x14ac:dyDescent="0.25">
      <c r="A793" s="405" t="s">
        <v>942</v>
      </c>
      <c r="B793" s="1131">
        <v>239.7</v>
      </c>
      <c r="C793" s="1131">
        <v>45</v>
      </c>
      <c r="D793" s="1131">
        <v>0</v>
      </c>
      <c r="E793" s="1131">
        <v>0</v>
      </c>
      <c r="F793" s="1131">
        <v>2</v>
      </c>
      <c r="G793" s="1131">
        <v>45</v>
      </c>
      <c r="H793" s="1131">
        <v>192.7</v>
      </c>
      <c r="I793" s="1131">
        <v>282.7</v>
      </c>
      <c r="J793" s="1132">
        <v>1188.2</v>
      </c>
      <c r="K793" s="1132">
        <v>6.1660612350804369</v>
      </c>
      <c r="L793" s="1525" t="s">
        <v>988</v>
      </c>
      <c r="M793" s="1134">
        <v>1799999.9999999998</v>
      </c>
      <c r="N793" s="1134">
        <v>4955925.0000000009</v>
      </c>
      <c r="O793" s="506">
        <v>3363564.75</v>
      </c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1159">
        <f t="shared" ref="AC793:AH793" si="149">SUM(AC753:AC792)</f>
        <v>1</v>
      </c>
      <c r="AD793" s="1160">
        <f t="shared" si="149"/>
        <v>1799999.9999999998</v>
      </c>
      <c r="AE793" s="1161">
        <f t="shared" si="149"/>
        <v>1</v>
      </c>
      <c r="AF793" s="1160">
        <f t="shared" si="149"/>
        <v>4955925.0000000009</v>
      </c>
      <c r="AG793" s="1161">
        <f t="shared" si="149"/>
        <v>1</v>
      </c>
      <c r="AH793" s="1160">
        <f t="shared" si="149"/>
        <v>3363564.75</v>
      </c>
    </row>
    <row r="794" spans="1:34" x14ac:dyDescent="0.2">
      <c r="A794" s="7" t="s">
        <v>1934</v>
      </c>
      <c r="B794" s="224"/>
      <c r="C794" s="224"/>
      <c r="D794" s="224"/>
      <c r="E794" s="224"/>
      <c r="F794" s="224"/>
      <c r="G794" s="224"/>
      <c r="H794" s="224"/>
      <c r="I794" s="224"/>
      <c r="J794" s="224"/>
      <c r="K794" s="240"/>
      <c r="L794" s="241"/>
      <c r="M794" s="240"/>
      <c r="N794" s="240"/>
      <c r="O794" s="240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</row>
    <row r="795" spans="1:34" x14ac:dyDescent="0.2">
      <c r="A795" s="34"/>
      <c r="B795" s="224"/>
      <c r="C795" s="224"/>
      <c r="D795" s="224"/>
      <c r="E795" s="224"/>
      <c r="F795" s="224"/>
      <c r="G795" s="224"/>
      <c r="H795" s="224"/>
      <c r="I795" s="224"/>
      <c r="J795" s="224"/>
      <c r="K795" s="240"/>
      <c r="L795" s="241"/>
      <c r="M795" s="240"/>
      <c r="N795" s="240"/>
      <c r="O795" s="240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</row>
    <row r="796" spans="1:34" x14ac:dyDescent="0.2">
      <c r="A796" s="242"/>
      <c r="B796" s="224"/>
      <c r="C796" s="224"/>
      <c r="D796" s="224"/>
      <c r="E796" s="224"/>
      <c r="F796" s="224"/>
      <c r="G796" s="224"/>
      <c r="H796" s="224"/>
      <c r="I796" s="224"/>
      <c r="J796" s="224"/>
      <c r="K796" s="240"/>
      <c r="L796" s="241"/>
      <c r="M796" s="240"/>
      <c r="N796" s="240"/>
      <c r="O796" s="240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</row>
    <row r="797" spans="1:34" x14ac:dyDescent="0.2">
      <c r="A797" s="242"/>
      <c r="B797" s="224"/>
      <c r="C797" s="224"/>
      <c r="D797" s="224"/>
      <c r="E797" s="224"/>
      <c r="F797" s="224"/>
      <c r="G797" s="224"/>
      <c r="H797" s="224"/>
      <c r="I797" s="224"/>
      <c r="J797" s="224"/>
      <c r="K797" s="240"/>
      <c r="L797" s="241"/>
      <c r="M797" s="240"/>
      <c r="N797" s="240"/>
      <c r="O797" s="240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</row>
    <row r="798" spans="1:34" ht="15" x14ac:dyDescent="0.25">
      <c r="A798" s="2843" t="s">
        <v>1931</v>
      </c>
      <c r="B798" s="2843"/>
      <c r="C798" s="2843"/>
      <c r="D798" s="2843"/>
      <c r="E798" s="2843"/>
      <c r="F798" s="2843"/>
      <c r="G798" s="2843"/>
      <c r="H798" s="2843"/>
      <c r="I798" s="2843"/>
      <c r="J798" s="2843"/>
      <c r="K798" s="2843"/>
      <c r="L798" s="2843"/>
      <c r="M798" s="2843"/>
      <c r="N798" s="2843"/>
      <c r="O798" s="2843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</row>
    <row r="799" spans="1:34" ht="13.5" thickBot="1" x14ac:dyDescent="0.25">
      <c r="A799" s="8" t="s">
        <v>1828</v>
      </c>
      <c r="B799" s="225"/>
      <c r="C799" s="224"/>
      <c r="D799" s="224"/>
      <c r="E799" s="224"/>
      <c r="F799" s="224"/>
      <c r="G799" s="224"/>
      <c r="H799" s="224"/>
      <c r="I799" s="224"/>
      <c r="J799" s="224"/>
      <c r="K799" s="240"/>
      <c r="L799" s="241"/>
      <c r="M799" s="240"/>
      <c r="N799" s="240"/>
      <c r="O799" s="240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</row>
    <row r="800" spans="1:34" ht="15" customHeight="1" x14ac:dyDescent="0.2">
      <c r="A800" s="2844" t="s">
        <v>327</v>
      </c>
      <c r="B800" s="2847" t="s">
        <v>1932</v>
      </c>
      <c r="C800" s="2848"/>
      <c r="D800" s="2848"/>
      <c r="E800" s="2848"/>
      <c r="F800" s="2848"/>
      <c r="G800" s="2848"/>
      <c r="H800" s="2848"/>
      <c r="I800" s="2848"/>
      <c r="J800" s="2848"/>
      <c r="K800" s="2848"/>
      <c r="L800" s="2848"/>
      <c r="M800" s="2848"/>
      <c r="N800" s="2848"/>
      <c r="O800" s="284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228" t="s">
        <v>910</v>
      </c>
      <c r="AD800" s="229"/>
      <c r="AE800" s="229"/>
      <c r="AF800" s="229"/>
      <c r="AG800" s="229"/>
      <c r="AH800" s="243"/>
    </row>
    <row r="801" spans="1:34" ht="15" customHeight="1" x14ac:dyDescent="0.2">
      <c r="A801" s="2845"/>
      <c r="B801" s="2850" t="s">
        <v>191</v>
      </c>
      <c r="C801" s="2850"/>
      <c r="D801" s="2850"/>
      <c r="E801" s="2850"/>
      <c r="F801" s="2850"/>
      <c r="G801" s="2850"/>
      <c r="H801" s="2850"/>
      <c r="I801" s="2850"/>
      <c r="J801" s="2119"/>
      <c r="K801" s="2119" t="s">
        <v>904</v>
      </c>
      <c r="L801" s="2119"/>
      <c r="M801" s="1122" t="s">
        <v>437</v>
      </c>
      <c r="N801" s="1122" t="s">
        <v>911</v>
      </c>
      <c r="O801" s="1127" t="s">
        <v>911</v>
      </c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230" t="s">
        <v>333</v>
      </c>
      <c r="AD801" s="231" t="s">
        <v>333</v>
      </c>
      <c r="AE801" s="231" t="s">
        <v>333</v>
      </c>
      <c r="AF801" s="231" t="s">
        <v>333</v>
      </c>
      <c r="AG801" s="231" t="s">
        <v>333</v>
      </c>
      <c r="AH801" s="231" t="s">
        <v>333</v>
      </c>
    </row>
    <row r="802" spans="1:34" ht="15" customHeight="1" x14ac:dyDescent="0.2">
      <c r="A802" s="2845"/>
      <c r="B802" s="2119" t="s">
        <v>433</v>
      </c>
      <c r="C802" s="2119"/>
      <c r="D802" s="2841" t="s">
        <v>1865</v>
      </c>
      <c r="E802" s="2119"/>
      <c r="F802" s="2119"/>
      <c r="G802" s="2119" t="s">
        <v>912</v>
      </c>
      <c r="H802" s="2119"/>
      <c r="I802" s="2119" t="s">
        <v>433</v>
      </c>
      <c r="J802" s="2138" t="s">
        <v>913</v>
      </c>
      <c r="K802" s="2138" t="s">
        <v>842</v>
      </c>
      <c r="L802" s="2138" t="s">
        <v>329</v>
      </c>
      <c r="M802" s="1123" t="s">
        <v>914</v>
      </c>
      <c r="N802" s="1123" t="s">
        <v>915</v>
      </c>
      <c r="O802" s="1128" t="s">
        <v>914</v>
      </c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230" t="s">
        <v>913</v>
      </c>
      <c r="AD802" s="231" t="s">
        <v>916</v>
      </c>
      <c r="AE802" s="231" t="s">
        <v>917</v>
      </c>
      <c r="AF802" s="231" t="s">
        <v>918</v>
      </c>
      <c r="AG802" s="231" t="s">
        <v>192</v>
      </c>
      <c r="AH802" s="231" t="s">
        <v>918</v>
      </c>
    </row>
    <row r="803" spans="1:34" ht="15" customHeight="1" x14ac:dyDescent="0.2">
      <c r="A803" s="2845"/>
      <c r="B803" s="2138" t="s">
        <v>920</v>
      </c>
      <c r="C803" s="2138" t="s">
        <v>922</v>
      </c>
      <c r="D803" s="2842"/>
      <c r="E803" s="2138" t="s">
        <v>867</v>
      </c>
      <c r="F803" s="2138" t="s">
        <v>921</v>
      </c>
      <c r="G803" s="2138" t="s">
        <v>923</v>
      </c>
      <c r="H803" s="2138" t="s">
        <v>836</v>
      </c>
      <c r="I803" s="2138" t="s">
        <v>835</v>
      </c>
      <c r="J803" s="2138" t="s">
        <v>924</v>
      </c>
      <c r="K803" s="2138" t="s">
        <v>925</v>
      </c>
      <c r="L803" s="2138" t="s">
        <v>336</v>
      </c>
      <c r="M803" s="1123" t="s">
        <v>926</v>
      </c>
      <c r="N803" s="1123" t="s">
        <v>927</v>
      </c>
      <c r="O803" s="1128" t="s">
        <v>928</v>
      </c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230"/>
      <c r="AD803" s="231" t="s">
        <v>843</v>
      </c>
      <c r="AE803" s="231"/>
      <c r="AF803" s="231" t="s">
        <v>929</v>
      </c>
      <c r="AG803" s="231"/>
      <c r="AH803" s="231" t="s">
        <v>930</v>
      </c>
    </row>
    <row r="804" spans="1:34" ht="15" customHeight="1" thickBot="1" x14ac:dyDescent="0.25">
      <c r="A804" s="2846"/>
      <c r="B804" s="1881">
        <v>44926</v>
      </c>
      <c r="C804" s="2139">
        <v>2023</v>
      </c>
      <c r="D804" s="2139">
        <v>2023</v>
      </c>
      <c r="E804" s="2139">
        <v>2023</v>
      </c>
      <c r="F804" s="2139">
        <v>2023</v>
      </c>
      <c r="G804" s="2139" t="s">
        <v>931</v>
      </c>
      <c r="H804" s="1126">
        <v>2023</v>
      </c>
      <c r="I804" s="1881">
        <v>45291</v>
      </c>
      <c r="J804" s="1881" t="s">
        <v>1933</v>
      </c>
      <c r="K804" s="1881" t="s">
        <v>1933</v>
      </c>
      <c r="L804" s="2139" t="s">
        <v>441</v>
      </c>
      <c r="M804" s="1125" t="s">
        <v>932</v>
      </c>
      <c r="N804" s="1125" t="s">
        <v>933</v>
      </c>
      <c r="O804" s="1129" t="s">
        <v>933</v>
      </c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232"/>
      <c r="AD804" s="233" t="s">
        <v>934</v>
      </c>
      <c r="AE804" s="233"/>
      <c r="AF804" s="233" t="s">
        <v>935</v>
      </c>
      <c r="AG804" s="233"/>
      <c r="AH804" s="233" t="s">
        <v>936</v>
      </c>
    </row>
    <row r="805" spans="1:34" ht="15" customHeight="1" x14ac:dyDescent="0.2">
      <c r="A805" s="1135" t="s">
        <v>352</v>
      </c>
      <c r="B805" s="1130">
        <v>184.2</v>
      </c>
      <c r="C805" s="1130">
        <v>0</v>
      </c>
      <c r="D805" s="1130">
        <v>0</v>
      </c>
      <c r="E805" s="1130">
        <v>0</v>
      </c>
      <c r="F805" s="1130">
        <v>13</v>
      </c>
      <c r="G805" s="1130">
        <v>18</v>
      </c>
      <c r="H805" s="1130">
        <v>153.19999999999999</v>
      </c>
      <c r="I805" s="1130">
        <v>171.2</v>
      </c>
      <c r="J805" s="1136">
        <v>1300.8</v>
      </c>
      <c r="K805" s="1535">
        <v>8.4908616187989558</v>
      </c>
      <c r="L805" s="380"/>
      <c r="M805" s="1138"/>
      <c r="N805" s="1138"/>
      <c r="O805" s="113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1155"/>
      <c r="AD805" s="1156"/>
      <c r="AE805" s="1156"/>
      <c r="AF805" s="1156"/>
      <c r="AG805" s="1156"/>
      <c r="AH805" s="1156"/>
    </row>
    <row r="806" spans="1:34" ht="15" customHeight="1" x14ac:dyDescent="0.2">
      <c r="A806" s="962" t="s">
        <v>353</v>
      </c>
      <c r="B806" s="1498">
        <v>0</v>
      </c>
      <c r="C806" s="1146"/>
      <c r="D806" s="1146"/>
      <c r="E806" s="1146"/>
      <c r="F806" s="1146"/>
      <c r="G806" s="1146"/>
      <c r="H806" s="1146">
        <v>0</v>
      </c>
      <c r="I806" s="1146">
        <v>0</v>
      </c>
      <c r="J806" s="1147">
        <v>0</v>
      </c>
      <c r="K806" s="1147">
        <v>0</v>
      </c>
      <c r="L806" s="1148"/>
      <c r="M806" s="959"/>
      <c r="N806" s="959"/>
      <c r="O806" s="1149"/>
      <c r="P806" s="950"/>
      <c r="Q806" s="950"/>
      <c r="R806" s="950"/>
      <c r="S806" s="950"/>
      <c r="T806" s="950"/>
      <c r="U806" s="950"/>
      <c r="V806" s="950"/>
      <c r="W806" s="950"/>
      <c r="X806" s="950"/>
      <c r="Y806" s="950"/>
      <c r="Z806" s="9"/>
      <c r="AA806" s="9"/>
      <c r="AB806" s="9"/>
      <c r="AC806" s="237">
        <f>MAX(J806/J846)</f>
        <v>0</v>
      </c>
      <c r="AD806" s="235">
        <f t="shared" ref="AD806:AD820" si="150">MAX(M806*AC806)</f>
        <v>0</v>
      </c>
      <c r="AE806" s="238">
        <f>MAX(I806/I846)</f>
        <v>0</v>
      </c>
      <c r="AF806" s="235">
        <f t="shared" ref="AF806:AF820" si="151">MAX(N806*AE806)</f>
        <v>0</v>
      </c>
      <c r="AG806" s="238">
        <f>MAX(H806/H846)</f>
        <v>0</v>
      </c>
      <c r="AH806" s="235">
        <f t="shared" ref="AH806:AH820" si="152">MAX(O806*AG806)</f>
        <v>0</v>
      </c>
    </row>
    <row r="807" spans="1:34" ht="15" customHeight="1" x14ac:dyDescent="0.2">
      <c r="A807" s="962" t="s">
        <v>354</v>
      </c>
      <c r="B807" s="1498">
        <v>2.5</v>
      </c>
      <c r="C807" s="1146"/>
      <c r="D807" s="1146"/>
      <c r="E807" s="1146"/>
      <c r="F807" s="1146"/>
      <c r="G807" s="1146"/>
      <c r="H807" s="1146">
        <v>2.5</v>
      </c>
      <c r="I807" s="1146">
        <v>2.5</v>
      </c>
      <c r="J807" s="1147">
        <v>15</v>
      </c>
      <c r="K807" s="1147">
        <v>6</v>
      </c>
      <c r="L807" s="1066" t="s">
        <v>988</v>
      </c>
      <c r="M807" s="959">
        <v>2195000</v>
      </c>
      <c r="N807" s="1066" t="s">
        <v>616</v>
      </c>
      <c r="O807" s="1067" t="s">
        <v>616</v>
      </c>
      <c r="P807" s="950"/>
      <c r="Q807" s="950"/>
      <c r="R807" s="950"/>
      <c r="S807" s="950"/>
      <c r="T807" s="950"/>
      <c r="U807" s="950"/>
      <c r="V807" s="950"/>
      <c r="W807" s="950"/>
      <c r="X807" s="950"/>
      <c r="Y807" s="950"/>
      <c r="Z807" s="9"/>
      <c r="AA807" s="9"/>
      <c r="AB807" s="9"/>
      <c r="AC807" s="237">
        <f>MAX(J807/J846)</f>
        <v>1.0571867555643264E-2</v>
      </c>
      <c r="AD807" s="235">
        <f t="shared" si="150"/>
        <v>23205.249284636964</v>
      </c>
      <c r="AE807" s="238">
        <f>MAX(I807/I846)</f>
        <v>1.322821313297E-2</v>
      </c>
      <c r="AF807" s="235" t="e">
        <f t="shared" si="151"/>
        <v>#VALUE!</v>
      </c>
      <c r="AG807" s="238">
        <f>MAX(H807/H846)</f>
        <v>1.524483200195134E-2</v>
      </c>
      <c r="AH807" s="235" t="e">
        <f t="shared" si="152"/>
        <v>#VALUE!</v>
      </c>
    </row>
    <row r="808" spans="1:34" ht="15" customHeight="1" x14ac:dyDescent="0.2">
      <c r="A808" s="962" t="s">
        <v>355</v>
      </c>
      <c r="B808" s="1498">
        <v>16</v>
      </c>
      <c r="C808" s="1146"/>
      <c r="D808" s="1146"/>
      <c r="E808" s="1146"/>
      <c r="F808" s="1146"/>
      <c r="G808" s="1146">
        <v>7</v>
      </c>
      <c r="H808" s="1146">
        <v>9</v>
      </c>
      <c r="I808" s="1146">
        <v>16</v>
      </c>
      <c r="J808" s="1147">
        <v>54</v>
      </c>
      <c r="K808" s="1147">
        <v>6</v>
      </c>
      <c r="L808" s="1066" t="s">
        <v>988</v>
      </c>
      <c r="M808" s="959">
        <v>2195000</v>
      </c>
      <c r="N808" s="1066" t="s">
        <v>616</v>
      </c>
      <c r="O808" s="1067" t="s">
        <v>616</v>
      </c>
      <c r="P808" s="950"/>
      <c r="Q808" s="950"/>
      <c r="R808" s="950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237">
        <f>MAX(J808/J846)</f>
        <v>3.8058723200315746E-2</v>
      </c>
      <c r="AD808" s="235">
        <f t="shared" si="150"/>
        <v>83538.897424693059</v>
      </c>
      <c r="AE808" s="238">
        <f>MAX(I808/I846)</f>
        <v>8.4660564051007997E-2</v>
      </c>
      <c r="AF808" s="235" t="e">
        <f t="shared" si="151"/>
        <v>#VALUE!</v>
      </c>
      <c r="AG808" s="238">
        <f>MAX(H808/H846)</f>
        <v>5.4881395207024827E-2</v>
      </c>
      <c r="AH808" s="235" t="e">
        <f t="shared" si="152"/>
        <v>#VALUE!</v>
      </c>
    </row>
    <row r="809" spans="1:34" ht="15" customHeight="1" x14ac:dyDescent="0.2">
      <c r="A809" s="962" t="s">
        <v>356</v>
      </c>
      <c r="B809" s="1498">
        <v>0</v>
      </c>
      <c r="C809" s="1146"/>
      <c r="D809" s="1146"/>
      <c r="E809" s="1146"/>
      <c r="F809" s="1146"/>
      <c r="G809" s="1146"/>
      <c r="H809" s="1146">
        <v>0</v>
      </c>
      <c r="I809" s="1146">
        <v>0</v>
      </c>
      <c r="J809" s="1147">
        <v>0</v>
      </c>
      <c r="K809" s="1147">
        <v>0</v>
      </c>
      <c r="L809" s="1148"/>
      <c r="M809" s="959"/>
      <c r="N809" s="959"/>
      <c r="O809" s="1149"/>
      <c r="P809" s="950"/>
      <c r="Q809" s="950"/>
      <c r="R809" s="950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237">
        <f>MAX(J809/J846)</f>
        <v>0</v>
      </c>
      <c r="AD809" s="235">
        <f t="shared" si="150"/>
        <v>0</v>
      </c>
      <c r="AE809" s="238">
        <f>MAX(I809/I846)</f>
        <v>0</v>
      </c>
      <c r="AF809" s="235">
        <f t="shared" si="151"/>
        <v>0</v>
      </c>
      <c r="AG809" s="238">
        <f>MAX(H809/H846)</f>
        <v>0</v>
      </c>
      <c r="AH809" s="235">
        <f t="shared" si="152"/>
        <v>0</v>
      </c>
    </row>
    <row r="810" spans="1:34" ht="15" customHeight="1" x14ac:dyDescent="0.2">
      <c r="A810" s="962" t="s">
        <v>357</v>
      </c>
      <c r="B810" s="1498">
        <v>12</v>
      </c>
      <c r="C810" s="1146">
        <v>0</v>
      </c>
      <c r="D810" s="1146">
        <v>0</v>
      </c>
      <c r="E810" s="1146">
        <v>0</v>
      </c>
      <c r="F810" s="1146">
        <v>0</v>
      </c>
      <c r="G810" s="1146">
        <v>0</v>
      </c>
      <c r="H810" s="1146">
        <v>12</v>
      </c>
      <c r="I810" s="1146">
        <v>12</v>
      </c>
      <c r="J810" s="1147">
        <v>72</v>
      </c>
      <c r="K810" s="1147">
        <v>6</v>
      </c>
      <c r="L810" s="1066" t="s">
        <v>988</v>
      </c>
      <c r="M810" s="959">
        <v>2195000</v>
      </c>
      <c r="N810" s="1066" t="s">
        <v>616</v>
      </c>
      <c r="O810" s="1067" t="s">
        <v>616</v>
      </c>
      <c r="P810" s="950"/>
      <c r="Q810" s="950"/>
      <c r="R810" s="950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237">
        <f>MAX(J810/J846)</f>
        <v>5.0744964267087668E-2</v>
      </c>
      <c r="AD810" s="235">
        <f t="shared" si="150"/>
        <v>111385.19656625744</v>
      </c>
      <c r="AE810" s="238">
        <f>MAX(I810/I846)</f>
        <v>6.3495423038256005E-2</v>
      </c>
      <c r="AF810" s="235" t="e">
        <f t="shared" si="151"/>
        <v>#VALUE!</v>
      </c>
      <c r="AG810" s="238">
        <f>MAX(H810/H846)</f>
        <v>7.3175193609366432E-2</v>
      </c>
      <c r="AH810" s="235" t="e">
        <f t="shared" si="152"/>
        <v>#VALUE!</v>
      </c>
    </row>
    <row r="811" spans="1:34" ht="15" customHeight="1" x14ac:dyDescent="0.2">
      <c r="A811" s="962" t="s">
        <v>358</v>
      </c>
      <c r="B811" s="1498">
        <v>0</v>
      </c>
      <c r="C811" s="1146">
        <v>0</v>
      </c>
      <c r="D811" s="1146">
        <v>0</v>
      </c>
      <c r="E811" s="1146">
        <v>0</v>
      </c>
      <c r="F811" s="1146">
        <v>0</v>
      </c>
      <c r="G811" s="1146">
        <v>0</v>
      </c>
      <c r="H811" s="1146">
        <v>0</v>
      </c>
      <c r="I811" s="1146">
        <v>0</v>
      </c>
      <c r="J811" s="1147">
        <v>0</v>
      </c>
      <c r="K811" s="1147">
        <v>0</v>
      </c>
      <c r="L811" s="1148"/>
      <c r="M811" s="959"/>
      <c r="N811" s="959"/>
      <c r="O811" s="1149"/>
      <c r="P811" s="950"/>
      <c r="Q811" s="950"/>
      <c r="R811" s="950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237">
        <f>MAX(J811/J846)</f>
        <v>0</v>
      </c>
      <c r="AD811" s="235">
        <f t="shared" si="150"/>
        <v>0</v>
      </c>
      <c r="AE811" s="238">
        <f>MAX(I811/I846)</f>
        <v>0</v>
      </c>
      <c r="AF811" s="235">
        <f t="shared" si="151"/>
        <v>0</v>
      </c>
      <c r="AG811" s="238">
        <f>MAX(H811/H846)</f>
        <v>0</v>
      </c>
      <c r="AH811" s="235">
        <f t="shared" si="152"/>
        <v>0</v>
      </c>
    </row>
    <row r="812" spans="1:34" ht="15" customHeight="1" x14ac:dyDescent="0.2">
      <c r="A812" s="962" t="s">
        <v>937</v>
      </c>
      <c r="B812" s="1498">
        <v>1.5</v>
      </c>
      <c r="C812" s="1146">
        <v>0</v>
      </c>
      <c r="D812" s="1146">
        <v>0</v>
      </c>
      <c r="E812" s="1146">
        <v>0</v>
      </c>
      <c r="F812" s="1146">
        <v>0</v>
      </c>
      <c r="G812" s="1146">
        <v>0</v>
      </c>
      <c r="H812" s="1146">
        <v>1.5</v>
      </c>
      <c r="I812" s="1146">
        <v>1.5</v>
      </c>
      <c r="J812" s="1147">
        <v>9</v>
      </c>
      <c r="K812" s="1147">
        <v>6</v>
      </c>
      <c r="L812" s="1066" t="s">
        <v>988</v>
      </c>
      <c r="M812" s="959">
        <v>2195000</v>
      </c>
      <c r="N812" s="1066" t="s">
        <v>616</v>
      </c>
      <c r="O812" s="1067" t="s">
        <v>616</v>
      </c>
      <c r="P812" s="950"/>
      <c r="Q812" s="950"/>
      <c r="R812" s="950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237">
        <f>MAX(J812/J846)</f>
        <v>6.3431205333859585E-3</v>
      </c>
      <c r="AD812" s="235">
        <f t="shared" si="150"/>
        <v>13923.14957078218</v>
      </c>
      <c r="AE812" s="238">
        <f>MAX(I812/I846)</f>
        <v>7.9369278797820006E-3</v>
      </c>
      <c r="AF812" s="235" t="e">
        <f t="shared" si="151"/>
        <v>#VALUE!</v>
      </c>
      <c r="AG812" s="238">
        <f>MAX(H812/H846)</f>
        <v>9.146899201170804E-3</v>
      </c>
      <c r="AH812" s="235" t="e">
        <f t="shared" si="152"/>
        <v>#VALUE!</v>
      </c>
    </row>
    <row r="813" spans="1:34" ht="15" customHeight="1" x14ac:dyDescent="0.2">
      <c r="A813" s="962" t="s">
        <v>360</v>
      </c>
      <c r="B813" s="1498">
        <v>0</v>
      </c>
      <c r="C813" s="1146">
        <v>0</v>
      </c>
      <c r="D813" s="1146">
        <v>0</v>
      </c>
      <c r="E813" s="1146">
        <v>0</v>
      </c>
      <c r="F813" s="1146">
        <v>0</v>
      </c>
      <c r="G813" s="1146">
        <v>0</v>
      </c>
      <c r="H813" s="1146">
        <v>0</v>
      </c>
      <c r="I813" s="1146">
        <v>0</v>
      </c>
      <c r="J813" s="1147">
        <v>0</v>
      </c>
      <c r="K813" s="1147">
        <v>0</v>
      </c>
      <c r="L813" s="1148"/>
      <c r="M813" s="959"/>
      <c r="N813" s="959"/>
      <c r="O813" s="1149"/>
      <c r="P813" s="950"/>
      <c r="Q813" s="950"/>
      <c r="R813" s="950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237">
        <f>MAX(J813/J846)</f>
        <v>0</v>
      </c>
      <c r="AD813" s="235">
        <f t="shared" si="150"/>
        <v>0</v>
      </c>
      <c r="AE813" s="238">
        <f>MAX(I813/I846)</f>
        <v>0</v>
      </c>
      <c r="AF813" s="235">
        <f t="shared" si="151"/>
        <v>0</v>
      </c>
      <c r="AG813" s="238">
        <f>MAX(H813/H846)</f>
        <v>0</v>
      </c>
      <c r="AH813" s="235">
        <f t="shared" si="152"/>
        <v>0</v>
      </c>
    </row>
    <row r="814" spans="1:34" ht="15" customHeight="1" x14ac:dyDescent="0.2">
      <c r="A814" s="962" t="s">
        <v>938</v>
      </c>
      <c r="B814" s="1498">
        <v>0</v>
      </c>
      <c r="C814" s="1146">
        <v>0</v>
      </c>
      <c r="D814" s="1146">
        <v>0</v>
      </c>
      <c r="E814" s="1146">
        <v>0</v>
      </c>
      <c r="F814" s="1146">
        <v>0</v>
      </c>
      <c r="G814" s="1146">
        <v>0</v>
      </c>
      <c r="H814" s="1146">
        <v>0</v>
      </c>
      <c r="I814" s="1146">
        <v>0</v>
      </c>
      <c r="J814" s="1147">
        <v>0</v>
      </c>
      <c r="K814" s="1147">
        <v>0</v>
      </c>
      <c r="L814" s="1148"/>
      <c r="M814" s="959"/>
      <c r="N814" s="959"/>
      <c r="O814" s="1149"/>
      <c r="P814" s="950"/>
      <c r="Q814" s="950"/>
      <c r="R814" s="950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237">
        <f>MAX(J814/J846)</f>
        <v>0</v>
      </c>
      <c r="AD814" s="235">
        <f t="shared" si="150"/>
        <v>0</v>
      </c>
      <c r="AE814" s="238">
        <f>MAX(I814/I846)</f>
        <v>0</v>
      </c>
      <c r="AF814" s="235">
        <f t="shared" si="151"/>
        <v>0</v>
      </c>
      <c r="AG814" s="238">
        <f>MAX(H814/H846)</f>
        <v>0</v>
      </c>
      <c r="AH814" s="235">
        <f t="shared" si="152"/>
        <v>0</v>
      </c>
    </row>
    <row r="815" spans="1:34" ht="15" customHeight="1" x14ac:dyDescent="0.2">
      <c r="A815" s="962" t="s">
        <v>362</v>
      </c>
      <c r="B815" s="1498">
        <v>138.19999999999999</v>
      </c>
      <c r="C815" s="1146">
        <v>0</v>
      </c>
      <c r="D815" s="1146">
        <v>0</v>
      </c>
      <c r="E815" s="1146">
        <v>0</v>
      </c>
      <c r="F815" s="1146">
        <v>10</v>
      </c>
      <c r="G815" s="1146">
        <v>3</v>
      </c>
      <c r="H815" s="1146">
        <v>125.19999999999999</v>
      </c>
      <c r="I815" s="1146">
        <v>128.19999999999999</v>
      </c>
      <c r="J815" s="1147">
        <v>1126.8</v>
      </c>
      <c r="K815" s="1147">
        <v>9</v>
      </c>
      <c r="L815" s="1066" t="s">
        <v>988</v>
      </c>
      <c r="M815" s="959">
        <v>2195000</v>
      </c>
      <c r="N815" s="1066" t="s">
        <v>616</v>
      </c>
      <c r="O815" s="1067" t="s">
        <v>616</v>
      </c>
      <c r="P815" s="950"/>
      <c r="Q815" s="950"/>
      <c r="R815" s="950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237">
        <f>MAX(J815/J846)</f>
        <v>0.79415869077992196</v>
      </c>
      <c r="AD815" s="235">
        <f t="shared" si="150"/>
        <v>1743178.3262619288</v>
      </c>
      <c r="AE815" s="238">
        <f>MAX(I815/I846)</f>
        <v>0.67834276945870153</v>
      </c>
      <c r="AF815" s="235" t="e">
        <f t="shared" si="151"/>
        <v>#VALUE!</v>
      </c>
      <c r="AG815" s="238">
        <f>MAX(H815/H846)</f>
        <v>0.763461186657723</v>
      </c>
      <c r="AH815" s="235" t="e">
        <f t="shared" si="152"/>
        <v>#VALUE!</v>
      </c>
    </row>
    <row r="816" spans="1:34" ht="15" customHeight="1" x14ac:dyDescent="0.2">
      <c r="A816" s="962" t="s">
        <v>363</v>
      </c>
      <c r="B816" s="1498">
        <v>0</v>
      </c>
      <c r="C816" s="1146">
        <v>0</v>
      </c>
      <c r="D816" s="1146">
        <v>0</v>
      </c>
      <c r="E816" s="1146">
        <v>0</v>
      </c>
      <c r="F816" s="1146">
        <v>0</v>
      </c>
      <c r="G816" s="1146">
        <v>0</v>
      </c>
      <c r="H816" s="1146">
        <v>0</v>
      </c>
      <c r="I816" s="1146">
        <v>0</v>
      </c>
      <c r="J816" s="1147">
        <v>0</v>
      </c>
      <c r="K816" s="1147">
        <v>0</v>
      </c>
      <c r="L816" s="1148"/>
      <c r="M816" s="959"/>
      <c r="N816" s="959"/>
      <c r="O816" s="1149"/>
      <c r="P816" s="950"/>
      <c r="Q816" s="950"/>
      <c r="R816" s="950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237">
        <f>MAX(J816/J846)</f>
        <v>0</v>
      </c>
      <c r="AD816" s="235">
        <f t="shared" si="150"/>
        <v>0</v>
      </c>
      <c r="AE816" s="238">
        <f>MAX(I816/I846)</f>
        <v>0</v>
      </c>
      <c r="AF816" s="235">
        <f t="shared" si="151"/>
        <v>0</v>
      </c>
      <c r="AG816" s="238">
        <f>MAX(H816/H846)</f>
        <v>0</v>
      </c>
      <c r="AH816" s="235">
        <f t="shared" si="152"/>
        <v>0</v>
      </c>
    </row>
    <row r="817" spans="1:34" ht="15" customHeight="1" x14ac:dyDescent="0.2">
      <c r="A817" s="962" t="s">
        <v>939</v>
      </c>
      <c r="B817" s="1498">
        <v>10</v>
      </c>
      <c r="C817" s="1146">
        <v>0</v>
      </c>
      <c r="D817" s="1146">
        <v>0</v>
      </c>
      <c r="E817" s="1146">
        <v>0</v>
      </c>
      <c r="F817" s="1146">
        <v>3</v>
      </c>
      <c r="G817" s="1146">
        <v>7</v>
      </c>
      <c r="H817" s="1146">
        <v>0</v>
      </c>
      <c r="I817" s="1146">
        <v>7</v>
      </c>
      <c r="J817" s="1147">
        <v>0</v>
      </c>
      <c r="K817" s="1147">
        <v>7</v>
      </c>
      <c r="L817" s="1066" t="s">
        <v>988</v>
      </c>
      <c r="M817" s="959">
        <v>2195000</v>
      </c>
      <c r="N817" s="1066" t="s">
        <v>616</v>
      </c>
      <c r="O817" s="1067" t="s">
        <v>616</v>
      </c>
      <c r="P817" s="950"/>
      <c r="Q817" s="950"/>
      <c r="R817" s="950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237">
        <f>MAX(J817/J846)</f>
        <v>0</v>
      </c>
      <c r="AD817" s="235">
        <f t="shared" si="150"/>
        <v>0</v>
      </c>
      <c r="AE817" s="238">
        <f>MAX(I817/I846)</f>
        <v>3.7038996772316E-2</v>
      </c>
      <c r="AF817" s="235" t="e">
        <f t="shared" si="151"/>
        <v>#VALUE!</v>
      </c>
      <c r="AG817" s="238">
        <f>MAX(H817/H846)</f>
        <v>0</v>
      </c>
      <c r="AH817" s="235" t="e">
        <f t="shared" si="152"/>
        <v>#VALUE!</v>
      </c>
    </row>
    <row r="818" spans="1:34" ht="15" customHeight="1" x14ac:dyDescent="0.2">
      <c r="A818" s="962" t="s">
        <v>365</v>
      </c>
      <c r="B818" s="1498">
        <v>0</v>
      </c>
      <c r="C818" s="1146"/>
      <c r="D818" s="1146"/>
      <c r="E818" s="1146"/>
      <c r="F818" s="1146"/>
      <c r="G818" s="1146"/>
      <c r="H818" s="1146">
        <v>0</v>
      </c>
      <c r="I818" s="1146">
        <v>0</v>
      </c>
      <c r="J818" s="1147">
        <v>0</v>
      </c>
      <c r="K818" s="1147">
        <v>0</v>
      </c>
      <c r="L818" s="1148"/>
      <c r="M818" s="959"/>
      <c r="N818" s="959"/>
      <c r="O818" s="1149"/>
      <c r="P818" s="950"/>
      <c r="Q818" s="950"/>
      <c r="R818" s="950"/>
      <c r="S818" s="9"/>
      <c r="T818" s="9"/>
      <c r="U818" s="9"/>
      <c r="V818" s="9"/>
      <c r="W818" s="9"/>
      <c r="X818" s="9"/>
      <c r="Y818" s="9"/>
      <c r="Z818" s="9"/>
      <c r="AA818" s="9"/>
      <c r="AB818" s="1966"/>
      <c r="AC818" s="237">
        <f>MAX(J818/J846)</f>
        <v>0</v>
      </c>
      <c r="AD818" s="235">
        <f t="shared" si="150"/>
        <v>0</v>
      </c>
      <c r="AE818" s="238">
        <f>MAX(I818/I846)</f>
        <v>0</v>
      </c>
      <c r="AF818" s="235">
        <f t="shared" si="151"/>
        <v>0</v>
      </c>
      <c r="AG818" s="238">
        <f>MAX(H818/H846)</f>
        <v>0</v>
      </c>
      <c r="AH818" s="235">
        <f t="shared" si="152"/>
        <v>0</v>
      </c>
    </row>
    <row r="819" spans="1:34" ht="15" customHeight="1" x14ac:dyDescent="0.2">
      <c r="A819" s="962" t="s">
        <v>366</v>
      </c>
      <c r="B819" s="1498">
        <v>4</v>
      </c>
      <c r="C819" s="1146">
        <v>0</v>
      </c>
      <c r="D819" s="1146">
        <v>0</v>
      </c>
      <c r="E819" s="1146">
        <v>0</v>
      </c>
      <c r="F819" s="1146">
        <v>0</v>
      </c>
      <c r="G819" s="1146">
        <v>1</v>
      </c>
      <c r="H819" s="1146">
        <v>3</v>
      </c>
      <c r="I819" s="1146">
        <v>4</v>
      </c>
      <c r="J819" s="1147">
        <v>24</v>
      </c>
      <c r="K819" s="1147">
        <v>8</v>
      </c>
      <c r="L819" s="1066" t="s">
        <v>988</v>
      </c>
      <c r="M819" s="959">
        <v>2195000</v>
      </c>
      <c r="N819" s="1066" t="s">
        <v>616</v>
      </c>
      <c r="O819" s="1067" t="s">
        <v>616</v>
      </c>
      <c r="P819" s="950"/>
      <c r="Q819" s="950"/>
      <c r="R819" s="950"/>
      <c r="S819" s="9"/>
      <c r="T819" s="9"/>
      <c r="U819" s="9"/>
      <c r="V819" s="9"/>
      <c r="W819" s="9"/>
      <c r="X819" s="9"/>
      <c r="Y819" s="9"/>
      <c r="Z819" s="9"/>
      <c r="AA819" s="9"/>
      <c r="AB819" s="1966"/>
      <c r="AC819" s="237">
        <f>MAX(J819/J846)</f>
        <v>1.691498808902922E-2</v>
      </c>
      <c r="AD819" s="235">
        <f t="shared" si="150"/>
        <v>37128.398855419138</v>
      </c>
      <c r="AE819" s="238">
        <f>MAX(I819/I846)</f>
        <v>2.1165141012751999E-2</v>
      </c>
      <c r="AF819" s="235" t="e">
        <f t="shared" si="151"/>
        <v>#VALUE!</v>
      </c>
      <c r="AG819" s="238">
        <f>MAX(H819/H846)</f>
        <v>1.8293798402341608E-2</v>
      </c>
      <c r="AH819" s="235" t="e">
        <f t="shared" si="152"/>
        <v>#VALUE!</v>
      </c>
    </row>
    <row r="820" spans="1:34" ht="15" customHeight="1" x14ac:dyDescent="0.2">
      <c r="A820" s="962" t="s">
        <v>367</v>
      </c>
      <c r="B820" s="1498">
        <v>0</v>
      </c>
      <c r="C820" s="1146"/>
      <c r="D820" s="1146"/>
      <c r="E820" s="1146"/>
      <c r="F820" s="1146"/>
      <c r="G820" s="1146"/>
      <c r="H820" s="1146">
        <v>0</v>
      </c>
      <c r="I820" s="1146">
        <v>0</v>
      </c>
      <c r="J820" s="1147">
        <v>0</v>
      </c>
      <c r="K820" s="1147">
        <v>0</v>
      </c>
      <c r="L820" s="1148"/>
      <c r="M820" s="959"/>
      <c r="N820" s="959"/>
      <c r="O820" s="1149"/>
      <c r="P820" s="950"/>
      <c r="Q820" s="950"/>
      <c r="R820" s="950"/>
      <c r="S820" s="9"/>
      <c r="T820" s="9"/>
      <c r="U820" s="9"/>
      <c r="V820" s="9"/>
      <c r="W820" s="9"/>
      <c r="X820" s="9"/>
      <c r="Y820" s="9"/>
      <c r="Z820" s="9"/>
      <c r="AA820" s="9"/>
      <c r="AB820" s="1966"/>
      <c r="AC820" s="237">
        <f>MAX(J820/J846)</f>
        <v>0</v>
      </c>
      <c r="AD820" s="235">
        <f t="shared" si="150"/>
        <v>0</v>
      </c>
      <c r="AE820" s="238">
        <f>MAX(I820/I846)</f>
        <v>0</v>
      </c>
      <c r="AF820" s="235">
        <f t="shared" si="151"/>
        <v>0</v>
      </c>
      <c r="AG820" s="238">
        <f>MAX(H820/H846)</f>
        <v>0</v>
      </c>
      <c r="AH820" s="235">
        <f t="shared" si="152"/>
        <v>0</v>
      </c>
    </row>
    <row r="821" spans="1:34" ht="15" customHeight="1" x14ac:dyDescent="0.2">
      <c r="A821" s="434" t="s">
        <v>940</v>
      </c>
      <c r="B821" s="1002">
        <v>8</v>
      </c>
      <c r="C821" s="1002">
        <v>2</v>
      </c>
      <c r="D821" s="1002">
        <v>0</v>
      </c>
      <c r="E821" s="1002">
        <v>0</v>
      </c>
      <c r="F821" s="1002">
        <v>0</v>
      </c>
      <c r="G821" s="1002">
        <v>4</v>
      </c>
      <c r="H821" s="1002">
        <v>4</v>
      </c>
      <c r="I821" s="1002">
        <v>10</v>
      </c>
      <c r="J821" s="1150">
        <v>32</v>
      </c>
      <c r="K821" s="1150">
        <v>8</v>
      </c>
      <c r="L821" s="1152"/>
      <c r="M821" s="996"/>
      <c r="N821" s="996"/>
      <c r="O821" s="1153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1966"/>
      <c r="AC821" s="1157"/>
      <c r="AD821" s="1156"/>
      <c r="AE821" s="1158"/>
      <c r="AF821" s="1156"/>
      <c r="AG821" s="1158"/>
      <c r="AH821" s="1156"/>
    </row>
    <row r="822" spans="1:34" ht="15" customHeight="1" x14ac:dyDescent="0.2">
      <c r="A822" s="962" t="s">
        <v>369</v>
      </c>
      <c r="B822" s="1498">
        <v>8</v>
      </c>
      <c r="C822" s="1146">
        <v>2</v>
      </c>
      <c r="D822" s="1146">
        <v>0</v>
      </c>
      <c r="E822" s="1146">
        <v>0</v>
      </c>
      <c r="F822" s="1146">
        <v>0</v>
      </c>
      <c r="G822" s="1146">
        <v>4</v>
      </c>
      <c r="H822" s="1146">
        <v>4</v>
      </c>
      <c r="I822" s="1146">
        <v>10</v>
      </c>
      <c r="J822" s="1147">
        <v>32</v>
      </c>
      <c r="K822" s="1147">
        <v>8</v>
      </c>
      <c r="L822" s="1066" t="s">
        <v>988</v>
      </c>
      <c r="M822" s="959">
        <v>2195000</v>
      </c>
      <c r="N822" s="1066" t="s">
        <v>616</v>
      </c>
      <c r="O822" s="1067" t="s">
        <v>616</v>
      </c>
      <c r="P822" s="950"/>
      <c r="Q822" s="950"/>
      <c r="R822" s="950"/>
      <c r="S822" s="9"/>
      <c r="T822" s="9"/>
      <c r="U822" s="9"/>
      <c r="V822" s="9"/>
      <c r="W822" s="9"/>
      <c r="X822" s="9"/>
      <c r="Y822" s="9"/>
      <c r="Z822" s="9"/>
      <c r="AA822" s="9"/>
      <c r="AB822" s="1966"/>
      <c r="AC822" s="237">
        <f>MAX(J822/J846)</f>
        <v>2.2553317452038962E-2</v>
      </c>
      <c r="AD822" s="235">
        <f>MAX(M822*AC822)</f>
        <v>49504.531807225518</v>
      </c>
      <c r="AE822" s="238">
        <f>MAX(I822/I846)</f>
        <v>5.2912852531880002E-2</v>
      </c>
      <c r="AF822" s="235" t="e">
        <f>MAX(N822*AE822)</f>
        <v>#VALUE!</v>
      </c>
      <c r="AG822" s="238">
        <f>MAX(H822/H846)</f>
        <v>2.4391731203122144E-2</v>
      </c>
      <c r="AH822" s="235" t="e">
        <f>MAX(O822*AG822)</f>
        <v>#VALUE!</v>
      </c>
    </row>
    <row r="823" spans="1:34" ht="15" customHeight="1" x14ac:dyDescent="0.2">
      <c r="A823" s="962" t="s">
        <v>370</v>
      </c>
      <c r="B823" s="1498">
        <v>0</v>
      </c>
      <c r="C823" s="1146">
        <v>0</v>
      </c>
      <c r="D823" s="1146">
        <v>0</v>
      </c>
      <c r="E823" s="1146">
        <v>0</v>
      </c>
      <c r="F823" s="1146">
        <v>0</v>
      </c>
      <c r="G823" s="1146">
        <v>0</v>
      </c>
      <c r="H823" s="1146">
        <v>0</v>
      </c>
      <c r="I823" s="1146">
        <v>0</v>
      </c>
      <c r="J823" s="1147">
        <v>0</v>
      </c>
      <c r="K823" s="1147">
        <v>0</v>
      </c>
      <c r="L823" s="1148"/>
      <c r="M823" s="959"/>
      <c r="N823" s="959"/>
      <c r="O823" s="1149"/>
      <c r="P823" s="950"/>
      <c r="Q823" s="950"/>
      <c r="R823" s="950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237">
        <f>MAX(J823/J846)</f>
        <v>0</v>
      </c>
      <c r="AD823" s="235">
        <f>MAX(M823*AC823)</f>
        <v>0</v>
      </c>
      <c r="AE823" s="238">
        <f>MAX(I823/I846)</f>
        <v>0</v>
      </c>
      <c r="AF823" s="235">
        <f>MAX(N823*AE823)</f>
        <v>0</v>
      </c>
      <c r="AG823" s="238">
        <f>MAX(H823/H846)</f>
        <v>0</v>
      </c>
      <c r="AH823" s="235">
        <f>MAX(O823*AG823)</f>
        <v>0</v>
      </c>
    </row>
    <row r="824" spans="1:34" ht="15" customHeight="1" x14ac:dyDescent="0.2">
      <c r="A824" s="962" t="s">
        <v>371</v>
      </c>
      <c r="B824" s="1498">
        <v>0</v>
      </c>
      <c r="C824" s="1146">
        <v>0</v>
      </c>
      <c r="D824" s="1146">
        <v>0</v>
      </c>
      <c r="E824" s="1146">
        <v>0</v>
      </c>
      <c r="F824" s="1146">
        <v>0</v>
      </c>
      <c r="G824" s="1146">
        <v>0</v>
      </c>
      <c r="H824" s="1146">
        <v>0</v>
      </c>
      <c r="I824" s="1146">
        <v>0</v>
      </c>
      <c r="J824" s="1147">
        <v>0</v>
      </c>
      <c r="K824" s="1147">
        <v>0</v>
      </c>
      <c r="L824" s="1148"/>
      <c r="M824" s="959"/>
      <c r="N824" s="959"/>
      <c r="O824" s="1149"/>
      <c r="P824" s="950"/>
      <c r="Q824" s="950"/>
      <c r="R824" s="950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237">
        <f>MAX(J824/J846)</f>
        <v>0</v>
      </c>
      <c r="AD824" s="235">
        <f>MAX(M824*AC824)</f>
        <v>0</v>
      </c>
      <c r="AE824" s="238">
        <f>MAX(I824/I846)</f>
        <v>0</v>
      </c>
      <c r="AF824" s="235">
        <f>MAX(N824*AE824)</f>
        <v>0</v>
      </c>
      <c r="AG824" s="238">
        <f>MAX(H824/H846)</f>
        <v>0</v>
      </c>
      <c r="AH824" s="235">
        <f>MAX(O824*AG824)</f>
        <v>0</v>
      </c>
    </row>
    <row r="825" spans="1:34" ht="15" customHeight="1" x14ac:dyDescent="0.2">
      <c r="A825" s="962" t="s">
        <v>372</v>
      </c>
      <c r="B825" s="1498">
        <v>0</v>
      </c>
      <c r="C825" s="1146">
        <v>0</v>
      </c>
      <c r="D825" s="1146">
        <v>0</v>
      </c>
      <c r="E825" s="1146">
        <v>0</v>
      </c>
      <c r="F825" s="1146">
        <v>0</v>
      </c>
      <c r="G825" s="1146">
        <v>0</v>
      </c>
      <c r="H825" s="1146">
        <v>0</v>
      </c>
      <c r="I825" s="1146">
        <v>0</v>
      </c>
      <c r="J825" s="1147">
        <v>0</v>
      </c>
      <c r="K825" s="1147">
        <v>0</v>
      </c>
      <c r="L825" s="1148"/>
      <c r="M825" s="959"/>
      <c r="N825" s="959"/>
      <c r="O825" s="1149"/>
      <c r="P825" s="950"/>
      <c r="Q825" s="950"/>
      <c r="R825" s="950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237">
        <f>MAX(J825/J846)</f>
        <v>0</v>
      </c>
      <c r="AD825" s="235">
        <f>MAX(M825*AC825)</f>
        <v>0</v>
      </c>
      <c r="AE825" s="238">
        <f>MAX(I825/I846)</f>
        <v>0</v>
      </c>
      <c r="AF825" s="235">
        <f>MAX(N825*AE825)</f>
        <v>0</v>
      </c>
      <c r="AG825" s="238">
        <f>MAX(H825/H846)</f>
        <v>0</v>
      </c>
      <c r="AH825" s="235">
        <f>MAX(O825*AG825)</f>
        <v>0</v>
      </c>
    </row>
    <row r="826" spans="1:34" ht="15" customHeight="1" x14ac:dyDescent="0.2">
      <c r="A826" s="962" t="s">
        <v>373</v>
      </c>
      <c r="B826" s="1498">
        <v>0</v>
      </c>
      <c r="C826" s="1146">
        <v>0</v>
      </c>
      <c r="D826" s="1146">
        <v>0</v>
      </c>
      <c r="E826" s="1146">
        <v>0</v>
      </c>
      <c r="F826" s="1146">
        <v>0</v>
      </c>
      <c r="G826" s="1146">
        <v>0</v>
      </c>
      <c r="H826" s="1146">
        <v>0</v>
      </c>
      <c r="I826" s="1146">
        <v>0</v>
      </c>
      <c r="J826" s="1147">
        <v>0</v>
      </c>
      <c r="K826" s="1147">
        <v>0</v>
      </c>
      <c r="L826" s="1148"/>
      <c r="M826" s="959"/>
      <c r="N826" s="959"/>
      <c r="O826" s="1149"/>
      <c r="P826" s="950"/>
      <c r="Q826" s="950"/>
      <c r="R826" s="950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237">
        <f>MAX(J826/J846)</f>
        <v>0</v>
      </c>
      <c r="AD826" s="235">
        <f>MAX(M826*AC826)</f>
        <v>0</v>
      </c>
      <c r="AE826" s="238">
        <f>MAX(I826/I846)</f>
        <v>0</v>
      </c>
      <c r="AF826" s="235">
        <f>MAX(N826*AE826)</f>
        <v>0</v>
      </c>
      <c r="AG826" s="238">
        <f>MAX(H826/H846)</f>
        <v>0</v>
      </c>
      <c r="AH826" s="235">
        <f>MAX(O826*AG826)</f>
        <v>0</v>
      </c>
    </row>
    <row r="827" spans="1:34" ht="15" customHeight="1" x14ac:dyDescent="0.2">
      <c r="A827" s="1154" t="s">
        <v>374</v>
      </c>
      <c r="B827" s="1002">
        <v>6.29</v>
      </c>
      <c r="C827" s="1002">
        <v>0</v>
      </c>
      <c r="D827" s="1002">
        <v>0</v>
      </c>
      <c r="E827" s="1002">
        <v>0</v>
      </c>
      <c r="F827" s="1002">
        <v>0</v>
      </c>
      <c r="G827" s="1002">
        <v>1</v>
      </c>
      <c r="H827" s="1002">
        <v>5.29</v>
      </c>
      <c r="I827" s="1002">
        <v>6.29</v>
      </c>
      <c r="J827" s="1150">
        <v>77.06</v>
      </c>
      <c r="K827" s="1150">
        <v>14.567107750472591</v>
      </c>
      <c r="L827" s="1152"/>
      <c r="M827" s="996"/>
      <c r="N827" s="996"/>
      <c r="O827" s="1153"/>
      <c r="P827" s="9"/>
      <c r="Q827" s="2005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1157"/>
      <c r="AD827" s="1156"/>
      <c r="AE827" s="1158"/>
      <c r="AF827" s="1156"/>
      <c r="AG827" s="1158"/>
      <c r="AH827" s="1156"/>
    </row>
    <row r="828" spans="1:34" ht="15" customHeight="1" x14ac:dyDescent="0.2">
      <c r="A828" s="962" t="s">
        <v>375</v>
      </c>
      <c r="B828" s="1498">
        <v>4</v>
      </c>
      <c r="C828" s="1146">
        <v>0</v>
      </c>
      <c r="D828" s="1146">
        <v>0</v>
      </c>
      <c r="E828" s="1146">
        <v>0</v>
      </c>
      <c r="F828" s="1146">
        <v>0</v>
      </c>
      <c r="G828" s="1146">
        <v>1</v>
      </c>
      <c r="H828" s="1146">
        <v>3</v>
      </c>
      <c r="I828" s="1146">
        <v>4</v>
      </c>
      <c r="J828" s="1147">
        <v>45</v>
      </c>
      <c r="K828" s="1147">
        <v>15</v>
      </c>
      <c r="L828" s="1066" t="s">
        <v>988</v>
      </c>
      <c r="M828" s="959">
        <v>2195000</v>
      </c>
      <c r="N828" s="1066" t="s">
        <v>616</v>
      </c>
      <c r="O828" s="1067" t="s">
        <v>616</v>
      </c>
      <c r="P828" s="950"/>
      <c r="Q828" s="950"/>
      <c r="R828" s="950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237">
        <f>MAX(J828/J846)</f>
        <v>3.1715602666929792E-2</v>
      </c>
      <c r="AD828" s="235">
        <f t="shared" ref="AD828:AD835" si="153">MAX(M828*AC828)</f>
        <v>69615.7478539109</v>
      </c>
      <c r="AE828" s="238">
        <f>MAX(I828/I846)</f>
        <v>2.1165141012751999E-2</v>
      </c>
      <c r="AF828" s="235" t="e">
        <f t="shared" ref="AF828:AF835" si="154">MAX(N828*AE828)</f>
        <v>#VALUE!</v>
      </c>
      <c r="AG828" s="238">
        <f>MAX(H828/H846)</f>
        <v>1.8293798402341608E-2</v>
      </c>
      <c r="AH828" s="235" t="e">
        <f t="shared" ref="AH828:AH835" si="155">MAX(O828*AG828)</f>
        <v>#VALUE!</v>
      </c>
    </row>
    <row r="829" spans="1:34" ht="15" customHeight="1" x14ac:dyDescent="0.2">
      <c r="A829" s="962" t="s">
        <v>376</v>
      </c>
      <c r="B829" s="1498">
        <v>2.29</v>
      </c>
      <c r="C829" s="1146">
        <v>0</v>
      </c>
      <c r="D829" s="1146">
        <v>0</v>
      </c>
      <c r="E829" s="1146">
        <v>0</v>
      </c>
      <c r="F829" s="1146">
        <v>0</v>
      </c>
      <c r="G829" s="1146">
        <v>0</v>
      </c>
      <c r="H829" s="1146">
        <v>2.29</v>
      </c>
      <c r="I829" s="1146">
        <v>2.29</v>
      </c>
      <c r="J829" s="1147">
        <v>32.06</v>
      </c>
      <c r="K829" s="1147">
        <v>14</v>
      </c>
      <c r="L829" s="1066" t="s">
        <v>988</v>
      </c>
      <c r="M829" s="959">
        <v>2195000</v>
      </c>
      <c r="N829" s="1066" t="s">
        <v>616</v>
      </c>
      <c r="O829" s="1067" t="s">
        <v>616</v>
      </c>
      <c r="P829" s="950"/>
      <c r="Q829" s="950"/>
      <c r="R829" s="950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237">
        <f>MAX(J829/J846)</f>
        <v>2.2595604922261536E-2</v>
      </c>
      <c r="AD829" s="235">
        <f t="shared" si="153"/>
        <v>49597.352804364069</v>
      </c>
      <c r="AE829" s="238">
        <f>MAX(I829/I846)</f>
        <v>1.211704322980052E-2</v>
      </c>
      <c r="AF829" s="235" t="e">
        <f t="shared" si="154"/>
        <v>#VALUE!</v>
      </c>
      <c r="AG829" s="238">
        <f>MAX(H829/H846)</f>
        <v>1.3964266113787429E-2</v>
      </c>
      <c r="AH829" s="235" t="e">
        <f t="shared" si="155"/>
        <v>#VALUE!</v>
      </c>
    </row>
    <row r="830" spans="1:34" ht="15" customHeight="1" x14ac:dyDescent="0.2">
      <c r="A830" s="962" t="s">
        <v>377</v>
      </c>
      <c r="B830" s="1498">
        <v>0</v>
      </c>
      <c r="C830" s="1146"/>
      <c r="D830" s="1146"/>
      <c r="E830" s="1146"/>
      <c r="F830" s="1146"/>
      <c r="G830" s="1146">
        <v>0</v>
      </c>
      <c r="H830" s="1146">
        <v>0</v>
      </c>
      <c r="I830" s="1146">
        <v>0</v>
      </c>
      <c r="J830" s="1147">
        <v>0</v>
      </c>
      <c r="K830" s="1147">
        <v>0</v>
      </c>
      <c r="L830" s="1148"/>
      <c r="M830" s="959"/>
      <c r="N830" s="959"/>
      <c r="O830" s="1149"/>
      <c r="P830" s="950"/>
      <c r="Q830" s="950"/>
      <c r="R830" s="950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237">
        <f>MAX(J830/J846)</f>
        <v>0</v>
      </c>
      <c r="AD830" s="235">
        <f t="shared" si="153"/>
        <v>0</v>
      </c>
      <c r="AE830" s="238">
        <f>MAX(I830/I846)</f>
        <v>0</v>
      </c>
      <c r="AF830" s="235">
        <f t="shared" si="154"/>
        <v>0</v>
      </c>
      <c r="AG830" s="238">
        <f>MAX(H830/H846)</f>
        <v>0</v>
      </c>
      <c r="AH830" s="235">
        <f t="shared" si="155"/>
        <v>0</v>
      </c>
    </row>
    <row r="831" spans="1:34" ht="15" customHeight="1" x14ac:dyDescent="0.2">
      <c r="A831" s="962" t="s">
        <v>378</v>
      </c>
      <c r="B831" s="1498">
        <v>0</v>
      </c>
      <c r="C831" s="1146">
        <v>0</v>
      </c>
      <c r="D831" s="1146">
        <v>0</v>
      </c>
      <c r="E831" s="1146">
        <v>0</v>
      </c>
      <c r="F831" s="1146">
        <v>0</v>
      </c>
      <c r="G831" s="1146">
        <v>0</v>
      </c>
      <c r="H831" s="1146">
        <v>0</v>
      </c>
      <c r="I831" s="1146">
        <v>0</v>
      </c>
      <c r="J831" s="1147">
        <v>0</v>
      </c>
      <c r="K831" s="1147">
        <v>0</v>
      </c>
      <c r="L831" s="1066"/>
      <c r="M831" s="959"/>
      <c r="N831" s="1066"/>
      <c r="O831" s="1067"/>
      <c r="P831" s="950"/>
      <c r="Q831" s="950"/>
      <c r="R831" s="950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237">
        <f>MAX(J831/J846)</f>
        <v>0</v>
      </c>
      <c r="AD831" s="235">
        <f t="shared" si="153"/>
        <v>0</v>
      </c>
      <c r="AE831" s="238">
        <f>MAX(I831/I846)</f>
        <v>0</v>
      </c>
      <c r="AF831" s="235">
        <f t="shared" si="154"/>
        <v>0</v>
      </c>
      <c r="AG831" s="238">
        <f>MAX(H831/H846)</f>
        <v>0</v>
      </c>
      <c r="AH831" s="235">
        <f t="shared" si="155"/>
        <v>0</v>
      </c>
    </row>
    <row r="832" spans="1:34" ht="15" customHeight="1" x14ac:dyDescent="0.2">
      <c r="A832" s="962" t="s">
        <v>379</v>
      </c>
      <c r="B832" s="1498">
        <v>0</v>
      </c>
      <c r="C832" s="1146"/>
      <c r="D832" s="1146"/>
      <c r="E832" s="1146"/>
      <c r="F832" s="1146"/>
      <c r="G832" s="1146">
        <v>0</v>
      </c>
      <c r="H832" s="1146">
        <v>0</v>
      </c>
      <c r="I832" s="1146">
        <v>0</v>
      </c>
      <c r="J832" s="1147">
        <v>0</v>
      </c>
      <c r="K832" s="1147">
        <v>0</v>
      </c>
      <c r="L832" s="1066"/>
      <c r="M832" s="959"/>
      <c r="N832" s="959"/>
      <c r="O832" s="1149"/>
      <c r="P832" s="950"/>
      <c r="Q832" s="950"/>
      <c r="R832" s="950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237">
        <f>MAX(J832/J846)</f>
        <v>0</v>
      </c>
      <c r="AD832" s="235">
        <f t="shared" si="153"/>
        <v>0</v>
      </c>
      <c r="AE832" s="238">
        <f>MAX(I832/I846)</f>
        <v>0</v>
      </c>
      <c r="AF832" s="235">
        <f t="shared" si="154"/>
        <v>0</v>
      </c>
      <c r="AG832" s="238">
        <f>MAX(H832/H846)</f>
        <v>0</v>
      </c>
      <c r="AH832" s="235">
        <f t="shared" si="155"/>
        <v>0</v>
      </c>
    </row>
    <row r="833" spans="1:34" ht="15" customHeight="1" x14ac:dyDescent="0.2">
      <c r="A833" s="962" t="s">
        <v>380</v>
      </c>
      <c r="B833" s="1498">
        <v>0</v>
      </c>
      <c r="C833" s="1146">
        <v>0</v>
      </c>
      <c r="D833" s="1146">
        <v>0</v>
      </c>
      <c r="E833" s="1146">
        <v>0</v>
      </c>
      <c r="F833" s="1146">
        <v>0</v>
      </c>
      <c r="G833" s="1146">
        <v>0</v>
      </c>
      <c r="H833" s="1146">
        <v>0</v>
      </c>
      <c r="I833" s="1146">
        <v>0</v>
      </c>
      <c r="J833" s="1147">
        <v>0</v>
      </c>
      <c r="K833" s="1147">
        <v>0</v>
      </c>
      <c r="L833" s="1066"/>
      <c r="M833" s="959"/>
      <c r="N833" s="1066"/>
      <c r="O833" s="1067"/>
      <c r="P833" s="950"/>
      <c r="Q833" s="950"/>
      <c r="R833" s="950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237">
        <f>MAX(J833/J846)</f>
        <v>0</v>
      </c>
      <c r="AD833" s="235">
        <f t="shared" si="153"/>
        <v>0</v>
      </c>
      <c r="AE833" s="238">
        <f>MAX(I833/I846)</f>
        <v>0</v>
      </c>
      <c r="AF833" s="235">
        <f t="shared" si="154"/>
        <v>0</v>
      </c>
      <c r="AG833" s="238">
        <f>MAX(H833/H846)</f>
        <v>0</v>
      </c>
      <c r="AH833" s="235">
        <f t="shared" si="155"/>
        <v>0</v>
      </c>
    </row>
    <row r="834" spans="1:34" ht="15" customHeight="1" x14ac:dyDescent="0.2">
      <c r="A834" s="962" t="s">
        <v>381</v>
      </c>
      <c r="B834" s="1498">
        <v>0</v>
      </c>
      <c r="C834" s="1146"/>
      <c r="D834" s="1146"/>
      <c r="E834" s="1146"/>
      <c r="F834" s="1146"/>
      <c r="G834" s="1146">
        <v>0</v>
      </c>
      <c r="H834" s="1146">
        <v>0</v>
      </c>
      <c r="I834" s="1146">
        <v>0</v>
      </c>
      <c r="J834" s="1147">
        <v>0</v>
      </c>
      <c r="K834" s="1147">
        <v>0</v>
      </c>
      <c r="L834" s="1148"/>
      <c r="M834" s="959"/>
      <c r="N834" s="959"/>
      <c r="O834" s="1149"/>
      <c r="P834" s="950"/>
      <c r="Q834" s="950"/>
      <c r="R834" s="950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237">
        <f>MAX(J834/J846)</f>
        <v>0</v>
      </c>
      <c r="AD834" s="235">
        <f t="shared" si="153"/>
        <v>0</v>
      </c>
      <c r="AE834" s="238">
        <f>MAX(I834/I846)</f>
        <v>0</v>
      </c>
      <c r="AF834" s="235">
        <f t="shared" si="154"/>
        <v>0</v>
      </c>
      <c r="AG834" s="238">
        <f>MAX(H834/H846)</f>
        <v>0</v>
      </c>
      <c r="AH834" s="235">
        <f t="shared" si="155"/>
        <v>0</v>
      </c>
    </row>
    <row r="835" spans="1:34" ht="15" customHeight="1" x14ac:dyDescent="0.2">
      <c r="A835" s="962" t="s">
        <v>382</v>
      </c>
      <c r="B835" s="1498">
        <v>0</v>
      </c>
      <c r="C835" s="1146">
        <v>0</v>
      </c>
      <c r="D835" s="1146">
        <v>0</v>
      </c>
      <c r="E835" s="1146">
        <v>0</v>
      </c>
      <c r="F835" s="1146">
        <v>0</v>
      </c>
      <c r="G835" s="1146">
        <v>0</v>
      </c>
      <c r="H835" s="1146">
        <v>0</v>
      </c>
      <c r="I835" s="1146">
        <v>0</v>
      </c>
      <c r="J835" s="1147">
        <v>0</v>
      </c>
      <c r="K835" s="1147">
        <v>0</v>
      </c>
      <c r="L835" s="1148"/>
      <c r="M835" s="959"/>
      <c r="N835" s="959"/>
      <c r="O835" s="1149"/>
      <c r="P835" s="950"/>
      <c r="Q835" s="950"/>
      <c r="R835" s="950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237">
        <f>MAX(J835/J846)</f>
        <v>0</v>
      </c>
      <c r="AD835" s="235">
        <f t="shared" si="153"/>
        <v>0</v>
      </c>
      <c r="AE835" s="238">
        <f>MAX(I835/I846)</f>
        <v>0</v>
      </c>
      <c r="AF835" s="235">
        <f t="shared" si="154"/>
        <v>0</v>
      </c>
      <c r="AG835" s="238">
        <f>MAX(H835/H846)</f>
        <v>0</v>
      </c>
      <c r="AH835" s="235">
        <f t="shared" si="155"/>
        <v>0</v>
      </c>
    </row>
    <row r="836" spans="1:34" ht="15" customHeight="1" x14ac:dyDescent="0.2">
      <c r="A836" s="1154" t="s">
        <v>383</v>
      </c>
      <c r="B836" s="1002">
        <v>1.5</v>
      </c>
      <c r="C836" s="1002">
        <v>0</v>
      </c>
      <c r="D836" s="1002">
        <v>0</v>
      </c>
      <c r="E836" s="1002">
        <v>0</v>
      </c>
      <c r="F836" s="1002">
        <v>0</v>
      </c>
      <c r="G836" s="1002">
        <v>0</v>
      </c>
      <c r="H836" s="1002">
        <v>1.5</v>
      </c>
      <c r="I836" s="1002">
        <v>1.5</v>
      </c>
      <c r="J836" s="1150">
        <v>9</v>
      </c>
      <c r="K836" s="1151"/>
      <c r="L836" s="1152"/>
      <c r="M836" s="996"/>
      <c r="N836" s="996"/>
      <c r="O836" s="1153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1157"/>
      <c r="AD836" s="1156"/>
      <c r="AE836" s="1158"/>
      <c r="AF836" s="1156"/>
      <c r="AG836" s="1158"/>
      <c r="AH836" s="1156"/>
    </row>
    <row r="837" spans="1:34" ht="15" customHeight="1" x14ac:dyDescent="0.2">
      <c r="A837" s="962" t="s">
        <v>384</v>
      </c>
      <c r="B837" s="1498">
        <v>0</v>
      </c>
      <c r="C837" s="1146">
        <v>0</v>
      </c>
      <c r="D837" s="1146">
        <v>0</v>
      </c>
      <c r="E837" s="1146">
        <v>0</v>
      </c>
      <c r="F837" s="1146">
        <v>0</v>
      </c>
      <c r="G837" s="1146">
        <v>0</v>
      </c>
      <c r="H837" s="1146">
        <v>0</v>
      </c>
      <c r="I837" s="1146">
        <v>0</v>
      </c>
      <c r="J837" s="1147">
        <v>0</v>
      </c>
      <c r="K837" s="1147">
        <v>0</v>
      </c>
      <c r="L837" s="1148"/>
      <c r="M837" s="959"/>
      <c r="N837" s="959"/>
      <c r="O837" s="1149"/>
      <c r="P837" s="950"/>
      <c r="Q837" s="950"/>
      <c r="R837" s="950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237">
        <f>MAX(J837/J846)</f>
        <v>0</v>
      </c>
      <c r="AD837" s="235">
        <f t="shared" ref="AD837:AD845" si="156">MAX(M837*AC837)</f>
        <v>0</v>
      </c>
      <c r="AE837" s="238">
        <f>MAX(I837/I846)</f>
        <v>0</v>
      </c>
      <c r="AF837" s="235">
        <f t="shared" ref="AF837:AF845" si="157">MAX(N837*AE837)</f>
        <v>0</v>
      </c>
      <c r="AG837" s="238">
        <f>MAX(H837/H846)</f>
        <v>0</v>
      </c>
      <c r="AH837" s="235">
        <f t="shared" ref="AH837:AH845" si="158">MAX(O837*AG837)</f>
        <v>0</v>
      </c>
    </row>
    <row r="838" spans="1:34" ht="15" customHeight="1" x14ac:dyDescent="0.2">
      <c r="A838" s="962" t="s">
        <v>385</v>
      </c>
      <c r="B838" s="1498">
        <v>0</v>
      </c>
      <c r="C838" s="1146">
        <v>0</v>
      </c>
      <c r="D838" s="1146">
        <v>0</v>
      </c>
      <c r="E838" s="1146">
        <v>0</v>
      </c>
      <c r="F838" s="1146">
        <v>0</v>
      </c>
      <c r="G838" s="1146">
        <v>0</v>
      </c>
      <c r="H838" s="1146">
        <v>0</v>
      </c>
      <c r="I838" s="1146">
        <v>0</v>
      </c>
      <c r="J838" s="1147">
        <v>0</v>
      </c>
      <c r="K838" s="1147">
        <v>0</v>
      </c>
      <c r="L838" s="1148"/>
      <c r="M838" s="959"/>
      <c r="N838" s="959"/>
      <c r="O838" s="1149"/>
      <c r="P838" s="950"/>
      <c r="Q838" s="950"/>
      <c r="R838" s="950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237">
        <f>MAX(J838/J846)</f>
        <v>0</v>
      </c>
      <c r="AD838" s="235">
        <f t="shared" si="156"/>
        <v>0</v>
      </c>
      <c r="AE838" s="238">
        <f>MAX(I838/I846)</f>
        <v>0</v>
      </c>
      <c r="AF838" s="235">
        <f t="shared" si="157"/>
        <v>0</v>
      </c>
      <c r="AG838" s="238">
        <f>MAX(H838/H846)</f>
        <v>0</v>
      </c>
      <c r="AH838" s="235">
        <f t="shared" si="158"/>
        <v>0</v>
      </c>
    </row>
    <row r="839" spans="1:34" ht="15" customHeight="1" x14ac:dyDescent="0.2">
      <c r="A839" s="962" t="s">
        <v>386</v>
      </c>
      <c r="B839" s="1498">
        <v>0</v>
      </c>
      <c r="C839" s="1146">
        <v>0</v>
      </c>
      <c r="D839" s="1146">
        <v>0</v>
      </c>
      <c r="E839" s="1146">
        <v>0</v>
      </c>
      <c r="F839" s="1146">
        <v>0</v>
      </c>
      <c r="G839" s="1146">
        <v>0</v>
      </c>
      <c r="H839" s="1146">
        <v>0</v>
      </c>
      <c r="I839" s="1146">
        <v>0</v>
      </c>
      <c r="J839" s="1147">
        <v>0</v>
      </c>
      <c r="K839" s="1147">
        <v>0</v>
      </c>
      <c r="L839" s="1148"/>
      <c r="M839" s="959"/>
      <c r="N839" s="959"/>
      <c r="O839" s="1149"/>
      <c r="P839" s="950"/>
      <c r="Q839" s="950"/>
      <c r="R839" s="950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237">
        <f>MAX(J839/J846)</f>
        <v>0</v>
      </c>
      <c r="AD839" s="235">
        <f t="shared" si="156"/>
        <v>0</v>
      </c>
      <c r="AE839" s="238">
        <f>MAX(I839/I846)</f>
        <v>0</v>
      </c>
      <c r="AF839" s="235">
        <f t="shared" si="157"/>
        <v>0</v>
      </c>
      <c r="AG839" s="238">
        <f>MAX(H839/H846)</f>
        <v>0</v>
      </c>
      <c r="AH839" s="235">
        <f t="shared" si="158"/>
        <v>0</v>
      </c>
    </row>
    <row r="840" spans="1:34" ht="15" customHeight="1" x14ac:dyDescent="0.2">
      <c r="A840" s="962" t="s">
        <v>387</v>
      </c>
      <c r="B840" s="1498">
        <v>0</v>
      </c>
      <c r="C840" s="1146">
        <v>0</v>
      </c>
      <c r="D840" s="1146">
        <v>0</v>
      </c>
      <c r="E840" s="1146">
        <v>0</v>
      </c>
      <c r="F840" s="1146">
        <v>0</v>
      </c>
      <c r="G840" s="1146">
        <v>0</v>
      </c>
      <c r="H840" s="1146">
        <v>0</v>
      </c>
      <c r="I840" s="1146">
        <v>0</v>
      </c>
      <c r="J840" s="1147">
        <v>0</v>
      </c>
      <c r="K840" s="1147">
        <v>0</v>
      </c>
      <c r="L840" s="1148"/>
      <c r="M840" s="959"/>
      <c r="N840" s="959"/>
      <c r="O840" s="1149"/>
      <c r="P840" s="950"/>
      <c r="Q840" s="950"/>
      <c r="R840" s="950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237">
        <f>MAX(J840/J846)</f>
        <v>0</v>
      </c>
      <c r="AD840" s="235">
        <f t="shared" si="156"/>
        <v>0</v>
      </c>
      <c r="AE840" s="238">
        <f>MAX(I840/I846)</f>
        <v>0</v>
      </c>
      <c r="AF840" s="235">
        <f t="shared" si="157"/>
        <v>0</v>
      </c>
      <c r="AG840" s="238">
        <f>MAX(H840/H846)</f>
        <v>0</v>
      </c>
      <c r="AH840" s="235">
        <f t="shared" si="158"/>
        <v>0</v>
      </c>
    </row>
    <row r="841" spans="1:34" ht="15" customHeight="1" x14ac:dyDescent="0.2">
      <c r="A841" s="962" t="s">
        <v>388</v>
      </c>
      <c r="B841" s="1498">
        <v>0</v>
      </c>
      <c r="C841" s="1146"/>
      <c r="D841" s="1146"/>
      <c r="E841" s="1146"/>
      <c r="F841" s="1146"/>
      <c r="G841" s="1146">
        <v>0</v>
      </c>
      <c r="H841" s="1146">
        <v>0</v>
      </c>
      <c r="I841" s="1146">
        <v>0</v>
      </c>
      <c r="J841" s="1147">
        <v>0</v>
      </c>
      <c r="K841" s="1147">
        <v>0</v>
      </c>
      <c r="L841" s="1148"/>
      <c r="M841" s="959"/>
      <c r="N841" s="959"/>
      <c r="O841" s="1149"/>
      <c r="P841" s="950"/>
      <c r="Q841" s="950"/>
      <c r="R841" s="950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237">
        <f>MAX(J841/J846)</f>
        <v>0</v>
      </c>
      <c r="AD841" s="235">
        <f t="shared" si="156"/>
        <v>0</v>
      </c>
      <c r="AE841" s="238">
        <f>MAX(I841/I846)</f>
        <v>0</v>
      </c>
      <c r="AF841" s="235">
        <f t="shared" si="157"/>
        <v>0</v>
      </c>
      <c r="AG841" s="238">
        <f>MAX(H841/H846)</f>
        <v>0</v>
      </c>
      <c r="AH841" s="235">
        <f t="shared" si="158"/>
        <v>0</v>
      </c>
    </row>
    <row r="842" spans="1:34" ht="15" customHeight="1" x14ac:dyDescent="0.2">
      <c r="A842" s="962" t="s">
        <v>389</v>
      </c>
      <c r="B842" s="1498">
        <v>0</v>
      </c>
      <c r="C842" s="1146">
        <v>0</v>
      </c>
      <c r="D842" s="1146"/>
      <c r="E842" s="1146"/>
      <c r="F842" s="1146"/>
      <c r="G842" s="1146">
        <v>0</v>
      </c>
      <c r="H842" s="1146">
        <v>0</v>
      </c>
      <c r="I842" s="1146">
        <v>0</v>
      </c>
      <c r="J842" s="1147">
        <v>0</v>
      </c>
      <c r="K842" s="1147">
        <v>0</v>
      </c>
      <c r="L842" s="1148"/>
      <c r="M842" s="959"/>
      <c r="N842" s="959"/>
      <c r="O842" s="1149"/>
      <c r="P842" s="950"/>
      <c r="Q842" s="950"/>
      <c r="R842" s="950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237">
        <f>MAX(J842/J846)</f>
        <v>0</v>
      </c>
      <c r="AD842" s="235">
        <f t="shared" si="156"/>
        <v>0</v>
      </c>
      <c r="AE842" s="238">
        <f>MAX(I842/I846)</f>
        <v>0</v>
      </c>
      <c r="AF842" s="235">
        <f t="shared" si="157"/>
        <v>0</v>
      </c>
      <c r="AG842" s="238">
        <f>MAX(H842/H846)</f>
        <v>0</v>
      </c>
      <c r="AH842" s="235">
        <f t="shared" si="158"/>
        <v>0</v>
      </c>
    </row>
    <row r="843" spans="1:34" ht="15" customHeight="1" x14ac:dyDescent="0.2">
      <c r="A843" s="962" t="s">
        <v>390</v>
      </c>
      <c r="B843" s="1498">
        <v>0</v>
      </c>
      <c r="C843" s="1146"/>
      <c r="D843" s="1146"/>
      <c r="E843" s="1146"/>
      <c r="F843" s="1146"/>
      <c r="G843" s="1146">
        <v>0</v>
      </c>
      <c r="H843" s="1146">
        <v>0</v>
      </c>
      <c r="I843" s="1146">
        <v>0</v>
      </c>
      <c r="J843" s="1147">
        <v>0</v>
      </c>
      <c r="K843" s="1147">
        <v>0</v>
      </c>
      <c r="L843" s="1148"/>
      <c r="M843" s="959"/>
      <c r="N843" s="959"/>
      <c r="O843" s="1149"/>
      <c r="P843" s="950"/>
      <c r="Q843" s="950"/>
      <c r="R843" s="950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237">
        <f>MAX(J843/J846)</f>
        <v>0</v>
      </c>
      <c r="AD843" s="235">
        <f t="shared" si="156"/>
        <v>0</v>
      </c>
      <c r="AE843" s="238">
        <f>MAX(I843/I846)</f>
        <v>0</v>
      </c>
      <c r="AF843" s="235">
        <f t="shared" si="157"/>
        <v>0</v>
      </c>
      <c r="AG843" s="238">
        <f>MAX(H843/H846)</f>
        <v>0</v>
      </c>
      <c r="AH843" s="235">
        <f t="shared" si="158"/>
        <v>0</v>
      </c>
    </row>
    <row r="844" spans="1:34" ht="15" customHeight="1" x14ac:dyDescent="0.2">
      <c r="A844" s="962" t="s">
        <v>941</v>
      </c>
      <c r="B844" s="1498">
        <v>0</v>
      </c>
      <c r="C844" s="1146"/>
      <c r="D844" s="1146"/>
      <c r="E844" s="1146"/>
      <c r="F844" s="1146"/>
      <c r="G844" s="1146">
        <v>0</v>
      </c>
      <c r="H844" s="1146">
        <v>0</v>
      </c>
      <c r="I844" s="1146">
        <v>0</v>
      </c>
      <c r="J844" s="1147">
        <v>0</v>
      </c>
      <c r="K844" s="1147">
        <v>0</v>
      </c>
      <c r="L844" s="1148"/>
      <c r="M844" s="959"/>
      <c r="N844" s="959"/>
      <c r="O844" s="1149"/>
      <c r="P844" s="950"/>
      <c r="Q844" s="950"/>
      <c r="R844" s="950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237">
        <f>MAX(J844/J846)</f>
        <v>0</v>
      </c>
      <c r="AD844" s="235">
        <f t="shared" si="156"/>
        <v>0</v>
      </c>
      <c r="AE844" s="238">
        <f>MAX(I844/I846)</f>
        <v>0</v>
      </c>
      <c r="AF844" s="235">
        <f t="shared" si="157"/>
        <v>0</v>
      </c>
      <c r="AG844" s="238">
        <f>MAX(H844/H846)</f>
        <v>0</v>
      </c>
      <c r="AH844" s="235">
        <f t="shared" si="158"/>
        <v>0</v>
      </c>
    </row>
    <row r="845" spans="1:34" ht="15" customHeight="1" thickBot="1" x14ac:dyDescent="0.25">
      <c r="A845" s="1140" t="s">
        <v>392</v>
      </c>
      <c r="B845" s="1536">
        <v>1.5</v>
      </c>
      <c r="C845" s="1141">
        <v>0</v>
      </c>
      <c r="D845" s="1141">
        <v>0</v>
      </c>
      <c r="E845" s="1141">
        <v>0</v>
      </c>
      <c r="F845" s="1141">
        <v>0</v>
      </c>
      <c r="G845" s="1141">
        <v>0</v>
      </c>
      <c r="H845" s="1146">
        <v>1.5</v>
      </c>
      <c r="I845" s="1146">
        <v>1.5</v>
      </c>
      <c r="J845" s="1147">
        <v>9</v>
      </c>
      <c r="K845" s="1142">
        <v>6</v>
      </c>
      <c r="L845" s="1066" t="s">
        <v>988</v>
      </c>
      <c r="M845" s="959">
        <v>2195000</v>
      </c>
      <c r="N845" s="1066" t="s">
        <v>616</v>
      </c>
      <c r="O845" s="1067" t="s">
        <v>616</v>
      </c>
      <c r="P845" s="950"/>
      <c r="Q845" s="950"/>
      <c r="R845" s="950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237">
        <f>MAX(J845/J846)</f>
        <v>6.3431205333859585E-3</v>
      </c>
      <c r="AD845" s="235">
        <f t="shared" si="156"/>
        <v>13923.14957078218</v>
      </c>
      <c r="AE845" s="238">
        <f>MAX(I845/I846)</f>
        <v>7.9369278797820006E-3</v>
      </c>
      <c r="AF845" s="235" t="e">
        <f t="shared" si="157"/>
        <v>#VALUE!</v>
      </c>
      <c r="AG845" s="238">
        <f>MAX(H845/H846)</f>
        <v>9.146899201170804E-3</v>
      </c>
      <c r="AH845" s="235" t="e">
        <f t="shared" si="158"/>
        <v>#VALUE!</v>
      </c>
    </row>
    <row r="846" spans="1:34" ht="15" customHeight="1" thickBot="1" x14ac:dyDescent="0.25">
      <c r="A846" s="405" t="s">
        <v>942</v>
      </c>
      <c r="B846" s="1131">
        <v>199.98999999999998</v>
      </c>
      <c r="C846" s="1131">
        <v>2</v>
      </c>
      <c r="D846" s="1131">
        <v>0</v>
      </c>
      <c r="E846" s="1131">
        <v>0</v>
      </c>
      <c r="F846" s="1131">
        <v>13</v>
      </c>
      <c r="G846" s="1131">
        <v>23</v>
      </c>
      <c r="H846" s="1131">
        <v>163.98999999999998</v>
      </c>
      <c r="I846" s="1131">
        <v>188.98999999999998</v>
      </c>
      <c r="J846" s="1132">
        <v>1418.86</v>
      </c>
      <c r="K846" s="1132"/>
      <c r="L846" s="1525" t="s">
        <v>988</v>
      </c>
      <c r="M846" s="1134">
        <v>2195000.0000000005</v>
      </c>
      <c r="N846" s="1525" t="s">
        <v>616</v>
      </c>
      <c r="O846" s="1541" t="s">
        <v>616</v>
      </c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1159">
        <f t="shared" ref="AC846:AH846" si="159">SUM(AC806:AC845)</f>
        <v>1</v>
      </c>
      <c r="AD846" s="1160">
        <f t="shared" si="159"/>
        <v>2195000.0000000005</v>
      </c>
      <c r="AE846" s="1161">
        <f t="shared" si="159"/>
        <v>1.0000000000000002</v>
      </c>
      <c r="AF846" s="1160" t="e">
        <f t="shared" si="159"/>
        <v>#VALUE!</v>
      </c>
      <c r="AG846" s="1161">
        <f t="shared" si="159"/>
        <v>1</v>
      </c>
      <c r="AH846" s="1160" t="e">
        <f t="shared" si="159"/>
        <v>#VALUE!</v>
      </c>
    </row>
    <row r="847" spans="1:34" x14ac:dyDescent="0.2">
      <c r="A847" s="7" t="s">
        <v>1934</v>
      </c>
      <c r="B847" s="224"/>
      <c r="C847" s="224"/>
      <c r="D847" s="224"/>
      <c r="E847" s="224"/>
      <c r="F847" s="224"/>
      <c r="G847" s="224"/>
      <c r="H847" s="224"/>
      <c r="I847" s="224"/>
      <c r="J847" s="224"/>
      <c r="K847" s="240"/>
      <c r="L847" s="241"/>
      <c r="M847" s="240"/>
      <c r="N847" s="240"/>
      <c r="O847" s="240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</row>
    <row r="848" spans="1:34" x14ac:dyDescent="0.2">
      <c r="A848" s="242" t="s">
        <v>1131</v>
      </c>
      <c r="B848" s="224"/>
      <c r="C848" s="224"/>
      <c r="D848" s="224"/>
      <c r="E848" s="224"/>
      <c r="F848" s="224"/>
      <c r="G848" s="224"/>
      <c r="H848" s="224"/>
      <c r="I848" s="224" t="s">
        <v>617</v>
      </c>
      <c r="J848" s="224"/>
      <c r="K848" s="240"/>
      <c r="L848" s="241"/>
      <c r="M848" s="240"/>
      <c r="N848" s="240"/>
      <c r="O848" s="240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</row>
    <row r="849" spans="1:34" x14ac:dyDescent="0.2">
      <c r="A849" s="242"/>
      <c r="B849" s="224"/>
      <c r="C849" s="224"/>
      <c r="D849" s="224"/>
      <c r="E849" s="224"/>
      <c r="F849" s="224"/>
      <c r="G849" s="224"/>
      <c r="H849" s="224"/>
      <c r="I849" s="224"/>
      <c r="J849" s="224"/>
      <c r="K849" s="240"/>
      <c r="L849" s="241"/>
      <c r="M849" s="240"/>
      <c r="N849" s="240"/>
      <c r="O849" s="240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</row>
    <row r="850" spans="1:34" x14ac:dyDescent="0.2">
      <c r="A850" s="242"/>
      <c r="B850" s="224"/>
      <c r="C850" s="224"/>
      <c r="D850" s="224"/>
      <c r="E850" s="224"/>
      <c r="F850" s="224"/>
      <c r="G850" s="224"/>
      <c r="H850" s="224"/>
      <c r="I850" s="224"/>
      <c r="J850" s="224"/>
      <c r="K850" s="240"/>
      <c r="L850" s="241"/>
      <c r="M850" s="240"/>
      <c r="N850" s="240"/>
      <c r="O850" s="240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</row>
    <row r="851" spans="1:34" ht="15" x14ac:dyDescent="0.25">
      <c r="A851" s="2843" t="s">
        <v>1931</v>
      </c>
      <c r="B851" s="2843"/>
      <c r="C851" s="2843"/>
      <c r="D851" s="2843"/>
      <c r="E851" s="2843"/>
      <c r="F851" s="2843"/>
      <c r="G851" s="2843"/>
      <c r="H851" s="2843"/>
      <c r="I851" s="2843"/>
      <c r="J851" s="2843"/>
      <c r="K851" s="2843"/>
      <c r="L851" s="2843"/>
      <c r="M851" s="2843"/>
      <c r="N851" s="2843"/>
      <c r="O851" s="2843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</row>
    <row r="852" spans="1:34" x14ac:dyDescent="0.2">
      <c r="A852" s="225"/>
      <c r="B852" s="225"/>
      <c r="C852" s="224"/>
      <c r="D852" s="224"/>
      <c r="E852" s="224"/>
      <c r="F852" s="224"/>
      <c r="G852" s="224"/>
      <c r="H852" s="224"/>
      <c r="I852" s="224"/>
      <c r="J852" s="224"/>
      <c r="K852" s="240"/>
      <c r="L852" s="241"/>
      <c r="M852" s="240"/>
      <c r="N852" s="240"/>
      <c r="O852" s="240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</row>
    <row r="853" spans="1:34" ht="13.5" thickBot="1" x14ac:dyDescent="0.25">
      <c r="A853" s="8" t="s">
        <v>1692</v>
      </c>
      <c r="B853" s="225"/>
      <c r="C853" s="224"/>
      <c r="D853" s="224"/>
      <c r="E853" s="224"/>
      <c r="F853" s="224"/>
      <c r="G853" s="224"/>
      <c r="H853" s="224"/>
      <c r="I853" s="224"/>
      <c r="J853" s="224"/>
      <c r="K853" s="240"/>
      <c r="L853" s="241"/>
      <c r="M853" s="240"/>
      <c r="N853" s="240"/>
      <c r="O853" s="240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</row>
    <row r="854" spans="1:34" ht="15" customHeight="1" x14ac:dyDescent="0.2">
      <c r="A854" s="2844" t="s">
        <v>327</v>
      </c>
      <c r="B854" s="2847" t="s">
        <v>1932</v>
      </c>
      <c r="C854" s="2848"/>
      <c r="D854" s="2848"/>
      <c r="E854" s="2848"/>
      <c r="F854" s="2848"/>
      <c r="G854" s="2848"/>
      <c r="H854" s="2848"/>
      <c r="I854" s="2848"/>
      <c r="J854" s="2848"/>
      <c r="K854" s="2848"/>
      <c r="L854" s="2848"/>
      <c r="M854" s="2848"/>
      <c r="N854" s="2848"/>
      <c r="O854" s="284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228" t="s">
        <v>910</v>
      </c>
      <c r="AD854" s="229"/>
      <c r="AE854" s="229"/>
      <c r="AF854" s="229"/>
      <c r="AG854" s="229"/>
      <c r="AH854" s="243"/>
    </row>
    <row r="855" spans="1:34" ht="15" customHeight="1" x14ac:dyDescent="0.2">
      <c r="A855" s="2845"/>
      <c r="B855" s="2850" t="s">
        <v>191</v>
      </c>
      <c r="C855" s="2850"/>
      <c r="D855" s="2850"/>
      <c r="E855" s="2850"/>
      <c r="F855" s="2850"/>
      <c r="G855" s="2850"/>
      <c r="H855" s="2850"/>
      <c r="I855" s="2850"/>
      <c r="J855" s="2119"/>
      <c r="K855" s="2119" t="s">
        <v>904</v>
      </c>
      <c r="L855" s="2119"/>
      <c r="M855" s="1122" t="s">
        <v>437</v>
      </c>
      <c r="N855" s="1122" t="s">
        <v>911</v>
      </c>
      <c r="O855" s="1127" t="s">
        <v>911</v>
      </c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230" t="s">
        <v>333</v>
      </c>
      <c r="AD855" s="231" t="s">
        <v>333</v>
      </c>
      <c r="AE855" s="231" t="s">
        <v>333</v>
      </c>
      <c r="AF855" s="231" t="s">
        <v>333</v>
      </c>
      <c r="AG855" s="231" t="s">
        <v>333</v>
      </c>
      <c r="AH855" s="231" t="s">
        <v>333</v>
      </c>
    </row>
    <row r="856" spans="1:34" ht="15" customHeight="1" x14ac:dyDescent="0.2">
      <c r="A856" s="2845"/>
      <c r="B856" s="2119" t="s">
        <v>433</v>
      </c>
      <c r="C856" s="2119"/>
      <c r="D856" s="2841" t="s">
        <v>1865</v>
      </c>
      <c r="E856" s="2119"/>
      <c r="F856" s="2119"/>
      <c r="G856" s="2119" t="s">
        <v>912</v>
      </c>
      <c r="H856" s="2119"/>
      <c r="I856" s="2119" t="s">
        <v>433</v>
      </c>
      <c r="J856" s="2138" t="s">
        <v>913</v>
      </c>
      <c r="K856" s="2138" t="s">
        <v>842</v>
      </c>
      <c r="L856" s="2138" t="s">
        <v>329</v>
      </c>
      <c r="M856" s="1123" t="s">
        <v>914</v>
      </c>
      <c r="N856" s="1123" t="s">
        <v>915</v>
      </c>
      <c r="O856" s="1128" t="s">
        <v>914</v>
      </c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230" t="s">
        <v>913</v>
      </c>
      <c r="AD856" s="231" t="s">
        <v>916</v>
      </c>
      <c r="AE856" s="231" t="s">
        <v>917</v>
      </c>
      <c r="AF856" s="231" t="s">
        <v>918</v>
      </c>
      <c r="AG856" s="231" t="s">
        <v>192</v>
      </c>
      <c r="AH856" s="231" t="s">
        <v>918</v>
      </c>
    </row>
    <row r="857" spans="1:34" ht="15" customHeight="1" x14ac:dyDescent="0.2">
      <c r="A857" s="2845"/>
      <c r="B857" s="2138" t="s">
        <v>920</v>
      </c>
      <c r="C857" s="2138" t="s">
        <v>922</v>
      </c>
      <c r="D857" s="2842"/>
      <c r="E857" s="2138" t="s">
        <v>867</v>
      </c>
      <c r="F857" s="2138" t="s">
        <v>921</v>
      </c>
      <c r="G857" s="2138" t="s">
        <v>923</v>
      </c>
      <c r="H857" s="2138" t="s">
        <v>836</v>
      </c>
      <c r="I857" s="2138" t="s">
        <v>835</v>
      </c>
      <c r="J857" s="2138" t="s">
        <v>924</v>
      </c>
      <c r="K857" s="2138" t="s">
        <v>925</v>
      </c>
      <c r="L857" s="2138" t="s">
        <v>336</v>
      </c>
      <c r="M857" s="1123" t="s">
        <v>926</v>
      </c>
      <c r="N857" s="1123" t="s">
        <v>927</v>
      </c>
      <c r="O857" s="1128" t="s">
        <v>928</v>
      </c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230"/>
      <c r="AD857" s="231" t="s">
        <v>843</v>
      </c>
      <c r="AE857" s="231"/>
      <c r="AF857" s="231" t="s">
        <v>929</v>
      </c>
      <c r="AG857" s="231"/>
      <c r="AH857" s="231" t="s">
        <v>930</v>
      </c>
    </row>
    <row r="858" spans="1:34" ht="15" customHeight="1" thickBot="1" x14ac:dyDescent="0.25">
      <c r="A858" s="2846"/>
      <c r="B858" s="1881">
        <v>44926</v>
      </c>
      <c r="C858" s="2139">
        <v>2023</v>
      </c>
      <c r="D858" s="2139">
        <v>2023</v>
      </c>
      <c r="E858" s="2139">
        <v>2023</v>
      </c>
      <c r="F858" s="2139">
        <v>2023</v>
      </c>
      <c r="G858" s="2139" t="s">
        <v>931</v>
      </c>
      <c r="H858" s="1126">
        <v>2023</v>
      </c>
      <c r="I858" s="1881">
        <v>45291</v>
      </c>
      <c r="J858" s="1881" t="s">
        <v>1933</v>
      </c>
      <c r="K858" s="1881" t="s">
        <v>1933</v>
      </c>
      <c r="L858" s="2139" t="s">
        <v>441</v>
      </c>
      <c r="M858" s="1125" t="s">
        <v>932</v>
      </c>
      <c r="N858" s="1125" t="s">
        <v>933</v>
      </c>
      <c r="O858" s="1129" t="s">
        <v>933</v>
      </c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232"/>
      <c r="AD858" s="233" t="s">
        <v>934</v>
      </c>
      <c r="AE858" s="233"/>
      <c r="AF858" s="233" t="s">
        <v>935</v>
      </c>
      <c r="AG858" s="233"/>
      <c r="AH858" s="233" t="s">
        <v>936</v>
      </c>
    </row>
    <row r="859" spans="1:34" ht="15" customHeight="1" x14ac:dyDescent="0.2">
      <c r="A859" s="1135" t="s">
        <v>352</v>
      </c>
      <c r="B859" s="1130">
        <v>611.4</v>
      </c>
      <c r="C859" s="1130">
        <v>34</v>
      </c>
      <c r="D859" s="1130">
        <v>4</v>
      </c>
      <c r="E859" s="1130">
        <v>18.5</v>
      </c>
      <c r="F859" s="1130">
        <v>39</v>
      </c>
      <c r="G859" s="1130">
        <v>14</v>
      </c>
      <c r="H859" s="1130">
        <v>535.9</v>
      </c>
      <c r="I859" s="1130">
        <v>587.9</v>
      </c>
      <c r="J859" s="1136">
        <v>6470.9</v>
      </c>
      <c r="K859" s="1535">
        <v>12.074827393170368</v>
      </c>
      <c r="L859" s="380"/>
      <c r="M859" s="1138"/>
      <c r="N859" s="1138"/>
      <c r="O859" s="113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1155"/>
      <c r="AD859" s="1156"/>
      <c r="AE859" s="1156"/>
      <c r="AF859" s="1156"/>
      <c r="AG859" s="1156"/>
      <c r="AH859" s="1156"/>
    </row>
    <row r="860" spans="1:34" ht="15" customHeight="1" x14ac:dyDescent="0.2">
      <c r="A860" s="962" t="s">
        <v>353</v>
      </c>
      <c r="B860" s="245">
        <v>28.5</v>
      </c>
      <c r="C860" s="1146">
        <v>3</v>
      </c>
      <c r="D860" s="1146"/>
      <c r="E860" s="1146"/>
      <c r="F860" s="1146"/>
      <c r="G860" s="1146"/>
      <c r="H860" s="1146">
        <v>28.5</v>
      </c>
      <c r="I860" s="1146">
        <v>31.5</v>
      </c>
      <c r="J860" s="1147">
        <v>370.5</v>
      </c>
      <c r="K860" s="1147">
        <v>13</v>
      </c>
      <c r="L860" s="1066" t="s">
        <v>988</v>
      </c>
      <c r="M860" s="959">
        <v>4800000</v>
      </c>
      <c r="N860" s="959">
        <v>27228636.236399997</v>
      </c>
      <c r="O860" s="1149">
        <v>18179773.134799998</v>
      </c>
      <c r="P860" s="950"/>
      <c r="Q860" s="950"/>
      <c r="R860" s="950"/>
      <c r="S860" s="950"/>
      <c r="T860" s="950"/>
      <c r="U860" s="950"/>
      <c r="V860" s="950"/>
      <c r="W860" s="950"/>
      <c r="X860" s="950"/>
      <c r="Y860" s="950"/>
      <c r="Z860" s="9"/>
      <c r="AA860" s="9"/>
      <c r="AB860" s="9"/>
      <c r="AC860" s="237">
        <f>MAX(J860/J900)</f>
        <v>3.529109197592014E-2</v>
      </c>
      <c r="AD860" s="235">
        <f t="shared" ref="AD860:AD874" si="160">MAX(M860*AC860)</f>
        <v>169397.24148441668</v>
      </c>
      <c r="AE860" s="238">
        <f>MAX(I860/I900)</f>
        <v>2.8178841715420538E-2</v>
      </c>
      <c r="AF860" s="235">
        <f t="shared" ref="AF860:AF874" si="161">MAX(N860*AE860)</f>
        <v>767271.43063227949</v>
      </c>
      <c r="AG860" s="238">
        <f>MAX(H860/H900)</f>
        <v>3.1461815291546159E-2</v>
      </c>
      <c r="AH860" s="235">
        <f t="shared" ref="AH860:AH874" si="162">MAX(O860*AG860)</f>
        <v>571968.66440929065</v>
      </c>
    </row>
    <row r="861" spans="1:34" ht="15" customHeight="1" x14ac:dyDescent="0.2">
      <c r="A861" s="962" t="s">
        <v>354</v>
      </c>
      <c r="B861" s="245">
        <v>17</v>
      </c>
      <c r="C861" s="1146">
        <v>6</v>
      </c>
      <c r="D861" s="1146"/>
      <c r="E861" s="1146"/>
      <c r="F861" s="1146"/>
      <c r="G861" s="1146"/>
      <c r="H861" s="1146">
        <v>17</v>
      </c>
      <c r="I861" s="1146">
        <v>23</v>
      </c>
      <c r="J861" s="1147">
        <v>238</v>
      </c>
      <c r="K861" s="1147">
        <v>14</v>
      </c>
      <c r="L861" s="1066" t="s">
        <v>988</v>
      </c>
      <c r="M861" s="959">
        <v>4800000</v>
      </c>
      <c r="N861" s="959">
        <v>27228636.236399997</v>
      </c>
      <c r="O861" s="1149">
        <v>18179773.134799998</v>
      </c>
      <c r="P861" s="950"/>
      <c r="Q861" s="950"/>
      <c r="R861" s="950"/>
      <c r="S861" s="950"/>
      <c r="T861" s="950"/>
      <c r="U861" s="950"/>
      <c r="V861" s="950"/>
      <c r="W861" s="950"/>
      <c r="X861" s="950"/>
      <c r="Y861" s="950"/>
      <c r="Z861" s="9"/>
      <c r="AA861" s="9"/>
      <c r="AB861" s="9"/>
      <c r="AC861" s="237">
        <f>MAX(J861/J900)</f>
        <v>2.267012116131982E-2</v>
      </c>
      <c r="AD861" s="235">
        <f t="shared" si="160"/>
        <v>108816.58157433514</v>
      </c>
      <c r="AE861" s="238">
        <f>MAX(I861/I900)</f>
        <v>2.0575027284275314E-2</v>
      </c>
      <c r="AF861" s="235">
        <f t="shared" si="161"/>
        <v>560229.93347753747</v>
      </c>
      <c r="AG861" s="238">
        <f>MAX(H861/H900)</f>
        <v>1.8766696840571393E-2</v>
      </c>
      <c r="AH861" s="235">
        <f t="shared" si="162"/>
        <v>341174.29105115583</v>
      </c>
    </row>
    <row r="862" spans="1:34" ht="15" customHeight="1" x14ac:dyDescent="0.2">
      <c r="A862" s="962" t="s">
        <v>355</v>
      </c>
      <c r="B862" s="1498">
        <v>203</v>
      </c>
      <c r="C862" s="1146">
        <v>7</v>
      </c>
      <c r="D862" s="1146"/>
      <c r="E862" s="1146">
        <v>6</v>
      </c>
      <c r="F862" s="1146">
        <v>25</v>
      </c>
      <c r="G862" s="1146"/>
      <c r="H862" s="1146">
        <v>172</v>
      </c>
      <c r="I862" s="1146">
        <v>179</v>
      </c>
      <c r="J862" s="1147">
        <v>1720</v>
      </c>
      <c r="K862" s="1147">
        <v>10</v>
      </c>
      <c r="L862" s="1066" t="s">
        <v>988</v>
      </c>
      <c r="M862" s="959">
        <v>4800000</v>
      </c>
      <c r="N862" s="959">
        <v>27228636.236399997</v>
      </c>
      <c r="O862" s="1149">
        <v>18179773.134799998</v>
      </c>
      <c r="P862" s="950"/>
      <c r="Q862" s="950"/>
      <c r="R862" s="950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237">
        <f>MAX(J862/J900)</f>
        <v>0.16383448906500039</v>
      </c>
      <c r="AD862" s="235">
        <f t="shared" si="160"/>
        <v>786405.54751200194</v>
      </c>
      <c r="AE862" s="238">
        <f>MAX(I862/I900)</f>
        <v>0.1601273862558818</v>
      </c>
      <c r="AF862" s="235">
        <f t="shared" si="161"/>
        <v>4360050.3518469222</v>
      </c>
      <c r="AG862" s="238">
        <f>MAX(H862/H900)</f>
        <v>0.18987481509283999</v>
      </c>
      <c r="AH862" s="235">
        <f t="shared" si="162"/>
        <v>3451881.0623999299</v>
      </c>
    </row>
    <row r="863" spans="1:34" ht="15" customHeight="1" x14ac:dyDescent="0.2">
      <c r="A863" s="962" t="s">
        <v>356</v>
      </c>
      <c r="B863" s="1498">
        <v>69</v>
      </c>
      <c r="C863" s="1146">
        <v>3</v>
      </c>
      <c r="D863" s="1146"/>
      <c r="E863" s="1146"/>
      <c r="F863" s="1146"/>
      <c r="G863" s="1146"/>
      <c r="H863" s="1146">
        <v>69</v>
      </c>
      <c r="I863" s="1146">
        <v>72</v>
      </c>
      <c r="J863" s="1147">
        <v>897</v>
      </c>
      <c r="K863" s="1147">
        <v>13</v>
      </c>
      <c r="L863" s="1066" t="s">
        <v>988</v>
      </c>
      <c r="M863" s="959">
        <v>4800000</v>
      </c>
      <c r="N863" s="959">
        <v>27228636.236399997</v>
      </c>
      <c r="O863" s="1149">
        <v>18179773.134799998</v>
      </c>
      <c r="P863" s="950"/>
      <c r="Q863" s="950"/>
      <c r="R863" s="950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237">
        <f>MAX(J863/J900)</f>
        <v>8.5441591099596134E-2</v>
      </c>
      <c r="AD863" s="235">
        <f t="shared" si="160"/>
        <v>410119.63727806142</v>
      </c>
      <c r="AE863" s="238">
        <f>MAX(I863/I900)</f>
        <v>6.4408781063818379E-2</v>
      </c>
      <c r="AF863" s="235">
        <f t="shared" si="161"/>
        <v>1753763.270016639</v>
      </c>
      <c r="AG863" s="238">
        <f>MAX(H863/H900)</f>
        <v>7.617071070584859E-2</v>
      </c>
      <c r="AH863" s="235">
        <f t="shared" si="162"/>
        <v>1384766.2401488088</v>
      </c>
    </row>
    <row r="864" spans="1:34" ht="15" customHeight="1" x14ac:dyDescent="0.2">
      <c r="A864" s="962" t="s">
        <v>357</v>
      </c>
      <c r="B864" s="1498">
        <v>18.5</v>
      </c>
      <c r="C864" s="1146">
        <v>2</v>
      </c>
      <c r="D864" s="1146">
        <v>0</v>
      </c>
      <c r="E864" s="1146">
        <v>0</v>
      </c>
      <c r="F864" s="1146">
        <v>0</v>
      </c>
      <c r="G864" s="1146">
        <v>0</v>
      </c>
      <c r="H864" s="1146">
        <v>18.5</v>
      </c>
      <c r="I864" s="1146">
        <v>20.5</v>
      </c>
      <c r="J864" s="1147">
        <v>185</v>
      </c>
      <c r="K864" s="1147">
        <v>10</v>
      </c>
      <c r="L864" s="1066" t="s">
        <v>988</v>
      </c>
      <c r="M864" s="959">
        <v>4800000</v>
      </c>
      <c r="N864" s="959">
        <v>27228636.236399997</v>
      </c>
      <c r="O864" s="1149">
        <v>18179773.134799998</v>
      </c>
      <c r="P864" s="950"/>
      <c r="Q864" s="950"/>
      <c r="R864" s="950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237">
        <f>MAX(J864/J900)</f>
        <v>1.7621732835479693E-2</v>
      </c>
      <c r="AD864" s="235">
        <f t="shared" si="160"/>
        <v>84584.317610302533</v>
      </c>
      <c r="AE864" s="238">
        <f>MAX(I864/I900)</f>
        <v>1.8338611275114953E-2</v>
      </c>
      <c r="AF864" s="235">
        <f t="shared" si="161"/>
        <v>499335.37549084856</v>
      </c>
      <c r="AG864" s="238">
        <f>MAX(H864/H900)</f>
        <v>2.0422581855915927E-2</v>
      </c>
      <c r="AH864" s="235">
        <f t="shared" si="162"/>
        <v>371277.90496743424</v>
      </c>
    </row>
    <row r="865" spans="1:34" ht="15" customHeight="1" x14ac:dyDescent="0.2">
      <c r="A865" s="962" t="s">
        <v>358</v>
      </c>
      <c r="B865" s="1498">
        <v>116.5</v>
      </c>
      <c r="C865" s="1146">
        <v>0</v>
      </c>
      <c r="D865" s="1146">
        <v>0</v>
      </c>
      <c r="E865" s="1146">
        <v>0</v>
      </c>
      <c r="F865" s="1146">
        <v>0</v>
      </c>
      <c r="G865" s="1146">
        <v>0</v>
      </c>
      <c r="H865" s="1146">
        <v>116.5</v>
      </c>
      <c r="I865" s="1146">
        <v>116.5</v>
      </c>
      <c r="J865" s="1147">
        <v>1631</v>
      </c>
      <c r="K865" s="1147">
        <v>14</v>
      </c>
      <c r="L865" s="1066" t="s">
        <v>988</v>
      </c>
      <c r="M865" s="959">
        <v>4800000</v>
      </c>
      <c r="N865" s="959">
        <v>27228636.236399997</v>
      </c>
      <c r="O865" s="1149">
        <v>18179773.134799998</v>
      </c>
      <c r="P865" s="950"/>
      <c r="Q865" s="950"/>
      <c r="R865" s="950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237">
        <f>MAX(J865/J900)</f>
        <v>0.15535700678198583</v>
      </c>
      <c r="AD865" s="235">
        <f t="shared" si="160"/>
        <v>745713.63255353202</v>
      </c>
      <c r="AE865" s="238">
        <f>MAX(I865/I900)</f>
        <v>0.10421698602687278</v>
      </c>
      <c r="AF865" s="235">
        <f t="shared" si="161"/>
        <v>2837686.4021797003</v>
      </c>
      <c r="AG865" s="238">
        <f>MAX(H865/H900)</f>
        <v>0.12860706952509218</v>
      </c>
      <c r="AH865" s="235">
        <f t="shared" si="162"/>
        <v>2338047.3474976262</v>
      </c>
    </row>
    <row r="866" spans="1:34" ht="15" customHeight="1" x14ac:dyDescent="0.2">
      <c r="A866" s="962" t="s">
        <v>937</v>
      </c>
      <c r="B866" s="1498">
        <v>8</v>
      </c>
      <c r="C866" s="1146">
        <v>0</v>
      </c>
      <c r="D866" s="1146">
        <v>0</v>
      </c>
      <c r="E866" s="1146">
        <v>1</v>
      </c>
      <c r="F866" s="1146">
        <v>0</v>
      </c>
      <c r="G866" s="1146">
        <v>0</v>
      </c>
      <c r="H866" s="1146">
        <v>7</v>
      </c>
      <c r="I866" s="1146">
        <v>7</v>
      </c>
      <c r="J866" s="1147">
        <v>98</v>
      </c>
      <c r="K866" s="1147">
        <v>14</v>
      </c>
      <c r="L866" s="1066" t="s">
        <v>988</v>
      </c>
      <c r="M866" s="959">
        <v>4800000</v>
      </c>
      <c r="N866" s="959">
        <v>27228636.236399997</v>
      </c>
      <c r="O866" s="1149">
        <v>18179773.134799998</v>
      </c>
      <c r="P866" s="9"/>
      <c r="Q866" s="2005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237">
        <f>MAX(J866/J900)</f>
        <v>9.334755772308162E-3</v>
      </c>
      <c r="AD866" s="235">
        <f t="shared" si="160"/>
        <v>44806.827707079181</v>
      </c>
      <c r="AE866" s="238">
        <f>MAX(I866/I900)</f>
        <v>6.2619648256490084E-3</v>
      </c>
      <c r="AF866" s="235">
        <f t="shared" si="161"/>
        <v>170504.76236272877</v>
      </c>
      <c r="AG866" s="238">
        <f>MAX(H866/H900)</f>
        <v>7.7274634049411617E-3</v>
      </c>
      <c r="AH866" s="235">
        <f t="shared" si="162"/>
        <v>140483.53160929945</v>
      </c>
    </row>
    <row r="867" spans="1:34" ht="15" customHeight="1" x14ac:dyDescent="0.2">
      <c r="A867" s="962" t="s">
        <v>360</v>
      </c>
      <c r="B867" s="1498">
        <v>61.900000000000006</v>
      </c>
      <c r="C867" s="1146">
        <v>0</v>
      </c>
      <c r="D867" s="1146">
        <v>0</v>
      </c>
      <c r="E867" s="1146">
        <v>2</v>
      </c>
      <c r="F867" s="1146">
        <v>0</v>
      </c>
      <c r="G867" s="1146">
        <v>0</v>
      </c>
      <c r="H867" s="1146">
        <v>59.900000000000006</v>
      </c>
      <c r="I867" s="1146">
        <v>59.900000000000006</v>
      </c>
      <c r="J867" s="1147">
        <v>658.90000000000009</v>
      </c>
      <c r="K867" s="1147">
        <v>11</v>
      </c>
      <c r="L867" s="1066" t="s">
        <v>988</v>
      </c>
      <c r="M867" s="959">
        <v>4800000</v>
      </c>
      <c r="N867" s="959">
        <v>27228636.236399997</v>
      </c>
      <c r="O867" s="1149">
        <v>18179773.134799998</v>
      </c>
      <c r="P867" s="950"/>
      <c r="Q867" s="950"/>
      <c r="R867" s="950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237">
        <f>MAX(J867/J900)</f>
        <v>6.2761944677284173E-2</v>
      </c>
      <c r="AD867" s="235">
        <f t="shared" si="160"/>
        <v>301257.33445096406</v>
      </c>
      <c r="AE867" s="238">
        <f>MAX(I867/I900)</f>
        <v>5.3584527579482233E-2</v>
      </c>
      <c r="AF867" s="235">
        <f t="shared" si="161"/>
        <v>1459033.6093610649</v>
      </c>
      <c r="AG867" s="238">
        <f>MAX(H867/H900)</f>
        <v>6.6125008279425093E-2</v>
      </c>
      <c r="AH867" s="235">
        <f t="shared" si="162"/>
        <v>1202137.6490567198</v>
      </c>
    </row>
    <row r="868" spans="1:34" ht="15" customHeight="1" x14ac:dyDescent="0.2">
      <c r="A868" s="962" t="s">
        <v>938</v>
      </c>
      <c r="B868" s="1498">
        <v>2.5</v>
      </c>
      <c r="C868" s="1146">
        <v>1</v>
      </c>
      <c r="D868" s="1146">
        <v>0</v>
      </c>
      <c r="E868" s="1146">
        <v>0</v>
      </c>
      <c r="F868" s="1146">
        <v>0</v>
      </c>
      <c r="G868" s="1146">
        <v>0</v>
      </c>
      <c r="H868" s="1146">
        <v>2.5</v>
      </c>
      <c r="I868" s="1146">
        <v>3.5</v>
      </c>
      <c r="J868" s="1147">
        <v>22.5</v>
      </c>
      <c r="K868" s="1147">
        <v>9</v>
      </c>
      <c r="L868" s="1066" t="s">
        <v>988</v>
      </c>
      <c r="M868" s="959">
        <v>4800000</v>
      </c>
      <c r="N868" s="959">
        <v>27228636.236399997</v>
      </c>
      <c r="O868" s="1149">
        <v>18179773.134799998</v>
      </c>
      <c r="P868" s="950"/>
      <c r="Q868" s="950"/>
      <c r="R868" s="950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237">
        <f>MAX(J868/J900)</f>
        <v>2.1431837232340168E-3</v>
      </c>
      <c r="AD868" s="235">
        <f t="shared" si="160"/>
        <v>10287.281871523281</v>
      </c>
      <c r="AE868" s="238">
        <f>MAX(I868/I900)</f>
        <v>3.1309824128245042E-3</v>
      </c>
      <c r="AF868" s="235">
        <f t="shared" si="161"/>
        <v>85252.381181364384</v>
      </c>
      <c r="AG868" s="238">
        <f>MAX(H868/H900)</f>
        <v>2.7598083589075576E-3</v>
      </c>
      <c r="AH868" s="235">
        <f t="shared" si="162"/>
        <v>50172.689860464088</v>
      </c>
    </row>
    <row r="869" spans="1:34" ht="15" customHeight="1" x14ac:dyDescent="0.2">
      <c r="A869" s="962" t="s">
        <v>362</v>
      </c>
      <c r="B869" s="1498">
        <v>4.9999999999999964</v>
      </c>
      <c r="C869" s="1146">
        <v>4</v>
      </c>
      <c r="D869" s="1146">
        <v>0</v>
      </c>
      <c r="E869" s="1146">
        <v>1</v>
      </c>
      <c r="F869" s="1146">
        <v>0</v>
      </c>
      <c r="G869" s="1146">
        <v>0</v>
      </c>
      <c r="H869" s="1146">
        <v>3.9999999999999964</v>
      </c>
      <c r="I869" s="1146">
        <v>7.9999999999999964</v>
      </c>
      <c r="J869" s="1147">
        <v>51.999999999999957</v>
      </c>
      <c r="K869" s="1147">
        <v>13</v>
      </c>
      <c r="L869" s="1066" t="s">
        <v>988</v>
      </c>
      <c r="M869" s="959">
        <v>4800000</v>
      </c>
      <c r="N869" s="959">
        <v>27228636.236399997</v>
      </c>
      <c r="O869" s="1149">
        <v>18179773.134799998</v>
      </c>
      <c r="P869" s="950"/>
      <c r="Q869" s="950"/>
      <c r="R869" s="950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237">
        <f>MAX(J869/J900)</f>
        <v>4.9531357159186126E-3</v>
      </c>
      <c r="AD869" s="235">
        <f t="shared" si="160"/>
        <v>23775.05143640934</v>
      </c>
      <c r="AE869" s="238">
        <f>MAX(I869/I900)</f>
        <v>7.156531229313149E-3</v>
      </c>
      <c r="AF869" s="235">
        <f t="shared" si="161"/>
        <v>194862.58555740424</v>
      </c>
      <c r="AG869" s="238">
        <f>MAX(H869/H900)</f>
        <v>4.4156933742520886E-3</v>
      </c>
      <c r="AH869" s="235">
        <f t="shared" si="162"/>
        <v>80276.303776742468</v>
      </c>
    </row>
    <row r="870" spans="1:34" ht="15" customHeight="1" x14ac:dyDescent="0.2">
      <c r="A870" s="962" t="s">
        <v>363</v>
      </c>
      <c r="B870" s="1498">
        <v>22</v>
      </c>
      <c r="C870" s="1146">
        <v>5</v>
      </c>
      <c r="D870" s="1146">
        <v>3</v>
      </c>
      <c r="E870" s="1146">
        <v>0.5</v>
      </c>
      <c r="F870" s="1146">
        <v>0</v>
      </c>
      <c r="G870" s="1146">
        <v>0</v>
      </c>
      <c r="H870" s="1146">
        <v>18.5</v>
      </c>
      <c r="I870" s="1146">
        <v>26.5</v>
      </c>
      <c r="J870" s="1147">
        <v>277.5</v>
      </c>
      <c r="K870" s="1147">
        <v>15</v>
      </c>
      <c r="L870" s="1066" t="s">
        <v>988</v>
      </c>
      <c r="M870" s="959">
        <v>4800000</v>
      </c>
      <c r="N870" s="959">
        <v>27228636.236399997</v>
      </c>
      <c r="O870" s="1149">
        <v>18179773.134799998</v>
      </c>
      <c r="P870" s="950"/>
      <c r="Q870" s="950"/>
      <c r="R870" s="950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237">
        <f>MAX(J870/J900)</f>
        <v>2.643259925321954E-2</v>
      </c>
      <c r="AD870" s="235">
        <f t="shared" si="160"/>
        <v>126876.4764154538</v>
      </c>
      <c r="AE870" s="238">
        <f>MAX(I870/I900)</f>
        <v>2.3706009697099819E-2</v>
      </c>
      <c r="AF870" s="235">
        <f t="shared" si="161"/>
        <v>645482.31465890189</v>
      </c>
      <c r="AG870" s="238">
        <f>MAX(H870/H900)</f>
        <v>2.0422581855915927E-2</v>
      </c>
      <c r="AH870" s="235">
        <f t="shared" si="162"/>
        <v>371277.90496743424</v>
      </c>
    </row>
    <row r="871" spans="1:34" ht="15" customHeight="1" x14ac:dyDescent="0.2">
      <c r="A871" s="962" t="s">
        <v>939</v>
      </c>
      <c r="B871" s="1498">
        <v>51</v>
      </c>
      <c r="C871" s="1146">
        <v>0</v>
      </c>
      <c r="D871" s="1146">
        <v>0</v>
      </c>
      <c r="E871" s="1146">
        <v>8</v>
      </c>
      <c r="F871" s="1146">
        <v>14</v>
      </c>
      <c r="G871" s="1146">
        <v>12</v>
      </c>
      <c r="H871" s="1146">
        <v>17</v>
      </c>
      <c r="I871" s="1146">
        <v>29</v>
      </c>
      <c r="J871" s="1147">
        <v>238</v>
      </c>
      <c r="K871" s="1147">
        <v>14</v>
      </c>
      <c r="L871" s="1066" t="s">
        <v>988</v>
      </c>
      <c r="M871" s="959">
        <v>4800000</v>
      </c>
      <c r="N871" s="959">
        <v>27228636.236399997</v>
      </c>
      <c r="O871" s="1149">
        <v>18179773.134799998</v>
      </c>
      <c r="P871" s="950"/>
      <c r="Q871" s="950"/>
      <c r="R871" s="950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237">
        <f>MAX(J871/J900)</f>
        <v>2.267012116131982E-2</v>
      </c>
      <c r="AD871" s="235">
        <f t="shared" si="160"/>
        <v>108816.58157433514</v>
      </c>
      <c r="AE871" s="238">
        <f>MAX(I871/I900)</f>
        <v>2.5942425706260177E-2</v>
      </c>
      <c r="AF871" s="235">
        <f t="shared" si="161"/>
        <v>706376.87264559069</v>
      </c>
      <c r="AG871" s="238">
        <f>MAX(H871/H900)</f>
        <v>1.8766696840571393E-2</v>
      </c>
      <c r="AH871" s="235">
        <f t="shared" si="162"/>
        <v>341174.29105115583</v>
      </c>
    </row>
    <row r="872" spans="1:34" ht="15" customHeight="1" x14ac:dyDescent="0.2">
      <c r="A872" s="962" t="s">
        <v>365</v>
      </c>
      <c r="B872" s="1498">
        <v>8.5</v>
      </c>
      <c r="C872" s="1146">
        <v>3</v>
      </c>
      <c r="D872" s="1146">
        <v>1</v>
      </c>
      <c r="E872" s="1146">
        <v>0</v>
      </c>
      <c r="F872" s="1146">
        <v>0</v>
      </c>
      <c r="G872" s="1146">
        <v>2</v>
      </c>
      <c r="H872" s="1146">
        <v>5.5</v>
      </c>
      <c r="I872" s="1146">
        <v>11.5</v>
      </c>
      <c r="J872" s="1147">
        <v>82.5</v>
      </c>
      <c r="K872" s="1147">
        <v>15</v>
      </c>
      <c r="L872" s="1066" t="s">
        <v>988</v>
      </c>
      <c r="M872" s="959">
        <v>4800000</v>
      </c>
      <c r="N872" s="959">
        <v>27228636.236399997</v>
      </c>
      <c r="O872" s="1149">
        <v>18179773.134799998</v>
      </c>
      <c r="P872" s="950"/>
      <c r="Q872" s="950"/>
      <c r="R872" s="950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237">
        <f>MAX(J872/J900)</f>
        <v>7.8583403185247275E-3</v>
      </c>
      <c r="AD872" s="235">
        <f t="shared" si="160"/>
        <v>37720.033528918691</v>
      </c>
      <c r="AE872" s="238">
        <f>MAX(I872/I900)</f>
        <v>1.0287513642137657E-2</v>
      </c>
      <c r="AF872" s="235">
        <f t="shared" si="161"/>
        <v>280114.96673876874</v>
      </c>
      <c r="AG872" s="238">
        <f>MAX(H872/H900)</f>
        <v>6.0715783895966269E-3</v>
      </c>
      <c r="AH872" s="235">
        <f t="shared" si="162"/>
        <v>110379.91769302099</v>
      </c>
    </row>
    <row r="873" spans="1:34" ht="15" customHeight="1" x14ac:dyDescent="0.2">
      <c r="A873" s="962" t="s">
        <v>366</v>
      </c>
      <c r="B873" s="1498">
        <v>0</v>
      </c>
      <c r="C873" s="1146"/>
      <c r="D873" s="1146"/>
      <c r="E873" s="1146"/>
      <c r="F873" s="1146"/>
      <c r="G873" s="1146"/>
      <c r="H873" s="1146">
        <v>0</v>
      </c>
      <c r="I873" s="1146">
        <v>0</v>
      </c>
      <c r="J873" s="1147">
        <v>0</v>
      </c>
      <c r="K873" s="1147"/>
      <c r="L873" s="1066"/>
      <c r="M873" s="959"/>
      <c r="N873" s="1533"/>
      <c r="O873" s="1534"/>
      <c r="V873" s="9"/>
      <c r="W873" s="9"/>
      <c r="X873" s="9"/>
      <c r="Y873" s="9"/>
      <c r="Z873" s="9"/>
      <c r="AA873" s="9"/>
      <c r="AB873" s="9"/>
      <c r="AC873" s="237">
        <f>MAX(J873/J900)</f>
        <v>0</v>
      </c>
      <c r="AD873" s="235">
        <f t="shared" si="160"/>
        <v>0</v>
      </c>
      <c r="AE873" s="238">
        <f>MAX(I873/I900)</f>
        <v>0</v>
      </c>
      <c r="AF873" s="235">
        <f t="shared" si="161"/>
        <v>0</v>
      </c>
      <c r="AG873" s="238">
        <f>MAX(H873/H900)</f>
        <v>0</v>
      </c>
      <c r="AH873" s="235">
        <f t="shared" si="162"/>
        <v>0</v>
      </c>
    </row>
    <row r="874" spans="1:34" ht="15" customHeight="1" x14ac:dyDescent="0.2">
      <c r="A874" s="962" t="s">
        <v>367</v>
      </c>
      <c r="B874" s="1498">
        <v>0</v>
      </c>
      <c r="C874" s="1146"/>
      <c r="D874" s="1146"/>
      <c r="E874" s="1146"/>
      <c r="F874" s="1146"/>
      <c r="G874" s="1146"/>
      <c r="H874" s="1146">
        <v>0</v>
      </c>
      <c r="I874" s="1146">
        <v>0</v>
      </c>
      <c r="J874" s="1147">
        <v>0</v>
      </c>
      <c r="K874" s="1147"/>
      <c r="L874" s="1148"/>
      <c r="M874" s="959"/>
      <c r="N874" s="1533"/>
      <c r="O874" s="1534"/>
      <c r="V874" s="9"/>
      <c r="W874" s="9"/>
      <c r="X874" s="9"/>
      <c r="Y874" s="9"/>
      <c r="Z874" s="9"/>
      <c r="AA874" s="9"/>
      <c r="AB874" s="1966"/>
      <c r="AC874" s="237">
        <f>MAX(J874/J900)</f>
        <v>0</v>
      </c>
      <c r="AD874" s="235">
        <f t="shared" si="160"/>
        <v>0</v>
      </c>
      <c r="AE874" s="238">
        <f>MAX(I874/I900)</f>
        <v>0</v>
      </c>
      <c r="AF874" s="235">
        <f t="shared" si="161"/>
        <v>0</v>
      </c>
      <c r="AG874" s="238">
        <f>MAX(H874/H900)</f>
        <v>0</v>
      </c>
      <c r="AH874" s="235">
        <f t="shared" si="162"/>
        <v>0</v>
      </c>
    </row>
    <row r="875" spans="1:34" ht="15" customHeight="1" x14ac:dyDescent="0.2">
      <c r="A875" s="434" t="s">
        <v>940</v>
      </c>
      <c r="B875" s="1002">
        <v>121</v>
      </c>
      <c r="C875" s="1002">
        <v>28</v>
      </c>
      <c r="D875" s="1002">
        <v>0</v>
      </c>
      <c r="E875" s="1002">
        <v>1</v>
      </c>
      <c r="F875" s="1002">
        <v>3</v>
      </c>
      <c r="G875" s="1002">
        <v>40</v>
      </c>
      <c r="H875" s="1002">
        <v>77</v>
      </c>
      <c r="I875" s="1002">
        <v>145</v>
      </c>
      <c r="J875" s="1150">
        <v>747.5</v>
      </c>
      <c r="K875" s="1150">
        <v>9.7077922077922079</v>
      </c>
      <c r="L875" s="1152"/>
      <c r="M875" s="996"/>
      <c r="N875" s="435"/>
      <c r="O875" s="436"/>
      <c r="V875" s="9"/>
      <c r="W875" s="9"/>
      <c r="X875" s="9"/>
      <c r="Y875" s="9"/>
      <c r="Z875" s="9"/>
      <c r="AA875" s="9"/>
      <c r="AB875" s="1966"/>
      <c r="AC875" s="1157"/>
      <c r="AD875" s="1156"/>
      <c r="AE875" s="1158"/>
      <c r="AF875" s="1156"/>
      <c r="AG875" s="1158"/>
      <c r="AH875" s="1156"/>
    </row>
    <row r="876" spans="1:34" ht="15" customHeight="1" x14ac:dyDescent="0.2">
      <c r="A876" s="962" t="s">
        <v>369</v>
      </c>
      <c r="B876" s="1498">
        <v>72.5</v>
      </c>
      <c r="C876" s="1146">
        <v>8</v>
      </c>
      <c r="D876" s="1146">
        <v>0</v>
      </c>
      <c r="E876" s="1146">
        <v>1</v>
      </c>
      <c r="F876" s="1146">
        <v>3</v>
      </c>
      <c r="G876" s="1146">
        <v>15</v>
      </c>
      <c r="H876" s="1146">
        <v>53.5</v>
      </c>
      <c r="I876" s="1146">
        <v>76.5</v>
      </c>
      <c r="J876" s="1147">
        <v>535</v>
      </c>
      <c r="K876" s="1147">
        <v>10</v>
      </c>
      <c r="L876" s="1066" t="s">
        <v>988</v>
      </c>
      <c r="M876" s="959">
        <v>4800000</v>
      </c>
      <c r="N876" s="959">
        <v>27228636.236399997</v>
      </c>
      <c r="O876" s="1149">
        <v>18179773.134799998</v>
      </c>
      <c r="P876" s="950"/>
      <c r="Q876" s="950"/>
      <c r="R876" s="950"/>
      <c r="S876" s="9"/>
      <c r="T876" s="9"/>
      <c r="U876" s="9"/>
      <c r="V876" s="9"/>
      <c r="W876" s="9"/>
      <c r="X876" s="9"/>
      <c r="Y876" s="9"/>
      <c r="Z876" s="9"/>
      <c r="AA876" s="9"/>
      <c r="AB876" s="1966"/>
      <c r="AC876" s="237">
        <f>MAX(J876/J900)</f>
        <v>5.0960146308008838E-2</v>
      </c>
      <c r="AD876" s="235">
        <f>MAX(M876*AC876)</f>
        <v>244608.70227844242</v>
      </c>
      <c r="AE876" s="238">
        <f>MAX(I876/I900)</f>
        <v>6.8434329880307024E-2</v>
      </c>
      <c r="AF876" s="235">
        <f>MAX(N876*AE876)</f>
        <v>1863373.4743926788</v>
      </c>
      <c r="AG876" s="238">
        <f>MAX(H876/H900)</f>
        <v>5.9059898880621735E-2</v>
      </c>
      <c r="AH876" s="235">
        <f>MAX(O876*AG876)</f>
        <v>1073695.5630139315</v>
      </c>
    </row>
    <row r="877" spans="1:34" ht="15" customHeight="1" x14ac:dyDescent="0.2">
      <c r="A877" s="962" t="s">
        <v>370</v>
      </c>
      <c r="B877" s="1498">
        <v>39.5</v>
      </c>
      <c r="C877" s="1146">
        <v>10</v>
      </c>
      <c r="D877" s="1146">
        <v>0</v>
      </c>
      <c r="E877" s="1146">
        <v>0</v>
      </c>
      <c r="F877" s="1146">
        <v>0</v>
      </c>
      <c r="G877" s="1146">
        <v>25</v>
      </c>
      <c r="H877" s="1146">
        <v>14.5</v>
      </c>
      <c r="I877" s="1146">
        <v>49.5</v>
      </c>
      <c r="J877" s="1147">
        <v>101.5</v>
      </c>
      <c r="K877" s="1147">
        <v>7</v>
      </c>
      <c r="L877" s="1066" t="s">
        <v>988</v>
      </c>
      <c r="M877" s="959">
        <v>4800000</v>
      </c>
      <c r="N877" s="959">
        <v>27228636.236399997</v>
      </c>
      <c r="O877" s="1149">
        <v>18179773.134799998</v>
      </c>
      <c r="P877" s="950"/>
      <c r="Q877" s="950"/>
      <c r="R877" s="950"/>
      <c r="S877" s="9"/>
      <c r="T877" s="9"/>
      <c r="U877" s="9"/>
      <c r="V877" s="9"/>
      <c r="W877" s="9"/>
      <c r="X877" s="9"/>
      <c r="Y877" s="9"/>
      <c r="Z877" s="9"/>
      <c r="AA877" s="9"/>
      <c r="AB877" s="1966"/>
      <c r="AC877" s="237">
        <f>MAX(J877/J900)</f>
        <v>9.6681399070334528E-3</v>
      </c>
      <c r="AD877" s="235">
        <f>MAX(M877*AC877)</f>
        <v>46407.071553760572</v>
      </c>
      <c r="AE877" s="238">
        <f>MAX(I877/I900)</f>
        <v>4.428103698137513E-2</v>
      </c>
      <c r="AF877" s="235">
        <f>MAX(N877*AE877)</f>
        <v>1205712.2481364391</v>
      </c>
      <c r="AG877" s="238">
        <f>MAX(H877/H900)</f>
        <v>1.6006888481663834E-2</v>
      </c>
      <c r="AH877" s="235">
        <f>MAX(O877*AG877)</f>
        <v>291001.6011906917</v>
      </c>
    </row>
    <row r="878" spans="1:34" ht="15" customHeight="1" x14ac:dyDescent="0.2">
      <c r="A878" s="962" t="s">
        <v>371</v>
      </c>
      <c r="B878" s="1498">
        <v>5</v>
      </c>
      <c r="C878" s="1146">
        <v>10</v>
      </c>
      <c r="D878" s="1146">
        <v>0</v>
      </c>
      <c r="E878" s="1146">
        <v>0</v>
      </c>
      <c r="F878" s="1146">
        <v>0</v>
      </c>
      <c r="G878" s="1146">
        <v>0</v>
      </c>
      <c r="H878" s="1146">
        <v>5</v>
      </c>
      <c r="I878" s="1146">
        <v>15</v>
      </c>
      <c r="J878" s="1147">
        <v>75</v>
      </c>
      <c r="K878" s="1147">
        <v>15</v>
      </c>
      <c r="L878" s="1066" t="s">
        <v>988</v>
      </c>
      <c r="M878" s="959">
        <v>4800000</v>
      </c>
      <c r="N878" s="959">
        <v>27228636.236399997</v>
      </c>
      <c r="O878" s="1149">
        <v>18179773.134799998</v>
      </c>
      <c r="P878" s="950"/>
      <c r="Q878" s="950"/>
      <c r="R878" s="950"/>
      <c r="S878" s="9"/>
      <c r="T878" s="9"/>
      <c r="U878" s="9"/>
      <c r="V878" s="9"/>
      <c r="W878" s="9"/>
      <c r="X878" s="9"/>
      <c r="Y878" s="9"/>
      <c r="Z878" s="9"/>
      <c r="AA878" s="9"/>
      <c r="AB878" s="1966"/>
      <c r="AC878" s="237">
        <f>MAX(J878/J900)</f>
        <v>7.1439457441133886E-3</v>
      </c>
      <c r="AD878" s="235">
        <f>MAX(M878*AC878)</f>
        <v>34290.939571744268</v>
      </c>
      <c r="AE878" s="238">
        <f>MAX(I878/I900)</f>
        <v>1.3418496054962162E-2</v>
      </c>
      <c r="AF878" s="235">
        <f>MAX(N878*AE878)</f>
        <v>365367.34792013315</v>
      </c>
      <c r="AG878" s="238">
        <f>MAX(H878/H900)</f>
        <v>5.5196167178151153E-3</v>
      </c>
      <c r="AH878" s="235">
        <f>MAX(O878*AG878)</f>
        <v>100345.37972092818</v>
      </c>
    </row>
    <row r="879" spans="1:34" ht="15" customHeight="1" x14ac:dyDescent="0.2">
      <c r="A879" s="962" t="s">
        <v>372</v>
      </c>
      <c r="B879" s="1498">
        <v>0</v>
      </c>
      <c r="C879" s="1146">
        <v>0</v>
      </c>
      <c r="D879" s="1146">
        <v>0</v>
      </c>
      <c r="E879" s="1146">
        <v>0</v>
      </c>
      <c r="F879" s="1146">
        <v>0</v>
      </c>
      <c r="G879" s="1146">
        <v>0</v>
      </c>
      <c r="H879" s="1146">
        <v>0</v>
      </c>
      <c r="I879" s="1146">
        <v>0</v>
      </c>
      <c r="J879" s="1147">
        <v>0</v>
      </c>
      <c r="K879" s="1147">
        <v>0</v>
      </c>
      <c r="L879" s="1066"/>
      <c r="M879" s="959"/>
      <c r="N879" s="959"/>
      <c r="O879" s="1149"/>
      <c r="U879" s="9"/>
      <c r="V879" s="9"/>
      <c r="W879" s="9"/>
      <c r="X879" s="9"/>
      <c r="Y879" s="9"/>
      <c r="Z879" s="9"/>
      <c r="AA879" s="9"/>
      <c r="AB879" s="1966"/>
      <c r="AC879" s="237">
        <f>MAX(J879/J900)</f>
        <v>0</v>
      </c>
      <c r="AD879" s="235">
        <f>MAX(M879*AC879)</f>
        <v>0</v>
      </c>
      <c r="AE879" s="238">
        <f>MAX(I879/I900)</f>
        <v>0</v>
      </c>
      <c r="AF879" s="235">
        <f>MAX(N879*AE879)</f>
        <v>0</v>
      </c>
      <c r="AG879" s="238">
        <f>MAX(H879/H900)</f>
        <v>0</v>
      </c>
      <c r="AH879" s="235">
        <f>MAX(O879*AG879)</f>
        <v>0</v>
      </c>
    </row>
    <row r="880" spans="1:34" ht="15" customHeight="1" x14ac:dyDescent="0.2">
      <c r="A880" s="962" t="s">
        <v>373</v>
      </c>
      <c r="B880" s="956">
        <v>4</v>
      </c>
      <c r="C880" s="1146">
        <v>0</v>
      </c>
      <c r="D880" s="1146">
        <v>0</v>
      </c>
      <c r="E880" s="1146">
        <v>0</v>
      </c>
      <c r="F880" s="1146">
        <v>0</v>
      </c>
      <c r="G880" s="1146">
        <v>0</v>
      </c>
      <c r="H880" s="1146">
        <v>4</v>
      </c>
      <c r="I880" s="1146">
        <v>4</v>
      </c>
      <c r="J880" s="1147">
        <v>36</v>
      </c>
      <c r="K880" s="1147">
        <v>9</v>
      </c>
      <c r="L880" s="1066" t="s">
        <v>988</v>
      </c>
      <c r="M880" s="959">
        <v>4800000</v>
      </c>
      <c r="N880" s="959">
        <v>27228636.236399997</v>
      </c>
      <c r="O880" s="1149">
        <v>18179773.134799998</v>
      </c>
      <c r="P880" s="9"/>
      <c r="Q880" s="2005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1966"/>
      <c r="AC880" s="237">
        <f>MAX(J880/J900)</f>
        <v>3.4290939571744268E-3</v>
      </c>
      <c r="AD880" s="235">
        <f>MAX(M880*AC880)</f>
        <v>16459.650994437248</v>
      </c>
      <c r="AE880" s="238">
        <f>MAX(I880/I900)</f>
        <v>3.5782656146565762E-3</v>
      </c>
      <c r="AF880" s="235">
        <f>MAX(N880*AE880)</f>
        <v>97431.292778702162</v>
      </c>
      <c r="AG880" s="238">
        <f>MAX(H880/H900)</f>
        <v>4.415693374252092E-3</v>
      </c>
      <c r="AH880" s="235">
        <f>MAX(O880*AG880)</f>
        <v>80276.303776742541</v>
      </c>
    </row>
    <row r="881" spans="1:34" ht="15" customHeight="1" x14ac:dyDescent="0.2">
      <c r="A881" s="1154" t="s">
        <v>374</v>
      </c>
      <c r="B881" s="1002">
        <v>215.66</v>
      </c>
      <c r="C881" s="1002">
        <v>31</v>
      </c>
      <c r="D881" s="1002">
        <v>13</v>
      </c>
      <c r="E881" s="1002">
        <v>10</v>
      </c>
      <c r="F881" s="1002">
        <v>6</v>
      </c>
      <c r="G881" s="1002">
        <v>2</v>
      </c>
      <c r="H881" s="1002">
        <v>184.66</v>
      </c>
      <c r="I881" s="1002">
        <v>230.66</v>
      </c>
      <c r="J881" s="1150">
        <v>2140.5</v>
      </c>
      <c r="K881" s="1150">
        <v>11.591573703021769</v>
      </c>
      <c r="L881" s="1152"/>
      <c r="M881" s="996"/>
      <c r="N881" s="435"/>
      <c r="O881" s="436"/>
      <c r="U881" s="9"/>
      <c r="V881" s="9"/>
      <c r="W881" s="9"/>
      <c r="X881" s="9"/>
      <c r="Y881" s="9"/>
      <c r="Z881" s="9"/>
      <c r="AA881" s="9"/>
      <c r="AB881" s="1966"/>
      <c r="AC881" s="1157"/>
      <c r="AD881" s="1156"/>
      <c r="AE881" s="1158"/>
      <c r="AF881" s="1156"/>
      <c r="AG881" s="1158"/>
      <c r="AH881" s="1156"/>
    </row>
    <row r="882" spans="1:34" ht="15" customHeight="1" x14ac:dyDescent="0.2">
      <c r="A882" s="962" t="s">
        <v>375</v>
      </c>
      <c r="B882" s="1498">
        <v>69</v>
      </c>
      <c r="C882" s="1146">
        <v>5</v>
      </c>
      <c r="D882" s="1146">
        <v>3</v>
      </c>
      <c r="E882" s="1146">
        <v>1</v>
      </c>
      <c r="F882" s="1146">
        <v>1</v>
      </c>
      <c r="G882" s="1146">
        <v>0</v>
      </c>
      <c r="H882" s="1146">
        <v>64</v>
      </c>
      <c r="I882" s="1146">
        <v>72</v>
      </c>
      <c r="J882" s="1147">
        <v>896</v>
      </c>
      <c r="K882" s="1147">
        <v>14</v>
      </c>
      <c r="L882" s="1066" t="s">
        <v>988</v>
      </c>
      <c r="M882" s="959">
        <v>4800000</v>
      </c>
      <c r="N882" s="959">
        <v>27228636.236399997</v>
      </c>
      <c r="O882" s="1149">
        <v>18179773.134799998</v>
      </c>
      <c r="P882" s="950"/>
      <c r="Q882" s="950"/>
      <c r="R882" s="950"/>
      <c r="S882" s="9"/>
      <c r="T882" s="9"/>
      <c r="U882" s="9"/>
      <c r="V882" s="9"/>
      <c r="W882" s="9"/>
      <c r="X882" s="9"/>
      <c r="Y882" s="9"/>
      <c r="Z882" s="9"/>
      <c r="AA882" s="9"/>
      <c r="AB882" s="1966"/>
      <c r="AC882" s="237">
        <f>MAX(J882/J900)</f>
        <v>8.5346338489674614E-2</v>
      </c>
      <c r="AD882" s="235">
        <f t="shared" ref="AD882:AD889" si="163">MAX(M882*AC882)</f>
        <v>409662.42475043813</v>
      </c>
      <c r="AE882" s="238">
        <f>MAX(I882/I900)</f>
        <v>6.4408781063818379E-2</v>
      </c>
      <c r="AF882" s="235">
        <f t="shared" ref="AF882:AF889" si="164">MAX(N882*AE882)</f>
        <v>1753763.270016639</v>
      </c>
      <c r="AG882" s="238">
        <f>MAX(H882/H900)</f>
        <v>7.0651093988033473E-2</v>
      </c>
      <c r="AH882" s="235">
        <f t="shared" ref="AH882:AH889" si="165">MAX(O882*AG882)</f>
        <v>1284420.8604278807</v>
      </c>
    </row>
    <row r="883" spans="1:34" ht="15" customHeight="1" x14ac:dyDescent="0.2">
      <c r="A883" s="962" t="s">
        <v>376</v>
      </c>
      <c r="B883" s="1498">
        <v>5.5100000000000007</v>
      </c>
      <c r="C883" s="1146">
        <v>4</v>
      </c>
      <c r="D883" s="1146">
        <v>0</v>
      </c>
      <c r="E883" s="1146">
        <v>0</v>
      </c>
      <c r="F883" s="1146">
        <v>0</v>
      </c>
      <c r="G883" s="1146">
        <v>0</v>
      </c>
      <c r="H883" s="1146">
        <v>5.5100000000000016</v>
      </c>
      <c r="I883" s="1146">
        <v>9.5100000000000016</v>
      </c>
      <c r="J883" s="1147">
        <v>55.100000000000016</v>
      </c>
      <c r="K883" s="1147">
        <v>10</v>
      </c>
      <c r="L883" s="1066" t="s">
        <v>988</v>
      </c>
      <c r="M883" s="959">
        <v>4800000</v>
      </c>
      <c r="N883" s="959">
        <v>27228636.236399997</v>
      </c>
      <c r="O883" s="1149">
        <v>18179773.134799998</v>
      </c>
      <c r="P883" s="950"/>
      <c r="Q883" s="950"/>
      <c r="R883" s="950"/>
      <c r="S883" s="9"/>
      <c r="T883" s="9"/>
      <c r="U883" s="9"/>
      <c r="V883" s="9"/>
      <c r="W883" s="9"/>
      <c r="X883" s="9"/>
      <c r="Y883" s="9"/>
      <c r="Z883" s="9"/>
      <c r="AA883" s="9"/>
      <c r="AB883" s="1966"/>
      <c r="AC883" s="237">
        <f>MAX(J883/J900)</f>
        <v>5.2484188066753042E-3</v>
      </c>
      <c r="AD883" s="235">
        <f t="shared" si="163"/>
        <v>25192.410272041459</v>
      </c>
      <c r="AE883" s="238">
        <f>MAX(I883/I900)</f>
        <v>8.5073264988460122E-3</v>
      </c>
      <c r="AF883" s="235">
        <f t="shared" si="164"/>
        <v>231642.89858136445</v>
      </c>
      <c r="AG883" s="238">
        <f>MAX(H883/H900)</f>
        <v>6.0826176230322588E-3</v>
      </c>
      <c r="AH883" s="235">
        <f t="shared" si="165"/>
        <v>110580.60845246288</v>
      </c>
    </row>
    <row r="884" spans="1:34" ht="15" customHeight="1" x14ac:dyDescent="0.2">
      <c r="A884" s="962" t="s">
        <v>377</v>
      </c>
      <c r="B884" s="1498">
        <v>3</v>
      </c>
      <c r="C884" s="1146">
        <v>1</v>
      </c>
      <c r="D884" s="1146"/>
      <c r="E884" s="1146"/>
      <c r="F884" s="1146"/>
      <c r="G884" s="1146"/>
      <c r="H884" s="1146">
        <v>3</v>
      </c>
      <c r="I884" s="1146">
        <v>4</v>
      </c>
      <c r="J884" s="1147">
        <v>30</v>
      </c>
      <c r="K884" s="1147">
        <v>10</v>
      </c>
      <c r="L884" s="1066" t="s">
        <v>988</v>
      </c>
      <c r="M884" s="959">
        <v>4800000</v>
      </c>
      <c r="N884" s="959">
        <v>27228636.236399997</v>
      </c>
      <c r="O884" s="1149">
        <v>18179773.134799998</v>
      </c>
      <c r="P884" s="950"/>
      <c r="Q884" s="950"/>
      <c r="R884" s="950"/>
      <c r="S884" s="9"/>
      <c r="T884" s="9"/>
      <c r="U884" s="9"/>
      <c r="V884" s="9"/>
      <c r="W884" s="9"/>
      <c r="X884" s="9"/>
      <c r="Y884" s="9"/>
      <c r="Z884" s="9"/>
      <c r="AA884" s="9"/>
      <c r="AB884" s="1966"/>
      <c r="AC884" s="237">
        <f>MAX(J884/J900)</f>
        <v>2.8575782976453558E-3</v>
      </c>
      <c r="AD884" s="235">
        <f t="shared" si="163"/>
        <v>13716.375828697708</v>
      </c>
      <c r="AE884" s="238">
        <f>MAX(I884/I900)</f>
        <v>3.5782656146565762E-3</v>
      </c>
      <c r="AF884" s="235">
        <f t="shared" si="164"/>
        <v>97431.292778702162</v>
      </c>
      <c r="AG884" s="238">
        <f>MAX(H884/H900)</f>
        <v>3.3117700306890692E-3</v>
      </c>
      <c r="AH884" s="235">
        <f t="shared" si="165"/>
        <v>60207.227832556906</v>
      </c>
    </row>
    <row r="885" spans="1:34" ht="15" customHeight="1" x14ac:dyDescent="0.2">
      <c r="A885" s="962" t="s">
        <v>378</v>
      </c>
      <c r="B885" s="1498">
        <v>40.9</v>
      </c>
      <c r="C885" s="1146">
        <v>0</v>
      </c>
      <c r="D885" s="1146">
        <v>0</v>
      </c>
      <c r="E885" s="1146">
        <v>0</v>
      </c>
      <c r="F885" s="1146">
        <v>0</v>
      </c>
      <c r="G885" s="1146">
        <v>0</v>
      </c>
      <c r="H885" s="1146">
        <v>40.9</v>
      </c>
      <c r="I885" s="1146">
        <v>40.9</v>
      </c>
      <c r="J885" s="1147">
        <v>449.9</v>
      </c>
      <c r="K885" s="1147">
        <v>11</v>
      </c>
      <c r="L885" s="1066" t="s">
        <v>988</v>
      </c>
      <c r="M885" s="959">
        <v>4800000</v>
      </c>
      <c r="N885" s="959">
        <v>27228636.236399997</v>
      </c>
      <c r="O885" s="1149">
        <v>18179773.134799998</v>
      </c>
      <c r="P885" s="950"/>
      <c r="Q885" s="950"/>
      <c r="R885" s="950"/>
      <c r="S885" s="9"/>
      <c r="T885" s="9"/>
      <c r="U885" s="9"/>
      <c r="V885" s="9"/>
      <c r="W885" s="9"/>
      <c r="X885" s="9"/>
      <c r="Y885" s="9"/>
      <c r="Z885" s="9"/>
      <c r="AA885" s="9"/>
      <c r="AB885" s="1966"/>
      <c r="AC885" s="237">
        <f>MAX(J885/J900)</f>
        <v>4.2854149203688179E-2</v>
      </c>
      <c r="AD885" s="235">
        <f t="shared" si="163"/>
        <v>205699.91617770327</v>
      </c>
      <c r="AE885" s="238">
        <f>MAX(I885/I900)</f>
        <v>3.6587765909863491E-2</v>
      </c>
      <c r="AF885" s="235">
        <f t="shared" si="164"/>
        <v>996234.9686622296</v>
      </c>
      <c r="AG885" s="238">
        <f>MAX(H885/H900)</f>
        <v>4.5150464751727647E-2</v>
      </c>
      <c r="AH885" s="235">
        <f t="shared" si="165"/>
        <v>820825.20611719252</v>
      </c>
    </row>
    <row r="886" spans="1:34" ht="15" customHeight="1" x14ac:dyDescent="0.2">
      <c r="A886" s="962" t="s">
        <v>379</v>
      </c>
      <c r="B886" s="1498">
        <v>23</v>
      </c>
      <c r="C886" s="1146">
        <v>5</v>
      </c>
      <c r="D886" s="1146"/>
      <c r="E886" s="1146"/>
      <c r="F886" s="1146"/>
      <c r="G886" s="1146"/>
      <c r="H886" s="1146">
        <v>23</v>
      </c>
      <c r="I886" s="1146">
        <v>28</v>
      </c>
      <c r="J886" s="1147">
        <v>276</v>
      </c>
      <c r="K886" s="1147">
        <v>12</v>
      </c>
      <c r="L886" s="1066" t="s">
        <v>988</v>
      </c>
      <c r="M886" s="959">
        <v>4800000</v>
      </c>
      <c r="N886" s="959">
        <v>27228636.236399997</v>
      </c>
      <c r="O886" s="1149">
        <v>18179773.134799998</v>
      </c>
      <c r="P886" s="950"/>
      <c r="Q886" s="950"/>
      <c r="R886" s="950"/>
      <c r="S886" s="9"/>
      <c r="T886" s="9"/>
      <c r="U886" s="9"/>
      <c r="V886" s="9"/>
      <c r="W886" s="9"/>
      <c r="X886" s="9"/>
      <c r="Y886" s="9"/>
      <c r="Z886" s="9"/>
      <c r="AA886" s="9"/>
      <c r="AB886" s="1966"/>
      <c r="AC886" s="237">
        <f>MAX(J886/J900)</f>
        <v>2.628972033833727E-2</v>
      </c>
      <c r="AD886" s="235">
        <f t="shared" si="163"/>
        <v>126190.6576240189</v>
      </c>
      <c r="AE886" s="238">
        <f>MAX(I886/I900)</f>
        <v>2.5047859302596034E-2</v>
      </c>
      <c r="AF886" s="235">
        <f t="shared" si="164"/>
        <v>682019.04945091507</v>
      </c>
      <c r="AG886" s="238">
        <f>MAX(H886/H900)</f>
        <v>2.5390236901949532E-2</v>
      </c>
      <c r="AH886" s="235">
        <f t="shared" si="165"/>
        <v>461588.74671626964</v>
      </c>
    </row>
    <row r="887" spans="1:34" ht="15" customHeight="1" x14ac:dyDescent="0.2">
      <c r="A887" s="962" t="s">
        <v>380</v>
      </c>
      <c r="B887" s="1498">
        <v>14</v>
      </c>
      <c r="C887" s="1146">
        <v>2</v>
      </c>
      <c r="D887" s="1146">
        <v>0</v>
      </c>
      <c r="E887" s="1146">
        <v>0</v>
      </c>
      <c r="F887" s="1146">
        <v>2</v>
      </c>
      <c r="G887" s="1146">
        <v>0</v>
      </c>
      <c r="H887" s="1146">
        <v>12</v>
      </c>
      <c r="I887" s="1146">
        <v>14</v>
      </c>
      <c r="J887" s="1147">
        <v>102</v>
      </c>
      <c r="K887" s="1147">
        <v>8.5</v>
      </c>
      <c r="L887" s="1066" t="s">
        <v>988</v>
      </c>
      <c r="M887" s="959">
        <v>4800000</v>
      </c>
      <c r="N887" s="959">
        <v>27228636.236399997</v>
      </c>
      <c r="O887" s="1149">
        <v>18179773.134799998</v>
      </c>
      <c r="P887" s="950"/>
      <c r="Q887" s="950"/>
      <c r="R887" s="950"/>
      <c r="S887" s="9"/>
      <c r="T887" s="9"/>
      <c r="U887" s="9"/>
      <c r="V887" s="9"/>
      <c r="W887" s="9"/>
      <c r="X887" s="9"/>
      <c r="Y887" s="9"/>
      <c r="Z887" s="9"/>
      <c r="AA887" s="9"/>
      <c r="AB887" s="1966"/>
      <c r="AC887" s="237">
        <f>MAX(J887/J900)</f>
        <v>9.7157662119942093E-3</v>
      </c>
      <c r="AD887" s="235">
        <f t="shared" si="163"/>
        <v>46635.677817572207</v>
      </c>
      <c r="AE887" s="238">
        <f>MAX(I887/I900)</f>
        <v>1.2523929651298017E-2</v>
      </c>
      <c r="AF887" s="235">
        <f t="shared" si="164"/>
        <v>341009.52472545754</v>
      </c>
      <c r="AG887" s="238">
        <f>MAX(H887/H900)</f>
        <v>1.3247080122756277E-2</v>
      </c>
      <c r="AH887" s="235">
        <f t="shared" si="165"/>
        <v>240828.91133022762</v>
      </c>
    </row>
    <row r="888" spans="1:34" ht="15" customHeight="1" x14ac:dyDescent="0.2">
      <c r="A888" s="962" t="s">
        <v>381</v>
      </c>
      <c r="B888" s="1498">
        <v>31</v>
      </c>
      <c r="C888" s="1146">
        <v>4</v>
      </c>
      <c r="D888" s="1146"/>
      <c r="E888" s="1146"/>
      <c r="F888" s="1146"/>
      <c r="G888" s="1146"/>
      <c r="H888" s="1146">
        <v>31</v>
      </c>
      <c r="I888" s="1146">
        <v>35</v>
      </c>
      <c r="J888" s="1147">
        <v>279</v>
      </c>
      <c r="K888" s="1147">
        <v>9</v>
      </c>
      <c r="L888" s="1066" t="s">
        <v>988</v>
      </c>
      <c r="M888" s="959">
        <v>4800000</v>
      </c>
      <c r="N888" s="959">
        <v>27228636.236399997</v>
      </c>
      <c r="O888" s="1149">
        <v>18179773.134799998</v>
      </c>
      <c r="P888" s="950"/>
      <c r="Q888" s="950"/>
      <c r="R888" s="950"/>
      <c r="S888" s="9"/>
      <c r="T888" s="9"/>
      <c r="U888" s="9"/>
      <c r="V888" s="9"/>
      <c r="W888" s="9"/>
      <c r="X888" s="9"/>
      <c r="Y888" s="9"/>
      <c r="Z888" s="9"/>
      <c r="AA888" s="9"/>
      <c r="AB888" s="1966"/>
      <c r="AC888" s="237">
        <f>MAX(J888/J900)</f>
        <v>2.6575478168101806E-2</v>
      </c>
      <c r="AD888" s="235">
        <f t="shared" si="163"/>
        <v>127562.29520688867</v>
      </c>
      <c r="AE888" s="238">
        <f>MAX(I888/I900)</f>
        <v>3.130982412824504E-2</v>
      </c>
      <c r="AF888" s="235">
        <f t="shared" si="164"/>
        <v>852523.81181364378</v>
      </c>
      <c r="AG888" s="238">
        <f>MAX(H888/H900)</f>
        <v>3.4221623650453718E-2</v>
      </c>
      <c r="AH888" s="235">
        <f t="shared" si="165"/>
        <v>622141.35426975472</v>
      </c>
    </row>
    <row r="889" spans="1:34" ht="15" customHeight="1" x14ac:dyDescent="0.2">
      <c r="A889" s="962" t="s">
        <v>382</v>
      </c>
      <c r="B889" s="1498">
        <v>29.25</v>
      </c>
      <c r="C889" s="1146">
        <v>10</v>
      </c>
      <c r="D889" s="1146">
        <v>10</v>
      </c>
      <c r="E889" s="1146">
        <v>9</v>
      </c>
      <c r="F889" s="1146">
        <v>3</v>
      </c>
      <c r="G889" s="1146">
        <v>2</v>
      </c>
      <c r="H889" s="2159">
        <v>5.25</v>
      </c>
      <c r="I889" s="1146">
        <v>27.25</v>
      </c>
      <c r="J889" s="2155">
        <v>52.5</v>
      </c>
      <c r="K889" s="1147">
        <v>10</v>
      </c>
      <c r="L889" s="1066" t="s">
        <v>988</v>
      </c>
      <c r="M889" s="959">
        <v>4800000</v>
      </c>
      <c r="N889" s="959">
        <v>27228636.236399997</v>
      </c>
      <c r="O889" s="1149">
        <v>18179773.134799998</v>
      </c>
      <c r="P889" s="9"/>
      <c r="Q889" s="2005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1966"/>
      <c r="AC889" s="237">
        <f>MAX(J889/J900)</f>
        <v>5.0007620208793726E-3</v>
      </c>
      <c r="AD889" s="235">
        <f t="shared" si="163"/>
        <v>24003.657700220989</v>
      </c>
      <c r="AE889" s="238">
        <f>MAX(I889/I900)</f>
        <v>2.4376934499847926E-2</v>
      </c>
      <c r="AF889" s="235">
        <f t="shared" si="164"/>
        <v>663750.68205490848</v>
      </c>
      <c r="AG889" s="238">
        <f>MAX(H889/H900)</f>
        <v>5.7955975537058715E-3</v>
      </c>
      <c r="AH889" s="235">
        <f t="shared" si="165"/>
        <v>105362.64870697459</v>
      </c>
    </row>
    <row r="890" spans="1:34" ht="15" customHeight="1" x14ac:dyDescent="0.2">
      <c r="A890" s="1154" t="s">
        <v>383</v>
      </c>
      <c r="B890" s="1002">
        <v>115.3</v>
      </c>
      <c r="C890" s="1002">
        <v>40</v>
      </c>
      <c r="D890" s="1002">
        <v>3</v>
      </c>
      <c r="E890" s="1002">
        <v>1</v>
      </c>
      <c r="F890" s="1002">
        <v>0</v>
      </c>
      <c r="G890" s="1002">
        <v>3</v>
      </c>
      <c r="H890" s="1002">
        <v>108.3</v>
      </c>
      <c r="I890" s="1002">
        <v>154.30000000000001</v>
      </c>
      <c r="J890" s="1150">
        <v>1139.5</v>
      </c>
      <c r="K890" s="1150">
        <v>10.521698984302862</v>
      </c>
      <c r="L890" s="1152"/>
      <c r="M890" s="996"/>
      <c r="N890" s="435"/>
      <c r="O890" s="436"/>
      <c r="U890" s="9"/>
      <c r="V890" s="9"/>
      <c r="W890" s="9"/>
      <c r="X890" s="9"/>
      <c r="Y890" s="9"/>
      <c r="Z890" s="9"/>
      <c r="AA890" s="9"/>
      <c r="AB890" s="1966"/>
      <c r="AC890" s="1157"/>
      <c r="AD890" s="1156"/>
      <c r="AE890" s="1158"/>
      <c r="AF890" s="1156"/>
      <c r="AG890" s="1158"/>
      <c r="AH890" s="1156"/>
    </row>
    <row r="891" spans="1:34" ht="15" customHeight="1" x14ac:dyDescent="0.2">
      <c r="A891" s="962" t="s">
        <v>384</v>
      </c>
      <c r="B891" s="1498">
        <v>4.8000000000000007</v>
      </c>
      <c r="C891" s="1146">
        <v>7</v>
      </c>
      <c r="D891" s="1146">
        <v>0</v>
      </c>
      <c r="E891" s="1146">
        <v>0</v>
      </c>
      <c r="F891" s="1146">
        <v>0</v>
      </c>
      <c r="G891" s="1146">
        <v>1</v>
      </c>
      <c r="H891" s="1146">
        <v>3.8000000000000007</v>
      </c>
      <c r="I891" s="1146">
        <v>11.8</v>
      </c>
      <c r="J891" s="1147">
        <v>57.000000000000014</v>
      </c>
      <c r="K891" s="1147">
        <v>15</v>
      </c>
      <c r="L891" s="1066" t="s">
        <v>988</v>
      </c>
      <c r="M891" s="959">
        <v>4800000</v>
      </c>
      <c r="N891" s="959">
        <v>27228636.236399997</v>
      </c>
      <c r="O891" s="1149">
        <v>18179773.134799998</v>
      </c>
      <c r="P891" s="950"/>
      <c r="Q891" s="950"/>
      <c r="R891" s="950"/>
      <c r="S891" s="9"/>
      <c r="T891" s="9"/>
      <c r="U891" s="9"/>
      <c r="V891" s="9"/>
      <c r="W891" s="9"/>
      <c r="X891" s="9"/>
      <c r="Y891" s="9"/>
      <c r="Z891" s="9"/>
      <c r="AA891" s="9"/>
      <c r="AB891" s="1966"/>
      <c r="AC891" s="237">
        <f>MAX(J891/J900)</f>
        <v>5.4293987655261774E-3</v>
      </c>
      <c r="AD891" s="235">
        <f t="shared" ref="AD891:AD899" si="166">MAX(M891*AC891)</f>
        <v>26061.114074525653</v>
      </c>
      <c r="AE891" s="238">
        <f>MAX(I891/I900)</f>
        <v>1.05558835632369E-2</v>
      </c>
      <c r="AF891" s="235">
        <f t="shared" ref="AF891:AF899" si="167">MAX(N891*AE891)</f>
        <v>287422.3136971714</v>
      </c>
      <c r="AG891" s="238">
        <f>MAX(H891/H900)</f>
        <v>4.1949087055394886E-3</v>
      </c>
      <c r="AH891" s="235">
        <f t="shared" ref="AH891:AH899" si="168">MAX(O891*AG891)</f>
        <v>76262.488587905435</v>
      </c>
    </row>
    <row r="892" spans="1:34" ht="15" customHeight="1" x14ac:dyDescent="0.2">
      <c r="A892" s="962" t="s">
        <v>385</v>
      </c>
      <c r="B892" s="1498">
        <v>17</v>
      </c>
      <c r="C892" s="1146">
        <v>9</v>
      </c>
      <c r="D892" s="1146">
        <v>1</v>
      </c>
      <c r="E892" s="1146">
        <v>0</v>
      </c>
      <c r="F892" s="1146">
        <v>0</v>
      </c>
      <c r="G892" s="1146">
        <v>0</v>
      </c>
      <c r="H892" s="1146">
        <v>16</v>
      </c>
      <c r="I892" s="1146">
        <v>26</v>
      </c>
      <c r="J892" s="1147">
        <v>160</v>
      </c>
      <c r="K892" s="1147">
        <v>10</v>
      </c>
      <c r="L892" s="1066" t="s">
        <v>988</v>
      </c>
      <c r="M892" s="959">
        <v>4800000</v>
      </c>
      <c r="N892" s="959">
        <v>27228636.236399997</v>
      </c>
      <c r="O892" s="1149">
        <v>18179773.134799998</v>
      </c>
      <c r="P892" s="950"/>
      <c r="Q892" s="950"/>
      <c r="R892" s="950"/>
      <c r="S892" s="9"/>
      <c r="T892" s="9"/>
      <c r="U892" s="9"/>
      <c r="V892" s="9"/>
      <c r="W892" s="9"/>
      <c r="X892" s="9"/>
      <c r="Y892" s="9"/>
      <c r="Z892" s="9"/>
      <c r="AA892" s="9"/>
      <c r="AB892" s="1966"/>
      <c r="AC892" s="237">
        <f>MAX(J892/J900)</f>
        <v>1.5240417587441896E-2</v>
      </c>
      <c r="AD892" s="235">
        <f t="shared" si="166"/>
        <v>73154.004419721095</v>
      </c>
      <c r="AE892" s="238">
        <f>MAX(I892/I900)</f>
        <v>2.3258726495267747E-2</v>
      </c>
      <c r="AF892" s="235">
        <f t="shared" si="167"/>
        <v>633303.40306156408</v>
      </c>
      <c r="AG892" s="238">
        <f>MAX(H892/H900)</f>
        <v>1.7662773497008368E-2</v>
      </c>
      <c r="AH892" s="235">
        <f t="shared" si="168"/>
        <v>321105.21510697016</v>
      </c>
    </row>
    <row r="893" spans="1:34" ht="15" customHeight="1" x14ac:dyDescent="0.2">
      <c r="A893" s="962" t="s">
        <v>386</v>
      </c>
      <c r="B893" s="1498">
        <v>2.5</v>
      </c>
      <c r="C893" s="1146">
        <v>1</v>
      </c>
      <c r="D893" s="1146">
        <v>0</v>
      </c>
      <c r="E893" s="1146">
        <v>0</v>
      </c>
      <c r="F893" s="1146">
        <v>0</v>
      </c>
      <c r="G893" s="1146">
        <v>0</v>
      </c>
      <c r="H893" s="1146">
        <v>2.5</v>
      </c>
      <c r="I893" s="1146">
        <v>3.5</v>
      </c>
      <c r="J893" s="1147">
        <v>32.5</v>
      </c>
      <c r="K893" s="1147">
        <v>13</v>
      </c>
      <c r="L893" s="1066" t="s">
        <v>988</v>
      </c>
      <c r="M893" s="959">
        <v>4800000</v>
      </c>
      <c r="N893" s="959">
        <v>27228636.236399997</v>
      </c>
      <c r="O893" s="1149">
        <v>18179773.134799998</v>
      </c>
      <c r="P893" s="950"/>
      <c r="Q893" s="950"/>
      <c r="R893" s="950"/>
      <c r="S893" s="9"/>
      <c r="T893" s="9"/>
      <c r="U893" s="9"/>
      <c r="V893" s="9"/>
      <c r="W893" s="9"/>
      <c r="X893" s="9"/>
      <c r="Y893" s="9"/>
      <c r="Z893" s="9"/>
      <c r="AA893" s="9"/>
      <c r="AB893" s="1966"/>
      <c r="AC893" s="237">
        <f>MAX(J893/J900)</f>
        <v>3.0957098224491351E-3</v>
      </c>
      <c r="AD893" s="235">
        <f t="shared" si="166"/>
        <v>14859.407147755848</v>
      </c>
      <c r="AE893" s="238">
        <f>MAX(I893/I900)</f>
        <v>3.1309824128245042E-3</v>
      </c>
      <c r="AF893" s="235">
        <f t="shared" si="167"/>
        <v>85252.381181364384</v>
      </c>
      <c r="AG893" s="238">
        <f>MAX(H893/H900)</f>
        <v>2.7598083589075576E-3</v>
      </c>
      <c r="AH893" s="235">
        <f t="shared" si="168"/>
        <v>50172.689860464088</v>
      </c>
    </row>
    <row r="894" spans="1:34" ht="15" customHeight="1" x14ac:dyDescent="0.2">
      <c r="A894" s="962" t="s">
        <v>387</v>
      </c>
      <c r="B894" s="1498">
        <v>19</v>
      </c>
      <c r="C894" s="1146">
        <v>2</v>
      </c>
      <c r="D894" s="1146">
        <v>2</v>
      </c>
      <c r="E894" s="1146">
        <v>1</v>
      </c>
      <c r="F894" s="1146">
        <v>0</v>
      </c>
      <c r="G894" s="1146">
        <v>0</v>
      </c>
      <c r="H894" s="1146">
        <v>16</v>
      </c>
      <c r="I894" s="1146">
        <v>20</v>
      </c>
      <c r="J894" s="1147">
        <v>208</v>
      </c>
      <c r="K894" s="1147">
        <v>13</v>
      </c>
      <c r="L894" s="1066" t="s">
        <v>988</v>
      </c>
      <c r="M894" s="959">
        <v>4800000</v>
      </c>
      <c r="N894" s="959">
        <v>27228636.236399997</v>
      </c>
      <c r="O894" s="1149">
        <v>18179773.134799998</v>
      </c>
      <c r="P894" s="950"/>
      <c r="Q894" s="950"/>
      <c r="R894" s="950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237">
        <f>MAX(J894/J900)</f>
        <v>1.9812542863674464E-2</v>
      </c>
      <c r="AD894" s="235">
        <f t="shared" si="166"/>
        <v>95100.205745637431</v>
      </c>
      <c r="AE894" s="238">
        <f>MAX(I894/I900)</f>
        <v>1.7891328073282881E-2</v>
      </c>
      <c r="AF894" s="235">
        <f t="shared" si="167"/>
        <v>487156.46389351081</v>
      </c>
      <c r="AG894" s="238">
        <f>MAX(H894/H900)</f>
        <v>1.7662773497008368E-2</v>
      </c>
      <c r="AH894" s="235">
        <f t="shared" si="168"/>
        <v>321105.21510697016</v>
      </c>
    </row>
    <row r="895" spans="1:34" ht="15" customHeight="1" x14ac:dyDescent="0.2">
      <c r="A895" s="962" t="s">
        <v>388</v>
      </c>
      <c r="B895" s="1498">
        <v>4</v>
      </c>
      <c r="C895" s="1146">
        <v>2</v>
      </c>
      <c r="D895" s="1146">
        <v>0</v>
      </c>
      <c r="E895" s="1146"/>
      <c r="F895" s="1146"/>
      <c r="G895" s="1146">
        <v>2</v>
      </c>
      <c r="H895" s="1146">
        <v>2</v>
      </c>
      <c r="I895" s="1146">
        <v>6</v>
      </c>
      <c r="J895" s="1147">
        <v>24</v>
      </c>
      <c r="K895" s="1147">
        <v>12</v>
      </c>
      <c r="L895" s="1066" t="s">
        <v>988</v>
      </c>
      <c r="M895" s="959">
        <v>4800000</v>
      </c>
      <c r="N895" s="959">
        <v>27228636.236399997</v>
      </c>
      <c r="O895" s="1149">
        <v>18179773.134799998</v>
      </c>
      <c r="U895" s="9"/>
      <c r="V895" s="9"/>
      <c r="W895" s="9"/>
      <c r="X895" s="9"/>
      <c r="Y895" s="9"/>
      <c r="Z895" s="9"/>
      <c r="AA895" s="9"/>
      <c r="AB895" s="9"/>
      <c r="AC895" s="237">
        <f>MAX(J895/J900)</f>
        <v>2.2860626381162844E-3</v>
      </c>
      <c r="AD895" s="235">
        <f t="shared" si="166"/>
        <v>10973.100662958164</v>
      </c>
      <c r="AE895" s="238">
        <f>MAX(I895/I900)</f>
        <v>5.3673984219848644E-3</v>
      </c>
      <c r="AF895" s="235">
        <f t="shared" si="167"/>
        <v>146146.93916805324</v>
      </c>
      <c r="AG895" s="238">
        <f>MAX(H895/H900)</f>
        <v>2.207846687126046E-3</v>
      </c>
      <c r="AH895" s="235">
        <f t="shared" si="168"/>
        <v>40138.151888371271</v>
      </c>
    </row>
    <row r="896" spans="1:34" ht="15" customHeight="1" x14ac:dyDescent="0.2">
      <c r="A896" s="962" t="s">
        <v>389</v>
      </c>
      <c r="B896" s="1498">
        <v>3</v>
      </c>
      <c r="C896" s="1146">
        <v>6</v>
      </c>
      <c r="D896" s="1146"/>
      <c r="E896" s="1146"/>
      <c r="F896" s="1146"/>
      <c r="G896" s="1146"/>
      <c r="H896" s="1146">
        <v>3</v>
      </c>
      <c r="I896" s="1146">
        <v>9</v>
      </c>
      <c r="J896" s="1147">
        <v>48</v>
      </c>
      <c r="K896" s="1147">
        <v>16</v>
      </c>
      <c r="L896" s="1066" t="s">
        <v>988</v>
      </c>
      <c r="M896" s="959">
        <v>4800000</v>
      </c>
      <c r="N896" s="959">
        <v>27228636.236399997</v>
      </c>
      <c r="O896" s="1149">
        <v>18179773.134799998</v>
      </c>
      <c r="P896" s="950"/>
      <c r="Q896" s="950"/>
      <c r="R896" s="950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237">
        <f>MAX(J896/J900)</f>
        <v>4.5721252762325687E-3</v>
      </c>
      <c r="AD896" s="235">
        <f t="shared" si="166"/>
        <v>21946.201325916329</v>
      </c>
      <c r="AE896" s="238">
        <f>MAX(I896/I900)</f>
        <v>8.0510976329772974E-3</v>
      </c>
      <c r="AF896" s="235">
        <f t="shared" si="167"/>
        <v>219220.40875207988</v>
      </c>
      <c r="AG896" s="238">
        <f>MAX(H896/H900)</f>
        <v>3.3117700306890692E-3</v>
      </c>
      <c r="AH896" s="235">
        <f t="shared" si="168"/>
        <v>60207.227832556906</v>
      </c>
    </row>
    <row r="897" spans="1:34" ht="15" customHeight="1" x14ac:dyDescent="0.2">
      <c r="A897" s="962" t="s">
        <v>390</v>
      </c>
      <c r="B897" s="1498">
        <v>4</v>
      </c>
      <c r="C897" s="1146"/>
      <c r="D897" s="1146"/>
      <c r="E897" s="1146"/>
      <c r="F897" s="1146"/>
      <c r="G897" s="1146"/>
      <c r="H897" s="1146">
        <v>4</v>
      </c>
      <c r="I897" s="1146">
        <v>4</v>
      </c>
      <c r="J897" s="1147">
        <v>60</v>
      </c>
      <c r="K897" s="1147">
        <v>15</v>
      </c>
      <c r="L897" s="1066" t="s">
        <v>988</v>
      </c>
      <c r="M897" s="959">
        <v>4800000</v>
      </c>
      <c r="N897" s="959">
        <v>27228636.236399997</v>
      </c>
      <c r="O897" s="1149">
        <v>18179773.134799998</v>
      </c>
      <c r="U897" s="9"/>
      <c r="V897" s="9"/>
      <c r="W897" s="9"/>
      <c r="X897" s="9"/>
      <c r="Y897" s="9"/>
      <c r="Z897" s="9"/>
      <c r="AA897" s="9"/>
      <c r="AB897" s="9"/>
      <c r="AC897" s="237">
        <f>MAX(J897/J900)</f>
        <v>5.7151565952907116E-3</v>
      </c>
      <c r="AD897" s="235">
        <f t="shared" si="166"/>
        <v>27432.751657395416</v>
      </c>
      <c r="AE897" s="238">
        <f>MAX(I897/I900)</f>
        <v>3.5782656146565762E-3</v>
      </c>
      <c r="AF897" s="235">
        <f t="shared" si="167"/>
        <v>97431.292778702162</v>
      </c>
      <c r="AG897" s="238">
        <f>MAX(H897/H900)</f>
        <v>4.415693374252092E-3</v>
      </c>
      <c r="AH897" s="235">
        <f t="shared" si="168"/>
        <v>80276.303776742541</v>
      </c>
    </row>
    <row r="898" spans="1:34" ht="15" customHeight="1" x14ac:dyDescent="0.2">
      <c r="A898" s="962" t="s">
        <v>941</v>
      </c>
      <c r="B898" s="1498">
        <v>60</v>
      </c>
      <c r="C898" s="1146">
        <v>12</v>
      </c>
      <c r="D898" s="1146"/>
      <c r="E898" s="1146"/>
      <c r="F898" s="1146"/>
      <c r="G898" s="1146"/>
      <c r="H898" s="1146">
        <v>60</v>
      </c>
      <c r="I898" s="1146">
        <v>72</v>
      </c>
      <c r="J898" s="1147">
        <v>540</v>
      </c>
      <c r="K898" s="1147">
        <v>9</v>
      </c>
      <c r="L898" s="1066" t="s">
        <v>988</v>
      </c>
      <c r="M898" s="959">
        <v>4800000</v>
      </c>
      <c r="N898" s="959">
        <v>27228636.236399997</v>
      </c>
      <c r="O898" s="1149">
        <v>18179773.134799998</v>
      </c>
      <c r="P898" s="950"/>
      <c r="Q898" s="950"/>
      <c r="R898" s="950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237">
        <f>MAX(J898/J900)</f>
        <v>5.1436409357616397E-2</v>
      </c>
      <c r="AD898" s="235">
        <f t="shared" si="166"/>
        <v>246894.76491655872</v>
      </c>
      <c r="AE898" s="238">
        <f>MAX(I898/I900)</f>
        <v>6.4408781063818379E-2</v>
      </c>
      <c r="AF898" s="235">
        <f t="shared" si="167"/>
        <v>1753763.270016639</v>
      </c>
      <c r="AG898" s="238">
        <f>MAX(H898/H900)</f>
        <v>6.6235400613781387E-2</v>
      </c>
      <c r="AH898" s="235">
        <f t="shared" si="168"/>
        <v>1204144.5566511382</v>
      </c>
    </row>
    <row r="899" spans="1:34" ht="15" customHeight="1" thickBot="1" x14ac:dyDescent="0.25">
      <c r="A899" s="1140" t="s">
        <v>392</v>
      </c>
      <c r="B899" s="1536">
        <v>1</v>
      </c>
      <c r="C899" s="1141">
        <v>1</v>
      </c>
      <c r="D899" s="1141">
        <v>0</v>
      </c>
      <c r="E899" s="1141">
        <v>0</v>
      </c>
      <c r="F899" s="1141">
        <v>0</v>
      </c>
      <c r="G899" s="1146">
        <v>0</v>
      </c>
      <c r="H899" s="1146">
        <v>1</v>
      </c>
      <c r="I899" s="1146">
        <v>2</v>
      </c>
      <c r="J899" s="1526">
        <v>10</v>
      </c>
      <c r="K899" s="1142">
        <v>10</v>
      </c>
      <c r="L899" s="1066" t="s">
        <v>988</v>
      </c>
      <c r="M899" s="959">
        <v>4800000</v>
      </c>
      <c r="N899" s="959">
        <v>27228636.236399997</v>
      </c>
      <c r="O899" s="1149">
        <v>18179773.134799998</v>
      </c>
      <c r="P899" s="950"/>
      <c r="Q899" s="950"/>
      <c r="R899" s="950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237">
        <f>MAX(J899/J900)</f>
        <v>9.5252609921511852E-4</v>
      </c>
      <c r="AD899" s="235">
        <f t="shared" si="166"/>
        <v>4572.1252762325685</v>
      </c>
      <c r="AE899" s="238">
        <f>MAX(I899/I900)</f>
        <v>1.7891328073282881E-3</v>
      </c>
      <c r="AF899" s="235">
        <f t="shared" si="167"/>
        <v>48715.646389351081</v>
      </c>
      <c r="AG899" s="238">
        <f>MAX(H899/H900)</f>
        <v>1.103923343563023E-3</v>
      </c>
      <c r="AH899" s="235">
        <f t="shared" si="168"/>
        <v>20069.075944185635</v>
      </c>
    </row>
    <row r="900" spans="1:34" ht="15" customHeight="1" thickBot="1" x14ac:dyDescent="0.25">
      <c r="A900" s="405" t="s">
        <v>942</v>
      </c>
      <c r="B900" s="1131">
        <v>1063.3599999999999</v>
      </c>
      <c r="C900" s="1131">
        <v>133</v>
      </c>
      <c r="D900" s="1131">
        <v>20</v>
      </c>
      <c r="E900" s="1131">
        <v>30.5</v>
      </c>
      <c r="F900" s="1131">
        <v>48</v>
      </c>
      <c r="G900" s="1131">
        <v>59</v>
      </c>
      <c r="H900" s="1131">
        <v>905.8599999999999</v>
      </c>
      <c r="I900" s="1131">
        <v>1117.8599999999999</v>
      </c>
      <c r="J900" s="1132">
        <v>10498.4</v>
      </c>
      <c r="K900" s="1132">
        <v>11.589428830062042</v>
      </c>
      <c r="L900" s="1525" t="s">
        <v>988</v>
      </c>
      <c r="M900" s="1134">
        <v>4800000</v>
      </c>
      <c r="N900" s="1134">
        <v>27228636.236399997</v>
      </c>
      <c r="O900" s="506">
        <v>18179773.134799998</v>
      </c>
      <c r="P900" s="950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1159">
        <f t="shared" ref="AC900:AH900" si="169">SUM(AC860:AC899)</f>
        <v>0.99999999999999978</v>
      </c>
      <c r="AD900" s="1160">
        <f t="shared" si="169"/>
        <v>4800000</v>
      </c>
      <c r="AE900" s="1161">
        <f t="shared" si="169"/>
        <v>0.99999999999999989</v>
      </c>
      <c r="AF900" s="1160">
        <f t="shared" si="169"/>
        <v>27228636.236399997</v>
      </c>
      <c r="AG900" s="1161">
        <f t="shared" si="169"/>
        <v>1.0000000000000002</v>
      </c>
      <c r="AH900" s="1160">
        <f t="shared" si="169"/>
        <v>18179773.134799998</v>
      </c>
    </row>
    <row r="901" spans="1:34" x14ac:dyDescent="0.2">
      <c r="A901" s="7" t="s">
        <v>1934</v>
      </c>
      <c r="B901" s="224"/>
      <c r="C901" s="224"/>
      <c r="D901" s="224"/>
      <c r="E901" s="224"/>
      <c r="F901" s="224"/>
      <c r="G901" s="224"/>
      <c r="H901" s="224"/>
      <c r="I901" s="224"/>
      <c r="J901" s="224"/>
      <c r="K901" s="240"/>
      <c r="L901" s="241"/>
      <c r="M901" s="240"/>
      <c r="N901" s="240"/>
      <c r="O901" s="240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</row>
    <row r="902" spans="1:34" x14ac:dyDescent="0.2">
      <c r="A902" s="34"/>
      <c r="B902" s="224"/>
      <c r="C902" s="224"/>
      <c r="D902" s="224"/>
      <c r="E902" s="224"/>
      <c r="F902" s="224"/>
      <c r="G902" s="224"/>
      <c r="H902" s="224"/>
      <c r="I902" s="224"/>
      <c r="J902" s="224"/>
      <c r="K902" s="240"/>
      <c r="L902" s="241"/>
      <c r="M902" s="240"/>
      <c r="N902" s="240"/>
      <c r="O902" s="240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</row>
    <row r="903" spans="1:34" x14ac:dyDescent="0.2">
      <c r="A903" s="34"/>
      <c r="B903" s="224"/>
      <c r="C903" s="224"/>
      <c r="D903" s="224"/>
      <c r="E903" s="224"/>
      <c r="F903" s="224"/>
      <c r="G903" s="224"/>
      <c r="H903" s="224"/>
      <c r="I903" s="224"/>
      <c r="J903" s="224"/>
      <c r="K903" s="240"/>
      <c r="L903" s="241"/>
      <c r="M903" s="240"/>
      <c r="N903" s="240"/>
      <c r="O903" s="240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</row>
    <row r="904" spans="1:34" ht="15" x14ac:dyDescent="0.25">
      <c r="A904" s="2843" t="s">
        <v>1931</v>
      </c>
      <c r="B904" s="2843"/>
      <c r="C904" s="2843"/>
      <c r="D904" s="2843"/>
      <c r="E904" s="2843"/>
      <c r="F904" s="2843"/>
      <c r="G904" s="2843"/>
      <c r="H904" s="2843"/>
      <c r="I904" s="2843"/>
      <c r="J904" s="2843"/>
      <c r="K904" s="2843"/>
      <c r="L904" s="2843"/>
      <c r="M904" s="2843"/>
      <c r="N904" s="2843"/>
      <c r="O904" s="2843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</row>
    <row r="905" spans="1:34" x14ac:dyDescent="0.2">
      <c r="A905" s="225"/>
      <c r="B905" s="225"/>
      <c r="C905" s="224"/>
      <c r="D905" s="224"/>
      <c r="E905" s="224"/>
      <c r="F905" s="224"/>
      <c r="G905" s="224"/>
      <c r="H905" s="224"/>
      <c r="I905" s="224"/>
      <c r="J905" s="224"/>
      <c r="K905" s="240"/>
      <c r="L905" s="241"/>
      <c r="M905" s="240"/>
      <c r="N905" s="240"/>
      <c r="O905" s="240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</row>
    <row r="906" spans="1:34" ht="13.5" thickBot="1" x14ac:dyDescent="0.25">
      <c r="A906" s="225" t="s">
        <v>949</v>
      </c>
      <c r="B906" s="225"/>
      <c r="C906" s="224"/>
      <c r="D906" s="224"/>
      <c r="E906" s="224"/>
      <c r="F906" s="224"/>
      <c r="G906" s="224"/>
      <c r="H906" s="224"/>
      <c r="I906" s="224"/>
      <c r="J906" s="224"/>
      <c r="K906" s="240"/>
      <c r="L906" s="241"/>
      <c r="M906" s="240"/>
      <c r="N906" s="240"/>
      <c r="O906" s="240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</row>
    <row r="907" spans="1:34" ht="15" customHeight="1" x14ac:dyDescent="0.2">
      <c r="A907" s="2844" t="s">
        <v>327</v>
      </c>
      <c r="B907" s="2847" t="s">
        <v>1932</v>
      </c>
      <c r="C907" s="2848"/>
      <c r="D907" s="2848"/>
      <c r="E907" s="2848"/>
      <c r="F907" s="2848"/>
      <c r="G907" s="2848"/>
      <c r="H907" s="2848"/>
      <c r="I907" s="2848"/>
      <c r="J907" s="2848"/>
      <c r="K907" s="2848"/>
      <c r="L907" s="2848"/>
      <c r="M907" s="2848"/>
      <c r="N907" s="2848"/>
      <c r="O907" s="284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228" t="s">
        <v>910</v>
      </c>
      <c r="AD907" s="229"/>
      <c r="AE907" s="229"/>
      <c r="AF907" s="229"/>
      <c r="AG907" s="229"/>
      <c r="AH907" s="243"/>
    </row>
    <row r="908" spans="1:34" ht="15" customHeight="1" x14ac:dyDescent="0.2">
      <c r="A908" s="2845"/>
      <c r="B908" s="2850" t="s">
        <v>191</v>
      </c>
      <c r="C908" s="2850"/>
      <c r="D908" s="2850"/>
      <c r="E908" s="2850"/>
      <c r="F908" s="2850"/>
      <c r="G908" s="2850"/>
      <c r="H908" s="2850"/>
      <c r="I908" s="2850"/>
      <c r="J908" s="2119"/>
      <c r="K908" s="2119" t="s">
        <v>904</v>
      </c>
      <c r="L908" s="2119"/>
      <c r="M908" s="1122" t="s">
        <v>437</v>
      </c>
      <c r="N908" s="1122" t="s">
        <v>911</v>
      </c>
      <c r="O908" s="1127" t="s">
        <v>911</v>
      </c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230" t="s">
        <v>333</v>
      </c>
      <c r="AD908" s="231" t="s">
        <v>333</v>
      </c>
      <c r="AE908" s="231" t="s">
        <v>333</v>
      </c>
      <c r="AF908" s="231" t="s">
        <v>333</v>
      </c>
      <c r="AG908" s="231" t="s">
        <v>333</v>
      </c>
      <c r="AH908" s="231" t="s">
        <v>333</v>
      </c>
    </row>
    <row r="909" spans="1:34" ht="15" customHeight="1" x14ac:dyDescent="0.2">
      <c r="A909" s="2845"/>
      <c r="B909" s="2119" t="s">
        <v>433</v>
      </c>
      <c r="C909" s="2119"/>
      <c r="D909" s="2841" t="s">
        <v>1865</v>
      </c>
      <c r="E909" s="2119"/>
      <c r="F909" s="2119"/>
      <c r="G909" s="2119" t="s">
        <v>912</v>
      </c>
      <c r="H909" s="2119"/>
      <c r="I909" s="2119" t="s">
        <v>433</v>
      </c>
      <c r="J909" s="2138" t="s">
        <v>913</v>
      </c>
      <c r="K909" s="2138" t="s">
        <v>842</v>
      </c>
      <c r="L909" s="2138" t="s">
        <v>329</v>
      </c>
      <c r="M909" s="1123" t="s">
        <v>914</v>
      </c>
      <c r="N909" s="1123" t="s">
        <v>915</v>
      </c>
      <c r="O909" s="1128" t="s">
        <v>914</v>
      </c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230" t="s">
        <v>913</v>
      </c>
      <c r="AD909" s="231" t="s">
        <v>916</v>
      </c>
      <c r="AE909" s="231" t="s">
        <v>917</v>
      </c>
      <c r="AF909" s="231" t="s">
        <v>918</v>
      </c>
      <c r="AG909" s="231" t="s">
        <v>192</v>
      </c>
      <c r="AH909" s="231" t="s">
        <v>918</v>
      </c>
    </row>
    <row r="910" spans="1:34" ht="15" customHeight="1" x14ac:dyDescent="0.2">
      <c r="A910" s="2845"/>
      <c r="B910" s="2138" t="s">
        <v>920</v>
      </c>
      <c r="C910" s="2138" t="s">
        <v>922</v>
      </c>
      <c r="D910" s="2842"/>
      <c r="E910" s="2138" t="s">
        <v>867</v>
      </c>
      <c r="F910" s="2138" t="s">
        <v>921</v>
      </c>
      <c r="G910" s="2138" t="s">
        <v>923</v>
      </c>
      <c r="H910" s="2138" t="s">
        <v>836</v>
      </c>
      <c r="I910" s="2138" t="s">
        <v>835</v>
      </c>
      <c r="J910" s="2138" t="s">
        <v>924</v>
      </c>
      <c r="K910" s="2138" t="s">
        <v>925</v>
      </c>
      <c r="L910" s="2138" t="s">
        <v>336</v>
      </c>
      <c r="M910" s="1123" t="s">
        <v>926</v>
      </c>
      <c r="N910" s="1123" t="s">
        <v>927</v>
      </c>
      <c r="O910" s="1128" t="s">
        <v>928</v>
      </c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230"/>
      <c r="AD910" s="231" t="s">
        <v>843</v>
      </c>
      <c r="AE910" s="231"/>
      <c r="AF910" s="231" t="s">
        <v>929</v>
      </c>
      <c r="AG910" s="231"/>
      <c r="AH910" s="231" t="s">
        <v>930</v>
      </c>
    </row>
    <row r="911" spans="1:34" ht="15" customHeight="1" thickBot="1" x14ac:dyDescent="0.25">
      <c r="A911" s="2846"/>
      <c r="B911" s="1881">
        <v>44926</v>
      </c>
      <c r="C911" s="2139">
        <v>2023</v>
      </c>
      <c r="D911" s="2139">
        <v>2023</v>
      </c>
      <c r="E911" s="2139">
        <v>2023</v>
      </c>
      <c r="F911" s="2139">
        <v>2023</v>
      </c>
      <c r="G911" s="2139" t="s">
        <v>931</v>
      </c>
      <c r="H911" s="1126">
        <v>2023</v>
      </c>
      <c r="I911" s="1881">
        <v>45291</v>
      </c>
      <c r="J911" s="1881" t="s">
        <v>1933</v>
      </c>
      <c r="K911" s="1881" t="s">
        <v>1933</v>
      </c>
      <c r="L911" s="2139" t="s">
        <v>441</v>
      </c>
      <c r="M911" s="1125" t="s">
        <v>932</v>
      </c>
      <c r="N911" s="1125" t="s">
        <v>933</v>
      </c>
      <c r="O911" s="1129" t="s">
        <v>933</v>
      </c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232"/>
      <c r="AD911" s="233" t="s">
        <v>934</v>
      </c>
      <c r="AE911" s="233"/>
      <c r="AF911" s="233" t="s">
        <v>935</v>
      </c>
      <c r="AG911" s="233"/>
      <c r="AH911" s="233" t="s">
        <v>936</v>
      </c>
    </row>
    <row r="912" spans="1:34" ht="15" customHeight="1" x14ac:dyDescent="0.2">
      <c r="A912" s="1135" t="s">
        <v>352</v>
      </c>
      <c r="B912" s="1130">
        <v>873.7</v>
      </c>
      <c r="C912" s="1130">
        <v>55</v>
      </c>
      <c r="D912" s="1130">
        <v>1</v>
      </c>
      <c r="E912" s="1130">
        <v>24</v>
      </c>
      <c r="F912" s="1130">
        <v>59.5</v>
      </c>
      <c r="G912" s="1130">
        <v>24</v>
      </c>
      <c r="H912" s="1130">
        <v>765.2</v>
      </c>
      <c r="I912" s="1130">
        <v>845.2</v>
      </c>
      <c r="J912" s="1136">
        <v>4674.2000000000007</v>
      </c>
      <c r="K912" s="1535">
        <v>6.1084683742812347</v>
      </c>
      <c r="L912" s="380"/>
      <c r="M912" s="1138"/>
      <c r="N912" s="1138"/>
      <c r="O912" s="113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1155"/>
      <c r="AD912" s="1156"/>
      <c r="AE912" s="1156"/>
      <c r="AF912" s="1156"/>
      <c r="AG912" s="1156"/>
      <c r="AH912" s="1156"/>
    </row>
    <row r="913" spans="1:34" ht="15" customHeight="1" x14ac:dyDescent="0.2">
      <c r="A913" s="962" t="s">
        <v>353</v>
      </c>
      <c r="B913" s="1543">
        <v>74</v>
      </c>
      <c r="C913" s="1146">
        <v>4</v>
      </c>
      <c r="D913" s="1146"/>
      <c r="E913" s="1146">
        <v>8</v>
      </c>
      <c r="F913" s="1146">
        <v>12</v>
      </c>
      <c r="G913" s="1146"/>
      <c r="H913" s="1146">
        <v>54</v>
      </c>
      <c r="I913" s="1146">
        <v>58</v>
      </c>
      <c r="J913" s="1147">
        <v>324</v>
      </c>
      <c r="K913" s="1147">
        <v>6</v>
      </c>
      <c r="L913" s="1066" t="s">
        <v>988</v>
      </c>
      <c r="M913" s="959">
        <v>3100000</v>
      </c>
      <c r="N913" s="959">
        <v>15276068.252400002</v>
      </c>
      <c r="O913" s="1149">
        <v>11881205.39184</v>
      </c>
      <c r="P913" s="950"/>
      <c r="Q913" s="950"/>
      <c r="R913" s="950"/>
      <c r="S913" s="950"/>
      <c r="T913" s="950"/>
      <c r="U913" s="950"/>
      <c r="V913" s="950"/>
      <c r="W913" s="950"/>
      <c r="X913" s="950"/>
      <c r="Y913" s="950"/>
      <c r="Z913" s="9"/>
      <c r="AA913" s="9"/>
      <c r="AB913" s="9"/>
      <c r="AC913" s="237">
        <f>MAX(J913/J953)</f>
        <v>2.2185960806172078E-2</v>
      </c>
      <c r="AD913" s="235">
        <f t="shared" ref="AD913:AD927" si="170">MAX(M913*AC913)</f>
        <v>68776.478499133445</v>
      </c>
      <c r="AE913" s="238">
        <f>MAX(I913/I953)</f>
        <v>2.3537337115539916E-2</v>
      </c>
      <c r="AF913" s="235">
        <f t="shared" ref="AF913:AF927" si="171">MAX(N913*AE913)</f>
        <v>359557.96825673553</v>
      </c>
      <c r="AG913" s="238">
        <f>MAX(H913/H953)</f>
        <v>2.6435988191925275E-2</v>
      </c>
      <c r="AH913" s="235">
        <f t="shared" ref="AH913:AH927" si="172">MAX(O913*AG913)</f>
        <v>314091.40544452117</v>
      </c>
    </row>
    <row r="914" spans="1:34" ht="15" customHeight="1" x14ac:dyDescent="0.2">
      <c r="A914" s="962" t="s">
        <v>354</v>
      </c>
      <c r="B914" s="1543">
        <v>13</v>
      </c>
      <c r="C914" s="1146">
        <v>7</v>
      </c>
      <c r="D914" s="1146"/>
      <c r="E914" s="1146"/>
      <c r="F914" s="1146"/>
      <c r="G914" s="1146"/>
      <c r="H914" s="1146">
        <v>13</v>
      </c>
      <c r="I914" s="1146">
        <v>20</v>
      </c>
      <c r="J914" s="1147">
        <v>91</v>
      </c>
      <c r="K914" s="1147">
        <v>7</v>
      </c>
      <c r="L914" s="1066" t="s">
        <v>988</v>
      </c>
      <c r="M914" s="959">
        <v>3100000</v>
      </c>
      <c r="N914" s="959">
        <v>15276068.252400002</v>
      </c>
      <c r="O914" s="1149">
        <v>11881205.39184</v>
      </c>
      <c r="P914" s="950"/>
      <c r="Q914" s="950"/>
      <c r="R914" s="950"/>
      <c r="S914" s="950"/>
      <c r="T914" s="950"/>
      <c r="U914" s="950"/>
      <c r="V914" s="950"/>
      <c r="W914" s="950"/>
      <c r="X914" s="950"/>
      <c r="Y914" s="950"/>
      <c r="Z914" s="9"/>
      <c r="AA914" s="9"/>
      <c r="AB914" s="9"/>
      <c r="AC914" s="237">
        <f>MAX(J914/J953)</f>
        <v>6.2312420782767259E-3</v>
      </c>
      <c r="AD914" s="235">
        <f t="shared" si="170"/>
        <v>19316.850442657851</v>
      </c>
      <c r="AE914" s="238">
        <f>MAX(I914/I953)</f>
        <v>8.1163231432896266E-3</v>
      </c>
      <c r="AF914" s="235">
        <f t="shared" si="171"/>
        <v>123985.50629542605</v>
      </c>
      <c r="AG914" s="238">
        <f>MAX(H914/H953)</f>
        <v>6.3642193795375654E-3</v>
      </c>
      <c r="AH914" s="235">
        <f t="shared" si="172"/>
        <v>75614.597607014337</v>
      </c>
    </row>
    <row r="915" spans="1:34" ht="15" customHeight="1" x14ac:dyDescent="0.2">
      <c r="A915" s="962" t="s">
        <v>355</v>
      </c>
      <c r="B915" s="1543">
        <v>167.5</v>
      </c>
      <c r="C915" s="1146">
        <v>8</v>
      </c>
      <c r="D915" s="1146"/>
      <c r="E915" s="1146">
        <v>9</v>
      </c>
      <c r="F915" s="1146">
        <v>24</v>
      </c>
      <c r="G915" s="1146">
        <v>8</v>
      </c>
      <c r="H915" s="1146">
        <v>126.5</v>
      </c>
      <c r="I915" s="1146">
        <v>142.5</v>
      </c>
      <c r="J915" s="1147">
        <v>632.5</v>
      </c>
      <c r="K915" s="1147">
        <v>5</v>
      </c>
      <c r="L915" s="1066" t="s">
        <v>988</v>
      </c>
      <c r="M915" s="959">
        <v>3100000</v>
      </c>
      <c r="N915" s="959">
        <v>15276068.252400002</v>
      </c>
      <c r="O915" s="1149">
        <v>11881205.39184</v>
      </c>
      <c r="P915" s="950"/>
      <c r="Q915" s="950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237">
        <f>MAX(J915/J953)</f>
        <v>4.3310556203406916E-2</v>
      </c>
      <c r="AD915" s="235">
        <f t="shared" si="170"/>
        <v>134262.72423056143</v>
      </c>
      <c r="AE915" s="238">
        <f>MAX(I915/I953)</f>
        <v>5.7828802395938593E-2</v>
      </c>
      <c r="AF915" s="235">
        <f t="shared" si="171"/>
        <v>883396.73235491069</v>
      </c>
      <c r="AG915" s="238">
        <f>MAX(H915/H953)</f>
        <v>6.1928750116269388E-2</v>
      </c>
      <c r="AH915" s="235">
        <f t="shared" si="172"/>
        <v>735788.19979133189</v>
      </c>
    </row>
    <row r="916" spans="1:34" ht="15" customHeight="1" x14ac:dyDescent="0.2">
      <c r="A916" s="962" t="s">
        <v>356</v>
      </c>
      <c r="B916" s="1543">
        <v>86</v>
      </c>
      <c r="C916" s="1146">
        <v>10</v>
      </c>
      <c r="D916" s="1146"/>
      <c r="E916" s="1146"/>
      <c r="F916" s="1146"/>
      <c r="G916" s="1146"/>
      <c r="H916" s="1146">
        <v>86</v>
      </c>
      <c r="I916" s="1146">
        <v>96</v>
      </c>
      <c r="J916" s="1147">
        <v>602</v>
      </c>
      <c r="K916" s="1147">
        <v>7</v>
      </c>
      <c r="L916" s="1066" t="s">
        <v>988</v>
      </c>
      <c r="M916" s="959">
        <v>3100000</v>
      </c>
      <c r="N916" s="959">
        <v>15276068.252400002</v>
      </c>
      <c r="O916" s="1149">
        <v>11881205.39184</v>
      </c>
      <c r="P916" s="950"/>
      <c r="Q916" s="950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237">
        <f>MAX(J916/J953)</f>
        <v>4.122206297936911E-2</v>
      </c>
      <c r="AD916" s="235">
        <f t="shared" si="170"/>
        <v>127788.39523604425</v>
      </c>
      <c r="AE916" s="238">
        <f>MAX(I916/I953)</f>
        <v>3.8958351087790208E-2</v>
      </c>
      <c r="AF916" s="235">
        <f t="shared" si="171"/>
        <v>595130.43021804502</v>
      </c>
      <c r="AG916" s="238">
        <f>MAX(H916/H953)</f>
        <v>4.2101758972325438E-2</v>
      </c>
      <c r="AH916" s="235">
        <f t="shared" si="172"/>
        <v>500219.64570794109</v>
      </c>
    </row>
    <row r="917" spans="1:34" ht="15" customHeight="1" x14ac:dyDescent="0.2">
      <c r="A917" s="962" t="s">
        <v>357</v>
      </c>
      <c r="B917" s="1543">
        <v>37</v>
      </c>
      <c r="C917" s="1146">
        <v>0</v>
      </c>
      <c r="D917" s="1146">
        <v>0</v>
      </c>
      <c r="E917" s="1146">
        <v>0</v>
      </c>
      <c r="F917" s="1146">
        <v>0</v>
      </c>
      <c r="G917" s="1146">
        <v>0</v>
      </c>
      <c r="H917" s="1146">
        <v>37</v>
      </c>
      <c r="I917" s="1146">
        <v>37</v>
      </c>
      <c r="J917" s="1147">
        <v>259</v>
      </c>
      <c r="K917" s="1147">
        <v>7</v>
      </c>
      <c r="L917" s="1066" t="s">
        <v>988</v>
      </c>
      <c r="M917" s="959">
        <v>3100000</v>
      </c>
      <c r="N917" s="959">
        <v>15276068.252400002</v>
      </c>
      <c r="O917" s="1149">
        <v>11881205.39184</v>
      </c>
      <c r="P917" s="950"/>
      <c r="Q917" s="950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237">
        <f>MAX(J917/J953)</f>
        <v>1.773507360740299E-2</v>
      </c>
      <c r="AD917" s="235">
        <f t="shared" si="170"/>
        <v>54978.728182949264</v>
      </c>
      <c r="AE917" s="238">
        <f>MAX(I917/I953)</f>
        <v>1.5015197815085809E-2</v>
      </c>
      <c r="AF917" s="235">
        <f t="shared" si="171"/>
        <v>229373.1866465382</v>
      </c>
      <c r="AG917" s="238">
        <f>MAX(H917/H953)</f>
        <v>1.8113547464837686E-2</v>
      </c>
      <c r="AH917" s="235">
        <f t="shared" si="172"/>
        <v>215210.77780457927</v>
      </c>
    </row>
    <row r="918" spans="1:34" ht="15" customHeight="1" x14ac:dyDescent="0.2">
      <c r="A918" s="962" t="s">
        <v>358</v>
      </c>
      <c r="B918" s="1543">
        <v>360.6</v>
      </c>
      <c r="C918" s="1146">
        <v>6</v>
      </c>
      <c r="D918" s="1146">
        <v>0</v>
      </c>
      <c r="E918" s="1146">
        <v>7</v>
      </c>
      <c r="F918" s="1146">
        <v>4</v>
      </c>
      <c r="G918" s="1146">
        <v>0</v>
      </c>
      <c r="H918" s="1146">
        <v>349.6</v>
      </c>
      <c r="I918" s="1146">
        <v>355.6</v>
      </c>
      <c r="J918" s="1147">
        <v>2097.6000000000004</v>
      </c>
      <c r="K918" s="1147">
        <v>6</v>
      </c>
      <c r="L918" s="1066" t="s">
        <v>988</v>
      </c>
      <c r="M918" s="959">
        <v>3100000</v>
      </c>
      <c r="N918" s="959">
        <v>15276068.252400002</v>
      </c>
      <c r="O918" s="1149">
        <v>11881205.39184</v>
      </c>
      <c r="P918" s="950"/>
      <c r="Q918" s="950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237">
        <f>MAX(J918/J953)</f>
        <v>0.14363355366366223</v>
      </c>
      <c r="AD918" s="235">
        <f t="shared" si="170"/>
        <v>445264.0163573529</v>
      </c>
      <c r="AE918" s="238">
        <f>MAX(I918/I953)</f>
        <v>0.14430822548768957</v>
      </c>
      <c r="AF918" s="235">
        <f t="shared" si="171"/>
        <v>2204462.3019326753</v>
      </c>
      <c r="AG918" s="238">
        <f>MAX(H918/H953)</f>
        <v>0.17114854577587177</v>
      </c>
      <c r="AH918" s="235">
        <f t="shared" si="172"/>
        <v>2033451.0248778628</v>
      </c>
    </row>
    <row r="919" spans="1:34" ht="15" customHeight="1" x14ac:dyDescent="0.2">
      <c r="A919" s="962" t="s">
        <v>937</v>
      </c>
      <c r="B919" s="1543">
        <v>0</v>
      </c>
      <c r="C919" s="1146">
        <v>5</v>
      </c>
      <c r="D919" s="1146">
        <v>0</v>
      </c>
      <c r="E919" s="1146">
        <v>0</v>
      </c>
      <c r="F919" s="1146">
        <v>0</v>
      </c>
      <c r="G919" s="1146">
        <v>0</v>
      </c>
      <c r="H919" s="1146">
        <v>0</v>
      </c>
      <c r="I919" s="1146">
        <v>5</v>
      </c>
      <c r="J919" s="1147">
        <v>0</v>
      </c>
      <c r="K919" s="1147"/>
      <c r="L919" s="1066"/>
      <c r="M919" s="959"/>
      <c r="N919" s="959">
        <v>15276068.252400002</v>
      </c>
      <c r="O919" s="1149"/>
      <c r="P919" s="950"/>
      <c r="Q919" s="950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237">
        <f>MAX(J919/J953)</f>
        <v>0</v>
      </c>
      <c r="AD919" s="235">
        <f t="shared" si="170"/>
        <v>0</v>
      </c>
      <c r="AE919" s="238">
        <f>MAX(I919/I953)</f>
        <v>2.0290807858224067E-3</v>
      </c>
      <c r="AF919" s="235">
        <f t="shared" si="171"/>
        <v>30996.376573856513</v>
      </c>
      <c r="AG919" s="238">
        <f>MAX(H919/H953)</f>
        <v>0</v>
      </c>
      <c r="AH919" s="235">
        <f t="shared" si="172"/>
        <v>0</v>
      </c>
    </row>
    <row r="920" spans="1:34" ht="15" customHeight="1" x14ac:dyDescent="0.2">
      <c r="A920" s="962" t="s">
        <v>360</v>
      </c>
      <c r="B920" s="1543">
        <v>23.4</v>
      </c>
      <c r="C920" s="1146">
        <v>1</v>
      </c>
      <c r="D920" s="1146">
        <v>0</v>
      </c>
      <c r="E920" s="1146">
        <v>0</v>
      </c>
      <c r="F920" s="1146">
        <v>0</v>
      </c>
      <c r="G920" s="1146">
        <v>0</v>
      </c>
      <c r="H920" s="1146">
        <v>23.4</v>
      </c>
      <c r="I920" s="1146">
        <v>24.4</v>
      </c>
      <c r="J920" s="1147">
        <v>163.79999999999998</v>
      </c>
      <c r="K920" s="1147">
        <v>7</v>
      </c>
      <c r="L920" s="1066" t="s">
        <v>988</v>
      </c>
      <c r="M920" s="959">
        <v>3100000</v>
      </c>
      <c r="N920" s="959">
        <v>15276068.252400002</v>
      </c>
      <c r="O920" s="1149">
        <v>11881205.39184</v>
      </c>
      <c r="P920" s="950"/>
      <c r="Q920" s="950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237">
        <f>MAX(J920/J953)</f>
        <v>1.1216235740898107E-2</v>
      </c>
      <c r="AD920" s="235">
        <f t="shared" si="170"/>
        <v>34770.330796784132</v>
      </c>
      <c r="AE920" s="238">
        <f>MAX(I920/I953)</f>
        <v>9.9019142348133436E-3</v>
      </c>
      <c r="AF920" s="235">
        <f t="shared" si="171"/>
        <v>151262.31768041977</v>
      </c>
      <c r="AG920" s="238">
        <f>MAX(H920/H953)</f>
        <v>1.1455594883167618E-2</v>
      </c>
      <c r="AH920" s="235">
        <f t="shared" si="172"/>
        <v>136106.27569262582</v>
      </c>
    </row>
    <row r="921" spans="1:34" ht="15" customHeight="1" x14ac:dyDescent="0.2">
      <c r="A921" s="962" t="s">
        <v>938</v>
      </c>
      <c r="B921" s="1543">
        <v>29</v>
      </c>
      <c r="C921" s="1146">
        <v>0</v>
      </c>
      <c r="D921" s="1146">
        <v>0</v>
      </c>
      <c r="E921" s="1146">
        <v>0</v>
      </c>
      <c r="F921" s="1146">
        <v>6</v>
      </c>
      <c r="G921" s="1146">
        <v>0</v>
      </c>
      <c r="H921" s="1146">
        <v>23</v>
      </c>
      <c r="I921" s="1146">
        <v>23</v>
      </c>
      <c r="J921" s="1147">
        <v>138</v>
      </c>
      <c r="K921" s="1147">
        <v>6</v>
      </c>
      <c r="L921" s="1066" t="s">
        <v>988</v>
      </c>
      <c r="M921" s="959">
        <v>3100000</v>
      </c>
      <c r="N921" s="959">
        <v>15276068.252400002</v>
      </c>
      <c r="O921" s="1149">
        <v>11881205.39184</v>
      </c>
      <c r="P921" s="950"/>
      <c r="Q921" s="950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237">
        <f>MAX(J921/J953)</f>
        <v>9.4495758989251444E-3</v>
      </c>
      <c r="AD921" s="235">
        <f t="shared" si="170"/>
        <v>29293.685286667947</v>
      </c>
      <c r="AE921" s="238">
        <f>MAX(I921/I953)</f>
        <v>9.3337716147830711E-3</v>
      </c>
      <c r="AF921" s="235">
        <f t="shared" si="171"/>
        <v>142583.33223973998</v>
      </c>
      <c r="AG921" s="238">
        <f>MAX(H921/H953)</f>
        <v>1.1259772748412616E-2</v>
      </c>
      <c r="AH921" s="235">
        <f t="shared" si="172"/>
        <v>133779.67268933306</v>
      </c>
    </row>
    <row r="922" spans="1:34" ht="15" customHeight="1" x14ac:dyDescent="0.2">
      <c r="A922" s="962" t="s">
        <v>362</v>
      </c>
      <c r="B922" s="1543">
        <v>3.4999999999999964</v>
      </c>
      <c r="C922" s="1146">
        <v>6</v>
      </c>
      <c r="D922" s="1146">
        <v>0</v>
      </c>
      <c r="E922" s="1146">
        <v>0</v>
      </c>
      <c r="F922" s="1146">
        <v>0.5</v>
      </c>
      <c r="G922" s="1146">
        <v>0</v>
      </c>
      <c r="H922" s="1146">
        <v>2.9999999999999964</v>
      </c>
      <c r="I922" s="1146">
        <v>8.9999999999999964</v>
      </c>
      <c r="J922" s="1147">
        <v>14.999999999999982</v>
      </c>
      <c r="K922" s="1147">
        <v>5</v>
      </c>
      <c r="L922" s="1066" t="s">
        <v>988</v>
      </c>
      <c r="M922" s="959">
        <v>3100000</v>
      </c>
      <c r="N922" s="959">
        <v>15276068.252400002</v>
      </c>
      <c r="O922" s="1149">
        <v>11881205.39184</v>
      </c>
      <c r="P922" s="950"/>
      <c r="Q922" s="950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237">
        <f>MAX(J922/J953)</f>
        <v>1.0271278151005581E-3</v>
      </c>
      <c r="AD922" s="235">
        <f t="shared" si="170"/>
        <v>3184.09622681173</v>
      </c>
      <c r="AE922" s="238">
        <f>MAX(I922/I953)</f>
        <v>3.6523454144803307E-3</v>
      </c>
      <c r="AF922" s="235">
        <f t="shared" si="171"/>
        <v>55793.477832941702</v>
      </c>
      <c r="AG922" s="238">
        <f>MAX(H922/H953)</f>
        <v>1.4686660106625134E-3</v>
      </c>
      <c r="AH922" s="235">
        <f t="shared" si="172"/>
        <v>17449.522524695596</v>
      </c>
    </row>
    <row r="923" spans="1:34" ht="15" customHeight="1" x14ac:dyDescent="0.2">
      <c r="A923" s="962" t="s">
        <v>363</v>
      </c>
      <c r="B923" s="1543">
        <v>18</v>
      </c>
      <c r="C923" s="1146">
        <v>3</v>
      </c>
      <c r="D923" s="1146">
        <v>0</v>
      </c>
      <c r="E923" s="1146">
        <v>0</v>
      </c>
      <c r="F923" s="1146">
        <v>0</v>
      </c>
      <c r="G923" s="1146">
        <v>0</v>
      </c>
      <c r="H923" s="1146">
        <v>18</v>
      </c>
      <c r="I923" s="1146">
        <v>21</v>
      </c>
      <c r="J923" s="1147">
        <v>126</v>
      </c>
      <c r="K923" s="1147">
        <v>7</v>
      </c>
      <c r="L923" s="1066" t="s">
        <v>988</v>
      </c>
      <c r="M923" s="959">
        <v>3100000</v>
      </c>
      <c r="N923" s="959">
        <v>15276068.252400002</v>
      </c>
      <c r="O923" s="1149">
        <v>11881205.39184</v>
      </c>
      <c r="P923" s="950"/>
      <c r="Q923" s="950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237">
        <f>MAX(J923/J953)</f>
        <v>8.627873646844697E-3</v>
      </c>
      <c r="AD923" s="235">
        <f t="shared" si="170"/>
        <v>26746.40830521856</v>
      </c>
      <c r="AE923" s="238">
        <f>MAX(I923/I953)</f>
        <v>8.5221393004541075E-3</v>
      </c>
      <c r="AF923" s="235">
        <f t="shared" si="171"/>
        <v>130184.78161019734</v>
      </c>
      <c r="AG923" s="238">
        <f>MAX(H923/H953)</f>
        <v>8.8119960639750916E-3</v>
      </c>
      <c r="AH923" s="235">
        <f t="shared" si="172"/>
        <v>104697.13514817371</v>
      </c>
    </row>
    <row r="924" spans="1:34" ht="15" customHeight="1" x14ac:dyDescent="0.2">
      <c r="A924" s="962" t="s">
        <v>939</v>
      </c>
      <c r="B924" s="1543">
        <v>58</v>
      </c>
      <c r="C924" s="1146">
        <v>2</v>
      </c>
      <c r="D924" s="1146">
        <v>0</v>
      </c>
      <c r="E924" s="1146">
        <v>0</v>
      </c>
      <c r="F924" s="1146">
        <v>13</v>
      </c>
      <c r="G924" s="1146">
        <v>15</v>
      </c>
      <c r="H924" s="1146">
        <v>30</v>
      </c>
      <c r="I924" s="1146">
        <v>47</v>
      </c>
      <c r="J924" s="1147">
        <v>210</v>
      </c>
      <c r="K924" s="1147">
        <v>7</v>
      </c>
      <c r="L924" s="1066" t="s">
        <v>988</v>
      </c>
      <c r="M924" s="959">
        <v>3100000</v>
      </c>
      <c r="N924" s="959">
        <v>15276068.252400002</v>
      </c>
      <c r="O924" s="1149">
        <v>11881205.39184</v>
      </c>
      <c r="P924" s="9"/>
      <c r="Q924" s="2005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237">
        <f>MAX(J924/J953)</f>
        <v>1.437978941140783E-2</v>
      </c>
      <c r="AD924" s="235">
        <f t="shared" si="170"/>
        <v>44577.347175364273</v>
      </c>
      <c r="AE924" s="238">
        <f>MAX(I924/I953)</f>
        <v>1.9073359386730621E-2</v>
      </c>
      <c r="AF924" s="235">
        <f t="shared" si="171"/>
        <v>291365.93979425123</v>
      </c>
      <c r="AG924" s="238">
        <f>MAX(H924/H953)</f>
        <v>1.4686660106625152E-2</v>
      </c>
      <c r="AH924" s="235">
        <f t="shared" si="172"/>
        <v>174495.22524695619</v>
      </c>
    </row>
    <row r="925" spans="1:34" ht="15" customHeight="1" x14ac:dyDescent="0.2">
      <c r="A925" s="962" t="s">
        <v>365</v>
      </c>
      <c r="B925" s="1543">
        <v>3.7</v>
      </c>
      <c r="C925" s="1146">
        <v>3</v>
      </c>
      <c r="D925" s="1146">
        <v>1</v>
      </c>
      <c r="E925" s="1146">
        <v>0</v>
      </c>
      <c r="F925" s="1146">
        <v>0</v>
      </c>
      <c r="G925" s="1146">
        <v>1</v>
      </c>
      <c r="H925" s="1146">
        <v>1.7000000000000002</v>
      </c>
      <c r="I925" s="1146">
        <v>6.7</v>
      </c>
      <c r="J925" s="1147">
        <v>15.3</v>
      </c>
      <c r="K925" s="1147">
        <v>9</v>
      </c>
      <c r="L925" s="1066" t="s">
        <v>988</v>
      </c>
      <c r="M925" s="959">
        <v>3100000</v>
      </c>
      <c r="N925" s="959">
        <v>15276068.252400002</v>
      </c>
      <c r="O925" s="1149">
        <v>11881205.39184</v>
      </c>
      <c r="P925" s="950"/>
      <c r="Q925" s="950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237">
        <f>MAX(J925/J953)</f>
        <v>1.0476703714025705E-3</v>
      </c>
      <c r="AD925" s="235">
        <f t="shared" si="170"/>
        <v>3247.7781513479686</v>
      </c>
      <c r="AE925" s="238">
        <f>MAX(I925/I953)</f>
        <v>2.7189682530020251E-3</v>
      </c>
      <c r="AF925" s="235">
        <f t="shared" si="171"/>
        <v>41535.144608967734</v>
      </c>
      <c r="AG925" s="238">
        <f>MAX(H925/H953)</f>
        <v>8.3224407270875871E-4</v>
      </c>
      <c r="AH925" s="235">
        <f t="shared" si="172"/>
        <v>9888.0627639941849</v>
      </c>
    </row>
    <row r="926" spans="1:34" ht="15" customHeight="1" x14ac:dyDescent="0.2">
      <c r="A926" s="962" t="s">
        <v>366</v>
      </c>
      <c r="B926" s="1543">
        <v>0</v>
      </c>
      <c r="C926" s="1146"/>
      <c r="D926" s="1146"/>
      <c r="E926" s="1146"/>
      <c r="F926" s="1146"/>
      <c r="G926" s="1146"/>
      <c r="H926" s="1146">
        <v>0</v>
      </c>
      <c r="I926" s="1146">
        <v>0</v>
      </c>
      <c r="J926" s="1147">
        <v>0</v>
      </c>
      <c r="K926" s="1147"/>
      <c r="L926" s="1148"/>
      <c r="M926" s="959"/>
      <c r="N926" s="1533"/>
      <c r="O926" s="1534"/>
      <c r="V926" s="9"/>
      <c r="W926" s="9"/>
      <c r="X926" s="9"/>
      <c r="Y926" s="9"/>
      <c r="Z926" s="9"/>
      <c r="AA926" s="9"/>
      <c r="AB926" s="9"/>
      <c r="AC926" s="237">
        <f>MAX(J926/J953)</f>
        <v>0</v>
      </c>
      <c r="AD926" s="235">
        <f t="shared" si="170"/>
        <v>0</v>
      </c>
      <c r="AE926" s="238">
        <f>MAX(I926/I953)</f>
        <v>0</v>
      </c>
      <c r="AF926" s="235">
        <f t="shared" si="171"/>
        <v>0</v>
      </c>
      <c r="AG926" s="238">
        <f>MAX(H926/H953)</f>
        <v>0</v>
      </c>
      <c r="AH926" s="235">
        <f t="shared" si="172"/>
        <v>0</v>
      </c>
    </row>
    <row r="927" spans="1:34" ht="15" customHeight="1" x14ac:dyDescent="0.2">
      <c r="A927" s="962" t="s">
        <v>367</v>
      </c>
      <c r="B927" s="1498">
        <v>0</v>
      </c>
      <c r="C927" s="1146"/>
      <c r="D927" s="1146"/>
      <c r="E927" s="1146"/>
      <c r="F927" s="1146"/>
      <c r="G927" s="1146"/>
      <c r="H927" s="1146">
        <v>0</v>
      </c>
      <c r="I927" s="1146">
        <v>0</v>
      </c>
      <c r="J927" s="1147">
        <v>0</v>
      </c>
      <c r="K927" s="1147"/>
      <c r="L927" s="1148"/>
      <c r="M927" s="959"/>
      <c r="N927" s="1533"/>
      <c r="O927" s="1534"/>
      <c r="V927" s="9"/>
      <c r="W927" s="9"/>
      <c r="X927" s="9"/>
      <c r="Y927" s="9"/>
      <c r="Z927" s="9"/>
      <c r="AA927" s="9"/>
      <c r="AB927" s="9"/>
      <c r="AC927" s="237">
        <f>MAX(J927/J953)</f>
        <v>0</v>
      </c>
      <c r="AD927" s="235">
        <f t="shared" si="170"/>
        <v>0</v>
      </c>
      <c r="AE927" s="238">
        <f>MAX(I927/I953)</f>
        <v>0</v>
      </c>
      <c r="AF927" s="235">
        <f t="shared" si="171"/>
        <v>0</v>
      </c>
      <c r="AG927" s="238">
        <f>MAX(H927/H953)</f>
        <v>0</v>
      </c>
      <c r="AH927" s="235">
        <f t="shared" si="172"/>
        <v>0</v>
      </c>
    </row>
    <row r="928" spans="1:34" ht="15" customHeight="1" x14ac:dyDescent="0.2">
      <c r="A928" s="434" t="s">
        <v>940</v>
      </c>
      <c r="B928" s="1002">
        <v>343.5</v>
      </c>
      <c r="C928" s="1002">
        <v>41</v>
      </c>
      <c r="D928" s="1002">
        <v>0</v>
      </c>
      <c r="E928" s="1002">
        <v>3</v>
      </c>
      <c r="F928" s="1002">
        <v>20</v>
      </c>
      <c r="G928" s="1002">
        <v>37</v>
      </c>
      <c r="H928" s="1002">
        <v>283.5</v>
      </c>
      <c r="I928" s="1002">
        <v>361.5</v>
      </c>
      <c r="J928" s="1150">
        <v>1653.75</v>
      </c>
      <c r="K928" s="1150">
        <v>5.833333333333333</v>
      </c>
      <c r="L928" s="1152"/>
      <c r="M928" s="996"/>
      <c r="N928" s="435"/>
      <c r="O928" s="436"/>
      <c r="V928" s="9"/>
      <c r="W928" s="9"/>
      <c r="X928" s="9"/>
      <c r="Y928" s="9"/>
      <c r="Z928" s="9"/>
      <c r="AA928" s="9"/>
      <c r="AB928" s="9"/>
      <c r="AC928" s="1157"/>
      <c r="AD928" s="1156"/>
      <c r="AE928" s="1158"/>
      <c r="AF928" s="1156"/>
      <c r="AG928" s="1158"/>
      <c r="AH928" s="1156"/>
    </row>
    <row r="929" spans="1:34" ht="15" customHeight="1" x14ac:dyDescent="0.2">
      <c r="A929" s="962" t="s">
        <v>369</v>
      </c>
      <c r="B929" s="1543">
        <v>229.75</v>
      </c>
      <c r="C929" s="1146">
        <v>20</v>
      </c>
      <c r="D929" s="1146">
        <v>0</v>
      </c>
      <c r="E929" s="1146">
        <v>3</v>
      </c>
      <c r="F929" s="1146">
        <v>20</v>
      </c>
      <c r="G929" s="1146">
        <v>30</v>
      </c>
      <c r="H929" s="1146">
        <v>176.75</v>
      </c>
      <c r="I929" s="1146">
        <v>226.75</v>
      </c>
      <c r="J929" s="1147">
        <v>1060.5</v>
      </c>
      <c r="K929" s="1147">
        <v>6</v>
      </c>
      <c r="L929" s="1066" t="s">
        <v>988</v>
      </c>
      <c r="M929" s="959">
        <v>3100000</v>
      </c>
      <c r="N929" s="959">
        <v>15276068.252400002</v>
      </c>
      <c r="O929" s="1149">
        <v>11881205.39184</v>
      </c>
      <c r="P929" s="950"/>
      <c r="Q929" s="950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237">
        <f>MAX(J929/J953)</f>
        <v>7.2617936527609533E-2</v>
      </c>
      <c r="AD929" s="235">
        <f>MAX(M929*AC929)</f>
        <v>225115.60323558954</v>
      </c>
      <c r="AE929" s="238">
        <f>MAX(I929/I953)</f>
        <v>9.2018813637046143E-2</v>
      </c>
      <c r="AF929" s="235">
        <f>MAX(N929*AE929)</f>
        <v>1405685.6776243928</v>
      </c>
      <c r="AG929" s="238">
        <f>MAX(H929/H953)</f>
        <v>8.6528905794866523E-2</v>
      </c>
      <c r="AH929" s="235">
        <f>MAX(O929*AG929)</f>
        <v>1028067.7020799835</v>
      </c>
    </row>
    <row r="930" spans="1:34" ht="15" customHeight="1" x14ac:dyDescent="0.2">
      <c r="A930" s="962" t="s">
        <v>370</v>
      </c>
      <c r="B930" s="1543">
        <v>81</v>
      </c>
      <c r="C930" s="1146">
        <v>14</v>
      </c>
      <c r="D930" s="1146">
        <v>0</v>
      </c>
      <c r="E930" s="1146">
        <v>0</v>
      </c>
      <c r="F930" s="1146">
        <v>0</v>
      </c>
      <c r="G930" s="1146">
        <v>7</v>
      </c>
      <c r="H930" s="1146">
        <v>74</v>
      </c>
      <c r="I930" s="1146">
        <v>95</v>
      </c>
      <c r="J930" s="1147">
        <v>370</v>
      </c>
      <c r="K930" s="1147">
        <v>5</v>
      </c>
      <c r="L930" s="1066" t="s">
        <v>988</v>
      </c>
      <c r="M930" s="959">
        <v>3100000</v>
      </c>
      <c r="N930" s="959">
        <v>15276068.252400002</v>
      </c>
      <c r="O930" s="1149">
        <v>11881205.39184</v>
      </c>
      <c r="P930" s="950"/>
      <c r="Q930" s="950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1966"/>
      <c r="AC930" s="237">
        <f>MAX(J930/J953)</f>
        <v>2.5335819439147127E-2</v>
      </c>
      <c r="AD930" s="235">
        <f>MAX(M930*AC930)</f>
        <v>78541.040261356102</v>
      </c>
      <c r="AE930" s="238">
        <f>MAX(I930/I953)</f>
        <v>3.8552534930625729E-2</v>
      </c>
      <c r="AF930" s="235">
        <f>MAX(N930*AE930)</f>
        <v>588931.1549032738</v>
      </c>
      <c r="AG930" s="238">
        <f>MAX(H930/H953)</f>
        <v>3.6227094929675373E-2</v>
      </c>
      <c r="AH930" s="235">
        <f>MAX(O930*AG930)</f>
        <v>430421.55560915853</v>
      </c>
    </row>
    <row r="931" spans="1:34" ht="15" customHeight="1" x14ac:dyDescent="0.2">
      <c r="A931" s="962" t="s">
        <v>371</v>
      </c>
      <c r="B931" s="1543">
        <v>16.75</v>
      </c>
      <c r="C931" s="1146">
        <v>4</v>
      </c>
      <c r="D931" s="1146">
        <v>0</v>
      </c>
      <c r="E931" s="1146">
        <v>0</v>
      </c>
      <c r="F931" s="1146">
        <v>0</v>
      </c>
      <c r="G931" s="1146">
        <v>0</v>
      </c>
      <c r="H931" s="1146">
        <v>16.75</v>
      </c>
      <c r="I931" s="1146">
        <v>20.75</v>
      </c>
      <c r="J931" s="1147">
        <v>117.25</v>
      </c>
      <c r="K931" s="1147">
        <v>7</v>
      </c>
      <c r="L931" s="1066" t="s">
        <v>988</v>
      </c>
      <c r="M931" s="959">
        <v>3100000</v>
      </c>
      <c r="N931" s="959">
        <v>15276068.252400002</v>
      </c>
      <c r="O931" s="1149">
        <v>11881205.39184</v>
      </c>
      <c r="P931" s="950"/>
      <c r="Q931" s="950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1966"/>
      <c r="AC931" s="237">
        <f>MAX(J931/J953)</f>
        <v>8.0287157547027053E-3</v>
      </c>
      <c r="AD931" s="235">
        <f>MAX(M931*AC931)</f>
        <v>24889.018839578388</v>
      </c>
      <c r="AE931" s="238">
        <f>MAX(I931/I953)</f>
        <v>8.4206852611629877E-3</v>
      </c>
      <c r="AF931" s="235">
        <f>MAX(N931*AE931)</f>
        <v>128634.96278150454</v>
      </c>
      <c r="AG931" s="238">
        <f>MAX(H931/H953)</f>
        <v>8.2000518928657101E-3</v>
      </c>
      <c r="AH931" s="235">
        <f>MAX(O931*AG931)</f>
        <v>97426.500762883865</v>
      </c>
    </row>
    <row r="932" spans="1:34" ht="15" customHeight="1" x14ac:dyDescent="0.2">
      <c r="A932" s="962" t="s">
        <v>372</v>
      </c>
      <c r="B932" s="1543">
        <v>10</v>
      </c>
      <c r="C932" s="1146">
        <v>3</v>
      </c>
      <c r="D932" s="1146">
        <v>0</v>
      </c>
      <c r="E932" s="1146">
        <v>0</v>
      </c>
      <c r="F932" s="1146">
        <v>0</v>
      </c>
      <c r="G932" s="1146">
        <v>0</v>
      </c>
      <c r="H932" s="1146">
        <v>10</v>
      </c>
      <c r="I932" s="1146">
        <v>13</v>
      </c>
      <c r="J932" s="1147">
        <v>70</v>
      </c>
      <c r="K932" s="1147">
        <v>7</v>
      </c>
      <c r="L932" s="1066" t="s">
        <v>988</v>
      </c>
      <c r="M932" s="959">
        <v>3100000</v>
      </c>
      <c r="N932" s="959">
        <v>15276068.252400002</v>
      </c>
      <c r="O932" s="1149">
        <v>11881205.39184</v>
      </c>
      <c r="P932" s="950"/>
      <c r="Q932" s="950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1966"/>
      <c r="AC932" s="237">
        <f>MAX(J932/J953)</f>
        <v>4.7932631371359431E-3</v>
      </c>
      <c r="AD932" s="235">
        <f>MAX(M932*AC932)</f>
        <v>14859.115725121424</v>
      </c>
      <c r="AE932" s="238">
        <f>MAX(I932/I953)</f>
        <v>5.2756100431382577E-3</v>
      </c>
      <c r="AF932" s="235">
        <f>MAX(N932*AE932)</f>
        <v>80590.579092026936</v>
      </c>
      <c r="AG932" s="238">
        <f>MAX(H932/H953)</f>
        <v>4.8955533688750507E-3</v>
      </c>
      <c r="AH932" s="235">
        <f>MAX(O932*AG932)</f>
        <v>58165.075082318726</v>
      </c>
    </row>
    <row r="933" spans="1:34" ht="15" customHeight="1" x14ac:dyDescent="0.2">
      <c r="A933" s="962" t="s">
        <v>373</v>
      </c>
      <c r="B933" s="1543">
        <v>6</v>
      </c>
      <c r="C933" s="1146">
        <v>0</v>
      </c>
      <c r="D933" s="1146">
        <v>0</v>
      </c>
      <c r="E933" s="1146">
        <v>0</v>
      </c>
      <c r="F933" s="1146">
        <v>0</v>
      </c>
      <c r="G933" s="1146">
        <v>0</v>
      </c>
      <c r="H933" s="1146">
        <v>6</v>
      </c>
      <c r="I933" s="1146">
        <v>6</v>
      </c>
      <c r="J933" s="1147">
        <v>36</v>
      </c>
      <c r="K933" s="1147">
        <v>6</v>
      </c>
      <c r="L933" s="1066" t="s">
        <v>988</v>
      </c>
      <c r="M933" s="959">
        <v>3100000</v>
      </c>
      <c r="N933" s="959">
        <v>15276068.252400002</v>
      </c>
      <c r="O933" s="1149">
        <v>11881205.39184</v>
      </c>
      <c r="P933" s="950"/>
      <c r="Q933" s="950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1966"/>
      <c r="AC933" s="237">
        <f>MAX(J933/J953)</f>
        <v>2.465106756241342E-3</v>
      </c>
      <c r="AD933" s="235">
        <f>MAX(M933*AC933)</f>
        <v>7641.8309443481603</v>
      </c>
      <c r="AE933" s="238">
        <f>MAX(I933/I953)</f>
        <v>2.434896942986888E-3</v>
      </c>
      <c r="AF933" s="235">
        <f>MAX(N933*AE933)</f>
        <v>37195.651888627814</v>
      </c>
      <c r="AG933" s="238">
        <f>MAX(H933/H953)</f>
        <v>2.9373320213250302E-3</v>
      </c>
      <c r="AH933" s="235">
        <f>MAX(O933*AG933)</f>
        <v>34899.045049391236</v>
      </c>
    </row>
    <row r="934" spans="1:34" ht="15" customHeight="1" x14ac:dyDescent="0.2">
      <c r="A934" s="1154" t="s">
        <v>374</v>
      </c>
      <c r="B934" s="1002">
        <v>543.16999999999996</v>
      </c>
      <c r="C934" s="1002">
        <v>39</v>
      </c>
      <c r="D934" s="1002">
        <v>9</v>
      </c>
      <c r="E934" s="1002">
        <v>6</v>
      </c>
      <c r="F934" s="1002">
        <v>19</v>
      </c>
      <c r="G934" s="1002">
        <v>20</v>
      </c>
      <c r="H934" s="1002">
        <v>489.17</v>
      </c>
      <c r="I934" s="1002">
        <v>557.16999999999996</v>
      </c>
      <c r="J934" s="1150">
        <v>4472.9800000000005</v>
      </c>
      <c r="K934" s="1150">
        <v>9.1440194615368888</v>
      </c>
      <c r="L934" s="1152"/>
      <c r="M934" s="996"/>
      <c r="N934" s="435"/>
      <c r="O934" s="436"/>
      <c r="U934" s="9"/>
      <c r="V934" s="9"/>
      <c r="W934" s="9"/>
      <c r="X934" s="9"/>
      <c r="Y934" s="9"/>
      <c r="Z934" s="9"/>
      <c r="AA934" s="9"/>
      <c r="AB934" s="1966"/>
      <c r="AC934" s="1157"/>
      <c r="AD934" s="1156"/>
      <c r="AE934" s="1158"/>
      <c r="AF934" s="1156"/>
      <c r="AG934" s="1158"/>
      <c r="AH934" s="1156"/>
    </row>
    <row r="935" spans="1:34" ht="15" customHeight="1" x14ac:dyDescent="0.2">
      <c r="A935" s="962" t="s">
        <v>375</v>
      </c>
      <c r="B935" s="1543">
        <v>212</v>
      </c>
      <c r="C935" s="1146">
        <v>25</v>
      </c>
      <c r="D935" s="1146">
        <v>5</v>
      </c>
      <c r="E935" s="1146">
        <v>4</v>
      </c>
      <c r="F935" s="1146">
        <v>9</v>
      </c>
      <c r="G935" s="1146">
        <v>0</v>
      </c>
      <c r="H935" s="1146">
        <v>194</v>
      </c>
      <c r="I935" s="1146">
        <v>224</v>
      </c>
      <c r="J935" s="1147">
        <v>1940</v>
      </c>
      <c r="K935" s="1147">
        <v>10</v>
      </c>
      <c r="L935" s="1066" t="s">
        <v>988</v>
      </c>
      <c r="M935" s="959">
        <v>3100000</v>
      </c>
      <c r="N935" s="959">
        <v>15276068.252400002</v>
      </c>
      <c r="O935" s="1149">
        <v>11881205.39184</v>
      </c>
      <c r="P935" s="950"/>
      <c r="Q935" s="950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1966"/>
      <c r="AC935" s="237">
        <f>MAX(J935/J953)</f>
        <v>0.132841864086339</v>
      </c>
      <c r="AD935" s="235">
        <f t="shared" ref="AD935:AD942" si="173">MAX(M935*AC935)</f>
        <v>411809.77866765088</v>
      </c>
      <c r="AE935" s="238">
        <f>MAX(I935/I953)</f>
        <v>9.0902819204843818E-2</v>
      </c>
      <c r="AF935" s="235">
        <f t="shared" ref="AF935:AF942" si="174">MAX(N935*AE935)</f>
        <v>1388637.6705087719</v>
      </c>
      <c r="AG935" s="238">
        <f>MAX(H935/H953)</f>
        <v>9.4973735356175981E-2</v>
      </c>
      <c r="AH935" s="235">
        <f t="shared" ref="AH935:AH942" si="175">MAX(O935*AG935)</f>
        <v>1128402.4565969834</v>
      </c>
    </row>
    <row r="936" spans="1:34" ht="15" customHeight="1" x14ac:dyDescent="0.2">
      <c r="A936" s="962" t="s">
        <v>376</v>
      </c>
      <c r="B936" s="1543">
        <v>16.32</v>
      </c>
      <c r="C936" s="1146">
        <v>0</v>
      </c>
      <c r="D936" s="1146">
        <v>0</v>
      </c>
      <c r="E936" s="1146">
        <v>0</v>
      </c>
      <c r="F936" s="1146">
        <v>0</v>
      </c>
      <c r="G936" s="1146">
        <v>0</v>
      </c>
      <c r="H936" s="1146">
        <v>16.32</v>
      </c>
      <c r="I936" s="1146">
        <v>16.32</v>
      </c>
      <c r="J936" s="1147">
        <v>146.88</v>
      </c>
      <c r="K936" s="1147">
        <v>9</v>
      </c>
      <c r="L936" s="1066" t="s">
        <v>988</v>
      </c>
      <c r="M936" s="959">
        <v>3100000</v>
      </c>
      <c r="N936" s="959">
        <v>15276068.252400002</v>
      </c>
      <c r="O936" s="1149">
        <v>11881205.39184</v>
      </c>
      <c r="P936" s="950"/>
      <c r="Q936" s="950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1966"/>
      <c r="AC936" s="237">
        <f>MAX(J936/J953)</f>
        <v>1.0057635565464676E-2</v>
      </c>
      <c r="AD936" s="235">
        <f t="shared" si="173"/>
        <v>31178.670252940494</v>
      </c>
      <c r="AE936" s="238">
        <f>MAX(I936/I953)</f>
        <v>6.6229196849243357E-3</v>
      </c>
      <c r="AF936" s="235">
        <f t="shared" si="174"/>
        <v>101172.17313706767</v>
      </c>
      <c r="AG936" s="238">
        <f>MAX(H936/H953)</f>
        <v>7.9895430980040823E-3</v>
      </c>
      <c r="AH936" s="235">
        <f t="shared" si="175"/>
        <v>94925.402534344161</v>
      </c>
    </row>
    <row r="937" spans="1:34" ht="15" customHeight="1" x14ac:dyDescent="0.2">
      <c r="A937" s="962" t="s">
        <v>377</v>
      </c>
      <c r="B937" s="1543">
        <v>10</v>
      </c>
      <c r="C937" s="1146">
        <v>2</v>
      </c>
      <c r="D937" s="1146"/>
      <c r="E937" s="1146"/>
      <c r="F937" s="1146"/>
      <c r="G937" s="1146"/>
      <c r="H937" s="1146">
        <v>10</v>
      </c>
      <c r="I937" s="1146">
        <v>12</v>
      </c>
      <c r="J937" s="1147">
        <v>60</v>
      </c>
      <c r="K937" s="1147">
        <v>6</v>
      </c>
      <c r="L937" s="1066" t="s">
        <v>988</v>
      </c>
      <c r="M937" s="959">
        <v>3100000</v>
      </c>
      <c r="N937" s="959">
        <v>15276068.252400002</v>
      </c>
      <c r="O937" s="1149">
        <v>11881205.39184</v>
      </c>
      <c r="P937" s="950"/>
      <c r="Q937" s="950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1966"/>
      <c r="AC937" s="237">
        <f>MAX(J937/J953)</f>
        <v>4.1085112604022367E-3</v>
      </c>
      <c r="AD937" s="235">
        <f t="shared" si="173"/>
        <v>12736.384907246933</v>
      </c>
      <c r="AE937" s="238">
        <f>MAX(I937/I953)</f>
        <v>4.869793885973776E-3</v>
      </c>
      <c r="AF937" s="235">
        <f t="shared" si="174"/>
        <v>74391.303777255627</v>
      </c>
      <c r="AG937" s="238">
        <f>MAX(H937/H953)</f>
        <v>4.8955533688750507E-3</v>
      </c>
      <c r="AH937" s="235">
        <f t="shared" si="175"/>
        <v>58165.075082318726</v>
      </c>
    </row>
    <row r="938" spans="1:34" ht="15" customHeight="1" x14ac:dyDescent="0.2">
      <c r="A938" s="962" t="s">
        <v>378</v>
      </c>
      <c r="B938" s="1543">
        <v>124</v>
      </c>
      <c r="C938" s="1146">
        <v>0</v>
      </c>
      <c r="D938" s="1146">
        <v>0</v>
      </c>
      <c r="E938" s="1146">
        <v>0</v>
      </c>
      <c r="F938" s="1146">
        <v>0</v>
      </c>
      <c r="G938" s="1146">
        <v>0</v>
      </c>
      <c r="H938" s="1146">
        <v>124</v>
      </c>
      <c r="I938" s="1146">
        <v>124</v>
      </c>
      <c r="J938" s="1147">
        <v>992</v>
      </c>
      <c r="K938" s="1147">
        <v>8</v>
      </c>
      <c r="L938" s="1066" t="s">
        <v>988</v>
      </c>
      <c r="M938" s="959">
        <v>3100000</v>
      </c>
      <c r="N938" s="959">
        <v>15276068.252400002</v>
      </c>
      <c r="O938" s="1149">
        <v>11881205.39184</v>
      </c>
      <c r="P938" s="950"/>
      <c r="Q938" s="950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1966"/>
      <c r="AC938" s="237">
        <f>MAX(J938/J953)</f>
        <v>6.7927386171983656E-2</v>
      </c>
      <c r="AD938" s="235">
        <f t="shared" si="173"/>
        <v>210574.89713314932</v>
      </c>
      <c r="AE938" s="238">
        <f>MAX(I938/I953)</f>
        <v>5.0321203488395687E-2</v>
      </c>
      <c r="AF938" s="235">
        <f t="shared" si="174"/>
        <v>768710.13903164153</v>
      </c>
      <c r="AG938" s="238">
        <f>MAX(H938/H953)</f>
        <v>6.0704861774050628E-2</v>
      </c>
      <c r="AH938" s="235">
        <f t="shared" si="175"/>
        <v>721246.93102075218</v>
      </c>
    </row>
    <row r="939" spans="1:34" ht="15" customHeight="1" x14ac:dyDescent="0.2">
      <c r="A939" s="962" t="s">
        <v>379</v>
      </c>
      <c r="B939" s="1543">
        <v>21</v>
      </c>
      <c r="C939" s="1146"/>
      <c r="D939" s="1146"/>
      <c r="E939" s="1146"/>
      <c r="F939" s="1146">
        <v>3</v>
      </c>
      <c r="G939" s="1146"/>
      <c r="H939" s="1146">
        <v>18</v>
      </c>
      <c r="I939" s="1146">
        <v>18</v>
      </c>
      <c r="J939" s="1147">
        <v>144</v>
      </c>
      <c r="K939" s="1147">
        <v>8</v>
      </c>
      <c r="L939" s="1066" t="s">
        <v>988</v>
      </c>
      <c r="M939" s="959">
        <v>3100000</v>
      </c>
      <c r="N939" s="959">
        <v>15276068.252400002</v>
      </c>
      <c r="O939" s="1149">
        <v>11881205.39184</v>
      </c>
      <c r="P939" s="950"/>
      <c r="Q939" s="950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1966"/>
      <c r="AC939" s="237">
        <f>MAX(J939/J953)</f>
        <v>9.860427024965368E-3</v>
      </c>
      <c r="AD939" s="235">
        <f t="shared" si="173"/>
        <v>30567.323777392641</v>
      </c>
      <c r="AE939" s="238">
        <f>MAX(I939/I953)</f>
        <v>7.304690828960664E-3</v>
      </c>
      <c r="AF939" s="235">
        <f t="shared" si="174"/>
        <v>111586.95566588345</v>
      </c>
      <c r="AG939" s="238">
        <f>MAX(H939/H953)</f>
        <v>8.8119960639750916E-3</v>
      </c>
      <c r="AH939" s="235">
        <f t="shared" si="175"/>
        <v>104697.13514817371</v>
      </c>
    </row>
    <row r="940" spans="1:34" ht="15" customHeight="1" x14ac:dyDescent="0.2">
      <c r="A940" s="962" t="s">
        <v>380</v>
      </c>
      <c r="B940" s="1543">
        <v>22</v>
      </c>
      <c r="C940" s="1146">
        <v>4</v>
      </c>
      <c r="D940" s="1146">
        <v>0</v>
      </c>
      <c r="E940" s="1146">
        <v>0</v>
      </c>
      <c r="F940" s="1146">
        <v>2</v>
      </c>
      <c r="G940" s="1146">
        <v>0</v>
      </c>
      <c r="H940" s="1146">
        <v>20</v>
      </c>
      <c r="I940" s="1146">
        <v>24</v>
      </c>
      <c r="J940" s="1147">
        <v>240</v>
      </c>
      <c r="K940" s="1147">
        <v>12</v>
      </c>
      <c r="L940" s="1066" t="s">
        <v>988</v>
      </c>
      <c r="M940" s="959">
        <v>3100000</v>
      </c>
      <c r="N940" s="959">
        <v>15276068.252400002</v>
      </c>
      <c r="O940" s="1149">
        <v>11881205.39184</v>
      </c>
      <c r="P940" s="950"/>
      <c r="Q940" s="950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1966"/>
      <c r="AC940" s="237">
        <f>MAX(J940/J953)</f>
        <v>1.6434045041608947E-2</v>
      </c>
      <c r="AD940" s="235">
        <f t="shared" si="173"/>
        <v>50945.539628987732</v>
      </c>
      <c r="AE940" s="238">
        <f>MAX(I940/I953)</f>
        <v>9.739587771947552E-3</v>
      </c>
      <c r="AF940" s="235">
        <f t="shared" si="174"/>
        <v>148782.60755451125</v>
      </c>
      <c r="AG940" s="238">
        <f>MAX(H940/H953)</f>
        <v>9.7911067377501014E-3</v>
      </c>
      <c r="AH940" s="235">
        <f t="shared" si="175"/>
        <v>116330.15016463745</v>
      </c>
    </row>
    <row r="941" spans="1:34" ht="15" customHeight="1" x14ac:dyDescent="0.2">
      <c r="A941" s="962" t="s">
        <v>381</v>
      </c>
      <c r="B941" s="1543">
        <v>123</v>
      </c>
      <c r="C941" s="1146"/>
      <c r="D941" s="1146"/>
      <c r="E941" s="1146"/>
      <c r="F941" s="1146"/>
      <c r="G941" s="1146">
        <v>20</v>
      </c>
      <c r="H941" s="1146">
        <v>103</v>
      </c>
      <c r="I941" s="1146">
        <v>123</v>
      </c>
      <c r="J941" s="1147">
        <v>927</v>
      </c>
      <c r="K941" s="1147">
        <v>9</v>
      </c>
      <c r="L941" s="1066" t="s">
        <v>988</v>
      </c>
      <c r="M941" s="959">
        <v>3100000</v>
      </c>
      <c r="N941" s="959">
        <v>15276068.252400002</v>
      </c>
      <c r="O941" s="1149">
        <v>11881205.39184</v>
      </c>
      <c r="P941" s="950"/>
      <c r="Q941" s="950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1966"/>
      <c r="AC941" s="237">
        <f>MAX(J941/J953)</f>
        <v>6.3476498973214557E-2</v>
      </c>
      <c r="AD941" s="235">
        <f t="shared" si="173"/>
        <v>196777.14681696513</v>
      </c>
      <c r="AE941" s="238">
        <f>MAX(I941/I953)</f>
        <v>4.9915387331231201E-2</v>
      </c>
      <c r="AF941" s="235">
        <f t="shared" si="174"/>
        <v>762510.8637168702</v>
      </c>
      <c r="AG941" s="238">
        <f>MAX(H941/H953)</f>
        <v>5.0424199699413023E-2</v>
      </c>
      <c r="AH941" s="235">
        <f t="shared" si="175"/>
        <v>599100.2733478829</v>
      </c>
    </row>
    <row r="942" spans="1:34" ht="15" customHeight="1" x14ac:dyDescent="0.2">
      <c r="A942" s="962" t="s">
        <v>382</v>
      </c>
      <c r="B942" s="1543">
        <v>14.85</v>
      </c>
      <c r="C942" s="1146">
        <v>8</v>
      </c>
      <c r="D942" s="1146">
        <v>4</v>
      </c>
      <c r="E942" s="1146">
        <v>2</v>
      </c>
      <c r="F942" s="1146">
        <v>5</v>
      </c>
      <c r="G942" s="1146">
        <v>0</v>
      </c>
      <c r="H942" s="1146">
        <v>3.8500000000000014</v>
      </c>
      <c r="I942" s="1146">
        <v>15.850000000000001</v>
      </c>
      <c r="J942" s="1147">
        <v>23.100000000000009</v>
      </c>
      <c r="K942" s="1147">
        <v>6</v>
      </c>
      <c r="L942" s="1066" t="s">
        <v>988</v>
      </c>
      <c r="M942" s="959">
        <v>3100000</v>
      </c>
      <c r="N942" s="959">
        <v>15276068.252400002</v>
      </c>
      <c r="O942" s="1149">
        <v>11881205.39184</v>
      </c>
      <c r="P942" s="950"/>
      <c r="Q942" s="950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1966"/>
      <c r="AC942" s="237">
        <f>MAX(J942/J953)</f>
        <v>1.5817768352548618E-3</v>
      </c>
      <c r="AD942" s="235">
        <f t="shared" si="173"/>
        <v>4903.5081892900716</v>
      </c>
      <c r="AE942" s="238">
        <f>MAX(I942/I953)</f>
        <v>6.4321860910570294E-3</v>
      </c>
      <c r="AF942" s="235">
        <f t="shared" si="174"/>
        <v>98258.513739125148</v>
      </c>
      <c r="AG942" s="238">
        <f>MAX(H942/H953)</f>
        <v>1.8847880470168952E-3</v>
      </c>
      <c r="AH942" s="235">
        <f t="shared" si="175"/>
        <v>22393.553906692719</v>
      </c>
    </row>
    <row r="943" spans="1:34" ht="15" customHeight="1" x14ac:dyDescent="0.2">
      <c r="A943" s="1154" t="s">
        <v>383</v>
      </c>
      <c r="B943" s="1002">
        <v>641.79999999999995</v>
      </c>
      <c r="C943" s="1002">
        <v>89.5</v>
      </c>
      <c r="D943" s="1002">
        <v>25</v>
      </c>
      <c r="E943" s="1002">
        <v>21</v>
      </c>
      <c r="F943" s="1002">
        <v>10</v>
      </c>
      <c r="G943" s="1002">
        <v>52</v>
      </c>
      <c r="H943" s="1002">
        <v>504.8</v>
      </c>
      <c r="I943" s="1002">
        <v>700.3</v>
      </c>
      <c r="J943" s="1150">
        <v>3802.9</v>
      </c>
      <c r="K943" s="1150">
        <v>7.5334786053882725</v>
      </c>
      <c r="L943" s="1152"/>
      <c r="M943" s="996"/>
      <c r="N943" s="435"/>
      <c r="O943" s="436"/>
      <c r="U943" s="9"/>
      <c r="V943" s="9"/>
      <c r="W943" s="9"/>
      <c r="X943" s="9"/>
      <c r="Y943" s="9"/>
      <c r="Z943" s="9"/>
      <c r="AA943" s="9"/>
      <c r="AB943" s="1966"/>
      <c r="AC943" s="1157"/>
      <c r="AD943" s="1156"/>
      <c r="AE943" s="1158"/>
      <c r="AF943" s="1156"/>
      <c r="AG943" s="1158"/>
      <c r="AH943" s="1156"/>
    </row>
    <row r="944" spans="1:34" ht="15" customHeight="1" x14ac:dyDescent="0.2">
      <c r="A944" s="962" t="s">
        <v>384</v>
      </c>
      <c r="B944" s="1543">
        <v>210.3</v>
      </c>
      <c r="C944" s="1146">
        <v>5</v>
      </c>
      <c r="D944" s="1146">
        <v>0</v>
      </c>
      <c r="E944" s="1146">
        <v>0</v>
      </c>
      <c r="F944" s="1146">
        <v>0</v>
      </c>
      <c r="G944" s="1146">
        <v>25</v>
      </c>
      <c r="H944" s="1146">
        <v>210.3</v>
      </c>
      <c r="I944" s="1146">
        <v>215.3</v>
      </c>
      <c r="J944" s="1147">
        <v>1682.4</v>
      </c>
      <c r="K944" s="1147">
        <v>8</v>
      </c>
      <c r="L944" s="1066" t="s">
        <v>988</v>
      </c>
      <c r="M944" s="959">
        <v>3100000</v>
      </c>
      <c r="N944" s="959">
        <v>15276068.252400002</v>
      </c>
      <c r="O944" s="1149">
        <v>11881205.39184</v>
      </c>
      <c r="P944" s="950"/>
      <c r="Q944" s="950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1966"/>
      <c r="AC944" s="237">
        <f>MAX(J944/J953)</f>
        <v>0.11520265574167873</v>
      </c>
      <c r="AD944" s="235">
        <f t="shared" ref="AD944:AD952" si="176">MAX(M944*AC944)</f>
        <v>357128.23279920407</v>
      </c>
      <c r="AE944" s="238">
        <f>MAX(I944/I953)</f>
        <v>8.7372218637512836E-2</v>
      </c>
      <c r="AF944" s="235">
        <f t="shared" ref="AF944:AF952" si="177">MAX(N944*AE944)</f>
        <v>1334703.9752702615</v>
      </c>
      <c r="AG944" s="238">
        <f>MAX(H944/H953)</f>
        <v>0.10295348734744232</v>
      </c>
      <c r="AH944" s="235">
        <f t="shared" ref="AH944:AH952" si="178">MAX(O944*AG944)</f>
        <v>1223211.5289811629</v>
      </c>
    </row>
    <row r="945" spans="1:34" ht="15" customHeight="1" x14ac:dyDescent="0.2">
      <c r="A945" s="962" t="s">
        <v>385</v>
      </c>
      <c r="B945" s="1543">
        <v>45.5</v>
      </c>
      <c r="C945" s="1146">
        <v>25</v>
      </c>
      <c r="D945" s="1146">
        <v>20</v>
      </c>
      <c r="E945" s="1146">
        <v>4</v>
      </c>
      <c r="F945" s="1146">
        <v>5</v>
      </c>
      <c r="G945" s="1146">
        <v>0</v>
      </c>
      <c r="H945" s="1146">
        <v>35.5</v>
      </c>
      <c r="I945" s="1146">
        <v>61.5</v>
      </c>
      <c r="J945" s="1147">
        <v>213</v>
      </c>
      <c r="K945" s="1147">
        <v>6</v>
      </c>
      <c r="L945" s="1066" t="s">
        <v>988</v>
      </c>
      <c r="M945" s="959">
        <v>3100000</v>
      </c>
      <c r="N945" s="959">
        <v>15276068.252400002</v>
      </c>
      <c r="O945" s="1149">
        <v>11881205.39184</v>
      </c>
      <c r="P945" s="9"/>
      <c r="Q945" s="2005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1966"/>
      <c r="AC945" s="237">
        <f>MAX(J945/J953)</f>
        <v>1.4585214974427942E-2</v>
      </c>
      <c r="AD945" s="235">
        <f t="shared" si="176"/>
        <v>45214.166420726622</v>
      </c>
      <c r="AE945" s="238">
        <f>MAX(I945/I953)</f>
        <v>2.49576936656156E-2</v>
      </c>
      <c r="AF945" s="235">
        <f t="shared" si="177"/>
        <v>381255.4318584351</v>
      </c>
      <c r="AG945" s="238">
        <f>MAX(H945/H953)</f>
        <v>1.737921445950643E-2</v>
      </c>
      <c r="AH945" s="235">
        <f t="shared" si="178"/>
        <v>206486.01654223149</v>
      </c>
    </row>
    <row r="946" spans="1:34" ht="15" customHeight="1" x14ac:dyDescent="0.2">
      <c r="A946" s="962" t="s">
        <v>386</v>
      </c>
      <c r="B946" s="1543">
        <v>4</v>
      </c>
      <c r="C946" s="1146">
        <v>0</v>
      </c>
      <c r="D946" s="1146">
        <v>0</v>
      </c>
      <c r="E946" s="1146">
        <v>0</v>
      </c>
      <c r="F946" s="1146">
        <v>0</v>
      </c>
      <c r="G946" s="1146">
        <v>0</v>
      </c>
      <c r="H946" s="1146">
        <v>3</v>
      </c>
      <c r="I946" s="1146">
        <v>4</v>
      </c>
      <c r="J946" s="1147">
        <v>18</v>
      </c>
      <c r="K946" s="1147">
        <v>6</v>
      </c>
      <c r="L946" s="1066" t="s">
        <v>988</v>
      </c>
      <c r="M946" s="959">
        <v>3100000</v>
      </c>
      <c r="N946" s="959">
        <v>15276068.252400002</v>
      </c>
      <c r="O946" s="1149">
        <v>11881205.39184</v>
      </c>
      <c r="P946" s="950"/>
      <c r="Q946" s="950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1966"/>
      <c r="AC946" s="237">
        <f>MAX(J946/J953)</f>
        <v>1.232553378120671E-3</v>
      </c>
      <c r="AD946" s="235">
        <f t="shared" si="176"/>
        <v>3820.9154721740802</v>
      </c>
      <c r="AE946" s="238">
        <f>MAX(I946/I953)</f>
        <v>1.6232646286579253E-3</v>
      </c>
      <c r="AF946" s="235">
        <f t="shared" si="177"/>
        <v>24797.101259085211</v>
      </c>
      <c r="AG946" s="238">
        <f>MAX(H946/H953)</f>
        <v>1.4686660106625151E-3</v>
      </c>
      <c r="AH946" s="235">
        <f t="shared" si="178"/>
        <v>17449.522524695618</v>
      </c>
    </row>
    <row r="947" spans="1:34" ht="15" customHeight="1" x14ac:dyDescent="0.2">
      <c r="A947" s="962" t="s">
        <v>387</v>
      </c>
      <c r="B947" s="1543">
        <v>100</v>
      </c>
      <c r="C947" s="1146">
        <v>20</v>
      </c>
      <c r="D947" s="1146">
        <v>5</v>
      </c>
      <c r="E947" s="1146">
        <v>7</v>
      </c>
      <c r="F947" s="1146">
        <v>5</v>
      </c>
      <c r="G947" s="1146">
        <v>5</v>
      </c>
      <c r="H947" s="1146">
        <v>62</v>
      </c>
      <c r="I947" s="1146">
        <v>108</v>
      </c>
      <c r="J947" s="1147">
        <v>372</v>
      </c>
      <c r="K947" s="1147">
        <v>6</v>
      </c>
      <c r="L947" s="1066" t="s">
        <v>988</v>
      </c>
      <c r="M947" s="959">
        <v>3100000</v>
      </c>
      <c r="N947" s="959">
        <v>15276068.252400002</v>
      </c>
      <c r="O947" s="1149">
        <v>11881205.39184</v>
      </c>
      <c r="P947" s="950"/>
      <c r="Q947" s="950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1966"/>
      <c r="AC947" s="237">
        <f>MAX(J947/J953)</f>
        <v>2.5472769814493871E-2</v>
      </c>
      <c r="AD947" s="235">
        <f t="shared" si="176"/>
        <v>78965.586424930996</v>
      </c>
      <c r="AE947" s="238">
        <f>MAX(I947/I953)</f>
        <v>4.3828144973763986E-2</v>
      </c>
      <c r="AF947" s="235">
        <f t="shared" si="177"/>
        <v>669521.73399530072</v>
      </c>
      <c r="AG947" s="238">
        <f>MAX(H947/H953)</f>
        <v>3.0352430887025314E-2</v>
      </c>
      <c r="AH947" s="235">
        <f t="shared" si="178"/>
        <v>360623.46551037609</v>
      </c>
    </row>
    <row r="948" spans="1:34" ht="15" customHeight="1" x14ac:dyDescent="0.2">
      <c r="A948" s="962" t="s">
        <v>388</v>
      </c>
      <c r="B948" s="1543">
        <v>64</v>
      </c>
      <c r="C948" s="1146">
        <v>5</v>
      </c>
      <c r="D948" s="1146"/>
      <c r="E948" s="1146">
        <v>10</v>
      </c>
      <c r="F948" s="1146"/>
      <c r="G948" s="1146"/>
      <c r="H948" s="1146">
        <v>51</v>
      </c>
      <c r="I948" s="1146">
        <v>59</v>
      </c>
      <c r="J948" s="1147">
        <v>459</v>
      </c>
      <c r="K948" s="1147">
        <v>9</v>
      </c>
      <c r="L948" s="1066" t="s">
        <v>988</v>
      </c>
      <c r="M948" s="959">
        <v>3100000</v>
      </c>
      <c r="N948" s="959">
        <v>15276068.252400002</v>
      </c>
      <c r="O948" s="1149">
        <v>11881205.39184</v>
      </c>
      <c r="P948" s="950"/>
      <c r="Q948" s="950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1966"/>
      <c r="AC948" s="237">
        <f>MAX(J948/J953)</f>
        <v>3.1430111142077111E-2</v>
      </c>
      <c r="AD948" s="235">
        <f t="shared" si="176"/>
        <v>97433.344540439037</v>
      </c>
      <c r="AE948" s="238">
        <f>MAX(I948/I953)</f>
        <v>2.3943153272704399E-2</v>
      </c>
      <c r="AF948" s="235">
        <f t="shared" si="177"/>
        <v>365757.24357150687</v>
      </c>
      <c r="AG948" s="238">
        <f>MAX(H948/H953)</f>
        <v>2.4967322181262758E-2</v>
      </c>
      <c r="AH948" s="235">
        <f t="shared" si="178"/>
        <v>296641.8829198255</v>
      </c>
    </row>
    <row r="949" spans="1:34" ht="15" customHeight="1" x14ac:dyDescent="0.2">
      <c r="A949" s="962" t="s">
        <v>389</v>
      </c>
      <c r="B949" s="1543">
        <v>31</v>
      </c>
      <c r="C949" s="1146">
        <v>16.5</v>
      </c>
      <c r="D949" s="1146"/>
      <c r="E949" s="1146"/>
      <c r="F949" s="1146"/>
      <c r="G949" s="1146"/>
      <c r="H949" s="1146">
        <v>31</v>
      </c>
      <c r="I949" s="1146">
        <v>47.5</v>
      </c>
      <c r="J949" s="1147">
        <v>217</v>
      </c>
      <c r="K949" s="1147">
        <v>7</v>
      </c>
      <c r="L949" s="1066" t="s">
        <v>988</v>
      </c>
      <c r="M949" s="959">
        <v>3100000</v>
      </c>
      <c r="N949" s="959">
        <v>15276068.252400002</v>
      </c>
      <c r="O949" s="1149">
        <v>11881205.39184</v>
      </c>
      <c r="P949" s="950"/>
      <c r="Q949" s="950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1966"/>
      <c r="AC949" s="237">
        <f>MAX(J949/J953)</f>
        <v>1.4859115725121424E-2</v>
      </c>
      <c r="AD949" s="235">
        <f t="shared" si="176"/>
        <v>46063.258747876411</v>
      </c>
      <c r="AE949" s="238">
        <f>MAX(I949/I953)</f>
        <v>1.9276267465312864E-2</v>
      </c>
      <c r="AF949" s="235">
        <f t="shared" si="177"/>
        <v>294465.5774516369</v>
      </c>
      <c r="AG949" s="238">
        <f>MAX(H949/H953)</f>
        <v>1.5176215443512657E-2</v>
      </c>
      <c r="AH949" s="235">
        <f t="shared" si="178"/>
        <v>180311.73275518804</v>
      </c>
    </row>
    <row r="950" spans="1:34" ht="15" customHeight="1" x14ac:dyDescent="0.2">
      <c r="A950" s="962" t="s">
        <v>390</v>
      </c>
      <c r="B950" s="1543">
        <v>38</v>
      </c>
      <c r="C950" s="1146"/>
      <c r="D950" s="1146"/>
      <c r="E950" s="1146"/>
      <c r="F950" s="1146"/>
      <c r="G950" s="1146"/>
      <c r="H950" s="1146">
        <v>33</v>
      </c>
      <c r="I950" s="1146">
        <v>38</v>
      </c>
      <c r="J950" s="1147">
        <v>214.5</v>
      </c>
      <c r="K950" s="1147">
        <v>6.5</v>
      </c>
      <c r="L950" s="1066" t="s">
        <v>988</v>
      </c>
      <c r="M950" s="959">
        <v>3100000</v>
      </c>
      <c r="N950" s="959">
        <v>15276068.252400002</v>
      </c>
      <c r="O950" s="1149">
        <v>11881205.39184</v>
      </c>
      <c r="P950" s="950"/>
      <c r="Q950" s="950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237">
        <f>MAX(J950/J953)</f>
        <v>1.4687927755937998E-2</v>
      </c>
      <c r="AD950" s="235">
        <f t="shared" si="176"/>
        <v>45532.576043407797</v>
      </c>
      <c r="AE950" s="238">
        <f>MAX(I950/I953)</f>
        <v>1.5421013972250291E-2</v>
      </c>
      <c r="AF950" s="235">
        <f t="shared" si="177"/>
        <v>235572.46196130951</v>
      </c>
      <c r="AG950" s="238">
        <f>MAX(H950/H953)</f>
        <v>1.6155326117287667E-2</v>
      </c>
      <c r="AH950" s="235">
        <f t="shared" si="178"/>
        <v>191944.7477716518</v>
      </c>
    </row>
    <row r="951" spans="1:34" ht="15" customHeight="1" x14ac:dyDescent="0.2">
      <c r="A951" s="962" t="s">
        <v>941</v>
      </c>
      <c r="B951" s="1543">
        <v>144</v>
      </c>
      <c r="C951" s="1146">
        <v>12</v>
      </c>
      <c r="D951" s="1146"/>
      <c r="E951" s="1146"/>
      <c r="F951" s="1146"/>
      <c r="G951" s="1146">
        <v>22</v>
      </c>
      <c r="H951" s="1146">
        <v>74</v>
      </c>
      <c r="I951" s="1146">
        <v>156</v>
      </c>
      <c r="J951" s="1147">
        <v>592</v>
      </c>
      <c r="K951" s="1147">
        <v>8</v>
      </c>
      <c r="L951" s="1066" t="s">
        <v>988</v>
      </c>
      <c r="M951" s="959">
        <v>3100000</v>
      </c>
      <c r="N951" s="959">
        <v>15276068.252400002</v>
      </c>
      <c r="O951" s="1149">
        <v>11881205.39184</v>
      </c>
      <c r="P951" s="950"/>
      <c r="Q951" s="950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237">
        <f>MAX(J951/J953)</f>
        <v>4.0537311102635407E-2</v>
      </c>
      <c r="AD951" s="235">
        <f t="shared" si="176"/>
        <v>125665.66441816976</v>
      </c>
      <c r="AE951" s="238">
        <f>MAX(I951/I953)</f>
        <v>6.3307320517659083E-2</v>
      </c>
      <c r="AF951" s="235">
        <f t="shared" si="177"/>
        <v>967086.94910432317</v>
      </c>
      <c r="AG951" s="238">
        <f>MAX(H951/H953)</f>
        <v>3.6227094929675373E-2</v>
      </c>
      <c r="AH951" s="235">
        <f t="shared" si="178"/>
        <v>430421.55560915853</v>
      </c>
    </row>
    <row r="952" spans="1:34" ht="15" customHeight="1" thickBot="1" x14ac:dyDescent="0.25">
      <c r="A952" s="1140" t="s">
        <v>392</v>
      </c>
      <c r="B952" s="1542">
        <v>5</v>
      </c>
      <c r="C952" s="1141">
        <v>6</v>
      </c>
      <c r="D952" s="1141">
        <v>0</v>
      </c>
      <c r="E952" s="1141">
        <v>0</v>
      </c>
      <c r="F952" s="1141">
        <v>0</v>
      </c>
      <c r="G952" s="1146">
        <v>0</v>
      </c>
      <c r="H952" s="1146">
        <v>5</v>
      </c>
      <c r="I952" s="1146">
        <v>11</v>
      </c>
      <c r="J952" s="1526">
        <v>35</v>
      </c>
      <c r="K952" s="1142">
        <v>7</v>
      </c>
      <c r="L952" s="1066" t="s">
        <v>988</v>
      </c>
      <c r="M952" s="959">
        <v>3100000</v>
      </c>
      <c r="N952" s="959">
        <v>15276068.252400002</v>
      </c>
      <c r="O952" s="1149">
        <v>11881205.39184</v>
      </c>
      <c r="P952" s="950"/>
      <c r="Q952" s="950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237">
        <f>MAX(J952/J953)</f>
        <v>2.3966315685679715E-3</v>
      </c>
      <c r="AD952" s="235">
        <f t="shared" si="176"/>
        <v>7429.5578625607122</v>
      </c>
      <c r="AE952" s="238">
        <f>MAX(I952/I953)</f>
        <v>4.4639777288092951E-3</v>
      </c>
      <c r="AF952" s="235">
        <f t="shared" si="177"/>
        <v>68192.028462484333</v>
      </c>
      <c r="AG952" s="238">
        <f>MAX(H952/H953)</f>
        <v>2.4477766844375254E-3</v>
      </c>
      <c r="AH952" s="235">
        <f t="shared" si="178"/>
        <v>29082.537541159363</v>
      </c>
    </row>
    <row r="953" spans="1:34" ht="15" customHeight="1" thickBot="1" x14ac:dyDescent="0.25">
      <c r="A953" s="405" t="s">
        <v>942</v>
      </c>
      <c r="B953" s="1131">
        <v>2402.17</v>
      </c>
      <c r="C953" s="1131">
        <v>224.5</v>
      </c>
      <c r="D953" s="1131">
        <v>35</v>
      </c>
      <c r="E953" s="1131">
        <v>54</v>
      </c>
      <c r="F953" s="1131">
        <v>108.5</v>
      </c>
      <c r="G953" s="1131">
        <v>133</v>
      </c>
      <c r="H953" s="1131">
        <v>2042.67</v>
      </c>
      <c r="I953" s="1131">
        <v>2464.17</v>
      </c>
      <c r="J953" s="1132">
        <v>14603.83</v>
      </c>
      <c r="K953" s="1132">
        <v>7.1493829154978528</v>
      </c>
      <c r="L953" s="1525" t="s">
        <v>988</v>
      </c>
      <c r="M953" s="1134">
        <v>3100000.0000000005</v>
      </c>
      <c r="N953" s="1134">
        <v>15276068.252400003</v>
      </c>
      <c r="O953" s="506">
        <v>11881205.391840002</v>
      </c>
      <c r="P953" s="9"/>
      <c r="Q953" s="2005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1159">
        <f t="shared" ref="AC953:AH953" si="179">SUM(AC913:AC952)</f>
        <v>1.0000000000000002</v>
      </c>
      <c r="AD953" s="1160">
        <f t="shared" si="179"/>
        <v>3100000.0000000005</v>
      </c>
      <c r="AE953" s="1161">
        <f t="shared" si="179"/>
        <v>0.99999999999999967</v>
      </c>
      <c r="AF953" s="1160">
        <f t="shared" si="179"/>
        <v>15276068.252400003</v>
      </c>
      <c r="AG953" s="1161">
        <f t="shared" si="179"/>
        <v>0.99999999999999989</v>
      </c>
      <c r="AH953" s="1160">
        <f t="shared" si="179"/>
        <v>11881205.391840002</v>
      </c>
    </row>
    <row r="954" spans="1:34" x14ac:dyDescent="0.2">
      <c r="A954" s="7" t="s">
        <v>1934</v>
      </c>
      <c r="B954" s="224"/>
      <c r="C954" s="224"/>
      <c r="D954" s="224"/>
      <c r="E954" s="224"/>
      <c r="F954" s="224"/>
      <c r="G954" s="224"/>
      <c r="H954" s="224"/>
      <c r="I954" s="224"/>
      <c r="J954" s="224"/>
      <c r="K954" s="240"/>
      <c r="L954" s="241"/>
      <c r="M954" s="240"/>
      <c r="N954" s="240"/>
      <c r="O954" s="240"/>
      <c r="P954" s="950"/>
      <c r="Q954" s="950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</row>
    <row r="955" spans="1:34" x14ac:dyDescent="0.2">
      <c r="A955" s="34"/>
      <c r="B955" s="224"/>
      <c r="C955" s="224"/>
      <c r="D955" s="224"/>
      <c r="E955" s="224"/>
      <c r="F955" s="224"/>
      <c r="G955" s="224"/>
      <c r="H955" s="224"/>
      <c r="I955" s="224"/>
      <c r="J955" s="224"/>
      <c r="K955" s="240"/>
      <c r="L955" s="241"/>
      <c r="M955" s="240"/>
      <c r="N955" s="240"/>
      <c r="O955" s="240"/>
      <c r="P955" s="950"/>
      <c r="Q955" s="950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</row>
    <row r="956" spans="1:34" x14ac:dyDescent="0.2">
      <c r="A956" s="34"/>
      <c r="B956" s="224"/>
      <c r="C956" s="224"/>
      <c r="D956" s="224"/>
      <c r="E956" s="224"/>
      <c r="F956" s="224"/>
      <c r="G956" s="224"/>
      <c r="H956" s="224"/>
      <c r="I956" s="224"/>
      <c r="J956" s="224"/>
      <c r="K956" s="240"/>
      <c r="L956" s="241"/>
      <c r="M956" s="240"/>
      <c r="N956" s="240"/>
      <c r="O956" s="240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</row>
    <row r="957" spans="1:34" ht="15" x14ac:dyDescent="0.25">
      <c r="A957" s="2843" t="s">
        <v>1931</v>
      </c>
      <c r="B957" s="2843"/>
      <c r="C957" s="2843"/>
      <c r="D957" s="2843"/>
      <c r="E957" s="2843"/>
      <c r="F957" s="2843"/>
      <c r="G957" s="2843"/>
      <c r="H957" s="2843"/>
      <c r="I957" s="2843"/>
      <c r="J957" s="2843"/>
      <c r="K957" s="2843"/>
      <c r="L957" s="2843"/>
      <c r="M957" s="2843"/>
      <c r="N957" s="2843"/>
      <c r="O957" s="2843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</row>
    <row r="958" spans="1:34" x14ac:dyDescent="0.2">
      <c r="A958" s="225"/>
      <c r="B958" s="225"/>
      <c r="C958" s="224"/>
      <c r="D958" s="224"/>
      <c r="E958" s="224"/>
      <c r="F958" s="224"/>
      <c r="G958" s="224"/>
      <c r="H958" s="224"/>
      <c r="I958" s="224"/>
      <c r="J958" s="224"/>
      <c r="K958" s="240"/>
      <c r="L958" s="241"/>
      <c r="M958" s="240"/>
      <c r="N958" s="240"/>
      <c r="O958" s="240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</row>
    <row r="959" spans="1:34" ht="13.5" thickBot="1" x14ac:dyDescent="0.25">
      <c r="A959" s="225" t="s">
        <v>950</v>
      </c>
      <c r="B959" s="225"/>
      <c r="C959" s="224"/>
      <c r="D959" s="224"/>
      <c r="E959" s="224"/>
      <c r="F959" s="224"/>
      <c r="G959" s="224"/>
      <c r="H959" s="224"/>
      <c r="I959" s="224"/>
      <c r="J959" s="224"/>
      <c r="K959" s="240"/>
      <c r="L959" s="241"/>
      <c r="M959" s="240"/>
      <c r="N959" s="240"/>
      <c r="O959" s="240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</row>
    <row r="960" spans="1:34" ht="15" customHeight="1" x14ac:dyDescent="0.2">
      <c r="A960" s="2844" t="s">
        <v>327</v>
      </c>
      <c r="B960" s="2847" t="s">
        <v>1932</v>
      </c>
      <c r="C960" s="2848"/>
      <c r="D960" s="2848"/>
      <c r="E960" s="2848"/>
      <c r="F960" s="2848"/>
      <c r="G960" s="2848"/>
      <c r="H960" s="2848"/>
      <c r="I960" s="2848"/>
      <c r="J960" s="2848"/>
      <c r="K960" s="2848"/>
      <c r="L960" s="2848"/>
      <c r="M960" s="2848"/>
      <c r="N960" s="2848"/>
      <c r="O960" s="284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228" t="s">
        <v>910</v>
      </c>
      <c r="AD960" s="229"/>
      <c r="AE960" s="229"/>
      <c r="AF960" s="229"/>
      <c r="AG960" s="229"/>
      <c r="AH960" s="243"/>
    </row>
    <row r="961" spans="1:34" ht="15" customHeight="1" x14ac:dyDescent="0.2">
      <c r="A961" s="2845"/>
      <c r="B961" s="2850" t="s">
        <v>191</v>
      </c>
      <c r="C961" s="2850"/>
      <c r="D961" s="2850"/>
      <c r="E961" s="2850"/>
      <c r="F961" s="2850"/>
      <c r="G961" s="2850"/>
      <c r="H961" s="2850"/>
      <c r="I961" s="2850"/>
      <c r="J961" s="2119"/>
      <c r="K961" s="2119" t="s">
        <v>904</v>
      </c>
      <c r="L961" s="2119"/>
      <c r="M961" s="1122" t="s">
        <v>437</v>
      </c>
      <c r="N961" s="1122" t="s">
        <v>911</v>
      </c>
      <c r="O961" s="1127" t="s">
        <v>911</v>
      </c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230" t="s">
        <v>333</v>
      </c>
      <c r="AD961" s="231" t="s">
        <v>333</v>
      </c>
      <c r="AE961" s="231" t="s">
        <v>333</v>
      </c>
      <c r="AF961" s="231" t="s">
        <v>333</v>
      </c>
      <c r="AG961" s="231" t="s">
        <v>333</v>
      </c>
      <c r="AH961" s="231" t="s">
        <v>333</v>
      </c>
    </row>
    <row r="962" spans="1:34" ht="15" customHeight="1" x14ac:dyDescent="0.2">
      <c r="A962" s="2845"/>
      <c r="B962" s="2119" t="s">
        <v>433</v>
      </c>
      <c r="C962" s="2119"/>
      <c r="D962" s="2841" t="s">
        <v>1865</v>
      </c>
      <c r="E962" s="2119"/>
      <c r="F962" s="2119"/>
      <c r="G962" s="2119" t="s">
        <v>912</v>
      </c>
      <c r="H962" s="2119"/>
      <c r="I962" s="2119" t="s">
        <v>433</v>
      </c>
      <c r="J962" s="2138" t="s">
        <v>913</v>
      </c>
      <c r="K962" s="2138" t="s">
        <v>842</v>
      </c>
      <c r="L962" s="2138" t="s">
        <v>329</v>
      </c>
      <c r="M962" s="1123" t="s">
        <v>914</v>
      </c>
      <c r="N962" s="1123" t="s">
        <v>915</v>
      </c>
      <c r="O962" s="1128" t="s">
        <v>914</v>
      </c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230" t="s">
        <v>913</v>
      </c>
      <c r="AD962" s="231" t="s">
        <v>916</v>
      </c>
      <c r="AE962" s="231" t="s">
        <v>917</v>
      </c>
      <c r="AF962" s="231" t="s">
        <v>918</v>
      </c>
      <c r="AG962" s="231" t="s">
        <v>192</v>
      </c>
      <c r="AH962" s="231" t="s">
        <v>918</v>
      </c>
    </row>
    <row r="963" spans="1:34" ht="15" customHeight="1" x14ac:dyDescent="0.2">
      <c r="A963" s="2845"/>
      <c r="B963" s="2138" t="s">
        <v>920</v>
      </c>
      <c r="C963" s="2138" t="s">
        <v>922</v>
      </c>
      <c r="D963" s="2842"/>
      <c r="E963" s="2138" t="s">
        <v>867</v>
      </c>
      <c r="F963" s="2138" t="s">
        <v>921</v>
      </c>
      <c r="G963" s="2138" t="s">
        <v>923</v>
      </c>
      <c r="H963" s="2138" t="s">
        <v>836</v>
      </c>
      <c r="I963" s="2138" t="s">
        <v>835</v>
      </c>
      <c r="J963" s="2138" t="s">
        <v>924</v>
      </c>
      <c r="K963" s="2138" t="s">
        <v>925</v>
      </c>
      <c r="L963" s="2138" t="s">
        <v>336</v>
      </c>
      <c r="M963" s="1123" t="s">
        <v>926</v>
      </c>
      <c r="N963" s="1123" t="s">
        <v>927</v>
      </c>
      <c r="O963" s="1128" t="s">
        <v>928</v>
      </c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230"/>
      <c r="AD963" s="231" t="s">
        <v>843</v>
      </c>
      <c r="AE963" s="231"/>
      <c r="AF963" s="231" t="s">
        <v>929</v>
      </c>
      <c r="AG963" s="231"/>
      <c r="AH963" s="231" t="s">
        <v>930</v>
      </c>
    </row>
    <row r="964" spans="1:34" ht="15" customHeight="1" thickBot="1" x14ac:dyDescent="0.25">
      <c r="A964" s="2846"/>
      <c r="B964" s="1881">
        <v>44926</v>
      </c>
      <c r="C964" s="2139">
        <v>2023</v>
      </c>
      <c r="D964" s="2139">
        <v>2023</v>
      </c>
      <c r="E964" s="2139">
        <v>2023</v>
      </c>
      <c r="F964" s="2139">
        <v>2023</v>
      </c>
      <c r="G964" s="2139" t="s">
        <v>931</v>
      </c>
      <c r="H964" s="1126">
        <v>2023</v>
      </c>
      <c r="I964" s="1881">
        <v>45291</v>
      </c>
      <c r="J964" s="1881" t="s">
        <v>1933</v>
      </c>
      <c r="K964" s="1881" t="s">
        <v>1933</v>
      </c>
      <c r="L964" s="2139" t="s">
        <v>441</v>
      </c>
      <c r="M964" s="1125" t="s">
        <v>932</v>
      </c>
      <c r="N964" s="1125" t="s">
        <v>933</v>
      </c>
      <c r="O964" s="1129" t="s">
        <v>933</v>
      </c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232"/>
      <c r="AD964" s="233" t="s">
        <v>934</v>
      </c>
      <c r="AE964" s="233"/>
      <c r="AF964" s="233" t="s">
        <v>935</v>
      </c>
      <c r="AG964" s="233"/>
      <c r="AH964" s="233" t="s">
        <v>936</v>
      </c>
    </row>
    <row r="965" spans="1:34" ht="15" customHeight="1" x14ac:dyDescent="0.2">
      <c r="A965" s="1135" t="s">
        <v>352</v>
      </c>
      <c r="B965" s="1130">
        <v>288.2</v>
      </c>
      <c r="C965" s="1130">
        <v>21</v>
      </c>
      <c r="D965" s="1130">
        <v>4</v>
      </c>
      <c r="E965" s="1130">
        <v>1</v>
      </c>
      <c r="F965" s="1130">
        <v>7</v>
      </c>
      <c r="G965" s="1130">
        <v>25</v>
      </c>
      <c r="H965" s="1130">
        <v>251.2</v>
      </c>
      <c r="I965" s="1130">
        <v>301.2</v>
      </c>
      <c r="J965" s="1136">
        <v>2551.9</v>
      </c>
      <c r="K965" s="1535">
        <v>10.158837579617835</v>
      </c>
      <c r="L965" s="380"/>
      <c r="M965" s="1138"/>
      <c r="N965" s="1138"/>
      <c r="O965" s="113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1155"/>
      <c r="AD965" s="1156"/>
      <c r="AE965" s="1156"/>
      <c r="AF965" s="1156"/>
      <c r="AG965" s="1156"/>
      <c r="AH965" s="1156"/>
    </row>
    <row r="966" spans="1:34" ht="15" customHeight="1" x14ac:dyDescent="0.2">
      <c r="A966" s="962" t="s">
        <v>353</v>
      </c>
      <c r="B966" s="245">
        <v>30</v>
      </c>
      <c r="C966" s="1146"/>
      <c r="D966" s="1146"/>
      <c r="E966" s="1146"/>
      <c r="F966" s="1146"/>
      <c r="G966" s="1146">
        <v>0</v>
      </c>
      <c r="H966" s="1146">
        <v>30</v>
      </c>
      <c r="I966" s="1146">
        <v>30</v>
      </c>
      <c r="J966" s="1147">
        <v>330</v>
      </c>
      <c r="K966" s="1147">
        <v>11</v>
      </c>
      <c r="L966" s="1066" t="s">
        <v>988</v>
      </c>
      <c r="M966" s="1968">
        <v>3010000</v>
      </c>
      <c r="N966" s="959">
        <v>13340977.565119999</v>
      </c>
      <c r="O966" s="1149">
        <v>11903168.929920001</v>
      </c>
      <c r="P966" s="950"/>
      <c r="Q966" s="950"/>
      <c r="R966" s="950"/>
      <c r="S966" s="950"/>
      <c r="T966" s="950"/>
      <c r="U966" s="950"/>
      <c r="V966" s="950"/>
      <c r="W966" s="950"/>
      <c r="X966" s="950"/>
      <c r="Y966" s="950"/>
      <c r="Z966" s="9"/>
      <c r="AA966" s="9"/>
      <c r="AB966" s="9"/>
      <c r="AC966" s="237">
        <f>MAX(J966/J1006)</f>
        <v>7.6982294072363358E-2</v>
      </c>
      <c r="AD966" s="235">
        <f t="shared" ref="AD966:AD980" si="180">MAX(M966*AC966)</f>
        <v>231716.7051578137</v>
      </c>
      <c r="AE966" s="238">
        <f>MAX(I966/I1006)</f>
        <v>6.030150753768844E-2</v>
      </c>
      <c r="AF966" s="235">
        <f t="shared" ref="AF966:AF980" si="181">MAX(N966*AE966)</f>
        <v>804481.05920321599</v>
      </c>
      <c r="AG966" s="238">
        <f>MAX(H966/H1006)</f>
        <v>7.6045627376425853E-2</v>
      </c>
      <c r="AH966" s="235">
        <f t="shared" ref="AH966:AH980" si="182">MAX(O966*AG966)</f>
        <v>905183.9490433461</v>
      </c>
    </row>
    <row r="967" spans="1:34" ht="15" customHeight="1" x14ac:dyDescent="0.2">
      <c r="A967" s="962" t="s">
        <v>354</v>
      </c>
      <c r="B967" s="245">
        <v>38.700000000000003</v>
      </c>
      <c r="C967" s="1146">
        <v>12</v>
      </c>
      <c r="D967" s="1146"/>
      <c r="E967" s="1146"/>
      <c r="F967" s="1146"/>
      <c r="G967" s="1146">
        <v>5</v>
      </c>
      <c r="H967" s="1146">
        <v>33.700000000000003</v>
      </c>
      <c r="I967" s="1146">
        <v>50.7</v>
      </c>
      <c r="J967" s="1147">
        <v>404.40000000000003</v>
      </c>
      <c r="K967" s="1147">
        <v>12</v>
      </c>
      <c r="L967" s="1066" t="s">
        <v>988</v>
      </c>
      <c r="M967" s="1968">
        <v>3010000</v>
      </c>
      <c r="N967" s="959">
        <v>13340977.565119999</v>
      </c>
      <c r="O967" s="1149">
        <v>11903168.929920001</v>
      </c>
      <c r="P967" s="950"/>
      <c r="Q967" s="950"/>
      <c r="R967" s="950"/>
      <c r="S967" s="950"/>
      <c r="T967" s="950"/>
      <c r="U967" s="950"/>
      <c r="V967" s="950"/>
      <c r="W967" s="950"/>
      <c r="X967" s="950"/>
      <c r="Y967" s="950"/>
      <c r="Z967" s="9"/>
      <c r="AA967" s="9"/>
      <c r="AB967" s="9"/>
      <c r="AC967" s="237">
        <f>MAX(J967/J1006)</f>
        <v>9.4338302190496201E-2</v>
      </c>
      <c r="AD967" s="235">
        <f t="shared" si="180"/>
        <v>283958.28959339357</v>
      </c>
      <c r="AE967" s="238">
        <f>MAX(I967/I1006)</f>
        <v>0.10190954773869347</v>
      </c>
      <c r="AF967" s="235">
        <f t="shared" si="181"/>
        <v>1359572.9900534351</v>
      </c>
      <c r="AG967" s="238">
        <f>MAX(H967/H1006)</f>
        <v>8.5424588086185055E-2</v>
      </c>
      <c r="AH967" s="235">
        <f t="shared" si="182"/>
        <v>1016823.3027586922</v>
      </c>
    </row>
    <row r="968" spans="1:34" ht="15" customHeight="1" x14ac:dyDescent="0.2">
      <c r="A968" s="962" t="s">
        <v>355</v>
      </c>
      <c r="B968" s="1498">
        <v>18.5</v>
      </c>
      <c r="C968" s="1146"/>
      <c r="D968" s="1146"/>
      <c r="E968" s="1146"/>
      <c r="F968" s="1146"/>
      <c r="G968" s="1146">
        <v>10</v>
      </c>
      <c r="H968" s="1146">
        <v>8.5</v>
      </c>
      <c r="I968" s="1146">
        <v>18.5</v>
      </c>
      <c r="J968" s="1147">
        <v>85</v>
      </c>
      <c r="K968" s="1147">
        <v>10</v>
      </c>
      <c r="L968" s="1066" t="s">
        <v>988</v>
      </c>
      <c r="M968" s="1968">
        <v>3010000</v>
      </c>
      <c r="N968" s="959">
        <v>13340977.565119999</v>
      </c>
      <c r="O968" s="1149">
        <v>11903168.929920001</v>
      </c>
      <c r="P968" s="950"/>
      <c r="Q968" s="950"/>
      <c r="R968" s="950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237">
        <f>MAX(J968/J1006)</f>
        <v>1.9828772715608744E-2</v>
      </c>
      <c r="AD968" s="235">
        <f t="shared" si="180"/>
        <v>59684.60587398232</v>
      </c>
      <c r="AE968" s="238">
        <f>MAX(I968/I1006)</f>
        <v>3.7185929648241203E-2</v>
      </c>
      <c r="AF968" s="235">
        <f t="shared" si="181"/>
        <v>496096.65317531652</v>
      </c>
      <c r="AG968" s="238">
        <f>MAX(H968/H1006)</f>
        <v>2.1546261089987327E-2</v>
      </c>
      <c r="AH968" s="235">
        <f t="shared" si="182"/>
        <v>256468.78556228141</v>
      </c>
    </row>
    <row r="969" spans="1:34" ht="15" customHeight="1" x14ac:dyDescent="0.2">
      <c r="A969" s="962" t="s">
        <v>356</v>
      </c>
      <c r="B969" s="1498">
        <v>2</v>
      </c>
      <c r="C969" s="1146"/>
      <c r="D969" s="1146"/>
      <c r="E969" s="1146"/>
      <c r="F969" s="1146"/>
      <c r="G969" s="1146">
        <v>1</v>
      </c>
      <c r="H969" s="1146">
        <v>1</v>
      </c>
      <c r="I969" s="1146">
        <v>2</v>
      </c>
      <c r="J969" s="1147">
        <v>10</v>
      </c>
      <c r="K969" s="1147">
        <v>10</v>
      </c>
      <c r="L969" s="1148"/>
      <c r="M969" s="1968">
        <v>3010000</v>
      </c>
      <c r="N969" s="959">
        <v>13340977.565119999</v>
      </c>
      <c r="O969" s="1149"/>
      <c r="V969" s="9"/>
      <c r="W969" s="9"/>
      <c r="X969" s="9"/>
      <c r="Y969" s="9"/>
      <c r="Z969" s="9"/>
      <c r="AA969" s="9"/>
      <c r="AB969" s="9"/>
      <c r="AC969" s="237">
        <f>MAX(J969/J1006)</f>
        <v>2.3327967900716169E-3</v>
      </c>
      <c r="AD969" s="235">
        <f t="shared" si="180"/>
        <v>7021.7183381155664</v>
      </c>
      <c r="AE969" s="238">
        <f>MAX(I969/I1006)</f>
        <v>4.0201005025125632E-3</v>
      </c>
      <c r="AF969" s="235">
        <f t="shared" si="181"/>
        <v>53632.070613547738</v>
      </c>
      <c r="AG969" s="238">
        <f>MAX(H969/H1006)</f>
        <v>2.5348542458808617E-3</v>
      </c>
      <c r="AH969" s="235">
        <f t="shared" si="182"/>
        <v>0</v>
      </c>
    </row>
    <row r="970" spans="1:34" ht="15" customHeight="1" x14ac:dyDescent="0.2">
      <c r="A970" s="962" t="s">
        <v>357</v>
      </c>
      <c r="B970" s="1498">
        <v>109</v>
      </c>
      <c r="C970" s="1146">
        <v>0</v>
      </c>
      <c r="D970" s="1146">
        <v>0</v>
      </c>
      <c r="E970" s="1146">
        <v>0</v>
      </c>
      <c r="F970" s="1146">
        <v>5</v>
      </c>
      <c r="G970" s="1146">
        <v>0</v>
      </c>
      <c r="H970" s="1146">
        <v>104</v>
      </c>
      <c r="I970" s="1146">
        <v>104</v>
      </c>
      <c r="J970" s="1147">
        <v>832</v>
      </c>
      <c r="K970" s="1147">
        <v>8</v>
      </c>
      <c r="L970" s="1066" t="s">
        <v>988</v>
      </c>
      <c r="M970" s="1968">
        <v>3010000</v>
      </c>
      <c r="N970" s="959">
        <v>13340977.565119999</v>
      </c>
      <c r="O970" s="1149">
        <v>11903168.929920001</v>
      </c>
      <c r="P970" s="950"/>
      <c r="Q970" s="950"/>
      <c r="R970" s="950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237">
        <f>MAX(J970/J1006)</f>
        <v>0.19408869293395853</v>
      </c>
      <c r="AD970" s="235">
        <f t="shared" si="180"/>
        <v>584206.9657312152</v>
      </c>
      <c r="AE970" s="238">
        <f>MAX(I970/I1006)</f>
        <v>0.20904522613065327</v>
      </c>
      <c r="AF970" s="235">
        <f t="shared" si="181"/>
        <v>2788867.6719044819</v>
      </c>
      <c r="AG970" s="238">
        <f>MAX(H970/H1006)</f>
        <v>0.26362484157160965</v>
      </c>
      <c r="AH970" s="235">
        <f t="shared" si="182"/>
        <v>3137971.0233502667</v>
      </c>
    </row>
    <row r="971" spans="1:34" ht="15" customHeight="1" x14ac:dyDescent="0.2">
      <c r="A971" s="962" t="s">
        <v>358</v>
      </c>
      <c r="B971" s="1498">
        <v>5</v>
      </c>
      <c r="C971" s="1146">
        <v>0</v>
      </c>
      <c r="D971" s="1146">
        <v>0</v>
      </c>
      <c r="E971" s="1146">
        <v>0</v>
      </c>
      <c r="F971" s="1146">
        <v>0</v>
      </c>
      <c r="G971" s="1146">
        <v>0</v>
      </c>
      <c r="H971" s="1146">
        <v>5</v>
      </c>
      <c r="I971" s="1146">
        <v>5</v>
      </c>
      <c r="J971" s="1147">
        <v>50</v>
      </c>
      <c r="K971" s="1147">
        <v>10</v>
      </c>
      <c r="L971" s="1066" t="s">
        <v>988</v>
      </c>
      <c r="M971" s="1968">
        <v>3010000</v>
      </c>
      <c r="N971" s="959">
        <v>13340977.565119999</v>
      </c>
      <c r="O971" s="1149">
        <v>11903168.929920001</v>
      </c>
      <c r="V971" s="9"/>
      <c r="W971" s="9"/>
      <c r="X971" s="9"/>
      <c r="Y971" s="9"/>
      <c r="Z971" s="9"/>
      <c r="AA971" s="9"/>
      <c r="AB971" s="9"/>
      <c r="AC971" s="237">
        <f>MAX(J971/J1006)</f>
        <v>1.1663983950358085E-2</v>
      </c>
      <c r="AD971" s="235">
        <f t="shared" si="180"/>
        <v>35108.591690577836</v>
      </c>
      <c r="AE971" s="238">
        <f>MAX(I971/I1006)</f>
        <v>1.0050251256281407E-2</v>
      </c>
      <c r="AF971" s="235">
        <f t="shared" si="181"/>
        <v>134080.17653386932</v>
      </c>
      <c r="AG971" s="238">
        <f>MAX(H971/H1006)</f>
        <v>1.2674271229404309E-2</v>
      </c>
      <c r="AH971" s="235">
        <f t="shared" si="182"/>
        <v>150863.99150722433</v>
      </c>
    </row>
    <row r="972" spans="1:34" ht="15" customHeight="1" x14ac:dyDescent="0.2">
      <c r="A972" s="962" t="s">
        <v>937</v>
      </c>
      <c r="B972" s="1498">
        <v>6</v>
      </c>
      <c r="C972" s="1146">
        <v>0</v>
      </c>
      <c r="D972" s="1146">
        <v>0</v>
      </c>
      <c r="E972" s="1146">
        <v>0</v>
      </c>
      <c r="F972" s="1146">
        <v>0</v>
      </c>
      <c r="G972" s="1146">
        <v>0</v>
      </c>
      <c r="H972" s="1146">
        <v>6</v>
      </c>
      <c r="I972" s="1146">
        <v>6</v>
      </c>
      <c r="J972" s="1147">
        <v>72</v>
      </c>
      <c r="K972" s="1147">
        <v>12</v>
      </c>
      <c r="L972" s="1066" t="s">
        <v>988</v>
      </c>
      <c r="M972" s="1968">
        <v>3010000</v>
      </c>
      <c r="N972" s="959">
        <v>13340977.565119999</v>
      </c>
      <c r="O972" s="1149">
        <v>11903168.929920001</v>
      </c>
      <c r="P972" s="950"/>
      <c r="Q972" s="950"/>
      <c r="R972" s="950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237">
        <f>MAX(J972/J1006)</f>
        <v>1.6796136888515643E-2</v>
      </c>
      <c r="AD972" s="235">
        <f t="shared" si="180"/>
        <v>50556.372034432083</v>
      </c>
      <c r="AE972" s="238">
        <f>MAX(I972/I1006)</f>
        <v>1.2060301507537688E-2</v>
      </c>
      <c r="AF972" s="235">
        <f t="shared" si="181"/>
        <v>160896.2118406432</v>
      </c>
      <c r="AG972" s="238">
        <f>MAX(H972/H1006)</f>
        <v>1.5209125475285171E-2</v>
      </c>
      <c r="AH972" s="235">
        <f t="shared" si="182"/>
        <v>181036.78980866921</v>
      </c>
    </row>
    <row r="973" spans="1:34" ht="15" customHeight="1" x14ac:dyDescent="0.2">
      <c r="A973" s="962" t="s">
        <v>360</v>
      </c>
      <c r="B973" s="1498">
        <v>0</v>
      </c>
      <c r="C973" s="1146">
        <v>0</v>
      </c>
      <c r="D973" s="1146">
        <v>0</v>
      </c>
      <c r="E973" s="1146">
        <v>0</v>
      </c>
      <c r="F973" s="1146">
        <v>0</v>
      </c>
      <c r="G973" s="1146">
        <v>0</v>
      </c>
      <c r="H973" s="1146">
        <v>0</v>
      </c>
      <c r="I973" s="1146">
        <v>0</v>
      </c>
      <c r="J973" s="1147">
        <v>0</v>
      </c>
      <c r="K973" s="1147">
        <v>0</v>
      </c>
      <c r="L973" s="1148"/>
      <c r="M973" s="959"/>
      <c r="N973" s="959"/>
      <c r="O973" s="1149"/>
      <c r="V973" s="9"/>
      <c r="W973" s="9"/>
      <c r="X973" s="9"/>
      <c r="Y973" s="9"/>
      <c r="Z973" s="9"/>
      <c r="AA973" s="9"/>
      <c r="AB973" s="9"/>
      <c r="AC973" s="237">
        <f>MAX(J973/J1006)</f>
        <v>0</v>
      </c>
      <c r="AD973" s="235">
        <f t="shared" si="180"/>
        <v>0</v>
      </c>
      <c r="AE973" s="238">
        <f>MAX(I973/I1006)</f>
        <v>0</v>
      </c>
      <c r="AF973" s="235">
        <f t="shared" si="181"/>
        <v>0</v>
      </c>
      <c r="AG973" s="238">
        <f>MAX(H973/H1006)</f>
        <v>0</v>
      </c>
      <c r="AH973" s="235">
        <f t="shared" si="182"/>
        <v>0</v>
      </c>
    </row>
    <row r="974" spans="1:34" ht="15" customHeight="1" x14ac:dyDescent="0.2">
      <c r="A974" s="962" t="s">
        <v>938</v>
      </c>
      <c r="B974" s="1498">
        <v>7</v>
      </c>
      <c r="C974" s="1146">
        <v>5</v>
      </c>
      <c r="D974" s="1146">
        <v>0</v>
      </c>
      <c r="E974" s="1146">
        <v>0</v>
      </c>
      <c r="F974" s="1146">
        <v>0</v>
      </c>
      <c r="G974" s="1146">
        <v>3</v>
      </c>
      <c r="H974" s="1146">
        <v>4</v>
      </c>
      <c r="I974" s="1146">
        <v>12</v>
      </c>
      <c r="J974" s="1147">
        <v>60</v>
      </c>
      <c r="K974" s="1147">
        <v>15</v>
      </c>
      <c r="L974" s="1066" t="s">
        <v>988</v>
      </c>
      <c r="M974" s="1968">
        <v>3010000</v>
      </c>
      <c r="N974" s="959">
        <v>13340977.565119999</v>
      </c>
      <c r="O974" s="1149">
        <v>11903168.929920001</v>
      </c>
      <c r="P974" s="950"/>
      <c r="Q974" s="950"/>
      <c r="R974" s="950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237">
        <f>MAX(J974/J1006)</f>
        <v>1.3996780740429702E-2</v>
      </c>
      <c r="AD974" s="235">
        <f t="shared" si="180"/>
        <v>42130.310028693406</v>
      </c>
      <c r="AE974" s="238">
        <f>MAX(I974/I1006)</f>
        <v>2.4120603015075376E-2</v>
      </c>
      <c r="AF974" s="235">
        <f t="shared" si="181"/>
        <v>321792.4236812864</v>
      </c>
      <c r="AG974" s="238">
        <f>MAX(H974/H1006)</f>
        <v>1.0139416983523447E-2</v>
      </c>
      <c r="AH974" s="235">
        <f t="shared" si="182"/>
        <v>120691.19320577948</v>
      </c>
    </row>
    <row r="975" spans="1:34" ht="15" customHeight="1" x14ac:dyDescent="0.2">
      <c r="A975" s="962" t="s">
        <v>362</v>
      </c>
      <c r="B975" s="1498">
        <v>6.5</v>
      </c>
      <c r="C975" s="1146">
        <v>0</v>
      </c>
      <c r="D975" s="1146">
        <v>0</v>
      </c>
      <c r="E975" s="1146">
        <v>0</v>
      </c>
      <c r="F975" s="1146">
        <v>0</v>
      </c>
      <c r="G975" s="1146">
        <v>1</v>
      </c>
      <c r="H975" s="1146">
        <v>5.5</v>
      </c>
      <c r="I975" s="1146">
        <v>6.5</v>
      </c>
      <c r="J975" s="1147">
        <v>71.5</v>
      </c>
      <c r="K975" s="1147">
        <v>13</v>
      </c>
      <c r="L975" s="1066" t="s">
        <v>988</v>
      </c>
      <c r="M975" s="1968">
        <v>3010000</v>
      </c>
      <c r="N975" s="959">
        <v>13340977.565119999</v>
      </c>
      <c r="O975" s="1149">
        <v>11903168.929920001</v>
      </c>
      <c r="P975" s="950"/>
      <c r="Q975" s="950"/>
      <c r="R975" s="950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237">
        <f>MAX(J975/J1006)</f>
        <v>1.667949704901206E-2</v>
      </c>
      <c r="AD975" s="235">
        <f t="shared" si="180"/>
        <v>50205.286117526302</v>
      </c>
      <c r="AE975" s="238">
        <f>MAX(I975/I1006)</f>
        <v>1.3065326633165829E-2</v>
      </c>
      <c r="AF975" s="235">
        <f t="shared" si="181"/>
        <v>174304.22949403012</v>
      </c>
      <c r="AG975" s="238">
        <f>MAX(H975/H1006)</f>
        <v>1.3941698352344741E-2</v>
      </c>
      <c r="AH975" s="235">
        <f t="shared" si="182"/>
        <v>165950.39065794679</v>
      </c>
    </row>
    <row r="976" spans="1:34" ht="15" customHeight="1" x14ac:dyDescent="0.2">
      <c r="A976" s="962" t="s">
        <v>363</v>
      </c>
      <c r="B976" s="1498">
        <v>1</v>
      </c>
      <c r="C976" s="1146">
        <v>2</v>
      </c>
      <c r="D976" s="1146">
        <v>0</v>
      </c>
      <c r="E976" s="1146">
        <v>0</v>
      </c>
      <c r="F976" s="1146">
        <v>0</v>
      </c>
      <c r="G976" s="1146">
        <v>0</v>
      </c>
      <c r="H976" s="1146">
        <v>1</v>
      </c>
      <c r="I976" s="1146">
        <v>3</v>
      </c>
      <c r="J976" s="1147">
        <v>7</v>
      </c>
      <c r="K976" s="1147">
        <v>7</v>
      </c>
      <c r="L976" s="1066" t="s">
        <v>988</v>
      </c>
      <c r="M976" s="1968">
        <v>3010000</v>
      </c>
      <c r="N976" s="959">
        <v>13340977.565119999</v>
      </c>
      <c r="O976" s="1149">
        <v>11903168.929920001</v>
      </c>
      <c r="P976" s="950"/>
      <c r="Q976" s="950"/>
      <c r="R976" s="950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237">
        <f>MAX(J976/J1006)</f>
        <v>1.6329577530501318E-3</v>
      </c>
      <c r="AD976" s="235">
        <f t="shared" si="180"/>
        <v>4915.2028366808963</v>
      </c>
      <c r="AE976" s="238">
        <f>MAX(I976/I1006)</f>
        <v>6.030150753768844E-3</v>
      </c>
      <c r="AF976" s="235">
        <f t="shared" si="181"/>
        <v>80448.105920321599</v>
      </c>
      <c r="AG976" s="238">
        <f>MAX(H976/H1006)</f>
        <v>2.5348542458808617E-3</v>
      </c>
      <c r="AH976" s="235">
        <f t="shared" si="182"/>
        <v>30172.798301444869</v>
      </c>
    </row>
    <row r="977" spans="1:34" ht="15" customHeight="1" x14ac:dyDescent="0.2">
      <c r="A977" s="962" t="s">
        <v>939</v>
      </c>
      <c r="B977" s="1498">
        <v>35</v>
      </c>
      <c r="C977" s="1146">
        <v>0</v>
      </c>
      <c r="D977" s="1146">
        <v>0</v>
      </c>
      <c r="E977" s="1146">
        <v>0</v>
      </c>
      <c r="F977" s="1146">
        <v>2</v>
      </c>
      <c r="G977" s="1146">
        <v>1</v>
      </c>
      <c r="H977" s="1146">
        <v>32</v>
      </c>
      <c r="I977" s="1146">
        <v>33</v>
      </c>
      <c r="J977" s="1147">
        <v>384</v>
      </c>
      <c r="K977" s="1147">
        <v>12</v>
      </c>
      <c r="L977" s="1066" t="s">
        <v>988</v>
      </c>
      <c r="M977" s="1968">
        <v>3010000</v>
      </c>
      <c r="N977" s="959">
        <v>13340977.565119999</v>
      </c>
      <c r="O977" s="1149">
        <v>11903168.929920001</v>
      </c>
      <c r="P977" s="9"/>
      <c r="Q977" s="2005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1966"/>
      <c r="AC977" s="237">
        <f>MAX(J977/J1006)</f>
        <v>8.9579396738750094E-2</v>
      </c>
      <c r="AD977" s="235">
        <f t="shared" si="180"/>
        <v>269633.98418363777</v>
      </c>
      <c r="AE977" s="238">
        <f>MAX(I977/I1006)</f>
        <v>6.6331658291457291E-2</v>
      </c>
      <c r="AF977" s="235">
        <f t="shared" si="181"/>
        <v>884929.16512353765</v>
      </c>
      <c r="AG977" s="238">
        <f>MAX(H977/H1006)</f>
        <v>8.1115335868187574E-2</v>
      </c>
      <c r="AH977" s="235">
        <f t="shared" si="182"/>
        <v>965529.54564623581</v>
      </c>
    </row>
    <row r="978" spans="1:34" ht="15" customHeight="1" x14ac:dyDescent="0.2">
      <c r="A978" s="962" t="s">
        <v>365</v>
      </c>
      <c r="B978" s="956">
        <v>0</v>
      </c>
      <c r="C978" s="1146"/>
      <c r="D978" s="1146"/>
      <c r="E978" s="1146"/>
      <c r="F978" s="1146"/>
      <c r="G978" s="1146"/>
      <c r="H978" s="1146">
        <v>0</v>
      </c>
      <c r="I978" s="1146">
        <v>0</v>
      </c>
      <c r="J978" s="1147">
        <v>0</v>
      </c>
      <c r="K978" s="1147"/>
      <c r="L978" s="1148"/>
      <c r="M978" s="959"/>
      <c r="N978" s="1533"/>
      <c r="O978" s="1534"/>
      <c r="U978" s="9"/>
      <c r="V978" s="9"/>
      <c r="W978" s="9"/>
      <c r="X978" s="9"/>
      <c r="Y978" s="9"/>
      <c r="Z978" s="9"/>
      <c r="AA978" s="9"/>
      <c r="AB978" s="1966"/>
      <c r="AC978" s="237">
        <f>MAX(J978/J1006)</f>
        <v>0</v>
      </c>
      <c r="AD978" s="235">
        <f t="shared" si="180"/>
        <v>0</v>
      </c>
      <c r="AE978" s="238">
        <f>MAX(I978/I1006)</f>
        <v>0</v>
      </c>
      <c r="AF978" s="235">
        <f t="shared" si="181"/>
        <v>0</v>
      </c>
      <c r="AG978" s="238">
        <f>MAX(H978/H1006)</f>
        <v>0</v>
      </c>
      <c r="AH978" s="235">
        <f t="shared" si="182"/>
        <v>0</v>
      </c>
    </row>
    <row r="979" spans="1:34" ht="15" customHeight="1" x14ac:dyDescent="0.2">
      <c r="A979" s="962" t="s">
        <v>366</v>
      </c>
      <c r="B979" s="956">
        <v>29.5</v>
      </c>
      <c r="C979" s="1146">
        <v>2</v>
      </c>
      <c r="D979" s="1146">
        <v>4</v>
      </c>
      <c r="E979" s="1146">
        <v>1</v>
      </c>
      <c r="F979" s="1146">
        <v>0</v>
      </c>
      <c r="G979" s="1146">
        <v>4</v>
      </c>
      <c r="H979" s="1146">
        <v>20.5</v>
      </c>
      <c r="I979" s="1146">
        <v>30.5</v>
      </c>
      <c r="J979" s="1147">
        <v>246</v>
      </c>
      <c r="K979" s="1147">
        <v>12</v>
      </c>
      <c r="L979" s="1066" t="s">
        <v>988</v>
      </c>
      <c r="M979" s="1968">
        <v>3010000</v>
      </c>
      <c r="N979" s="959">
        <v>13340977.565119999</v>
      </c>
      <c r="O979" s="1149">
        <v>11903168.929920001</v>
      </c>
      <c r="P979" s="950"/>
      <c r="Q979" s="950"/>
      <c r="R979" s="950"/>
      <c r="S979" s="9"/>
      <c r="T979" s="9"/>
      <c r="U979" s="9"/>
      <c r="V979" s="9"/>
      <c r="W979" s="9"/>
      <c r="X979" s="9"/>
      <c r="Y979" s="9"/>
      <c r="Z979" s="9"/>
      <c r="AA979" s="9"/>
      <c r="AB979" s="1966"/>
      <c r="AC979" s="237">
        <f>MAX(J979/J1006)</f>
        <v>5.7386801035761777E-2</v>
      </c>
      <c r="AD979" s="235">
        <f t="shared" si="180"/>
        <v>172734.27111764296</v>
      </c>
      <c r="AE979" s="238">
        <f>MAX(I979/I1006)</f>
        <v>6.1306532663316586E-2</v>
      </c>
      <c r="AF979" s="235">
        <f t="shared" si="181"/>
        <v>817889.07685660291</v>
      </c>
      <c r="AG979" s="238">
        <f>MAX(H979/H1006)</f>
        <v>5.1964512040557666E-2</v>
      </c>
      <c r="AH979" s="235">
        <f t="shared" si="182"/>
        <v>618542.36517961975</v>
      </c>
    </row>
    <row r="980" spans="1:34" ht="15" customHeight="1" x14ac:dyDescent="0.2">
      <c r="A980" s="962" t="s">
        <v>367</v>
      </c>
      <c r="B980" s="956">
        <v>0</v>
      </c>
      <c r="C980" s="1146"/>
      <c r="D980" s="1146"/>
      <c r="E980" s="1146"/>
      <c r="F980" s="1146"/>
      <c r="G980" s="1146"/>
      <c r="H980" s="1146">
        <v>0</v>
      </c>
      <c r="I980" s="1146">
        <v>0</v>
      </c>
      <c r="J980" s="1147">
        <v>0</v>
      </c>
      <c r="K980" s="1147"/>
      <c r="L980" s="1148"/>
      <c r="M980" s="959"/>
      <c r="N980" s="1533"/>
      <c r="O980" s="1534"/>
      <c r="U980" s="9"/>
      <c r="V980" s="9"/>
      <c r="W980" s="9"/>
      <c r="X980" s="9"/>
      <c r="Y980" s="9"/>
      <c r="Z980" s="9"/>
      <c r="AA980" s="9"/>
      <c r="AB980" s="1966"/>
      <c r="AC980" s="237">
        <f>MAX(J980/J1006)</f>
        <v>0</v>
      </c>
      <c r="AD980" s="235">
        <f t="shared" si="180"/>
        <v>0</v>
      </c>
      <c r="AE980" s="238">
        <f>MAX(I980/I1006)</f>
        <v>0</v>
      </c>
      <c r="AF980" s="235">
        <f t="shared" si="181"/>
        <v>0</v>
      </c>
      <c r="AG980" s="238">
        <f>MAX(H980/H1006)</f>
        <v>0</v>
      </c>
      <c r="AH980" s="235">
        <f t="shared" si="182"/>
        <v>0</v>
      </c>
    </row>
    <row r="981" spans="1:34" ht="15" customHeight="1" x14ac:dyDescent="0.2">
      <c r="A981" s="434" t="s">
        <v>940</v>
      </c>
      <c r="B981" s="1002">
        <v>29</v>
      </c>
      <c r="C981" s="1002">
        <v>3</v>
      </c>
      <c r="D981" s="1002">
        <v>0</v>
      </c>
      <c r="E981" s="1002">
        <v>0</v>
      </c>
      <c r="F981" s="1002">
        <v>0</v>
      </c>
      <c r="G981" s="1002">
        <v>6</v>
      </c>
      <c r="H981" s="1002">
        <v>23</v>
      </c>
      <c r="I981" s="1002">
        <v>32</v>
      </c>
      <c r="J981" s="1150">
        <v>291</v>
      </c>
      <c r="K981" s="1150">
        <v>12.652173913043478</v>
      </c>
      <c r="L981" s="1152"/>
      <c r="M981" s="996"/>
      <c r="N981" s="435"/>
      <c r="O981" s="436"/>
      <c r="U981" s="9"/>
      <c r="V981" s="9"/>
      <c r="W981" s="9"/>
      <c r="X981" s="9"/>
      <c r="Y981" s="9"/>
      <c r="Z981" s="9"/>
      <c r="AA981" s="9"/>
      <c r="AB981" s="1966"/>
      <c r="AC981" s="1157"/>
      <c r="AD981" s="1156"/>
      <c r="AE981" s="1158"/>
      <c r="AF981" s="1156"/>
      <c r="AG981" s="1158"/>
      <c r="AH981" s="1156"/>
    </row>
    <row r="982" spans="1:34" ht="15" customHeight="1" x14ac:dyDescent="0.2">
      <c r="A982" s="962" t="s">
        <v>369</v>
      </c>
      <c r="B982" s="956">
        <v>23.5</v>
      </c>
      <c r="C982" s="1146">
        <v>3</v>
      </c>
      <c r="D982" s="1146">
        <v>0</v>
      </c>
      <c r="E982" s="1146">
        <v>0</v>
      </c>
      <c r="F982" s="1146">
        <v>0</v>
      </c>
      <c r="G982" s="1146">
        <v>6</v>
      </c>
      <c r="H982" s="1146">
        <v>17.5</v>
      </c>
      <c r="I982" s="1146">
        <v>26.5</v>
      </c>
      <c r="J982" s="1147">
        <v>227.5</v>
      </c>
      <c r="K982" s="1147">
        <v>13</v>
      </c>
      <c r="L982" s="1066" t="s">
        <v>988</v>
      </c>
      <c r="M982" s="1968">
        <v>3010000</v>
      </c>
      <c r="N982" s="959">
        <v>13340977.565119999</v>
      </c>
      <c r="O982" s="1149">
        <v>11903168.929920001</v>
      </c>
      <c r="P982" s="950"/>
      <c r="Q982" s="950"/>
      <c r="R982" s="950"/>
      <c r="S982" s="9"/>
      <c r="T982" s="9"/>
      <c r="U982" s="9"/>
      <c r="V982" s="9"/>
      <c r="W982" s="9"/>
      <c r="X982" s="9"/>
      <c r="Y982" s="9"/>
      <c r="Z982" s="9"/>
      <c r="AA982" s="9"/>
      <c r="AB982" s="1966"/>
      <c r="AC982" s="237">
        <f>MAX(J982/J1006)</f>
        <v>5.3071126974129287E-2</v>
      </c>
      <c r="AD982" s="235">
        <f>MAX(M982*AC982)</f>
        <v>159744.09219212914</v>
      </c>
      <c r="AE982" s="238">
        <f>MAX(I982/I1006)</f>
        <v>5.3266331658291456E-2</v>
      </c>
      <c r="AF982" s="235">
        <f>MAX(N982*AE982)</f>
        <v>710624.93562950741</v>
      </c>
      <c r="AG982" s="238">
        <f>MAX(H982/H1006)</f>
        <v>4.4359949302915085E-2</v>
      </c>
      <c r="AH982" s="235">
        <f>MAX(O982*AG982)</f>
        <v>528023.97027528519</v>
      </c>
    </row>
    <row r="983" spans="1:34" ht="15" customHeight="1" x14ac:dyDescent="0.2">
      <c r="A983" s="962" t="s">
        <v>370</v>
      </c>
      <c r="B983" s="956">
        <v>0</v>
      </c>
      <c r="C983" s="1146">
        <v>0</v>
      </c>
      <c r="D983" s="1146">
        <v>0</v>
      </c>
      <c r="E983" s="1146">
        <v>0</v>
      </c>
      <c r="F983" s="1146">
        <v>0</v>
      </c>
      <c r="G983" s="1146">
        <v>0</v>
      </c>
      <c r="H983" s="1146">
        <v>0</v>
      </c>
      <c r="I983" s="1146">
        <v>0</v>
      </c>
      <c r="J983" s="1147">
        <v>0</v>
      </c>
      <c r="K983" s="1147">
        <v>0</v>
      </c>
      <c r="L983" s="1148"/>
      <c r="M983" s="959"/>
      <c r="N983" s="1533"/>
      <c r="O983" s="1534"/>
      <c r="U983" s="9"/>
      <c r="V983" s="9"/>
      <c r="W983" s="9"/>
      <c r="X983" s="9"/>
      <c r="Y983" s="9"/>
      <c r="Z983" s="9"/>
      <c r="AA983" s="9"/>
      <c r="AB983" s="1966"/>
      <c r="AC983" s="237">
        <f>MAX(J983/J1006)</f>
        <v>0</v>
      </c>
      <c r="AD983" s="235">
        <f>MAX(M983*AC983)</f>
        <v>0</v>
      </c>
      <c r="AE983" s="238">
        <f>MAX(I983/I1006)</f>
        <v>0</v>
      </c>
      <c r="AF983" s="235">
        <f>MAX(N983*AE983)</f>
        <v>0</v>
      </c>
      <c r="AG983" s="238">
        <f>MAX(H983/H1006)</f>
        <v>0</v>
      </c>
      <c r="AH983" s="235">
        <f>MAX(O983*AG983)</f>
        <v>0</v>
      </c>
    </row>
    <row r="984" spans="1:34" ht="15" customHeight="1" x14ac:dyDescent="0.2">
      <c r="A984" s="962" t="s">
        <v>371</v>
      </c>
      <c r="B984" s="956">
        <v>5</v>
      </c>
      <c r="C984" s="1146">
        <v>0</v>
      </c>
      <c r="D984" s="1146">
        <v>0</v>
      </c>
      <c r="E984" s="1146">
        <v>0</v>
      </c>
      <c r="F984" s="1146">
        <v>0</v>
      </c>
      <c r="G984" s="1146">
        <v>0</v>
      </c>
      <c r="H984" s="1146">
        <v>5</v>
      </c>
      <c r="I984" s="1146">
        <v>5</v>
      </c>
      <c r="J984" s="1147">
        <v>60</v>
      </c>
      <c r="K984" s="1147">
        <v>12</v>
      </c>
      <c r="L984" s="1066" t="s">
        <v>988</v>
      </c>
      <c r="M984" s="1968">
        <v>3010000</v>
      </c>
      <c r="N984" s="959">
        <v>13340977.565119999</v>
      </c>
      <c r="O984" s="1149">
        <v>11903168.929920001</v>
      </c>
      <c r="P984" s="950"/>
      <c r="Q984" s="950"/>
      <c r="R984" s="950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237">
        <f>MAX(J984/J1006)</f>
        <v>1.3996780740429702E-2</v>
      </c>
      <c r="AD984" s="235">
        <f>MAX(M984*AC984)</f>
        <v>42130.310028693406</v>
      </c>
      <c r="AE984" s="238">
        <f>MAX(I984/I1006)</f>
        <v>1.0050251256281407E-2</v>
      </c>
      <c r="AF984" s="235">
        <f>MAX(N984*AE984)</f>
        <v>134080.17653386932</v>
      </c>
      <c r="AG984" s="238">
        <f>MAX(H984/H1006)</f>
        <v>1.2674271229404309E-2</v>
      </c>
      <c r="AH984" s="235">
        <f>MAX(O984*AG984)</f>
        <v>150863.99150722433</v>
      </c>
    </row>
    <row r="985" spans="1:34" ht="15" customHeight="1" x14ac:dyDescent="0.2">
      <c r="A985" s="962" t="s">
        <v>372</v>
      </c>
      <c r="B985" s="956">
        <v>0.5</v>
      </c>
      <c r="C985" s="1146">
        <v>0</v>
      </c>
      <c r="D985" s="1146">
        <v>0</v>
      </c>
      <c r="E985" s="1146">
        <v>0</v>
      </c>
      <c r="F985" s="1146">
        <v>0</v>
      </c>
      <c r="G985" s="1146">
        <v>0</v>
      </c>
      <c r="H985" s="1146">
        <v>0.5</v>
      </c>
      <c r="I985" s="1146">
        <v>0.5</v>
      </c>
      <c r="J985" s="1147">
        <v>3.5</v>
      </c>
      <c r="K985" s="1147">
        <v>7</v>
      </c>
      <c r="L985" s="1148"/>
      <c r="M985" s="1968">
        <v>3010000</v>
      </c>
      <c r="N985" s="959">
        <v>13340977.565119999</v>
      </c>
      <c r="O985" s="1534"/>
      <c r="V985" s="9"/>
      <c r="W985" s="9"/>
      <c r="X985" s="9"/>
      <c r="Y985" s="9"/>
      <c r="Z985" s="9"/>
      <c r="AA985" s="9"/>
      <c r="AB985" s="9"/>
      <c r="AC985" s="237">
        <f>MAX(J985/J1006)</f>
        <v>8.1647887652506589E-4</v>
      </c>
      <c r="AD985" s="235">
        <f>MAX(M985*AC985)</f>
        <v>2457.6014183404482</v>
      </c>
      <c r="AE985" s="238">
        <f>MAX(I985/I1006)</f>
        <v>1.0050251256281408E-3</v>
      </c>
      <c r="AF985" s="235">
        <f>MAX(N985*AE985)</f>
        <v>13408.017653386934</v>
      </c>
      <c r="AG985" s="238">
        <f>MAX(H985/H1006)</f>
        <v>1.2674271229404308E-3</v>
      </c>
      <c r="AH985" s="235">
        <f>MAX(O985*AG985)</f>
        <v>0</v>
      </c>
    </row>
    <row r="986" spans="1:34" ht="15" customHeight="1" x14ac:dyDescent="0.2">
      <c r="A986" s="962" t="s">
        <v>373</v>
      </c>
      <c r="B986" s="956">
        <v>0</v>
      </c>
      <c r="C986" s="1146">
        <v>0</v>
      </c>
      <c r="D986" s="1146">
        <v>0</v>
      </c>
      <c r="E986" s="1146">
        <v>0</v>
      </c>
      <c r="F986" s="1146">
        <v>0</v>
      </c>
      <c r="G986" s="1146">
        <v>0</v>
      </c>
      <c r="H986" s="1146">
        <v>0</v>
      </c>
      <c r="I986" s="1146">
        <v>0</v>
      </c>
      <c r="J986" s="1147">
        <v>0</v>
      </c>
      <c r="K986" s="1147">
        <v>0</v>
      </c>
      <c r="L986" s="1148"/>
      <c r="M986" s="959"/>
      <c r="N986" s="959"/>
      <c r="O986" s="1149"/>
      <c r="V986" s="9"/>
      <c r="W986" s="9"/>
      <c r="X986" s="9"/>
      <c r="Y986" s="9"/>
      <c r="Z986" s="9"/>
      <c r="AA986" s="9"/>
      <c r="AB986" s="9"/>
      <c r="AC986" s="237">
        <f>MAX(J986/J1006)</f>
        <v>0</v>
      </c>
      <c r="AD986" s="235">
        <f>MAX(M986*AC986)</f>
        <v>0</v>
      </c>
      <c r="AE986" s="238">
        <f>MAX(I986/I1006)</f>
        <v>0</v>
      </c>
      <c r="AF986" s="235">
        <f>MAX(N986*AE986)</f>
        <v>0</v>
      </c>
      <c r="AG986" s="238">
        <f>MAX(H986/H1006)</f>
        <v>0</v>
      </c>
      <c r="AH986" s="235">
        <f>MAX(O986*AG986)</f>
        <v>0</v>
      </c>
    </row>
    <row r="987" spans="1:34" ht="15" customHeight="1" x14ac:dyDescent="0.2">
      <c r="A987" s="1154" t="s">
        <v>374</v>
      </c>
      <c r="B987" s="1002">
        <v>120.8</v>
      </c>
      <c r="C987" s="1002">
        <v>18</v>
      </c>
      <c r="D987" s="1002">
        <v>6</v>
      </c>
      <c r="E987" s="1002">
        <v>7</v>
      </c>
      <c r="F987" s="1002">
        <v>6</v>
      </c>
      <c r="G987" s="1002">
        <v>12</v>
      </c>
      <c r="H987" s="1002">
        <v>89.8</v>
      </c>
      <c r="I987" s="1002">
        <v>125.8</v>
      </c>
      <c r="J987" s="1150">
        <v>1011.8</v>
      </c>
      <c r="K987" s="1150">
        <v>11.267260579064589</v>
      </c>
      <c r="L987" s="1152"/>
      <c r="M987" s="996"/>
      <c r="N987" s="435"/>
      <c r="O987" s="436"/>
      <c r="V987" s="9"/>
      <c r="W987" s="9"/>
      <c r="X987" s="9"/>
      <c r="Y987" s="9"/>
      <c r="Z987" s="9"/>
      <c r="AA987" s="9"/>
      <c r="AB987" s="9"/>
      <c r="AC987" s="1157"/>
      <c r="AD987" s="1156"/>
      <c r="AE987" s="1158"/>
      <c r="AF987" s="1156"/>
      <c r="AG987" s="1158"/>
      <c r="AH987" s="1156"/>
    </row>
    <row r="988" spans="1:34" ht="15" customHeight="1" x14ac:dyDescent="0.2">
      <c r="A988" s="962" t="s">
        <v>375</v>
      </c>
      <c r="B988" s="1498">
        <v>13</v>
      </c>
      <c r="C988" s="1146">
        <v>3</v>
      </c>
      <c r="D988" s="1146">
        <v>2</v>
      </c>
      <c r="E988" s="1146">
        <v>3</v>
      </c>
      <c r="F988" s="1146">
        <v>0</v>
      </c>
      <c r="G988" s="1146">
        <v>2</v>
      </c>
      <c r="H988" s="1146">
        <v>6</v>
      </c>
      <c r="I988" s="1146">
        <v>13</v>
      </c>
      <c r="J988" s="1147">
        <v>66</v>
      </c>
      <c r="K988" s="1147">
        <v>11</v>
      </c>
      <c r="L988" s="1066" t="s">
        <v>988</v>
      </c>
      <c r="M988" s="1968">
        <v>3010000</v>
      </c>
      <c r="N988" s="959">
        <v>13340977.565119999</v>
      </c>
      <c r="O988" s="1149">
        <v>11903168.929920001</v>
      </c>
      <c r="P988" s="950"/>
      <c r="Q988" s="950"/>
      <c r="R988" s="950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237">
        <f>MAX(J988/J1006)</f>
        <v>1.5396458814472672E-2</v>
      </c>
      <c r="AD988" s="235">
        <f t="shared" ref="AD988:AD995" si="183">MAX(M988*AC988)</f>
        <v>46343.341031562741</v>
      </c>
      <c r="AE988" s="238">
        <f>MAX(I988/I1006)</f>
        <v>2.6130653266331658E-2</v>
      </c>
      <c r="AF988" s="235">
        <f t="shared" ref="AF988:AF995" si="184">MAX(N988*AE988)</f>
        <v>348608.45898806024</v>
      </c>
      <c r="AG988" s="238">
        <f>MAX(H988/H1006)</f>
        <v>1.5209125475285171E-2</v>
      </c>
      <c r="AH988" s="235">
        <f t="shared" ref="AH988:AH995" si="185">MAX(O988*AG988)</f>
        <v>181036.78980866921</v>
      </c>
    </row>
    <row r="989" spans="1:34" ht="15" customHeight="1" x14ac:dyDescent="0.2">
      <c r="A989" s="962" t="s">
        <v>376</v>
      </c>
      <c r="B989" s="1498">
        <v>0</v>
      </c>
      <c r="C989" s="1146">
        <v>0</v>
      </c>
      <c r="D989" s="1146">
        <v>0</v>
      </c>
      <c r="E989" s="1146">
        <v>0</v>
      </c>
      <c r="F989" s="1146">
        <v>0</v>
      </c>
      <c r="G989" s="1146">
        <v>0</v>
      </c>
      <c r="H989" s="1146">
        <v>0</v>
      </c>
      <c r="I989" s="1146">
        <v>0</v>
      </c>
      <c r="J989" s="1147">
        <v>0</v>
      </c>
      <c r="K989" s="1147">
        <v>0</v>
      </c>
      <c r="L989" s="1066"/>
      <c r="M989" s="959"/>
      <c r="N989" s="959"/>
      <c r="O989" s="1149"/>
      <c r="V989" s="9"/>
      <c r="W989" s="9"/>
      <c r="X989" s="9"/>
      <c r="Y989" s="9"/>
      <c r="Z989" s="9"/>
      <c r="AA989" s="9"/>
      <c r="AB989" s="9"/>
      <c r="AC989" s="237">
        <f>MAX(J989/J1006)</f>
        <v>0</v>
      </c>
      <c r="AD989" s="235">
        <f t="shared" si="183"/>
        <v>0</v>
      </c>
      <c r="AE989" s="238">
        <f>MAX(I989/I1006)</f>
        <v>0</v>
      </c>
      <c r="AF989" s="235">
        <f t="shared" si="184"/>
        <v>0</v>
      </c>
      <c r="AG989" s="238">
        <f>MAX(H989/H1006)</f>
        <v>0</v>
      </c>
      <c r="AH989" s="235">
        <f t="shared" si="185"/>
        <v>0</v>
      </c>
    </row>
    <row r="990" spans="1:34" ht="15" customHeight="1" x14ac:dyDescent="0.2">
      <c r="A990" s="962" t="s">
        <v>377</v>
      </c>
      <c r="B990" s="1498">
        <v>26</v>
      </c>
      <c r="C990" s="1146">
        <v>3</v>
      </c>
      <c r="D990" s="1146"/>
      <c r="E990" s="1146"/>
      <c r="F990" s="1146"/>
      <c r="G990" s="1146">
        <v>2</v>
      </c>
      <c r="H990" s="1146">
        <v>24</v>
      </c>
      <c r="I990" s="1146">
        <v>29</v>
      </c>
      <c r="J990" s="1147">
        <v>288</v>
      </c>
      <c r="K990" s="1147">
        <v>12</v>
      </c>
      <c r="L990" s="1066" t="s">
        <v>988</v>
      </c>
      <c r="M990" s="1968">
        <v>3010000</v>
      </c>
      <c r="N990" s="959">
        <v>13340977.565119999</v>
      </c>
      <c r="O990" s="1149">
        <v>11903168.929920001</v>
      </c>
      <c r="P990" s="950"/>
      <c r="Q990" s="950"/>
      <c r="R990" s="950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237">
        <f>MAX(J990/J1006)</f>
        <v>6.7184547554062571E-2</v>
      </c>
      <c r="AD990" s="235">
        <f t="shared" si="183"/>
        <v>202225.48813772833</v>
      </c>
      <c r="AE990" s="238">
        <f>MAX(I990/I1006)</f>
        <v>5.8291457286432161E-2</v>
      </c>
      <c r="AF990" s="235">
        <f t="shared" si="184"/>
        <v>777665.02389644214</v>
      </c>
      <c r="AG990" s="238">
        <f>MAX(H990/H1006)</f>
        <v>6.0836501901140684E-2</v>
      </c>
      <c r="AH990" s="235">
        <f t="shared" si="185"/>
        <v>724147.15923467686</v>
      </c>
    </row>
    <row r="991" spans="1:34" ht="15" customHeight="1" x14ac:dyDescent="0.2">
      <c r="A991" s="962" t="s">
        <v>378</v>
      </c>
      <c r="B991" s="1498">
        <v>43</v>
      </c>
      <c r="C991" s="1146">
        <v>0</v>
      </c>
      <c r="D991" s="1146">
        <v>0</v>
      </c>
      <c r="E991" s="1146">
        <v>0</v>
      </c>
      <c r="F991" s="1146">
        <v>0</v>
      </c>
      <c r="G991" s="1146">
        <v>0</v>
      </c>
      <c r="H991" s="1146">
        <v>43</v>
      </c>
      <c r="I991" s="1146">
        <v>43</v>
      </c>
      <c r="J991" s="1147">
        <v>473</v>
      </c>
      <c r="K991" s="1147">
        <v>11</v>
      </c>
      <c r="L991" s="1066" t="s">
        <v>988</v>
      </c>
      <c r="M991" s="1968">
        <v>3010000</v>
      </c>
      <c r="N991" s="959">
        <v>13340977.565119999</v>
      </c>
      <c r="O991" s="1149">
        <v>11903168.929920001</v>
      </c>
      <c r="P991" s="950"/>
      <c r="Q991" s="950"/>
      <c r="R991" s="950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237">
        <f>MAX(J991/J1006)</f>
        <v>0.11034128817038748</v>
      </c>
      <c r="AD991" s="235">
        <f t="shared" si="183"/>
        <v>332127.27739286632</v>
      </c>
      <c r="AE991" s="238">
        <f>MAX(I991/I1006)</f>
        <v>8.6432160804020094E-2</v>
      </c>
      <c r="AF991" s="235">
        <f t="shared" si="184"/>
        <v>1153089.5181912761</v>
      </c>
      <c r="AG991" s="238">
        <f>MAX(H991/H1006)</f>
        <v>0.10899873257287707</v>
      </c>
      <c r="AH991" s="235">
        <f t="shared" si="185"/>
        <v>1297430.3269621294</v>
      </c>
    </row>
    <row r="992" spans="1:34" ht="15" customHeight="1" x14ac:dyDescent="0.2">
      <c r="A992" s="962" t="s">
        <v>379</v>
      </c>
      <c r="B992" s="1498">
        <v>10</v>
      </c>
      <c r="C992" s="1146"/>
      <c r="D992" s="1146"/>
      <c r="E992" s="1146"/>
      <c r="F992" s="1146"/>
      <c r="G992" s="1146">
        <v>3</v>
      </c>
      <c r="H992" s="1146">
        <v>7</v>
      </c>
      <c r="I992" s="1146">
        <v>10</v>
      </c>
      <c r="J992" s="1147">
        <v>77</v>
      </c>
      <c r="K992" s="1147">
        <v>11</v>
      </c>
      <c r="L992" s="1066" t="s">
        <v>988</v>
      </c>
      <c r="M992" s="1968">
        <v>3010000</v>
      </c>
      <c r="N992" s="959">
        <v>13340977.565119999</v>
      </c>
      <c r="O992" s="1149">
        <v>11903168.929920001</v>
      </c>
      <c r="P992" s="950"/>
      <c r="Q992" s="950"/>
      <c r="R992" s="950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237">
        <f>MAX(J992/J1006)</f>
        <v>1.7962535283551451E-2</v>
      </c>
      <c r="AD992" s="235">
        <f t="shared" si="183"/>
        <v>54067.231203489871</v>
      </c>
      <c r="AE992" s="238">
        <f>MAX(I992/I1006)</f>
        <v>2.0100502512562814E-2</v>
      </c>
      <c r="AF992" s="235">
        <f t="shared" si="184"/>
        <v>268160.35306773864</v>
      </c>
      <c r="AG992" s="238">
        <f>MAX(H992/H1006)</f>
        <v>1.7743979721166033E-2</v>
      </c>
      <c r="AH992" s="235">
        <f t="shared" si="185"/>
        <v>211209.5881101141</v>
      </c>
    </row>
    <row r="993" spans="1:34" ht="15" customHeight="1" x14ac:dyDescent="0.2">
      <c r="A993" s="962" t="s">
        <v>380</v>
      </c>
      <c r="B993" s="1498">
        <v>0</v>
      </c>
      <c r="C993" s="1146">
        <v>0</v>
      </c>
      <c r="D993" s="1146">
        <v>0</v>
      </c>
      <c r="E993" s="1146">
        <v>0</v>
      </c>
      <c r="F993" s="1146">
        <v>0</v>
      </c>
      <c r="G993" s="1146">
        <v>0</v>
      </c>
      <c r="H993" s="1146">
        <v>0</v>
      </c>
      <c r="I993" s="1146">
        <v>0</v>
      </c>
      <c r="J993" s="1147">
        <v>0</v>
      </c>
      <c r="K993" s="1147">
        <v>0</v>
      </c>
      <c r="L993" s="1148"/>
      <c r="M993" s="959"/>
      <c r="N993" s="1533"/>
      <c r="O993" s="1534"/>
      <c r="V993" s="9"/>
      <c r="W993" s="9"/>
      <c r="X993" s="9"/>
      <c r="Y993" s="9"/>
      <c r="Z993" s="9"/>
      <c r="AA993" s="9"/>
      <c r="AB993" s="9"/>
      <c r="AC993" s="237">
        <f>MAX(J993/J1006)</f>
        <v>0</v>
      </c>
      <c r="AD993" s="235">
        <f t="shared" si="183"/>
        <v>0</v>
      </c>
      <c r="AE993" s="238">
        <f>MAX(I993/I1006)</f>
        <v>0</v>
      </c>
      <c r="AF993" s="235">
        <f t="shared" si="184"/>
        <v>0</v>
      </c>
      <c r="AG993" s="238">
        <f>MAX(H993/H1006)</f>
        <v>0</v>
      </c>
      <c r="AH993" s="235">
        <f t="shared" si="185"/>
        <v>0</v>
      </c>
    </row>
    <row r="994" spans="1:34" ht="15" customHeight="1" x14ac:dyDescent="0.2">
      <c r="A994" s="962" t="s">
        <v>381</v>
      </c>
      <c r="B994" s="1498">
        <v>0</v>
      </c>
      <c r="C994" s="1146"/>
      <c r="D994" s="1146"/>
      <c r="E994" s="1146"/>
      <c r="F994" s="1146"/>
      <c r="G994" s="1146"/>
      <c r="H994" s="1146">
        <v>0</v>
      </c>
      <c r="I994" s="1146">
        <v>0</v>
      </c>
      <c r="J994" s="1147">
        <v>0</v>
      </c>
      <c r="K994" s="1147"/>
      <c r="L994" s="1148"/>
      <c r="M994" s="959"/>
      <c r="N994" s="1533"/>
      <c r="O994" s="1534"/>
      <c r="V994" s="9"/>
      <c r="W994" s="9"/>
      <c r="X994" s="9"/>
      <c r="Y994" s="9"/>
      <c r="Z994" s="9"/>
      <c r="AA994" s="9"/>
      <c r="AB994" s="9"/>
      <c r="AC994" s="237">
        <f>MAX(J994/J1006)</f>
        <v>0</v>
      </c>
      <c r="AD994" s="235">
        <f t="shared" si="183"/>
        <v>0</v>
      </c>
      <c r="AE994" s="238">
        <f>MAX(I994/I1006)</f>
        <v>0</v>
      </c>
      <c r="AF994" s="235">
        <f t="shared" si="184"/>
        <v>0</v>
      </c>
      <c r="AG994" s="238">
        <f>MAX(H994/H1006)</f>
        <v>0</v>
      </c>
      <c r="AH994" s="235">
        <f t="shared" si="185"/>
        <v>0</v>
      </c>
    </row>
    <row r="995" spans="1:34" ht="15" customHeight="1" x14ac:dyDescent="0.2">
      <c r="A995" s="962" t="s">
        <v>382</v>
      </c>
      <c r="B995" s="956">
        <v>28.8</v>
      </c>
      <c r="C995" s="1146">
        <v>12</v>
      </c>
      <c r="D995" s="1146">
        <v>4</v>
      </c>
      <c r="E995" s="1146">
        <v>4</v>
      </c>
      <c r="F995" s="1146">
        <v>6</v>
      </c>
      <c r="G995" s="1146">
        <v>5</v>
      </c>
      <c r="H995" s="1146">
        <v>9.7999999999999972</v>
      </c>
      <c r="I995" s="1146">
        <v>30.799999999999997</v>
      </c>
      <c r="J995" s="1147">
        <v>107.79999999999997</v>
      </c>
      <c r="K995" s="1147">
        <v>11</v>
      </c>
      <c r="L995" s="1066" t="s">
        <v>988</v>
      </c>
      <c r="M995" s="1968">
        <v>3010000</v>
      </c>
      <c r="N995" s="959">
        <v>13340977.565119999</v>
      </c>
      <c r="O995" s="1149">
        <v>11903168.929920001</v>
      </c>
      <c r="P995" s="950"/>
      <c r="Q995" s="950"/>
      <c r="R995" s="950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237">
        <f>MAX(J995/J1006)</f>
        <v>2.5147549396972023E-2</v>
      </c>
      <c r="AD995" s="235">
        <f t="shared" si="183"/>
        <v>75694.123684885795</v>
      </c>
      <c r="AE995" s="238">
        <f>MAX(I995/I1006)</f>
        <v>6.1909547738693463E-2</v>
      </c>
      <c r="AF995" s="235">
        <f t="shared" si="184"/>
        <v>825933.88744863507</v>
      </c>
      <c r="AG995" s="238">
        <f>MAX(H995/H1006)</f>
        <v>2.4841571609632438E-2</v>
      </c>
      <c r="AH995" s="235">
        <f t="shared" si="185"/>
        <v>295693.42335415963</v>
      </c>
    </row>
    <row r="996" spans="1:34" ht="15" customHeight="1" x14ac:dyDescent="0.2">
      <c r="A996" s="1154" t="s">
        <v>383</v>
      </c>
      <c r="B996" s="1002">
        <v>33.5</v>
      </c>
      <c r="C996" s="1002">
        <v>5</v>
      </c>
      <c r="D996" s="1002">
        <v>1</v>
      </c>
      <c r="E996" s="1002">
        <v>0</v>
      </c>
      <c r="F996" s="1002">
        <v>0</v>
      </c>
      <c r="G996" s="1002">
        <v>2</v>
      </c>
      <c r="H996" s="1002">
        <v>30.5</v>
      </c>
      <c r="I996" s="1002">
        <v>38.5</v>
      </c>
      <c r="J996" s="1150">
        <v>432</v>
      </c>
      <c r="K996" s="1150">
        <v>14.163934426229508</v>
      </c>
      <c r="L996" s="1152"/>
      <c r="M996" s="996"/>
      <c r="N996" s="435"/>
      <c r="O996" s="436"/>
      <c r="U996" s="9"/>
      <c r="V996" s="9"/>
      <c r="W996" s="9"/>
      <c r="X996" s="9"/>
      <c r="Y996" s="9"/>
      <c r="Z996" s="9"/>
      <c r="AA996" s="9"/>
      <c r="AB996" s="9"/>
      <c r="AC996" s="1157"/>
      <c r="AD996" s="1156"/>
      <c r="AE996" s="1158"/>
      <c r="AF996" s="1156"/>
      <c r="AG996" s="1158"/>
      <c r="AH996" s="1156"/>
    </row>
    <row r="997" spans="1:34" ht="15" customHeight="1" x14ac:dyDescent="0.2">
      <c r="A997" s="962" t="s">
        <v>384</v>
      </c>
      <c r="B997" s="956">
        <v>0</v>
      </c>
      <c r="C997" s="1146">
        <v>0</v>
      </c>
      <c r="D997" s="1146">
        <v>0</v>
      </c>
      <c r="E997" s="1146">
        <v>0</v>
      </c>
      <c r="F997" s="1146">
        <v>0</v>
      </c>
      <c r="G997" s="1146">
        <v>0</v>
      </c>
      <c r="H997" s="1146">
        <v>0</v>
      </c>
      <c r="I997" s="1146">
        <v>0</v>
      </c>
      <c r="J997" s="1147">
        <v>0</v>
      </c>
      <c r="K997" s="1147">
        <v>0</v>
      </c>
      <c r="L997" s="1148"/>
      <c r="M997" s="959"/>
      <c r="N997" s="959"/>
      <c r="O997" s="1149"/>
      <c r="U997" s="9"/>
      <c r="V997" s="9"/>
      <c r="W997" s="9"/>
      <c r="X997" s="9"/>
      <c r="Y997" s="9"/>
      <c r="Z997" s="9"/>
      <c r="AA997" s="9"/>
      <c r="AB997" s="9"/>
      <c r="AC997" s="237">
        <f>MAX(J997/J1006)</f>
        <v>0</v>
      </c>
      <c r="AD997" s="235">
        <f t="shared" ref="AD997:AD1005" si="186">MAX(M997*AC997)</f>
        <v>0</v>
      </c>
      <c r="AE997" s="238">
        <f>MAX(I997/I1006)</f>
        <v>0</v>
      </c>
      <c r="AF997" s="235">
        <f t="shared" ref="AF997:AF1005" si="187">MAX(N997*AE997)</f>
        <v>0</v>
      </c>
      <c r="AG997" s="238">
        <f>MAX(H997/H1006)</f>
        <v>0</v>
      </c>
      <c r="AH997" s="235">
        <f t="shared" ref="AH997:AH1005" si="188">MAX(O997*AG997)</f>
        <v>0</v>
      </c>
    </row>
    <row r="998" spans="1:34" ht="15" customHeight="1" x14ac:dyDescent="0.2">
      <c r="A998" s="962" t="s">
        <v>385</v>
      </c>
      <c r="B998" s="956">
        <v>0</v>
      </c>
      <c r="C998" s="1146">
        <v>0</v>
      </c>
      <c r="D998" s="1146">
        <v>0</v>
      </c>
      <c r="E998" s="1146">
        <v>0</v>
      </c>
      <c r="F998" s="1146">
        <v>0</v>
      </c>
      <c r="G998" s="1146">
        <v>0</v>
      </c>
      <c r="H998" s="1146">
        <v>0</v>
      </c>
      <c r="I998" s="1146">
        <v>0</v>
      </c>
      <c r="J998" s="1147">
        <v>0</v>
      </c>
      <c r="K998" s="1147">
        <v>0</v>
      </c>
      <c r="L998" s="1148"/>
      <c r="M998" s="959"/>
      <c r="N998" s="1533"/>
      <c r="O998" s="1534"/>
      <c r="U998" s="9"/>
      <c r="V998" s="9"/>
      <c r="W998" s="9"/>
      <c r="X998" s="9"/>
      <c r="Y998" s="9"/>
      <c r="Z998" s="9"/>
      <c r="AA998" s="9"/>
      <c r="AB998" s="9"/>
      <c r="AC998" s="237">
        <f>MAX(J998/J1006)</f>
        <v>0</v>
      </c>
      <c r="AD998" s="235">
        <f t="shared" si="186"/>
        <v>0</v>
      </c>
      <c r="AE998" s="238">
        <f>MAX(I998/I1006)</f>
        <v>0</v>
      </c>
      <c r="AF998" s="235">
        <f t="shared" si="187"/>
        <v>0</v>
      </c>
      <c r="AG998" s="238">
        <f>MAX(H998/H1006)</f>
        <v>0</v>
      </c>
      <c r="AH998" s="235">
        <f t="shared" si="188"/>
        <v>0</v>
      </c>
    </row>
    <row r="999" spans="1:34" ht="15" customHeight="1" x14ac:dyDescent="0.2">
      <c r="A999" s="962" t="s">
        <v>386</v>
      </c>
      <c r="B999" s="1498">
        <v>25</v>
      </c>
      <c r="C999" s="1146">
        <v>3</v>
      </c>
      <c r="D999" s="1146">
        <v>0</v>
      </c>
      <c r="E999" s="1146">
        <v>0</v>
      </c>
      <c r="F999" s="1146">
        <v>0</v>
      </c>
      <c r="G999" s="1146">
        <v>0</v>
      </c>
      <c r="H999" s="1146">
        <v>25</v>
      </c>
      <c r="I999" s="1146">
        <v>28</v>
      </c>
      <c r="J999" s="1147">
        <v>375</v>
      </c>
      <c r="K999" s="1147">
        <v>15</v>
      </c>
      <c r="L999" s="1066" t="s">
        <v>988</v>
      </c>
      <c r="M999" s="1968">
        <v>3010000</v>
      </c>
      <c r="N999" s="959">
        <v>13340977.565119999</v>
      </c>
      <c r="O999" s="1149">
        <v>11903168.929920001</v>
      </c>
      <c r="P999" s="950"/>
      <c r="Q999" s="950"/>
      <c r="R999" s="950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237">
        <f>MAX(J999/J1006)</f>
        <v>8.7479879627685636E-2</v>
      </c>
      <c r="AD999" s="235">
        <f t="shared" si="186"/>
        <v>263314.43767933379</v>
      </c>
      <c r="AE999" s="238">
        <f>MAX(I999/I1006)</f>
        <v>5.6281407035175882E-2</v>
      </c>
      <c r="AF999" s="235">
        <f t="shared" si="187"/>
        <v>750848.9885896683</v>
      </c>
      <c r="AG999" s="238">
        <f>MAX(H999/H1006)</f>
        <v>6.3371356147021551E-2</v>
      </c>
      <c r="AH999" s="235">
        <f t="shared" si="188"/>
        <v>754319.95753612183</v>
      </c>
    </row>
    <row r="1000" spans="1:34" ht="15" customHeight="1" x14ac:dyDescent="0.2">
      <c r="A1000" s="962" t="s">
        <v>387</v>
      </c>
      <c r="B1000" s="956">
        <v>2</v>
      </c>
      <c r="C1000" s="1146">
        <v>2</v>
      </c>
      <c r="D1000" s="1146">
        <v>1</v>
      </c>
      <c r="E1000" s="1146">
        <v>0</v>
      </c>
      <c r="F1000" s="1146">
        <v>0</v>
      </c>
      <c r="G1000" s="1146">
        <v>0</v>
      </c>
      <c r="H1000" s="1146">
        <v>1</v>
      </c>
      <c r="I1000" s="1146">
        <v>4</v>
      </c>
      <c r="J1000" s="1147">
        <v>12</v>
      </c>
      <c r="K1000" s="1147">
        <v>12</v>
      </c>
      <c r="L1000" s="1066" t="s">
        <v>988</v>
      </c>
      <c r="M1000" s="1968">
        <v>3010000</v>
      </c>
      <c r="N1000" s="959">
        <v>13340977.565119999</v>
      </c>
      <c r="O1000" s="1149">
        <v>11903168.929920001</v>
      </c>
      <c r="P1000" s="950"/>
      <c r="Q1000" s="950"/>
      <c r="R1000" s="950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237">
        <f>MAX(J1000/J1006)</f>
        <v>2.7993561480859405E-3</v>
      </c>
      <c r="AD1000" s="235">
        <f t="shared" si="186"/>
        <v>8426.0620057386805</v>
      </c>
      <c r="AE1000" s="238">
        <f>MAX(I1000/I1006)</f>
        <v>8.0402010050251264E-3</v>
      </c>
      <c r="AF1000" s="235">
        <f t="shared" si="187"/>
        <v>107264.14122709548</v>
      </c>
      <c r="AG1000" s="238">
        <f>MAX(H1000/H1006)</f>
        <v>2.5348542458808617E-3</v>
      </c>
      <c r="AH1000" s="235">
        <f t="shared" si="188"/>
        <v>30172.798301444869</v>
      </c>
    </row>
    <row r="1001" spans="1:34" ht="15" customHeight="1" x14ac:dyDescent="0.2">
      <c r="A1001" s="962" t="s">
        <v>388</v>
      </c>
      <c r="B1001" s="956">
        <v>0.5</v>
      </c>
      <c r="C1001" s="1146"/>
      <c r="D1001" s="1146"/>
      <c r="E1001" s="1146"/>
      <c r="F1001" s="1146"/>
      <c r="G1001" s="1146"/>
      <c r="H1001" s="1146">
        <v>0.5</v>
      </c>
      <c r="I1001" s="1146">
        <v>0.5</v>
      </c>
      <c r="J1001" s="1147">
        <v>6</v>
      </c>
      <c r="K1001" s="1147">
        <v>12</v>
      </c>
      <c r="L1001" s="1066"/>
      <c r="M1001" s="1968">
        <v>3010000</v>
      </c>
      <c r="N1001" s="959">
        <v>13340977.565119999</v>
      </c>
      <c r="O1001" s="1149"/>
      <c r="U1001" s="9"/>
      <c r="V1001" s="9"/>
      <c r="W1001" s="9"/>
      <c r="X1001" s="9"/>
      <c r="Y1001" s="9"/>
      <c r="Z1001" s="9"/>
      <c r="AA1001" s="9"/>
      <c r="AB1001" s="9"/>
      <c r="AC1001" s="237">
        <f>MAX(J1001/J1006)</f>
        <v>1.3996780740429702E-3</v>
      </c>
      <c r="AD1001" s="235">
        <f t="shared" si="186"/>
        <v>4213.0310028693402</v>
      </c>
      <c r="AE1001" s="238">
        <f>MAX(I1001/I1006)</f>
        <v>1.0050251256281408E-3</v>
      </c>
      <c r="AF1001" s="235">
        <f t="shared" si="187"/>
        <v>13408.017653386934</v>
      </c>
      <c r="AG1001" s="238">
        <f>MAX(H1001/H1006)</f>
        <v>1.2674271229404308E-3</v>
      </c>
      <c r="AH1001" s="235">
        <f t="shared" si="188"/>
        <v>0</v>
      </c>
    </row>
    <row r="1002" spans="1:34" ht="15" customHeight="1" x14ac:dyDescent="0.2">
      <c r="A1002" s="962" t="s">
        <v>389</v>
      </c>
      <c r="B1002" s="956">
        <v>0</v>
      </c>
      <c r="C1002" s="1146">
        <v>0</v>
      </c>
      <c r="D1002" s="1146"/>
      <c r="E1002" s="1146"/>
      <c r="F1002" s="1146"/>
      <c r="G1002" s="1146"/>
      <c r="H1002" s="1146">
        <v>0</v>
      </c>
      <c r="I1002" s="1146">
        <v>0</v>
      </c>
      <c r="J1002" s="1147">
        <v>0</v>
      </c>
      <c r="K1002" s="1147"/>
      <c r="L1002" s="1148"/>
      <c r="M1002" s="1968"/>
      <c r="N1002" s="959"/>
      <c r="O1002" s="1149"/>
      <c r="P1002" s="950"/>
      <c r="Q1002" s="950"/>
      <c r="R1002" s="950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237">
        <f>MAX(J1002/J1006)</f>
        <v>0</v>
      </c>
      <c r="AD1002" s="235">
        <f t="shared" si="186"/>
        <v>0</v>
      </c>
      <c r="AE1002" s="238">
        <f>MAX(I1002/I1006)</f>
        <v>0</v>
      </c>
      <c r="AF1002" s="235">
        <f t="shared" si="187"/>
        <v>0</v>
      </c>
      <c r="AG1002" s="238">
        <f>MAX(H1002/H1006)</f>
        <v>0</v>
      </c>
      <c r="AH1002" s="235">
        <f t="shared" si="188"/>
        <v>0</v>
      </c>
    </row>
    <row r="1003" spans="1:34" ht="15" customHeight="1" x14ac:dyDescent="0.2">
      <c r="A1003" s="962" t="s">
        <v>390</v>
      </c>
      <c r="B1003" s="956">
        <v>2</v>
      </c>
      <c r="C1003" s="1146"/>
      <c r="D1003" s="1146"/>
      <c r="E1003" s="1146"/>
      <c r="F1003" s="1146"/>
      <c r="G1003" s="1146"/>
      <c r="H1003" s="1146">
        <v>2</v>
      </c>
      <c r="I1003" s="1146">
        <v>2</v>
      </c>
      <c r="J1003" s="1147">
        <v>20</v>
      </c>
      <c r="K1003" s="1147">
        <v>10</v>
      </c>
      <c r="L1003" s="1066" t="s">
        <v>988</v>
      </c>
      <c r="M1003" s="1968">
        <v>3010000</v>
      </c>
      <c r="N1003" s="959">
        <v>13340977.565119999</v>
      </c>
      <c r="O1003" s="1149">
        <v>11903168.929920001</v>
      </c>
      <c r="P1003" s="950"/>
      <c r="Q1003" s="950"/>
      <c r="R1003" s="950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237">
        <f>MAX(J1003/J1006)</f>
        <v>4.6655935801432338E-3</v>
      </c>
      <c r="AD1003" s="235">
        <f t="shared" si="186"/>
        <v>14043.436676231133</v>
      </c>
      <c r="AE1003" s="238">
        <f>MAX(I1003/I1006)</f>
        <v>4.0201005025125632E-3</v>
      </c>
      <c r="AF1003" s="235">
        <f t="shared" si="187"/>
        <v>53632.070613547738</v>
      </c>
      <c r="AG1003" s="238">
        <f>MAX(H1003/H1006)</f>
        <v>5.0697084917617234E-3</v>
      </c>
      <c r="AH1003" s="235">
        <f t="shared" si="188"/>
        <v>60345.596602889738</v>
      </c>
    </row>
    <row r="1004" spans="1:34" ht="15" customHeight="1" x14ac:dyDescent="0.2">
      <c r="A1004" s="962" t="s">
        <v>941</v>
      </c>
      <c r="B1004" s="956">
        <v>0</v>
      </c>
      <c r="C1004" s="1146"/>
      <c r="D1004" s="1146"/>
      <c r="E1004" s="1146"/>
      <c r="F1004" s="1146"/>
      <c r="G1004" s="1146"/>
      <c r="H1004" s="1146">
        <v>0</v>
      </c>
      <c r="I1004" s="1146">
        <v>0</v>
      </c>
      <c r="J1004" s="1147">
        <v>0</v>
      </c>
      <c r="K1004" s="1147"/>
      <c r="L1004" s="1148"/>
      <c r="M1004" s="959"/>
      <c r="N1004" s="959"/>
      <c r="O1004" s="1149"/>
      <c r="P1004" s="950"/>
      <c r="Q1004" s="950"/>
      <c r="R1004" s="950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237">
        <f>MAX(J1004/J1006)</f>
        <v>0</v>
      </c>
      <c r="AD1004" s="235">
        <f t="shared" si="186"/>
        <v>0</v>
      </c>
      <c r="AE1004" s="238">
        <f>MAX(I1004/I1006)</f>
        <v>0</v>
      </c>
      <c r="AF1004" s="235">
        <f t="shared" si="187"/>
        <v>0</v>
      </c>
      <c r="AG1004" s="238">
        <f>MAX(H1004/H1006)</f>
        <v>0</v>
      </c>
      <c r="AH1004" s="235">
        <f t="shared" si="188"/>
        <v>0</v>
      </c>
    </row>
    <row r="1005" spans="1:34" ht="15" customHeight="1" thickBot="1" x14ac:dyDescent="0.25">
      <c r="A1005" s="1140" t="s">
        <v>392</v>
      </c>
      <c r="B1005" s="244">
        <v>4</v>
      </c>
      <c r="C1005" s="1141">
        <v>0</v>
      </c>
      <c r="D1005" s="1141">
        <v>0</v>
      </c>
      <c r="E1005" s="1141">
        <v>0</v>
      </c>
      <c r="F1005" s="1141">
        <v>0</v>
      </c>
      <c r="G1005" s="1141">
        <v>2</v>
      </c>
      <c r="H1005" s="1146">
        <v>2</v>
      </c>
      <c r="I1005" s="1146">
        <v>4</v>
      </c>
      <c r="J1005" s="1147">
        <v>19</v>
      </c>
      <c r="K1005" s="1142">
        <v>9.5</v>
      </c>
      <c r="L1005" s="1143"/>
      <c r="M1005" s="1968">
        <v>3010000</v>
      </c>
      <c r="N1005" s="959">
        <v>13340977.565119999</v>
      </c>
      <c r="O1005" s="1145"/>
      <c r="P1005" s="950"/>
      <c r="Q1005" s="950"/>
      <c r="R1005" s="950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237">
        <f>MAX(J1005/J1006)</f>
        <v>4.4323139011360722E-3</v>
      </c>
      <c r="AD1005" s="235">
        <f t="shared" si="186"/>
        <v>13341.264842419578</v>
      </c>
      <c r="AE1005" s="238">
        <f>MAX(I1005/I1006)</f>
        <v>8.0402010050251264E-3</v>
      </c>
      <c r="AF1005" s="235">
        <f t="shared" si="187"/>
        <v>107264.14122709548</v>
      </c>
      <c r="AG1005" s="238">
        <f>MAX(H1005/H1006)</f>
        <v>5.0697084917617234E-3</v>
      </c>
      <c r="AH1005" s="235">
        <f t="shared" si="188"/>
        <v>0</v>
      </c>
    </row>
    <row r="1006" spans="1:34" ht="15" customHeight="1" thickBot="1" x14ac:dyDescent="0.25">
      <c r="A1006" s="405" t="s">
        <v>942</v>
      </c>
      <c r="B1006" s="1131">
        <v>471.5</v>
      </c>
      <c r="C1006" s="1131">
        <v>47</v>
      </c>
      <c r="D1006" s="1131">
        <v>11</v>
      </c>
      <c r="E1006" s="1131">
        <v>8</v>
      </c>
      <c r="F1006" s="1131">
        <v>13</v>
      </c>
      <c r="G1006" s="1131">
        <v>45</v>
      </c>
      <c r="H1006" s="1131">
        <v>394.5</v>
      </c>
      <c r="I1006" s="1131">
        <v>497.5</v>
      </c>
      <c r="J1006" s="1132">
        <v>4286.7</v>
      </c>
      <c r="K1006" s="1132">
        <v>10.86615969581749</v>
      </c>
      <c r="L1006" s="1525" t="s">
        <v>988</v>
      </c>
      <c r="M1006" s="1134">
        <v>3010000</v>
      </c>
      <c r="N1006" s="1134">
        <v>13340977.56512</v>
      </c>
      <c r="O1006" s="506">
        <v>11782477.736714225</v>
      </c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1159">
        <f t="shared" ref="AC1006:AH1006" si="189">SUM(AC966:AC1005)</f>
        <v>0.99999999999999989</v>
      </c>
      <c r="AD1006" s="1160">
        <f t="shared" si="189"/>
        <v>3010000</v>
      </c>
      <c r="AE1006" s="1161">
        <f t="shared" si="189"/>
        <v>1</v>
      </c>
      <c r="AF1006" s="1160">
        <f t="shared" si="189"/>
        <v>13340977.56512</v>
      </c>
      <c r="AG1006" s="1161">
        <f t="shared" si="189"/>
        <v>0.99999999999999989</v>
      </c>
      <c r="AH1006" s="1160">
        <f t="shared" si="189"/>
        <v>11782477.736714225</v>
      </c>
    </row>
    <row r="1007" spans="1:34" x14ac:dyDescent="0.2">
      <c r="A1007" s="7" t="s">
        <v>1934</v>
      </c>
      <c r="B1007" s="224"/>
      <c r="C1007" s="224"/>
      <c r="D1007" s="224"/>
      <c r="E1007" s="224"/>
      <c r="F1007" s="224"/>
      <c r="G1007" s="224"/>
      <c r="H1007" s="224"/>
      <c r="I1007" s="224"/>
      <c r="J1007" s="224"/>
      <c r="K1007" s="240"/>
      <c r="L1007" s="241"/>
      <c r="M1007" s="240"/>
      <c r="N1007" s="240"/>
      <c r="O1007" s="240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</row>
    <row r="1008" spans="1:34" x14ac:dyDescent="0.2">
      <c r="A1008" s="34"/>
      <c r="B1008" s="224"/>
      <c r="C1008" s="224"/>
      <c r="D1008" s="224"/>
      <c r="E1008" s="224"/>
      <c r="F1008" s="224"/>
      <c r="G1008" s="224"/>
      <c r="H1008" s="224"/>
      <c r="I1008" s="224"/>
      <c r="J1008" s="224"/>
      <c r="K1008" s="240"/>
      <c r="L1008" s="241"/>
      <c r="M1008" s="240"/>
      <c r="N1008" s="240"/>
      <c r="O1008" s="240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</row>
    <row r="1009" spans="1:34" x14ac:dyDescent="0.2">
      <c r="A1009" s="34"/>
      <c r="B1009" s="224"/>
      <c r="C1009" s="224"/>
      <c r="D1009" s="224"/>
      <c r="E1009" s="224"/>
      <c r="F1009" s="224"/>
      <c r="G1009" s="224"/>
      <c r="H1009" s="224"/>
      <c r="I1009" s="224"/>
      <c r="J1009" s="224"/>
      <c r="K1009" s="240"/>
      <c r="L1009" s="241"/>
      <c r="M1009" s="240"/>
      <c r="N1009" s="240"/>
      <c r="O1009" s="240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</row>
    <row r="1010" spans="1:34" ht="15" x14ac:dyDescent="0.25">
      <c r="A1010" s="2843" t="s">
        <v>1931</v>
      </c>
      <c r="B1010" s="2843"/>
      <c r="C1010" s="2843"/>
      <c r="D1010" s="2843"/>
      <c r="E1010" s="2843"/>
      <c r="F1010" s="2843"/>
      <c r="G1010" s="2843"/>
      <c r="H1010" s="2843"/>
      <c r="I1010" s="2843"/>
      <c r="J1010" s="2843"/>
      <c r="K1010" s="2843"/>
      <c r="L1010" s="2843"/>
      <c r="M1010" s="2843"/>
      <c r="N1010" s="2843"/>
      <c r="O1010" s="2843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</row>
    <row r="1011" spans="1:34" x14ac:dyDescent="0.2">
      <c r="A1011" s="225"/>
      <c r="B1011" s="225"/>
      <c r="C1011" s="224"/>
      <c r="D1011" s="224"/>
      <c r="E1011" s="224"/>
      <c r="F1011" s="224"/>
      <c r="G1011" s="224"/>
      <c r="H1011" s="224"/>
      <c r="I1011" s="224"/>
      <c r="J1011" s="224"/>
      <c r="K1011" s="240"/>
      <c r="L1011" s="241"/>
      <c r="M1011" s="240"/>
      <c r="N1011" s="240"/>
      <c r="O1011" s="240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</row>
    <row r="1012" spans="1:34" ht="13.5" thickBot="1" x14ac:dyDescent="0.25">
      <c r="A1012" s="8" t="s">
        <v>1693</v>
      </c>
      <c r="B1012" s="225"/>
      <c r="C1012" s="224"/>
      <c r="D1012" s="224"/>
      <c r="E1012" s="224"/>
      <c r="F1012" s="224"/>
      <c r="G1012" s="224"/>
      <c r="H1012" s="224"/>
      <c r="I1012" s="224"/>
      <c r="J1012" s="224"/>
      <c r="K1012" s="224"/>
      <c r="L1012" s="226"/>
      <c r="M1012" s="224"/>
      <c r="N1012" s="224"/>
      <c r="O1012" s="224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</row>
    <row r="1013" spans="1:34" ht="15" customHeight="1" x14ac:dyDescent="0.2">
      <c r="A1013" s="2844" t="s">
        <v>327</v>
      </c>
      <c r="B1013" s="2847" t="s">
        <v>1932</v>
      </c>
      <c r="C1013" s="2848"/>
      <c r="D1013" s="2848"/>
      <c r="E1013" s="2848"/>
      <c r="F1013" s="2848"/>
      <c r="G1013" s="2848"/>
      <c r="H1013" s="2848"/>
      <c r="I1013" s="2848"/>
      <c r="J1013" s="2848"/>
      <c r="K1013" s="2848"/>
      <c r="L1013" s="2848"/>
      <c r="M1013" s="2848"/>
      <c r="N1013" s="2848"/>
      <c r="O1013" s="284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228" t="s">
        <v>910</v>
      </c>
      <c r="AD1013" s="229"/>
      <c r="AE1013" s="229"/>
      <c r="AF1013" s="229"/>
      <c r="AG1013" s="229"/>
      <c r="AH1013" s="243"/>
    </row>
    <row r="1014" spans="1:34" ht="15" customHeight="1" x14ac:dyDescent="0.2">
      <c r="A1014" s="2845"/>
      <c r="B1014" s="2850" t="s">
        <v>191</v>
      </c>
      <c r="C1014" s="2850"/>
      <c r="D1014" s="2850"/>
      <c r="E1014" s="2850"/>
      <c r="F1014" s="2850"/>
      <c r="G1014" s="2850"/>
      <c r="H1014" s="2850"/>
      <c r="I1014" s="2850"/>
      <c r="J1014" s="2119"/>
      <c r="K1014" s="2119" t="s">
        <v>904</v>
      </c>
      <c r="L1014" s="2119"/>
      <c r="M1014" s="1122" t="s">
        <v>437</v>
      </c>
      <c r="N1014" s="1122" t="s">
        <v>911</v>
      </c>
      <c r="O1014" s="1127" t="s">
        <v>911</v>
      </c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230" t="s">
        <v>333</v>
      </c>
      <c r="AD1014" s="231" t="s">
        <v>333</v>
      </c>
      <c r="AE1014" s="231" t="s">
        <v>333</v>
      </c>
      <c r="AF1014" s="231" t="s">
        <v>333</v>
      </c>
      <c r="AG1014" s="231" t="s">
        <v>333</v>
      </c>
      <c r="AH1014" s="231" t="s">
        <v>333</v>
      </c>
    </row>
    <row r="1015" spans="1:34" ht="15" customHeight="1" x14ac:dyDescent="0.2">
      <c r="A1015" s="2845"/>
      <c r="B1015" s="2119" t="s">
        <v>433</v>
      </c>
      <c r="C1015" s="2119"/>
      <c r="D1015" s="2841" t="s">
        <v>1865</v>
      </c>
      <c r="E1015" s="2119"/>
      <c r="F1015" s="2119"/>
      <c r="G1015" s="2119" t="s">
        <v>912</v>
      </c>
      <c r="H1015" s="2119"/>
      <c r="I1015" s="2119" t="s">
        <v>433</v>
      </c>
      <c r="J1015" s="2138" t="s">
        <v>913</v>
      </c>
      <c r="K1015" s="2138" t="s">
        <v>842</v>
      </c>
      <c r="L1015" s="2138" t="s">
        <v>329</v>
      </c>
      <c r="M1015" s="1123" t="s">
        <v>914</v>
      </c>
      <c r="N1015" s="1123" t="s">
        <v>915</v>
      </c>
      <c r="O1015" s="1128" t="s">
        <v>914</v>
      </c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230" t="s">
        <v>913</v>
      </c>
      <c r="AD1015" s="231" t="s">
        <v>916</v>
      </c>
      <c r="AE1015" s="231" t="s">
        <v>917</v>
      </c>
      <c r="AF1015" s="231" t="s">
        <v>918</v>
      </c>
      <c r="AG1015" s="231" t="s">
        <v>192</v>
      </c>
      <c r="AH1015" s="231" t="s">
        <v>918</v>
      </c>
    </row>
    <row r="1016" spans="1:34" ht="15" customHeight="1" x14ac:dyDescent="0.2">
      <c r="A1016" s="2845"/>
      <c r="B1016" s="2138" t="s">
        <v>920</v>
      </c>
      <c r="C1016" s="2138" t="s">
        <v>922</v>
      </c>
      <c r="D1016" s="2842"/>
      <c r="E1016" s="2138" t="s">
        <v>867</v>
      </c>
      <c r="F1016" s="2138" t="s">
        <v>921</v>
      </c>
      <c r="G1016" s="2138" t="s">
        <v>923</v>
      </c>
      <c r="H1016" s="2138" t="s">
        <v>836</v>
      </c>
      <c r="I1016" s="2138" t="s">
        <v>835</v>
      </c>
      <c r="J1016" s="2138" t="s">
        <v>924</v>
      </c>
      <c r="K1016" s="2138" t="s">
        <v>925</v>
      </c>
      <c r="L1016" s="2138" t="s">
        <v>336</v>
      </c>
      <c r="M1016" s="1123" t="s">
        <v>926</v>
      </c>
      <c r="N1016" s="1123" t="s">
        <v>927</v>
      </c>
      <c r="O1016" s="1128" t="s">
        <v>928</v>
      </c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230"/>
      <c r="AD1016" s="231" t="s">
        <v>843</v>
      </c>
      <c r="AE1016" s="231"/>
      <c r="AF1016" s="231" t="s">
        <v>929</v>
      </c>
      <c r="AG1016" s="231"/>
      <c r="AH1016" s="231" t="s">
        <v>930</v>
      </c>
    </row>
    <row r="1017" spans="1:34" ht="15" customHeight="1" thickBot="1" x14ac:dyDescent="0.25">
      <c r="A1017" s="2846"/>
      <c r="B1017" s="1881">
        <v>44926</v>
      </c>
      <c r="C1017" s="2139">
        <v>2023</v>
      </c>
      <c r="D1017" s="2139">
        <v>2023</v>
      </c>
      <c r="E1017" s="2139">
        <v>2023</v>
      </c>
      <c r="F1017" s="2139">
        <v>2023</v>
      </c>
      <c r="G1017" s="2139" t="s">
        <v>931</v>
      </c>
      <c r="H1017" s="1126">
        <v>2023</v>
      </c>
      <c r="I1017" s="1881">
        <v>45291</v>
      </c>
      <c r="J1017" s="1881" t="s">
        <v>1933</v>
      </c>
      <c r="K1017" s="1881" t="s">
        <v>1933</v>
      </c>
      <c r="L1017" s="2139" t="s">
        <v>441</v>
      </c>
      <c r="M1017" s="1125" t="s">
        <v>932</v>
      </c>
      <c r="N1017" s="1125" t="s">
        <v>933</v>
      </c>
      <c r="O1017" s="1129" t="s">
        <v>933</v>
      </c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232"/>
      <c r="AD1017" s="233" t="s">
        <v>934</v>
      </c>
      <c r="AE1017" s="233"/>
      <c r="AF1017" s="233" t="s">
        <v>935</v>
      </c>
      <c r="AG1017" s="233"/>
      <c r="AH1017" s="233" t="s">
        <v>936</v>
      </c>
    </row>
    <row r="1018" spans="1:34" ht="15" customHeight="1" x14ac:dyDescent="0.2">
      <c r="A1018" s="1135" t="s">
        <v>352</v>
      </c>
      <c r="B1018" s="1130">
        <v>321.8</v>
      </c>
      <c r="C1018" s="1130">
        <v>34.5</v>
      </c>
      <c r="D1018" s="1130">
        <v>1.5</v>
      </c>
      <c r="E1018" s="1130">
        <v>6</v>
      </c>
      <c r="F1018" s="1130">
        <v>16</v>
      </c>
      <c r="G1018" s="1130">
        <v>5</v>
      </c>
      <c r="H1018" s="1130">
        <v>293.3</v>
      </c>
      <c r="I1018" s="1130">
        <v>334.3</v>
      </c>
      <c r="J1018" s="1136">
        <v>2087.6</v>
      </c>
      <c r="K1018" s="1535">
        <v>7.11762700306853</v>
      </c>
      <c r="L1018" s="380"/>
      <c r="M1018" s="1138"/>
      <c r="N1018" s="1138"/>
      <c r="O1018" s="113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1155"/>
      <c r="AD1018" s="1156"/>
      <c r="AE1018" s="1156"/>
      <c r="AF1018" s="1156"/>
      <c r="AG1018" s="1156"/>
      <c r="AH1018" s="1156"/>
    </row>
    <row r="1019" spans="1:34" ht="15" customHeight="1" x14ac:dyDescent="0.2">
      <c r="A1019" s="962" t="s">
        <v>353</v>
      </c>
      <c r="B1019" s="1498">
        <v>32.5</v>
      </c>
      <c r="C1019" s="1146"/>
      <c r="D1019" s="1146"/>
      <c r="E1019" s="1146"/>
      <c r="F1019" s="1146">
        <v>3</v>
      </c>
      <c r="G1019" s="1146"/>
      <c r="H1019" s="1146">
        <v>29.5</v>
      </c>
      <c r="I1019" s="1146">
        <v>29.5</v>
      </c>
      <c r="J1019" s="1147">
        <v>265.5</v>
      </c>
      <c r="K1019" s="1147">
        <v>9</v>
      </c>
      <c r="L1019" s="1066" t="s">
        <v>988</v>
      </c>
      <c r="M1019" s="1922">
        <v>2550000</v>
      </c>
      <c r="N1019" s="959">
        <v>22070600.904319998</v>
      </c>
      <c r="O1019" s="1149">
        <v>11988502.798764002</v>
      </c>
      <c r="P1019" s="950"/>
      <c r="Q1019" s="950"/>
      <c r="R1019" s="950"/>
      <c r="S1019" s="950"/>
      <c r="T1019" s="950"/>
      <c r="U1019" s="950"/>
      <c r="V1019" s="950"/>
      <c r="W1019" s="950"/>
      <c r="X1019" s="950"/>
      <c r="Y1019" s="950"/>
      <c r="Z1019" s="9"/>
      <c r="AA1019" s="9"/>
      <c r="AB1019" s="9"/>
      <c r="AC1019" s="237">
        <f>MAX(J1019/J1059)</f>
        <v>2.7370851846888176E-2</v>
      </c>
      <c r="AD1019" s="235">
        <f t="shared" ref="AD1019:AD1033" si="190">MAX(M1019*AC1019)</f>
        <v>69795.672209564844</v>
      </c>
      <c r="AE1019" s="238">
        <f>MAX(I1019/I1059)</f>
        <v>1.7932585635694963E-2</v>
      </c>
      <c r="AF1019" s="235">
        <f t="shared" ref="AF1019:AF1033" si="191">MAX(N1019*AE1019)</f>
        <v>395782.94074796507</v>
      </c>
      <c r="AG1019" s="238">
        <f>MAX(H1019/H1059)</f>
        <v>2.0535310292019073E-2</v>
      </c>
      <c r="AH1019" s="235">
        <f t="shared" ref="AH1019:AH1033" si="192">MAX(O1019*AG1019)</f>
        <v>246187.62490935787</v>
      </c>
    </row>
    <row r="1020" spans="1:34" ht="15" customHeight="1" x14ac:dyDescent="0.2">
      <c r="A1020" s="962" t="s">
        <v>354</v>
      </c>
      <c r="B1020" s="1498">
        <v>0</v>
      </c>
      <c r="C1020" s="1146"/>
      <c r="D1020" s="1146"/>
      <c r="E1020" s="1146"/>
      <c r="F1020" s="1146"/>
      <c r="G1020" s="1146"/>
      <c r="H1020" s="1146">
        <v>0</v>
      </c>
      <c r="I1020" s="1146">
        <v>0</v>
      </c>
      <c r="J1020" s="1147">
        <v>0</v>
      </c>
      <c r="K1020" s="1147"/>
      <c r="L1020" s="1148"/>
      <c r="M1020" s="1922"/>
      <c r="N1020" s="959"/>
      <c r="O1020" s="1149"/>
      <c r="V1020" s="950"/>
      <c r="W1020" s="950"/>
      <c r="X1020" s="950"/>
      <c r="Y1020" s="950"/>
      <c r="Z1020" s="9"/>
      <c r="AA1020" s="9"/>
      <c r="AB1020" s="9"/>
      <c r="AC1020" s="237">
        <f>MAX(J1020/J1059)</f>
        <v>0</v>
      </c>
      <c r="AD1020" s="235">
        <f t="shared" si="190"/>
        <v>0</v>
      </c>
      <c r="AE1020" s="238">
        <f>MAX(I1020/I1059)</f>
        <v>0</v>
      </c>
      <c r="AF1020" s="235">
        <f t="shared" si="191"/>
        <v>0</v>
      </c>
      <c r="AG1020" s="238">
        <f>MAX(H1020/H1059)</f>
        <v>0</v>
      </c>
      <c r="AH1020" s="235">
        <f t="shared" si="192"/>
        <v>0</v>
      </c>
    </row>
    <row r="1021" spans="1:34" ht="15" customHeight="1" x14ac:dyDescent="0.2">
      <c r="A1021" s="962" t="s">
        <v>355</v>
      </c>
      <c r="B1021" s="1498">
        <v>125.5</v>
      </c>
      <c r="C1021" s="1146">
        <v>20</v>
      </c>
      <c r="D1021" s="1146"/>
      <c r="E1021" s="1146"/>
      <c r="F1021" s="1146"/>
      <c r="G1021" s="1146"/>
      <c r="H1021" s="1146">
        <v>125.5</v>
      </c>
      <c r="I1021" s="1146">
        <v>145.5</v>
      </c>
      <c r="J1021" s="1147">
        <v>753</v>
      </c>
      <c r="K1021" s="1147">
        <v>6</v>
      </c>
      <c r="L1021" s="1066" t="s">
        <v>988</v>
      </c>
      <c r="M1021" s="1922">
        <v>2550000</v>
      </c>
      <c r="N1021" s="959">
        <v>22070600.904319998</v>
      </c>
      <c r="O1021" s="1149">
        <v>11988502.798764002</v>
      </c>
      <c r="P1021" s="950"/>
      <c r="Q1021" s="950"/>
      <c r="R1021" s="950"/>
      <c r="S1021" s="950"/>
      <c r="T1021" s="950"/>
      <c r="U1021" s="950"/>
      <c r="V1021" s="9"/>
      <c r="W1021" s="9"/>
      <c r="X1021" s="9"/>
      <c r="Y1021" s="9"/>
      <c r="Z1021" s="9"/>
      <c r="AA1021" s="9"/>
      <c r="AB1021" s="9"/>
      <c r="AC1021" s="237">
        <f>MAX(J1021/J1059)</f>
        <v>7.7628065690044434E-2</v>
      </c>
      <c r="AD1021" s="235">
        <f t="shared" si="190"/>
        <v>197951.56750961332</v>
      </c>
      <c r="AE1021" s="238">
        <f>MAX(I1021/I1059)</f>
        <v>8.8447159660800578E-2</v>
      </c>
      <c r="AF1021" s="235">
        <f t="shared" si="191"/>
        <v>1952081.9619942005</v>
      </c>
      <c r="AG1021" s="238">
        <f>MAX(H1021/H1059)</f>
        <v>8.7362082767742169E-2</v>
      </c>
      <c r="AH1021" s="235">
        <f t="shared" si="192"/>
        <v>1047340.5737669293</v>
      </c>
    </row>
    <row r="1022" spans="1:34" ht="15" customHeight="1" x14ac:dyDescent="0.2">
      <c r="A1022" s="962" t="s">
        <v>356</v>
      </c>
      <c r="B1022" s="1498">
        <v>7</v>
      </c>
      <c r="C1022" s="1146"/>
      <c r="D1022" s="1146"/>
      <c r="E1022" s="1146"/>
      <c r="F1022" s="1146"/>
      <c r="G1022" s="1146"/>
      <c r="H1022" s="1146">
        <v>7</v>
      </c>
      <c r="I1022" s="1146">
        <v>7</v>
      </c>
      <c r="J1022" s="1147">
        <v>42</v>
      </c>
      <c r="K1022" s="1147">
        <v>6</v>
      </c>
      <c r="L1022" s="1066" t="s">
        <v>988</v>
      </c>
      <c r="M1022" s="1922">
        <v>2550000</v>
      </c>
      <c r="N1022" s="959">
        <v>22070600.904319998</v>
      </c>
      <c r="O1022" s="1149">
        <v>11988502.798764002</v>
      </c>
      <c r="P1022" s="950"/>
      <c r="Q1022" s="950"/>
      <c r="R1022" s="950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237">
        <f>MAX(J1022/J1059)</f>
        <v>4.3298522695642315E-3</v>
      </c>
      <c r="AD1022" s="235">
        <f t="shared" si="190"/>
        <v>11041.123287388791</v>
      </c>
      <c r="AE1022" s="238">
        <f>MAX(I1022/I1059)</f>
        <v>4.2551898118598211E-3</v>
      </c>
      <c r="AF1022" s="235">
        <f t="shared" si="191"/>
        <v>93914.596109686609</v>
      </c>
      <c r="AG1022" s="238">
        <f>MAX(H1022/H1059)</f>
        <v>4.8727854930214753E-3</v>
      </c>
      <c r="AH1022" s="235">
        <f t="shared" si="192"/>
        <v>58417.402520864583</v>
      </c>
    </row>
    <row r="1023" spans="1:34" ht="15" customHeight="1" x14ac:dyDescent="0.2">
      <c r="A1023" s="962" t="s">
        <v>357</v>
      </c>
      <c r="B1023" s="1498">
        <v>43</v>
      </c>
      <c r="C1023" s="1146">
        <v>0</v>
      </c>
      <c r="D1023" s="1146">
        <v>0</v>
      </c>
      <c r="E1023" s="1146">
        <v>0</v>
      </c>
      <c r="F1023" s="1146">
        <v>0</v>
      </c>
      <c r="G1023" s="1146">
        <v>0</v>
      </c>
      <c r="H1023" s="1146">
        <v>43</v>
      </c>
      <c r="I1023" s="1146">
        <v>43</v>
      </c>
      <c r="J1023" s="1147">
        <v>387</v>
      </c>
      <c r="K1023" s="1147">
        <v>9</v>
      </c>
      <c r="L1023" s="1066" t="s">
        <v>988</v>
      </c>
      <c r="M1023" s="1922">
        <v>2550000</v>
      </c>
      <c r="N1023" s="959">
        <v>22070600.904319998</v>
      </c>
      <c r="O1023" s="1149">
        <v>11988502.798764002</v>
      </c>
      <c r="P1023" s="9"/>
      <c r="Q1023" s="2005"/>
      <c r="R1023" s="9"/>
      <c r="S1023" s="9"/>
      <c r="T1023" s="9"/>
      <c r="U1023" s="9"/>
      <c r="V1023" s="9"/>
      <c r="Y1023" s="9"/>
      <c r="Z1023" s="9"/>
      <c r="AA1023" s="9"/>
      <c r="AB1023" s="9"/>
      <c r="AC1023" s="237">
        <f>MAX(J1023/J1059)</f>
        <v>3.9896495912413274E-2</v>
      </c>
      <c r="AD1023" s="235">
        <f t="shared" si="190"/>
        <v>101736.06457665385</v>
      </c>
      <c r="AE1023" s="238">
        <f>MAX(I1023/I1059)</f>
        <v>2.6139023129996046E-2</v>
      </c>
      <c r="AF1023" s="235">
        <f t="shared" si="191"/>
        <v>576903.94753093203</v>
      </c>
      <c r="AG1023" s="238">
        <f>MAX(H1023/H1059)</f>
        <v>2.9932825171417633E-2</v>
      </c>
      <c r="AH1023" s="235">
        <f t="shared" si="192"/>
        <v>358849.75834245386</v>
      </c>
    </row>
    <row r="1024" spans="1:34" ht="15" customHeight="1" x14ac:dyDescent="0.2">
      <c r="A1024" s="962" t="s">
        <v>358</v>
      </c>
      <c r="B1024" s="1498">
        <v>7</v>
      </c>
      <c r="C1024" s="1146">
        <v>0</v>
      </c>
      <c r="D1024" s="1146">
        <v>0</v>
      </c>
      <c r="E1024" s="1146">
        <v>0</v>
      </c>
      <c r="F1024" s="1146">
        <v>0</v>
      </c>
      <c r="G1024" s="1146">
        <v>0</v>
      </c>
      <c r="H1024" s="1146">
        <v>7</v>
      </c>
      <c r="I1024" s="1146">
        <v>7</v>
      </c>
      <c r="J1024" s="1147">
        <v>42</v>
      </c>
      <c r="K1024" s="1147">
        <v>6</v>
      </c>
      <c r="L1024" s="1066" t="s">
        <v>988</v>
      </c>
      <c r="M1024" s="1922">
        <v>2550000</v>
      </c>
      <c r="N1024" s="959">
        <v>22070600.904319998</v>
      </c>
      <c r="O1024" s="1149">
        <v>11988502.798764002</v>
      </c>
      <c r="P1024" s="950"/>
      <c r="Q1024" s="950"/>
      <c r="R1024" s="950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237">
        <f>MAX(J1024/J1059)</f>
        <v>4.3298522695642315E-3</v>
      </c>
      <c r="AD1024" s="235">
        <f t="shared" si="190"/>
        <v>11041.123287388791</v>
      </c>
      <c r="AE1024" s="238">
        <f>MAX(I1024/I1059)</f>
        <v>4.2551898118598211E-3</v>
      </c>
      <c r="AF1024" s="235">
        <f t="shared" si="191"/>
        <v>93914.596109686609</v>
      </c>
      <c r="AG1024" s="238">
        <f>MAX(H1024/H1059)</f>
        <v>4.8727854930214753E-3</v>
      </c>
      <c r="AH1024" s="235">
        <f t="shared" si="192"/>
        <v>58417.402520864583</v>
      </c>
    </row>
    <row r="1025" spans="1:34" ht="15" customHeight="1" x14ac:dyDescent="0.2">
      <c r="A1025" s="962" t="s">
        <v>937</v>
      </c>
      <c r="B1025" s="1498">
        <v>54.5</v>
      </c>
      <c r="C1025" s="1146">
        <v>7</v>
      </c>
      <c r="D1025" s="1146">
        <v>0</v>
      </c>
      <c r="E1025" s="1146">
        <v>4</v>
      </c>
      <c r="F1025" s="1146">
        <v>8</v>
      </c>
      <c r="G1025" s="1146">
        <v>3</v>
      </c>
      <c r="H1025" s="1146">
        <v>39.5</v>
      </c>
      <c r="I1025" s="1146">
        <v>49.5</v>
      </c>
      <c r="J1025" s="1147">
        <v>316</v>
      </c>
      <c r="K1025" s="1147">
        <v>8</v>
      </c>
      <c r="L1025" s="1066" t="s">
        <v>988</v>
      </c>
      <c r="M1025" s="1922">
        <v>2550000</v>
      </c>
      <c r="N1025" s="959">
        <v>22070600.904319998</v>
      </c>
      <c r="O1025" s="1149">
        <v>11988502.798764002</v>
      </c>
      <c r="P1025" s="950"/>
      <c r="Q1025" s="950"/>
      <c r="R1025" s="950"/>
      <c r="S1025" s="9"/>
      <c r="T1025" s="9"/>
      <c r="U1025" s="9"/>
      <c r="W1025" s="9"/>
      <c r="X1025" s="9"/>
      <c r="Y1025" s="9"/>
      <c r="Z1025" s="9"/>
      <c r="AA1025" s="9"/>
      <c r="AB1025" s="9"/>
      <c r="AC1025" s="237">
        <f>MAX(J1025/J1059)</f>
        <v>3.2576983742435645E-2</v>
      </c>
      <c r="AD1025" s="235">
        <f t="shared" si="190"/>
        <v>83071.308543210893</v>
      </c>
      <c r="AE1025" s="238">
        <f>MAX(I1025/I1059)</f>
        <v>3.0090270812437307E-2</v>
      </c>
      <c r="AF1025" s="235">
        <f t="shared" si="191"/>
        <v>664110.35820421251</v>
      </c>
      <c r="AG1025" s="238">
        <f>MAX(H1025/H1059)</f>
        <v>2.7496432424906896E-2</v>
      </c>
      <c r="AH1025" s="235">
        <f t="shared" si="192"/>
        <v>329641.05708202155</v>
      </c>
    </row>
    <row r="1026" spans="1:34" ht="15" customHeight="1" x14ac:dyDescent="0.2">
      <c r="A1026" s="962" t="s">
        <v>360</v>
      </c>
      <c r="B1026" s="1498">
        <v>18.3</v>
      </c>
      <c r="C1026" s="1146">
        <v>0</v>
      </c>
      <c r="D1026" s="1146">
        <v>0</v>
      </c>
      <c r="E1026" s="1146">
        <v>0</v>
      </c>
      <c r="F1026" s="1146">
        <v>0</v>
      </c>
      <c r="G1026" s="1146">
        <v>0</v>
      </c>
      <c r="H1026" s="1146">
        <v>18.3</v>
      </c>
      <c r="I1026" s="1146">
        <v>18.3</v>
      </c>
      <c r="J1026" s="1147">
        <v>128.1</v>
      </c>
      <c r="K1026" s="1147">
        <v>7</v>
      </c>
      <c r="L1026" s="1066" t="s">
        <v>988</v>
      </c>
      <c r="M1026" s="1922">
        <v>2550000</v>
      </c>
      <c r="N1026" s="959">
        <v>22070600.904319998</v>
      </c>
      <c r="O1026" s="1149">
        <v>11988502.798764002</v>
      </c>
      <c r="P1026" s="950"/>
      <c r="Q1026" s="950"/>
      <c r="R1026" s="950"/>
      <c r="V1026" s="9"/>
      <c r="W1026" s="9"/>
      <c r="X1026" s="9"/>
      <c r="Y1026" s="9"/>
      <c r="Z1026" s="9"/>
      <c r="AA1026" s="9"/>
      <c r="AB1026" s="9"/>
      <c r="AC1026" s="237">
        <f>MAX(J1026/J1059)</f>
        <v>1.3206049422170905E-2</v>
      </c>
      <c r="AD1026" s="235">
        <f t="shared" si="190"/>
        <v>33675.42602653581</v>
      </c>
      <c r="AE1026" s="238">
        <f>MAX(I1026/I1059)</f>
        <v>1.1124281936719247E-2</v>
      </c>
      <c r="AF1026" s="235">
        <f t="shared" si="191"/>
        <v>245519.58697246644</v>
      </c>
      <c r="AG1026" s="238">
        <f>MAX(H1026/H1059)</f>
        <v>1.2738853503184714E-2</v>
      </c>
      <c r="AH1026" s="235">
        <f t="shared" si="192"/>
        <v>152719.78087597454</v>
      </c>
    </row>
    <row r="1027" spans="1:34" ht="15" customHeight="1" x14ac:dyDescent="0.2">
      <c r="A1027" s="962" t="s">
        <v>938</v>
      </c>
      <c r="B1027" s="1498">
        <v>19</v>
      </c>
      <c r="C1027" s="1146">
        <v>0</v>
      </c>
      <c r="D1027" s="1146">
        <v>0</v>
      </c>
      <c r="E1027" s="1146">
        <v>2</v>
      </c>
      <c r="F1027" s="1146">
        <v>3</v>
      </c>
      <c r="G1027" s="1146">
        <v>0</v>
      </c>
      <c r="H1027" s="1146">
        <v>14</v>
      </c>
      <c r="I1027" s="1146">
        <v>14</v>
      </c>
      <c r="J1027" s="1147">
        <v>91</v>
      </c>
      <c r="K1027" s="1147">
        <v>6.5</v>
      </c>
      <c r="L1027" s="1066" t="s">
        <v>988</v>
      </c>
      <c r="M1027" s="1922">
        <v>2550000</v>
      </c>
      <c r="N1027" s="959">
        <v>22070600.904319998</v>
      </c>
      <c r="O1027" s="1149">
        <v>11988502.798764002</v>
      </c>
      <c r="P1027" s="950"/>
      <c r="Q1027" s="950"/>
      <c r="R1027" s="950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237">
        <f>MAX(J1027/J1059)</f>
        <v>9.3813465840558337E-3</v>
      </c>
      <c r="AD1027" s="235">
        <f t="shared" si="190"/>
        <v>23922.433789342376</v>
      </c>
      <c r="AE1027" s="238">
        <f>MAX(I1027/I1059)</f>
        <v>8.5103796237196421E-3</v>
      </c>
      <c r="AF1027" s="235">
        <f t="shared" si="191"/>
        <v>187829.19221937322</v>
      </c>
      <c r="AG1027" s="238">
        <f>MAX(H1027/H1059)</f>
        <v>9.7455709860429507E-3</v>
      </c>
      <c r="AH1027" s="235">
        <f t="shared" si="192"/>
        <v>116834.80504172917</v>
      </c>
    </row>
    <row r="1028" spans="1:34" ht="15" customHeight="1" x14ac:dyDescent="0.2">
      <c r="A1028" s="962" t="s">
        <v>362</v>
      </c>
      <c r="B1028" s="1498">
        <v>7.5</v>
      </c>
      <c r="C1028" s="1146">
        <v>0.5</v>
      </c>
      <c r="D1028" s="1146">
        <v>0.5</v>
      </c>
      <c r="E1028" s="1146">
        <v>0</v>
      </c>
      <c r="F1028" s="1146">
        <v>1</v>
      </c>
      <c r="G1028" s="1146">
        <v>0</v>
      </c>
      <c r="H1028" s="1146">
        <v>6</v>
      </c>
      <c r="I1028" s="1146">
        <v>7</v>
      </c>
      <c r="J1028" s="1147">
        <v>36</v>
      </c>
      <c r="K1028" s="1147">
        <v>6</v>
      </c>
      <c r="L1028" s="1066" t="s">
        <v>988</v>
      </c>
      <c r="M1028" s="1922">
        <v>2550000</v>
      </c>
      <c r="N1028" s="959">
        <v>22070600.904319998</v>
      </c>
      <c r="O1028" s="1149">
        <v>11988502.798764002</v>
      </c>
      <c r="P1028" s="950"/>
      <c r="Q1028" s="950"/>
      <c r="R1028" s="950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237">
        <f>MAX(J1028/J1059)</f>
        <v>3.7113019453407694E-3</v>
      </c>
      <c r="AD1028" s="235">
        <f t="shared" si="190"/>
        <v>9463.8199606189628</v>
      </c>
      <c r="AE1028" s="238">
        <f>MAX(I1028/I1059)</f>
        <v>4.2551898118598211E-3</v>
      </c>
      <c r="AF1028" s="235">
        <f t="shared" si="191"/>
        <v>93914.596109686609</v>
      </c>
      <c r="AG1028" s="238">
        <f>MAX(H1028/H1059)</f>
        <v>4.1766732797326933E-3</v>
      </c>
      <c r="AH1028" s="235">
        <f t="shared" si="192"/>
        <v>50072.059303598217</v>
      </c>
    </row>
    <row r="1029" spans="1:34" ht="15" customHeight="1" x14ac:dyDescent="0.2">
      <c r="A1029" s="962" t="s">
        <v>363</v>
      </c>
      <c r="B1029" s="1498">
        <v>1</v>
      </c>
      <c r="C1029" s="1146">
        <v>3</v>
      </c>
      <c r="D1029" s="1146">
        <v>0</v>
      </c>
      <c r="E1029" s="1146">
        <v>0</v>
      </c>
      <c r="F1029" s="1146">
        <v>0</v>
      </c>
      <c r="G1029" s="1146">
        <v>0</v>
      </c>
      <c r="H1029" s="1146">
        <v>1</v>
      </c>
      <c r="I1029" s="1146">
        <v>4</v>
      </c>
      <c r="J1029" s="1147">
        <v>6</v>
      </c>
      <c r="K1029" s="1147">
        <v>6</v>
      </c>
      <c r="L1029" s="1066" t="s">
        <v>988</v>
      </c>
      <c r="M1029" s="1922">
        <v>2550000</v>
      </c>
      <c r="N1029" s="959">
        <v>22070600.904319998</v>
      </c>
      <c r="O1029" s="1149">
        <v>11988502.798764002</v>
      </c>
      <c r="P1029" s="950"/>
      <c r="Q1029" s="950"/>
      <c r="R1029" s="950"/>
      <c r="S1029" s="9"/>
      <c r="T1029" s="9"/>
      <c r="U1029" s="9"/>
      <c r="V1029" s="9"/>
      <c r="W1029" s="9"/>
      <c r="X1029" s="9"/>
      <c r="Y1029" s="9"/>
      <c r="Z1029" s="9"/>
      <c r="AA1029" s="9"/>
      <c r="AB1029" s="1966"/>
      <c r="AC1029" s="237">
        <f>MAX(J1029/J1059)</f>
        <v>6.185503242234616E-4</v>
      </c>
      <c r="AD1029" s="235">
        <f t="shared" si="190"/>
        <v>1577.303326769827</v>
      </c>
      <c r="AE1029" s="238">
        <f>MAX(I1029/I1059)</f>
        <v>2.4315370353484695E-3</v>
      </c>
      <c r="AF1029" s="235">
        <f t="shared" si="191"/>
        <v>53665.483491249499</v>
      </c>
      <c r="AG1029" s="238">
        <f>MAX(H1029/H1059)</f>
        <v>6.9611221328878218E-4</v>
      </c>
      <c r="AH1029" s="235">
        <f t="shared" si="192"/>
        <v>8345.3432172663688</v>
      </c>
    </row>
    <row r="1030" spans="1:34" ht="15" customHeight="1" x14ac:dyDescent="0.2">
      <c r="A1030" s="962" t="s">
        <v>939</v>
      </c>
      <c r="B1030" s="1498">
        <v>2</v>
      </c>
      <c r="C1030" s="1146">
        <v>0</v>
      </c>
      <c r="D1030" s="1146">
        <v>0</v>
      </c>
      <c r="E1030" s="1146">
        <v>0</v>
      </c>
      <c r="F1030" s="1146">
        <v>1</v>
      </c>
      <c r="G1030" s="1146">
        <v>0</v>
      </c>
      <c r="H1030" s="1146">
        <v>1</v>
      </c>
      <c r="I1030" s="1146">
        <v>1</v>
      </c>
      <c r="J1030" s="1147">
        <v>7.5</v>
      </c>
      <c r="K1030" s="1147">
        <v>7.5</v>
      </c>
      <c r="L1030" s="1066" t="s">
        <v>988</v>
      </c>
      <c r="M1030" s="1922">
        <v>2550000</v>
      </c>
      <c r="N1030" s="959">
        <v>22070600.904319998</v>
      </c>
      <c r="O1030" s="1149">
        <v>11988502.798764002</v>
      </c>
      <c r="P1030" s="950"/>
      <c r="Q1030" s="950"/>
      <c r="R1030" s="950"/>
      <c r="S1030" s="9"/>
      <c r="T1030" s="9"/>
      <c r="U1030" s="9"/>
      <c r="V1030" s="9"/>
      <c r="W1030" s="9"/>
      <c r="X1030" s="9"/>
      <c r="Y1030" s="9"/>
      <c r="Z1030" s="9"/>
      <c r="AA1030" s="9"/>
      <c r="AB1030" s="1966"/>
      <c r="AC1030" s="237">
        <f>MAX(J1030/J1059)</f>
        <v>7.7318790527932703E-4</v>
      </c>
      <c r="AD1030" s="235">
        <f t="shared" si="190"/>
        <v>1971.6291584622838</v>
      </c>
      <c r="AE1030" s="238">
        <f>MAX(I1030/I1059)</f>
        <v>6.0788425883711737E-4</v>
      </c>
      <c r="AF1030" s="235">
        <f t="shared" si="191"/>
        <v>13416.370872812375</v>
      </c>
      <c r="AG1030" s="238">
        <f>MAX(H1030/H1059)</f>
        <v>6.9611221328878218E-4</v>
      </c>
      <c r="AH1030" s="235">
        <f t="shared" si="192"/>
        <v>8345.3432172663688</v>
      </c>
    </row>
    <row r="1031" spans="1:34" ht="15" customHeight="1" x14ac:dyDescent="0.2">
      <c r="A1031" s="962" t="s">
        <v>365</v>
      </c>
      <c r="B1031" s="1498">
        <v>4.5</v>
      </c>
      <c r="C1031" s="1146">
        <v>4</v>
      </c>
      <c r="D1031" s="1146">
        <v>1</v>
      </c>
      <c r="E1031" s="1146">
        <v>0</v>
      </c>
      <c r="F1031" s="1146">
        <v>0</v>
      </c>
      <c r="G1031" s="1146">
        <v>2</v>
      </c>
      <c r="H1031" s="1146">
        <v>1.5</v>
      </c>
      <c r="I1031" s="1146">
        <v>8.5</v>
      </c>
      <c r="J1031" s="1147">
        <v>13.5</v>
      </c>
      <c r="K1031" s="1147">
        <v>9</v>
      </c>
      <c r="L1031" s="1066" t="s">
        <v>988</v>
      </c>
      <c r="M1031" s="1922">
        <v>2550000</v>
      </c>
      <c r="N1031" s="959">
        <v>22070600.904319998</v>
      </c>
      <c r="O1031" s="1149">
        <v>11988502.798764002</v>
      </c>
      <c r="P1031" s="950"/>
      <c r="Q1031" s="950"/>
      <c r="R1031" s="950"/>
      <c r="S1031" s="9"/>
      <c r="T1031" s="9"/>
      <c r="U1031" s="9"/>
      <c r="V1031" s="9"/>
      <c r="W1031" s="9"/>
      <c r="X1031" s="9"/>
      <c r="Y1031" s="9"/>
      <c r="Z1031" s="9"/>
      <c r="AA1031" s="9"/>
      <c r="AB1031" s="1966"/>
      <c r="AC1031" s="237">
        <f>MAX(J1031/J1059)</f>
        <v>1.3917382295027885E-3</v>
      </c>
      <c r="AD1031" s="235">
        <f t="shared" si="190"/>
        <v>3548.9324852321106</v>
      </c>
      <c r="AE1031" s="238">
        <f>MAX(I1031/I1059)</f>
        <v>5.1670162001154971E-3</v>
      </c>
      <c r="AF1031" s="235">
        <f t="shared" si="191"/>
        <v>114039.15241890517</v>
      </c>
      <c r="AG1031" s="238">
        <f>MAX(H1031/H1059)</f>
        <v>1.0441683199331733E-3</v>
      </c>
      <c r="AH1031" s="235">
        <f t="shared" si="192"/>
        <v>12518.014825899554</v>
      </c>
    </row>
    <row r="1032" spans="1:34" ht="15" customHeight="1" x14ac:dyDescent="0.2">
      <c r="A1032" s="962" t="s">
        <v>366</v>
      </c>
      <c r="B1032" s="1498">
        <v>0</v>
      </c>
      <c r="C1032" s="1146"/>
      <c r="D1032" s="1146"/>
      <c r="E1032" s="1146"/>
      <c r="F1032" s="1146"/>
      <c r="G1032" s="1146"/>
      <c r="H1032" s="1146">
        <v>0</v>
      </c>
      <c r="I1032" s="1146">
        <v>0</v>
      </c>
      <c r="J1032" s="1147">
        <v>0</v>
      </c>
      <c r="K1032" s="1147"/>
      <c r="L1032" s="1148"/>
      <c r="M1032" s="1922"/>
      <c r="N1032" s="1533"/>
      <c r="O1032" s="1534"/>
      <c r="V1032" s="9"/>
      <c r="W1032" s="9"/>
      <c r="X1032" s="9"/>
      <c r="Y1032" s="9"/>
      <c r="Z1032" s="9"/>
      <c r="AA1032" s="9"/>
      <c r="AB1032" s="1966"/>
      <c r="AC1032" s="237">
        <f>MAX(J1032/J1059)</f>
        <v>0</v>
      </c>
      <c r="AD1032" s="235">
        <f t="shared" si="190"/>
        <v>0</v>
      </c>
      <c r="AE1032" s="238">
        <f>MAX(I1032/I1059)</f>
        <v>0</v>
      </c>
      <c r="AF1032" s="235">
        <f t="shared" si="191"/>
        <v>0</v>
      </c>
      <c r="AG1032" s="238">
        <f>MAX(H1032/H1059)</f>
        <v>0</v>
      </c>
      <c r="AH1032" s="235">
        <f t="shared" si="192"/>
        <v>0</v>
      </c>
    </row>
    <row r="1033" spans="1:34" ht="15" customHeight="1" x14ac:dyDescent="0.2">
      <c r="A1033" s="962" t="s">
        <v>367</v>
      </c>
      <c r="B1033" s="1498">
        <v>0</v>
      </c>
      <c r="C1033" s="1146"/>
      <c r="D1033" s="1146"/>
      <c r="E1033" s="1146"/>
      <c r="F1033" s="1146"/>
      <c r="G1033" s="1146"/>
      <c r="H1033" s="1146">
        <v>0</v>
      </c>
      <c r="I1033" s="1146">
        <v>0</v>
      </c>
      <c r="J1033" s="1147">
        <v>0</v>
      </c>
      <c r="K1033" s="1147"/>
      <c r="L1033" s="1148"/>
      <c r="M1033" s="1922"/>
      <c r="N1033" s="1533"/>
      <c r="O1033" s="1534"/>
      <c r="V1033" s="9"/>
      <c r="W1033" s="9"/>
      <c r="X1033" s="9"/>
      <c r="Y1033" s="9"/>
      <c r="Z1033" s="9"/>
      <c r="AA1033" s="9"/>
      <c r="AB1033" s="1966"/>
      <c r="AC1033" s="237">
        <f>MAX(J1033/J1059)</f>
        <v>0</v>
      </c>
      <c r="AD1033" s="235">
        <f t="shared" si="190"/>
        <v>0</v>
      </c>
      <c r="AE1033" s="238">
        <f>MAX(I1033/I1059)</f>
        <v>0</v>
      </c>
      <c r="AF1033" s="235">
        <f t="shared" si="191"/>
        <v>0</v>
      </c>
      <c r="AG1033" s="238">
        <f>MAX(H1033/H1059)</f>
        <v>0</v>
      </c>
      <c r="AH1033" s="235">
        <f t="shared" si="192"/>
        <v>0</v>
      </c>
    </row>
    <row r="1034" spans="1:34" ht="15" customHeight="1" x14ac:dyDescent="0.2">
      <c r="A1034" s="434" t="s">
        <v>940</v>
      </c>
      <c r="B1034" s="1002">
        <v>500.5</v>
      </c>
      <c r="C1034" s="1002">
        <v>25.5</v>
      </c>
      <c r="D1034" s="1002">
        <v>0</v>
      </c>
      <c r="E1034" s="1002">
        <v>1</v>
      </c>
      <c r="F1034" s="1002">
        <v>1</v>
      </c>
      <c r="G1034" s="1002">
        <v>22</v>
      </c>
      <c r="H1034" s="1002">
        <v>476.5</v>
      </c>
      <c r="I1034" s="1002">
        <v>524</v>
      </c>
      <c r="J1034" s="1150">
        <v>3299.5</v>
      </c>
      <c r="K1034" s="1136">
        <v>6.9244491080797479</v>
      </c>
      <c r="L1034" s="1152"/>
      <c r="M1034" s="2030"/>
      <c r="N1034" s="435"/>
      <c r="O1034" s="436"/>
      <c r="V1034" s="9"/>
      <c r="W1034" s="9"/>
      <c r="X1034" s="9"/>
      <c r="Y1034" s="9"/>
      <c r="Z1034" s="9"/>
      <c r="AA1034" s="9"/>
      <c r="AB1034" s="1966"/>
      <c r="AC1034" s="1157"/>
      <c r="AD1034" s="1156"/>
      <c r="AE1034" s="1158"/>
      <c r="AF1034" s="1156"/>
      <c r="AG1034" s="1158"/>
      <c r="AH1034" s="1156"/>
    </row>
    <row r="1035" spans="1:34" ht="15" customHeight="1" x14ac:dyDescent="0.2">
      <c r="A1035" s="962" t="s">
        <v>369</v>
      </c>
      <c r="B1035" s="1498">
        <v>480.5</v>
      </c>
      <c r="C1035" s="1146">
        <v>10</v>
      </c>
      <c r="D1035" s="1146">
        <v>0</v>
      </c>
      <c r="E1035" s="1146">
        <v>1</v>
      </c>
      <c r="F1035" s="1146">
        <v>1</v>
      </c>
      <c r="G1035" s="1146">
        <v>20</v>
      </c>
      <c r="H1035" s="1146">
        <v>458.5</v>
      </c>
      <c r="I1035" s="1146">
        <v>488.5</v>
      </c>
      <c r="J1035" s="1147">
        <v>3209.5</v>
      </c>
      <c r="K1035" s="1147">
        <v>7</v>
      </c>
      <c r="L1035" s="1066" t="s">
        <v>988</v>
      </c>
      <c r="M1035" s="1922">
        <v>2550000</v>
      </c>
      <c r="N1035" s="959">
        <v>22070600.904319998</v>
      </c>
      <c r="O1035" s="1149">
        <v>11988502.798764002</v>
      </c>
      <c r="P1035" s="950"/>
      <c r="Q1035" s="950"/>
      <c r="R1035" s="950"/>
      <c r="S1035" s="9"/>
      <c r="T1035" s="9"/>
      <c r="U1035" s="9"/>
      <c r="V1035" s="9"/>
      <c r="W1035" s="9"/>
      <c r="X1035" s="9"/>
      <c r="Y1035" s="9"/>
      <c r="Z1035" s="9"/>
      <c r="AA1035" s="9"/>
      <c r="AB1035" s="1966"/>
      <c r="AC1035" s="237">
        <f>MAX(J1035/J1059)</f>
        <v>0.33087287759919998</v>
      </c>
      <c r="AD1035" s="235">
        <f>MAX(M1035*AC1035)</f>
        <v>843725.83787795994</v>
      </c>
      <c r="AE1035" s="238">
        <f>MAX(I1035/I1059)</f>
        <v>0.29695146044193182</v>
      </c>
      <c r="AF1035" s="235">
        <f>MAX(N1035*AE1035)</f>
        <v>6553897.1713688448</v>
      </c>
      <c r="AG1035" s="238">
        <f>MAX(H1035/H1059)</f>
        <v>0.31916744979290662</v>
      </c>
      <c r="AH1035" s="235">
        <f>MAX(O1035*AG1035)</f>
        <v>3826339.8651166302</v>
      </c>
    </row>
    <row r="1036" spans="1:34" ht="15" customHeight="1" x14ac:dyDescent="0.2">
      <c r="A1036" s="962" t="s">
        <v>370</v>
      </c>
      <c r="B1036" s="1498">
        <v>20</v>
      </c>
      <c r="C1036" s="1146">
        <v>12</v>
      </c>
      <c r="D1036" s="1146">
        <v>0</v>
      </c>
      <c r="E1036" s="1146">
        <v>0</v>
      </c>
      <c r="F1036" s="1146">
        <v>0</v>
      </c>
      <c r="G1036" s="1146">
        <v>2</v>
      </c>
      <c r="H1036" s="1146">
        <v>18</v>
      </c>
      <c r="I1036" s="1146">
        <v>32</v>
      </c>
      <c r="J1036" s="1147">
        <v>90</v>
      </c>
      <c r="K1036" s="1147">
        <v>5</v>
      </c>
      <c r="L1036" s="1066" t="s">
        <v>988</v>
      </c>
      <c r="M1036" s="1922">
        <v>2550000</v>
      </c>
      <c r="N1036" s="959">
        <v>22070600.904319998</v>
      </c>
      <c r="O1036" s="1149">
        <v>11988502.798764002</v>
      </c>
      <c r="P1036" s="9"/>
      <c r="Q1036" s="2005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1966"/>
      <c r="AC1036" s="237">
        <f>MAX(J1036/J1059)</f>
        <v>9.2782548633519243E-3</v>
      </c>
      <c r="AD1036" s="235">
        <f>MAX(M1036*AC1036)</f>
        <v>23659.549901547409</v>
      </c>
      <c r="AE1036" s="238">
        <f>MAX(I1036/I1059)</f>
        <v>1.9452296282787756E-2</v>
      </c>
      <c r="AF1036" s="235">
        <f>MAX(N1036*AE1036)</f>
        <v>429323.86792999599</v>
      </c>
      <c r="AG1036" s="238">
        <f>MAX(H1036/H1059)</f>
        <v>1.2530019839198079E-2</v>
      </c>
      <c r="AH1036" s="235">
        <f>MAX(O1036*AG1036)</f>
        <v>150216.17791079462</v>
      </c>
    </row>
    <row r="1037" spans="1:34" ht="15" customHeight="1" x14ac:dyDescent="0.2">
      <c r="A1037" s="962" t="s">
        <v>371</v>
      </c>
      <c r="B1037" s="1498">
        <v>0</v>
      </c>
      <c r="C1037" s="1146">
        <v>3.5</v>
      </c>
      <c r="D1037" s="1146">
        <v>0</v>
      </c>
      <c r="E1037" s="1146">
        <v>0</v>
      </c>
      <c r="F1037" s="1146">
        <v>0</v>
      </c>
      <c r="G1037" s="1146">
        <v>0</v>
      </c>
      <c r="H1037" s="1146">
        <v>0</v>
      </c>
      <c r="I1037" s="1146">
        <v>3.5</v>
      </c>
      <c r="J1037" s="1147">
        <v>0</v>
      </c>
      <c r="K1037" s="1147">
        <v>0</v>
      </c>
      <c r="L1037" s="1066"/>
      <c r="M1037" s="1922"/>
      <c r="N1037" s="959">
        <v>22070600.904319998</v>
      </c>
      <c r="O1037" s="1149"/>
      <c r="P1037" s="950"/>
      <c r="Q1037" s="950"/>
      <c r="R1037" s="950"/>
      <c r="S1037" s="9"/>
      <c r="T1037" s="9"/>
      <c r="U1037" s="9"/>
      <c r="V1037" s="9"/>
      <c r="W1037" s="9"/>
      <c r="X1037" s="9"/>
      <c r="Y1037" s="9"/>
      <c r="Z1037" s="9"/>
      <c r="AA1037" s="9"/>
      <c r="AB1037" s="1966"/>
      <c r="AC1037" s="237">
        <f>MAX(J1037/J1059)</f>
        <v>0</v>
      </c>
      <c r="AD1037" s="235">
        <f>MAX(M1037*AC1037)</f>
        <v>0</v>
      </c>
      <c r="AE1037" s="238">
        <f>MAX(I1037/I1059)</f>
        <v>2.1275949059299105E-3</v>
      </c>
      <c r="AF1037" s="235">
        <f>MAX(N1037*AE1037)</f>
        <v>46957.298054843304</v>
      </c>
      <c r="AG1037" s="238">
        <f>MAX(H1037/H1059)</f>
        <v>0</v>
      </c>
      <c r="AH1037" s="235">
        <f>MAX(O1037*AG1037)</f>
        <v>0</v>
      </c>
    </row>
    <row r="1038" spans="1:34" ht="15" customHeight="1" x14ac:dyDescent="0.2">
      <c r="A1038" s="962" t="s">
        <v>372</v>
      </c>
      <c r="B1038" s="1498">
        <v>0</v>
      </c>
      <c r="C1038" s="1146">
        <v>0</v>
      </c>
      <c r="D1038" s="1146">
        <v>0</v>
      </c>
      <c r="E1038" s="1146">
        <v>0</v>
      </c>
      <c r="F1038" s="1146">
        <v>0</v>
      </c>
      <c r="G1038" s="1146">
        <v>0</v>
      </c>
      <c r="H1038" s="1146">
        <v>0</v>
      </c>
      <c r="I1038" s="1146">
        <v>0</v>
      </c>
      <c r="J1038" s="1147">
        <v>0</v>
      </c>
      <c r="K1038" s="1147">
        <v>0</v>
      </c>
      <c r="L1038" s="1148"/>
      <c r="M1038" s="1922"/>
      <c r="N1038" s="1533"/>
      <c r="O1038" s="1534"/>
      <c r="U1038" s="9"/>
      <c r="V1038" s="9"/>
      <c r="W1038" s="9"/>
      <c r="X1038" s="9"/>
      <c r="Y1038" s="9"/>
      <c r="Z1038" s="9"/>
      <c r="AA1038" s="9"/>
      <c r="AB1038" s="1966"/>
      <c r="AC1038" s="237">
        <f>MAX(J1038/J1059)</f>
        <v>0</v>
      </c>
      <c r="AD1038" s="235">
        <f>MAX(M1038*AC1038)</f>
        <v>0</v>
      </c>
      <c r="AE1038" s="238">
        <f>MAX(I1038/I1059)</f>
        <v>0</v>
      </c>
      <c r="AF1038" s="235">
        <f>MAX(N1038*AE1038)</f>
        <v>0</v>
      </c>
      <c r="AG1038" s="238">
        <f>MAX(H1038/H1059)</f>
        <v>0</v>
      </c>
      <c r="AH1038" s="235">
        <f>MAX(O1038*AG1038)</f>
        <v>0</v>
      </c>
    </row>
    <row r="1039" spans="1:34" ht="15" customHeight="1" x14ac:dyDescent="0.2">
      <c r="A1039" s="962" t="s">
        <v>373</v>
      </c>
      <c r="B1039" s="1498">
        <v>0</v>
      </c>
      <c r="C1039" s="1146">
        <v>0</v>
      </c>
      <c r="D1039" s="1146">
        <v>0</v>
      </c>
      <c r="E1039" s="1146">
        <v>0</v>
      </c>
      <c r="F1039" s="1146">
        <v>0</v>
      </c>
      <c r="G1039" s="1146">
        <v>0</v>
      </c>
      <c r="H1039" s="1146">
        <v>0</v>
      </c>
      <c r="I1039" s="1146">
        <v>0</v>
      </c>
      <c r="J1039" s="1147">
        <v>0</v>
      </c>
      <c r="K1039" s="1147">
        <v>0</v>
      </c>
      <c r="L1039" s="1148"/>
      <c r="M1039" s="1922"/>
      <c r="N1039" s="959"/>
      <c r="O1039" s="1149"/>
      <c r="U1039" s="9"/>
      <c r="V1039" s="9"/>
      <c r="W1039" s="9"/>
      <c r="X1039" s="9"/>
      <c r="Y1039" s="9"/>
      <c r="Z1039" s="9"/>
      <c r="AA1039" s="9"/>
      <c r="AB1039" s="1966"/>
      <c r="AC1039" s="237">
        <f>MAX(J1039/J1059)</f>
        <v>0</v>
      </c>
      <c r="AD1039" s="235">
        <f>MAX(M1039*AC1039)</f>
        <v>0</v>
      </c>
      <c r="AE1039" s="238">
        <f>MAX(I1039/I1059)</f>
        <v>0</v>
      </c>
      <c r="AF1039" s="235">
        <f>MAX(N1039*AE1039)</f>
        <v>0</v>
      </c>
      <c r="AG1039" s="238">
        <f>MAX(H1039/H1059)</f>
        <v>0</v>
      </c>
      <c r="AH1039" s="235">
        <f>MAX(O1039*AG1039)</f>
        <v>0</v>
      </c>
    </row>
    <row r="1040" spans="1:34" ht="15" customHeight="1" x14ac:dyDescent="0.2">
      <c r="A1040" s="1154" t="s">
        <v>374</v>
      </c>
      <c r="B1040" s="1002">
        <v>133.12</v>
      </c>
      <c r="C1040" s="1002">
        <v>61</v>
      </c>
      <c r="D1040" s="1002">
        <v>3</v>
      </c>
      <c r="E1040" s="1002">
        <v>0</v>
      </c>
      <c r="F1040" s="1002">
        <v>3</v>
      </c>
      <c r="G1040" s="1002">
        <v>0</v>
      </c>
      <c r="H1040" s="1002">
        <v>127.12</v>
      </c>
      <c r="I1040" s="1002">
        <v>191.12</v>
      </c>
      <c r="J1040" s="1150">
        <v>831.22</v>
      </c>
      <c r="K1040" s="1136">
        <v>6.5388609188168658</v>
      </c>
      <c r="L1040" s="1152"/>
      <c r="M1040" s="2030"/>
      <c r="N1040" s="435"/>
      <c r="O1040" s="436"/>
      <c r="U1040" s="9"/>
      <c r="V1040" s="9"/>
      <c r="W1040" s="9"/>
      <c r="X1040" s="9"/>
      <c r="Y1040" s="9"/>
      <c r="Z1040" s="9"/>
      <c r="AA1040" s="9"/>
      <c r="AB1040" s="1966"/>
      <c r="AC1040" s="1157"/>
      <c r="AD1040" s="1156"/>
      <c r="AE1040" s="1158"/>
      <c r="AF1040" s="1156"/>
      <c r="AG1040" s="1158"/>
      <c r="AH1040" s="1156"/>
    </row>
    <row r="1041" spans="1:34" ht="15" customHeight="1" x14ac:dyDescent="0.2">
      <c r="A1041" s="962" t="s">
        <v>375</v>
      </c>
      <c r="B1041" s="1498">
        <v>8.5</v>
      </c>
      <c r="C1041" s="1146">
        <v>35</v>
      </c>
      <c r="D1041" s="1146">
        <v>2</v>
      </c>
      <c r="E1041" s="1146">
        <v>0</v>
      </c>
      <c r="F1041" s="1146">
        <v>1</v>
      </c>
      <c r="G1041" s="1146">
        <v>0</v>
      </c>
      <c r="H1041" s="1146">
        <v>5.5</v>
      </c>
      <c r="I1041" s="1146">
        <v>42.5</v>
      </c>
      <c r="J1041" s="1147">
        <v>33</v>
      </c>
      <c r="K1041" s="1147">
        <v>6</v>
      </c>
      <c r="L1041" s="1066" t="s">
        <v>988</v>
      </c>
      <c r="M1041" s="1922">
        <v>2550000</v>
      </c>
      <c r="N1041" s="959">
        <v>22070600.904319998</v>
      </c>
      <c r="O1041" s="1149">
        <v>11988502.798764002</v>
      </c>
      <c r="P1041" s="950"/>
      <c r="Q1041" s="950"/>
      <c r="R1041" s="950"/>
      <c r="S1041" s="9"/>
      <c r="T1041" s="9"/>
      <c r="U1041" s="9"/>
      <c r="V1041" s="9"/>
      <c r="W1041" s="9"/>
      <c r="X1041" s="9"/>
      <c r="Y1041" s="9"/>
      <c r="Z1041" s="9"/>
      <c r="AA1041" s="9"/>
      <c r="AB1041" s="1966"/>
      <c r="AC1041" s="237">
        <f>MAX(J1041/J1059)</f>
        <v>3.4020267832290388E-3</v>
      </c>
      <c r="AD1041" s="235">
        <f t="shared" ref="AD1041:AD1048" si="193">MAX(M1041*AC1041)</f>
        <v>8675.1682972340495</v>
      </c>
      <c r="AE1041" s="238">
        <f>MAX(I1041/I1059)</f>
        <v>2.5835081000577489E-2</v>
      </c>
      <c r="AF1041" s="235">
        <f t="shared" ref="AF1041:AF1048" si="194">MAX(N1041*AE1041)</f>
        <v>570195.76209452597</v>
      </c>
      <c r="AG1041" s="238">
        <f>MAX(H1041/H1059)</f>
        <v>3.8286171730883018E-3</v>
      </c>
      <c r="AH1041" s="235">
        <f t="shared" ref="AH1041:AH1048" si="195">MAX(O1041*AG1041)</f>
        <v>45899.387694965029</v>
      </c>
    </row>
    <row r="1042" spans="1:34" ht="15" customHeight="1" x14ac:dyDescent="0.2">
      <c r="A1042" s="962" t="s">
        <v>376</v>
      </c>
      <c r="B1042" s="1498">
        <v>4.12</v>
      </c>
      <c r="C1042" s="1146">
        <v>0</v>
      </c>
      <c r="D1042" s="1146">
        <v>0</v>
      </c>
      <c r="E1042" s="1146">
        <v>0</v>
      </c>
      <c r="F1042" s="1146">
        <v>0</v>
      </c>
      <c r="G1042" s="1146">
        <v>0</v>
      </c>
      <c r="H1042" s="1146">
        <v>4.12</v>
      </c>
      <c r="I1042" s="1146">
        <v>4.12</v>
      </c>
      <c r="J1042" s="1147">
        <v>24.72</v>
      </c>
      <c r="K1042" s="1147">
        <v>6</v>
      </c>
      <c r="L1042" s="1066" t="s">
        <v>988</v>
      </c>
      <c r="M1042" s="1922">
        <v>2550000</v>
      </c>
      <c r="N1042" s="959">
        <v>22070600.904319998</v>
      </c>
      <c r="O1042" s="1149">
        <v>11988502.798764002</v>
      </c>
      <c r="P1042" s="950"/>
      <c r="Q1042" s="950"/>
      <c r="R1042" s="950"/>
      <c r="S1042" s="9"/>
      <c r="T1042" s="9"/>
      <c r="U1042" s="9"/>
      <c r="V1042" s="9"/>
      <c r="W1042" s="9"/>
      <c r="X1042" s="9"/>
      <c r="Y1042" s="9"/>
      <c r="Z1042" s="9"/>
      <c r="AA1042" s="9"/>
      <c r="AB1042" s="1966"/>
      <c r="AC1042" s="237">
        <f>MAX(J1042/J1059)</f>
        <v>2.5484273358006618E-3</v>
      </c>
      <c r="AD1042" s="235">
        <f t="shared" si="193"/>
        <v>6498.489706291688</v>
      </c>
      <c r="AE1042" s="238">
        <f>MAX(I1042/I1059)</f>
        <v>2.5044831464089237E-3</v>
      </c>
      <c r="AF1042" s="235">
        <f t="shared" si="194"/>
        <v>55275.447995986986</v>
      </c>
      <c r="AG1042" s="238">
        <f>MAX(H1042/H1059)</f>
        <v>2.8679823187497825E-3</v>
      </c>
      <c r="AH1042" s="235">
        <f t="shared" si="195"/>
        <v>34382.814055137438</v>
      </c>
    </row>
    <row r="1043" spans="1:34" ht="15" customHeight="1" x14ac:dyDescent="0.2">
      <c r="A1043" s="962" t="s">
        <v>377</v>
      </c>
      <c r="B1043" s="1498">
        <v>2.5</v>
      </c>
      <c r="C1043" s="1146"/>
      <c r="D1043" s="1146"/>
      <c r="E1043" s="1146"/>
      <c r="F1043" s="1146"/>
      <c r="G1043" s="1146"/>
      <c r="H1043" s="1146">
        <v>2.5</v>
      </c>
      <c r="I1043" s="1146">
        <v>2.5</v>
      </c>
      <c r="J1043" s="1147">
        <v>15</v>
      </c>
      <c r="K1043" s="1147">
        <v>6</v>
      </c>
      <c r="L1043" s="1066" t="s">
        <v>988</v>
      </c>
      <c r="M1043" s="1922">
        <v>2550000</v>
      </c>
      <c r="N1043" s="959">
        <v>22070600.904319998</v>
      </c>
      <c r="O1043" s="1149">
        <v>11988502.798764002</v>
      </c>
      <c r="P1043" s="950"/>
      <c r="Q1043" s="950"/>
      <c r="R1043" s="950"/>
      <c r="S1043" s="9"/>
      <c r="T1043" s="9"/>
      <c r="U1043" s="9"/>
      <c r="V1043" s="9"/>
      <c r="W1043" s="9"/>
      <c r="X1043" s="9"/>
      <c r="Y1043" s="9"/>
      <c r="Z1043" s="9"/>
      <c r="AA1043" s="9"/>
      <c r="AB1043" s="1966"/>
      <c r="AC1043" s="237">
        <f>MAX(J1043/J1059)</f>
        <v>1.5463758105586541E-3</v>
      </c>
      <c r="AD1043" s="235">
        <f t="shared" si="193"/>
        <v>3943.2583169245677</v>
      </c>
      <c r="AE1043" s="238">
        <f>MAX(I1043/I1059)</f>
        <v>1.5197106470927933E-3</v>
      </c>
      <c r="AF1043" s="235">
        <f t="shared" si="194"/>
        <v>33540.92718203093</v>
      </c>
      <c r="AG1043" s="238">
        <f>MAX(H1043/H1059)</f>
        <v>1.7402805332219554E-3</v>
      </c>
      <c r="AH1043" s="235">
        <f t="shared" si="195"/>
        <v>20863.358043165921</v>
      </c>
    </row>
    <row r="1044" spans="1:34" ht="15" customHeight="1" x14ac:dyDescent="0.2">
      <c r="A1044" s="962" t="s">
        <v>378</v>
      </c>
      <c r="B1044" s="1498">
        <v>17.5</v>
      </c>
      <c r="C1044" s="1146">
        <v>0</v>
      </c>
      <c r="D1044" s="1146">
        <v>0</v>
      </c>
      <c r="E1044" s="1146">
        <v>0</v>
      </c>
      <c r="F1044" s="1146">
        <v>0</v>
      </c>
      <c r="G1044" s="1146">
        <v>0</v>
      </c>
      <c r="H1044" s="1146">
        <v>17.5</v>
      </c>
      <c r="I1044" s="1146">
        <v>17.5</v>
      </c>
      <c r="J1044" s="1147">
        <v>140</v>
      </c>
      <c r="K1044" s="1147">
        <v>8</v>
      </c>
      <c r="L1044" s="1066" t="s">
        <v>988</v>
      </c>
      <c r="M1044" s="1922">
        <v>2550000</v>
      </c>
      <c r="N1044" s="959">
        <v>22070600.904319998</v>
      </c>
      <c r="O1044" s="1149">
        <v>11988502.798764002</v>
      </c>
      <c r="P1044" s="950"/>
      <c r="Q1044" s="950"/>
      <c r="R1044" s="950"/>
      <c r="S1044" s="9"/>
      <c r="T1044" s="9"/>
      <c r="U1044" s="9"/>
      <c r="V1044" s="9"/>
      <c r="W1044" s="9"/>
      <c r="X1044" s="9"/>
      <c r="Y1044" s="9"/>
      <c r="Z1044" s="9"/>
      <c r="AA1044" s="9"/>
      <c r="AB1044" s="1966"/>
      <c r="AC1044" s="237">
        <f>MAX(J1044/J1059)</f>
        <v>1.4432840898547437E-2</v>
      </c>
      <c r="AD1044" s="235">
        <f t="shared" si="193"/>
        <v>36803.744291295967</v>
      </c>
      <c r="AE1044" s="238">
        <f>MAX(I1044/I1059)</f>
        <v>1.0637974529649553E-2</v>
      </c>
      <c r="AF1044" s="235">
        <f t="shared" si="194"/>
        <v>234786.49027421654</v>
      </c>
      <c r="AG1044" s="238">
        <f>MAX(H1044/H1059)</f>
        <v>1.2181963732553688E-2</v>
      </c>
      <c r="AH1044" s="235">
        <f t="shared" si="195"/>
        <v>146043.50630216146</v>
      </c>
    </row>
    <row r="1045" spans="1:34" ht="15" customHeight="1" x14ac:dyDescent="0.2">
      <c r="A1045" s="962" t="s">
        <v>379</v>
      </c>
      <c r="B1045" s="1498">
        <v>13.5</v>
      </c>
      <c r="C1045" s="1146">
        <v>2</v>
      </c>
      <c r="D1045" s="1146"/>
      <c r="E1045" s="1146"/>
      <c r="F1045" s="1146"/>
      <c r="G1045" s="1146"/>
      <c r="H1045" s="1146">
        <v>13.5</v>
      </c>
      <c r="I1045" s="1146">
        <v>15.5</v>
      </c>
      <c r="J1045" s="1147">
        <v>94.5</v>
      </c>
      <c r="K1045" s="1147">
        <v>7</v>
      </c>
      <c r="L1045" s="1066" t="s">
        <v>988</v>
      </c>
      <c r="M1045" s="1922">
        <v>2550000</v>
      </c>
      <c r="N1045" s="959">
        <v>22070600.904319998</v>
      </c>
      <c r="O1045" s="1149">
        <v>11988502.798764002</v>
      </c>
      <c r="P1045" s="950"/>
      <c r="Q1045" s="950"/>
      <c r="R1045" s="950"/>
      <c r="S1045" s="9"/>
      <c r="T1045" s="9"/>
      <c r="U1045" s="9"/>
      <c r="V1045" s="9"/>
      <c r="W1045" s="9"/>
      <c r="X1045" s="9"/>
      <c r="Y1045" s="9"/>
      <c r="Z1045" s="9"/>
      <c r="AA1045" s="9"/>
      <c r="AB1045" s="1966"/>
      <c r="AC1045" s="237">
        <f>MAX(J1045/J1059)</f>
        <v>9.7421676065195199E-3</v>
      </c>
      <c r="AD1045" s="235">
        <f t="shared" si="193"/>
        <v>24842.527396624777</v>
      </c>
      <c r="AE1045" s="238">
        <f>MAX(I1045/I1059)</f>
        <v>9.422206011975319E-3</v>
      </c>
      <c r="AF1045" s="235">
        <f t="shared" si="194"/>
        <v>207953.74852859179</v>
      </c>
      <c r="AG1045" s="238">
        <f>MAX(H1045/H1059)</f>
        <v>9.3975148793985601E-3</v>
      </c>
      <c r="AH1045" s="235">
        <f t="shared" si="195"/>
        <v>112662.13343309598</v>
      </c>
    </row>
    <row r="1046" spans="1:34" ht="15" customHeight="1" x14ac:dyDescent="0.2">
      <c r="A1046" s="962" t="s">
        <v>380</v>
      </c>
      <c r="B1046" s="1498">
        <v>17</v>
      </c>
      <c r="C1046" s="1146">
        <v>4</v>
      </c>
      <c r="D1046" s="1146">
        <v>1</v>
      </c>
      <c r="E1046" s="1146">
        <v>0</v>
      </c>
      <c r="F1046" s="1146">
        <v>2</v>
      </c>
      <c r="G1046" s="1146">
        <v>0</v>
      </c>
      <c r="H1046" s="1146">
        <v>14</v>
      </c>
      <c r="I1046" s="1146">
        <v>19</v>
      </c>
      <c r="J1046" s="1147">
        <v>98</v>
      </c>
      <c r="K1046" s="1147">
        <v>7</v>
      </c>
      <c r="L1046" s="1066" t="s">
        <v>988</v>
      </c>
      <c r="M1046" s="1922">
        <v>2550000</v>
      </c>
      <c r="N1046" s="959">
        <v>22070600.904319998</v>
      </c>
      <c r="O1046" s="1149">
        <v>11988502.798764002</v>
      </c>
      <c r="P1046" s="950"/>
      <c r="Q1046" s="950"/>
      <c r="R1046" s="950"/>
      <c r="S1046" s="9"/>
      <c r="T1046" s="9"/>
      <c r="U1046" s="9"/>
      <c r="V1046" s="9"/>
      <c r="W1046" s="9"/>
      <c r="X1046" s="9"/>
      <c r="Y1046" s="9"/>
      <c r="Z1046" s="9"/>
      <c r="AA1046" s="9"/>
      <c r="AB1046" s="1966"/>
      <c r="AC1046" s="237">
        <f>MAX(J1046/J1059)</f>
        <v>1.0102988628983206E-2</v>
      </c>
      <c r="AD1046" s="235">
        <f t="shared" si="193"/>
        <v>25762.621003907174</v>
      </c>
      <c r="AE1046" s="238">
        <f>MAX(I1046/I1059)</f>
        <v>1.154980091790523E-2</v>
      </c>
      <c r="AF1046" s="235">
        <f t="shared" si="194"/>
        <v>254911.04658343512</v>
      </c>
      <c r="AG1046" s="238">
        <f>MAX(H1046/H1059)</f>
        <v>9.7455709860429507E-3</v>
      </c>
      <c r="AH1046" s="235">
        <f t="shared" si="195"/>
        <v>116834.80504172917</v>
      </c>
    </row>
    <row r="1047" spans="1:34" ht="15" customHeight="1" x14ac:dyDescent="0.2">
      <c r="A1047" s="962" t="s">
        <v>381</v>
      </c>
      <c r="B1047" s="1498">
        <v>64</v>
      </c>
      <c r="C1047" s="1146">
        <v>12</v>
      </c>
      <c r="D1047" s="1146"/>
      <c r="E1047" s="1146"/>
      <c r="F1047" s="1146"/>
      <c r="G1047" s="1146"/>
      <c r="H1047" s="1146">
        <v>64</v>
      </c>
      <c r="I1047" s="1146">
        <v>76</v>
      </c>
      <c r="J1047" s="1147">
        <v>384</v>
      </c>
      <c r="K1047" s="1147">
        <v>6</v>
      </c>
      <c r="L1047" s="1066" t="s">
        <v>988</v>
      </c>
      <c r="M1047" s="1922">
        <v>2550000</v>
      </c>
      <c r="N1047" s="959">
        <v>22070600.904319998</v>
      </c>
      <c r="O1047" s="1149">
        <v>11988502.798764002</v>
      </c>
      <c r="P1047" s="9"/>
      <c r="Q1047" s="2005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1966"/>
      <c r="AC1047" s="237">
        <f>MAX(J1047/J1059)</f>
        <v>3.9587220750301542E-2</v>
      </c>
      <c r="AD1047" s="235">
        <f t="shared" si="193"/>
        <v>100947.41291326893</v>
      </c>
      <c r="AE1047" s="238">
        <f>MAX(I1047/I1059)</f>
        <v>4.619920367162092E-2</v>
      </c>
      <c r="AF1047" s="235">
        <f t="shared" si="194"/>
        <v>1019644.1863337405</v>
      </c>
      <c r="AG1047" s="238">
        <f>MAX(H1047/H1059)</f>
        <v>4.4551181650482059E-2</v>
      </c>
      <c r="AH1047" s="235">
        <f t="shared" si="195"/>
        <v>534101.9659050476</v>
      </c>
    </row>
    <row r="1048" spans="1:34" ht="15" customHeight="1" x14ac:dyDescent="0.2">
      <c r="A1048" s="962" t="s">
        <v>382</v>
      </c>
      <c r="B1048" s="956">
        <v>6</v>
      </c>
      <c r="C1048" s="1146">
        <v>8</v>
      </c>
      <c r="D1048" s="1146">
        <v>0</v>
      </c>
      <c r="E1048" s="1146">
        <v>0</v>
      </c>
      <c r="F1048" s="1146">
        <v>0</v>
      </c>
      <c r="G1048" s="1146">
        <v>0</v>
      </c>
      <c r="H1048" s="1146">
        <v>6</v>
      </c>
      <c r="I1048" s="1146">
        <v>14</v>
      </c>
      <c r="J1048" s="1147">
        <v>42</v>
      </c>
      <c r="K1048" s="1147">
        <v>7</v>
      </c>
      <c r="L1048" s="1066" t="s">
        <v>988</v>
      </c>
      <c r="M1048" s="1922">
        <v>2550000</v>
      </c>
      <c r="N1048" s="959">
        <v>22070600.904319998</v>
      </c>
      <c r="O1048" s="1149">
        <v>11988502.798764002</v>
      </c>
      <c r="P1048" s="950"/>
      <c r="Q1048" s="950"/>
      <c r="R1048" s="950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237">
        <f>MAX(J1048/J1059)</f>
        <v>4.3298522695642315E-3</v>
      </c>
      <c r="AD1048" s="235">
        <f t="shared" si="193"/>
        <v>11041.123287388791</v>
      </c>
      <c r="AE1048" s="238">
        <f>MAX(I1048/I1059)</f>
        <v>8.5103796237196421E-3</v>
      </c>
      <c r="AF1048" s="235">
        <f t="shared" si="194"/>
        <v>187829.19221937322</v>
      </c>
      <c r="AG1048" s="238">
        <f>MAX(H1048/H1059)</f>
        <v>4.1766732797326933E-3</v>
      </c>
      <c r="AH1048" s="235">
        <f t="shared" si="195"/>
        <v>50072.059303598217</v>
      </c>
    </row>
    <row r="1049" spans="1:34" ht="15" customHeight="1" x14ac:dyDescent="0.2">
      <c r="A1049" s="1154" t="s">
        <v>383</v>
      </c>
      <c r="B1049" s="1002">
        <v>584.63</v>
      </c>
      <c r="C1049" s="1002">
        <v>39</v>
      </c>
      <c r="D1049" s="1002">
        <v>10</v>
      </c>
      <c r="E1049" s="1002">
        <v>6</v>
      </c>
      <c r="F1049" s="1002">
        <v>22</v>
      </c>
      <c r="G1049" s="1002">
        <v>7</v>
      </c>
      <c r="H1049" s="1002">
        <v>539.63</v>
      </c>
      <c r="I1049" s="1002">
        <v>595.63</v>
      </c>
      <c r="J1049" s="1150">
        <v>3481.7799999999997</v>
      </c>
      <c r="K1049" s="1136">
        <v>6.4521616663269272</v>
      </c>
      <c r="L1049" s="1152"/>
      <c r="M1049" s="2030"/>
      <c r="N1049" s="435"/>
      <c r="O1049" s="436"/>
      <c r="U1049" s="9"/>
      <c r="V1049" s="9"/>
      <c r="W1049" s="9"/>
      <c r="X1049" s="9"/>
      <c r="Y1049" s="9"/>
      <c r="Z1049" s="9"/>
      <c r="AA1049" s="9"/>
      <c r="AB1049" s="9"/>
      <c r="AC1049" s="1157"/>
      <c r="AD1049" s="1156"/>
      <c r="AE1049" s="1158"/>
      <c r="AF1049" s="1156"/>
      <c r="AG1049" s="1158"/>
      <c r="AH1049" s="1156"/>
    </row>
    <row r="1050" spans="1:34" ht="15" customHeight="1" x14ac:dyDescent="0.2">
      <c r="A1050" s="962" t="s">
        <v>384</v>
      </c>
      <c r="B1050" s="1498">
        <v>74.13</v>
      </c>
      <c r="C1050" s="1146">
        <v>0</v>
      </c>
      <c r="D1050" s="1146">
        <v>0</v>
      </c>
      <c r="E1050" s="1146">
        <v>0</v>
      </c>
      <c r="F1050" s="1146">
        <v>0</v>
      </c>
      <c r="G1050" s="1146">
        <v>0</v>
      </c>
      <c r="H1050" s="1146">
        <v>74.13</v>
      </c>
      <c r="I1050" s="1146">
        <v>74.13</v>
      </c>
      <c r="J1050" s="1147">
        <v>444.78</v>
      </c>
      <c r="K1050" s="1147">
        <v>6</v>
      </c>
      <c r="L1050" s="1066" t="s">
        <v>988</v>
      </c>
      <c r="M1050" s="1922">
        <v>2550000</v>
      </c>
      <c r="N1050" s="959">
        <v>22070600.904319998</v>
      </c>
      <c r="O1050" s="1149">
        <v>11988502.798764002</v>
      </c>
      <c r="P1050" s="950"/>
      <c r="Q1050" s="950"/>
      <c r="R1050" s="950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237">
        <f>MAX(J1050/J1059)</f>
        <v>4.5853135534685202E-2</v>
      </c>
      <c r="AD1050" s="235">
        <f t="shared" ref="AD1050:AD1058" si="196">MAX(M1050*AC1050)</f>
        <v>116925.49561344726</v>
      </c>
      <c r="AE1050" s="238">
        <f>MAX(I1050/I1059)</f>
        <v>4.5062460107595508E-2</v>
      </c>
      <c r="AF1050" s="235">
        <f t="shared" ref="AF1050:AF1058" si="197">MAX(N1050*AE1050)</f>
        <v>994555.57280158123</v>
      </c>
      <c r="AG1050" s="238">
        <f>MAX(H1050/H1059)</f>
        <v>5.1602798371097422E-2</v>
      </c>
      <c r="AH1050" s="235">
        <f t="shared" ref="AH1050:AH1058" si="198">MAX(O1050*AG1050)</f>
        <v>618640.29269595596</v>
      </c>
    </row>
    <row r="1051" spans="1:34" ht="15" customHeight="1" x14ac:dyDescent="0.2">
      <c r="A1051" s="962" t="s">
        <v>385</v>
      </c>
      <c r="B1051" s="1498">
        <v>33</v>
      </c>
      <c r="C1051" s="1146">
        <v>4</v>
      </c>
      <c r="D1051" s="1146">
        <v>2</v>
      </c>
      <c r="E1051" s="1146">
        <v>1</v>
      </c>
      <c r="F1051" s="1146">
        <v>5</v>
      </c>
      <c r="G1051" s="1146">
        <v>2</v>
      </c>
      <c r="H1051" s="1146">
        <v>23</v>
      </c>
      <c r="I1051" s="1146">
        <v>31</v>
      </c>
      <c r="J1051" s="1147">
        <v>115</v>
      </c>
      <c r="K1051" s="1147">
        <v>5</v>
      </c>
      <c r="L1051" s="1066" t="s">
        <v>988</v>
      </c>
      <c r="M1051" s="1922">
        <v>2550000</v>
      </c>
      <c r="N1051" s="959">
        <v>22070600.904319998</v>
      </c>
      <c r="O1051" s="1149">
        <v>11988502.798764002</v>
      </c>
      <c r="P1051" s="950"/>
      <c r="Q1051" s="950"/>
      <c r="R1051" s="950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237">
        <f>MAX(J1051/J1059)</f>
        <v>1.1855547880949681E-2</v>
      </c>
      <c r="AD1051" s="235">
        <f t="shared" si="196"/>
        <v>30231.647096421686</v>
      </c>
      <c r="AE1051" s="238">
        <f>MAX(I1051/I1059)</f>
        <v>1.8844412023950638E-2</v>
      </c>
      <c r="AF1051" s="235">
        <f t="shared" si="197"/>
        <v>415907.49705718359</v>
      </c>
      <c r="AG1051" s="238">
        <f>MAX(H1051/H1059)</f>
        <v>1.6010580905641988E-2</v>
      </c>
      <c r="AH1051" s="235">
        <f t="shared" si="198"/>
        <v>191942.89399712646</v>
      </c>
    </row>
    <row r="1052" spans="1:34" ht="15" customHeight="1" x14ac:dyDescent="0.2">
      <c r="A1052" s="962" t="s">
        <v>386</v>
      </c>
      <c r="B1052" s="245">
        <v>1</v>
      </c>
      <c r="C1052" s="1146">
        <v>0</v>
      </c>
      <c r="D1052" s="1146">
        <v>0</v>
      </c>
      <c r="E1052" s="1146">
        <v>0</v>
      </c>
      <c r="F1052" s="1146">
        <v>0</v>
      </c>
      <c r="G1052" s="1146">
        <v>0</v>
      </c>
      <c r="H1052" s="1146">
        <v>1</v>
      </c>
      <c r="I1052" s="1146">
        <v>1</v>
      </c>
      <c r="J1052" s="1147">
        <v>6</v>
      </c>
      <c r="K1052" s="1147">
        <v>6</v>
      </c>
      <c r="L1052" s="1066" t="s">
        <v>988</v>
      </c>
      <c r="M1052" s="1922">
        <v>2550000</v>
      </c>
      <c r="N1052" s="959">
        <v>22070600.904319998</v>
      </c>
      <c r="O1052" s="1149">
        <v>11988502.798764002</v>
      </c>
      <c r="P1052" s="950"/>
      <c r="Q1052" s="950"/>
      <c r="R1052" s="950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237">
        <f>MAX(J1052/J1059)</f>
        <v>6.185503242234616E-4</v>
      </c>
      <c r="AD1052" s="235">
        <f t="shared" si="196"/>
        <v>1577.303326769827</v>
      </c>
      <c r="AE1052" s="238">
        <f>MAX(I1052/I1059)</f>
        <v>6.0788425883711737E-4</v>
      </c>
      <c r="AF1052" s="235">
        <f t="shared" si="197"/>
        <v>13416.370872812375</v>
      </c>
      <c r="AG1052" s="238">
        <f>MAX(H1052/H1059)</f>
        <v>6.9611221328878218E-4</v>
      </c>
      <c r="AH1052" s="235">
        <f t="shared" si="198"/>
        <v>8345.3432172663688</v>
      </c>
    </row>
    <row r="1053" spans="1:34" ht="15" customHeight="1" x14ac:dyDescent="0.2">
      <c r="A1053" s="962" t="s">
        <v>387</v>
      </c>
      <c r="B1053" s="245">
        <v>185</v>
      </c>
      <c r="C1053" s="1146">
        <v>20</v>
      </c>
      <c r="D1053" s="1146">
        <v>7</v>
      </c>
      <c r="E1053" s="1146">
        <v>5</v>
      </c>
      <c r="F1053" s="1146">
        <v>12</v>
      </c>
      <c r="G1053" s="1146">
        <v>2</v>
      </c>
      <c r="H1053" s="1146">
        <v>159</v>
      </c>
      <c r="I1053" s="1146">
        <v>188</v>
      </c>
      <c r="J1053" s="1147">
        <v>954</v>
      </c>
      <c r="K1053" s="1147">
        <v>6</v>
      </c>
      <c r="L1053" s="1066" t="s">
        <v>988</v>
      </c>
      <c r="M1053" s="1922">
        <v>2550000</v>
      </c>
      <c r="N1053" s="959">
        <v>22070600.904319998</v>
      </c>
      <c r="O1053" s="1149">
        <v>11988502.798764002</v>
      </c>
      <c r="P1053" s="950"/>
      <c r="Q1053" s="950"/>
      <c r="R1053" s="950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237">
        <f>MAX(J1053/J1059)</f>
        <v>9.8349501551530397E-2</v>
      </c>
      <c r="AD1053" s="235">
        <f t="shared" si="196"/>
        <v>250791.22895640251</v>
      </c>
      <c r="AE1053" s="238">
        <f>MAX(I1053/I1059)</f>
        <v>0.11428224066137806</v>
      </c>
      <c r="AF1053" s="235">
        <f t="shared" si="197"/>
        <v>2522277.7240887261</v>
      </c>
      <c r="AG1053" s="238">
        <f>MAX(H1053/H1059)</f>
        <v>0.11068184191291637</v>
      </c>
      <c r="AH1053" s="235">
        <f t="shared" si="198"/>
        <v>1326909.5715453527</v>
      </c>
    </row>
    <row r="1054" spans="1:34" ht="15" customHeight="1" x14ac:dyDescent="0.2">
      <c r="A1054" s="962" t="s">
        <v>388</v>
      </c>
      <c r="B1054" s="245">
        <v>6.5</v>
      </c>
      <c r="C1054" s="1146">
        <v>1</v>
      </c>
      <c r="D1054" s="1146">
        <v>1</v>
      </c>
      <c r="E1054" s="1146"/>
      <c r="F1054" s="1146"/>
      <c r="G1054" s="1146"/>
      <c r="H1054" s="1146">
        <v>5.5</v>
      </c>
      <c r="I1054" s="1146">
        <v>7.5</v>
      </c>
      <c r="J1054" s="1147">
        <v>44</v>
      </c>
      <c r="K1054" s="1147">
        <v>8</v>
      </c>
      <c r="L1054" s="1066" t="s">
        <v>988</v>
      </c>
      <c r="M1054" s="1922">
        <v>2550000</v>
      </c>
      <c r="N1054" s="959">
        <v>22070600.904319998</v>
      </c>
      <c r="O1054" s="1149">
        <v>11988502.798764002</v>
      </c>
      <c r="P1054" s="950"/>
      <c r="Q1054" s="950"/>
      <c r="R1054" s="950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237">
        <f>MAX(J1054/J1059)</f>
        <v>4.536035710972052E-3</v>
      </c>
      <c r="AD1054" s="235">
        <f t="shared" si="196"/>
        <v>11566.891062978733</v>
      </c>
      <c r="AE1054" s="238">
        <f>MAX(I1054/I1059)</f>
        <v>4.55913194127838E-3</v>
      </c>
      <c r="AF1054" s="235">
        <f t="shared" si="197"/>
        <v>100622.7815460928</v>
      </c>
      <c r="AG1054" s="238">
        <f>MAX(H1054/H1059)</f>
        <v>3.8286171730883018E-3</v>
      </c>
      <c r="AH1054" s="235">
        <f t="shared" si="198"/>
        <v>45899.387694965029</v>
      </c>
    </row>
    <row r="1055" spans="1:34" ht="15" customHeight="1" x14ac:dyDescent="0.2">
      <c r="A1055" s="962" t="s">
        <v>389</v>
      </c>
      <c r="B1055" s="245">
        <v>80</v>
      </c>
      <c r="C1055" s="1146">
        <v>10</v>
      </c>
      <c r="D1055" s="1146"/>
      <c r="E1055" s="1146"/>
      <c r="F1055" s="1146"/>
      <c r="G1055" s="1146"/>
      <c r="H1055" s="1146">
        <v>80</v>
      </c>
      <c r="I1055" s="1146">
        <v>90</v>
      </c>
      <c r="J1055" s="1147">
        <v>560</v>
      </c>
      <c r="K1055" s="1147">
        <v>7</v>
      </c>
      <c r="L1055" s="1066" t="s">
        <v>988</v>
      </c>
      <c r="M1055" s="1922">
        <v>2550000</v>
      </c>
      <c r="N1055" s="959">
        <v>22070600.904319998</v>
      </c>
      <c r="O1055" s="1149">
        <v>11988502.798764002</v>
      </c>
      <c r="P1055" s="950"/>
      <c r="Q1055" s="950"/>
      <c r="R1055" s="950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237">
        <f>MAX(J1055/J1059)</f>
        <v>5.7731363594189747E-2</v>
      </c>
      <c r="AD1055" s="235">
        <f t="shared" si="196"/>
        <v>147214.97716518387</v>
      </c>
      <c r="AE1055" s="238">
        <f>MAX(I1055/I1059)</f>
        <v>5.4709583295340564E-2</v>
      </c>
      <c r="AF1055" s="235">
        <f t="shared" si="197"/>
        <v>1207473.3785531137</v>
      </c>
      <c r="AG1055" s="238">
        <f>MAX(H1055/H1059)</f>
        <v>5.5688977063102572E-2</v>
      </c>
      <c r="AH1055" s="235">
        <f t="shared" si="198"/>
        <v>667627.45738130948</v>
      </c>
    </row>
    <row r="1056" spans="1:34" ht="15" customHeight="1" x14ac:dyDescent="0.2">
      <c r="A1056" s="962" t="s">
        <v>390</v>
      </c>
      <c r="B1056" s="245">
        <v>10.5</v>
      </c>
      <c r="C1056" s="1146"/>
      <c r="D1056" s="1146"/>
      <c r="E1056" s="1146"/>
      <c r="F1056" s="1146"/>
      <c r="G1056" s="1146"/>
      <c r="H1056" s="1146">
        <v>10.5</v>
      </c>
      <c r="I1056" s="1146">
        <v>10.5</v>
      </c>
      <c r="J1056" s="1147">
        <v>52.5</v>
      </c>
      <c r="K1056" s="1147">
        <v>5</v>
      </c>
      <c r="L1056" s="1066" t="s">
        <v>988</v>
      </c>
      <c r="M1056" s="1922">
        <v>2550000</v>
      </c>
      <c r="N1056" s="959">
        <v>22070600.904319998</v>
      </c>
      <c r="O1056" s="1149">
        <v>11988502.798764002</v>
      </c>
      <c r="P1056" s="950"/>
      <c r="Q1056" s="950"/>
      <c r="R1056" s="950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237">
        <f>MAX(J1056/J1059)</f>
        <v>5.4123153369552892E-3</v>
      </c>
      <c r="AD1056" s="235">
        <f t="shared" si="196"/>
        <v>13801.404109235988</v>
      </c>
      <c r="AE1056" s="238">
        <f>MAX(I1056/I1059)</f>
        <v>6.382784717789732E-3</v>
      </c>
      <c r="AF1056" s="235">
        <f t="shared" si="197"/>
        <v>140871.89416452992</v>
      </c>
      <c r="AG1056" s="238">
        <f>MAX(H1056/H1059)</f>
        <v>7.309178239532213E-3</v>
      </c>
      <c r="AH1056" s="235">
        <f t="shared" si="198"/>
        <v>87626.103781296872</v>
      </c>
    </row>
    <row r="1057" spans="1:34" ht="15" customHeight="1" x14ac:dyDescent="0.2">
      <c r="A1057" s="962" t="s">
        <v>941</v>
      </c>
      <c r="B1057" s="245">
        <v>194.5</v>
      </c>
      <c r="C1057" s="1146"/>
      <c r="D1057" s="1146"/>
      <c r="E1057" s="1146"/>
      <c r="F1057" s="1146">
        <v>5</v>
      </c>
      <c r="G1057" s="1146">
        <v>3</v>
      </c>
      <c r="H1057" s="1146">
        <v>186.5</v>
      </c>
      <c r="I1057" s="1146">
        <v>189.5</v>
      </c>
      <c r="J1057" s="1147">
        <v>1305.5</v>
      </c>
      <c r="K1057" s="1147">
        <v>7</v>
      </c>
      <c r="L1057" s="1066" t="s">
        <v>988</v>
      </c>
      <c r="M1057" s="1922">
        <v>2550000</v>
      </c>
      <c r="N1057" s="959">
        <v>22070600.904319998</v>
      </c>
      <c r="O1057" s="1149">
        <v>11988502.798764002</v>
      </c>
      <c r="P1057" s="950"/>
      <c r="Q1057" s="950"/>
      <c r="R1057" s="950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237">
        <f>MAX(J1057/J1059)</f>
        <v>0.13458624137895486</v>
      </c>
      <c r="AD1057" s="235">
        <f t="shared" si="196"/>
        <v>343194.91551633488</v>
      </c>
      <c r="AE1057" s="238">
        <f>MAX(I1057/I1059)</f>
        <v>0.11519406704963374</v>
      </c>
      <c r="AF1057" s="235">
        <f t="shared" si="197"/>
        <v>2542402.2803979451</v>
      </c>
      <c r="AG1057" s="238">
        <f>MAX(H1057/H1059)</f>
        <v>0.12982492777835788</v>
      </c>
      <c r="AH1057" s="235">
        <f t="shared" si="198"/>
        <v>1556406.5100201778</v>
      </c>
    </row>
    <row r="1058" spans="1:34" ht="15" customHeight="1" thickBot="1" x14ac:dyDescent="0.25">
      <c r="A1058" s="1140" t="s">
        <v>392</v>
      </c>
      <c r="B1058" s="1537">
        <v>0</v>
      </c>
      <c r="C1058" s="1141">
        <v>4</v>
      </c>
      <c r="D1058" s="1141">
        <v>0</v>
      </c>
      <c r="E1058" s="1141">
        <v>0</v>
      </c>
      <c r="F1058" s="1141">
        <v>0</v>
      </c>
      <c r="G1058" s="1141">
        <v>0</v>
      </c>
      <c r="H1058" s="1146">
        <v>0</v>
      </c>
      <c r="I1058" s="1146">
        <v>4</v>
      </c>
      <c r="J1058" s="1526">
        <v>0</v>
      </c>
      <c r="K1058" s="1142"/>
      <c r="L1058" s="1066"/>
      <c r="M1058" s="1922"/>
      <c r="N1058" s="959">
        <v>22070600.904319998</v>
      </c>
      <c r="O1058" s="1149"/>
      <c r="P1058" s="950"/>
      <c r="Q1058" s="950"/>
      <c r="R1058" s="950"/>
      <c r="S1058" s="9"/>
      <c r="T1058" s="9"/>
      <c r="U1058" s="9"/>
      <c r="Z1058" s="9"/>
      <c r="AA1058" s="9"/>
      <c r="AB1058" s="9"/>
      <c r="AC1058" s="237">
        <f>MAX(J1058/J1059)</f>
        <v>0</v>
      </c>
      <c r="AD1058" s="235">
        <f t="shared" si="196"/>
        <v>0</v>
      </c>
      <c r="AE1058" s="238">
        <f>MAX(I1058/I1059)</f>
        <v>2.4315370353484695E-3</v>
      </c>
      <c r="AF1058" s="235">
        <f t="shared" si="197"/>
        <v>53665.483491249499</v>
      </c>
      <c r="AG1058" s="238">
        <f>MAX(H1058/H1059)</f>
        <v>0</v>
      </c>
      <c r="AH1058" s="235">
        <f t="shared" si="198"/>
        <v>0</v>
      </c>
    </row>
    <row r="1059" spans="1:34" ht="15" customHeight="1" thickBot="1" x14ac:dyDescent="0.25">
      <c r="A1059" s="405" t="s">
        <v>942</v>
      </c>
      <c r="B1059" s="1131">
        <v>1540.05</v>
      </c>
      <c r="C1059" s="1131">
        <v>160</v>
      </c>
      <c r="D1059" s="1131">
        <v>14.5</v>
      </c>
      <c r="E1059" s="1131">
        <v>13</v>
      </c>
      <c r="F1059" s="1131">
        <v>42</v>
      </c>
      <c r="G1059" s="1131">
        <v>34</v>
      </c>
      <c r="H1059" s="1131">
        <v>1436.55</v>
      </c>
      <c r="I1059" s="1131">
        <v>1645.0500000000002</v>
      </c>
      <c r="J1059" s="1132">
        <v>9700.1</v>
      </c>
      <c r="K1059" s="1132">
        <v>6.7523580801225158</v>
      </c>
      <c r="L1059" s="1525" t="s">
        <v>988</v>
      </c>
      <c r="M1059" s="1134">
        <v>2549999.9999999991</v>
      </c>
      <c r="N1059" s="1134">
        <v>22070600.904319994</v>
      </c>
      <c r="O1059" s="506">
        <v>11988502.798764002</v>
      </c>
      <c r="P1059" s="950"/>
      <c r="Q1059" s="950"/>
      <c r="R1059" s="950"/>
      <c r="S1059" s="9"/>
      <c r="T1059" s="9"/>
      <c r="U1059" s="9"/>
      <c r="Z1059" s="9"/>
      <c r="AA1059" s="9"/>
      <c r="AB1059" s="9"/>
      <c r="AC1059" s="1159">
        <f t="shared" ref="AC1059:AH1059" si="199">SUM(AC1019:AC1058)</f>
        <v>0.99999999999999978</v>
      </c>
      <c r="AD1059" s="1160">
        <f t="shared" si="199"/>
        <v>2549999.9999999991</v>
      </c>
      <c r="AE1059" s="1161">
        <f t="shared" si="199"/>
        <v>0.99999999999999978</v>
      </c>
      <c r="AF1059" s="1160">
        <f t="shared" si="199"/>
        <v>22070600.904319994</v>
      </c>
      <c r="AG1059" s="1161">
        <f t="shared" si="199"/>
        <v>1.0000000000000004</v>
      </c>
      <c r="AH1059" s="1160">
        <f t="shared" si="199"/>
        <v>11988502.798764002</v>
      </c>
    </row>
    <row r="1060" spans="1:34" x14ac:dyDescent="0.2">
      <c r="A1060" s="7" t="s">
        <v>1934</v>
      </c>
      <c r="B1060" s="224"/>
      <c r="C1060" s="224"/>
      <c r="D1060" s="224"/>
      <c r="E1060" s="224"/>
      <c r="F1060" s="224"/>
      <c r="G1060" s="224"/>
      <c r="H1060" s="224"/>
      <c r="I1060" s="224"/>
      <c r="J1060" s="224"/>
      <c r="K1060" s="240"/>
      <c r="L1060" s="241"/>
      <c r="M1060" s="240"/>
      <c r="N1060" s="240"/>
      <c r="O1060" s="240"/>
      <c r="P1060" s="950"/>
      <c r="Q1060" s="950"/>
      <c r="R1060" s="950"/>
      <c r="S1060" s="9"/>
      <c r="T1060" s="9"/>
      <c r="U1060" s="9"/>
      <c r="Z1060" s="9"/>
      <c r="AA1060" s="9"/>
      <c r="AB1060" s="9"/>
      <c r="AC1060" s="9"/>
      <c r="AD1060" s="9"/>
      <c r="AE1060" s="9"/>
      <c r="AF1060" s="9"/>
      <c r="AG1060" s="9"/>
      <c r="AH1060" s="9"/>
    </row>
    <row r="1061" spans="1:34" x14ac:dyDescent="0.2">
      <c r="A1061" s="34"/>
      <c r="B1061" s="224"/>
      <c r="C1061" s="224"/>
      <c r="D1061" s="224"/>
      <c r="E1061" s="224"/>
      <c r="F1061" s="224"/>
      <c r="G1061" s="224"/>
      <c r="H1061" s="224"/>
      <c r="I1061" s="224"/>
      <c r="J1061" s="224"/>
      <c r="K1061" s="1544"/>
      <c r="L1061" s="241"/>
      <c r="M1061" s="240"/>
      <c r="N1061" s="240"/>
      <c r="O1061" s="240"/>
      <c r="P1061" s="950"/>
      <c r="Q1061" s="950"/>
      <c r="R1061" s="950"/>
      <c r="Z1061" s="9"/>
      <c r="AA1061" s="9"/>
      <c r="AB1061" s="9"/>
      <c r="AC1061" s="9"/>
      <c r="AD1061" s="9"/>
      <c r="AE1061" s="9"/>
      <c r="AF1061" s="9"/>
      <c r="AG1061" s="9"/>
      <c r="AH1061" s="9"/>
    </row>
    <row r="1062" spans="1:34" x14ac:dyDescent="0.2">
      <c r="A1062" s="34"/>
      <c r="B1062" s="224"/>
      <c r="C1062" s="224"/>
      <c r="D1062" s="224"/>
      <c r="E1062" s="224"/>
      <c r="F1062" s="224"/>
      <c r="G1062" s="224"/>
      <c r="H1062" s="224"/>
      <c r="I1062" s="224"/>
      <c r="J1062" s="224"/>
      <c r="K1062" s="1544"/>
      <c r="L1062" s="241"/>
      <c r="M1062" s="240"/>
      <c r="N1062" s="240"/>
      <c r="O1062" s="240"/>
      <c r="P1062" s="9"/>
      <c r="Z1062" s="9"/>
      <c r="AA1062" s="9"/>
      <c r="AB1062" s="9"/>
      <c r="AC1062" s="9"/>
      <c r="AD1062" s="9"/>
      <c r="AE1062" s="9"/>
      <c r="AF1062" s="9"/>
      <c r="AG1062" s="9"/>
      <c r="AH1062" s="9"/>
    </row>
    <row r="1063" spans="1:34" ht="15" x14ac:dyDescent="0.25">
      <c r="A1063" s="2843" t="s">
        <v>1931</v>
      </c>
      <c r="B1063" s="2843"/>
      <c r="C1063" s="2843"/>
      <c r="D1063" s="2843"/>
      <c r="E1063" s="2843"/>
      <c r="F1063" s="2843"/>
      <c r="G1063" s="2843"/>
      <c r="H1063" s="2843"/>
      <c r="I1063" s="2843"/>
      <c r="J1063" s="2843"/>
      <c r="K1063" s="2843"/>
      <c r="L1063" s="2843"/>
      <c r="M1063" s="2843"/>
      <c r="N1063" s="2843"/>
      <c r="O1063" s="2843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</row>
    <row r="1064" spans="1:34" x14ac:dyDescent="0.2">
      <c r="A1064" s="246"/>
      <c r="B1064" s="246"/>
      <c r="C1064" s="240"/>
      <c r="D1064" s="240"/>
      <c r="E1064" s="240"/>
      <c r="F1064" s="240"/>
      <c r="G1064" s="240"/>
      <c r="H1064" s="240"/>
      <c r="I1064" s="240"/>
      <c r="J1064" s="240"/>
      <c r="K1064" s="240"/>
      <c r="L1064" s="241"/>
      <c r="M1064" s="240"/>
      <c r="N1064" s="240"/>
      <c r="O1064" s="240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</row>
    <row r="1065" spans="1:34" ht="13.5" thickBot="1" x14ac:dyDescent="0.25">
      <c r="A1065" s="181" t="s">
        <v>951</v>
      </c>
      <c r="B1065" s="246"/>
      <c r="C1065" s="240"/>
      <c r="D1065" s="240"/>
      <c r="E1065" s="240"/>
      <c r="F1065" s="240"/>
      <c r="G1065" s="240"/>
      <c r="H1065" s="240"/>
      <c r="I1065" s="240"/>
      <c r="J1065" s="240"/>
      <c r="K1065" s="240"/>
      <c r="L1065" s="241"/>
      <c r="M1065" s="240"/>
      <c r="N1065" s="240"/>
      <c r="O1065" s="240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</row>
    <row r="1066" spans="1:34" ht="15" customHeight="1" x14ac:dyDescent="0.2">
      <c r="A1066" s="2844" t="s">
        <v>327</v>
      </c>
      <c r="B1066" s="2847" t="s">
        <v>1932</v>
      </c>
      <c r="C1066" s="2848"/>
      <c r="D1066" s="2848"/>
      <c r="E1066" s="2848"/>
      <c r="F1066" s="2848"/>
      <c r="G1066" s="2848"/>
      <c r="H1066" s="2848"/>
      <c r="I1066" s="2848"/>
      <c r="J1066" s="2848"/>
      <c r="K1066" s="2848"/>
      <c r="L1066" s="2848"/>
      <c r="M1066" s="2848"/>
      <c r="N1066" s="2848"/>
      <c r="O1066" s="284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228" t="s">
        <v>910</v>
      </c>
      <c r="AD1066" s="229"/>
      <c r="AE1066" s="229"/>
      <c r="AF1066" s="229"/>
      <c r="AG1066" s="229"/>
      <c r="AH1066" s="243"/>
    </row>
    <row r="1067" spans="1:34" ht="15" customHeight="1" x14ac:dyDescent="0.2">
      <c r="A1067" s="2845"/>
      <c r="B1067" s="2850" t="s">
        <v>191</v>
      </c>
      <c r="C1067" s="2850"/>
      <c r="D1067" s="2850"/>
      <c r="E1067" s="2850"/>
      <c r="F1067" s="2850"/>
      <c r="G1067" s="2850"/>
      <c r="H1067" s="2850"/>
      <c r="I1067" s="2850"/>
      <c r="J1067" s="2119"/>
      <c r="K1067" s="2119" t="s">
        <v>904</v>
      </c>
      <c r="L1067" s="2119"/>
      <c r="M1067" s="1122" t="s">
        <v>437</v>
      </c>
      <c r="N1067" s="1122" t="s">
        <v>911</v>
      </c>
      <c r="O1067" s="1127" t="s">
        <v>911</v>
      </c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230" t="s">
        <v>333</v>
      </c>
      <c r="AD1067" s="231" t="s">
        <v>333</v>
      </c>
      <c r="AE1067" s="231" t="s">
        <v>333</v>
      </c>
      <c r="AF1067" s="231" t="s">
        <v>333</v>
      </c>
      <c r="AG1067" s="231" t="s">
        <v>333</v>
      </c>
      <c r="AH1067" s="231" t="s">
        <v>333</v>
      </c>
    </row>
    <row r="1068" spans="1:34" ht="15" customHeight="1" x14ac:dyDescent="0.2">
      <c r="A1068" s="2845"/>
      <c r="B1068" s="2119" t="s">
        <v>433</v>
      </c>
      <c r="C1068" s="2119"/>
      <c r="D1068" s="2841" t="s">
        <v>1865</v>
      </c>
      <c r="E1068" s="2119"/>
      <c r="F1068" s="2119"/>
      <c r="G1068" s="2119" t="s">
        <v>912</v>
      </c>
      <c r="H1068" s="2119"/>
      <c r="I1068" s="2119" t="s">
        <v>433</v>
      </c>
      <c r="J1068" s="2138" t="s">
        <v>913</v>
      </c>
      <c r="K1068" s="2138" t="s">
        <v>842</v>
      </c>
      <c r="L1068" s="2138" t="s">
        <v>329</v>
      </c>
      <c r="M1068" s="1123" t="s">
        <v>914</v>
      </c>
      <c r="N1068" s="1123" t="s">
        <v>915</v>
      </c>
      <c r="O1068" s="1128" t="s">
        <v>914</v>
      </c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230" t="s">
        <v>913</v>
      </c>
      <c r="AD1068" s="231" t="s">
        <v>916</v>
      </c>
      <c r="AE1068" s="231" t="s">
        <v>917</v>
      </c>
      <c r="AF1068" s="231" t="s">
        <v>918</v>
      </c>
      <c r="AG1068" s="231" t="s">
        <v>192</v>
      </c>
      <c r="AH1068" s="231" t="s">
        <v>918</v>
      </c>
    </row>
    <row r="1069" spans="1:34" ht="15" customHeight="1" x14ac:dyDescent="0.2">
      <c r="A1069" s="2845"/>
      <c r="B1069" s="2138" t="s">
        <v>920</v>
      </c>
      <c r="C1069" s="2138" t="s">
        <v>922</v>
      </c>
      <c r="D1069" s="2842"/>
      <c r="E1069" s="2138" t="s">
        <v>867</v>
      </c>
      <c r="F1069" s="2138" t="s">
        <v>921</v>
      </c>
      <c r="G1069" s="2138" t="s">
        <v>923</v>
      </c>
      <c r="H1069" s="2138" t="s">
        <v>836</v>
      </c>
      <c r="I1069" s="2138" t="s">
        <v>835</v>
      </c>
      <c r="J1069" s="2138" t="s">
        <v>924</v>
      </c>
      <c r="K1069" s="2138" t="s">
        <v>925</v>
      </c>
      <c r="L1069" s="2138" t="s">
        <v>336</v>
      </c>
      <c r="M1069" s="1123" t="s">
        <v>926</v>
      </c>
      <c r="N1069" s="1123" t="s">
        <v>927</v>
      </c>
      <c r="O1069" s="1128" t="s">
        <v>928</v>
      </c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230"/>
      <c r="AD1069" s="231" t="s">
        <v>843</v>
      </c>
      <c r="AE1069" s="231"/>
      <c r="AF1069" s="231" t="s">
        <v>929</v>
      </c>
      <c r="AG1069" s="231"/>
      <c r="AH1069" s="231" t="s">
        <v>930</v>
      </c>
    </row>
    <row r="1070" spans="1:34" ht="15" customHeight="1" thickBot="1" x14ac:dyDescent="0.25">
      <c r="A1070" s="2846"/>
      <c r="B1070" s="1881">
        <v>44926</v>
      </c>
      <c r="C1070" s="2139">
        <v>2023</v>
      </c>
      <c r="D1070" s="2139">
        <v>2023</v>
      </c>
      <c r="E1070" s="2139">
        <v>2023</v>
      </c>
      <c r="F1070" s="2139">
        <v>2023</v>
      </c>
      <c r="G1070" s="2139" t="s">
        <v>931</v>
      </c>
      <c r="H1070" s="1126">
        <v>2023</v>
      </c>
      <c r="I1070" s="1881">
        <v>45291</v>
      </c>
      <c r="J1070" s="1881" t="s">
        <v>1933</v>
      </c>
      <c r="K1070" s="1881" t="s">
        <v>1933</v>
      </c>
      <c r="L1070" s="2139" t="s">
        <v>441</v>
      </c>
      <c r="M1070" s="1125" t="s">
        <v>932</v>
      </c>
      <c r="N1070" s="1125" t="s">
        <v>933</v>
      </c>
      <c r="O1070" s="1129" t="s">
        <v>933</v>
      </c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232"/>
      <c r="AD1070" s="233" t="s">
        <v>934</v>
      </c>
      <c r="AE1070" s="233"/>
      <c r="AF1070" s="233" t="s">
        <v>935</v>
      </c>
      <c r="AG1070" s="233"/>
      <c r="AH1070" s="233" t="s">
        <v>936</v>
      </c>
    </row>
    <row r="1071" spans="1:34" ht="15" customHeight="1" x14ac:dyDescent="0.2">
      <c r="A1071" s="1135" t="s">
        <v>352</v>
      </c>
      <c r="B1071" s="1130">
        <v>509.5</v>
      </c>
      <c r="C1071" s="1130">
        <v>30</v>
      </c>
      <c r="D1071" s="1130">
        <v>9</v>
      </c>
      <c r="E1071" s="1130">
        <v>1</v>
      </c>
      <c r="F1071" s="1130">
        <v>28</v>
      </c>
      <c r="G1071" s="1130">
        <v>7</v>
      </c>
      <c r="H1071" s="1130">
        <v>464.5</v>
      </c>
      <c r="I1071" s="1130">
        <v>510.5</v>
      </c>
      <c r="J1071" s="1136">
        <v>5771.5</v>
      </c>
      <c r="K1071" s="1535">
        <v>12.42518837459634</v>
      </c>
      <c r="L1071" s="380"/>
      <c r="M1071" s="1138"/>
      <c r="N1071" s="1138"/>
      <c r="O1071" s="113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1155"/>
      <c r="AD1071" s="1156"/>
      <c r="AE1071" s="1156"/>
      <c r="AF1071" s="1156"/>
      <c r="AG1071" s="1156"/>
      <c r="AH1071" s="1156"/>
    </row>
    <row r="1072" spans="1:34" ht="15" customHeight="1" x14ac:dyDescent="0.2">
      <c r="A1072" s="962" t="s">
        <v>353</v>
      </c>
      <c r="B1072" s="1498">
        <v>48</v>
      </c>
      <c r="C1072" s="1146">
        <v>2</v>
      </c>
      <c r="D1072" s="1146"/>
      <c r="E1072" s="1146"/>
      <c r="F1072" s="1146"/>
      <c r="G1072" s="1146"/>
      <c r="H1072" s="1146">
        <v>48</v>
      </c>
      <c r="I1072" s="1146">
        <v>50</v>
      </c>
      <c r="J1072" s="1147">
        <v>768</v>
      </c>
      <c r="K1072" s="1147">
        <v>16</v>
      </c>
      <c r="L1072" s="1066" t="s">
        <v>988</v>
      </c>
      <c r="M1072" s="959">
        <v>2744000</v>
      </c>
      <c r="N1072" s="959">
        <v>30634878.2784</v>
      </c>
      <c r="O1072" s="1149">
        <v>16033099.501560001</v>
      </c>
      <c r="P1072" s="950"/>
      <c r="Q1072" s="950"/>
      <c r="R1072" s="950"/>
      <c r="S1072" s="950"/>
      <c r="T1072" s="950"/>
      <c r="U1072" s="950"/>
      <c r="V1072" s="950"/>
      <c r="W1072" s="950"/>
      <c r="X1072" s="950"/>
      <c r="Y1072" s="950"/>
      <c r="Z1072" s="9"/>
      <c r="AA1072" s="9"/>
      <c r="AB1072" s="9"/>
      <c r="AC1072" s="237">
        <f>MAX(J1072/J1112)</f>
        <v>4.7069437226041164E-2</v>
      </c>
      <c r="AD1072" s="235">
        <f t="shared" ref="AD1072:AD1086" si="200">MAX(M1072*AC1072)</f>
        <v>129158.53574825695</v>
      </c>
      <c r="AE1072" s="238">
        <f>MAX(I1072/I1112)</f>
        <v>3.6340642647924581E-2</v>
      </c>
      <c r="AF1072" s="235">
        <f t="shared" ref="AF1072:AF1086" si="201">MAX(N1072*AE1072)</f>
        <v>1113291.1640780014</v>
      </c>
      <c r="AG1072" s="238">
        <f>MAX(H1072/H1112)</f>
        <v>4.0855584022062012E-2</v>
      </c>
      <c r="AH1072" s="235">
        <f t="shared" ref="AH1072:AH1086" si="202">MAX(O1072*AG1072)</f>
        <v>655041.64382006519</v>
      </c>
    </row>
    <row r="1073" spans="1:34" ht="15" customHeight="1" x14ac:dyDescent="0.2">
      <c r="A1073" s="962" t="s">
        <v>354</v>
      </c>
      <c r="B1073" s="1498">
        <v>5.5</v>
      </c>
      <c r="C1073" s="1146">
        <v>5</v>
      </c>
      <c r="D1073" s="1146"/>
      <c r="E1073" s="1146"/>
      <c r="F1073" s="1146"/>
      <c r="G1073" s="1146"/>
      <c r="H1073" s="1146">
        <v>5.5</v>
      </c>
      <c r="I1073" s="1146">
        <v>10.5</v>
      </c>
      <c r="J1073" s="1147">
        <v>77</v>
      </c>
      <c r="K1073" s="1147">
        <v>14</v>
      </c>
      <c r="L1073" s="1066" t="s">
        <v>988</v>
      </c>
      <c r="M1073" s="959">
        <v>2744000</v>
      </c>
      <c r="N1073" s="959">
        <v>30634878.2784</v>
      </c>
      <c r="O1073" s="1149">
        <v>16033099.501560001</v>
      </c>
      <c r="P1073" s="950"/>
      <c r="Q1073" s="950"/>
      <c r="R1073" s="950"/>
      <c r="S1073" s="950"/>
      <c r="T1073" s="950"/>
      <c r="U1073" s="950"/>
      <c r="V1073" s="950"/>
      <c r="W1073" s="950"/>
      <c r="X1073" s="950"/>
      <c r="Y1073" s="950"/>
      <c r="Z1073" s="9"/>
      <c r="AA1073" s="9"/>
      <c r="AB1073" s="9"/>
      <c r="AC1073" s="237">
        <f>MAX(J1073/J1112)</f>
        <v>4.7192013885483984E-3</v>
      </c>
      <c r="AD1073" s="235">
        <f t="shared" si="200"/>
        <v>12949.488610176806</v>
      </c>
      <c r="AE1073" s="238">
        <f>MAX(I1073/I1112)</f>
        <v>7.6315349560641624E-3</v>
      </c>
      <c r="AF1073" s="235">
        <f t="shared" si="201"/>
        <v>233791.14445638031</v>
      </c>
      <c r="AG1073" s="238">
        <f>MAX(H1073/H1112)</f>
        <v>4.6813690025279391E-3</v>
      </c>
      <c r="AH1073" s="235">
        <f t="shared" si="202"/>
        <v>75056.855021049138</v>
      </c>
    </row>
    <row r="1074" spans="1:34" ht="15" customHeight="1" x14ac:dyDescent="0.2">
      <c r="A1074" s="962" t="s">
        <v>355</v>
      </c>
      <c r="B1074" s="1498">
        <v>135.5</v>
      </c>
      <c r="C1074" s="1146">
        <v>2</v>
      </c>
      <c r="D1074" s="1146">
        <v>9</v>
      </c>
      <c r="E1074" s="1146"/>
      <c r="F1074" s="1146"/>
      <c r="G1074" s="1146"/>
      <c r="H1074" s="1146">
        <v>126.5</v>
      </c>
      <c r="I1074" s="1146">
        <v>137.5</v>
      </c>
      <c r="J1074" s="1147">
        <v>1518</v>
      </c>
      <c r="K1074" s="1147">
        <v>12</v>
      </c>
      <c r="L1074" s="1066" t="s">
        <v>988</v>
      </c>
      <c r="M1074" s="959">
        <v>2744000</v>
      </c>
      <c r="N1074" s="959">
        <v>30634878.2784</v>
      </c>
      <c r="O1074" s="1149">
        <v>16033099.501560001</v>
      </c>
      <c r="P1074" s="950"/>
      <c r="Q1074" s="950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237">
        <f>MAX(J1074/J1112)</f>
        <v>9.3035684517096998E-2</v>
      </c>
      <c r="AD1074" s="235">
        <f t="shared" si="200"/>
        <v>255289.91831491416</v>
      </c>
      <c r="AE1074" s="238">
        <f>MAX(I1074/I1112)</f>
        <v>9.9936767281792599E-2</v>
      </c>
      <c r="AF1074" s="235">
        <f t="shared" si="201"/>
        <v>3061550.701214504</v>
      </c>
      <c r="AG1074" s="238">
        <f>MAX(H1074/H1112)</f>
        <v>0.1076714870581426</v>
      </c>
      <c r="AH1074" s="235">
        <f t="shared" si="202"/>
        <v>1726307.6654841301</v>
      </c>
    </row>
    <row r="1075" spans="1:34" ht="15" customHeight="1" x14ac:dyDescent="0.2">
      <c r="A1075" s="962" t="s">
        <v>356</v>
      </c>
      <c r="B1075" s="1498">
        <v>39</v>
      </c>
      <c r="C1075" s="1146">
        <v>10</v>
      </c>
      <c r="D1075" s="1146"/>
      <c r="E1075" s="1146"/>
      <c r="F1075" s="1146">
        <v>5</v>
      </c>
      <c r="G1075" s="1146"/>
      <c r="H1075" s="1146">
        <v>34</v>
      </c>
      <c r="I1075" s="1146">
        <v>44</v>
      </c>
      <c r="J1075" s="1147">
        <v>306</v>
      </c>
      <c r="K1075" s="1147">
        <v>9</v>
      </c>
      <c r="L1075" s="1066" t="s">
        <v>988</v>
      </c>
      <c r="M1075" s="959">
        <v>2744000</v>
      </c>
      <c r="N1075" s="959">
        <v>30634878.2784</v>
      </c>
      <c r="O1075" s="1149">
        <v>16033099.501560001</v>
      </c>
      <c r="P1075" s="950"/>
      <c r="Q1075" s="950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237">
        <f>MAX(J1075/J1112)</f>
        <v>1.8754228894750778E-2</v>
      </c>
      <c r="AD1075" s="235">
        <f t="shared" si="200"/>
        <v>51461.604087196138</v>
      </c>
      <c r="AE1075" s="238">
        <f>MAX(I1075/I1112)</f>
        <v>3.1979765530173634E-2</v>
      </c>
      <c r="AF1075" s="235">
        <f t="shared" si="201"/>
        <v>979696.22438864131</v>
      </c>
      <c r="AG1075" s="238">
        <f>MAX(H1075/H1112)</f>
        <v>2.8939372015627258E-2</v>
      </c>
      <c r="AH1075" s="235">
        <f t="shared" si="202"/>
        <v>463987.83103921282</v>
      </c>
    </row>
    <row r="1076" spans="1:34" ht="15" customHeight="1" x14ac:dyDescent="0.2">
      <c r="A1076" s="962" t="s">
        <v>357</v>
      </c>
      <c r="B1076" s="1498">
        <v>73</v>
      </c>
      <c r="C1076" s="1146">
        <v>0</v>
      </c>
      <c r="D1076" s="1146">
        <v>0</v>
      </c>
      <c r="E1076" s="1146">
        <v>0</v>
      </c>
      <c r="F1076" s="1146">
        <v>0</v>
      </c>
      <c r="G1076" s="1146">
        <v>0</v>
      </c>
      <c r="H1076" s="1146">
        <v>73</v>
      </c>
      <c r="I1076" s="1146">
        <v>73</v>
      </c>
      <c r="J1076" s="1147">
        <v>730</v>
      </c>
      <c r="K1076" s="1147">
        <v>10</v>
      </c>
      <c r="L1076" s="1066" t="s">
        <v>988</v>
      </c>
      <c r="M1076" s="959">
        <v>2744000</v>
      </c>
      <c r="N1076" s="959">
        <v>30634878.2784</v>
      </c>
      <c r="O1076" s="1149">
        <v>16033099.501560001</v>
      </c>
      <c r="P1076" s="950"/>
      <c r="Q1076" s="950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237">
        <f>MAX(J1076/J1112)</f>
        <v>4.4740480696627671E-2</v>
      </c>
      <c r="AD1076" s="235">
        <f t="shared" si="200"/>
        <v>122767.87903154633</v>
      </c>
      <c r="AE1076" s="238">
        <f>MAX(I1076/I1112)</f>
        <v>5.3057338265969888E-2</v>
      </c>
      <c r="AF1076" s="235">
        <f t="shared" si="201"/>
        <v>1625405.0995538821</v>
      </c>
      <c r="AG1076" s="238">
        <f>MAX(H1076/H1112)</f>
        <v>6.2134534033552645E-2</v>
      </c>
      <c r="AH1076" s="235">
        <f t="shared" si="202"/>
        <v>996209.16664301581</v>
      </c>
    </row>
    <row r="1077" spans="1:34" ht="15" customHeight="1" x14ac:dyDescent="0.2">
      <c r="A1077" s="962" t="s">
        <v>358</v>
      </c>
      <c r="B1077" s="1498">
        <v>92</v>
      </c>
      <c r="C1077" s="1146">
        <v>0</v>
      </c>
      <c r="D1077" s="1146">
        <v>0</v>
      </c>
      <c r="E1077" s="1146">
        <v>0</v>
      </c>
      <c r="F1077" s="1146">
        <v>0</v>
      </c>
      <c r="G1077" s="1146">
        <v>0</v>
      </c>
      <c r="H1077" s="1146">
        <v>92</v>
      </c>
      <c r="I1077" s="1146">
        <v>92</v>
      </c>
      <c r="J1077" s="1147">
        <v>1104</v>
      </c>
      <c r="K1077" s="1147">
        <v>12</v>
      </c>
      <c r="L1077" s="1066" t="s">
        <v>988</v>
      </c>
      <c r="M1077" s="959">
        <v>2744000</v>
      </c>
      <c r="N1077" s="959">
        <v>30634878.2784</v>
      </c>
      <c r="O1077" s="1149">
        <v>16033099.501560001</v>
      </c>
      <c r="P1077" s="950"/>
      <c r="Q1077" s="950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237">
        <f>MAX(J1077/J1112)</f>
        <v>6.7662316012434179E-2</v>
      </c>
      <c r="AD1077" s="235">
        <f t="shared" si="200"/>
        <v>185665.39513811938</v>
      </c>
      <c r="AE1077" s="238">
        <f>MAX(I1077/I1112)</f>
        <v>6.6866782472181238E-2</v>
      </c>
      <c r="AF1077" s="235">
        <f t="shared" si="201"/>
        <v>2048455.741903523</v>
      </c>
      <c r="AG1077" s="238">
        <f>MAX(H1077/H1112)</f>
        <v>7.8306536042285518E-2</v>
      </c>
      <c r="AH1077" s="235">
        <f t="shared" si="202"/>
        <v>1255496.4839884581</v>
      </c>
    </row>
    <row r="1078" spans="1:34" ht="15" customHeight="1" x14ac:dyDescent="0.2">
      <c r="A1078" s="962" t="s">
        <v>937</v>
      </c>
      <c r="B1078" s="1498">
        <v>0</v>
      </c>
      <c r="C1078" s="1146">
        <v>4</v>
      </c>
      <c r="D1078" s="1146">
        <v>0</v>
      </c>
      <c r="E1078" s="1146">
        <v>0</v>
      </c>
      <c r="F1078" s="1146">
        <v>0</v>
      </c>
      <c r="G1078" s="1146">
        <v>0</v>
      </c>
      <c r="H1078" s="1146">
        <v>0</v>
      </c>
      <c r="I1078" s="1146">
        <v>4</v>
      </c>
      <c r="J1078" s="1147">
        <v>0</v>
      </c>
      <c r="K1078" s="1147">
        <v>0</v>
      </c>
      <c r="L1078" s="1066"/>
      <c r="M1078" s="959"/>
      <c r="N1078" s="959">
        <v>30634878.2784</v>
      </c>
      <c r="O1078" s="1149"/>
      <c r="P1078" s="950"/>
      <c r="Q1078" s="950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237">
        <f>MAX(J1078/J1112)</f>
        <v>0</v>
      </c>
      <c r="AD1078" s="235">
        <f t="shared" si="200"/>
        <v>0</v>
      </c>
      <c r="AE1078" s="238">
        <f>MAX(I1078/I1112)</f>
        <v>2.9072514118339667E-3</v>
      </c>
      <c r="AF1078" s="235">
        <f t="shared" si="201"/>
        <v>89063.293126240125</v>
      </c>
      <c r="AG1078" s="238">
        <f>MAX(H1078/H1112)</f>
        <v>0</v>
      </c>
      <c r="AH1078" s="235">
        <f t="shared" si="202"/>
        <v>0</v>
      </c>
    </row>
    <row r="1079" spans="1:34" ht="15" customHeight="1" x14ac:dyDescent="0.2">
      <c r="A1079" s="962" t="s">
        <v>360</v>
      </c>
      <c r="B1079" s="1498">
        <v>5</v>
      </c>
      <c r="C1079" s="1146">
        <v>3</v>
      </c>
      <c r="D1079" s="1146">
        <v>0</v>
      </c>
      <c r="E1079" s="1146">
        <v>0</v>
      </c>
      <c r="F1079" s="1146">
        <v>0</v>
      </c>
      <c r="G1079" s="1146">
        <v>0</v>
      </c>
      <c r="H1079" s="1146">
        <v>5</v>
      </c>
      <c r="I1079" s="1146">
        <v>8</v>
      </c>
      <c r="J1079" s="1147">
        <v>65</v>
      </c>
      <c r="K1079" s="1147">
        <v>13</v>
      </c>
      <c r="L1079" s="1066" t="s">
        <v>988</v>
      </c>
      <c r="M1079" s="959">
        <v>2744000</v>
      </c>
      <c r="N1079" s="959">
        <v>30634878.2784</v>
      </c>
      <c r="O1079" s="1149">
        <v>16033099.501560001</v>
      </c>
      <c r="P1079" s="950"/>
      <c r="Q1079" s="950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237">
        <f>MAX(J1079/J1112)</f>
        <v>3.983741431891505E-3</v>
      </c>
      <c r="AD1079" s="235">
        <f t="shared" si="200"/>
        <v>10931.386489110289</v>
      </c>
      <c r="AE1079" s="238">
        <f>MAX(I1079/I1112)</f>
        <v>5.8145028236679334E-3</v>
      </c>
      <c r="AF1079" s="235">
        <f t="shared" si="201"/>
        <v>178126.58625248025</v>
      </c>
      <c r="AG1079" s="238">
        <f>MAX(H1079/H1112)</f>
        <v>4.2557900022981258E-3</v>
      </c>
      <c r="AH1079" s="235">
        <f t="shared" si="202"/>
        <v>68233.504564590112</v>
      </c>
    </row>
    <row r="1080" spans="1:34" ht="15" customHeight="1" x14ac:dyDescent="0.2">
      <c r="A1080" s="962" t="s">
        <v>938</v>
      </c>
      <c r="B1080" s="1498">
        <v>43</v>
      </c>
      <c r="C1080" s="1146">
        <v>2</v>
      </c>
      <c r="D1080" s="1146">
        <v>0</v>
      </c>
      <c r="E1080" s="1146">
        <v>0</v>
      </c>
      <c r="F1080" s="1146">
        <v>12</v>
      </c>
      <c r="G1080" s="1146">
        <v>2</v>
      </c>
      <c r="H1080" s="1146">
        <v>29</v>
      </c>
      <c r="I1080" s="1146">
        <v>33</v>
      </c>
      <c r="J1080" s="1147">
        <v>406</v>
      </c>
      <c r="K1080" s="1147">
        <v>14</v>
      </c>
      <c r="L1080" s="1066" t="s">
        <v>988</v>
      </c>
      <c r="M1080" s="959">
        <v>2744000</v>
      </c>
      <c r="N1080" s="959">
        <v>30634878.2784</v>
      </c>
      <c r="O1080" s="1149">
        <v>16033099.501560001</v>
      </c>
      <c r="P1080" s="950"/>
      <c r="Q1080" s="950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237">
        <f>MAX(J1080/J1112)</f>
        <v>2.4883061866891553E-2</v>
      </c>
      <c r="AD1080" s="235">
        <f t="shared" si="200"/>
        <v>68279.121762750423</v>
      </c>
      <c r="AE1080" s="238">
        <f>MAX(I1080/I1112)</f>
        <v>2.3984824147630226E-2</v>
      </c>
      <c r="AF1080" s="235">
        <f t="shared" si="201"/>
        <v>734772.16829148098</v>
      </c>
      <c r="AG1080" s="238">
        <f>MAX(H1080/H1112)</f>
        <v>2.4683582013329132E-2</v>
      </c>
      <c r="AH1080" s="235">
        <f t="shared" si="202"/>
        <v>395754.32647462271</v>
      </c>
    </row>
    <row r="1081" spans="1:34" ht="15" customHeight="1" x14ac:dyDescent="0.2">
      <c r="A1081" s="962" t="s">
        <v>362</v>
      </c>
      <c r="B1081" s="1498">
        <v>7</v>
      </c>
      <c r="C1081" s="1146">
        <v>2</v>
      </c>
      <c r="D1081" s="1146">
        <v>0</v>
      </c>
      <c r="E1081" s="1146">
        <v>1</v>
      </c>
      <c r="F1081" s="1146">
        <v>1</v>
      </c>
      <c r="G1081" s="1146">
        <v>1</v>
      </c>
      <c r="H1081" s="1146">
        <v>4</v>
      </c>
      <c r="I1081" s="1146">
        <v>7</v>
      </c>
      <c r="J1081" s="1147">
        <v>56</v>
      </c>
      <c r="K1081" s="1147">
        <v>14</v>
      </c>
      <c r="L1081" s="1066" t="s">
        <v>988</v>
      </c>
      <c r="M1081" s="959">
        <v>2744000</v>
      </c>
      <c r="N1081" s="959">
        <v>30634878.2784</v>
      </c>
      <c r="O1081" s="1149">
        <v>16033099.501560001</v>
      </c>
      <c r="P1081" s="9"/>
      <c r="Q1081" s="2005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237">
        <f>MAX(J1081/J1112)</f>
        <v>3.432146464398835E-3</v>
      </c>
      <c r="AD1081" s="235">
        <f t="shared" si="200"/>
        <v>9417.8098983104028</v>
      </c>
      <c r="AE1081" s="238">
        <f>MAX(I1081/I1112)</f>
        <v>5.0876899707094419E-3</v>
      </c>
      <c r="AF1081" s="235">
        <f t="shared" si="201"/>
        <v>155860.76297092022</v>
      </c>
      <c r="AG1081" s="238">
        <f>MAX(H1081/H1112)</f>
        <v>3.404632001838501E-3</v>
      </c>
      <c r="AH1081" s="235">
        <f t="shared" si="202"/>
        <v>54586.803651672097</v>
      </c>
    </row>
    <row r="1082" spans="1:34" ht="15" customHeight="1" x14ac:dyDescent="0.2">
      <c r="A1082" s="962" t="s">
        <v>363</v>
      </c>
      <c r="B1082" s="1498">
        <v>10</v>
      </c>
      <c r="C1082" s="1146">
        <v>0</v>
      </c>
      <c r="D1082" s="1146">
        <v>0</v>
      </c>
      <c r="E1082" s="1146">
        <v>0</v>
      </c>
      <c r="F1082" s="1146">
        <v>4</v>
      </c>
      <c r="G1082" s="1146">
        <v>0</v>
      </c>
      <c r="H1082" s="1146">
        <v>6</v>
      </c>
      <c r="I1082" s="1146">
        <v>6</v>
      </c>
      <c r="J1082" s="1147">
        <v>78</v>
      </c>
      <c r="K1082" s="1147">
        <v>13</v>
      </c>
      <c r="L1082" s="1066" t="s">
        <v>988</v>
      </c>
      <c r="M1082" s="959">
        <v>2744000</v>
      </c>
      <c r="N1082" s="959">
        <v>30634878.2784</v>
      </c>
      <c r="O1082" s="1149">
        <v>16033099.501560001</v>
      </c>
      <c r="P1082" s="950"/>
      <c r="Q1082" s="950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237">
        <f>MAX(J1082/J1112)</f>
        <v>4.7804897182698062E-3</v>
      </c>
      <c r="AD1082" s="235">
        <f t="shared" si="200"/>
        <v>13117.663786932348</v>
      </c>
      <c r="AE1082" s="238">
        <f>MAX(I1082/I1112)</f>
        <v>4.3608771177509496E-3</v>
      </c>
      <c r="AF1082" s="235">
        <f t="shared" si="201"/>
        <v>133594.93968936015</v>
      </c>
      <c r="AG1082" s="238">
        <f>MAX(H1082/H1112)</f>
        <v>5.1069480027577515E-3</v>
      </c>
      <c r="AH1082" s="235">
        <f t="shared" si="202"/>
        <v>81880.205477508149</v>
      </c>
    </row>
    <row r="1083" spans="1:34" ht="15" customHeight="1" x14ac:dyDescent="0.2">
      <c r="A1083" s="962" t="s">
        <v>939</v>
      </c>
      <c r="B1083" s="1498">
        <v>51</v>
      </c>
      <c r="C1083" s="1146">
        <v>0</v>
      </c>
      <c r="D1083" s="1146">
        <v>0</v>
      </c>
      <c r="E1083" s="1146">
        <v>0</v>
      </c>
      <c r="F1083" s="1146">
        <v>6</v>
      </c>
      <c r="G1083" s="1146">
        <v>4</v>
      </c>
      <c r="H1083" s="1146">
        <v>41</v>
      </c>
      <c r="I1083" s="1146">
        <v>45</v>
      </c>
      <c r="J1083" s="1147">
        <v>656</v>
      </c>
      <c r="K1083" s="1147">
        <v>16</v>
      </c>
      <c r="L1083" s="1066" t="s">
        <v>988</v>
      </c>
      <c r="M1083" s="959">
        <v>2744000</v>
      </c>
      <c r="N1083" s="959">
        <v>30634878.2784</v>
      </c>
      <c r="O1083" s="1149">
        <v>16033099.501560001</v>
      </c>
      <c r="P1083" s="950"/>
      <c r="Q1083" s="950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1966"/>
      <c r="AC1083" s="237">
        <f>MAX(J1083/J1112)</f>
        <v>4.0205144297243499E-2</v>
      </c>
      <c r="AD1083" s="235">
        <f t="shared" si="200"/>
        <v>110322.91595163615</v>
      </c>
      <c r="AE1083" s="238">
        <f>MAX(I1083/I1112)</f>
        <v>3.2706578383132123E-2</v>
      </c>
      <c r="AF1083" s="235">
        <f t="shared" si="201"/>
        <v>1001962.0476702013</v>
      </c>
      <c r="AG1083" s="238">
        <f>MAX(H1083/H1112)</f>
        <v>3.4897478018844637E-2</v>
      </c>
      <c r="AH1083" s="235">
        <f t="shared" si="202"/>
        <v>559514.73742963898</v>
      </c>
    </row>
    <row r="1084" spans="1:34" ht="15" customHeight="1" x14ac:dyDescent="0.2">
      <c r="A1084" s="962" t="s">
        <v>365</v>
      </c>
      <c r="B1084" s="1498">
        <v>0</v>
      </c>
      <c r="C1084" s="1146"/>
      <c r="D1084" s="1146"/>
      <c r="E1084" s="1146"/>
      <c r="F1084" s="1146"/>
      <c r="G1084" s="1146"/>
      <c r="H1084" s="1146">
        <v>0</v>
      </c>
      <c r="I1084" s="1146">
        <v>0</v>
      </c>
      <c r="J1084" s="1147">
        <v>0</v>
      </c>
      <c r="K1084" s="1147"/>
      <c r="L1084" s="1066"/>
      <c r="M1084" s="959"/>
      <c r="N1084" s="959"/>
      <c r="O1084" s="1149"/>
      <c r="U1084" s="9"/>
      <c r="V1084" s="9"/>
      <c r="W1084" s="9"/>
      <c r="X1084" s="9"/>
      <c r="Y1084" s="9"/>
      <c r="Z1084" s="9"/>
      <c r="AA1084" s="9"/>
      <c r="AB1084" s="1966"/>
      <c r="AC1084" s="237">
        <f>MAX(J1084/J1112)</f>
        <v>0</v>
      </c>
      <c r="AD1084" s="235">
        <f t="shared" si="200"/>
        <v>0</v>
      </c>
      <c r="AE1084" s="238">
        <f>MAX(I1084/I1112)</f>
        <v>0</v>
      </c>
      <c r="AF1084" s="235">
        <f t="shared" si="201"/>
        <v>0</v>
      </c>
      <c r="AG1084" s="238">
        <f>MAX(H1084/H1112)</f>
        <v>0</v>
      </c>
      <c r="AH1084" s="235">
        <f t="shared" si="202"/>
        <v>0</v>
      </c>
    </row>
    <row r="1085" spans="1:34" ht="15" customHeight="1" x14ac:dyDescent="0.2">
      <c r="A1085" s="962" t="s">
        <v>366</v>
      </c>
      <c r="B1085" s="956">
        <v>0</v>
      </c>
      <c r="C1085" s="1146"/>
      <c r="D1085" s="1146"/>
      <c r="E1085" s="1146"/>
      <c r="F1085" s="1146"/>
      <c r="G1085" s="1146"/>
      <c r="H1085" s="1146">
        <v>0</v>
      </c>
      <c r="I1085" s="1146">
        <v>0</v>
      </c>
      <c r="J1085" s="1147">
        <v>0</v>
      </c>
      <c r="K1085" s="1147"/>
      <c r="L1085" s="1066"/>
      <c r="M1085" s="959"/>
      <c r="N1085" s="959"/>
      <c r="O1085" s="1149"/>
      <c r="U1085" s="9"/>
      <c r="V1085" s="9"/>
      <c r="W1085" s="9"/>
      <c r="X1085" s="9"/>
      <c r="Y1085" s="9"/>
      <c r="Z1085" s="9"/>
      <c r="AA1085" s="9"/>
      <c r="AB1085" s="1966"/>
      <c r="AC1085" s="237">
        <f>MAX(J1085/J1112)</f>
        <v>0</v>
      </c>
      <c r="AD1085" s="235">
        <f t="shared" si="200"/>
        <v>0</v>
      </c>
      <c r="AE1085" s="238">
        <f>MAX(I1085/I1112)</f>
        <v>0</v>
      </c>
      <c r="AF1085" s="235">
        <f t="shared" si="201"/>
        <v>0</v>
      </c>
      <c r="AG1085" s="238">
        <f>MAX(H1085/H1112)</f>
        <v>0</v>
      </c>
      <c r="AH1085" s="235">
        <f t="shared" si="202"/>
        <v>0</v>
      </c>
    </row>
    <row r="1086" spans="1:34" ht="15" customHeight="1" x14ac:dyDescent="0.2">
      <c r="A1086" s="962" t="s">
        <v>367</v>
      </c>
      <c r="B1086" s="956">
        <v>0.5</v>
      </c>
      <c r="C1086" s="1146"/>
      <c r="D1086" s="1146"/>
      <c r="E1086" s="1146"/>
      <c r="F1086" s="1146"/>
      <c r="G1086" s="1146"/>
      <c r="H1086" s="1146">
        <v>0.5</v>
      </c>
      <c r="I1086" s="1146">
        <v>0.5</v>
      </c>
      <c r="J1086" s="1147">
        <v>7.5</v>
      </c>
      <c r="K1086" s="1147">
        <v>15</v>
      </c>
      <c r="L1086" s="1066" t="s">
        <v>988</v>
      </c>
      <c r="M1086" s="959">
        <v>2744000</v>
      </c>
      <c r="N1086" s="959">
        <v>30634878.2784</v>
      </c>
      <c r="O1086" s="1149">
        <v>16033099.501560001</v>
      </c>
      <c r="U1086" s="9"/>
      <c r="V1086" s="9"/>
      <c r="W1086" s="9"/>
      <c r="X1086" s="9"/>
      <c r="Y1086" s="9"/>
      <c r="Z1086" s="9"/>
      <c r="AA1086" s="9"/>
      <c r="AB1086" s="1966"/>
      <c r="AC1086" s="237">
        <f>MAX(J1086/J1112)</f>
        <v>4.5966247291055827E-4</v>
      </c>
      <c r="AD1086" s="235">
        <f t="shared" si="200"/>
        <v>1261.3138256665718</v>
      </c>
      <c r="AE1086" s="238">
        <f>MAX(I1086/I1112)</f>
        <v>3.6340642647924584E-4</v>
      </c>
      <c r="AF1086" s="235">
        <f t="shared" si="201"/>
        <v>11132.911640780016</v>
      </c>
      <c r="AG1086" s="238">
        <f>MAX(H1086/H1112)</f>
        <v>4.2557900022981263E-4</v>
      </c>
      <c r="AH1086" s="235">
        <f t="shared" si="202"/>
        <v>6823.3504564590121</v>
      </c>
    </row>
    <row r="1087" spans="1:34" ht="15" customHeight="1" x14ac:dyDescent="0.2">
      <c r="A1087" s="434" t="s">
        <v>940</v>
      </c>
      <c r="B1087" s="1002">
        <v>141</v>
      </c>
      <c r="C1087" s="1002">
        <v>18</v>
      </c>
      <c r="D1087" s="1002">
        <v>0</v>
      </c>
      <c r="E1087" s="1002">
        <v>3</v>
      </c>
      <c r="F1087" s="1002">
        <v>10</v>
      </c>
      <c r="G1087" s="1002">
        <v>25</v>
      </c>
      <c r="H1087" s="1002">
        <v>103</v>
      </c>
      <c r="I1087" s="1002">
        <v>146</v>
      </c>
      <c r="J1087" s="1150">
        <v>1810.5</v>
      </c>
      <c r="K1087" s="1150">
        <v>17.577669902912621</v>
      </c>
      <c r="L1087" s="1152"/>
      <c r="M1087" s="996"/>
      <c r="N1087" s="435"/>
      <c r="O1087" s="436"/>
      <c r="U1087" s="9"/>
      <c r="V1087" s="9"/>
      <c r="W1087" s="9"/>
      <c r="X1087" s="9"/>
      <c r="Y1087" s="9"/>
      <c r="Z1087" s="9"/>
      <c r="AA1087" s="9"/>
      <c r="AB1087" s="1966"/>
      <c r="AC1087" s="1157"/>
      <c r="AD1087" s="1156"/>
      <c r="AE1087" s="1158"/>
      <c r="AF1087" s="1156"/>
      <c r="AG1087" s="1158"/>
      <c r="AH1087" s="1156"/>
    </row>
    <row r="1088" spans="1:34" ht="15" customHeight="1" x14ac:dyDescent="0.2">
      <c r="A1088" s="962" t="s">
        <v>369</v>
      </c>
      <c r="B1088" s="1498">
        <v>126.5</v>
      </c>
      <c r="C1088" s="1146">
        <v>15</v>
      </c>
      <c r="D1088" s="1146">
        <v>0</v>
      </c>
      <c r="E1088" s="1146">
        <v>2</v>
      </c>
      <c r="F1088" s="1146">
        <v>10</v>
      </c>
      <c r="G1088" s="1146">
        <v>25</v>
      </c>
      <c r="H1088" s="1146">
        <v>89.5</v>
      </c>
      <c r="I1088" s="1146">
        <v>129.5</v>
      </c>
      <c r="J1088" s="1147">
        <v>1611</v>
      </c>
      <c r="K1088" s="1147">
        <v>18</v>
      </c>
      <c r="L1088" s="1066" t="s">
        <v>988</v>
      </c>
      <c r="M1088" s="959">
        <v>2744000</v>
      </c>
      <c r="N1088" s="959">
        <v>30634878.2784</v>
      </c>
      <c r="O1088" s="1149">
        <v>16033099.501560001</v>
      </c>
      <c r="P1088" s="950"/>
      <c r="Q1088" s="950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1966"/>
      <c r="AC1088" s="237">
        <f>MAX(J1088/J1112)</f>
        <v>9.8735499181187916E-2</v>
      </c>
      <c r="AD1088" s="235">
        <f>MAX(M1088*AC1088)</f>
        <v>270930.20975317963</v>
      </c>
      <c r="AE1088" s="238">
        <f>MAX(I1088/I1112)</f>
        <v>9.4122264458124674E-2</v>
      </c>
      <c r="AF1088" s="235">
        <f>MAX(N1088*AE1088)</f>
        <v>2883424.1149620241</v>
      </c>
      <c r="AG1088" s="238">
        <f>MAX(H1088/H1112)</f>
        <v>7.6178641041136461E-2</v>
      </c>
      <c r="AH1088" s="235">
        <f>MAX(O1088*AG1088)</f>
        <v>1221379.7317061631</v>
      </c>
    </row>
    <row r="1089" spans="1:34" ht="15" customHeight="1" x14ac:dyDescent="0.2">
      <c r="A1089" s="962" t="s">
        <v>370</v>
      </c>
      <c r="B1089" s="1498">
        <v>0</v>
      </c>
      <c r="C1089" s="1146">
        <v>0</v>
      </c>
      <c r="D1089" s="1146">
        <v>0</v>
      </c>
      <c r="E1089" s="1146">
        <v>0</v>
      </c>
      <c r="F1089" s="1146">
        <v>0</v>
      </c>
      <c r="G1089" s="1146">
        <v>0</v>
      </c>
      <c r="H1089" s="1146">
        <v>0</v>
      </c>
      <c r="I1089" s="1146">
        <v>0</v>
      </c>
      <c r="J1089" s="1147">
        <v>0</v>
      </c>
      <c r="K1089" s="1147">
        <v>0</v>
      </c>
      <c r="L1089" s="1148"/>
      <c r="M1089" s="959"/>
      <c r="N1089" s="1533"/>
      <c r="O1089" s="1534"/>
      <c r="U1089" s="9"/>
      <c r="V1089" s="9"/>
      <c r="W1089" s="9"/>
      <c r="X1089" s="9"/>
      <c r="Y1089" s="9"/>
      <c r="Z1089" s="9"/>
      <c r="AA1089" s="9"/>
      <c r="AB1089" s="1966"/>
      <c r="AC1089" s="237">
        <f>MAX(J1089/J1112)</f>
        <v>0</v>
      </c>
      <c r="AD1089" s="235">
        <f>MAX(M1089*AC1089)</f>
        <v>0</v>
      </c>
      <c r="AE1089" s="238">
        <f>MAX(I1089/I1112)</f>
        <v>0</v>
      </c>
      <c r="AF1089" s="235">
        <f>MAX(N1089*AE1089)</f>
        <v>0</v>
      </c>
      <c r="AG1089" s="238">
        <f>MAX(H1089/H1112)</f>
        <v>0</v>
      </c>
      <c r="AH1089" s="235">
        <f>MAX(O1089*AG1089)</f>
        <v>0</v>
      </c>
    </row>
    <row r="1090" spans="1:34" ht="15" customHeight="1" x14ac:dyDescent="0.2">
      <c r="A1090" s="962" t="s">
        <v>371</v>
      </c>
      <c r="B1090" s="1498">
        <v>0</v>
      </c>
      <c r="C1090" s="1146">
        <v>0</v>
      </c>
      <c r="D1090" s="1146">
        <v>0</v>
      </c>
      <c r="E1090" s="1146">
        <v>0</v>
      </c>
      <c r="F1090" s="1146">
        <v>0</v>
      </c>
      <c r="G1090" s="1146">
        <v>0</v>
      </c>
      <c r="H1090" s="1146">
        <v>0</v>
      </c>
      <c r="I1090" s="1146">
        <v>0</v>
      </c>
      <c r="J1090" s="1147">
        <v>0</v>
      </c>
      <c r="K1090" s="1147">
        <v>0</v>
      </c>
      <c r="L1090" s="1148"/>
      <c r="M1090" s="959"/>
      <c r="N1090" s="959"/>
      <c r="O1090" s="1149"/>
      <c r="U1090" s="9"/>
      <c r="V1090" s="9"/>
      <c r="W1090" s="9"/>
      <c r="X1090" s="9"/>
      <c r="Y1090" s="9"/>
      <c r="Z1090" s="9"/>
      <c r="AA1090" s="9"/>
      <c r="AB1090" s="1966"/>
      <c r="AC1090" s="237">
        <f>MAX(J1090/J1112)</f>
        <v>0</v>
      </c>
      <c r="AD1090" s="235">
        <f>MAX(M1090*AC1090)</f>
        <v>0</v>
      </c>
      <c r="AE1090" s="238">
        <f>MAX(I1090/I1112)</f>
        <v>0</v>
      </c>
      <c r="AF1090" s="235">
        <f>MAX(N1090*AE1090)</f>
        <v>0</v>
      </c>
      <c r="AG1090" s="238">
        <f>MAX(H1090/H1112)</f>
        <v>0</v>
      </c>
      <c r="AH1090" s="235">
        <f>MAX(O1090*AG1090)</f>
        <v>0</v>
      </c>
    </row>
    <row r="1091" spans="1:34" ht="15" customHeight="1" x14ac:dyDescent="0.2">
      <c r="A1091" s="962" t="s">
        <v>372</v>
      </c>
      <c r="B1091" s="1498">
        <v>1.5</v>
      </c>
      <c r="C1091" s="1146">
        <v>3</v>
      </c>
      <c r="D1091" s="1146">
        <v>0</v>
      </c>
      <c r="E1091" s="1146">
        <v>0</v>
      </c>
      <c r="F1091" s="1146">
        <v>0</v>
      </c>
      <c r="G1091" s="1146">
        <v>0</v>
      </c>
      <c r="H1091" s="1146">
        <v>1.5</v>
      </c>
      <c r="I1091" s="1146">
        <v>4.5</v>
      </c>
      <c r="J1091" s="1147">
        <v>19.5</v>
      </c>
      <c r="K1091" s="1147">
        <v>13</v>
      </c>
      <c r="L1091" s="1066" t="s">
        <v>988</v>
      </c>
      <c r="M1091" s="959">
        <v>2744000</v>
      </c>
      <c r="N1091" s="959">
        <v>30634878.2784</v>
      </c>
      <c r="O1091" s="1149">
        <v>16033099.501560001</v>
      </c>
      <c r="P1091" s="950"/>
      <c r="Q1091" s="950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1966"/>
      <c r="AC1091" s="237">
        <f>MAX(J1091/J1112)</f>
        <v>1.1951224295674516E-3</v>
      </c>
      <c r="AD1091" s="235">
        <f>MAX(M1091*AC1091)</f>
        <v>3279.4159467330869</v>
      </c>
      <c r="AE1091" s="238">
        <f>MAX(I1091/I1112)</f>
        <v>3.2706578383132124E-3</v>
      </c>
      <c r="AF1091" s="235">
        <f>MAX(N1091*AE1091)</f>
        <v>100196.20476702013</v>
      </c>
      <c r="AG1091" s="238">
        <f>MAX(H1091/H1112)</f>
        <v>1.2767370006894379E-3</v>
      </c>
      <c r="AH1091" s="235">
        <f>MAX(O1091*AG1091)</f>
        <v>20470.051369377037</v>
      </c>
    </row>
    <row r="1092" spans="1:34" ht="15" customHeight="1" x14ac:dyDescent="0.2">
      <c r="A1092" s="962" t="s">
        <v>373</v>
      </c>
      <c r="B1092" s="1498">
        <v>13</v>
      </c>
      <c r="C1092" s="1146">
        <v>0</v>
      </c>
      <c r="D1092" s="1146">
        <v>0</v>
      </c>
      <c r="E1092" s="1146">
        <v>1</v>
      </c>
      <c r="F1092" s="1146">
        <v>0</v>
      </c>
      <c r="G1092" s="1146">
        <v>0</v>
      </c>
      <c r="H1092" s="1146">
        <v>12</v>
      </c>
      <c r="I1092" s="1146">
        <v>12</v>
      </c>
      <c r="J1092" s="1147">
        <v>180</v>
      </c>
      <c r="K1092" s="1147">
        <v>15</v>
      </c>
      <c r="L1092" s="1066" t="s">
        <v>988</v>
      </c>
      <c r="M1092" s="959">
        <v>2744000</v>
      </c>
      <c r="N1092" s="959">
        <v>30634878.2784</v>
      </c>
      <c r="O1092" s="1149">
        <v>16033099.501560001</v>
      </c>
      <c r="P1092" s="950"/>
      <c r="Q1092" s="950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1966"/>
      <c r="AC1092" s="237">
        <f>MAX(J1092/J1112)</f>
        <v>1.1031899349853399E-2</v>
      </c>
      <c r="AD1092" s="235">
        <f>MAX(M1092*AC1092)</f>
        <v>30271.531815997729</v>
      </c>
      <c r="AE1092" s="238">
        <f>MAX(I1092/I1112)</f>
        <v>8.7217542355018992E-3</v>
      </c>
      <c r="AF1092" s="235">
        <f>MAX(N1092*AE1092)</f>
        <v>267189.8793787203</v>
      </c>
      <c r="AG1092" s="238">
        <f>MAX(H1092/H1112)</f>
        <v>1.0213896005515503E-2</v>
      </c>
      <c r="AH1092" s="235">
        <f>MAX(O1092*AG1092)</f>
        <v>163760.4109550163</v>
      </c>
    </row>
    <row r="1093" spans="1:34" ht="15" customHeight="1" x14ac:dyDescent="0.2">
      <c r="A1093" s="1154" t="s">
        <v>374</v>
      </c>
      <c r="B1093" s="1002">
        <v>628.66999999999996</v>
      </c>
      <c r="C1093" s="1002">
        <v>68</v>
      </c>
      <c r="D1093" s="1002">
        <v>15</v>
      </c>
      <c r="E1093" s="1002">
        <v>9</v>
      </c>
      <c r="F1093" s="1002">
        <v>14</v>
      </c>
      <c r="G1093" s="1002">
        <v>22</v>
      </c>
      <c r="H1093" s="1002">
        <v>568.67000000000007</v>
      </c>
      <c r="I1093" s="1002">
        <v>673.67</v>
      </c>
      <c r="J1093" s="1150">
        <v>8174.32</v>
      </c>
      <c r="K1093" s="1150">
        <v>14.374452670265706</v>
      </c>
      <c r="L1093" s="1152"/>
      <c r="M1093" s="996"/>
      <c r="N1093" s="435"/>
      <c r="O1093" s="436"/>
      <c r="U1093" s="9"/>
      <c r="V1093" s="9"/>
      <c r="W1093" s="9"/>
      <c r="X1093" s="9"/>
      <c r="Y1093" s="9"/>
      <c r="Z1093" s="9"/>
      <c r="AA1093" s="9"/>
      <c r="AB1093" s="1966"/>
      <c r="AC1093" s="1157"/>
      <c r="AD1093" s="1156"/>
      <c r="AE1093" s="1158"/>
      <c r="AF1093" s="1156"/>
      <c r="AG1093" s="1158"/>
      <c r="AH1093" s="1156"/>
    </row>
    <row r="1094" spans="1:34" ht="15" customHeight="1" x14ac:dyDescent="0.2">
      <c r="A1094" s="962" t="s">
        <v>375</v>
      </c>
      <c r="B1094" s="1498">
        <v>29</v>
      </c>
      <c r="C1094" s="1146">
        <v>7</v>
      </c>
      <c r="D1094" s="1146">
        <v>3</v>
      </c>
      <c r="E1094" s="1146">
        <v>2</v>
      </c>
      <c r="F1094" s="1146">
        <v>0</v>
      </c>
      <c r="G1094" s="1146">
        <v>0</v>
      </c>
      <c r="H1094" s="1146">
        <v>24</v>
      </c>
      <c r="I1094" s="1146">
        <v>34</v>
      </c>
      <c r="J1094" s="1147">
        <v>360</v>
      </c>
      <c r="K1094" s="1147">
        <v>15</v>
      </c>
      <c r="L1094" s="1066" t="s">
        <v>988</v>
      </c>
      <c r="M1094" s="959">
        <v>2744000</v>
      </c>
      <c r="N1094" s="959">
        <v>30634878.2784</v>
      </c>
      <c r="O1094" s="1149">
        <v>16033099.501560001</v>
      </c>
      <c r="P1094" s="950"/>
      <c r="Q1094" s="950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1966"/>
      <c r="AC1094" s="237">
        <f>MAX(J1094/J1112)</f>
        <v>2.2063798699706798E-2</v>
      </c>
      <c r="AD1094" s="235">
        <f t="shared" ref="AD1094:AD1101" si="203">MAX(M1094*AC1094)</f>
        <v>60543.063631995457</v>
      </c>
      <c r="AE1094" s="238">
        <f>MAX(I1094/I1112)</f>
        <v>2.4711637000588715E-2</v>
      </c>
      <c r="AF1094" s="235">
        <f t="shared" ref="AF1094:AF1101" si="204">MAX(N1094*AE1094)</f>
        <v>757037.99157304096</v>
      </c>
      <c r="AG1094" s="238">
        <f>MAX(H1094/H1112)</f>
        <v>2.0427792011031006E-2</v>
      </c>
      <c r="AH1094" s="235">
        <f t="shared" ref="AH1094:AH1101" si="205">MAX(O1094*AG1094)</f>
        <v>327520.8219100326</v>
      </c>
    </row>
    <row r="1095" spans="1:34" ht="15" customHeight="1" x14ac:dyDescent="0.2">
      <c r="A1095" s="962" t="s">
        <v>376</v>
      </c>
      <c r="B1095" s="1498">
        <v>25.139999999999997</v>
      </c>
      <c r="C1095" s="1146">
        <v>8</v>
      </c>
      <c r="D1095" s="1146">
        <v>0</v>
      </c>
      <c r="E1095" s="1146">
        <v>0</v>
      </c>
      <c r="F1095" s="1146">
        <v>0</v>
      </c>
      <c r="G1095" s="1146">
        <v>0</v>
      </c>
      <c r="H1095" s="1146">
        <v>25.14</v>
      </c>
      <c r="I1095" s="1146">
        <v>33.14</v>
      </c>
      <c r="J1095" s="1147">
        <v>377.1</v>
      </c>
      <c r="K1095" s="1147">
        <v>15</v>
      </c>
      <c r="L1095" s="1066" t="s">
        <v>988</v>
      </c>
      <c r="M1095" s="959">
        <v>2744000</v>
      </c>
      <c r="N1095" s="959">
        <v>30634878.2784</v>
      </c>
      <c r="O1095" s="1149">
        <v>16033099.501560001</v>
      </c>
      <c r="P1095" s="9"/>
      <c r="Q1095" s="2005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1966"/>
      <c r="AC1095" s="237">
        <f>MAX(J1095/J1112)</f>
        <v>2.3111829137942873E-2</v>
      </c>
      <c r="AD1095" s="235">
        <f t="shared" si="203"/>
        <v>63418.859154515245</v>
      </c>
      <c r="AE1095" s="238">
        <f>MAX(I1095/I1112)</f>
        <v>2.4086577947044413E-2</v>
      </c>
      <c r="AF1095" s="235">
        <f t="shared" si="204"/>
        <v>737889.38355089934</v>
      </c>
      <c r="AG1095" s="238">
        <f>MAX(H1095/H1112)</f>
        <v>2.1398112131554979E-2</v>
      </c>
      <c r="AH1095" s="235">
        <f t="shared" si="205"/>
        <v>343078.06095075916</v>
      </c>
    </row>
    <row r="1096" spans="1:34" ht="15" customHeight="1" x14ac:dyDescent="0.2">
      <c r="A1096" s="962" t="s">
        <v>377</v>
      </c>
      <c r="B1096" s="1498">
        <v>75</v>
      </c>
      <c r="C1096" s="1146">
        <v>6</v>
      </c>
      <c r="D1096" s="1146"/>
      <c r="E1096" s="1146"/>
      <c r="F1096" s="1146"/>
      <c r="G1096" s="1146"/>
      <c r="H1096" s="1146">
        <v>75</v>
      </c>
      <c r="I1096" s="1146">
        <v>81</v>
      </c>
      <c r="J1096" s="1147">
        <v>1275</v>
      </c>
      <c r="K1096" s="1147">
        <v>17</v>
      </c>
      <c r="L1096" s="1066" t="s">
        <v>988</v>
      </c>
      <c r="M1096" s="959">
        <v>2744000</v>
      </c>
      <c r="N1096" s="959">
        <v>30634878.2784</v>
      </c>
      <c r="O1096" s="1149">
        <v>16033099.501560001</v>
      </c>
      <c r="P1096" s="950"/>
      <c r="Q1096" s="950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1966"/>
      <c r="AC1096" s="237">
        <f>MAX(J1096/J1112)</f>
        <v>7.8142620394794901E-2</v>
      </c>
      <c r="AD1096" s="235">
        <f t="shared" si="203"/>
        <v>214423.35036331721</v>
      </c>
      <c r="AE1096" s="238">
        <f>MAX(I1096/I1112)</f>
        <v>5.8871841089637826E-2</v>
      </c>
      <c r="AF1096" s="235">
        <f t="shared" si="204"/>
        <v>1803531.6858063624</v>
      </c>
      <c r="AG1096" s="238">
        <f>MAX(H1096/H1112)</f>
        <v>6.3836850034471898E-2</v>
      </c>
      <c r="AH1096" s="235">
        <f t="shared" si="205"/>
        <v>1023502.5684688519</v>
      </c>
    </row>
    <row r="1097" spans="1:34" ht="15" customHeight="1" x14ac:dyDescent="0.2">
      <c r="A1097" s="962" t="s">
        <v>378</v>
      </c>
      <c r="B1097" s="1498">
        <v>55.7</v>
      </c>
      <c r="C1097" s="1146">
        <v>4</v>
      </c>
      <c r="D1097" s="1146">
        <v>0</v>
      </c>
      <c r="E1097" s="1146">
        <v>0</v>
      </c>
      <c r="F1097" s="1146">
        <v>0</v>
      </c>
      <c r="G1097" s="1146">
        <v>0</v>
      </c>
      <c r="H1097" s="1146">
        <v>55.7</v>
      </c>
      <c r="I1097" s="1146">
        <v>59.7</v>
      </c>
      <c r="J1097" s="1147">
        <v>1002.6</v>
      </c>
      <c r="K1097" s="1147">
        <v>18</v>
      </c>
      <c r="L1097" s="1066" t="s">
        <v>988</v>
      </c>
      <c r="M1097" s="959">
        <v>2744000</v>
      </c>
      <c r="N1097" s="959">
        <v>30634878.2784</v>
      </c>
      <c r="O1097" s="1149">
        <v>16033099.501560001</v>
      </c>
      <c r="P1097" s="950"/>
      <c r="Q1097" s="950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237">
        <f>MAX(J1097/J1112)</f>
        <v>6.144767937868343E-2</v>
      </c>
      <c r="AD1097" s="235">
        <f t="shared" si="203"/>
        <v>168612.43221510734</v>
      </c>
      <c r="AE1097" s="238">
        <f>MAX(I1097/I1112)</f>
        <v>4.3390727321621955E-2</v>
      </c>
      <c r="AF1097" s="235">
        <f t="shared" si="204"/>
        <v>1329269.6499091338</v>
      </c>
      <c r="AG1097" s="238">
        <f>MAX(H1097/H1112)</f>
        <v>4.7409500625601127E-2</v>
      </c>
      <c r="AH1097" s="235">
        <f t="shared" si="205"/>
        <v>760121.24084953393</v>
      </c>
    </row>
    <row r="1098" spans="1:34" ht="15" customHeight="1" x14ac:dyDescent="0.2">
      <c r="A1098" s="962" t="s">
        <v>379</v>
      </c>
      <c r="B1098" s="1498">
        <v>65</v>
      </c>
      <c r="C1098" s="1146"/>
      <c r="D1098" s="1146"/>
      <c r="E1098" s="1146"/>
      <c r="F1098" s="1146">
        <v>10</v>
      </c>
      <c r="G1098" s="1146"/>
      <c r="H1098" s="1146">
        <v>55</v>
      </c>
      <c r="I1098" s="1146">
        <v>55</v>
      </c>
      <c r="J1098" s="1147">
        <v>770</v>
      </c>
      <c r="K1098" s="1147">
        <v>14</v>
      </c>
      <c r="L1098" s="1066" t="s">
        <v>988</v>
      </c>
      <c r="M1098" s="959">
        <v>2744000</v>
      </c>
      <c r="N1098" s="959">
        <v>30634878.2784</v>
      </c>
      <c r="O1098" s="1149">
        <v>16033099.501560001</v>
      </c>
      <c r="P1098" s="950"/>
      <c r="Q1098" s="950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237">
        <f>MAX(J1098/J1112)</f>
        <v>4.7192013885483983E-2</v>
      </c>
      <c r="AD1098" s="235">
        <f t="shared" si="203"/>
        <v>129494.88610176805</v>
      </c>
      <c r="AE1098" s="238">
        <f>MAX(I1098/I1112)</f>
        <v>3.997470691271704E-2</v>
      </c>
      <c r="AF1098" s="235">
        <f t="shared" si="204"/>
        <v>1224620.2804858016</v>
      </c>
      <c r="AG1098" s="238">
        <f>MAX(H1098/H1112)</f>
        <v>4.6813690025279388E-2</v>
      </c>
      <c r="AH1098" s="235">
        <f t="shared" si="205"/>
        <v>750568.55021049129</v>
      </c>
    </row>
    <row r="1099" spans="1:34" ht="15" customHeight="1" x14ac:dyDescent="0.2">
      <c r="A1099" s="962" t="s">
        <v>380</v>
      </c>
      <c r="B1099" s="1498">
        <v>12</v>
      </c>
      <c r="C1099" s="1146">
        <v>3</v>
      </c>
      <c r="D1099" s="1146">
        <v>0</v>
      </c>
      <c r="E1099" s="1146">
        <v>0</v>
      </c>
      <c r="F1099" s="1146">
        <v>0</v>
      </c>
      <c r="G1099" s="1146">
        <v>0</v>
      </c>
      <c r="H1099" s="1146">
        <v>12</v>
      </c>
      <c r="I1099" s="1146">
        <v>15</v>
      </c>
      <c r="J1099" s="1147">
        <v>144</v>
      </c>
      <c r="K1099" s="1147">
        <v>12</v>
      </c>
      <c r="L1099" s="1066" t="s">
        <v>988</v>
      </c>
      <c r="M1099" s="959">
        <v>2744000</v>
      </c>
      <c r="N1099" s="959">
        <v>30634878.2784</v>
      </c>
      <c r="O1099" s="1149">
        <v>16033099.501560001</v>
      </c>
      <c r="P1099" s="950"/>
      <c r="Q1099" s="950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237">
        <f>MAX(J1099/J1112)</f>
        <v>8.8255194798827191E-3</v>
      </c>
      <c r="AD1099" s="235">
        <f t="shared" si="203"/>
        <v>24217.225452798182</v>
      </c>
      <c r="AE1099" s="238">
        <f>MAX(I1099/I1112)</f>
        <v>1.0902192794377374E-2</v>
      </c>
      <c r="AF1099" s="235">
        <f t="shared" si="204"/>
        <v>333987.34922340041</v>
      </c>
      <c r="AG1099" s="238">
        <f>MAX(H1099/H1112)</f>
        <v>1.0213896005515503E-2</v>
      </c>
      <c r="AH1099" s="235">
        <f t="shared" si="205"/>
        <v>163760.4109550163</v>
      </c>
    </row>
    <row r="1100" spans="1:34" ht="15" customHeight="1" x14ac:dyDescent="0.2">
      <c r="A1100" s="962" t="s">
        <v>381</v>
      </c>
      <c r="B1100" s="245">
        <v>260</v>
      </c>
      <c r="C1100" s="1146">
        <v>25</v>
      </c>
      <c r="D1100" s="1146"/>
      <c r="E1100" s="1146"/>
      <c r="F1100" s="1146"/>
      <c r="G1100" s="1146"/>
      <c r="H1100" s="1146">
        <v>260</v>
      </c>
      <c r="I1100" s="1146">
        <v>285</v>
      </c>
      <c r="J1100" s="1147">
        <v>3380</v>
      </c>
      <c r="K1100" s="1147">
        <v>13</v>
      </c>
      <c r="L1100" s="1066" t="s">
        <v>988</v>
      </c>
      <c r="M1100" s="959">
        <v>2744000</v>
      </c>
      <c r="N1100" s="959">
        <v>30634878.2784</v>
      </c>
      <c r="O1100" s="1149">
        <v>16033099.501560001</v>
      </c>
      <c r="P1100" s="950"/>
      <c r="Q1100" s="950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237">
        <f>MAX(J1100/J1112)</f>
        <v>0.20715455445835826</v>
      </c>
      <c r="AD1100" s="235">
        <f t="shared" si="203"/>
        <v>568432.09743373503</v>
      </c>
      <c r="AE1100" s="238">
        <f>MAX(I1100/I1112)</f>
        <v>0.20714166309317011</v>
      </c>
      <c r="AF1100" s="235">
        <f t="shared" si="204"/>
        <v>6345759.6352446079</v>
      </c>
      <c r="AG1100" s="238">
        <f>MAX(H1100/H1112)</f>
        <v>0.22130108011950256</v>
      </c>
      <c r="AH1100" s="235">
        <f t="shared" si="205"/>
        <v>3548142.237358686</v>
      </c>
    </row>
    <row r="1101" spans="1:34" ht="15" customHeight="1" x14ac:dyDescent="0.2">
      <c r="A1101" s="962" t="s">
        <v>382</v>
      </c>
      <c r="B1101" s="245">
        <v>106.83</v>
      </c>
      <c r="C1101" s="1146">
        <v>15</v>
      </c>
      <c r="D1101" s="1146">
        <v>12</v>
      </c>
      <c r="E1101" s="1146">
        <v>7</v>
      </c>
      <c r="F1101" s="1146">
        <v>4</v>
      </c>
      <c r="G1101" s="1146">
        <v>22</v>
      </c>
      <c r="H1101" s="1146">
        <v>61.83</v>
      </c>
      <c r="I1101" s="1146">
        <v>110.83</v>
      </c>
      <c r="J1101" s="1147">
        <v>865.62</v>
      </c>
      <c r="K1101" s="1147">
        <v>14</v>
      </c>
      <c r="L1101" s="1066" t="s">
        <v>988</v>
      </c>
      <c r="M1101" s="959">
        <v>2744000</v>
      </c>
      <c r="N1101" s="959">
        <v>30634878.2784</v>
      </c>
      <c r="O1101" s="1149">
        <v>16033099.501560001</v>
      </c>
      <c r="P1101" s="950"/>
      <c r="Q1101" s="950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237">
        <f>MAX(J1101/J1112)</f>
        <v>5.3052403973444996E-2</v>
      </c>
      <c r="AD1101" s="235">
        <f t="shared" si="203"/>
        <v>145575.79650313308</v>
      </c>
      <c r="AE1101" s="238">
        <f>MAX(I1101/I1112)</f>
        <v>8.0552668493389629E-2</v>
      </c>
      <c r="AF1101" s="235">
        <f t="shared" si="204"/>
        <v>2467721.1942952978</v>
      </c>
      <c r="AG1101" s="238">
        <f>MAX(H1101/H1112)</f>
        <v>5.262709916841863E-2</v>
      </c>
      <c r="AH1101" s="235">
        <f t="shared" si="205"/>
        <v>843775.51744572143</v>
      </c>
    </row>
    <row r="1102" spans="1:34" ht="15" customHeight="1" x14ac:dyDescent="0.2">
      <c r="A1102" s="1154" t="s">
        <v>383</v>
      </c>
      <c r="B1102" s="1002">
        <v>38.700000000000003</v>
      </c>
      <c r="C1102" s="1002">
        <v>7</v>
      </c>
      <c r="D1102" s="1002">
        <v>0</v>
      </c>
      <c r="E1102" s="1002">
        <v>0</v>
      </c>
      <c r="F1102" s="1002">
        <v>0</v>
      </c>
      <c r="G1102" s="1002">
        <v>0</v>
      </c>
      <c r="H1102" s="1002">
        <v>38.700000000000003</v>
      </c>
      <c r="I1102" s="1002">
        <v>45.7</v>
      </c>
      <c r="J1102" s="1150">
        <v>560</v>
      </c>
      <c r="K1102" s="1150">
        <v>14.470284237726098</v>
      </c>
      <c r="L1102" s="1152"/>
      <c r="M1102" s="996"/>
      <c r="N1102" s="435"/>
      <c r="O1102" s="436"/>
      <c r="U1102" s="9"/>
      <c r="V1102" s="9"/>
      <c r="W1102" s="9"/>
      <c r="X1102" s="9"/>
      <c r="Y1102" s="9"/>
      <c r="Z1102" s="9"/>
      <c r="AA1102" s="9"/>
      <c r="AB1102" s="9"/>
      <c r="AC1102" s="1157"/>
      <c r="AD1102" s="1156"/>
      <c r="AE1102" s="1158"/>
      <c r="AF1102" s="1156"/>
      <c r="AG1102" s="1158"/>
      <c r="AH1102" s="1156"/>
    </row>
    <row r="1103" spans="1:34" ht="15" customHeight="1" x14ac:dyDescent="0.2">
      <c r="A1103" s="962" t="s">
        <v>384</v>
      </c>
      <c r="B1103" s="956">
        <v>4</v>
      </c>
      <c r="C1103" s="1146">
        <v>0</v>
      </c>
      <c r="D1103" s="1146">
        <v>0</v>
      </c>
      <c r="E1103" s="1146">
        <v>0</v>
      </c>
      <c r="F1103" s="1146">
        <v>0</v>
      </c>
      <c r="G1103" s="1146">
        <v>0</v>
      </c>
      <c r="H1103" s="1146">
        <v>4</v>
      </c>
      <c r="I1103" s="1146">
        <v>4</v>
      </c>
      <c r="J1103" s="1147">
        <v>72</v>
      </c>
      <c r="K1103" s="1147">
        <v>18</v>
      </c>
      <c r="L1103" s="1066" t="s">
        <v>988</v>
      </c>
      <c r="M1103" s="959">
        <v>2744000</v>
      </c>
      <c r="N1103" s="959">
        <v>30634878.2784</v>
      </c>
      <c r="O1103" s="1149">
        <v>16033099.501560001</v>
      </c>
      <c r="U1103" s="9"/>
      <c r="V1103" s="9"/>
      <c r="W1103" s="9"/>
      <c r="X1103" s="9"/>
      <c r="Y1103" s="9"/>
      <c r="Z1103" s="9"/>
      <c r="AA1103" s="9"/>
      <c r="AB1103" s="9"/>
      <c r="AC1103" s="237">
        <f>MAX(J1103/J1112)</f>
        <v>4.4127597399413595E-3</v>
      </c>
      <c r="AD1103" s="235">
        <f t="shared" ref="AD1103:AD1111" si="206">MAX(M1103*AC1103)</f>
        <v>12108.612726399091</v>
      </c>
      <c r="AE1103" s="238">
        <f>MAX(I1103/I1112)</f>
        <v>2.9072514118339667E-3</v>
      </c>
      <c r="AF1103" s="235">
        <f t="shared" ref="AF1103:AF1111" si="207">MAX(N1103*AE1103)</f>
        <v>89063.293126240125</v>
      </c>
      <c r="AG1103" s="238">
        <f>MAX(H1103/H1112)</f>
        <v>3.404632001838501E-3</v>
      </c>
      <c r="AH1103" s="235">
        <f t="shared" ref="AH1103:AH1111" si="208">MAX(O1103*AG1103)</f>
        <v>54586.803651672097</v>
      </c>
    </row>
    <row r="1104" spans="1:34" ht="15" customHeight="1" x14ac:dyDescent="0.2">
      <c r="A1104" s="962" t="s">
        <v>385</v>
      </c>
      <c r="B1104" s="956">
        <v>5</v>
      </c>
      <c r="C1104" s="1146">
        <v>1</v>
      </c>
      <c r="D1104" s="1146">
        <v>0</v>
      </c>
      <c r="E1104" s="1146">
        <v>0</v>
      </c>
      <c r="F1104" s="1146">
        <v>0</v>
      </c>
      <c r="G1104" s="1146">
        <v>0</v>
      </c>
      <c r="H1104" s="1146">
        <v>5</v>
      </c>
      <c r="I1104" s="1146">
        <v>6</v>
      </c>
      <c r="J1104" s="1147">
        <v>55</v>
      </c>
      <c r="K1104" s="1147">
        <v>11</v>
      </c>
      <c r="L1104" s="1066" t="s">
        <v>988</v>
      </c>
      <c r="M1104" s="959">
        <v>2744000</v>
      </c>
      <c r="N1104" s="959">
        <v>30634878.2784</v>
      </c>
      <c r="O1104" s="1149">
        <v>16033099.501560001</v>
      </c>
      <c r="P1104" s="950"/>
      <c r="Q1104" s="950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237">
        <f>MAX(J1104/J1112)</f>
        <v>3.3708581346774272E-3</v>
      </c>
      <c r="AD1104" s="235">
        <f t="shared" si="206"/>
        <v>9249.6347215548594</v>
      </c>
      <c r="AE1104" s="238">
        <f>MAX(I1104/I1112)</f>
        <v>4.3608771177509496E-3</v>
      </c>
      <c r="AF1104" s="235">
        <f t="shared" si="207"/>
        <v>133594.93968936015</v>
      </c>
      <c r="AG1104" s="238">
        <f>MAX(H1104/H1112)</f>
        <v>4.2557900022981258E-3</v>
      </c>
      <c r="AH1104" s="235">
        <f t="shared" si="208"/>
        <v>68233.504564590112</v>
      </c>
    </row>
    <row r="1105" spans="1:34" ht="15" customHeight="1" x14ac:dyDescent="0.2">
      <c r="A1105" s="962" t="s">
        <v>386</v>
      </c>
      <c r="B1105" s="245">
        <v>17.2</v>
      </c>
      <c r="C1105" s="1146">
        <v>3</v>
      </c>
      <c r="D1105" s="1146">
        <v>0</v>
      </c>
      <c r="E1105" s="1146">
        <v>0</v>
      </c>
      <c r="F1105" s="1146">
        <v>0</v>
      </c>
      <c r="G1105" s="1146">
        <v>0</v>
      </c>
      <c r="H1105" s="1146">
        <v>17.2</v>
      </c>
      <c r="I1105" s="1146">
        <v>20.2</v>
      </c>
      <c r="J1105" s="1147">
        <v>258</v>
      </c>
      <c r="K1105" s="1147">
        <v>15</v>
      </c>
      <c r="L1105" s="1066" t="s">
        <v>988</v>
      </c>
      <c r="M1105" s="959">
        <v>2744000</v>
      </c>
      <c r="N1105" s="959">
        <v>30634878.2784</v>
      </c>
      <c r="O1105" s="1149">
        <v>16033099.501560001</v>
      </c>
      <c r="P1105" s="950"/>
      <c r="Q1105" s="950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237">
        <f>MAX(J1105/J1112)</f>
        <v>1.5812389068123205E-2</v>
      </c>
      <c r="AD1105" s="235">
        <f t="shared" si="206"/>
        <v>43389.195602930071</v>
      </c>
      <c r="AE1105" s="238">
        <f>MAX(I1105/I1112)</f>
        <v>1.4681619629761531E-2</v>
      </c>
      <c r="AF1105" s="235">
        <f t="shared" si="207"/>
        <v>449769.63028751255</v>
      </c>
      <c r="AG1105" s="238">
        <f>MAX(H1105/H1112)</f>
        <v>1.4639917607905553E-2</v>
      </c>
      <c r="AH1105" s="235">
        <f t="shared" si="208"/>
        <v>234723.25570218998</v>
      </c>
    </row>
    <row r="1106" spans="1:34" ht="15" customHeight="1" x14ac:dyDescent="0.2">
      <c r="A1106" s="962" t="s">
        <v>387</v>
      </c>
      <c r="B1106" s="245">
        <v>0</v>
      </c>
      <c r="C1106" s="1146">
        <v>0</v>
      </c>
      <c r="D1106" s="1146">
        <v>0</v>
      </c>
      <c r="E1106" s="1146">
        <v>0</v>
      </c>
      <c r="F1106" s="1146">
        <v>0</v>
      </c>
      <c r="G1106" s="1146">
        <v>0</v>
      </c>
      <c r="H1106" s="1146">
        <v>0</v>
      </c>
      <c r="I1106" s="1146">
        <v>0</v>
      </c>
      <c r="J1106" s="1147">
        <v>0</v>
      </c>
      <c r="K1106" s="1147">
        <v>0</v>
      </c>
      <c r="L1106" s="1148"/>
      <c r="M1106" s="959"/>
      <c r="N1106" s="959"/>
      <c r="O1106" s="1149"/>
      <c r="U1106" s="9"/>
      <c r="V1106" s="9"/>
      <c r="W1106" s="9"/>
      <c r="X1106" s="9"/>
      <c r="Y1106" s="9"/>
      <c r="Z1106" s="9"/>
      <c r="AA1106" s="9"/>
      <c r="AB1106" s="9"/>
      <c r="AC1106" s="237">
        <f>MAX(J1106/J1112)</f>
        <v>0</v>
      </c>
      <c r="AD1106" s="235">
        <f t="shared" si="206"/>
        <v>0</v>
      </c>
      <c r="AE1106" s="238">
        <f>MAX(I1106/I1112)</f>
        <v>0</v>
      </c>
      <c r="AF1106" s="235">
        <f t="shared" si="207"/>
        <v>0</v>
      </c>
      <c r="AG1106" s="238">
        <f>MAX(H1106/H1112)</f>
        <v>0</v>
      </c>
      <c r="AH1106" s="235">
        <f t="shared" si="208"/>
        <v>0</v>
      </c>
    </row>
    <row r="1107" spans="1:34" ht="15" customHeight="1" x14ac:dyDescent="0.2">
      <c r="A1107" s="962" t="s">
        <v>388</v>
      </c>
      <c r="B1107" s="245">
        <v>0</v>
      </c>
      <c r="C1107" s="1146"/>
      <c r="D1107" s="1146"/>
      <c r="E1107" s="1146"/>
      <c r="F1107" s="1146"/>
      <c r="G1107" s="1146"/>
      <c r="H1107" s="1146">
        <v>0</v>
      </c>
      <c r="I1107" s="1146">
        <v>0</v>
      </c>
      <c r="J1107" s="1147">
        <v>0</v>
      </c>
      <c r="K1107" s="1147"/>
      <c r="L1107" s="1148"/>
      <c r="M1107" s="959"/>
      <c r="N1107" s="959"/>
      <c r="O1107" s="1149"/>
      <c r="P1107" s="950"/>
      <c r="Q1107" s="950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237">
        <f>MAX(J1107/J1112)</f>
        <v>0</v>
      </c>
      <c r="AD1107" s="235">
        <f t="shared" si="206"/>
        <v>0</v>
      </c>
      <c r="AE1107" s="238">
        <f>MAX(I1107/I1112)</f>
        <v>0</v>
      </c>
      <c r="AF1107" s="235">
        <f t="shared" si="207"/>
        <v>0</v>
      </c>
      <c r="AG1107" s="238">
        <f>MAX(H1107/H1112)</f>
        <v>0</v>
      </c>
      <c r="AH1107" s="235">
        <f t="shared" si="208"/>
        <v>0</v>
      </c>
    </row>
    <row r="1108" spans="1:34" ht="15" customHeight="1" x14ac:dyDescent="0.2">
      <c r="A1108" s="962" t="s">
        <v>389</v>
      </c>
      <c r="B1108" s="245">
        <v>0</v>
      </c>
      <c r="C1108" s="1146">
        <v>0</v>
      </c>
      <c r="D1108" s="1146"/>
      <c r="E1108" s="1146"/>
      <c r="F1108" s="1146"/>
      <c r="G1108" s="1146"/>
      <c r="H1108" s="1146">
        <v>0</v>
      </c>
      <c r="I1108" s="1146">
        <v>0</v>
      </c>
      <c r="J1108" s="1147">
        <v>0</v>
      </c>
      <c r="K1108" s="1147"/>
      <c r="L1108" s="1148"/>
      <c r="M1108" s="959"/>
      <c r="N1108" s="1533"/>
      <c r="O1108" s="1534"/>
      <c r="P1108" s="950"/>
      <c r="Q1108" s="950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237">
        <f>MAX(J1108/J1112)</f>
        <v>0</v>
      </c>
      <c r="AD1108" s="235">
        <f t="shared" si="206"/>
        <v>0</v>
      </c>
      <c r="AE1108" s="238">
        <f>MAX(I1108/I1112)</f>
        <v>0</v>
      </c>
      <c r="AF1108" s="235">
        <f t="shared" si="207"/>
        <v>0</v>
      </c>
      <c r="AG1108" s="238">
        <f>MAX(H1108/H1112)</f>
        <v>0</v>
      </c>
      <c r="AH1108" s="235">
        <f t="shared" si="208"/>
        <v>0</v>
      </c>
    </row>
    <row r="1109" spans="1:34" ht="15" customHeight="1" x14ac:dyDescent="0.2">
      <c r="A1109" s="962" t="s">
        <v>390</v>
      </c>
      <c r="B1109" s="245">
        <v>0</v>
      </c>
      <c r="C1109" s="1146"/>
      <c r="D1109" s="1146"/>
      <c r="E1109" s="1146"/>
      <c r="F1109" s="1146"/>
      <c r="G1109" s="1146"/>
      <c r="H1109" s="1146">
        <v>0</v>
      </c>
      <c r="I1109" s="1146">
        <v>0</v>
      </c>
      <c r="J1109" s="1147">
        <v>0</v>
      </c>
      <c r="K1109" s="1147"/>
      <c r="L1109" s="1148"/>
      <c r="M1109" s="959"/>
      <c r="N1109" s="959"/>
      <c r="O1109" s="1149"/>
      <c r="P1109" s="950"/>
      <c r="Q1109" s="950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237">
        <f>MAX(J1109/J1112)</f>
        <v>0</v>
      </c>
      <c r="AD1109" s="235">
        <f t="shared" si="206"/>
        <v>0</v>
      </c>
      <c r="AE1109" s="238">
        <f>MAX(I1109/I1112)</f>
        <v>0</v>
      </c>
      <c r="AF1109" s="235">
        <f t="shared" si="207"/>
        <v>0</v>
      </c>
      <c r="AG1109" s="238">
        <f>MAX(H1109/H1112)</f>
        <v>0</v>
      </c>
      <c r="AH1109" s="235">
        <f t="shared" si="208"/>
        <v>0</v>
      </c>
    </row>
    <row r="1110" spans="1:34" ht="15" customHeight="1" x14ac:dyDescent="0.2">
      <c r="A1110" s="962" t="s">
        <v>941</v>
      </c>
      <c r="B1110" s="245">
        <v>0</v>
      </c>
      <c r="C1110" s="1146"/>
      <c r="D1110" s="1146"/>
      <c r="E1110" s="1146"/>
      <c r="F1110" s="1146"/>
      <c r="G1110" s="1146"/>
      <c r="H1110" s="1146">
        <v>0</v>
      </c>
      <c r="I1110" s="1146">
        <v>0</v>
      </c>
      <c r="J1110" s="1147">
        <v>0</v>
      </c>
      <c r="K1110" s="1147"/>
      <c r="L1110" s="1148"/>
      <c r="M1110" s="959"/>
      <c r="N1110" s="959"/>
      <c r="O1110" s="1149"/>
      <c r="P1110" s="950"/>
      <c r="Q1110" s="950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237">
        <f>MAX(J1110/J1112)</f>
        <v>0</v>
      </c>
      <c r="AD1110" s="235">
        <f t="shared" si="206"/>
        <v>0</v>
      </c>
      <c r="AE1110" s="238">
        <f>MAX(I1110/I1112)</f>
        <v>0</v>
      </c>
      <c r="AF1110" s="235">
        <f t="shared" si="207"/>
        <v>0</v>
      </c>
      <c r="AG1110" s="238">
        <f>MAX(H1110/H1112)</f>
        <v>0</v>
      </c>
      <c r="AH1110" s="235">
        <f t="shared" si="208"/>
        <v>0</v>
      </c>
    </row>
    <row r="1111" spans="1:34" ht="15" customHeight="1" thickBot="1" x14ac:dyDescent="0.25">
      <c r="A1111" s="1140" t="s">
        <v>392</v>
      </c>
      <c r="B1111" s="1537">
        <v>12.5</v>
      </c>
      <c r="C1111" s="1141">
        <v>3</v>
      </c>
      <c r="D1111" s="1141">
        <v>0</v>
      </c>
      <c r="E1111" s="1141">
        <v>0</v>
      </c>
      <c r="F1111" s="1141">
        <v>0</v>
      </c>
      <c r="G1111" s="1141">
        <v>0</v>
      </c>
      <c r="H1111" s="1146">
        <v>12.5</v>
      </c>
      <c r="I1111" s="1146">
        <v>15.5</v>
      </c>
      <c r="J1111" s="1526">
        <v>175</v>
      </c>
      <c r="K1111" s="1142">
        <v>14</v>
      </c>
      <c r="L1111" s="1066" t="s">
        <v>988</v>
      </c>
      <c r="M1111" s="959">
        <v>2744000</v>
      </c>
      <c r="N1111" s="959">
        <v>30634878.2784</v>
      </c>
      <c r="O1111" s="1149">
        <v>16033099.501560001</v>
      </c>
      <c r="P1111" s="950"/>
      <c r="Q1111" s="950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237">
        <f>MAX(J1111/J1112)</f>
        <v>1.072545770124636E-2</v>
      </c>
      <c r="AD1111" s="235">
        <f t="shared" si="206"/>
        <v>29430.655932220012</v>
      </c>
      <c r="AE1111" s="238">
        <f>MAX(I1111/I1112)</f>
        <v>1.1265599220856621E-2</v>
      </c>
      <c r="AF1111" s="235">
        <f t="shared" si="207"/>
        <v>345120.26086418045</v>
      </c>
      <c r="AG1111" s="238">
        <f>MAX(H1111/H1112)</f>
        <v>1.0639475005745315E-2</v>
      </c>
      <c r="AH1111" s="235">
        <f t="shared" si="208"/>
        <v>170583.76141147528</v>
      </c>
    </row>
    <row r="1112" spans="1:34" ht="15" customHeight="1" thickBot="1" x14ac:dyDescent="0.25">
      <c r="A1112" s="405" t="s">
        <v>942</v>
      </c>
      <c r="B1112" s="1131">
        <v>1317.8700000000001</v>
      </c>
      <c r="C1112" s="1131">
        <v>123</v>
      </c>
      <c r="D1112" s="1131">
        <v>24</v>
      </c>
      <c r="E1112" s="1131">
        <v>13</v>
      </c>
      <c r="F1112" s="1131">
        <v>52</v>
      </c>
      <c r="G1112" s="1131">
        <v>54</v>
      </c>
      <c r="H1112" s="1131">
        <v>1174.8700000000001</v>
      </c>
      <c r="I1112" s="1131">
        <v>1375.8700000000001</v>
      </c>
      <c r="J1112" s="1132">
        <v>16316.32</v>
      </c>
      <c r="K1112" s="1132">
        <v>13.887766306059392</v>
      </c>
      <c r="L1112" s="1525" t="s">
        <v>988</v>
      </c>
      <c r="M1112" s="1134">
        <v>2744000.0000000005</v>
      </c>
      <c r="N1112" s="1134">
        <v>30634878.278400004</v>
      </c>
      <c r="O1112" s="506">
        <v>16033099.501559999</v>
      </c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1159">
        <f t="shared" ref="AC1112:AH1112" si="209">SUM(AC1072:AC1111)</f>
        <v>1.0000000000000002</v>
      </c>
      <c r="AD1112" s="1160">
        <f t="shared" si="209"/>
        <v>2744000.0000000005</v>
      </c>
      <c r="AE1112" s="1161">
        <f t="shared" si="209"/>
        <v>0.99999999999999989</v>
      </c>
      <c r="AF1112" s="1160">
        <f t="shared" si="209"/>
        <v>30634878.278400004</v>
      </c>
      <c r="AG1112" s="1161">
        <f t="shared" si="209"/>
        <v>0.99999999999999989</v>
      </c>
      <c r="AH1112" s="1160">
        <f t="shared" si="209"/>
        <v>16033099.501559999</v>
      </c>
    </row>
    <row r="1113" spans="1:34" x14ac:dyDescent="0.2">
      <c r="A1113" s="7" t="s">
        <v>1934</v>
      </c>
      <c r="B1113" s="224"/>
      <c r="C1113" s="224"/>
      <c r="D1113" s="224"/>
      <c r="E1113" s="224"/>
      <c r="F1113" s="224"/>
      <c r="G1113" s="224"/>
      <c r="H1113" s="224"/>
      <c r="I1113" s="224"/>
      <c r="J1113" s="224"/>
      <c r="K1113" s="240"/>
      <c r="L1113" s="241"/>
      <c r="M1113" s="240"/>
      <c r="N1113" s="240"/>
      <c r="O1113" s="240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</row>
    <row r="1114" spans="1:34" x14ac:dyDescent="0.2">
      <c r="A1114" s="34"/>
      <c r="B1114" s="224"/>
      <c r="C1114" s="224"/>
      <c r="D1114" s="224"/>
      <c r="E1114" s="224"/>
      <c r="F1114" s="224"/>
      <c r="G1114" s="224"/>
      <c r="H1114" s="247"/>
      <c r="I1114" s="224"/>
      <c r="J1114" s="247"/>
      <c r="K1114" s="249"/>
      <c r="L1114" s="241"/>
      <c r="M1114" s="240"/>
      <c r="N1114" s="240"/>
      <c r="O1114" s="240"/>
      <c r="P1114" s="240"/>
      <c r="Q1114" s="240"/>
      <c r="R1114" s="240"/>
      <c r="S1114" s="240"/>
      <c r="T1114" s="240"/>
      <c r="U1114" s="240"/>
      <c r="V1114" s="240"/>
      <c r="W1114" s="240"/>
      <c r="X1114" s="240"/>
      <c r="Y1114" s="240"/>
      <c r="Z1114" s="240"/>
      <c r="AA1114" s="240"/>
      <c r="AB1114" s="240"/>
      <c r="AC1114" s="240"/>
      <c r="AD1114" s="240"/>
      <c r="AE1114" s="180"/>
      <c r="AF1114" s="9"/>
      <c r="AG1114" s="9"/>
      <c r="AH1114" s="9"/>
    </row>
    <row r="1115" spans="1:34" x14ac:dyDescent="0.2">
      <c r="A1115" s="34"/>
      <c r="B1115" s="224"/>
      <c r="C1115" s="224"/>
      <c r="D1115" s="224"/>
      <c r="E1115" s="224"/>
      <c r="F1115" s="224"/>
      <c r="G1115" s="224"/>
      <c r="H1115" s="247"/>
      <c r="I1115" s="224"/>
      <c r="J1115" s="247"/>
      <c r="K1115" s="249"/>
      <c r="L1115" s="241"/>
      <c r="M1115" s="240"/>
      <c r="N1115" s="240"/>
      <c r="O1115" s="240"/>
      <c r="P1115" s="240"/>
      <c r="Q1115" s="240"/>
      <c r="R1115" s="240"/>
      <c r="S1115" s="240"/>
      <c r="T1115" s="240"/>
      <c r="U1115" s="240"/>
      <c r="V1115" s="240"/>
      <c r="W1115" s="240"/>
      <c r="X1115" s="240"/>
      <c r="Y1115" s="240"/>
      <c r="Z1115" s="240"/>
      <c r="AA1115" s="240"/>
      <c r="AB1115" s="240"/>
      <c r="AC1115" s="240"/>
      <c r="AD1115" s="240"/>
      <c r="AE1115" s="180"/>
      <c r="AF1115" s="9"/>
      <c r="AG1115" s="9"/>
      <c r="AH1115" s="9"/>
    </row>
    <row r="1116" spans="1:34" ht="15" x14ac:dyDescent="0.25">
      <c r="A1116" s="2843" t="s">
        <v>1931</v>
      </c>
      <c r="B1116" s="2843"/>
      <c r="C1116" s="2843"/>
      <c r="D1116" s="2843"/>
      <c r="E1116" s="2843"/>
      <c r="F1116" s="2843"/>
      <c r="G1116" s="2843"/>
      <c r="H1116" s="2843"/>
      <c r="I1116" s="2843"/>
      <c r="J1116" s="2843"/>
      <c r="K1116" s="2843"/>
      <c r="L1116" s="2843"/>
      <c r="M1116" s="2843"/>
      <c r="N1116" s="2843"/>
      <c r="O1116" s="2843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</row>
    <row r="1117" spans="1:34" x14ac:dyDescent="0.2">
      <c r="A1117" s="246"/>
      <c r="B1117" s="246"/>
      <c r="C1117" s="240"/>
      <c r="D1117" s="240"/>
      <c r="E1117" s="240"/>
      <c r="F1117" s="240"/>
      <c r="G1117" s="240"/>
      <c r="H1117" s="240"/>
      <c r="I1117" s="240"/>
      <c r="J1117" s="240"/>
      <c r="K1117" s="240"/>
      <c r="L1117" s="241"/>
      <c r="M1117" s="240"/>
      <c r="N1117" s="240"/>
      <c r="O1117" s="240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</row>
    <row r="1118" spans="1:34" ht="13.5" thickBot="1" x14ac:dyDescent="0.25">
      <c r="A1118" s="246" t="s">
        <v>952</v>
      </c>
      <c r="B1118" s="246"/>
      <c r="C1118" s="240"/>
      <c r="D1118" s="240"/>
      <c r="E1118" s="240"/>
      <c r="F1118" s="240"/>
      <c r="G1118" s="240"/>
      <c r="H1118" s="240"/>
      <c r="I1118" s="240"/>
      <c r="J1118" s="240"/>
      <c r="K1118" s="240"/>
      <c r="L1118" s="241"/>
      <c r="M1118" s="240"/>
      <c r="N1118" s="240"/>
      <c r="O1118" s="240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</row>
    <row r="1119" spans="1:34" ht="15" customHeight="1" x14ac:dyDescent="0.2">
      <c r="A1119" s="2844" t="s">
        <v>327</v>
      </c>
      <c r="B1119" s="2847" t="s">
        <v>1932</v>
      </c>
      <c r="C1119" s="2848"/>
      <c r="D1119" s="2848"/>
      <c r="E1119" s="2848"/>
      <c r="F1119" s="2848"/>
      <c r="G1119" s="2848"/>
      <c r="H1119" s="2848"/>
      <c r="I1119" s="2848"/>
      <c r="J1119" s="2848"/>
      <c r="K1119" s="2848"/>
      <c r="L1119" s="2848"/>
      <c r="M1119" s="2848"/>
      <c r="N1119" s="2848"/>
      <c r="O1119" s="284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228" t="s">
        <v>910</v>
      </c>
      <c r="AD1119" s="229"/>
      <c r="AE1119" s="229"/>
      <c r="AF1119" s="229"/>
      <c r="AG1119" s="229"/>
      <c r="AH1119" s="243"/>
    </row>
    <row r="1120" spans="1:34" ht="15" customHeight="1" x14ac:dyDescent="0.2">
      <c r="A1120" s="2845"/>
      <c r="B1120" s="2850" t="s">
        <v>191</v>
      </c>
      <c r="C1120" s="2850"/>
      <c r="D1120" s="2850"/>
      <c r="E1120" s="2850"/>
      <c r="F1120" s="2850"/>
      <c r="G1120" s="2850"/>
      <c r="H1120" s="2850"/>
      <c r="I1120" s="2850"/>
      <c r="J1120" s="2119"/>
      <c r="K1120" s="2119" t="s">
        <v>904</v>
      </c>
      <c r="L1120" s="2119"/>
      <c r="M1120" s="1122" t="s">
        <v>437</v>
      </c>
      <c r="N1120" s="1122" t="s">
        <v>911</v>
      </c>
      <c r="O1120" s="1127" t="s">
        <v>911</v>
      </c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230" t="s">
        <v>333</v>
      </c>
      <c r="AD1120" s="231" t="s">
        <v>333</v>
      </c>
      <c r="AE1120" s="231" t="s">
        <v>333</v>
      </c>
      <c r="AF1120" s="231" t="s">
        <v>333</v>
      </c>
      <c r="AG1120" s="231" t="s">
        <v>333</v>
      </c>
      <c r="AH1120" s="231" t="s">
        <v>333</v>
      </c>
    </row>
    <row r="1121" spans="1:34" ht="15" customHeight="1" x14ac:dyDescent="0.2">
      <c r="A1121" s="2845"/>
      <c r="B1121" s="2119" t="s">
        <v>433</v>
      </c>
      <c r="C1121" s="2119"/>
      <c r="D1121" s="2841" t="s">
        <v>1865</v>
      </c>
      <c r="E1121" s="2119"/>
      <c r="F1121" s="2119"/>
      <c r="G1121" s="2119" t="s">
        <v>912</v>
      </c>
      <c r="H1121" s="2119"/>
      <c r="I1121" s="2119" t="s">
        <v>433</v>
      </c>
      <c r="J1121" s="2138" t="s">
        <v>913</v>
      </c>
      <c r="K1121" s="2138" t="s">
        <v>842</v>
      </c>
      <c r="L1121" s="2138" t="s">
        <v>329</v>
      </c>
      <c r="M1121" s="1123" t="s">
        <v>914</v>
      </c>
      <c r="N1121" s="1123" t="s">
        <v>915</v>
      </c>
      <c r="O1121" s="1128" t="s">
        <v>914</v>
      </c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230" t="s">
        <v>913</v>
      </c>
      <c r="AD1121" s="231" t="s">
        <v>916</v>
      </c>
      <c r="AE1121" s="231" t="s">
        <v>917</v>
      </c>
      <c r="AF1121" s="231" t="s">
        <v>918</v>
      </c>
      <c r="AG1121" s="231" t="s">
        <v>192</v>
      </c>
      <c r="AH1121" s="231" t="s">
        <v>918</v>
      </c>
    </row>
    <row r="1122" spans="1:34" ht="15" customHeight="1" x14ac:dyDescent="0.2">
      <c r="A1122" s="2845"/>
      <c r="B1122" s="2138" t="s">
        <v>920</v>
      </c>
      <c r="C1122" s="2138" t="s">
        <v>922</v>
      </c>
      <c r="D1122" s="2842"/>
      <c r="E1122" s="2138" t="s">
        <v>867</v>
      </c>
      <c r="F1122" s="2138" t="s">
        <v>921</v>
      </c>
      <c r="G1122" s="2138" t="s">
        <v>923</v>
      </c>
      <c r="H1122" s="2138" t="s">
        <v>836</v>
      </c>
      <c r="I1122" s="2138" t="s">
        <v>835</v>
      </c>
      <c r="J1122" s="2138" t="s">
        <v>924</v>
      </c>
      <c r="K1122" s="2138" t="s">
        <v>925</v>
      </c>
      <c r="L1122" s="2138" t="s">
        <v>336</v>
      </c>
      <c r="M1122" s="1123" t="s">
        <v>926</v>
      </c>
      <c r="N1122" s="1123" t="s">
        <v>927</v>
      </c>
      <c r="O1122" s="1128" t="s">
        <v>928</v>
      </c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230"/>
      <c r="AD1122" s="231" t="s">
        <v>843</v>
      </c>
      <c r="AE1122" s="231"/>
      <c r="AF1122" s="231" t="s">
        <v>929</v>
      </c>
      <c r="AG1122" s="231"/>
      <c r="AH1122" s="231" t="s">
        <v>930</v>
      </c>
    </row>
    <row r="1123" spans="1:34" ht="15" customHeight="1" thickBot="1" x14ac:dyDescent="0.25">
      <c r="A1123" s="2846"/>
      <c r="B1123" s="1881">
        <v>44926</v>
      </c>
      <c r="C1123" s="2139">
        <v>2023</v>
      </c>
      <c r="D1123" s="2139">
        <v>2023</v>
      </c>
      <c r="E1123" s="2139">
        <v>2023</v>
      </c>
      <c r="F1123" s="2139">
        <v>2023</v>
      </c>
      <c r="G1123" s="2139" t="s">
        <v>931</v>
      </c>
      <c r="H1123" s="1126">
        <v>2023</v>
      </c>
      <c r="I1123" s="1881">
        <v>45291</v>
      </c>
      <c r="J1123" s="1881" t="s">
        <v>1933</v>
      </c>
      <c r="K1123" s="1881" t="s">
        <v>1933</v>
      </c>
      <c r="L1123" s="2139" t="s">
        <v>441</v>
      </c>
      <c r="M1123" s="1125" t="s">
        <v>932</v>
      </c>
      <c r="N1123" s="1125" t="s">
        <v>933</v>
      </c>
      <c r="O1123" s="1129" t="s">
        <v>933</v>
      </c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232"/>
      <c r="AD1123" s="233" t="s">
        <v>934</v>
      </c>
      <c r="AE1123" s="233"/>
      <c r="AF1123" s="233" t="s">
        <v>935</v>
      </c>
      <c r="AG1123" s="233"/>
      <c r="AH1123" s="233" t="s">
        <v>936</v>
      </c>
    </row>
    <row r="1124" spans="1:34" ht="15" customHeight="1" x14ac:dyDescent="0.2">
      <c r="A1124" s="1135" t="s">
        <v>352</v>
      </c>
      <c r="B1124" s="1130">
        <v>291.60000000000002</v>
      </c>
      <c r="C1124" s="1130">
        <v>8</v>
      </c>
      <c r="D1124" s="1130">
        <v>1</v>
      </c>
      <c r="E1124" s="1130">
        <v>2</v>
      </c>
      <c r="F1124" s="1130">
        <v>17</v>
      </c>
      <c r="G1124" s="1130">
        <v>16</v>
      </c>
      <c r="H1124" s="1130">
        <v>255.6</v>
      </c>
      <c r="I1124" s="1130">
        <v>280.60000000000002</v>
      </c>
      <c r="J1124" s="1136">
        <v>4741.2</v>
      </c>
      <c r="K1124" s="1535">
        <v>18.549295774647888</v>
      </c>
      <c r="L1124" s="380"/>
      <c r="M1124" s="1138"/>
      <c r="N1124" s="1138"/>
      <c r="O1124" s="113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1155"/>
      <c r="AD1124" s="1156"/>
      <c r="AE1124" s="1156"/>
      <c r="AF1124" s="1156"/>
      <c r="AG1124" s="1156"/>
      <c r="AH1124" s="1156"/>
    </row>
    <row r="1125" spans="1:34" ht="15" customHeight="1" x14ac:dyDescent="0.2">
      <c r="A1125" s="962" t="s">
        <v>353</v>
      </c>
      <c r="B1125" s="245">
        <v>81.5</v>
      </c>
      <c r="C1125" s="1146"/>
      <c r="D1125" s="1146"/>
      <c r="E1125" s="1146"/>
      <c r="F1125" s="1146"/>
      <c r="G1125" s="1146"/>
      <c r="H1125" s="1146">
        <v>81.5</v>
      </c>
      <c r="I1125" s="1146">
        <v>81.5</v>
      </c>
      <c r="J1125" s="1147">
        <v>1630</v>
      </c>
      <c r="K1125" s="1147">
        <v>20</v>
      </c>
      <c r="L1125" s="1066" t="s">
        <v>988</v>
      </c>
      <c r="M1125" s="959">
        <v>2532000</v>
      </c>
      <c r="N1125" s="959">
        <v>35248546.175679997</v>
      </c>
      <c r="O1125" s="1149">
        <v>11860806.240152001</v>
      </c>
      <c r="P1125" s="950"/>
      <c r="Q1125" s="950"/>
      <c r="R1125" s="950"/>
      <c r="S1125" s="950"/>
      <c r="T1125" s="950"/>
      <c r="U1125" s="950"/>
      <c r="V1125" s="950"/>
      <c r="W1125" s="950"/>
      <c r="X1125" s="950"/>
      <c r="Y1125" s="950"/>
      <c r="Z1125" s="9"/>
      <c r="AA1125" s="9"/>
      <c r="AB1125" s="9"/>
      <c r="AC1125" s="237">
        <f>MAX(J1125/J1165)</f>
        <v>0.18281330611695568</v>
      </c>
      <c r="AD1125" s="235">
        <f t="shared" ref="AD1125:AD1139" si="210">MAX(M1125*AC1125)</f>
        <v>462883.29108813178</v>
      </c>
      <c r="AE1125" s="238">
        <f>MAX(I1125/I1165)</f>
        <v>0.14037202893558387</v>
      </c>
      <c r="AF1125" s="235">
        <f t="shared" ref="AF1125:AF1139" si="211">MAX(N1125*AE1125)</f>
        <v>4947909.9437098168</v>
      </c>
      <c r="AG1125" s="238">
        <f>MAX(H1125/H1165)</f>
        <v>0.17429426860564587</v>
      </c>
      <c r="AH1125" s="235">
        <f t="shared" ref="AH1125:AH1139" si="212">MAX(O1125*AG1125)</f>
        <v>2067270.5487005736</v>
      </c>
    </row>
    <row r="1126" spans="1:34" ht="15" customHeight="1" x14ac:dyDescent="0.2">
      <c r="A1126" s="962" t="s">
        <v>354</v>
      </c>
      <c r="B1126" s="245">
        <v>7.5</v>
      </c>
      <c r="C1126" s="1146">
        <v>3</v>
      </c>
      <c r="D1126" s="1146"/>
      <c r="E1126" s="1146"/>
      <c r="F1126" s="1146"/>
      <c r="G1126" s="1146"/>
      <c r="H1126" s="1146">
        <v>7.5</v>
      </c>
      <c r="I1126" s="1146">
        <v>10.5</v>
      </c>
      <c r="J1126" s="1147">
        <v>150</v>
      </c>
      <c r="K1126" s="1147">
        <v>20</v>
      </c>
      <c r="L1126" s="1066" t="s">
        <v>988</v>
      </c>
      <c r="M1126" s="959">
        <v>2532000</v>
      </c>
      <c r="N1126" s="959">
        <v>35248546.175679997</v>
      </c>
      <c r="O1126" s="1149">
        <v>11860806.240152001</v>
      </c>
      <c r="P1126" s="950"/>
      <c r="Q1126" s="950"/>
      <c r="R1126" s="950"/>
      <c r="S1126" s="9"/>
      <c r="T1126" s="9"/>
      <c r="U1126" s="9"/>
      <c r="V1126" s="9"/>
      <c r="W1126" s="950"/>
      <c r="X1126" s="950"/>
      <c r="Y1126" s="950"/>
      <c r="Z1126" s="9"/>
      <c r="AA1126" s="9"/>
      <c r="AB1126" s="9"/>
      <c r="AC1126" s="237">
        <f>MAX(J1126/J1165)</f>
        <v>1.6823310378860951E-2</v>
      </c>
      <c r="AD1126" s="235">
        <f t="shared" si="210"/>
        <v>42596.621879275925</v>
      </c>
      <c r="AE1126" s="238">
        <f>MAX(I1126/I1165)</f>
        <v>1.8084739924216327E-2</v>
      </c>
      <c r="AF1126" s="235">
        <f t="shared" si="211"/>
        <v>637460.79029390274</v>
      </c>
      <c r="AG1126" s="238">
        <f>MAX(H1126/H1165)</f>
        <v>1.6039349871685201E-2</v>
      </c>
      <c r="AH1126" s="235">
        <f t="shared" si="212"/>
        <v>190239.62104606503</v>
      </c>
    </row>
    <row r="1127" spans="1:34" ht="15" customHeight="1" x14ac:dyDescent="0.2">
      <c r="A1127" s="962" t="s">
        <v>355</v>
      </c>
      <c r="B1127" s="245">
        <v>26</v>
      </c>
      <c r="C1127" s="1146"/>
      <c r="D1127" s="1146"/>
      <c r="E1127" s="1146"/>
      <c r="F1127" s="1146">
        <v>2</v>
      </c>
      <c r="G1127" s="1146">
        <v>10</v>
      </c>
      <c r="H1127" s="1146">
        <v>14</v>
      </c>
      <c r="I1127" s="1146">
        <v>24</v>
      </c>
      <c r="J1127" s="1147">
        <v>182</v>
      </c>
      <c r="K1127" s="1147">
        <v>13</v>
      </c>
      <c r="L1127" s="1066" t="s">
        <v>988</v>
      </c>
      <c r="M1127" s="959">
        <v>2532000</v>
      </c>
      <c r="N1127" s="959">
        <v>35248546.175679997</v>
      </c>
      <c r="O1127" s="1149">
        <v>11860806.240152001</v>
      </c>
      <c r="P1127" s="950"/>
      <c r="Q1127" s="950"/>
      <c r="R1127" s="950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237">
        <f>MAX(J1127/J1165)</f>
        <v>2.0412283259684621E-2</v>
      </c>
      <c r="AD1127" s="235">
        <f t="shared" si="210"/>
        <v>51683.901213521458</v>
      </c>
      <c r="AE1127" s="238">
        <f>MAX(I1127/I1165)</f>
        <v>4.1336548398208744E-2</v>
      </c>
      <c r="AF1127" s="235">
        <f t="shared" si="211"/>
        <v>1457053.234957492</v>
      </c>
      <c r="AG1127" s="238">
        <f>MAX(H1127/H1165)</f>
        <v>2.9940119760479045E-2</v>
      </c>
      <c r="AH1127" s="235">
        <f t="shared" si="212"/>
        <v>355113.95928598812</v>
      </c>
    </row>
    <row r="1128" spans="1:34" ht="15" customHeight="1" x14ac:dyDescent="0.2">
      <c r="A1128" s="962" t="s">
        <v>356</v>
      </c>
      <c r="B1128" s="245">
        <v>4</v>
      </c>
      <c r="C1128" s="1146">
        <v>1</v>
      </c>
      <c r="D1128" s="1146"/>
      <c r="E1128" s="1146"/>
      <c r="F1128" s="1146"/>
      <c r="G1128" s="1146">
        <v>1</v>
      </c>
      <c r="H1128" s="1146">
        <v>3</v>
      </c>
      <c r="I1128" s="1146">
        <v>5</v>
      </c>
      <c r="J1128" s="1147">
        <v>60</v>
      </c>
      <c r="K1128" s="1147">
        <v>20</v>
      </c>
      <c r="L1128" s="1066" t="s">
        <v>988</v>
      </c>
      <c r="M1128" s="959">
        <v>2532000</v>
      </c>
      <c r="N1128" s="959">
        <v>35248546.175679997</v>
      </c>
      <c r="O1128" s="1149">
        <v>11860806.240152001</v>
      </c>
      <c r="P1128" s="950"/>
      <c r="Q1128" s="950"/>
      <c r="R1128" s="950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237">
        <f>MAX(J1128/J1165)</f>
        <v>6.7293241515443804E-3</v>
      </c>
      <c r="AD1128" s="235">
        <f t="shared" si="210"/>
        <v>17038.648751710371</v>
      </c>
      <c r="AE1128" s="238">
        <f>MAX(I1128/I1165)</f>
        <v>8.6117809162934884E-3</v>
      </c>
      <c r="AF1128" s="235">
        <f t="shared" si="211"/>
        <v>303552.75728281081</v>
      </c>
      <c r="AG1128" s="238">
        <f>MAX(H1128/H1165)</f>
        <v>6.4157399486740813E-3</v>
      </c>
      <c r="AH1128" s="235">
        <f t="shared" si="212"/>
        <v>76095.848418426031</v>
      </c>
    </row>
    <row r="1129" spans="1:34" ht="15" customHeight="1" x14ac:dyDescent="0.2">
      <c r="A1129" s="962" t="s">
        <v>357</v>
      </c>
      <c r="B1129" s="1498">
        <v>105</v>
      </c>
      <c r="C1129" s="1146">
        <v>0</v>
      </c>
      <c r="D1129" s="1146">
        <v>0</v>
      </c>
      <c r="E1129" s="1146">
        <v>0</v>
      </c>
      <c r="F1129" s="1146">
        <v>8</v>
      </c>
      <c r="G1129" s="1146">
        <v>0</v>
      </c>
      <c r="H1129" s="1146">
        <v>97</v>
      </c>
      <c r="I1129" s="1146">
        <v>97</v>
      </c>
      <c r="J1129" s="1147">
        <v>1746</v>
      </c>
      <c r="K1129" s="1147">
        <v>18</v>
      </c>
      <c r="L1129" s="1066" t="s">
        <v>988</v>
      </c>
      <c r="M1129" s="959">
        <v>2532000</v>
      </c>
      <c r="N1129" s="959">
        <v>35248546.175679997</v>
      </c>
      <c r="O1129" s="1149">
        <v>11860806.240152001</v>
      </c>
      <c r="P1129" s="950"/>
      <c r="Q1129" s="950"/>
      <c r="R1129" s="950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237">
        <f>MAX(J1129/J1165)</f>
        <v>0.19582333280994149</v>
      </c>
      <c r="AD1129" s="235">
        <f t="shared" si="210"/>
        <v>495824.67867477186</v>
      </c>
      <c r="AE1129" s="238">
        <f>MAX(I1129/I1165)</f>
        <v>0.1670685497760937</v>
      </c>
      <c r="AF1129" s="235">
        <f t="shared" si="211"/>
        <v>5888923.4912865311</v>
      </c>
      <c r="AG1129" s="238">
        <f>MAX(H1129/H1165)</f>
        <v>0.20744225834046195</v>
      </c>
      <c r="AH1129" s="235">
        <f t="shared" si="212"/>
        <v>2460432.4321957747</v>
      </c>
    </row>
    <row r="1130" spans="1:34" ht="15" customHeight="1" x14ac:dyDescent="0.2">
      <c r="A1130" s="962" t="s">
        <v>358</v>
      </c>
      <c r="B1130" s="1498">
        <v>8</v>
      </c>
      <c r="C1130" s="1146">
        <v>0</v>
      </c>
      <c r="D1130" s="1146">
        <v>0</v>
      </c>
      <c r="E1130" s="1146">
        <v>0</v>
      </c>
      <c r="F1130" s="1146">
        <v>1</v>
      </c>
      <c r="G1130" s="1146">
        <v>0</v>
      </c>
      <c r="H1130" s="1146">
        <v>7</v>
      </c>
      <c r="I1130" s="1146">
        <v>7</v>
      </c>
      <c r="J1130" s="1147">
        <v>119</v>
      </c>
      <c r="K1130" s="1147">
        <v>17</v>
      </c>
      <c r="L1130" s="1066" t="s">
        <v>988</v>
      </c>
      <c r="M1130" s="959">
        <v>2532000</v>
      </c>
      <c r="N1130" s="959">
        <v>35248546.175679997</v>
      </c>
      <c r="O1130" s="1149">
        <v>11860806.240152001</v>
      </c>
      <c r="P1130" s="950"/>
      <c r="Q1130" s="950"/>
      <c r="R1130" s="950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237">
        <f>MAX(J1130/J1165)</f>
        <v>1.3346492900563021E-2</v>
      </c>
      <c r="AD1130" s="235">
        <f t="shared" si="210"/>
        <v>33793.32002422557</v>
      </c>
      <c r="AE1130" s="238">
        <f>MAX(I1130/I1165)</f>
        <v>1.2056493282810886E-2</v>
      </c>
      <c r="AF1130" s="235">
        <f t="shared" si="211"/>
        <v>424973.86019593518</v>
      </c>
      <c r="AG1130" s="238">
        <f>MAX(H1130/H1165)</f>
        <v>1.4970059880239523E-2</v>
      </c>
      <c r="AH1130" s="235">
        <f t="shared" si="212"/>
        <v>177556.97964299406</v>
      </c>
    </row>
    <row r="1131" spans="1:34" ht="15" customHeight="1" x14ac:dyDescent="0.2">
      <c r="A1131" s="962" t="s">
        <v>937</v>
      </c>
      <c r="B1131" s="1498">
        <v>33</v>
      </c>
      <c r="C1131" s="1146">
        <v>2</v>
      </c>
      <c r="D1131" s="1146">
        <v>1</v>
      </c>
      <c r="E1131" s="1146">
        <v>2</v>
      </c>
      <c r="F1131" s="1146">
        <v>0</v>
      </c>
      <c r="G1131" s="1146">
        <v>0</v>
      </c>
      <c r="H1131" s="1146">
        <v>30</v>
      </c>
      <c r="I1131" s="1146">
        <v>33</v>
      </c>
      <c r="J1131" s="1147">
        <v>600</v>
      </c>
      <c r="K1131" s="1147">
        <v>20</v>
      </c>
      <c r="L1131" s="1066" t="s">
        <v>988</v>
      </c>
      <c r="M1131" s="959">
        <v>2532000</v>
      </c>
      <c r="N1131" s="959">
        <v>35248546.175679997</v>
      </c>
      <c r="O1131" s="1149">
        <v>11860806.240152001</v>
      </c>
      <c r="P1131" s="950"/>
      <c r="Q1131" s="950"/>
      <c r="R1131" s="950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237">
        <f>MAX(J1131/J1165)</f>
        <v>6.7293241515443802E-2</v>
      </c>
      <c r="AD1131" s="235">
        <f t="shared" si="210"/>
        <v>170386.4875171037</v>
      </c>
      <c r="AE1131" s="238">
        <f>MAX(I1131/I1165)</f>
        <v>5.6837754047537027E-2</v>
      </c>
      <c r="AF1131" s="235">
        <f t="shared" si="211"/>
        <v>2003448.1980665515</v>
      </c>
      <c r="AG1131" s="238">
        <f>MAX(H1131/H1165)</f>
        <v>6.4157399486740804E-2</v>
      </c>
      <c r="AH1131" s="235">
        <f t="shared" si="212"/>
        <v>760958.48418426013</v>
      </c>
    </row>
    <row r="1132" spans="1:34" ht="15" customHeight="1" x14ac:dyDescent="0.2">
      <c r="A1132" s="962" t="s">
        <v>360</v>
      </c>
      <c r="B1132" s="1498">
        <v>10.1</v>
      </c>
      <c r="C1132" s="1146">
        <v>0</v>
      </c>
      <c r="D1132" s="1146">
        <v>0</v>
      </c>
      <c r="E1132" s="1146">
        <v>0</v>
      </c>
      <c r="F1132" s="1146">
        <v>0</v>
      </c>
      <c r="G1132" s="1146">
        <v>0</v>
      </c>
      <c r="H1132" s="1146">
        <v>10.1</v>
      </c>
      <c r="I1132" s="1146">
        <v>10.1</v>
      </c>
      <c r="J1132" s="1147">
        <v>171.7</v>
      </c>
      <c r="K1132" s="1147">
        <v>17</v>
      </c>
      <c r="L1132" s="1066" t="s">
        <v>988</v>
      </c>
      <c r="M1132" s="959">
        <v>2532000</v>
      </c>
      <c r="N1132" s="959">
        <v>35248546.175679997</v>
      </c>
      <c r="O1132" s="1149">
        <v>11860806.240152001</v>
      </c>
      <c r="P1132" s="950"/>
      <c r="Q1132" s="950"/>
      <c r="R1132" s="950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237">
        <f>MAX(J1132/J1165)</f>
        <v>1.9257082613669502E-2</v>
      </c>
      <c r="AD1132" s="235">
        <f t="shared" si="210"/>
        <v>48758.933177811181</v>
      </c>
      <c r="AE1132" s="238">
        <f>MAX(I1132/I1165)</f>
        <v>1.7395797450912846E-2</v>
      </c>
      <c r="AF1132" s="235">
        <f t="shared" si="211"/>
        <v>613176.56971127784</v>
      </c>
      <c r="AG1132" s="238">
        <f>MAX(H1132/H1165)</f>
        <v>2.1599657827202738E-2</v>
      </c>
      <c r="AH1132" s="235">
        <f t="shared" si="212"/>
        <v>256189.35634203427</v>
      </c>
    </row>
    <row r="1133" spans="1:34" ht="15" customHeight="1" x14ac:dyDescent="0.2">
      <c r="A1133" s="962" t="s">
        <v>938</v>
      </c>
      <c r="B1133" s="1498">
        <v>15</v>
      </c>
      <c r="C1133" s="1146">
        <v>0</v>
      </c>
      <c r="D1133" s="1146">
        <v>0</v>
      </c>
      <c r="E1133" s="1146">
        <v>0</v>
      </c>
      <c r="F1133" s="1146">
        <v>6</v>
      </c>
      <c r="G1133" s="1146">
        <v>5</v>
      </c>
      <c r="H1133" s="1146">
        <v>4</v>
      </c>
      <c r="I1133" s="1146">
        <v>9</v>
      </c>
      <c r="J1133" s="1147">
        <v>60</v>
      </c>
      <c r="K1133" s="1147">
        <v>15</v>
      </c>
      <c r="L1133" s="1066" t="s">
        <v>988</v>
      </c>
      <c r="M1133" s="959">
        <v>2532000</v>
      </c>
      <c r="N1133" s="959">
        <v>35248546.175679997</v>
      </c>
      <c r="O1133" s="1149">
        <v>11860806.240152001</v>
      </c>
      <c r="P1133" s="9"/>
      <c r="Q1133" s="2005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237">
        <f>MAX(J1133/J1165)</f>
        <v>6.7293241515443804E-3</v>
      </c>
      <c r="AD1133" s="235">
        <f t="shared" si="210"/>
        <v>17038.648751710371</v>
      </c>
      <c r="AE1133" s="238">
        <f>MAX(I1133/I1165)</f>
        <v>1.5501205649328281E-2</v>
      </c>
      <c r="AF1133" s="235">
        <f t="shared" si="211"/>
        <v>546394.96310905949</v>
      </c>
      <c r="AG1133" s="238">
        <f>MAX(H1133/H1165)</f>
        <v>8.5543199315654406E-3</v>
      </c>
      <c r="AH1133" s="235">
        <f t="shared" si="212"/>
        <v>101461.13122456802</v>
      </c>
    </row>
    <row r="1134" spans="1:34" ht="15" customHeight="1" x14ac:dyDescent="0.2">
      <c r="A1134" s="962" t="s">
        <v>362</v>
      </c>
      <c r="B1134" s="1498">
        <v>0</v>
      </c>
      <c r="C1134" s="1146">
        <v>2</v>
      </c>
      <c r="D1134" s="1146">
        <v>0</v>
      </c>
      <c r="E1134" s="1146">
        <v>0</v>
      </c>
      <c r="F1134" s="1146">
        <v>0</v>
      </c>
      <c r="G1134" s="1146">
        <v>0</v>
      </c>
      <c r="H1134" s="1146">
        <v>0</v>
      </c>
      <c r="I1134" s="1146">
        <v>2</v>
      </c>
      <c r="J1134" s="1147">
        <v>0</v>
      </c>
      <c r="K1134" s="1147">
        <v>0</v>
      </c>
      <c r="L1134" s="1066"/>
      <c r="M1134" s="959"/>
      <c r="N1134" s="959">
        <v>35248546.175679997</v>
      </c>
      <c r="O1134" s="1149"/>
      <c r="P1134" s="950"/>
      <c r="Q1134" s="950"/>
      <c r="R1134" s="950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237">
        <f>MAX(J1134/J1165)</f>
        <v>0</v>
      </c>
      <c r="AD1134" s="235">
        <f t="shared" si="210"/>
        <v>0</v>
      </c>
      <c r="AE1134" s="238">
        <f>MAX(I1134/I1165)</f>
        <v>3.4447123665173958E-3</v>
      </c>
      <c r="AF1134" s="235">
        <f t="shared" si="211"/>
        <v>121421.10291312434</v>
      </c>
      <c r="AG1134" s="238">
        <f>MAX(H1134/H1165)</f>
        <v>0</v>
      </c>
      <c r="AH1134" s="235">
        <f t="shared" si="212"/>
        <v>0</v>
      </c>
    </row>
    <row r="1135" spans="1:34" ht="15" customHeight="1" x14ac:dyDescent="0.2">
      <c r="A1135" s="962" t="s">
        <v>363</v>
      </c>
      <c r="B1135" s="1498">
        <v>0</v>
      </c>
      <c r="C1135" s="1146">
        <v>0</v>
      </c>
      <c r="D1135" s="1146">
        <v>0</v>
      </c>
      <c r="E1135" s="1146">
        <v>0</v>
      </c>
      <c r="F1135" s="1146">
        <v>0</v>
      </c>
      <c r="G1135" s="1146">
        <v>0</v>
      </c>
      <c r="H1135" s="1146">
        <v>0</v>
      </c>
      <c r="I1135" s="1146">
        <v>0</v>
      </c>
      <c r="J1135" s="1147">
        <v>0</v>
      </c>
      <c r="K1135" s="1147">
        <v>0</v>
      </c>
      <c r="L1135" s="1148"/>
      <c r="M1135" s="959"/>
      <c r="N1135" s="959"/>
      <c r="O1135" s="1149"/>
      <c r="U1135" s="9"/>
      <c r="V1135" s="9"/>
      <c r="W1135" s="9"/>
      <c r="X1135" s="9"/>
      <c r="Y1135" s="9"/>
      <c r="Z1135" s="9"/>
      <c r="AA1135" s="9"/>
      <c r="AB1135" s="9"/>
      <c r="AC1135" s="237">
        <f>MAX(J1135/J1165)</f>
        <v>0</v>
      </c>
      <c r="AD1135" s="235">
        <f t="shared" si="210"/>
        <v>0</v>
      </c>
      <c r="AE1135" s="238">
        <f>MAX(I1135/I1165)</f>
        <v>0</v>
      </c>
      <c r="AF1135" s="235">
        <f t="shared" si="211"/>
        <v>0</v>
      </c>
      <c r="AG1135" s="238">
        <f>MAX(H1135/H1165)</f>
        <v>0</v>
      </c>
      <c r="AH1135" s="235">
        <f t="shared" si="212"/>
        <v>0</v>
      </c>
    </row>
    <row r="1136" spans="1:34" ht="15" customHeight="1" x14ac:dyDescent="0.2">
      <c r="A1136" s="962" t="s">
        <v>939</v>
      </c>
      <c r="B1136" s="1498">
        <v>0</v>
      </c>
      <c r="C1136" s="1146">
        <v>0</v>
      </c>
      <c r="D1136" s="1146">
        <v>0</v>
      </c>
      <c r="E1136" s="1146">
        <v>0</v>
      </c>
      <c r="F1136" s="1146">
        <v>0</v>
      </c>
      <c r="G1136" s="1146">
        <v>0</v>
      </c>
      <c r="H1136" s="1146">
        <v>0</v>
      </c>
      <c r="I1136" s="1146">
        <v>0</v>
      </c>
      <c r="J1136" s="1147">
        <v>0</v>
      </c>
      <c r="K1136" s="1147">
        <v>0</v>
      </c>
      <c r="L1136" s="1148"/>
      <c r="M1136" s="959"/>
      <c r="N1136" s="959"/>
      <c r="O1136" s="1149"/>
      <c r="U1136" s="9"/>
      <c r="V1136" s="9"/>
      <c r="W1136" s="9"/>
      <c r="X1136" s="9"/>
      <c r="Y1136" s="9"/>
      <c r="Z1136" s="9"/>
      <c r="AA1136" s="9"/>
      <c r="AB1136" s="9"/>
      <c r="AC1136" s="237">
        <f>MAX(J1136/J1165)</f>
        <v>0</v>
      </c>
      <c r="AD1136" s="235">
        <f t="shared" si="210"/>
        <v>0</v>
      </c>
      <c r="AE1136" s="238">
        <f>MAX(I1136/I1165)</f>
        <v>0</v>
      </c>
      <c r="AF1136" s="235">
        <f t="shared" si="211"/>
        <v>0</v>
      </c>
      <c r="AG1136" s="238">
        <f>MAX(H1136/H1165)</f>
        <v>0</v>
      </c>
      <c r="AH1136" s="235">
        <f t="shared" si="212"/>
        <v>0</v>
      </c>
    </row>
    <row r="1137" spans="1:34" ht="15" customHeight="1" x14ac:dyDescent="0.2">
      <c r="A1137" s="962" t="s">
        <v>365</v>
      </c>
      <c r="B1137" s="1498">
        <v>0</v>
      </c>
      <c r="C1137" s="1146"/>
      <c r="D1137" s="1146"/>
      <c r="E1137" s="1146"/>
      <c r="F1137" s="1146"/>
      <c r="G1137" s="1146"/>
      <c r="H1137" s="1146">
        <v>0</v>
      </c>
      <c r="I1137" s="1146">
        <v>0</v>
      </c>
      <c r="J1137" s="1147">
        <v>0</v>
      </c>
      <c r="K1137" s="1147"/>
      <c r="L1137" s="1148"/>
      <c r="M1137" s="959"/>
      <c r="N1137" s="1533"/>
      <c r="O1137" s="1534"/>
      <c r="U1137" s="9"/>
      <c r="V1137" s="9"/>
      <c r="W1137" s="9"/>
      <c r="X1137" s="9"/>
      <c r="Y1137" s="9"/>
      <c r="Z1137" s="9"/>
      <c r="AA1137" s="9"/>
      <c r="AB1137" s="9"/>
      <c r="AC1137" s="237">
        <f>MAX(J1137/J1165)</f>
        <v>0</v>
      </c>
      <c r="AD1137" s="235">
        <f t="shared" si="210"/>
        <v>0</v>
      </c>
      <c r="AE1137" s="238">
        <f>MAX(I1137/I1165)</f>
        <v>0</v>
      </c>
      <c r="AF1137" s="235">
        <f t="shared" si="211"/>
        <v>0</v>
      </c>
      <c r="AG1137" s="238">
        <f>MAX(H1137/H1165)</f>
        <v>0</v>
      </c>
      <c r="AH1137" s="235">
        <f t="shared" si="212"/>
        <v>0</v>
      </c>
    </row>
    <row r="1138" spans="1:34" ht="15" customHeight="1" x14ac:dyDescent="0.2">
      <c r="A1138" s="962" t="s">
        <v>366</v>
      </c>
      <c r="B1138" s="1498">
        <v>1.5</v>
      </c>
      <c r="C1138" s="1146">
        <v>0</v>
      </c>
      <c r="D1138" s="1146">
        <v>0</v>
      </c>
      <c r="E1138" s="1146">
        <v>0</v>
      </c>
      <c r="F1138" s="1146">
        <v>0</v>
      </c>
      <c r="G1138" s="1146">
        <v>0</v>
      </c>
      <c r="H1138" s="1146">
        <v>1.5</v>
      </c>
      <c r="I1138" s="1146">
        <v>1.5</v>
      </c>
      <c r="J1138" s="1147">
        <v>22.5</v>
      </c>
      <c r="K1138" s="1147">
        <v>15</v>
      </c>
      <c r="L1138" s="1066" t="s">
        <v>988</v>
      </c>
      <c r="M1138" s="959">
        <v>2532000</v>
      </c>
      <c r="N1138" s="959">
        <v>35248546.175679997</v>
      </c>
      <c r="O1138" s="1149">
        <v>11860806.240152001</v>
      </c>
      <c r="U1138" s="9"/>
      <c r="V1138" s="9"/>
      <c r="W1138" s="9"/>
      <c r="X1138" s="9"/>
      <c r="Y1138" s="9"/>
      <c r="Z1138" s="9"/>
      <c r="AA1138" s="9"/>
      <c r="AB1138" s="9"/>
      <c r="AC1138" s="237">
        <f>MAX(J1138/J1165)</f>
        <v>2.5234965568291428E-3</v>
      </c>
      <c r="AD1138" s="235">
        <f t="shared" si="210"/>
        <v>6389.4932818913894</v>
      </c>
      <c r="AE1138" s="238">
        <f>MAX(I1138/I1165)</f>
        <v>2.5835342748880465E-3</v>
      </c>
      <c r="AF1138" s="235">
        <f t="shared" si="211"/>
        <v>91065.827184843249</v>
      </c>
      <c r="AG1138" s="238">
        <f>MAX(H1138/H1165)</f>
        <v>3.2078699743370406E-3</v>
      </c>
      <c r="AH1138" s="235">
        <f t="shared" si="212"/>
        <v>38047.924209213015</v>
      </c>
    </row>
    <row r="1139" spans="1:34" ht="15" customHeight="1" x14ac:dyDescent="0.2">
      <c r="A1139" s="962" t="s">
        <v>367</v>
      </c>
      <c r="B1139" s="1498">
        <v>0</v>
      </c>
      <c r="C1139" s="1146"/>
      <c r="D1139" s="1146"/>
      <c r="E1139" s="1146"/>
      <c r="F1139" s="1146"/>
      <c r="G1139" s="1146"/>
      <c r="H1139" s="1146">
        <v>0</v>
      </c>
      <c r="I1139" s="1146">
        <v>0</v>
      </c>
      <c r="J1139" s="1147">
        <v>0</v>
      </c>
      <c r="K1139" s="1147"/>
      <c r="L1139" s="1148"/>
      <c r="M1139" s="959"/>
      <c r="N1139" s="1533"/>
      <c r="O1139" s="1534"/>
      <c r="P1139" s="950"/>
      <c r="Q1139" s="950"/>
      <c r="R1139" s="950"/>
      <c r="S1139" s="9"/>
      <c r="T1139" s="9"/>
      <c r="U1139" s="9"/>
      <c r="V1139" s="9"/>
      <c r="W1139" s="9"/>
      <c r="X1139" s="9"/>
      <c r="Y1139" s="9"/>
      <c r="Z1139" s="9"/>
      <c r="AA1139" s="9"/>
      <c r="AB1139" s="1966"/>
      <c r="AC1139" s="237">
        <f>MAX(J1139/J1165)</f>
        <v>0</v>
      </c>
      <c r="AD1139" s="235">
        <f t="shared" si="210"/>
        <v>0</v>
      </c>
      <c r="AE1139" s="238">
        <f>MAX(I1139/I1165)</f>
        <v>0</v>
      </c>
      <c r="AF1139" s="235">
        <f t="shared" si="211"/>
        <v>0</v>
      </c>
      <c r="AG1139" s="238">
        <f>MAX(H1139/H1165)</f>
        <v>0</v>
      </c>
      <c r="AH1139" s="235">
        <f t="shared" si="212"/>
        <v>0</v>
      </c>
    </row>
    <row r="1140" spans="1:34" ht="15" customHeight="1" x14ac:dyDescent="0.2">
      <c r="A1140" s="434" t="s">
        <v>940</v>
      </c>
      <c r="B1140" s="1002">
        <v>59.8</v>
      </c>
      <c r="C1140" s="1002">
        <v>5</v>
      </c>
      <c r="D1140" s="1002">
        <v>0</v>
      </c>
      <c r="E1140" s="1002">
        <v>0</v>
      </c>
      <c r="F1140" s="1002">
        <v>4</v>
      </c>
      <c r="G1140" s="1002">
        <v>16</v>
      </c>
      <c r="H1140" s="1002">
        <v>39.799999999999997</v>
      </c>
      <c r="I1140" s="1002">
        <v>60.8</v>
      </c>
      <c r="J1140" s="1150">
        <v>787</v>
      </c>
      <c r="K1140" s="1150">
        <v>19.773869346733669</v>
      </c>
      <c r="L1140" s="1152"/>
      <c r="M1140" s="996"/>
      <c r="N1140" s="435"/>
      <c r="O1140" s="436"/>
      <c r="U1140" s="9"/>
      <c r="V1140" s="9"/>
      <c r="W1140" s="9"/>
      <c r="X1140" s="9"/>
      <c r="Y1140" s="9"/>
      <c r="Z1140" s="9"/>
      <c r="AA1140" s="9"/>
      <c r="AB1140" s="1966"/>
      <c r="AC1140" s="1157"/>
      <c r="AD1140" s="1156"/>
      <c r="AE1140" s="1158"/>
      <c r="AF1140" s="1156"/>
      <c r="AG1140" s="1158"/>
      <c r="AH1140" s="1156"/>
    </row>
    <row r="1141" spans="1:34" ht="15" customHeight="1" x14ac:dyDescent="0.2">
      <c r="A1141" s="962" t="s">
        <v>369</v>
      </c>
      <c r="B1141" s="245">
        <v>26</v>
      </c>
      <c r="C1141" s="1146">
        <v>1</v>
      </c>
      <c r="D1141" s="1146">
        <v>0</v>
      </c>
      <c r="E1141" s="1146">
        <v>0</v>
      </c>
      <c r="F1141" s="1146">
        <v>0</v>
      </c>
      <c r="G1141" s="1146">
        <v>3</v>
      </c>
      <c r="H1141" s="1146">
        <v>23</v>
      </c>
      <c r="I1141" s="1146">
        <v>27</v>
      </c>
      <c r="J1141" s="1147">
        <v>506</v>
      </c>
      <c r="K1141" s="1147">
        <v>22</v>
      </c>
      <c r="L1141" s="1066" t="s">
        <v>988</v>
      </c>
      <c r="M1141" s="959">
        <v>2532000</v>
      </c>
      <c r="N1141" s="959">
        <v>35248546.175679997</v>
      </c>
      <c r="O1141" s="1149">
        <v>11860806.240152001</v>
      </c>
      <c r="P1141" s="950"/>
      <c r="Q1141" s="950"/>
      <c r="R1141" s="950"/>
      <c r="S1141" s="9"/>
      <c r="T1141" s="9"/>
      <c r="U1141" s="9"/>
      <c r="V1141" s="9"/>
      <c r="W1141" s="9"/>
      <c r="X1141" s="9"/>
      <c r="Y1141" s="9"/>
      <c r="Z1141" s="9"/>
      <c r="AA1141" s="9"/>
      <c r="AB1141" s="1966"/>
      <c r="AC1141" s="237">
        <f>MAX(J1141/J1165)</f>
        <v>5.6750633678024277E-2</v>
      </c>
      <c r="AD1141" s="235">
        <f>MAX(M1141*AC1141)</f>
        <v>143692.60447275746</v>
      </c>
      <c r="AE1141" s="238">
        <f>MAX(I1141/I1165)</f>
        <v>4.6503616947984841E-2</v>
      </c>
      <c r="AF1141" s="235">
        <f>MAX(N1141*AE1141)</f>
        <v>1639184.8893271785</v>
      </c>
      <c r="AG1141" s="238">
        <f>MAX(H1141/H1165)</f>
        <v>4.9187339606501283E-2</v>
      </c>
      <c r="AH1141" s="235">
        <f>MAX(O1141*AG1141)</f>
        <v>583401.50454126613</v>
      </c>
    </row>
    <row r="1142" spans="1:34" ht="15" customHeight="1" x14ac:dyDescent="0.2">
      <c r="A1142" s="962" t="s">
        <v>370</v>
      </c>
      <c r="B1142" s="245">
        <v>4</v>
      </c>
      <c r="C1142" s="1146">
        <v>2</v>
      </c>
      <c r="D1142" s="1146">
        <v>0</v>
      </c>
      <c r="E1142" s="1146">
        <v>0</v>
      </c>
      <c r="F1142" s="1146">
        <v>0</v>
      </c>
      <c r="G1142" s="1146">
        <v>2</v>
      </c>
      <c r="H1142" s="1146">
        <v>2</v>
      </c>
      <c r="I1142" s="1146">
        <v>6</v>
      </c>
      <c r="J1142" s="1147">
        <v>40</v>
      </c>
      <c r="K1142" s="1147">
        <v>20</v>
      </c>
      <c r="L1142" s="1066" t="s">
        <v>988</v>
      </c>
      <c r="M1142" s="959">
        <v>2532000</v>
      </c>
      <c r="N1142" s="959">
        <v>35248546.175679997</v>
      </c>
      <c r="O1142" s="1149">
        <v>11860806.240152001</v>
      </c>
      <c r="P1142" s="950"/>
      <c r="Q1142" s="950"/>
      <c r="R1142" s="950"/>
      <c r="S1142" s="9"/>
      <c r="T1142" s="9"/>
      <c r="U1142" s="950"/>
      <c r="V1142" s="950"/>
      <c r="W1142" s="9"/>
      <c r="X1142" s="9"/>
      <c r="Y1142" s="9"/>
      <c r="Z1142" s="9"/>
      <c r="AA1142" s="9"/>
      <c r="AB1142" s="1966"/>
      <c r="AC1142" s="237">
        <f>MAX(J1142/J1165)</f>
        <v>4.4862161010295869E-3</v>
      </c>
      <c r="AD1142" s="235">
        <f>MAX(M1142*AC1142)</f>
        <v>11359.099167806915</v>
      </c>
      <c r="AE1142" s="238">
        <f>MAX(I1142/I1165)</f>
        <v>1.0334137099552186E-2</v>
      </c>
      <c r="AF1142" s="235">
        <f>MAX(N1142*AE1142)</f>
        <v>364263.30873937299</v>
      </c>
      <c r="AG1142" s="238">
        <f>MAX(H1142/H1165)</f>
        <v>4.2771599657827203E-3</v>
      </c>
      <c r="AH1142" s="235">
        <f>MAX(O1142*AG1142)</f>
        <v>50730.565612284008</v>
      </c>
    </row>
    <row r="1143" spans="1:34" ht="15" customHeight="1" x14ac:dyDescent="0.2">
      <c r="A1143" s="962" t="s">
        <v>371</v>
      </c>
      <c r="B1143" s="245">
        <v>3.7999999999999972</v>
      </c>
      <c r="C1143" s="1146">
        <v>1</v>
      </c>
      <c r="D1143" s="1146">
        <v>0</v>
      </c>
      <c r="E1143" s="1146">
        <v>0</v>
      </c>
      <c r="F1143" s="1146">
        <v>1</v>
      </c>
      <c r="G1143" s="1146">
        <v>0</v>
      </c>
      <c r="H1143" s="1146">
        <v>2.7999999999999972</v>
      </c>
      <c r="I1143" s="1146">
        <v>3.7999999999999972</v>
      </c>
      <c r="J1143" s="1147">
        <v>55.999999999999943</v>
      </c>
      <c r="K1143" s="1147">
        <v>20</v>
      </c>
      <c r="L1143" s="1066" t="s">
        <v>988</v>
      </c>
      <c r="M1143" s="959">
        <v>2532000</v>
      </c>
      <c r="N1143" s="959">
        <v>35248546.175679997</v>
      </c>
      <c r="O1143" s="1149">
        <v>11860806.240152001</v>
      </c>
      <c r="P1143" s="950"/>
      <c r="Q1143" s="950"/>
      <c r="R1143" s="950"/>
      <c r="S1143" s="9"/>
      <c r="T1143" s="9"/>
      <c r="U1143" s="9"/>
      <c r="V1143" s="9"/>
      <c r="W1143" s="9"/>
      <c r="X1143" s="9"/>
      <c r="Y1143" s="9"/>
      <c r="Z1143" s="9"/>
      <c r="AA1143" s="9"/>
      <c r="AB1143" s="1966"/>
      <c r="AC1143" s="237">
        <f>MAX(J1143/J1165)</f>
        <v>6.280702541441416E-3</v>
      </c>
      <c r="AD1143" s="235">
        <f>MAX(M1143*AC1143)</f>
        <v>15902.738834929665</v>
      </c>
      <c r="AE1143" s="238">
        <f>MAX(I1143/I1165)</f>
        <v>6.5449534963830467E-3</v>
      </c>
      <c r="AF1143" s="235">
        <f>MAX(N1143*AE1143)</f>
        <v>230700.09553493606</v>
      </c>
      <c r="AG1143" s="238">
        <f>MAX(H1143/H1165)</f>
        <v>5.9880239520958027E-3</v>
      </c>
      <c r="AH1143" s="235">
        <f>MAX(O1143*AG1143)</f>
        <v>71022.791857197546</v>
      </c>
    </row>
    <row r="1144" spans="1:34" ht="15" customHeight="1" x14ac:dyDescent="0.2">
      <c r="A1144" s="962" t="s">
        <v>372</v>
      </c>
      <c r="B1144" s="245">
        <v>3</v>
      </c>
      <c r="C1144" s="1146">
        <v>0</v>
      </c>
      <c r="D1144" s="1146">
        <v>0</v>
      </c>
      <c r="E1144" s="1146">
        <v>0</v>
      </c>
      <c r="F1144" s="1146">
        <v>0</v>
      </c>
      <c r="G1144" s="1146">
        <v>1</v>
      </c>
      <c r="H1144" s="1146">
        <v>2</v>
      </c>
      <c r="I1144" s="1146">
        <v>3</v>
      </c>
      <c r="J1144" s="1147">
        <v>35</v>
      </c>
      <c r="K1144" s="1147">
        <v>17.5</v>
      </c>
      <c r="L1144" s="1066" t="s">
        <v>988</v>
      </c>
      <c r="M1144" s="959">
        <v>2532000</v>
      </c>
      <c r="N1144" s="959">
        <v>35248546.175679997</v>
      </c>
      <c r="O1144" s="1149">
        <v>11860806.240152001</v>
      </c>
      <c r="P1144" s="9"/>
      <c r="Q1144" s="2005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1966"/>
      <c r="AC1144" s="237">
        <f>MAX(J1144/J1165)</f>
        <v>3.9254390884008884E-3</v>
      </c>
      <c r="AD1144" s="235">
        <f>MAX(M1144*AC1144)</f>
        <v>9939.2117718310492</v>
      </c>
      <c r="AE1144" s="238">
        <f>MAX(I1144/I1165)</f>
        <v>5.1670685497760931E-3</v>
      </c>
      <c r="AF1144" s="235">
        <f>MAX(N1144*AE1144)</f>
        <v>182131.6543696865</v>
      </c>
      <c r="AG1144" s="238">
        <f>MAX(H1144/H1165)</f>
        <v>4.2771599657827203E-3</v>
      </c>
      <c r="AH1144" s="235">
        <f>MAX(O1144*AG1144)</f>
        <v>50730.565612284008</v>
      </c>
    </row>
    <row r="1145" spans="1:34" ht="15" customHeight="1" x14ac:dyDescent="0.2">
      <c r="A1145" s="962" t="s">
        <v>373</v>
      </c>
      <c r="B1145" s="1498">
        <v>23</v>
      </c>
      <c r="C1145" s="1146">
        <v>1</v>
      </c>
      <c r="D1145" s="1146">
        <v>0</v>
      </c>
      <c r="E1145" s="1146">
        <v>0</v>
      </c>
      <c r="F1145" s="1146">
        <v>3</v>
      </c>
      <c r="G1145" s="1146">
        <v>10</v>
      </c>
      <c r="H1145" s="1146">
        <v>10</v>
      </c>
      <c r="I1145" s="1146">
        <v>21</v>
      </c>
      <c r="J1145" s="1147">
        <v>150</v>
      </c>
      <c r="K1145" s="1147">
        <v>15</v>
      </c>
      <c r="L1145" s="1066" t="s">
        <v>988</v>
      </c>
      <c r="M1145" s="959">
        <v>2532000</v>
      </c>
      <c r="N1145" s="959">
        <v>35248546.175679997</v>
      </c>
      <c r="O1145" s="1149">
        <v>11860806.240152001</v>
      </c>
      <c r="P1145" s="950"/>
      <c r="Q1145" s="950"/>
      <c r="R1145" s="950"/>
      <c r="S1145" s="9"/>
      <c r="T1145" s="9"/>
      <c r="U1145" s="9"/>
      <c r="V1145" s="9"/>
      <c r="W1145" s="9"/>
      <c r="X1145" s="9"/>
      <c r="Y1145" s="9"/>
      <c r="Z1145" s="9"/>
      <c r="AA1145" s="9"/>
      <c r="AB1145" s="1966"/>
      <c r="AC1145" s="237">
        <f>MAX(J1145/J1165)</f>
        <v>1.6823310378860951E-2</v>
      </c>
      <c r="AD1145" s="235">
        <f>MAX(M1145*AC1145)</f>
        <v>42596.621879275925</v>
      </c>
      <c r="AE1145" s="238">
        <f>MAX(I1145/I1165)</f>
        <v>3.6169479848432655E-2</v>
      </c>
      <c r="AF1145" s="235">
        <f>MAX(N1145*AE1145)</f>
        <v>1274921.5805878055</v>
      </c>
      <c r="AG1145" s="238">
        <f>MAX(H1145/H1165)</f>
        <v>2.1385799828913601E-2</v>
      </c>
      <c r="AH1145" s="235">
        <f>MAX(O1145*AG1145)</f>
        <v>253652.82806142003</v>
      </c>
    </row>
    <row r="1146" spans="1:34" ht="15" customHeight="1" x14ac:dyDescent="0.2">
      <c r="A1146" s="1154" t="s">
        <v>374</v>
      </c>
      <c r="B1146" s="1002">
        <v>176.4</v>
      </c>
      <c r="C1146" s="1002">
        <v>34</v>
      </c>
      <c r="D1146" s="1002">
        <v>0</v>
      </c>
      <c r="E1146" s="1002">
        <v>0</v>
      </c>
      <c r="F1146" s="1002">
        <v>5</v>
      </c>
      <c r="G1146" s="1002">
        <v>21</v>
      </c>
      <c r="H1146" s="1002">
        <v>150.4</v>
      </c>
      <c r="I1146" s="1002">
        <v>205.4</v>
      </c>
      <c r="J1146" s="1150">
        <v>3056.2</v>
      </c>
      <c r="K1146" s="1150">
        <v>20.320478723404253</v>
      </c>
      <c r="L1146" s="1152"/>
      <c r="M1146" s="996"/>
      <c r="N1146" s="435"/>
      <c r="O1146" s="436"/>
      <c r="U1146" s="9"/>
      <c r="V1146" s="9"/>
      <c r="W1146" s="9"/>
      <c r="X1146" s="9"/>
      <c r="Y1146" s="9"/>
      <c r="Z1146" s="9"/>
      <c r="AA1146" s="9"/>
      <c r="AB1146" s="1966"/>
      <c r="AC1146" s="1157"/>
      <c r="AD1146" s="1156"/>
      <c r="AE1146" s="1158"/>
      <c r="AF1146" s="1156"/>
      <c r="AG1146" s="1158"/>
      <c r="AH1146" s="1156"/>
    </row>
    <row r="1147" spans="1:34" ht="15" customHeight="1" x14ac:dyDescent="0.2">
      <c r="A1147" s="962" t="s">
        <v>375</v>
      </c>
      <c r="B1147" s="245">
        <v>63</v>
      </c>
      <c r="C1147" s="1146">
        <v>18</v>
      </c>
      <c r="D1147" s="1146">
        <v>0</v>
      </c>
      <c r="E1147" s="1146">
        <v>0</v>
      </c>
      <c r="F1147" s="1146">
        <v>0</v>
      </c>
      <c r="G1147" s="1146">
        <v>1</v>
      </c>
      <c r="H1147" s="1146">
        <v>62</v>
      </c>
      <c r="I1147" s="1146">
        <v>81</v>
      </c>
      <c r="J1147" s="1147">
        <v>1550</v>
      </c>
      <c r="K1147" s="1147">
        <v>25</v>
      </c>
      <c r="L1147" s="1066" t="s">
        <v>988</v>
      </c>
      <c r="M1147" s="959">
        <v>2532000</v>
      </c>
      <c r="N1147" s="959">
        <v>35248546.175679997</v>
      </c>
      <c r="O1147" s="1149">
        <v>11860806.240152001</v>
      </c>
      <c r="P1147" s="950"/>
      <c r="Q1147" s="950"/>
      <c r="R1147" s="950"/>
      <c r="S1147" s="9"/>
      <c r="T1147" s="9"/>
      <c r="U1147" s="9"/>
      <c r="V1147" s="9"/>
      <c r="W1147" s="9"/>
      <c r="X1147" s="9"/>
      <c r="Y1147" s="9"/>
      <c r="Z1147" s="9"/>
      <c r="AA1147" s="9"/>
      <c r="AB1147" s="1966"/>
      <c r="AC1147" s="237">
        <f>MAX(J1147/J1165)</f>
        <v>0.1738408739148965</v>
      </c>
      <c r="AD1147" s="235">
        <f t="shared" ref="AD1147:AD1154" si="213">MAX(M1147*AC1147)</f>
        <v>440165.09275251796</v>
      </c>
      <c r="AE1147" s="238">
        <f>MAX(I1147/I1165)</f>
        <v>0.13951085084395454</v>
      </c>
      <c r="AF1147" s="235">
        <f t="shared" ref="AF1147:AF1154" si="214">MAX(N1147*AE1147)</f>
        <v>4917554.6679815361</v>
      </c>
      <c r="AG1147" s="238">
        <f>MAX(H1147/H1165)</f>
        <v>0.13259195893926434</v>
      </c>
      <c r="AH1147" s="235">
        <f t="shared" ref="AH1147:AH1154" si="215">MAX(O1147*AG1147)</f>
        <v>1572647.5339808045</v>
      </c>
    </row>
    <row r="1148" spans="1:34" ht="15" customHeight="1" x14ac:dyDescent="0.2">
      <c r="A1148" s="962" t="s">
        <v>376</v>
      </c>
      <c r="B1148" s="245">
        <v>34.4</v>
      </c>
      <c r="C1148" s="1146">
        <v>7</v>
      </c>
      <c r="D1148" s="1146">
        <v>0</v>
      </c>
      <c r="E1148" s="1146">
        <v>0</v>
      </c>
      <c r="F1148" s="1146">
        <v>0</v>
      </c>
      <c r="G1148" s="1146">
        <v>0</v>
      </c>
      <c r="H1148" s="1146">
        <v>34.4</v>
      </c>
      <c r="I1148" s="1146">
        <v>41.4</v>
      </c>
      <c r="J1148" s="1147">
        <v>619.19999999999993</v>
      </c>
      <c r="K1148" s="1147">
        <v>18</v>
      </c>
      <c r="L1148" s="1066" t="s">
        <v>988</v>
      </c>
      <c r="M1148" s="959">
        <v>2532000</v>
      </c>
      <c r="N1148" s="959">
        <v>35248546.175679997</v>
      </c>
      <c r="O1148" s="1149">
        <v>11860806.240152001</v>
      </c>
      <c r="P1148" s="950"/>
      <c r="Q1148" s="950"/>
      <c r="R1148" s="950"/>
      <c r="S1148" s="950"/>
      <c r="T1148" s="950"/>
      <c r="U1148" s="9"/>
      <c r="V1148" s="9"/>
      <c r="W1148" s="9"/>
      <c r="X1148" s="9"/>
      <c r="Y1148" s="9"/>
      <c r="Z1148" s="9"/>
      <c r="AA1148" s="9"/>
      <c r="AB1148" s="1966"/>
      <c r="AC1148" s="237">
        <f>MAX(J1148/J1165)</f>
        <v>6.9446625243938007E-2</v>
      </c>
      <c r="AD1148" s="235">
        <f t="shared" si="213"/>
        <v>175838.85511765102</v>
      </c>
      <c r="AE1148" s="238">
        <f>MAX(I1148/I1165)</f>
        <v>7.1305545986910093E-2</v>
      </c>
      <c r="AF1148" s="235">
        <f t="shared" si="214"/>
        <v>2513416.8303016741</v>
      </c>
      <c r="AG1148" s="238">
        <f>MAX(H1148/H1165)</f>
        <v>7.3567151411462792E-2</v>
      </c>
      <c r="AH1148" s="235">
        <f t="shared" si="215"/>
        <v>872565.72853128496</v>
      </c>
    </row>
    <row r="1149" spans="1:34" ht="15" customHeight="1" x14ac:dyDescent="0.2">
      <c r="A1149" s="962" t="s">
        <v>377</v>
      </c>
      <c r="B1149" s="245">
        <v>38</v>
      </c>
      <c r="C1149" s="1146">
        <v>3</v>
      </c>
      <c r="D1149" s="1146"/>
      <c r="E1149" s="1146"/>
      <c r="F1149" s="1146"/>
      <c r="G1149" s="1146">
        <v>8</v>
      </c>
      <c r="H1149" s="1146">
        <v>30</v>
      </c>
      <c r="I1149" s="1146">
        <v>41</v>
      </c>
      <c r="J1149" s="1147">
        <v>540</v>
      </c>
      <c r="K1149" s="1147">
        <v>18</v>
      </c>
      <c r="L1149" s="1066" t="s">
        <v>988</v>
      </c>
      <c r="M1149" s="959">
        <v>2532000</v>
      </c>
      <c r="N1149" s="959">
        <v>35248546.175679997</v>
      </c>
      <c r="O1149" s="1149">
        <v>11860806.240152001</v>
      </c>
      <c r="P1149" s="950"/>
      <c r="Q1149" s="950"/>
      <c r="R1149" s="950"/>
      <c r="S1149" s="9"/>
      <c r="T1149" s="9"/>
      <c r="U1149" s="9"/>
      <c r="V1149" s="9"/>
      <c r="W1149" s="9"/>
      <c r="X1149" s="9"/>
      <c r="Y1149" s="9"/>
      <c r="Z1149" s="9"/>
      <c r="AA1149" s="9"/>
      <c r="AB1149" s="1966"/>
      <c r="AC1149" s="237">
        <f>MAX(J1149/J1165)</f>
        <v>6.0563917363899426E-2</v>
      </c>
      <c r="AD1149" s="235">
        <f t="shared" si="213"/>
        <v>153347.83876539336</v>
      </c>
      <c r="AE1149" s="238">
        <f>MAX(I1149/I1165)</f>
        <v>7.0616603513606616E-2</v>
      </c>
      <c r="AF1149" s="235">
        <f t="shared" si="214"/>
        <v>2489132.6097190492</v>
      </c>
      <c r="AG1149" s="238">
        <f>MAX(H1149/H1165)</f>
        <v>6.4157399486740804E-2</v>
      </c>
      <c r="AH1149" s="235">
        <f t="shared" si="215"/>
        <v>760958.48418426013</v>
      </c>
    </row>
    <row r="1150" spans="1:34" ht="15" customHeight="1" x14ac:dyDescent="0.2">
      <c r="A1150" s="962" t="s">
        <v>378</v>
      </c>
      <c r="B1150" s="245">
        <v>5</v>
      </c>
      <c r="C1150" s="1146">
        <v>0</v>
      </c>
      <c r="D1150" s="1146">
        <v>0</v>
      </c>
      <c r="E1150" s="1146">
        <v>0</v>
      </c>
      <c r="F1150" s="1146">
        <v>0</v>
      </c>
      <c r="G1150" s="1146">
        <v>0</v>
      </c>
      <c r="H1150" s="1146">
        <v>5</v>
      </c>
      <c r="I1150" s="1146">
        <v>5</v>
      </c>
      <c r="J1150" s="1147">
        <v>80</v>
      </c>
      <c r="K1150" s="1147">
        <v>16</v>
      </c>
      <c r="L1150" s="1066" t="s">
        <v>988</v>
      </c>
      <c r="M1150" s="959">
        <v>2532000</v>
      </c>
      <c r="N1150" s="959">
        <v>35248546.175679997</v>
      </c>
      <c r="O1150" s="1149">
        <v>11860806.240152001</v>
      </c>
      <c r="P1150" s="950"/>
      <c r="Q1150" s="950"/>
      <c r="R1150" s="950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237">
        <f>MAX(J1150/J1165)</f>
        <v>8.9724322020591739E-3</v>
      </c>
      <c r="AD1150" s="235">
        <f t="shared" si="213"/>
        <v>22718.19833561383</v>
      </c>
      <c r="AE1150" s="238">
        <f>MAX(I1150/I1165)</f>
        <v>8.6117809162934884E-3</v>
      </c>
      <c r="AF1150" s="235">
        <f t="shared" si="214"/>
        <v>303552.75728281081</v>
      </c>
      <c r="AG1150" s="238">
        <f>MAX(H1150/H1165)</f>
        <v>1.0692899914456801E-2</v>
      </c>
      <c r="AH1150" s="235">
        <f t="shared" si="215"/>
        <v>126826.41403071002</v>
      </c>
    </row>
    <row r="1151" spans="1:34" ht="15" customHeight="1" x14ac:dyDescent="0.2">
      <c r="A1151" s="962" t="s">
        <v>379</v>
      </c>
      <c r="B1151" s="245">
        <v>17</v>
      </c>
      <c r="C1151" s="1146"/>
      <c r="D1151" s="1146"/>
      <c r="E1151" s="1146"/>
      <c r="F1151" s="1146">
        <v>3</v>
      </c>
      <c r="G1151" s="1146">
        <v>8</v>
      </c>
      <c r="H1151" s="1146">
        <v>6</v>
      </c>
      <c r="I1151" s="1146">
        <v>14</v>
      </c>
      <c r="J1151" s="1147">
        <v>90</v>
      </c>
      <c r="K1151" s="1147">
        <v>15</v>
      </c>
      <c r="L1151" s="1066" t="s">
        <v>988</v>
      </c>
      <c r="M1151" s="959">
        <v>2532000</v>
      </c>
      <c r="N1151" s="959">
        <v>35248546.175679997</v>
      </c>
      <c r="O1151" s="1149">
        <v>11860806.240152001</v>
      </c>
      <c r="P1151" s="950"/>
      <c r="Q1151" s="950"/>
      <c r="R1151" s="950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237">
        <f>MAX(J1151/J1165)</f>
        <v>1.0093986227316571E-2</v>
      </c>
      <c r="AD1151" s="235">
        <f t="shared" si="213"/>
        <v>25557.973127565558</v>
      </c>
      <c r="AE1151" s="238">
        <f>MAX(I1151/I1165)</f>
        <v>2.4112986565621771E-2</v>
      </c>
      <c r="AF1151" s="235">
        <f t="shared" si="214"/>
        <v>849947.72039187036</v>
      </c>
      <c r="AG1151" s="238">
        <f>MAX(H1151/H1165)</f>
        <v>1.2831479897348163E-2</v>
      </c>
      <c r="AH1151" s="235">
        <f t="shared" si="215"/>
        <v>152191.69683685206</v>
      </c>
    </row>
    <row r="1152" spans="1:34" ht="15" customHeight="1" x14ac:dyDescent="0.2">
      <c r="A1152" s="962" t="s">
        <v>380</v>
      </c>
      <c r="B1152" s="245">
        <v>8</v>
      </c>
      <c r="C1152" s="1146">
        <v>4</v>
      </c>
      <c r="D1152" s="1146">
        <v>0</v>
      </c>
      <c r="E1152" s="1146">
        <v>0</v>
      </c>
      <c r="F1152" s="1146">
        <v>2</v>
      </c>
      <c r="G1152" s="1146">
        <v>0</v>
      </c>
      <c r="H1152" s="1146">
        <v>6</v>
      </c>
      <c r="I1152" s="1146">
        <v>10</v>
      </c>
      <c r="J1152" s="1147">
        <v>72</v>
      </c>
      <c r="K1152" s="1147">
        <v>12</v>
      </c>
      <c r="L1152" s="1066" t="s">
        <v>988</v>
      </c>
      <c r="M1152" s="959">
        <v>2532000</v>
      </c>
      <c r="N1152" s="959">
        <v>35248546.175679997</v>
      </c>
      <c r="O1152" s="1149">
        <v>11860806.240152001</v>
      </c>
      <c r="P1152" s="950"/>
      <c r="Q1152" s="950"/>
      <c r="R1152" s="950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237">
        <f>MAX(J1152/J1165)</f>
        <v>8.0751889818532572E-3</v>
      </c>
      <c r="AD1152" s="235">
        <f t="shared" si="213"/>
        <v>20446.378502052448</v>
      </c>
      <c r="AE1152" s="238">
        <f>MAX(I1152/I1165)</f>
        <v>1.7223561832586977E-2</v>
      </c>
      <c r="AF1152" s="235">
        <f t="shared" si="214"/>
        <v>607105.51456562162</v>
      </c>
      <c r="AG1152" s="238">
        <f>MAX(H1152/H1165)</f>
        <v>1.2831479897348163E-2</v>
      </c>
      <c r="AH1152" s="235">
        <f t="shared" si="215"/>
        <v>152191.69683685206</v>
      </c>
    </row>
    <row r="1153" spans="1:34" ht="15" customHeight="1" x14ac:dyDescent="0.2">
      <c r="A1153" s="962" t="s">
        <v>381</v>
      </c>
      <c r="B1153" s="956">
        <v>11</v>
      </c>
      <c r="C1153" s="1146">
        <v>2</v>
      </c>
      <c r="D1153" s="1146"/>
      <c r="E1153" s="1146"/>
      <c r="F1153" s="1146"/>
      <c r="G1153" s="1146">
        <v>4</v>
      </c>
      <c r="H1153" s="1146">
        <v>7</v>
      </c>
      <c r="I1153" s="1146">
        <v>13</v>
      </c>
      <c r="J1153" s="1147">
        <v>105</v>
      </c>
      <c r="K1153" s="1147">
        <v>15</v>
      </c>
      <c r="L1153" s="1066" t="s">
        <v>988</v>
      </c>
      <c r="M1153" s="959">
        <v>2532000</v>
      </c>
      <c r="N1153" s="959">
        <v>35248546.175679997</v>
      </c>
      <c r="O1153" s="1149">
        <v>11860806.240152001</v>
      </c>
      <c r="P1153" s="950"/>
      <c r="Q1153" s="950"/>
      <c r="R1153" s="950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237">
        <f>MAX(J1153/J1165)</f>
        <v>1.1776317265202667E-2</v>
      </c>
      <c r="AD1153" s="235">
        <f t="shared" si="213"/>
        <v>29817.635315493153</v>
      </c>
      <c r="AE1153" s="238">
        <f>MAX(I1153/I1165)</f>
        <v>2.2390630382363073E-2</v>
      </c>
      <c r="AF1153" s="235">
        <f t="shared" si="214"/>
        <v>789237.16893530823</v>
      </c>
      <c r="AG1153" s="238">
        <f>MAX(H1153/H1165)</f>
        <v>1.4970059880239523E-2</v>
      </c>
      <c r="AH1153" s="235">
        <f t="shared" si="215"/>
        <v>177556.97964299406</v>
      </c>
    </row>
    <row r="1154" spans="1:34" ht="15" customHeight="1" x14ac:dyDescent="0.2">
      <c r="A1154" s="962" t="s">
        <v>382</v>
      </c>
      <c r="B1154" s="956">
        <v>0</v>
      </c>
      <c r="C1154" s="1146">
        <v>0</v>
      </c>
      <c r="D1154" s="1146">
        <v>0</v>
      </c>
      <c r="E1154" s="1146">
        <v>0</v>
      </c>
      <c r="F1154" s="1146">
        <v>0</v>
      </c>
      <c r="G1154" s="1146">
        <v>0</v>
      </c>
      <c r="H1154" s="1146">
        <v>0</v>
      </c>
      <c r="I1154" s="1146">
        <v>0</v>
      </c>
      <c r="J1154" s="1147">
        <v>0</v>
      </c>
      <c r="K1154" s="1147">
        <v>0</v>
      </c>
      <c r="L1154" s="1066"/>
      <c r="M1154" s="959"/>
      <c r="N1154" s="1533"/>
      <c r="O1154" s="1534"/>
      <c r="U1154" s="9"/>
      <c r="V1154" s="9"/>
      <c r="W1154" s="9"/>
      <c r="X1154" s="9"/>
      <c r="Y1154" s="9"/>
      <c r="Z1154" s="9"/>
      <c r="AA1154" s="9"/>
      <c r="AB1154" s="9"/>
      <c r="AC1154" s="237">
        <f>MAX(J1154/J1165)</f>
        <v>0</v>
      </c>
      <c r="AD1154" s="235">
        <f t="shared" si="213"/>
        <v>0</v>
      </c>
      <c r="AE1154" s="238">
        <f>MAX(I1154/I1165)</f>
        <v>0</v>
      </c>
      <c r="AF1154" s="235">
        <f t="shared" si="214"/>
        <v>0</v>
      </c>
      <c r="AG1154" s="238">
        <f>MAX(H1154/H1165)</f>
        <v>0</v>
      </c>
      <c r="AH1154" s="235">
        <f t="shared" si="215"/>
        <v>0</v>
      </c>
    </row>
    <row r="1155" spans="1:34" ht="15" customHeight="1" x14ac:dyDescent="0.2">
      <c r="A1155" s="1154" t="s">
        <v>383</v>
      </c>
      <c r="B1155" s="1002">
        <v>33.799999999999997</v>
      </c>
      <c r="C1155" s="1002">
        <v>4</v>
      </c>
      <c r="D1155" s="1002">
        <v>4</v>
      </c>
      <c r="E1155" s="1002">
        <v>2</v>
      </c>
      <c r="F1155" s="1002">
        <v>2</v>
      </c>
      <c r="G1155" s="1002">
        <v>4</v>
      </c>
      <c r="H1155" s="1002">
        <v>21.799999999999997</v>
      </c>
      <c r="I1155" s="1002">
        <v>33.799999999999997</v>
      </c>
      <c r="J1155" s="1150">
        <v>331.79999999999995</v>
      </c>
      <c r="K1155" s="1150">
        <v>15.220183486238533</v>
      </c>
      <c r="L1155" s="1152"/>
      <c r="M1155" s="996"/>
      <c r="N1155" s="435"/>
      <c r="O1155" s="436"/>
      <c r="U1155" s="9"/>
      <c r="V1155" s="9"/>
      <c r="W1155" s="9"/>
      <c r="X1155" s="9"/>
      <c r="Y1155" s="9"/>
      <c r="Z1155" s="9"/>
      <c r="AA1155" s="9"/>
      <c r="AB1155" s="9"/>
      <c r="AC1155" s="1157"/>
      <c r="AD1155" s="1156"/>
      <c r="AE1155" s="1158"/>
      <c r="AF1155" s="1156"/>
      <c r="AG1155" s="1158"/>
      <c r="AH1155" s="1156"/>
    </row>
    <row r="1156" spans="1:34" ht="15" customHeight="1" x14ac:dyDescent="0.2">
      <c r="A1156" s="962" t="s">
        <v>384</v>
      </c>
      <c r="B1156" s="956">
        <v>0</v>
      </c>
      <c r="C1156" s="1146">
        <v>0</v>
      </c>
      <c r="D1156" s="1146">
        <v>0</v>
      </c>
      <c r="E1156" s="1146">
        <v>0</v>
      </c>
      <c r="F1156" s="1146">
        <v>0</v>
      </c>
      <c r="G1156" s="1146">
        <v>0</v>
      </c>
      <c r="H1156" s="1146">
        <v>0</v>
      </c>
      <c r="I1156" s="1146">
        <v>0</v>
      </c>
      <c r="J1156" s="1147">
        <v>0</v>
      </c>
      <c r="K1156" s="1147">
        <v>0</v>
      </c>
      <c r="L1156" s="1148"/>
      <c r="M1156" s="959"/>
      <c r="N1156" s="959"/>
      <c r="O1156" s="1149"/>
      <c r="U1156" s="9"/>
      <c r="V1156" s="9"/>
      <c r="W1156" s="9"/>
      <c r="X1156" s="9"/>
      <c r="Y1156" s="9"/>
      <c r="Z1156" s="9"/>
      <c r="AA1156" s="9"/>
      <c r="AB1156" s="9"/>
      <c r="AC1156" s="237">
        <f>MAX(J1156/J1165)</f>
        <v>0</v>
      </c>
      <c r="AD1156" s="235">
        <f t="shared" ref="AD1156:AD1164" si="216">MAX(M1156*AC1156)</f>
        <v>0</v>
      </c>
      <c r="AE1156" s="238">
        <f>MAX(I1156/I1165)</f>
        <v>0</v>
      </c>
      <c r="AF1156" s="235">
        <f t="shared" ref="AF1156:AF1164" si="217">MAX(N1156*AE1156)</f>
        <v>0</v>
      </c>
      <c r="AG1156" s="238">
        <f>MAX(H1156/H1165)</f>
        <v>0</v>
      </c>
      <c r="AH1156" s="235">
        <f t="shared" ref="AH1156:AH1164" si="218">MAX(O1156*AG1156)</f>
        <v>0</v>
      </c>
    </row>
    <row r="1157" spans="1:34" ht="15" customHeight="1" x14ac:dyDescent="0.2">
      <c r="A1157" s="962" t="s">
        <v>385</v>
      </c>
      <c r="B1157" s="245">
        <v>5.5</v>
      </c>
      <c r="C1157" s="1146">
        <v>1</v>
      </c>
      <c r="D1157" s="1146">
        <v>1</v>
      </c>
      <c r="E1157" s="1146">
        <v>0</v>
      </c>
      <c r="F1157" s="1146">
        <v>1</v>
      </c>
      <c r="G1157" s="1146">
        <v>0</v>
      </c>
      <c r="H1157" s="1146">
        <v>3.5</v>
      </c>
      <c r="I1157" s="1146">
        <v>5.5</v>
      </c>
      <c r="J1157" s="1147">
        <v>42</v>
      </c>
      <c r="K1157" s="1147">
        <v>12</v>
      </c>
      <c r="L1157" s="1066" t="s">
        <v>988</v>
      </c>
      <c r="M1157" s="959">
        <v>2532000</v>
      </c>
      <c r="N1157" s="959">
        <v>35248546.175679997</v>
      </c>
      <c r="O1157" s="1149">
        <v>11860806.240152001</v>
      </c>
      <c r="P1157" s="950"/>
      <c r="Q1157" s="950"/>
      <c r="R1157" s="950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237">
        <f>MAX(J1157/J1165)</f>
        <v>4.7105269060810665E-3</v>
      </c>
      <c r="AD1157" s="235">
        <f t="shared" si="216"/>
        <v>11927.054126197261</v>
      </c>
      <c r="AE1157" s="238">
        <f>MAX(I1157/I1165)</f>
        <v>9.4729590079228373E-3</v>
      </c>
      <c r="AF1157" s="235">
        <f t="shared" si="217"/>
        <v>333908.03301109187</v>
      </c>
      <c r="AG1157" s="238">
        <f>MAX(H1157/H1165)</f>
        <v>7.4850299401197614E-3</v>
      </c>
      <c r="AH1157" s="235">
        <f t="shared" si="218"/>
        <v>88778.489821497031</v>
      </c>
    </row>
    <row r="1158" spans="1:34" ht="15" customHeight="1" x14ac:dyDescent="0.2">
      <c r="A1158" s="962" t="s">
        <v>386</v>
      </c>
      <c r="B1158" s="245">
        <v>7.2</v>
      </c>
      <c r="C1158" s="1146">
        <v>0</v>
      </c>
      <c r="D1158" s="1146">
        <v>0</v>
      </c>
      <c r="E1158" s="1146">
        <v>0</v>
      </c>
      <c r="F1158" s="1146">
        <v>0</v>
      </c>
      <c r="G1158" s="1146">
        <v>0</v>
      </c>
      <c r="H1158" s="1146">
        <v>7.2</v>
      </c>
      <c r="I1158" s="1146">
        <v>7.2</v>
      </c>
      <c r="J1158" s="1147">
        <v>115.2</v>
      </c>
      <c r="K1158" s="1147">
        <v>16</v>
      </c>
      <c r="L1158" s="1066" t="s">
        <v>988</v>
      </c>
      <c r="M1158" s="959">
        <v>2532000</v>
      </c>
      <c r="N1158" s="959">
        <v>35248546.175679997</v>
      </c>
      <c r="O1158" s="1149">
        <v>11860806.240152001</v>
      </c>
      <c r="P1158" s="950"/>
      <c r="Q1158" s="950"/>
      <c r="R1158" s="950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237">
        <f>MAX(J1158/J1165)</f>
        <v>1.2920302370965212E-2</v>
      </c>
      <c r="AD1158" s="235">
        <f t="shared" si="216"/>
        <v>32714.205603283917</v>
      </c>
      <c r="AE1158" s="238">
        <f>MAX(I1158/I1165)</f>
        <v>1.2400964519462624E-2</v>
      </c>
      <c r="AF1158" s="235">
        <f t="shared" si="217"/>
        <v>437115.97048724763</v>
      </c>
      <c r="AG1158" s="238">
        <f>MAX(H1158/H1165)</f>
        <v>1.5397775876817794E-2</v>
      </c>
      <c r="AH1158" s="235">
        <f t="shared" si="218"/>
        <v>182630.03620422244</v>
      </c>
    </row>
    <row r="1159" spans="1:34" ht="15" customHeight="1" x14ac:dyDescent="0.2">
      <c r="A1159" s="962" t="s">
        <v>387</v>
      </c>
      <c r="B1159" s="245">
        <v>13</v>
      </c>
      <c r="C1159" s="1146">
        <v>3</v>
      </c>
      <c r="D1159" s="1146">
        <v>3</v>
      </c>
      <c r="E1159" s="1146">
        <v>2</v>
      </c>
      <c r="F1159" s="1146">
        <v>1</v>
      </c>
      <c r="G1159" s="1146">
        <v>4</v>
      </c>
      <c r="H1159" s="1146">
        <v>3</v>
      </c>
      <c r="I1159" s="1146">
        <v>13</v>
      </c>
      <c r="J1159" s="1147">
        <v>48</v>
      </c>
      <c r="K1159" s="1147">
        <v>16</v>
      </c>
      <c r="L1159" s="1066" t="s">
        <v>988</v>
      </c>
      <c r="M1159" s="959">
        <v>2532000</v>
      </c>
      <c r="N1159" s="959">
        <v>35248546.175679997</v>
      </c>
      <c r="O1159" s="1149">
        <v>11860806.240152001</v>
      </c>
      <c r="P1159" s="950"/>
      <c r="Q1159" s="950"/>
      <c r="R1159" s="950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237">
        <f>MAX(J1159/J1165)</f>
        <v>5.3834593212355045E-3</v>
      </c>
      <c r="AD1159" s="235">
        <f t="shared" si="216"/>
        <v>13630.919001368298</v>
      </c>
      <c r="AE1159" s="238">
        <f>MAX(I1159/I1165)</f>
        <v>2.2390630382363073E-2</v>
      </c>
      <c r="AF1159" s="235">
        <f t="shared" si="217"/>
        <v>789237.16893530823</v>
      </c>
      <c r="AG1159" s="238">
        <f>MAX(H1159/H1165)</f>
        <v>6.4157399486740813E-3</v>
      </c>
      <c r="AH1159" s="235">
        <f t="shared" si="218"/>
        <v>76095.848418426031</v>
      </c>
    </row>
    <row r="1160" spans="1:34" ht="15" customHeight="1" x14ac:dyDescent="0.2">
      <c r="A1160" s="962" t="s">
        <v>388</v>
      </c>
      <c r="B1160" s="245">
        <v>2</v>
      </c>
      <c r="C1160" s="1146"/>
      <c r="D1160" s="1146"/>
      <c r="E1160" s="1146"/>
      <c r="F1160" s="1146"/>
      <c r="G1160" s="1146"/>
      <c r="H1160" s="1146">
        <v>2</v>
      </c>
      <c r="I1160" s="1146">
        <v>2</v>
      </c>
      <c r="J1160" s="1147">
        <v>30</v>
      </c>
      <c r="K1160" s="1147">
        <v>15</v>
      </c>
      <c r="L1160" s="1066" t="s">
        <v>988</v>
      </c>
      <c r="M1160" s="959">
        <v>2532000</v>
      </c>
      <c r="N1160" s="959">
        <v>35248546.175679997</v>
      </c>
      <c r="O1160" s="1149">
        <v>11860806.240152001</v>
      </c>
      <c r="U1160" s="9"/>
      <c r="V1160" s="9"/>
      <c r="W1160" s="9"/>
      <c r="X1160" s="9"/>
      <c r="Y1160" s="9"/>
      <c r="Z1160" s="9"/>
      <c r="AA1160" s="9"/>
      <c r="AB1160" s="9"/>
      <c r="AC1160" s="237">
        <f>MAX(J1160/J1165)</f>
        <v>3.3646620757721902E-3</v>
      </c>
      <c r="AD1160" s="235">
        <f t="shared" si="216"/>
        <v>8519.3243758551853</v>
      </c>
      <c r="AE1160" s="238">
        <f>MAX(I1160/I1165)</f>
        <v>3.4447123665173958E-3</v>
      </c>
      <c r="AF1160" s="235">
        <f t="shared" si="217"/>
        <v>121421.10291312434</v>
      </c>
      <c r="AG1160" s="238">
        <f>MAX(H1160/H1165)</f>
        <v>4.2771599657827203E-3</v>
      </c>
      <c r="AH1160" s="235">
        <f t="shared" si="218"/>
        <v>50730.565612284008</v>
      </c>
    </row>
    <row r="1161" spans="1:34" ht="15" customHeight="1" x14ac:dyDescent="0.2">
      <c r="A1161" s="962" t="s">
        <v>389</v>
      </c>
      <c r="B1161" s="245">
        <v>0</v>
      </c>
      <c r="C1161" s="1146">
        <v>0</v>
      </c>
      <c r="D1161" s="1146"/>
      <c r="E1161" s="1146"/>
      <c r="F1161" s="1146"/>
      <c r="G1161" s="1146"/>
      <c r="H1161" s="1146">
        <v>0</v>
      </c>
      <c r="I1161" s="1146">
        <v>0</v>
      </c>
      <c r="J1161" s="1147">
        <v>0</v>
      </c>
      <c r="K1161" s="1147"/>
      <c r="L1161" s="1148"/>
      <c r="M1161" s="959"/>
      <c r="N1161" s="1533"/>
      <c r="O1161" s="1534"/>
      <c r="U1161" s="9"/>
      <c r="V1161" s="9"/>
      <c r="W1161" s="9"/>
      <c r="X1161" s="9"/>
      <c r="Y1161" s="9"/>
      <c r="Z1161" s="9"/>
      <c r="AA1161" s="9"/>
      <c r="AB1161" s="9"/>
      <c r="AC1161" s="237">
        <f>MAX(J1161/J1165)</f>
        <v>0</v>
      </c>
      <c r="AD1161" s="235">
        <f t="shared" si="216"/>
        <v>0</v>
      </c>
      <c r="AE1161" s="238">
        <f>MAX(I1161/I1165)</f>
        <v>0</v>
      </c>
      <c r="AF1161" s="235">
        <f t="shared" si="217"/>
        <v>0</v>
      </c>
      <c r="AG1161" s="238">
        <f>MAX(H1161/H1165)</f>
        <v>0</v>
      </c>
      <c r="AH1161" s="235">
        <f t="shared" si="218"/>
        <v>0</v>
      </c>
    </row>
    <row r="1162" spans="1:34" ht="15" customHeight="1" x14ac:dyDescent="0.2">
      <c r="A1162" s="962" t="s">
        <v>390</v>
      </c>
      <c r="B1162" s="245">
        <v>0.1</v>
      </c>
      <c r="C1162" s="1146"/>
      <c r="D1162" s="1146"/>
      <c r="E1162" s="1146"/>
      <c r="F1162" s="1146"/>
      <c r="G1162" s="1146"/>
      <c r="H1162" s="1146">
        <v>0.1</v>
      </c>
      <c r="I1162" s="1146">
        <v>0.1</v>
      </c>
      <c r="J1162" s="1147">
        <v>1.6</v>
      </c>
      <c r="K1162" s="1147">
        <v>16</v>
      </c>
      <c r="L1162" s="1148"/>
      <c r="M1162" s="959">
        <v>2532000</v>
      </c>
      <c r="N1162" s="959">
        <v>35248546.175679997</v>
      </c>
      <c r="O1162" s="1149">
        <v>11860806.240152001</v>
      </c>
      <c r="P1162" s="950"/>
      <c r="Q1162" s="950"/>
      <c r="R1162" s="950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237">
        <f>MAX(J1162/J1165)</f>
        <v>1.794486440411835E-4</v>
      </c>
      <c r="AD1162" s="235">
        <f t="shared" si="216"/>
        <v>454.36396671227664</v>
      </c>
      <c r="AE1162" s="238">
        <f>MAX(I1162/I1165)</f>
        <v>1.722356183258698E-4</v>
      </c>
      <c r="AF1162" s="235">
        <f t="shared" si="217"/>
        <v>6071.055145656218</v>
      </c>
      <c r="AG1162" s="238">
        <f>MAX(H1162/H1165)</f>
        <v>2.1385799828913603E-4</v>
      </c>
      <c r="AH1162" s="235">
        <f t="shared" si="218"/>
        <v>2536.5282806142009</v>
      </c>
    </row>
    <row r="1163" spans="1:34" ht="15" customHeight="1" x14ac:dyDescent="0.2">
      <c r="A1163" s="962" t="s">
        <v>941</v>
      </c>
      <c r="B1163" s="245">
        <v>5</v>
      </c>
      <c r="C1163" s="1146"/>
      <c r="D1163" s="1146"/>
      <c r="E1163" s="1146"/>
      <c r="F1163" s="1146"/>
      <c r="G1163" s="1146"/>
      <c r="H1163" s="1146">
        <v>5</v>
      </c>
      <c r="I1163" s="1146">
        <v>5</v>
      </c>
      <c r="J1163" s="1147">
        <v>80</v>
      </c>
      <c r="K1163" s="1147">
        <v>16</v>
      </c>
      <c r="L1163" s="1066" t="s">
        <v>988</v>
      </c>
      <c r="M1163" s="959">
        <v>2532000</v>
      </c>
      <c r="N1163" s="959">
        <v>35248546.175679997</v>
      </c>
      <c r="O1163" s="1149">
        <v>11860806.240152001</v>
      </c>
      <c r="P1163" s="950"/>
      <c r="Q1163" s="950"/>
      <c r="R1163" s="950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237">
        <f>MAX(J1163/J1165)</f>
        <v>8.9724322020591739E-3</v>
      </c>
      <c r="AD1163" s="235">
        <f t="shared" si="216"/>
        <v>22718.19833561383</v>
      </c>
      <c r="AE1163" s="238">
        <f>MAX(I1163/I1165)</f>
        <v>8.6117809162934884E-3</v>
      </c>
      <c r="AF1163" s="235">
        <f t="shared" si="217"/>
        <v>303552.75728281081</v>
      </c>
      <c r="AG1163" s="238">
        <f>MAX(H1163/H1165)</f>
        <v>1.0692899914456801E-2</v>
      </c>
      <c r="AH1163" s="235">
        <f t="shared" si="218"/>
        <v>126826.41403071002</v>
      </c>
    </row>
    <row r="1164" spans="1:34" ht="15" customHeight="1" thickBot="1" x14ac:dyDescent="0.25">
      <c r="A1164" s="1140" t="s">
        <v>392</v>
      </c>
      <c r="B1164" s="1537">
        <v>1</v>
      </c>
      <c r="C1164" s="1141">
        <v>0</v>
      </c>
      <c r="D1164" s="1141">
        <v>0</v>
      </c>
      <c r="E1164" s="1141">
        <v>0</v>
      </c>
      <c r="F1164" s="1141">
        <v>0</v>
      </c>
      <c r="G1164" s="1141">
        <v>0</v>
      </c>
      <c r="H1164" s="1146">
        <v>1</v>
      </c>
      <c r="I1164" s="1146">
        <v>1</v>
      </c>
      <c r="J1164" s="1526">
        <v>15</v>
      </c>
      <c r="K1164" s="1142">
        <v>15</v>
      </c>
      <c r="L1164" s="1066" t="s">
        <v>988</v>
      </c>
      <c r="M1164" s="959">
        <v>2532000</v>
      </c>
      <c r="N1164" s="959">
        <v>35248546.175679997</v>
      </c>
      <c r="O1164" s="1149">
        <v>11860806.240152001</v>
      </c>
      <c r="P1164" s="950"/>
      <c r="Q1164" s="950"/>
      <c r="R1164" s="950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237">
        <f>MAX(J1164/J1165)</f>
        <v>1.6823310378860951E-3</v>
      </c>
      <c r="AD1164" s="235">
        <f t="shared" si="216"/>
        <v>4259.6621879275926</v>
      </c>
      <c r="AE1164" s="238">
        <f>MAX(I1164/I1165)</f>
        <v>1.7223561832586979E-3</v>
      </c>
      <c r="AF1164" s="235">
        <f t="shared" si="217"/>
        <v>60710.551456562171</v>
      </c>
      <c r="AG1164" s="238">
        <f>MAX(H1164/H1165)</f>
        <v>2.1385799828913601E-3</v>
      </c>
      <c r="AH1164" s="235">
        <f t="shared" si="218"/>
        <v>25365.282806142004</v>
      </c>
    </row>
    <row r="1165" spans="1:34" ht="15" customHeight="1" thickBot="1" x14ac:dyDescent="0.25">
      <c r="A1165" s="405" t="s">
        <v>942</v>
      </c>
      <c r="B1165" s="1131">
        <v>561.6</v>
      </c>
      <c r="C1165" s="1131">
        <v>51</v>
      </c>
      <c r="D1165" s="1131">
        <v>5</v>
      </c>
      <c r="E1165" s="1131">
        <v>4</v>
      </c>
      <c r="F1165" s="1131">
        <v>28</v>
      </c>
      <c r="G1165" s="1131">
        <v>57</v>
      </c>
      <c r="H1165" s="1131">
        <v>467.59999999999997</v>
      </c>
      <c r="I1165" s="1131">
        <v>580.6</v>
      </c>
      <c r="J1165" s="1132">
        <v>8916.1999999999989</v>
      </c>
      <c r="K1165" s="1132">
        <v>19.068006843455944</v>
      </c>
      <c r="L1165" s="1525" t="s">
        <v>988</v>
      </c>
      <c r="M1165" s="1134">
        <v>2532000.0000000009</v>
      </c>
      <c r="N1165" s="1134">
        <v>35248546.175679997</v>
      </c>
      <c r="O1165" s="506">
        <v>11860806.240152003</v>
      </c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1159">
        <f t="shared" ref="AC1165:AH1165" si="219">SUM(AC1125:AC1164)</f>
        <v>1.0000000000000002</v>
      </c>
      <c r="AD1165" s="1160">
        <f t="shared" si="219"/>
        <v>2532000.0000000009</v>
      </c>
      <c r="AE1165" s="1161">
        <f t="shared" si="219"/>
        <v>1.0000000000000002</v>
      </c>
      <c r="AF1165" s="1160">
        <f t="shared" si="219"/>
        <v>35248546.175679997</v>
      </c>
      <c r="AG1165" s="1161">
        <f t="shared" si="219"/>
        <v>0.99999999999999978</v>
      </c>
      <c r="AH1165" s="1160">
        <f t="shared" si="219"/>
        <v>11860806.240152003</v>
      </c>
    </row>
    <row r="1166" spans="1:34" x14ac:dyDescent="0.2">
      <c r="A1166" s="7" t="s">
        <v>1934</v>
      </c>
      <c r="B1166" s="224"/>
      <c r="C1166" s="224"/>
      <c r="D1166" s="224"/>
      <c r="E1166" s="224"/>
      <c r="F1166" s="224"/>
      <c r="G1166" s="224"/>
      <c r="H1166" s="224"/>
      <c r="I1166" s="224"/>
      <c r="J1166" s="224"/>
      <c r="K1166" s="240"/>
      <c r="L1166" s="241"/>
      <c r="M1166" s="240"/>
      <c r="N1166" s="240"/>
      <c r="O1166" s="240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</row>
    <row r="1167" spans="1:34" x14ac:dyDescent="0.2">
      <c r="A1167" s="34"/>
      <c r="B1167" s="224"/>
      <c r="C1167" s="224"/>
      <c r="D1167" s="224"/>
      <c r="E1167" s="224"/>
      <c r="F1167" s="224"/>
      <c r="G1167" s="224"/>
      <c r="H1167" s="224"/>
      <c r="I1167" s="224"/>
      <c r="J1167" s="224"/>
      <c r="K1167" s="240"/>
      <c r="L1167" s="241"/>
      <c r="M1167" s="240"/>
      <c r="N1167" s="240"/>
      <c r="O1167" s="240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</row>
    <row r="1168" spans="1:34" x14ac:dyDescent="0.2">
      <c r="A1168" s="34"/>
      <c r="B1168" s="224"/>
      <c r="C1168" s="224"/>
      <c r="D1168" s="224"/>
      <c r="E1168" s="224"/>
      <c r="F1168" s="224"/>
      <c r="G1168" s="224"/>
      <c r="H1168" s="224"/>
      <c r="I1168" s="224"/>
      <c r="J1168" s="224"/>
      <c r="K1168" s="240"/>
      <c r="L1168" s="241"/>
      <c r="M1168" s="240"/>
      <c r="N1168" s="240"/>
      <c r="O1168" s="240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</row>
    <row r="1169" spans="1:34" ht="15" x14ac:dyDescent="0.25">
      <c r="A1169" s="2843" t="s">
        <v>1931</v>
      </c>
      <c r="B1169" s="2843"/>
      <c r="C1169" s="2843"/>
      <c r="D1169" s="2843"/>
      <c r="E1169" s="2843"/>
      <c r="F1169" s="2843"/>
      <c r="G1169" s="2843"/>
      <c r="H1169" s="2843"/>
      <c r="I1169" s="2843"/>
      <c r="J1169" s="2843"/>
      <c r="K1169" s="2843"/>
      <c r="L1169" s="2843"/>
      <c r="M1169" s="2843"/>
      <c r="N1169" s="2843"/>
      <c r="O1169" s="2843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</row>
    <row r="1170" spans="1:34" x14ac:dyDescent="0.2">
      <c r="A1170" s="246"/>
      <c r="B1170" s="246"/>
      <c r="C1170" s="240"/>
      <c r="D1170" s="240"/>
      <c r="E1170" s="240"/>
      <c r="F1170" s="240"/>
      <c r="G1170" s="240"/>
      <c r="H1170" s="240"/>
      <c r="I1170" s="240"/>
      <c r="J1170" s="240"/>
      <c r="K1170" s="240"/>
      <c r="L1170" s="241"/>
      <c r="M1170" s="240"/>
      <c r="N1170" s="240"/>
      <c r="O1170" s="240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</row>
    <row r="1171" spans="1:34" ht="13.5" thickBot="1" x14ac:dyDescent="0.25">
      <c r="A1171" s="181" t="s">
        <v>1829</v>
      </c>
      <c r="B1171" s="246"/>
      <c r="C1171" s="240"/>
      <c r="D1171" s="240"/>
      <c r="E1171" s="240"/>
      <c r="F1171" s="240"/>
      <c r="G1171" s="240"/>
      <c r="H1171" s="240"/>
      <c r="I1171" s="240"/>
      <c r="J1171" s="240"/>
      <c r="K1171" s="240"/>
      <c r="L1171" s="241"/>
      <c r="M1171" s="240"/>
      <c r="N1171" s="240"/>
      <c r="O1171" s="240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</row>
    <row r="1172" spans="1:34" ht="15" customHeight="1" x14ac:dyDescent="0.2">
      <c r="A1172" s="2844" t="s">
        <v>327</v>
      </c>
      <c r="B1172" s="2847" t="s">
        <v>1932</v>
      </c>
      <c r="C1172" s="2848"/>
      <c r="D1172" s="2848"/>
      <c r="E1172" s="2848"/>
      <c r="F1172" s="2848"/>
      <c r="G1172" s="2848"/>
      <c r="H1172" s="2848"/>
      <c r="I1172" s="2848"/>
      <c r="J1172" s="2848"/>
      <c r="K1172" s="2848"/>
      <c r="L1172" s="2848"/>
      <c r="M1172" s="2848"/>
      <c r="N1172" s="2848"/>
      <c r="O1172" s="284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228" t="s">
        <v>910</v>
      </c>
      <c r="AD1172" s="229"/>
      <c r="AE1172" s="229"/>
      <c r="AF1172" s="229"/>
      <c r="AG1172" s="229"/>
      <c r="AH1172" s="243"/>
    </row>
    <row r="1173" spans="1:34" ht="15" customHeight="1" x14ac:dyDescent="0.2">
      <c r="A1173" s="2845"/>
      <c r="B1173" s="2850" t="s">
        <v>191</v>
      </c>
      <c r="C1173" s="2850"/>
      <c r="D1173" s="2850"/>
      <c r="E1173" s="2850"/>
      <c r="F1173" s="2850"/>
      <c r="G1173" s="2850"/>
      <c r="H1173" s="2850"/>
      <c r="I1173" s="2850"/>
      <c r="J1173" s="2119"/>
      <c r="K1173" s="2119" t="s">
        <v>904</v>
      </c>
      <c r="L1173" s="2119"/>
      <c r="M1173" s="1122" t="s">
        <v>437</v>
      </c>
      <c r="N1173" s="1122" t="s">
        <v>911</v>
      </c>
      <c r="O1173" s="1127" t="s">
        <v>911</v>
      </c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230" t="s">
        <v>333</v>
      </c>
      <c r="AD1173" s="231" t="s">
        <v>333</v>
      </c>
      <c r="AE1173" s="231" t="s">
        <v>333</v>
      </c>
      <c r="AF1173" s="231" t="s">
        <v>333</v>
      </c>
      <c r="AG1173" s="231" t="s">
        <v>333</v>
      </c>
      <c r="AH1173" s="231" t="s">
        <v>333</v>
      </c>
    </row>
    <row r="1174" spans="1:34" ht="15" customHeight="1" x14ac:dyDescent="0.2">
      <c r="A1174" s="2845"/>
      <c r="B1174" s="2119" t="s">
        <v>433</v>
      </c>
      <c r="C1174" s="2119"/>
      <c r="D1174" s="2841" t="s">
        <v>1865</v>
      </c>
      <c r="E1174" s="2119"/>
      <c r="F1174" s="2119"/>
      <c r="G1174" s="2119" t="s">
        <v>912</v>
      </c>
      <c r="H1174" s="2119"/>
      <c r="I1174" s="2119" t="s">
        <v>433</v>
      </c>
      <c r="J1174" s="2138" t="s">
        <v>913</v>
      </c>
      <c r="K1174" s="2138" t="s">
        <v>842</v>
      </c>
      <c r="L1174" s="2138" t="s">
        <v>329</v>
      </c>
      <c r="M1174" s="1123" t="s">
        <v>914</v>
      </c>
      <c r="N1174" s="1123" t="s">
        <v>915</v>
      </c>
      <c r="O1174" s="1128" t="s">
        <v>914</v>
      </c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230" t="s">
        <v>913</v>
      </c>
      <c r="AD1174" s="231" t="s">
        <v>916</v>
      </c>
      <c r="AE1174" s="231" t="s">
        <v>917</v>
      </c>
      <c r="AF1174" s="231" t="s">
        <v>918</v>
      </c>
      <c r="AG1174" s="231" t="s">
        <v>192</v>
      </c>
      <c r="AH1174" s="231" t="s">
        <v>918</v>
      </c>
    </row>
    <row r="1175" spans="1:34" ht="15" customHeight="1" x14ac:dyDescent="0.2">
      <c r="A1175" s="2845"/>
      <c r="B1175" s="2138" t="s">
        <v>920</v>
      </c>
      <c r="C1175" s="2138" t="s">
        <v>922</v>
      </c>
      <c r="D1175" s="2842"/>
      <c r="E1175" s="2138" t="s">
        <v>867</v>
      </c>
      <c r="F1175" s="2138" t="s">
        <v>921</v>
      </c>
      <c r="G1175" s="2138" t="s">
        <v>923</v>
      </c>
      <c r="H1175" s="2138" t="s">
        <v>836</v>
      </c>
      <c r="I1175" s="2138" t="s">
        <v>835</v>
      </c>
      <c r="J1175" s="2138" t="s">
        <v>924</v>
      </c>
      <c r="K1175" s="2138" t="s">
        <v>925</v>
      </c>
      <c r="L1175" s="2138" t="s">
        <v>336</v>
      </c>
      <c r="M1175" s="1123" t="s">
        <v>926</v>
      </c>
      <c r="N1175" s="1123" t="s">
        <v>927</v>
      </c>
      <c r="O1175" s="1128" t="s">
        <v>928</v>
      </c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230"/>
      <c r="AD1175" s="231" t="s">
        <v>843</v>
      </c>
      <c r="AE1175" s="231"/>
      <c r="AF1175" s="231" t="s">
        <v>929</v>
      </c>
      <c r="AG1175" s="231"/>
      <c r="AH1175" s="231" t="s">
        <v>930</v>
      </c>
    </row>
    <row r="1176" spans="1:34" ht="15" customHeight="1" thickBot="1" x14ac:dyDescent="0.25">
      <c r="A1176" s="2846"/>
      <c r="B1176" s="1881">
        <v>44926</v>
      </c>
      <c r="C1176" s="2139">
        <v>2023</v>
      </c>
      <c r="D1176" s="2139">
        <v>2023</v>
      </c>
      <c r="E1176" s="2139">
        <v>2023</v>
      </c>
      <c r="F1176" s="2139">
        <v>2023</v>
      </c>
      <c r="G1176" s="2139" t="s">
        <v>931</v>
      </c>
      <c r="H1176" s="1126">
        <v>2023</v>
      </c>
      <c r="I1176" s="1881">
        <v>45291</v>
      </c>
      <c r="J1176" s="1881" t="s">
        <v>1933</v>
      </c>
      <c r="K1176" s="1881" t="s">
        <v>1933</v>
      </c>
      <c r="L1176" s="2139" t="s">
        <v>441</v>
      </c>
      <c r="M1176" s="1125" t="s">
        <v>932</v>
      </c>
      <c r="N1176" s="1125" t="s">
        <v>933</v>
      </c>
      <c r="O1176" s="1129" t="s">
        <v>933</v>
      </c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232"/>
      <c r="AD1176" s="233" t="s">
        <v>934</v>
      </c>
      <c r="AE1176" s="233"/>
      <c r="AF1176" s="233" t="s">
        <v>935</v>
      </c>
      <c r="AG1176" s="233"/>
      <c r="AH1176" s="233" t="s">
        <v>936</v>
      </c>
    </row>
    <row r="1177" spans="1:34" ht="15" customHeight="1" x14ac:dyDescent="0.2">
      <c r="A1177" s="1135" t="s">
        <v>352</v>
      </c>
      <c r="B1177" s="1130">
        <v>254.5</v>
      </c>
      <c r="C1177" s="1130">
        <v>40</v>
      </c>
      <c r="D1177" s="1130">
        <v>1</v>
      </c>
      <c r="E1177" s="1130">
        <v>3</v>
      </c>
      <c r="F1177" s="1130">
        <v>14</v>
      </c>
      <c r="G1177" s="1130">
        <v>55</v>
      </c>
      <c r="H1177" s="1130">
        <v>181.5</v>
      </c>
      <c r="I1177" s="1130">
        <v>277.5</v>
      </c>
      <c r="J1177" s="1136">
        <v>3107.5</v>
      </c>
      <c r="K1177" s="1535">
        <v>17.121212121212121</v>
      </c>
      <c r="L1177" s="380"/>
      <c r="M1177" s="1138"/>
      <c r="N1177" s="1138"/>
      <c r="O1177" s="113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1155"/>
      <c r="AD1177" s="1156"/>
      <c r="AE1177" s="1156"/>
      <c r="AF1177" s="1156"/>
      <c r="AG1177" s="1156"/>
      <c r="AH1177" s="1156"/>
    </row>
    <row r="1178" spans="1:34" ht="15" customHeight="1" x14ac:dyDescent="0.2">
      <c r="A1178" s="962" t="s">
        <v>353</v>
      </c>
      <c r="B1178" s="956">
        <v>33</v>
      </c>
      <c r="C1178" s="1146"/>
      <c r="D1178" s="1146"/>
      <c r="E1178" s="1146"/>
      <c r="F1178" s="1146">
        <v>5</v>
      </c>
      <c r="G1178" s="1146"/>
      <c r="H1178" s="1146">
        <v>28</v>
      </c>
      <c r="I1178" s="1146">
        <v>28</v>
      </c>
      <c r="J1178" s="1147">
        <v>364</v>
      </c>
      <c r="K1178" s="1147">
        <v>13</v>
      </c>
      <c r="L1178" s="1066" t="s">
        <v>988</v>
      </c>
      <c r="M1178" s="959">
        <v>1584000</v>
      </c>
      <c r="N1178" s="1837">
        <v>26424508.804680005</v>
      </c>
      <c r="O1178" s="1149">
        <v>15578788.034906223</v>
      </c>
      <c r="P1178" s="950"/>
      <c r="Q1178" s="950"/>
      <c r="R1178" s="950"/>
      <c r="S1178" s="950"/>
      <c r="T1178" s="950"/>
      <c r="U1178" s="950"/>
      <c r="V1178" s="950"/>
      <c r="W1178" s="950"/>
      <c r="X1178" s="950"/>
      <c r="Y1178" s="950"/>
      <c r="Z1178" s="9"/>
      <c r="AA1178" s="9"/>
      <c r="AB1178" s="9"/>
      <c r="AC1178" s="237">
        <f>MAX(J1178/J1218)</f>
        <v>5.6923740953191165E-2</v>
      </c>
      <c r="AD1178" s="235">
        <f t="shared" ref="AD1178:AD1192" si="220">MAX(M1178*AC1178)</f>
        <v>90167.205669854811</v>
      </c>
      <c r="AE1178" s="238">
        <f>MAX(I1178/I1218)</f>
        <v>4.4940934771443251E-2</v>
      </c>
      <c r="AF1178" s="235">
        <f t="shared" ref="AF1178:AF1192" si="221">MAX(N1178*AE1178)</f>
        <v>1187542.126558552</v>
      </c>
      <c r="AG1178" s="238">
        <f>MAX(H1178/H1218)</f>
        <v>6.9128974916057684E-2</v>
      </c>
      <c r="AH1178" s="235">
        <f t="shared" ref="AH1178:AH1192" si="222">MAX(O1178*AG1178)</f>
        <v>1076945.6472876118</v>
      </c>
    </row>
    <row r="1179" spans="1:34" ht="15" customHeight="1" x14ac:dyDescent="0.2">
      <c r="A1179" s="962" t="s">
        <v>354</v>
      </c>
      <c r="B1179" s="1545">
        <v>23</v>
      </c>
      <c r="C1179" s="1539">
        <v>12</v>
      </c>
      <c r="D1179" s="1539"/>
      <c r="E1179" s="1539"/>
      <c r="F1179" s="1539"/>
      <c r="G1179" s="1539">
        <v>3</v>
      </c>
      <c r="H1179" s="1146">
        <v>20</v>
      </c>
      <c r="I1179" s="1146">
        <v>35</v>
      </c>
      <c r="J1179" s="1147">
        <v>320</v>
      </c>
      <c r="K1179" s="1540">
        <v>16</v>
      </c>
      <c r="L1179" s="1066" t="s">
        <v>988</v>
      </c>
      <c r="M1179" s="959">
        <v>1584000</v>
      </c>
      <c r="N1179" s="1837">
        <v>26424508.804680005</v>
      </c>
      <c r="O1179" s="1149">
        <v>15578788.034906223</v>
      </c>
      <c r="P1179" s="950"/>
      <c r="Q1179" s="950"/>
      <c r="R1179" s="950"/>
      <c r="S1179" s="9"/>
      <c r="T1179" s="9"/>
      <c r="U1179" s="9"/>
      <c r="V1179" s="9"/>
      <c r="W1179" s="950"/>
      <c r="X1179" s="950"/>
      <c r="Y1179" s="950"/>
      <c r="Z1179" s="9"/>
      <c r="AA1179" s="9"/>
      <c r="AB1179" s="9"/>
      <c r="AC1179" s="237">
        <f>MAX(J1179/J1218)</f>
        <v>5.0042849189618606E-2</v>
      </c>
      <c r="AD1179" s="235">
        <f t="shared" si="220"/>
        <v>79267.87311635587</v>
      </c>
      <c r="AE1179" s="238">
        <f>MAX(I1179/I1218)</f>
        <v>5.6176168464304059E-2</v>
      </c>
      <c r="AF1179" s="235">
        <f t="shared" si="221"/>
        <v>1484427.6581981899</v>
      </c>
      <c r="AG1179" s="238">
        <f>MAX(H1179/H1218)</f>
        <v>4.9377839225755484E-2</v>
      </c>
      <c r="AH1179" s="235">
        <f t="shared" si="222"/>
        <v>769246.89091972273</v>
      </c>
    </row>
    <row r="1180" spans="1:34" ht="15" customHeight="1" x14ac:dyDescent="0.2">
      <c r="A1180" s="962" t="s">
        <v>355</v>
      </c>
      <c r="B1180" s="957">
        <v>4</v>
      </c>
      <c r="C1180" s="1146">
        <v>6</v>
      </c>
      <c r="D1180" s="1146"/>
      <c r="E1180" s="1146"/>
      <c r="F1180" s="1146"/>
      <c r="G1180" s="1146"/>
      <c r="H1180" s="1146">
        <v>4</v>
      </c>
      <c r="I1180" s="1146">
        <v>10</v>
      </c>
      <c r="J1180" s="1147">
        <v>40</v>
      </c>
      <c r="K1180" s="1147">
        <v>10</v>
      </c>
      <c r="L1180" s="1066" t="s">
        <v>988</v>
      </c>
      <c r="M1180" s="959">
        <v>1584000</v>
      </c>
      <c r="N1180" s="1837">
        <v>26424508.804680005</v>
      </c>
      <c r="O1180" s="1149">
        <v>15578788.034906223</v>
      </c>
      <c r="P1180" s="950"/>
      <c r="Q1180" s="950"/>
      <c r="R1180" s="950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237">
        <f>MAX(J1180/J1218)</f>
        <v>6.2553561487023257E-3</v>
      </c>
      <c r="AD1180" s="235">
        <f t="shared" si="220"/>
        <v>9908.4841395444837</v>
      </c>
      <c r="AE1180" s="238">
        <f>MAX(I1180/I1218)</f>
        <v>1.6050333846944018E-2</v>
      </c>
      <c r="AF1180" s="235">
        <f t="shared" si="221"/>
        <v>424122.18805662572</v>
      </c>
      <c r="AG1180" s="238">
        <f>MAX(H1180/H1218)</f>
        <v>9.8755678451510967E-3</v>
      </c>
      <c r="AH1180" s="235">
        <f t="shared" si="222"/>
        <v>153849.37818394453</v>
      </c>
    </row>
    <row r="1181" spans="1:34" ht="15" customHeight="1" x14ac:dyDescent="0.2">
      <c r="A1181" s="962" t="s">
        <v>356</v>
      </c>
      <c r="B1181" s="957">
        <v>19</v>
      </c>
      <c r="C1181" s="1146"/>
      <c r="D1181" s="1146"/>
      <c r="E1181" s="1146"/>
      <c r="F1181" s="1146"/>
      <c r="G1181" s="1146">
        <v>4</v>
      </c>
      <c r="H1181" s="1146">
        <v>15</v>
      </c>
      <c r="I1181" s="1146">
        <v>19</v>
      </c>
      <c r="J1181" s="1147">
        <v>240</v>
      </c>
      <c r="K1181" s="1147">
        <v>16</v>
      </c>
      <c r="L1181" s="1066" t="s">
        <v>988</v>
      </c>
      <c r="M1181" s="959">
        <v>1584000</v>
      </c>
      <c r="N1181" s="1837">
        <v>26424508.804680005</v>
      </c>
      <c r="O1181" s="1149">
        <v>15578788.034906223</v>
      </c>
      <c r="P1181" s="950"/>
      <c r="Q1181" s="950"/>
      <c r="R1181" s="950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237">
        <f>MAX(J1181/J1218)</f>
        <v>3.7532136892213956E-2</v>
      </c>
      <c r="AD1181" s="235">
        <f t="shared" si="220"/>
        <v>59450.904837266906</v>
      </c>
      <c r="AE1181" s="238">
        <f>MAX(I1181/I1218)</f>
        <v>3.0495634309193633E-2</v>
      </c>
      <c r="AF1181" s="235">
        <f t="shared" si="221"/>
        <v>805832.15730758884</v>
      </c>
      <c r="AG1181" s="238">
        <f>MAX(H1181/H1218)</f>
        <v>3.7033379419316614E-2</v>
      </c>
      <c r="AH1181" s="235">
        <f t="shared" si="222"/>
        <v>576935.16818979208</v>
      </c>
    </row>
    <row r="1182" spans="1:34" ht="15" customHeight="1" x14ac:dyDescent="0.2">
      <c r="A1182" s="962" t="s">
        <v>357</v>
      </c>
      <c r="B1182" s="1146">
        <v>59</v>
      </c>
      <c r="C1182" s="1146">
        <v>11</v>
      </c>
      <c r="D1182" s="1146">
        <v>0</v>
      </c>
      <c r="E1182" s="1146">
        <v>0</v>
      </c>
      <c r="F1182" s="1146">
        <v>0</v>
      </c>
      <c r="G1182" s="1146">
        <v>4</v>
      </c>
      <c r="H1182" s="1146">
        <v>55</v>
      </c>
      <c r="I1182" s="1146">
        <v>70</v>
      </c>
      <c r="J1182" s="1147">
        <v>990</v>
      </c>
      <c r="K1182" s="1147">
        <v>18</v>
      </c>
      <c r="L1182" s="1066" t="s">
        <v>988</v>
      </c>
      <c r="M1182" s="959">
        <v>1584000</v>
      </c>
      <c r="N1182" s="1837">
        <v>26424508.804680005</v>
      </c>
      <c r="O1182" s="1149">
        <v>15578788.034906223</v>
      </c>
      <c r="P1182" s="950"/>
      <c r="Q1182" s="950"/>
      <c r="R1182" s="950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237">
        <f>MAX(J1182/J1218)</f>
        <v>0.15482006468038256</v>
      </c>
      <c r="AD1182" s="235">
        <f t="shared" si="220"/>
        <v>245234.98245372597</v>
      </c>
      <c r="AE1182" s="238">
        <f>MAX(I1182/I1218)</f>
        <v>0.11235233692860812</v>
      </c>
      <c r="AF1182" s="235">
        <f t="shared" si="221"/>
        <v>2968855.3163963798</v>
      </c>
      <c r="AG1182" s="238">
        <f>MAX(H1182/H1218)</f>
        <v>0.1357890578708276</v>
      </c>
      <c r="AH1182" s="235">
        <f t="shared" si="222"/>
        <v>2115428.9500292377</v>
      </c>
    </row>
    <row r="1183" spans="1:34" ht="15" customHeight="1" x14ac:dyDescent="0.2">
      <c r="A1183" s="962" t="s">
        <v>358</v>
      </c>
      <c r="B1183" s="1146">
        <v>40</v>
      </c>
      <c r="C1183" s="1146">
        <v>0</v>
      </c>
      <c r="D1183" s="1146">
        <v>0</v>
      </c>
      <c r="E1183" s="1146">
        <v>0</v>
      </c>
      <c r="F1183" s="1146">
        <v>0</v>
      </c>
      <c r="G1183" s="1146">
        <v>5</v>
      </c>
      <c r="H1183" s="1146">
        <v>35</v>
      </c>
      <c r="I1183" s="1146">
        <v>40</v>
      </c>
      <c r="J1183" s="1147">
        <v>700</v>
      </c>
      <c r="K1183" s="1147">
        <v>20</v>
      </c>
      <c r="L1183" s="1066" t="s">
        <v>988</v>
      </c>
      <c r="M1183" s="959">
        <v>1584000</v>
      </c>
      <c r="N1183" s="1837">
        <v>26424508.804680005</v>
      </c>
      <c r="O1183" s="1149">
        <v>15578788.034906223</v>
      </c>
      <c r="P1183" s="9"/>
      <c r="Q1183" s="2005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237">
        <f>MAX(J1183/J1218)</f>
        <v>0.1094687326022907</v>
      </c>
      <c r="AD1183" s="235">
        <f t="shared" si="220"/>
        <v>173398.47244202846</v>
      </c>
      <c r="AE1183" s="238">
        <f>MAX(I1183/I1218)</f>
        <v>6.4201335387776073E-2</v>
      </c>
      <c r="AF1183" s="235">
        <f t="shared" si="221"/>
        <v>1696488.7522265029</v>
      </c>
      <c r="AG1183" s="238">
        <f>MAX(H1183/H1218)</f>
        <v>8.6411218645072105E-2</v>
      </c>
      <c r="AH1183" s="235">
        <f t="shared" si="222"/>
        <v>1346182.0591095148</v>
      </c>
    </row>
    <row r="1184" spans="1:34" ht="15" customHeight="1" x14ac:dyDescent="0.2">
      <c r="A1184" s="962" t="s">
        <v>937</v>
      </c>
      <c r="B1184" s="1146">
        <v>2</v>
      </c>
      <c r="C1184" s="1146">
        <v>0</v>
      </c>
      <c r="D1184" s="1146">
        <v>0</v>
      </c>
      <c r="E1184" s="1146">
        <v>0</v>
      </c>
      <c r="F1184" s="1146">
        <v>0</v>
      </c>
      <c r="G1184" s="1146">
        <v>2</v>
      </c>
      <c r="H1184" s="1146">
        <v>0</v>
      </c>
      <c r="I1184" s="1146">
        <v>2</v>
      </c>
      <c r="J1184" s="1147">
        <v>0</v>
      </c>
      <c r="K1184" s="1147">
        <v>18</v>
      </c>
      <c r="L1184" s="1066" t="s">
        <v>988</v>
      </c>
      <c r="M1184" s="959">
        <v>1584000</v>
      </c>
      <c r="N1184" s="1837">
        <v>26424508.804680005</v>
      </c>
      <c r="O1184" s="1149">
        <v>15578788.034906223</v>
      </c>
      <c r="V1184" s="9"/>
      <c r="W1184" s="9"/>
      <c r="X1184" s="9"/>
      <c r="Y1184" s="9"/>
      <c r="Z1184" s="9"/>
      <c r="AA1184" s="9"/>
      <c r="AB1184" s="9"/>
      <c r="AC1184" s="237">
        <f>MAX(J1184/J1218)</f>
        <v>0</v>
      </c>
      <c r="AD1184" s="235">
        <f t="shared" si="220"/>
        <v>0</v>
      </c>
      <c r="AE1184" s="238">
        <f>MAX(I1184/I1218)</f>
        <v>3.2100667693888037E-3</v>
      </c>
      <c r="AF1184" s="235">
        <f t="shared" si="221"/>
        <v>84824.437611325135</v>
      </c>
      <c r="AG1184" s="238">
        <f>MAX(H1184/H1218)</f>
        <v>0</v>
      </c>
      <c r="AH1184" s="235">
        <f t="shared" si="222"/>
        <v>0</v>
      </c>
    </row>
    <row r="1185" spans="1:34" ht="15" customHeight="1" x14ac:dyDescent="0.2">
      <c r="A1185" s="962" t="s">
        <v>360</v>
      </c>
      <c r="B1185" s="1146">
        <v>0</v>
      </c>
      <c r="C1185" s="1146">
        <v>0</v>
      </c>
      <c r="D1185" s="1146">
        <v>0</v>
      </c>
      <c r="E1185" s="1146">
        <v>0</v>
      </c>
      <c r="F1185" s="1146">
        <v>0</v>
      </c>
      <c r="G1185" s="1146">
        <v>0</v>
      </c>
      <c r="H1185" s="1146">
        <v>0</v>
      </c>
      <c r="I1185" s="1146">
        <v>0</v>
      </c>
      <c r="J1185" s="1147">
        <v>0</v>
      </c>
      <c r="K1185" s="1147">
        <v>0</v>
      </c>
      <c r="L1185" s="1148"/>
      <c r="M1185" s="959"/>
      <c r="N1185" s="959"/>
      <c r="O1185" s="1149"/>
      <c r="V1185" s="9"/>
      <c r="W1185" s="9"/>
      <c r="X1185" s="9"/>
      <c r="Y1185" s="9"/>
      <c r="Z1185" s="9"/>
      <c r="AA1185" s="9"/>
      <c r="AB1185" s="9"/>
      <c r="AC1185" s="237">
        <f>MAX(J1185/J1218)</f>
        <v>0</v>
      </c>
      <c r="AD1185" s="235">
        <f t="shared" si="220"/>
        <v>0</v>
      </c>
      <c r="AE1185" s="238">
        <f>MAX(I1185/I1218)</f>
        <v>0</v>
      </c>
      <c r="AF1185" s="235">
        <f t="shared" si="221"/>
        <v>0</v>
      </c>
      <c r="AG1185" s="238">
        <f>MAX(H1185/H1218)</f>
        <v>0</v>
      </c>
      <c r="AH1185" s="235">
        <f t="shared" si="222"/>
        <v>0</v>
      </c>
    </row>
    <row r="1186" spans="1:34" ht="15" customHeight="1" x14ac:dyDescent="0.2">
      <c r="A1186" s="962" t="s">
        <v>938</v>
      </c>
      <c r="B1186" s="1146">
        <v>15</v>
      </c>
      <c r="C1186" s="1146">
        <v>0</v>
      </c>
      <c r="D1186" s="1146">
        <v>0</v>
      </c>
      <c r="E1186" s="1146">
        <v>2</v>
      </c>
      <c r="F1186" s="1146">
        <v>5</v>
      </c>
      <c r="G1186" s="1146">
        <v>7</v>
      </c>
      <c r="H1186" s="1146">
        <v>1</v>
      </c>
      <c r="I1186" s="1146">
        <v>8</v>
      </c>
      <c r="J1186" s="1147">
        <v>16</v>
      </c>
      <c r="K1186" s="1147">
        <v>16</v>
      </c>
      <c r="L1186" s="1066" t="s">
        <v>988</v>
      </c>
      <c r="M1186" s="959">
        <v>1584000</v>
      </c>
      <c r="N1186" s="1837">
        <v>26424508.804680005</v>
      </c>
      <c r="O1186" s="1149">
        <v>15578788.034906223</v>
      </c>
      <c r="P1186" s="950"/>
      <c r="Q1186" s="950"/>
      <c r="R1186" s="950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237">
        <f>MAX(J1186/J1218)</f>
        <v>2.5021424594809305E-3</v>
      </c>
      <c r="AD1186" s="235">
        <f t="shared" si="220"/>
        <v>3963.3936558177938</v>
      </c>
      <c r="AE1186" s="238">
        <f>MAX(I1186/I1218)</f>
        <v>1.2840267077555215E-2</v>
      </c>
      <c r="AF1186" s="235">
        <f t="shared" si="221"/>
        <v>339297.75044530054</v>
      </c>
      <c r="AG1186" s="238">
        <f>MAX(H1186/H1218)</f>
        <v>2.4688919612877742E-3</v>
      </c>
      <c r="AH1186" s="235">
        <f t="shared" si="222"/>
        <v>38462.344545986132</v>
      </c>
    </row>
    <row r="1187" spans="1:34" ht="15" customHeight="1" x14ac:dyDescent="0.2">
      <c r="A1187" s="962" t="s">
        <v>362</v>
      </c>
      <c r="B1187" s="1146">
        <v>37</v>
      </c>
      <c r="C1187" s="1146">
        <v>7</v>
      </c>
      <c r="D1187" s="1146">
        <v>0</v>
      </c>
      <c r="E1187" s="1146">
        <v>0</v>
      </c>
      <c r="F1187" s="1146">
        <v>3</v>
      </c>
      <c r="G1187" s="1146">
        <v>18</v>
      </c>
      <c r="H1187" s="1146">
        <v>16</v>
      </c>
      <c r="I1187" s="1146">
        <v>41</v>
      </c>
      <c r="J1187" s="1147">
        <v>320</v>
      </c>
      <c r="K1187" s="1147">
        <v>20</v>
      </c>
      <c r="L1187" s="1066" t="s">
        <v>988</v>
      </c>
      <c r="M1187" s="959">
        <v>1584000</v>
      </c>
      <c r="N1187" s="1837">
        <v>26424508.804680005</v>
      </c>
      <c r="O1187" s="1149">
        <v>15578788.034906223</v>
      </c>
      <c r="P1187" s="950"/>
      <c r="Q1187" s="950"/>
      <c r="R1187" s="950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237">
        <f>MAX(J1187/J1218)</f>
        <v>5.0042849189618606E-2</v>
      </c>
      <c r="AD1187" s="235">
        <f t="shared" si="220"/>
        <v>79267.87311635587</v>
      </c>
      <c r="AE1187" s="238">
        <f>MAX(I1187/I1218)</f>
        <v>6.5806368772470467E-2</v>
      </c>
      <c r="AF1187" s="235">
        <f t="shared" si="221"/>
        <v>1738900.9710321652</v>
      </c>
      <c r="AG1187" s="238">
        <f>MAX(H1187/H1218)</f>
        <v>3.9502271380604387E-2</v>
      </c>
      <c r="AH1187" s="235">
        <f t="shared" si="222"/>
        <v>615397.51273577812</v>
      </c>
    </row>
    <row r="1188" spans="1:34" ht="15" customHeight="1" x14ac:dyDescent="0.2">
      <c r="A1188" s="962" t="s">
        <v>363</v>
      </c>
      <c r="B1188" s="1146">
        <v>0</v>
      </c>
      <c r="C1188" s="1146">
        <v>0</v>
      </c>
      <c r="D1188" s="1146">
        <v>0</v>
      </c>
      <c r="E1188" s="1146">
        <v>0</v>
      </c>
      <c r="F1188" s="1146">
        <v>0</v>
      </c>
      <c r="G1188" s="1146">
        <v>0</v>
      </c>
      <c r="H1188" s="1146">
        <v>0</v>
      </c>
      <c r="I1188" s="1146">
        <v>0</v>
      </c>
      <c r="J1188" s="1147">
        <v>0</v>
      </c>
      <c r="K1188" s="1147">
        <v>0</v>
      </c>
      <c r="L1188" s="1148"/>
      <c r="M1188" s="959"/>
      <c r="N1188" s="959"/>
      <c r="O1188" s="1149"/>
      <c r="V1188" s="9"/>
      <c r="W1188" s="9"/>
      <c r="X1188" s="9"/>
      <c r="Y1188" s="9"/>
      <c r="Z1188" s="9"/>
      <c r="AA1188" s="9"/>
      <c r="AB1188" s="9"/>
      <c r="AC1188" s="237">
        <f>MAX(J1188/J1218)</f>
        <v>0</v>
      </c>
      <c r="AD1188" s="235">
        <f t="shared" si="220"/>
        <v>0</v>
      </c>
      <c r="AE1188" s="238">
        <f>MAX(I1188/I1218)</f>
        <v>0</v>
      </c>
      <c r="AF1188" s="235">
        <f t="shared" si="221"/>
        <v>0</v>
      </c>
      <c r="AG1188" s="238">
        <f>MAX(H1188/H1218)</f>
        <v>0</v>
      </c>
      <c r="AH1188" s="235">
        <f t="shared" si="222"/>
        <v>0</v>
      </c>
    </row>
    <row r="1189" spans="1:34" ht="15" customHeight="1" x14ac:dyDescent="0.2">
      <c r="A1189" s="962" t="s">
        <v>939</v>
      </c>
      <c r="B1189" s="1146">
        <v>2</v>
      </c>
      <c r="C1189" s="1146">
        <v>0</v>
      </c>
      <c r="D1189" s="1146">
        <v>0</v>
      </c>
      <c r="E1189" s="1146">
        <v>0</v>
      </c>
      <c r="F1189" s="1146">
        <v>0</v>
      </c>
      <c r="G1189" s="1146">
        <v>2</v>
      </c>
      <c r="H1189" s="1146">
        <v>0</v>
      </c>
      <c r="I1189" s="1146">
        <v>2</v>
      </c>
      <c r="J1189" s="1147">
        <v>0</v>
      </c>
      <c r="K1189" s="1147">
        <v>15</v>
      </c>
      <c r="L1189" s="1066" t="s">
        <v>988</v>
      </c>
      <c r="M1189" s="959">
        <v>1584000</v>
      </c>
      <c r="N1189" s="1837">
        <v>26424508.804680005</v>
      </c>
      <c r="O1189" s="1149">
        <v>15578788.034906223</v>
      </c>
      <c r="P1189" s="950"/>
      <c r="Q1189" s="950"/>
      <c r="R1189" s="950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237">
        <f>MAX(J1189/J1218)</f>
        <v>0</v>
      </c>
      <c r="AD1189" s="235">
        <f t="shared" si="220"/>
        <v>0</v>
      </c>
      <c r="AE1189" s="238">
        <f>MAX(I1189/I1218)</f>
        <v>3.2100667693888037E-3</v>
      </c>
      <c r="AF1189" s="235">
        <f t="shared" si="221"/>
        <v>84824.437611325135</v>
      </c>
      <c r="AG1189" s="238">
        <f>MAX(H1189/H1218)</f>
        <v>0</v>
      </c>
      <c r="AH1189" s="235">
        <f t="shared" si="222"/>
        <v>0</v>
      </c>
    </row>
    <row r="1190" spans="1:34" ht="15" customHeight="1" x14ac:dyDescent="0.2">
      <c r="A1190" s="962" t="s">
        <v>365</v>
      </c>
      <c r="B1190" s="1146">
        <v>0</v>
      </c>
      <c r="C1190" s="1146"/>
      <c r="D1190" s="1146"/>
      <c r="E1190" s="1146"/>
      <c r="F1190" s="1146"/>
      <c r="G1190" s="1146"/>
      <c r="H1190" s="1146">
        <v>0</v>
      </c>
      <c r="I1190" s="1146">
        <v>0</v>
      </c>
      <c r="J1190" s="1147">
        <v>0</v>
      </c>
      <c r="K1190" s="1147"/>
      <c r="L1190" s="1148"/>
      <c r="M1190" s="959"/>
      <c r="N1190" s="1533"/>
      <c r="O1190" s="1149"/>
      <c r="U1190" s="9"/>
      <c r="V1190" s="9"/>
      <c r="W1190" s="9"/>
      <c r="X1190" s="9"/>
      <c r="Y1190" s="9"/>
      <c r="Z1190" s="9"/>
      <c r="AA1190" s="9"/>
      <c r="AB1190" s="1966"/>
      <c r="AC1190" s="237">
        <f>MAX(J1190/J1218)</f>
        <v>0</v>
      </c>
      <c r="AD1190" s="235">
        <f t="shared" si="220"/>
        <v>0</v>
      </c>
      <c r="AE1190" s="238">
        <f>MAX(I1190/I1218)</f>
        <v>0</v>
      </c>
      <c r="AF1190" s="235">
        <f t="shared" si="221"/>
        <v>0</v>
      </c>
      <c r="AG1190" s="238">
        <f>MAX(H1190/H1218)</f>
        <v>0</v>
      </c>
      <c r="AH1190" s="235">
        <f t="shared" si="222"/>
        <v>0</v>
      </c>
    </row>
    <row r="1191" spans="1:34" ht="15" customHeight="1" x14ac:dyDescent="0.2">
      <c r="A1191" s="962" t="s">
        <v>366</v>
      </c>
      <c r="B1191" s="1146">
        <v>14</v>
      </c>
      <c r="C1191" s="1146">
        <v>4</v>
      </c>
      <c r="D1191" s="1146">
        <v>1</v>
      </c>
      <c r="E1191" s="1146">
        <v>1</v>
      </c>
      <c r="F1191" s="1146">
        <v>1</v>
      </c>
      <c r="G1191" s="1146">
        <v>10</v>
      </c>
      <c r="H1191" s="1146">
        <v>1</v>
      </c>
      <c r="I1191" s="1146">
        <v>16</v>
      </c>
      <c r="J1191" s="1147">
        <v>20</v>
      </c>
      <c r="K1191" s="1147">
        <v>20</v>
      </c>
      <c r="L1191" s="1066" t="s">
        <v>988</v>
      </c>
      <c r="M1191" s="959">
        <v>1584000</v>
      </c>
      <c r="N1191" s="1837">
        <v>26424508.804680005</v>
      </c>
      <c r="O1191" s="1149">
        <v>15578788.034906223</v>
      </c>
      <c r="P1191" s="950"/>
      <c r="Q1191" s="950"/>
      <c r="R1191" s="950"/>
      <c r="S1191" s="9"/>
      <c r="T1191" s="9"/>
      <c r="U1191" s="9"/>
      <c r="V1191" s="9"/>
      <c r="W1191" s="9"/>
      <c r="X1191" s="9"/>
      <c r="Y1191" s="9"/>
      <c r="Z1191" s="9"/>
      <c r="AA1191" s="9"/>
      <c r="AB1191" s="1966"/>
      <c r="AC1191" s="237">
        <f>MAX(J1191/J1218)</f>
        <v>3.1276780743511629E-3</v>
      </c>
      <c r="AD1191" s="235">
        <f t="shared" si="220"/>
        <v>4954.2420697722418</v>
      </c>
      <c r="AE1191" s="238">
        <f>MAX(I1191/I1218)</f>
        <v>2.5680534155110429E-2</v>
      </c>
      <c r="AF1191" s="235">
        <f t="shared" si="221"/>
        <v>678595.50089060108</v>
      </c>
      <c r="AG1191" s="238">
        <f>MAX(H1191/H1218)</f>
        <v>2.4688919612877742E-3</v>
      </c>
      <c r="AH1191" s="235">
        <f t="shared" si="222"/>
        <v>38462.344545986132</v>
      </c>
    </row>
    <row r="1192" spans="1:34" ht="15" customHeight="1" x14ac:dyDescent="0.2">
      <c r="A1192" s="962" t="s">
        <v>367</v>
      </c>
      <c r="B1192" s="956">
        <v>6.5</v>
      </c>
      <c r="C1192" s="1146"/>
      <c r="D1192" s="1146"/>
      <c r="E1192" s="1146"/>
      <c r="F1192" s="1146"/>
      <c r="G1192" s="1146"/>
      <c r="H1192" s="1146">
        <v>6.5</v>
      </c>
      <c r="I1192" s="1146">
        <v>6.5</v>
      </c>
      <c r="J1192" s="1147">
        <v>97.5</v>
      </c>
      <c r="K1192" s="1147">
        <v>15</v>
      </c>
      <c r="L1192" s="1066" t="s">
        <v>988</v>
      </c>
      <c r="M1192" s="959">
        <v>1584000</v>
      </c>
      <c r="N1192" s="1837">
        <v>26424508.804680005</v>
      </c>
      <c r="O1192" s="1149">
        <v>15578788.034906223</v>
      </c>
      <c r="P1192" s="950"/>
      <c r="Q1192" s="950"/>
      <c r="R1192" s="950"/>
      <c r="S1192" s="9"/>
      <c r="T1192" s="9"/>
      <c r="U1192" s="9"/>
      <c r="V1192" s="950"/>
      <c r="W1192" s="9"/>
      <c r="X1192" s="9"/>
      <c r="Y1192" s="9"/>
      <c r="Z1192" s="9"/>
      <c r="AA1192" s="9"/>
      <c r="AB1192" s="1966"/>
      <c r="AC1192" s="237">
        <f>MAX(J1192/J1218)</f>
        <v>1.5247430612461919E-2</v>
      </c>
      <c r="AD1192" s="235">
        <f t="shared" si="220"/>
        <v>24151.930090139678</v>
      </c>
      <c r="AE1192" s="238">
        <f>MAX(I1192/I1218)</f>
        <v>1.0432717000513611E-2</v>
      </c>
      <c r="AF1192" s="235">
        <f t="shared" si="221"/>
        <v>275679.42223680671</v>
      </c>
      <c r="AG1192" s="238">
        <f>MAX(H1192/H1218)</f>
        <v>1.6047797748370531E-2</v>
      </c>
      <c r="AH1192" s="235">
        <f t="shared" si="222"/>
        <v>250005.23954890986</v>
      </c>
    </row>
    <row r="1193" spans="1:34" ht="15" customHeight="1" x14ac:dyDescent="0.2">
      <c r="A1193" s="434" t="s">
        <v>940</v>
      </c>
      <c r="B1193" s="1002">
        <v>55.75</v>
      </c>
      <c r="C1193" s="1002">
        <v>5</v>
      </c>
      <c r="D1193" s="1002">
        <v>0</v>
      </c>
      <c r="E1193" s="1002">
        <v>1</v>
      </c>
      <c r="F1193" s="1002">
        <v>0</v>
      </c>
      <c r="G1193" s="1002">
        <v>9</v>
      </c>
      <c r="H1193" s="1002">
        <v>45.75</v>
      </c>
      <c r="I1193" s="1002">
        <v>59.75</v>
      </c>
      <c r="J1193" s="1150">
        <v>595</v>
      </c>
      <c r="K1193" s="1136">
        <v>13.005464480874316</v>
      </c>
      <c r="L1193" s="1152"/>
      <c r="M1193" s="996"/>
      <c r="N1193" s="435"/>
      <c r="O1193" s="436"/>
      <c r="V1193" s="9"/>
      <c r="W1193" s="9"/>
      <c r="X1193" s="9"/>
      <c r="Y1193" s="9"/>
      <c r="Z1193" s="9"/>
      <c r="AA1193" s="9"/>
      <c r="AB1193" s="1966"/>
      <c r="AC1193" s="1157"/>
      <c r="AD1193" s="1156"/>
      <c r="AE1193" s="1158"/>
      <c r="AF1193" s="1156"/>
      <c r="AG1193" s="1158"/>
      <c r="AH1193" s="1156"/>
    </row>
    <row r="1194" spans="1:34" ht="15" customHeight="1" x14ac:dyDescent="0.2">
      <c r="A1194" s="962" t="s">
        <v>369</v>
      </c>
      <c r="B1194" s="956">
        <v>32.75</v>
      </c>
      <c r="C1194" s="1146">
        <v>2</v>
      </c>
      <c r="D1194" s="1146">
        <v>0</v>
      </c>
      <c r="E1194" s="1146">
        <v>1</v>
      </c>
      <c r="F1194" s="1146">
        <v>0</v>
      </c>
      <c r="G1194" s="1146">
        <v>4</v>
      </c>
      <c r="H1194" s="1146">
        <v>27.75</v>
      </c>
      <c r="I1194" s="1146">
        <v>33.75</v>
      </c>
      <c r="J1194" s="1147">
        <v>333</v>
      </c>
      <c r="K1194" s="1147">
        <v>12</v>
      </c>
      <c r="L1194" s="1066" t="s">
        <v>988</v>
      </c>
      <c r="M1194" s="959">
        <v>1584000</v>
      </c>
      <c r="N1194" s="1837">
        <v>26424508.804680005</v>
      </c>
      <c r="O1194" s="1149">
        <v>15578788.034906223</v>
      </c>
      <c r="P1194" s="950"/>
      <c r="Q1194" s="950"/>
      <c r="R1194" s="950"/>
      <c r="S1194" s="9"/>
      <c r="T1194" s="9"/>
      <c r="U1194" s="9"/>
      <c r="V1194" s="9"/>
      <c r="W1194" s="9"/>
      <c r="X1194" s="9"/>
      <c r="Y1194" s="9"/>
      <c r="Z1194" s="9"/>
      <c r="AA1194" s="9"/>
      <c r="AB1194" s="1966"/>
      <c r="AC1194" s="237">
        <f>MAX(J1194/J1218)</f>
        <v>5.2075839937946865E-2</v>
      </c>
      <c r="AD1194" s="235">
        <f>MAX(M1194*AC1194)</f>
        <v>82488.130461707828</v>
      </c>
      <c r="AE1194" s="238">
        <f>MAX(I1194/I1218)</f>
        <v>5.4169876733436061E-2</v>
      </c>
      <c r="AF1194" s="235">
        <f>MAX(N1194*AE1194)</f>
        <v>1431412.3846911117</v>
      </c>
      <c r="AG1194" s="238">
        <f>MAX(H1194/H1218)</f>
        <v>6.8511751925735734E-2</v>
      </c>
      <c r="AH1194" s="235">
        <f>MAX(O1194*AG1194)</f>
        <v>1067330.0611511152</v>
      </c>
    </row>
    <row r="1195" spans="1:34" ht="15" customHeight="1" x14ac:dyDescent="0.2">
      <c r="A1195" s="962" t="s">
        <v>370</v>
      </c>
      <c r="B1195" s="1498">
        <v>0</v>
      </c>
      <c r="C1195" s="1146">
        <v>0</v>
      </c>
      <c r="D1195" s="1146">
        <v>0</v>
      </c>
      <c r="E1195" s="1146">
        <v>0</v>
      </c>
      <c r="F1195" s="1146">
        <v>0</v>
      </c>
      <c r="G1195" s="1146">
        <v>0</v>
      </c>
      <c r="H1195" s="1146">
        <v>0</v>
      </c>
      <c r="I1195" s="1146">
        <v>0</v>
      </c>
      <c r="J1195" s="1147">
        <v>0</v>
      </c>
      <c r="K1195" s="1147">
        <v>0</v>
      </c>
      <c r="L1195" s="1148"/>
      <c r="M1195" s="959"/>
      <c r="N1195" s="1533"/>
      <c r="O1195" s="1534"/>
      <c r="V1195" s="9"/>
      <c r="W1195" s="9"/>
      <c r="X1195" s="9"/>
      <c r="Y1195" s="9"/>
      <c r="Z1195" s="9"/>
      <c r="AA1195" s="9"/>
      <c r="AB1195" s="1966"/>
      <c r="AC1195" s="237">
        <f>MAX(J1195/J1218)</f>
        <v>0</v>
      </c>
      <c r="AD1195" s="235">
        <f>MAX(M1195*AC1195)</f>
        <v>0</v>
      </c>
      <c r="AE1195" s="238">
        <f>MAX(I1195/I1218)</f>
        <v>0</v>
      </c>
      <c r="AF1195" s="235">
        <f>MAX(N1195*AE1195)</f>
        <v>0</v>
      </c>
      <c r="AG1195" s="238">
        <f>MAX(H1195/H1218)</f>
        <v>0</v>
      </c>
      <c r="AH1195" s="235">
        <f>MAX(O1195*AG1195)</f>
        <v>0</v>
      </c>
    </row>
    <row r="1196" spans="1:34" ht="15" customHeight="1" x14ac:dyDescent="0.2">
      <c r="A1196" s="962" t="s">
        <v>371</v>
      </c>
      <c r="B1196" s="1498">
        <v>0</v>
      </c>
      <c r="C1196" s="1146">
        <v>0</v>
      </c>
      <c r="D1196" s="1146">
        <v>0</v>
      </c>
      <c r="E1196" s="1146">
        <v>0</v>
      </c>
      <c r="F1196" s="1146">
        <v>0</v>
      </c>
      <c r="G1196" s="1146">
        <v>0</v>
      </c>
      <c r="H1196" s="1146">
        <v>0</v>
      </c>
      <c r="I1196" s="1146">
        <v>0</v>
      </c>
      <c r="J1196" s="1147">
        <v>0</v>
      </c>
      <c r="K1196" s="1147">
        <v>0</v>
      </c>
      <c r="L1196" s="1148"/>
      <c r="M1196" s="959"/>
      <c r="N1196" s="1533"/>
      <c r="O1196" s="1534"/>
      <c r="V1196" s="9"/>
      <c r="W1196" s="9"/>
      <c r="X1196" s="9"/>
      <c r="Y1196" s="9"/>
      <c r="Z1196" s="9"/>
      <c r="AA1196" s="9"/>
      <c r="AB1196" s="1966"/>
      <c r="AC1196" s="237">
        <f>MAX(J1196/J1218)</f>
        <v>0</v>
      </c>
      <c r="AD1196" s="235">
        <f>MAX(M1196*AC1196)</f>
        <v>0</v>
      </c>
      <c r="AE1196" s="238">
        <f>MAX(I1196/I1218)</f>
        <v>0</v>
      </c>
      <c r="AF1196" s="235">
        <f>MAX(N1196*AE1196)</f>
        <v>0</v>
      </c>
      <c r="AG1196" s="238">
        <f>MAX(H1196/H1218)</f>
        <v>0</v>
      </c>
      <c r="AH1196" s="235">
        <f>MAX(O1196*AG1196)</f>
        <v>0</v>
      </c>
    </row>
    <row r="1197" spans="1:34" ht="15" customHeight="1" x14ac:dyDescent="0.2">
      <c r="A1197" s="962" t="s">
        <v>372</v>
      </c>
      <c r="B1197" s="1498">
        <v>7</v>
      </c>
      <c r="C1197" s="1146">
        <v>0</v>
      </c>
      <c r="D1197" s="1146">
        <v>0</v>
      </c>
      <c r="E1197" s="1146">
        <v>0</v>
      </c>
      <c r="F1197" s="1146">
        <v>0</v>
      </c>
      <c r="G1197" s="1146">
        <v>5</v>
      </c>
      <c r="H1197" s="1146">
        <v>2</v>
      </c>
      <c r="I1197" s="1146">
        <v>7</v>
      </c>
      <c r="J1197" s="1147">
        <v>22</v>
      </c>
      <c r="K1197" s="1147">
        <v>11</v>
      </c>
      <c r="L1197" s="1066" t="s">
        <v>988</v>
      </c>
      <c r="M1197" s="959">
        <v>1584000</v>
      </c>
      <c r="N1197" s="1837">
        <v>26424508.804680005</v>
      </c>
      <c r="O1197" s="1149">
        <v>15578788.034906223</v>
      </c>
      <c r="V1197" s="9"/>
      <c r="W1197" s="9"/>
      <c r="X1197" s="9"/>
      <c r="Y1197" s="9"/>
      <c r="Z1197" s="9"/>
      <c r="AA1197" s="9"/>
      <c r="AB1197" s="1966"/>
      <c r="AC1197" s="237">
        <f>MAX(J1197/J1218)</f>
        <v>3.4404458817862793E-3</v>
      </c>
      <c r="AD1197" s="235">
        <f>MAX(M1197*AC1197)</f>
        <v>5449.6662767494663</v>
      </c>
      <c r="AE1197" s="238">
        <f>MAX(I1197/I1218)</f>
        <v>1.1235233692860813E-2</v>
      </c>
      <c r="AF1197" s="235">
        <f>MAX(N1197*AE1197)</f>
        <v>296885.53163963801</v>
      </c>
      <c r="AG1197" s="238">
        <f>MAX(H1197/H1218)</f>
        <v>4.9377839225755484E-3</v>
      </c>
      <c r="AH1197" s="235">
        <f>MAX(O1197*AG1197)</f>
        <v>76924.689091972265</v>
      </c>
    </row>
    <row r="1198" spans="1:34" ht="15" customHeight="1" x14ac:dyDescent="0.2">
      <c r="A1198" s="962" t="s">
        <v>373</v>
      </c>
      <c r="B1198" s="957">
        <v>16</v>
      </c>
      <c r="C1198" s="1146">
        <v>3</v>
      </c>
      <c r="D1198" s="1146">
        <v>0</v>
      </c>
      <c r="E1198" s="1146">
        <v>0</v>
      </c>
      <c r="F1198" s="1146">
        <v>0</v>
      </c>
      <c r="G1198" s="1146">
        <v>0</v>
      </c>
      <c r="H1198" s="1146">
        <v>16</v>
      </c>
      <c r="I1198" s="1146">
        <v>19</v>
      </c>
      <c r="J1198" s="1147">
        <v>240</v>
      </c>
      <c r="K1198" s="1147">
        <v>15</v>
      </c>
      <c r="L1198" s="1066" t="s">
        <v>988</v>
      </c>
      <c r="M1198" s="959">
        <v>1584000</v>
      </c>
      <c r="N1198" s="1837">
        <v>26424508.804680005</v>
      </c>
      <c r="O1198" s="1149">
        <v>15578788.034906223</v>
      </c>
      <c r="P1198" s="9"/>
      <c r="Q1198" s="2005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1966"/>
      <c r="AC1198" s="237">
        <f>MAX(J1198/J1218)</f>
        <v>3.7532136892213956E-2</v>
      </c>
      <c r="AD1198" s="235">
        <f>MAX(M1198*AC1198)</f>
        <v>59450.904837266906</v>
      </c>
      <c r="AE1198" s="238">
        <f>MAX(I1198/I1218)</f>
        <v>3.0495634309193633E-2</v>
      </c>
      <c r="AF1198" s="235">
        <f>MAX(N1198*AE1198)</f>
        <v>805832.15730758884</v>
      </c>
      <c r="AG1198" s="238">
        <f>MAX(H1198/H1218)</f>
        <v>3.9502271380604387E-2</v>
      </c>
      <c r="AH1198" s="235">
        <f>MAX(O1198*AG1198)</f>
        <v>615397.51273577812</v>
      </c>
    </row>
    <row r="1199" spans="1:34" ht="15" customHeight="1" x14ac:dyDescent="0.2">
      <c r="A1199" s="1154" t="s">
        <v>374</v>
      </c>
      <c r="B1199" s="1002">
        <v>200.79</v>
      </c>
      <c r="C1199" s="1002">
        <v>34</v>
      </c>
      <c r="D1199" s="1002">
        <v>5</v>
      </c>
      <c r="E1199" s="1002">
        <v>7</v>
      </c>
      <c r="F1199" s="1002">
        <v>11</v>
      </c>
      <c r="G1199" s="1002">
        <v>40</v>
      </c>
      <c r="H1199" s="1002">
        <v>137.79</v>
      </c>
      <c r="I1199" s="1002">
        <v>216.79</v>
      </c>
      <c r="J1199" s="1150">
        <v>2125.02</v>
      </c>
      <c r="K1199" s="1136">
        <v>15.422164162856522</v>
      </c>
      <c r="L1199" s="1152"/>
      <c r="M1199" s="996"/>
      <c r="N1199" s="435"/>
      <c r="O1199" s="436"/>
      <c r="V1199" s="9"/>
      <c r="W1199" s="9"/>
      <c r="X1199" s="9"/>
      <c r="Y1199" s="9"/>
      <c r="Z1199" s="9"/>
      <c r="AA1199" s="9"/>
      <c r="AB1199" s="1966"/>
      <c r="AC1199" s="1157"/>
      <c r="AD1199" s="1156"/>
      <c r="AE1199" s="1158"/>
      <c r="AF1199" s="1156"/>
      <c r="AG1199" s="1158"/>
      <c r="AH1199" s="1156"/>
    </row>
    <row r="1200" spans="1:34" ht="15" customHeight="1" x14ac:dyDescent="0.2">
      <c r="A1200" s="962" t="s">
        <v>375</v>
      </c>
      <c r="B1200" s="957">
        <v>42</v>
      </c>
      <c r="C1200" s="1146">
        <v>5</v>
      </c>
      <c r="D1200" s="1146">
        <v>2</v>
      </c>
      <c r="E1200" s="1146">
        <v>2</v>
      </c>
      <c r="F1200" s="1146">
        <v>6</v>
      </c>
      <c r="G1200" s="1146">
        <v>5</v>
      </c>
      <c r="H1200" s="1146">
        <v>27</v>
      </c>
      <c r="I1200" s="1146">
        <v>39</v>
      </c>
      <c r="J1200" s="1147">
        <v>513</v>
      </c>
      <c r="K1200" s="1147">
        <v>19</v>
      </c>
      <c r="L1200" s="1066" t="s">
        <v>988</v>
      </c>
      <c r="M1200" s="959">
        <v>1584000</v>
      </c>
      <c r="N1200" s="1837">
        <v>26424508.804680005</v>
      </c>
      <c r="O1200" s="1149">
        <v>15578788.034906223</v>
      </c>
      <c r="P1200" s="950"/>
      <c r="Q1200" s="950"/>
      <c r="R1200" s="950"/>
      <c r="S1200" s="9"/>
      <c r="T1200" s="9"/>
      <c r="U1200" s="950"/>
      <c r="V1200" s="9"/>
      <c r="W1200" s="9"/>
      <c r="X1200" s="9"/>
      <c r="Y1200" s="9"/>
      <c r="Z1200" s="9"/>
      <c r="AA1200" s="9"/>
      <c r="AB1200" s="1966"/>
      <c r="AC1200" s="237">
        <f>MAX(J1200/J1218)</f>
        <v>8.022494260710733E-2</v>
      </c>
      <c r="AD1200" s="235">
        <f t="shared" ref="AD1200:AD1207" si="223">MAX(M1200*AC1200)</f>
        <v>127076.30908965801</v>
      </c>
      <c r="AE1200" s="238">
        <f>MAX(I1200/I1218)</f>
        <v>6.2596302003081666E-2</v>
      </c>
      <c r="AF1200" s="235">
        <f t="shared" ref="AF1200:AF1207" si="224">MAX(N1200*AE1200)</f>
        <v>1654076.53342084</v>
      </c>
      <c r="AG1200" s="238">
        <f>MAX(H1200/H1218)</f>
        <v>6.6660082954769911E-2</v>
      </c>
      <c r="AH1200" s="235">
        <f t="shared" ref="AH1200:AH1207" si="225">MAX(O1200*AG1200)</f>
        <v>1038483.3027416258</v>
      </c>
    </row>
    <row r="1201" spans="1:34" ht="15" customHeight="1" x14ac:dyDescent="0.2">
      <c r="A1201" s="962" t="s">
        <v>376</v>
      </c>
      <c r="B1201" s="957">
        <v>6.19</v>
      </c>
      <c r="C1201" s="1146">
        <v>10</v>
      </c>
      <c r="D1201" s="1146">
        <v>0</v>
      </c>
      <c r="E1201" s="1146">
        <v>0</v>
      </c>
      <c r="F1201" s="1146">
        <v>0</v>
      </c>
      <c r="G1201" s="1146">
        <v>0</v>
      </c>
      <c r="H1201" s="1146">
        <v>6.1900000000000013</v>
      </c>
      <c r="I1201" s="1146">
        <v>16.190000000000001</v>
      </c>
      <c r="J1201" s="1147">
        <v>111.42000000000002</v>
      </c>
      <c r="K1201" s="1147">
        <v>18</v>
      </c>
      <c r="L1201" s="1066" t="s">
        <v>988</v>
      </c>
      <c r="M1201" s="959">
        <v>1584000</v>
      </c>
      <c r="N1201" s="1837">
        <v>26424508.804680005</v>
      </c>
      <c r="O1201" s="1149">
        <v>15578788.034906223</v>
      </c>
      <c r="P1201" s="950"/>
      <c r="Q1201" s="950"/>
      <c r="R1201" s="950"/>
      <c r="S1201" s="950"/>
      <c r="T1201" s="950"/>
      <c r="U1201" s="9"/>
      <c r="V1201" s="9"/>
      <c r="W1201" s="9"/>
      <c r="X1201" s="9"/>
      <c r="Y1201" s="9"/>
      <c r="Z1201" s="9"/>
      <c r="AA1201" s="9"/>
      <c r="AB1201" s="1966"/>
      <c r="AC1201" s="237">
        <f>MAX(J1201/J1218)</f>
        <v>1.7424294552210333E-2</v>
      </c>
      <c r="AD1201" s="235">
        <f t="shared" si="223"/>
        <v>27600.082570701168</v>
      </c>
      <c r="AE1201" s="238">
        <f>MAX(I1201/I1218)</f>
        <v>2.5985490498202365E-2</v>
      </c>
      <c r="AF1201" s="235">
        <f t="shared" si="224"/>
        <v>686653.82246367703</v>
      </c>
      <c r="AG1201" s="238">
        <f>MAX(H1201/H1218)</f>
        <v>1.5282441240371326E-2</v>
      </c>
      <c r="AH1201" s="235">
        <f t="shared" si="225"/>
        <v>238081.91273965425</v>
      </c>
    </row>
    <row r="1202" spans="1:34" ht="15" customHeight="1" x14ac:dyDescent="0.2">
      <c r="A1202" s="962" t="s">
        <v>377</v>
      </c>
      <c r="B1202" s="957">
        <v>18</v>
      </c>
      <c r="C1202" s="1146"/>
      <c r="D1202" s="1146"/>
      <c r="E1202" s="1146"/>
      <c r="F1202" s="1146"/>
      <c r="G1202" s="1146">
        <v>5</v>
      </c>
      <c r="H1202" s="1146">
        <v>13</v>
      </c>
      <c r="I1202" s="1146">
        <v>18</v>
      </c>
      <c r="J1202" s="1147">
        <v>221</v>
      </c>
      <c r="K1202" s="1147">
        <v>17</v>
      </c>
      <c r="L1202" s="1066" t="s">
        <v>988</v>
      </c>
      <c r="M1202" s="959">
        <v>1584000</v>
      </c>
      <c r="N1202" s="1837">
        <v>26424508.804680005</v>
      </c>
      <c r="O1202" s="1149">
        <v>15578788.034906223</v>
      </c>
      <c r="P1202" s="950"/>
      <c r="Q1202" s="950"/>
      <c r="R1202" s="950"/>
      <c r="S1202" s="9"/>
      <c r="T1202" s="9"/>
      <c r="U1202" s="9"/>
      <c r="V1202" s="9"/>
      <c r="W1202" s="9"/>
      <c r="X1202" s="9"/>
      <c r="Y1202" s="9"/>
      <c r="Z1202" s="9"/>
      <c r="AA1202" s="9"/>
      <c r="AB1202" s="1966"/>
      <c r="AC1202" s="237">
        <f>MAX(J1202/J1218)</f>
        <v>3.4560842721580352E-2</v>
      </c>
      <c r="AD1202" s="235">
        <f t="shared" si="223"/>
        <v>54744.37487098328</v>
      </c>
      <c r="AE1202" s="238">
        <f>MAX(I1202/I1218)</f>
        <v>2.889060092449923E-2</v>
      </c>
      <c r="AF1202" s="235">
        <f t="shared" si="224"/>
        <v>763419.93850192614</v>
      </c>
      <c r="AG1202" s="238">
        <f>MAX(H1202/H1218)</f>
        <v>3.2095595496741063E-2</v>
      </c>
      <c r="AH1202" s="235">
        <f t="shared" si="225"/>
        <v>500010.47909781971</v>
      </c>
    </row>
    <row r="1203" spans="1:34" ht="15" customHeight="1" x14ac:dyDescent="0.2">
      <c r="A1203" s="962" t="s">
        <v>378</v>
      </c>
      <c r="B1203" s="957">
        <v>15</v>
      </c>
      <c r="C1203" s="1146">
        <v>0</v>
      </c>
      <c r="D1203" s="1146">
        <v>0</v>
      </c>
      <c r="E1203" s="1146">
        <v>0</v>
      </c>
      <c r="F1203" s="1146">
        <v>0</v>
      </c>
      <c r="G1203" s="1146">
        <v>0</v>
      </c>
      <c r="H1203" s="1146">
        <v>15</v>
      </c>
      <c r="I1203" s="1146">
        <v>15</v>
      </c>
      <c r="J1203" s="1147">
        <v>225</v>
      </c>
      <c r="K1203" s="1147">
        <v>15</v>
      </c>
      <c r="L1203" s="1066" t="s">
        <v>988</v>
      </c>
      <c r="M1203" s="959">
        <v>1584000</v>
      </c>
      <c r="N1203" s="1837">
        <v>26424508.804680005</v>
      </c>
      <c r="O1203" s="1149">
        <v>15578788.034906223</v>
      </c>
      <c r="P1203" s="950"/>
      <c r="Q1203" s="950"/>
      <c r="R1203" s="950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237">
        <f>MAX(J1203/J1218)</f>
        <v>3.518637833645058E-2</v>
      </c>
      <c r="AD1203" s="235">
        <f t="shared" si="223"/>
        <v>55735.223284937718</v>
      </c>
      <c r="AE1203" s="238">
        <f>MAX(I1203/I1218)</f>
        <v>2.4075500770416026E-2</v>
      </c>
      <c r="AF1203" s="235">
        <f t="shared" si="224"/>
        <v>636183.28208493849</v>
      </c>
      <c r="AG1203" s="238">
        <f>MAX(H1203/H1218)</f>
        <v>3.7033379419316614E-2</v>
      </c>
      <c r="AH1203" s="235">
        <f t="shared" si="225"/>
        <v>576935.16818979208</v>
      </c>
    </row>
    <row r="1204" spans="1:34" ht="15" customHeight="1" x14ac:dyDescent="0.2">
      <c r="A1204" s="962" t="s">
        <v>379</v>
      </c>
      <c r="B1204" s="957">
        <v>20</v>
      </c>
      <c r="C1204" s="1146">
        <v>3</v>
      </c>
      <c r="D1204" s="1146"/>
      <c r="E1204" s="1146"/>
      <c r="F1204" s="1146"/>
      <c r="G1204" s="1146">
        <v>6</v>
      </c>
      <c r="H1204" s="1146">
        <v>14</v>
      </c>
      <c r="I1204" s="1146">
        <v>23</v>
      </c>
      <c r="J1204" s="1147">
        <v>196</v>
      </c>
      <c r="K1204" s="1147">
        <v>14</v>
      </c>
      <c r="L1204" s="1066" t="s">
        <v>988</v>
      </c>
      <c r="M1204" s="959">
        <v>1584000</v>
      </c>
      <c r="N1204" s="1837">
        <v>26424508.804680005</v>
      </c>
      <c r="O1204" s="1149">
        <v>15578788.034906223</v>
      </c>
      <c r="P1204" s="950"/>
      <c r="Q1204" s="950"/>
      <c r="R1204" s="950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237">
        <f>MAX(J1204/J1218)</f>
        <v>3.0651245128641397E-2</v>
      </c>
      <c r="AD1204" s="235">
        <f t="shared" si="223"/>
        <v>48551.572283767971</v>
      </c>
      <c r="AE1204" s="238">
        <f>MAX(I1204/I1218)</f>
        <v>3.6915767847971237E-2</v>
      </c>
      <c r="AF1204" s="235">
        <f t="shared" si="224"/>
        <v>975481.03253023897</v>
      </c>
      <c r="AG1204" s="238">
        <f>MAX(H1204/H1218)</f>
        <v>3.4564487458028842E-2</v>
      </c>
      <c r="AH1204" s="235">
        <f t="shared" si="225"/>
        <v>538472.82364380592</v>
      </c>
    </row>
    <row r="1205" spans="1:34" ht="15" customHeight="1" x14ac:dyDescent="0.2">
      <c r="A1205" s="962" t="s">
        <v>380</v>
      </c>
      <c r="B1205" s="957">
        <v>7.5</v>
      </c>
      <c r="C1205" s="1146">
        <v>2</v>
      </c>
      <c r="D1205" s="1146">
        <v>0</v>
      </c>
      <c r="E1205" s="1146">
        <v>0</v>
      </c>
      <c r="F1205" s="1146">
        <v>2</v>
      </c>
      <c r="G1205" s="1146">
        <v>0</v>
      </c>
      <c r="H1205" s="1146">
        <v>5.5</v>
      </c>
      <c r="I1205" s="1146">
        <v>7.5</v>
      </c>
      <c r="J1205" s="1147">
        <v>110</v>
      </c>
      <c r="K1205" s="1147">
        <v>20</v>
      </c>
      <c r="L1205" s="1066" t="s">
        <v>988</v>
      </c>
      <c r="M1205" s="959">
        <v>1584000</v>
      </c>
      <c r="N1205" s="1837">
        <v>26424508.804680005</v>
      </c>
      <c r="O1205" s="1149">
        <v>15578788.034906223</v>
      </c>
      <c r="P1205" s="950"/>
      <c r="Q1205" s="950"/>
      <c r="R1205" s="950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237">
        <f>MAX(J1205/J1218)</f>
        <v>1.7202229408931395E-2</v>
      </c>
      <c r="AD1205" s="235">
        <f t="shared" si="223"/>
        <v>27248.331383747329</v>
      </c>
      <c r="AE1205" s="238">
        <f>MAX(I1205/I1218)</f>
        <v>1.2037750385208013E-2</v>
      </c>
      <c r="AF1205" s="235">
        <f t="shared" si="224"/>
        <v>318091.64104246924</v>
      </c>
      <c r="AG1205" s="238">
        <f>MAX(H1205/H1218)</f>
        <v>1.3578905787082759E-2</v>
      </c>
      <c r="AH1205" s="235">
        <f t="shared" si="225"/>
        <v>211542.89500292376</v>
      </c>
    </row>
    <row r="1206" spans="1:34" ht="15" customHeight="1" x14ac:dyDescent="0.2">
      <c r="A1206" s="962" t="s">
        <v>381</v>
      </c>
      <c r="B1206" s="957">
        <v>75</v>
      </c>
      <c r="C1206" s="1146">
        <v>6</v>
      </c>
      <c r="D1206" s="1146"/>
      <c r="E1206" s="1146"/>
      <c r="F1206" s="1146"/>
      <c r="G1206" s="1146">
        <v>20</v>
      </c>
      <c r="H1206" s="1146">
        <v>55</v>
      </c>
      <c r="I1206" s="1146">
        <v>81</v>
      </c>
      <c r="J1206" s="1147">
        <v>715</v>
      </c>
      <c r="K1206" s="1147">
        <v>13</v>
      </c>
      <c r="L1206" s="1066" t="s">
        <v>988</v>
      </c>
      <c r="M1206" s="959">
        <v>1584000</v>
      </c>
      <c r="N1206" s="1837">
        <v>26424508.804680005</v>
      </c>
      <c r="O1206" s="1149">
        <v>15578788.034906223</v>
      </c>
      <c r="P1206" s="950"/>
      <c r="Q1206" s="950"/>
      <c r="R1206" s="950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237">
        <f>MAX(J1206/J1218)</f>
        <v>0.11181449115805407</v>
      </c>
      <c r="AD1206" s="235">
        <f t="shared" si="223"/>
        <v>177114.15399435765</v>
      </c>
      <c r="AE1206" s="238">
        <f>MAX(I1206/I1218)</f>
        <v>0.13000770416024654</v>
      </c>
      <c r="AF1206" s="235">
        <f t="shared" si="224"/>
        <v>3435389.7232586681</v>
      </c>
      <c r="AG1206" s="238">
        <f>MAX(H1206/H1218)</f>
        <v>0.1357890578708276</v>
      </c>
      <c r="AH1206" s="235">
        <f t="shared" si="225"/>
        <v>2115428.9500292377</v>
      </c>
    </row>
    <row r="1207" spans="1:34" ht="15" customHeight="1" x14ac:dyDescent="0.2">
      <c r="A1207" s="962" t="s">
        <v>382</v>
      </c>
      <c r="B1207" s="957">
        <v>17.100000000000001</v>
      </c>
      <c r="C1207" s="1146">
        <v>8</v>
      </c>
      <c r="D1207" s="1146">
        <v>3</v>
      </c>
      <c r="E1207" s="1146">
        <v>5</v>
      </c>
      <c r="F1207" s="1146">
        <v>3</v>
      </c>
      <c r="G1207" s="1146">
        <v>4</v>
      </c>
      <c r="H1207" s="1146">
        <v>2.1000000000000014</v>
      </c>
      <c r="I1207" s="1146">
        <v>17.100000000000001</v>
      </c>
      <c r="J1207" s="1147">
        <v>33.600000000000023</v>
      </c>
      <c r="K1207" s="1147">
        <v>16</v>
      </c>
      <c r="L1207" s="1066" t="s">
        <v>988</v>
      </c>
      <c r="M1207" s="959">
        <v>1584000</v>
      </c>
      <c r="N1207" s="1837">
        <v>26424508.804680005</v>
      </c>
      <c r="O1207" s="1149">
        <v>15578788.034906223</v>
      </c>
      <c r="P1207" s="950"/>
      <c r="Q1207" s="950"/>
      <c r="R1207" s="950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237">
        <f>MAX(J1207/J1218)</f>
        <v>5.2544991649099574E-3</v>
      </c>
      <c r="AD1207" s="235">
        <f t="shared" si="223"/>
        <v>8323.1266772173731</v>
      </c>
      <c r="AE1207" s="238">
        <f>MAX(I1207/I1218)</f>
        <v>2.7446070878274272E-2</v>
      </c>
      <c r="AF1207" s="235">
        <f t="shared" si="224"/>
        <v>725248.94157683</v>
      </c>
      <c r="AG1207" s="238">
        <f>MAX(H1207/H1218)</f>
        <v>5.1846731187043292E-3</v>
      </c>
      <c r="AH1207" s="235">
        <f t="shared" si="225"/>
        <v>80770.923546570935</v>
      </c>
    </row>
    <row r="1208" spans="1:34" ht="15" customHeight="1" x14ac:dyDescent="0.2">
      <c r="A1208" s="1154" t="s">
        <v>383</v>
      </c>
      <c r="B1208" s="1002">
        <v>57</v>
      </c>
      <c r="C1208" s="1002">
        <v>14</v>
      </c>
      <c r="D1208" s="1002">
        <v>2</v>
      </c>
      <c r="E1208" s="1002">
        <v>1</v>
      </c>
      <c r="F1208" s="1002">
        <v>1</v>
      </c>
      <c r="G1208" s="1002">
        <v>13</v>
      </c>
      <c r="H1208" s="1002">
        <v>40</v>
      </c>
      <c r="I1208" s="1002">
        <v>69</v>
      </c>
      <c r="J1208" s="1150">
        <v>567</v>
      </c>
      <c r="K1208" s="1136">
        <v>14.175000000000001</v>
      </c>
      <c r="L1208" s="1152"/>
      <c r="M1208" s="996"/>
      <c r="N1208" s="996"/>
      <c r="O1208" s="436"/>
      <c r="V1208" s="9"/>
      <c r="W1208" s="9"/>
      <c r="X1208" s="9"/>
      <c r="Y1208" s="9"/>
      <c r="Z1208" s="9"/>
      <c r="AA1208" s="9"/>
      <c r="AB1208" s="9"/>
      <c r="AC1208" s="1157"/>
      <c r="AD1208" s="1156"/>
      <c r="AE1208" s="1158"/>
      <c r="AF1208" s="1156"/>
      <c r="AG1208" s="1158"/>
      <c r="AH1208" s="1156"/>
    </row>
    <row r="1209" spans="1:34" ht="15" customHeight="1" x14ac:dyDescent="0.2">
      <c r="A1209" s="962" t="s">
        <v>384</v>
      </c>
      <c r="B1209" s="957">
        <v>28</v>
      </c>
      <c r="C1209" s="1146">
        <v>10</v>
      </c>
      <c r="D1209" s="1146">
        <v>0</v>
      </c>
      <c r="E1209" s="1146">
        <v>0</v>
      </c>
      <c r="F1209" s="1146">
        <v>0</v>
      </c>
      <c r="G1209" s="1146">
        <v>8</v>
      </c>
      <c r="H1209" s="1146">
        <v>20</v>
      </c>
      <c r="I1209" s="1146">
        <v>38</v>
      </c>
      <c r="J1209" s="1147">
        <v>300</v>
      </c>
      <c r="K1209" s="1147">
        <v>15</v>
      </c>
      <c r="L1209" s="1066" t="s">
        <v>988</v>
      </c>
      <c r="M1209" s="959">
        <v>1584000</v>
      </c>
      <c r="N1209" s="1837">
        <v>26424508.804680005</v>
      </c>
      <c r="O1209" s="1149">
        <v>15578788.034906223</v>
      </c>
      <c r="P1209" s="950"/>
      <c r="Q1209" s="950"/>
      <c r="R1209" s="950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237">
        <f>MAX(J1209/J1218)</f>
        <v>4.6915171115267447E-2</v>
      </c>
      <c r="AD1209" s="235">
        <f t="shared" ref="AD1209:AD1217" si="226">MAX(M1209*AC1209)</f>
        <v>74313.631046583643</v>
      </c>
      <c r="AE1209" s="238">
        <f>MAX(I1209/I1218)</f>
        <v>6.0991268618387266E-2</v>
      </c>
      <c r="AF1209" s="235">
        <f t="shared" ref="AF1209:AF1217" si="227">MAX(N1209*AE1209)</f>
        <v>1611664.3146151777</v>
      </c>
      <c r="AG1209" s="238">
        <f>MAX(H1209/H1218)</f>
        <v>4.9377839225755484E-2</v>
      </c>
      <c r="AH1209" s="235">
        <f t="shared" ref="AH1209:AH1217" si="228">MAX(O1209*AG1209)</f>
        <v>769246.89091972273</v>
      </c>
    </row>
    <row r="1210" spans="1:34" ht="15" customHeight="1" x14ac:dyDescent="0.2">
      <c r="A1210" s="962" t="s">
        <v>385</v>
      </c>
      <c r="B1210" s="957">
        <v>5</v>
      </c>
      <c r="C1210" s="1146">
        <v>1</v>
      </c>
      <c r="D1210" s="1146">
        <v>0</v>
      </c>
      <c r="E1210" s="1146">
        <v>0</v>
      </c>
      <c r="F1210" s="1146">
        <v>0</v>
      </c>
      <c r="G1210" s="1146">
        <v>0</v>
      </c>
      <c r="H1210" s="1146">
        <v>5</v>
      </c>
      <c r="I1210" s="1146">
        <v>6</v>
      </c>
      <c r="J1210" s="1147">
        <v>40</v>
      </c>
      <c r="K1210" s="1147">
        <v>8</v>
      </c>
      <c r="L1210" s="1066" t="s">
        <v>988</v>
      </c>
      <c r="M1210" s="959">
        <v>1584000</v>
      </c>
      <c r="N1210" s="1837">
        <v>26424508.804680005</v>
      </c>
      <c r="O1210" s="1149">
        <v>15578788.034906223</v>
      </c>
      <c r="V1210" s="9"/>
      <c r="W1210" s="9"/>
      <c r="X1210" s="9"/>
      <c r="Y1210" s="9"/>
      <c r="Z1210" s="9"/>
      <c r="AA1210" s="9"/>
      <c r="AB1210" s="9"/>
      <c r="AC1210" s="237">
        <f>MAX(J1210/J1218)</f>
        <v>6.2553561487023257E-3</v>
      </c>
      <c r="AD1210" s="235">
        <f t="shared" si="226"/>
        <v>9908.4841395444837</v>
      </c>
      <c r="AE1210" s="238">
        <f>MAX(I1210/I1218)</f>
        <v>9.630200308166411E-3</v>
      </c>
      <c r="AF1210" s="235">
        <f t="shared" si="227"/>
        <v>254473.31283397542</v>
      </c>
      <c r="AG1210" s="238">
        <f>MAX(H1210/H1218)</f>
        <v>1.2344459806438871E-2</v>
      </c>
      <c r="AH1210" s="235">
        <f t="shared" si="228"/>
        <v>192311.72272993068</v>
      </c>
    </row>
    <row r="1211" spans="1:34" ht="15" customHeight="1" x14ac:dyDescent="0.2">
      <c r="A1211" s="962" t="s">
        <v>386</v>
      </c>
      <c r="B1211" s="957">
        <v>6</v>
      </c>
      <c r="C1211" s="1146">
        <v>0</v>
      </c>
      <c r="D1211" s="1146">
        <v>0</v>
      </c>
      <c r="E1211" s="1146">
        <v>0</v>
      </c>
      <c r="F1211" s="1146">
        <v>0</v>
      </c>
      <c r="G1211" s="1146">
        <v>1</v>
      </c>
      <c r="H1211" s="1146">
        <v>5</v>
      </c>
      <c r="I1211" s="1146">
        <v>6</v>
      </c>
      <c r="J1211" s="1147">
        <v>80</v>
      </c>
      <c r="K1211" s="1147">
        <v>16</v>
      </c>
      <c r="L1211" s="1066" t="s">
        <v>988</v>
      </c>
      <c r="M1211" s="959">
        <v>1584000</v>
      </c>
      <c r="N1211" s="1837">
        <v>26424508.804680005</v>
      </c>
      <c r="O1211" s="1149">
        <v>15578788.034906223</v>
      </c>
      <c r="P1211" s="950"/>
      <c r="Q1211" s="950"/>
      <c r="R1211" s="950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237">
        <f>MAX(J1211/J1218)</f>
        <v>1.2510712297404651E-2</v>
      </c>
      <c r="AD1211" s="235">
        <f t="shared" si="226"/>
        <v>19816.968279088967</v>
      </c>
      <c r="AE1211" s="238">
        <f>MAX(I1211/I1218)</f>
        <v>9.630200308166411E-3</v>
      </c>
      <c r="AF1211" s="235">
        <f t="shared" si="227"/>
        <v>254473.31283397542</v>
      </c>
      <c r="AG1211" s="238">
        <f>MAX(H1211/H1218)</f>
        <v>1.2344459806438871E-2</v>
      </c>
      <c r="AH1211" s="235">
        <f t="shared" si="228"/>
        <v>192311.72272993068</v>
      </c>
    </row>
    <row r="1212" spans="1:34" ht="15" customHeight="1" x14ac:dyDescent="0.2">
      <c r="A1212" s="962" t="s">
        <v>387</v>
      </c>
      <c r="B1212" s="957">
        <v>8</v>
      </c>
      <c r="C1212" s="1146">
        <v>3</v>
      </c>
      <c r="D1212" s="1146">
        <v>2</v>
      </c>
      <c r="E1212" s="1146">
        <v>1</v>
      </c>
      <c r="F1212" s="1146">
        <v>1</v>
      </c>
      <c r="G1212" s="1146">
        <v>3</v>
      </c>
      <c r="H1212" s="1146">
        <v>1</v>
      </c>
      <c r="I1212" s="1146">
        <v>9</v>
      </c>
      <c r="J1212" s="1147">
        <v>15</v>
      </c>
      <c r="K1212" s="1147">
        <v>15</v>
      </c>
      <c r="L1212" s="1066" t="s">
        <v>988</v>
      </c>
      <c r="M1212" s="959">
        <v>1584000</v>
      </c>
      <c r="N1212" s="1837">
        <v>26424508.804680005</v>
      </c>
      <c r="O1212" s="1149">
        <v>15578788.034906223</v>
      </c>
      <c r="P1212" s="950"/>
      <c r="Q1212" s="950"/>
      <c r="R1212" s="950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237">
        <f>MAX(J1212/J1218)</f>
        <v>2.3457585557633723E-3</v>
      </c>
      <c r="AD1212" s="235">
        <f t="shared" si="226"/>
        <v>3715.6815523291816</v>
      </c>
      <c r="AE1212" s="238">
        <f>MAX(I1212/I1218)</f>
        <v>1.4445300462249615E-2</v>
      </c>
      <c r="AF1212" s="235">
        <f t="shared" si="227"/>
        <v>381709.96925096307</v>
      </c>
      <c r="AG1212" s="238">
        <f>MAX(H1212/H1218)</f>
        <v>2.4688919612877742E-3</v>
      </c>
      <c r="AH1212" s="235">
        <f t="shared" si="228"/>
        <v>38462.344545986132</v>
      </c>
    </row>
    <row r="1213" spans="1:34" ht="15" customHeight="1" x14ac:dyDescent="0.2">
      <c r="A1213" s="962" t="s">
        <v>388</v>
      </c>
      <c r="B1213" s="957">
        <v>0</v>
      </c>
      <c r="C1213" s="1146"/>
      <c r="D1213" s="1146"/>
      <c r="E1213" s="1146"/>
      <c r="F1213" s="1146"/>
      <c r="G1213" s="1146"/>
      <c r="H1213" s="1146">
        <v>0</v>
      </c>
      <c r="I1213" s="1146">
        <v>0</v>
      </c>
      <c r="J1213" s="1147">
        <v>0</v>
      </c>
      <c r="K1213" s="1147"/>
      <c r="L1213" s="1148"/>
      <c r="M1213" s="959"/>
      <c r="N1213" s="959"/>
      <c r="O1213" s="1149"/>
      <c r="U1213" s="9"/>
      <c r="V1213" s="9"/>
      <c r="W1213" s="9"/>
      <c r="X1213" s="9"/>
      <c r="Y1213" s="9"/>
      <c r="Z1213" s="9"/>
      <c r="AA1213" s="9"/>
      <c r="AB1213" s="9"/>
      <c r="AC1213" s="237">
        <f>MAX(J1213/J1218)</f>
        <v>0</v>
      </c>
      <c r="AD1213" s="235">
        <f t="shared" si="226"/>
        <v>0</v>
      </c>
      <c r="AE1213" s="238">
        <f>MAX(I1213/I1218)</f>
        <v>0</v>
      </c>
      <c r="AF1213" s="235">
        <f t="shared" si="227"/>
        <v>0</v>
      </c>
      <c r="AG1213" s="238">
        <f>MAX(H1213/H1218)</f>
        <v>0</v>
      </c>
      <c r="AH1213" s="235">
        <f t="shared" si="228"/>
        <v>0</v>
      </c>
    </row>
    <row r="1214" spans="1:34" ht="15" customHeight="1" x14ac:dyDescent="0.2">
      <c r="A1214" s="962" t="s">
        <v>389</v>
      </c>
      <c r="B1214" s="957">
        <v>0</v>
      </c>
      <c r="C1214" s="1146">
        <v>0</v>
      </c>
      <c r="D1214" s="1146"/>
      <c r="E1214" s="1146"/>
      <c r="F1214" s="1146"/>
      <c r="G1214" s="1146"/>
      <c r="H1214" s="1146">
        <v>0</v>
      </c>
      <c r="I1214" s="1146">
        <v>0</v>
      </c>
      <c r="J1214" s="1147">
        <v>0</v>
      </c>
      <c r="K1214" s="1147"/>
      <c r="L1214" s="1148"/>
      <c r="M1214" s="959"/>
      <c r="N1214" s="1533"/>
      <c r="O1214" s="1534"/>
      <c r="U1214" s="9"/>
      <c r="V1214" s="9"/>
      <c r="W1214" s="9"/>
      <c r="X1214" s="9"/>
      <c r="Y1214" s="9"/>
      <c r="Z1214" s="9"/>
      <c r="AA1214" s="9"/>
      <c r="AB1214" s="9"/>
      <c r="AC1214" s="237">
        <f>MAX(J1214/J1218)</f>
        <v>0</v>
      </c>
      <c r="AD1214" s="235">
        <f t="shared" si="226"/>
        <v>0</v>
      </c>
      <c r="AE1214" s="238">
        <f>MAX(I1214/I1218)</f>
        <v>0</v>
      </c>
      <c r="AF1214" s="235">
        <f t="shared" si="227"/>
        <v>0</v>
      </c>
      <c r="AG1214" s="238">
        <f>MAX(H1214/H1218)</f>
        <v>0</v>
      </c>
      <c r="AH1214" s="235">
        <f t="shared" si="228"/>
        <v>0</v>
      </c>
    </row>
    <row r="1215" spans="1:34" ht="15" customHeight="1" x14ac:dyDescent="0.2">
      <c r="A1215" s="962" t="s">
        <v>390</v>
      </c>
      <c r="B1215" s="957">
        <v>1</v>
      </c>
      <c r="C1215" s="1146"/>
      <c r="D1215" s="1146"/>
      <c r="E1215" s="1146"/>
      <c r="F1215" s="1146"/>
      <c r="G1215" s="1146"/>
      <c r="H1215" s="1146">
        <v>1</v>
      </c>
      <c r="I1215" s="1146">
        <v>1</v>
      </c>
      <c r="J1215" s="1147">
        <v>15</v>
      </c>
      <c r="K1215" s="1147">
        <v>15</v>
      </c>
      <c r="L1215" s="1066" t="s">
        <v>988</v>
      </c>
      <c r="M1215" s="959">
        <v>1584000</v>
      </c>
      <c r="N1215" s="1837">
        <v>26424508.804680005</v>
      </c>
      <c r="O1215" s="1149">
        <v>15578788.034906223</v>
      </c>
      <c r="P1215" s="950"/>
      <c r="Q1215" s="950"/>
      <c r="R1215" s="950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237">
        <f>MAX(J1215/J1218)</f>
        <v>2.3457585557633723E-3</v>
      </c>
      <c r="AD1215" s="235">
        <f t="shared" si="226"/>
        <v>3715.6815523291816</v>
      </c>
      <c r="AE1215" s="238">
        <f>MAX(I1215/I1218)</f>
        <v>1.6050333846944018E-3</v>
      </c>
      <c r="AF1215" s="235">
        <f t="shared" si="227"/>
        <v>42412.218805662567</v>
      </c>
      <c r="AG1215" s="238">
        <f>MAX(H1215/H1218)</f>
        <v>2.4688919612877742E-3</v>
      </c>
      <c r="AH1215" s="235">
        <f t="shared" si="228"/>
        <v>38462.344545986132</v>
      </c>
    </row>
    <row r="1216" spans="1:34" ht="15" customHeight="1" x14ac:dyDescent="0.2">
      <c r="A1216" s="962" t="s">
        <v>941</v>
      </c>
      <c r="B1216" s="957">
        <v>5</v>
      </c>
      <c r="C1216" s="1146"/>
      <c r="D1216" s="1146"/>
      <c r="E1216" s="1146"/>
      <c r="F1216" s="1146"/>
      <c r="G1216" s="1146"/>
      <c r="H1216" s="1146">
        <v>5</v>
      </c>
      <c r="I1216" s="1146">
        <v>5</v>
      </c>
      <c r="J1216" s="1147">
        <v>75</v>
      </c>
      <c r="K1216" s="1147">
        <v>15</v>
      </c>
      <c r="L1216" s="1066" t="s">
        <v>988</v>
      </c>
      <c r="M1216" s="959">
        <v>1584000</v>
      </c>
      <c r="N1216" s="1837">
        <v>26424508.804680005</v>
      </c>
      <c r="O1216" s="1149">
        <v>15578788.034906223</v>
      </c>
      <c r="P1216" s="950"/>
      <c r="Q1216" s="950"/>
      <c r="R1216" s="950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237">
        <f>MAX(J1216/J1218)</f>
        <v>1.1728792778816862E-2</v>
      </c>
      <c r="AD1216" s="235">
        <f t="shared" si="226"/>
        <v>18578.407761645911</v>
      </c>
      <c r="AE1216" s="238">
        <f>MAX(I1216/I1218)</f>
        <v>8.0251669234720092E-3</v>
      </c>
      <c r="AF1216" s="235">
        <f t="shared" si="227"/>
        <v>212061.09402831286</v>
      </c>
      <c r="AG1216" s="238">
        <f>MAX(H1216/H1218)</f>
        <v>1.2344459806438871E-2</v>
      </c>
      <c r="AH1216" s="235">
        <f t="shared" si="228"/>
        <v>192311.72272993068</v>
      </c>
    </row>
    <row r="1217" spans="1:34" ht="15" customHeight="1" thickBot="1" x14ac:dyDescent="0.25">
      <c r="A1217" s="1140" t="s">
        <v>392</v>
      </c>
      <c r="B1217" s="1529">
        <v>4</v>
      </c>
      <c r="C1217" s="1141">
        <v>0</v>
      </c>
      <c r="D1217" s="1141">
        <v>0</v>
      </c>
      <c r="E1217" s="1141">
        <v>0</v>
      </c>
      <c r="F1217" s="1141">
        <v>0</v>
      </c>
      <c r="G1217" s="1141">
        <v>1</v>
      </c>
      <c r="H1217" s="1146">
        <v>3</v>
      </c>
      <c r="I1217" s="1146">
        <v>4</v>
      </c>
      <c r="J1217" s="1147">
        <v>42</v>
      </c>
      <c r="K1217" s="1142">
        <v>14</v>
      </c>
      <c r="L1217" s="1066" t="s">
        <v>988</v>
      </c>
      <c r="M1217" s="959">
        <v>1584000</v>
      </c>
      <c r="N1217" s="1837">
        <v>26424508.804680005</v>
      </c>
      <c r="O1217" s="1149">
        <v>15578788.034906223</v>
      </c>
      <c r="P1217" s="950"/>
      <c r="Q1217" s="950"/>
      <c r="R1217" s="950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237">
        <f>MAX(J1217/J1218)</f>
        <v>6.5681239561374422E-3</v>
      </c>
      <c r="AD1217" s="235">
        <f t="shared" si="226"/>
        <v>10403.908346521708</v>
      </c>
      <c r="AE1217" s="238">
        <f>MAX(I1217/I1218)</f>
        <v>6.4201335387776073E-3</v>
      </c>
      <c r="AF1217" s="235">
        <f t="shared" si="227"/>
        <v>169648.87522265027</v>
      </c>
      <c r="AG1217" s="238">
        <f>MAX(H1217/H1218)</f>
        <v>7.4066758838633225E-3</v>
      </c>
      <c r="AH1217" s="235">
        <f t="shared" si="228"/>
        <v>115387.0336379584</v>
      </c>
    </row>
    <row r="1218" spans="1:34" ht="15" customHeight="1" thickBot="1" x14ac:dyDescent="0.25">
      <c r="A1218" s="405" t="s">
        <v>942</v>
      </c>
      <c r="B1218" s="1131">
        <v>568.04</v>
      </c>
      <c r="C1218" s="1131">
        <v>93</v>
      </c>
      <c r="D1218" s="1131">
        <v>8</v>
      </c>
      <c r="E1218" s="1131">
        <v>12</v>
      </c>
      <c r="F1218" s="1131">
        <v>26</v>
      </c>
      <c r="G1218" s="1131">
        <v>117</v>
      </c>
      <c r="H1218" s="1131">
        <v>405.03999999999996</v>
      </c>
      <c r="I1218" s="1131">
        <v>623.04</v>
      </c>
      <c r="J1218" s="1132">
        <v>6394.52</v>
      </c>
      <c r="K1218" s="1132">
        <v>15.7873790242939</v>
      </c>
      <c r="L1218" s="1525" t="s">
        <v>988</v>
      </c>
      <c r="M1218" s="1134">
        <v>1583999.9999999995</v>
      </c>
      <c r="N1218" s="1134">
        <v>26424508.804680012</v>
      </c>
      <c r="O1218" s="506">
        <v>15578788.034906225</v>
      </c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1159">
        <f t="shared" ref="AC1218:AH1218" si="229">SUM(AC1178:AC1217)</f>
        <v>0.99999999999999978</v>
      </c>
      <c r="AD1218" s="1160">
        <f t="shared" si="229"/>
        <v>1583999.9999999995</v>
      </c>
      <c r="AE1218" s="1161">
        <f t="shared" si="229"/>
        <v>0.99999999999999978</v>
      </c>
      <c r="AF1218" s="1160">
        <f t="shared" si="229"/>
        <v>26424508.804680012</v>
      </c>
      <c r="AG1218" s="1161">
        <f t="shared" si="229"/>
        <v>1</v>
      </c>
      <c r="AH1218" s="1160">
        <f t="shared" si="229"/>
        <v>15578788.034906225</v>
      </c>
    </row>
    <row r="1219" spans="1:34" x14ac:dyDescent="0.2">
      <c r="A1219" s="7" t="s">
        <v>1934</v>
      </c>
      <c r="B1219" s="224"/>
      <c r="C1219" s="224"/>
      <c r="D1219" s="224"/>
      <c r="E1219" s="224"/>
      <c r="F1219" s="224"/>
      <c r="G1219" s="224"/>
      <c r="H1219" s="224"/>
      <c r="I1219" s="224"/>
      <c r="J1219" s="224"/>
      <c r="K1219" s="240"/>
      <c r="L1219" s="241"/>
      <c r="M1219" s="240"/>
      <c r="N1219" s="240"/>
      <c r="O1219" s="240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</row>
    <row r="1220" spans="1:34" x14ac:dyDescent="0.2">
      <c r="A1220" s="34"/>
      <c r="B1220" s="224"/>
      <c r="C1220" s="224"/>
      <c r="D1220" s="224"/>
      <c r="E1220" s="224"/>
      <c r="F1220" s="224"/>
      <c r="G1220" s="224"/>
      <c r="H1220" s="224"/>
      <c r="I1220" s="224"/>
      <c r="J1220" s="224"/>
      <c r="K1220" s="240"/>
      <c r="L1220" s="241"/>
      <c r="M1220" s="240"/>
      <c r="N1220" s="240"/>
      <c r="O1220" s="240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</row>
    <row r="1221" spans="1:34" x14ac:dyDescent="0.2">
      <c r="A1221" s="34"/>
      <c r="B1221" s="224"/>
      <c r="C1221" s="224"/>
      <c r="D1221" s="224"/>
      <c r="E1221" s="224"/>
      <c r="F1221" s="224"/>
      <c r="G1221" s="224"/>
      <c r="H1221" s="224"/>
      <c r="I1221" s="224"/>
      <c r="J1221" s="224"/>
      <c r="K1221" s="240"/>
      <c r="L1221" s="241"/>
      <c r="M1221" s="240"/>
      <c r="N1221" s="240"/>
      <c r="O1221" s="240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</row>
    <row r="1222" spans="1:34" ht="15" x14ac:dyDescent="0.25">
      <c r="A1222" s="2843" t="s">
        <v>1931</v>
      </c>
      <c r="B1222" s="2843"/>
      <c r="C1222" s="2843"/>
      <c r="D1222" s="2843"/>
      <c r="E1222" s="2843"/>
      <c r="F1222" s="2843"/>
      <c r="G1222" s="2843"/>
      <c r="H1222" s="2843"/>
      <c r="I1222" s="2843"/>
      <c r="J1222" s="2843"/>
      <c r="K1222" s="2843"/>
      <c r="L1222" s="2843"/>
      <c r="M1222" s="2843"/>
      <c r="N1222" s="2843"/>
      <c r="O1222" s="2843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</row>
    <row r="1223" spans="1:34" ht="15" x14ac:dyDescent="0.25">
      <c r="A1223" s="2843"/>
      <c r="B1223" s="2843"/>
      <c r="C1223" s="2843"/>
      <c r="D1223" s="2843"/>
      <c r="E1223" s="2843"/>
      <c r="F1223" s="2843"/>
      <c r="G1223" s="2843"/>
      <c r="H1223" s="2843"/>
      <c r="I1223" s="2843"/>
      <c r="J1223" s="2843"/>
      <c r="K1223" s="2843"/>
      <c r="L1223" s="2843"/>
      <c r="M1223" s="2843"/>
      <c r="N1223" s="2843"/>
      <c r="O1223" s="2843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</row>
    <row r="1224" spans="1:34" x14ac:dyDescent="0.2">
      <c r="A1224" s="246"/>
      <c r="B1224" s="246"/>
      <c r="C1224" s="240"/>
      <c r="D1224" s="240"/>
      <c r="E1224" s="240"/>
      <c r="F1224" s="240"/>
      <c r="G1224" s="240"/>
      <c r="H1224" s="240"/>
      <c r="I1224" s="240"/>
      <c r="J1224" s="240"/>
      <c r="K1224" s="240"/>
      <c r="L1224" s="241"/>
      <c r="M1224" s="240"/>
      <c r="N1224" s="240"/>
      <c r="O1224" s="240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</row>
    <row r="1225" spans="1:34" ht="15" customHeight="1" thickBot="1" x14ac:dyDescent="0.25">
      <c r="A1225" s="246" t="s">
        <v>953</v>
      </c>
      <c r="B1225" s="246"/>
      <c r="C1225" s="240"/>
      <c r="D1225" s="240"/>
      <c r="E1225" s="240"/>
      <c r="F1225" s="240"/>
      <c r="G1225" s="240"/>
      <c r="H1225" s="240"/>
      <c r="I1225" s="240"/>
      <c r="J1225" s="240"/>
      <c r="K1225" s="240"/>
      <c r="L1225" s="241"/>
      <c r="M1225" s="240"/>
      <c r="N1225" s="240"/>
      <c r="O1225" s="240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228" t="s">
        <v>910</v>
      </c>
      <c r="AD1225" s="229"/>
      <c r="AE1225" s="229"/>
      <c r="AF1225" s="229"/>
      <c r="AG1225" s="229"/>
      <c r="AH1225" s="243"/>
    </row>
    <row r="1226" spans="1:34" ht="15" customHeight="1" x14ac:dyDescent="0.2">
      <c r="A1226" s="2844" t="s">
        <v>327</v>
      </c>
      <c r="B1226" s="2847" t="s">
        <v>1932</v>
      </c>
      <c r="C1226" s="2848"/>
      <c r="D1226" s="2848"/>
      <c r="E1226" s="2848"/>
      <c r="F1226" s="2848"/>
      <c r="G1226" s="2848"/>
      <c r="H1226" s="2848"/>
      <c r="I1226" s="2848"/>
      <c r="J1226" s="2848"/>
      <c r="K1226" s="2848"/>
      <c r="L1226" s="2848"/>
      <c r="M1226" s="2848"/>
      <c r="N1226" s="2848"/>
      <c r="O1226" s="284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230" t="s">
        <v>333</v>
      </c>
      <c r="AD1226" s="231" t="s">
        <v>333</v>
      </c>
      <c r="AE1226" s="231" t="s">
        <v>333</v>
      </c>
      <c r="AF1226" s="231" t="s">
        <v>333</v>
      </c>
      <c r="AG1226" s="231" t="s">
        <v>333</v>
      </c>
      <c r="AH1226" s="231" t="s">
        <v>333</v>
      </c>
    </row>
    <row r="1227" spans="1:34" ht="15" customHeight="1" x14ac:dyDescent="0.2">
      <c r="A1227" s="2845"/>
      <c r="B1227" s="2850" t="s">
        <v>191</v>
      </c>
      <c r="C1227" s="2850"/>
      <c r="D1227" s="2850"/>
      <c r="E1227" s="2850"/>
      <c r="F1227" s="2850"/>
      <c r="G1227" s="2850"/>
      <c r="H1227" s="2850"/>
      <c r="I1227" s="2850"/>
      <c r="J1227" s="2119"/>
      <c r="K1227" s="2119" t="s">
        <v>904</v>
      </c>
      <c r="L1227" s="2119"/>
      <c r="M1227" s="1122" t="s">
        <v>437</v>
      </c>
      <c r="N1227" s="1122" t="s">
        <v>911</v>
      </c>
      <c r="O1227" s="1127" t="s">
        <v>911</v>
      </c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230" t="s">
        <v>913</v>
      </c>
      <c r="AD1227" s="231" t="s">
        <v>916</v>
      </c>
      <c r="AE1227" s="231" t="s">
        <v>917</v>
      </c>
      <c r="AF1227" s="231" t="s">
        <v>918</v>
      </c>
      <c r="AG1227" s="231" t="s">
        <v>192</v>
      </c>
      <c r="AH1227" s="231" t="s">
        <v>918</v>
      </c>
    </row>
    <row r="1228" spans="1:34" ht="15" customHeight="1" x14ac:dyDescent="0.2">
      <c r="A1228" s="2845"/>
      <c r="B1228" s="2119" t="s">
        <v>433</v>
      </c>
      <c r="C1228" s="2119"/>
      <c r="D1228" s="2841" t="s">
        <v>1865</v>
      </c>
      <c r="E1228" s="2119"/>
      <c r="F1228" s="2119"/>
      <c r="G1228" s="2119" t="s">
        <v>912</v>
      </c>
      <c r="H1228" s="2119"/>
      <c r="I1228" s="2119" t="s">
        <v>433</v>
      </c>
      <c r="J1228" s="2138" t="s">
        <v>913</v>
      </c>
      <c r="K1228" s="2138" t="s">
        <v>842</v>
      </c>
      <c r="L1228" s="2138" t="s">
        <v>329</v>
      </c>
      <c r="M1228" s="1123" t="s">
        <v>914</v>
      </c>
      <c r="N1228" s="1123" t="s">
        <v>915</v>
      </c>
      <c r="O1228" s="1128" t="s">
        <v>914</v>
      </c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230"/>
      <c r="AD1228" s="231" t="s">
        <v>843</v>
      </c>
      <c r="AE1228" s="231"/>
      <c r="AF1228" s="231" t="s">
        <v>929</v>
      </c>
      <c r="AG1228" s="231"/>
      <c r="AH1228" s="231" t="s">
        <v>930</v>
      </c>
    </row>
    <row r="1229" spans="1:34" ht="15" customHeight="1" x14ac:dyDescent="0.2">
      <c r="A1229" s="2845"/>
      <c r="B1229" s="2138" t="s">
        <v>920</v>
      </c>
      <c r="C1229" s="2138" t="s">
        <v>922</v>
      </c>
      <c r="D1229" s="2842"/>
      <c r="E1229" s="2138" t="s">
        <v>867</v>
      </c>
      <c r="F1229" s="2138" t="s">
        <v>921</v>
      </c>
      <c r="G1229" s="2138" t="s">
        <v>923</v>
      </c>
      <c r="H1229" s="2138" t="s">
        <v>836</v>
      </c>
      <c r="I1229" s="2138" t="s">
        <v>835</v>
      </c>
      <c r="J1229" s="2138" t="s">
        <v>924</v>
      </c>
      <c r="K1229" s="2138" t="s">
        <v>925</v>
      </c>
      <c r="L1229" s="2138" t="s">
        <v>336</v>
      </c>
      <c r="M1229" s="1123" t="s">
        <v>926</v>
      </c>
      <c r="N1229" s="1123" t="s">
        <v>927</v>
      </c>
      <c r="O1229" s="1128" t="s">
        <v>928</v>
      </c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232"/>
      <c r="AD1229" s="233" t="s">
        <v>934</v>
      </c>
      <c r="AE1229" s="233"/>
      <c r="AF1229" s="233" t="s">
        <v>935</v>
      </c>
      <c r="AG1229" s="233"/>
      <c r="AH1229" s="233" t="s">
        <v>936</v>
      </c>
    </row>
    <row r="1230" spans="1:34" ht="15" customHeight="1" thickBot="1" x14ac:dyDescent="0.25">
      <c r="A1230" s="2846"/>
      <c r="B1230" s="1881">
        <v>44926</v>
      </c>
      <c r="C1230" s="2139">
        <v>2023</v>
      </c>
      <c r="D1230" s="2139">
        <v>2023</v>
      </c>
      <c r="E1230" s="2139">
        <v>2023</v>
      </c>
      <c r="F1230" s="2139">
        <v>2023</v>
      </c>
      <c r="G1230" s="2139" t="s">
        <v>931</v>
      </c>
      <c r="H1230" s="1126">
        <v>2023</v>
      </c>
      <c r="I1230" s="1881">
        <v>45291</v>
      </c>
      <c r="J1230" s="1881" t="s">
        <v>1933</v>
      </c>
      <c r="K1230" s="1881" t="s">
        <v>1933</v>
      </c>
      <c r="L1230" s="2139" t="s">
        <v>441</v>
      </c>
      <c r="M1230" s="1125" t="s">
        <v>932</v>
      </c>
      <c r="N1230" s="1125" t="s">
        <v>933</v>
      </c>
      <c r="O1230" s="1129" t="s">
        <v>933</v>
      </c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1155"/>
      <c r="AD1230" s="1156"/>
      <c r="AE1230" s="1156"/>
      <c r="AF1230" s="1156"/>
      <c r="AG1230" s="1156"/>
      <c r="AH1230" s="1156"/>
    </row>
    <row r="1231" spans="1:34" ht="15" customHeight="1" x14ac:dyDescent="0.2">
      <c r="A1231" s="1135" t="s">
        <v>352</v>
      </c>
      <c r="B1231" s="1130">
        <v>98.25</v>
      </c>
      <c r="C1231" s="1130">
        <v>17</v>
      </c>
      <c r="D1231" s="1130">
        <v>0.5</v>
      </c>
      <c r="E1231" s="1130">
        <v>2</v>
      </c>
      <c r="F1231" s="1130">
        <v>8</v>
      </c>
      <c r="G1231" s="1130">
        <v>14.3</v>
      </c>
      <c r="H1231" s="1130">
        <v>73.45</v>
      </c>
      <c r="I1231" s="1130">
        <v>105.25</v>
      </c>
      <c r="J1231" s="1136">
        <v>466.4</v>
      </c>
      <c r="K1231" s="1535">
        <v>6.3498978897208982</v>
      </c>
      <c r="L1231" s="380"/>
      <c r="M1231" s="1138"/>
      <c r="N1231" s="1138"/>
      <c r="O1231" s="1139"/>
      <c r="P1231" s="950"/>
      <c r="Q1231" s="950"/>
      <c r="R1231" s="950"/>
      <c r="S1231" s="950"/>
      <c r="T1231" s="950"/>
      <c r="U1231" s="950"/>
      <c r="V1231" s="950"/>
      <c r="W1231" s="950"/>
      <c r="X1231" s="950"/>
      <c r="Y1231" s="950"/>
      <c r="Z1231" s="9"/>
      <c r="AA1231" s="9"/>
      <c r="AB1231" s="9"/>
      <c r="AC1231" s="237">
        <f>MAX(J1232/J1272)</f>
        <v>0</v>
      </c>
      <c r="AD1231" s="235">
        <f t="shared" ref="AD1231:AD1245" si="230">MAX(M1232*AC1231)</f>
        <v>0</v>
      </c>
      <c r="AE1231" s="238">
        <f>MAX(I1232/I1272)</f>
        <v>0</v>
      </c>
      <c r="AF1231" s="235">
        <f t="shared" ref="AF1231:AF1245" si="231">MAX(N1232*AE1231)</f>
        <v>0</v>
      </c>
      <c r="AG1231" s="238">
        <f>MAX(H1232/H1272)</f>
        <v>0</v>
      </c>
      <c r="AH1231" s="235">
        <f t="shared" ref="AH1231:AH1245" si="232">MAX(O1232*AG1231)</f>
        <v>0</v>
      </c>
    </row>
    <row r="1232" spans="1:34" ht="15" customHeight="1" x14ac:dyDescent="0.2">
      <c r="A1232" s="962" t="s">
        <v>353</v>
      </c>
      <c r="B1232" s="956">
        <v>0</v>
      </c>
      <c r="C1232" s="1146"/>
      <c r="D1232" s="1146"/>
      <c r="E1232" s="1146"/>
      <c r="F1232" s="1146"/>
      <c r="G1232" s="1146"/>
      <c r="H1232" s="1146">
        <v>0</v>
      </c>
      <c r="I1232" s="1146">
        <v>0</v>
      </c>
      <c r="J1232" s="1147">
        <v>0</v>
      </c>
      <c r="K1232" s="1147"/>
      <c r="L1232" s="1148"/>
      <c r="M1232" s="959"/>
      <c r="N1232" s="959"/>
      <c r="O1232" s="1149"/>
      <c r="V1232" s="950"/>
      <c r="W1232" s="950"/>
      <c r="X1232" s="950"/>
      <c r="Y1232" s="950"/>
      <c r="Z1232" s="9"/>
      <c r="AA1232" s="9"/>
      <c r="AB1232" s="9"/>
      <c r="AC1232" s="237">
        <f>MAX(J1233/J1272)</f>
        <v>5.1985690938569163E-3</v>
      </c>
      <c r="AD1232" s="235">
        <f t="shared" si="230"/>
        <v>38443.418449071898</v>
      </c>
      <c r="AE1232" s="238">
        <f>MAX(I1233/I1272)</f>
        <v>9.7498354715264187E-3</v>
      </c>
      <c r="AF1232" s="235">
        <f t="shared" si="231"/>
        <v>351754.81446774187</v>
      </c>
      <c r="AG1232" s="238">
        <f>MAX(H1233/H1272)</f>
        <v>9.1691595319144063E-3</v>
      </c>
      <c r="AH1232" s="235">
        <f t="shared" si="232"/>
        <v>0</v>
      </c>
    </row>
    <row r="1233" spans="1:34" ht="15" customHeight="1" x14ac:dyDescent="0.2">
      <c r="A1233" s="962" t="s">
        <v>354</v>
      </c>
      <c r="B1233" s="956">
        <v>8</v>
      </c>
      <c r="C1233" s="1146">
        <v>4</v>
      </c>
      <c r="D1233" s="1146"/>
      <c r="E1233" s="1146"/>
      <c r="F1233" s="1146"/>
      <c r="G1233" s="1146"/>
      <c r="H1233" s="1146">
        <v>8</v>
      </c>
      <c r="I1233" s="1146">
        <v>12</v>
      </c>
      <c r="J1233" s="1147">
        <v>48</v>
      </c>
      <c r="K1233" s="1147">
        <v>6</v>
      </c>
      <c r="L1233" s="1066" t="s">
        <v>988</v>
      </c>
      <c r="M1233" s="2077">
        <v>7395000</v>
      </c>
      <c r="N1233" s="959">
        <v>36078025.674896002</v>
      </c>
      <c r="O1233" s="1067"/>
      <c r="P1233" s="950"/>
      <c r="Q1233" s="950"/>
      <c r="R1233" s="950"/>
      <c r="S1233" s="950"/>
      <c r="T1233" s="950"/>
      <c r="U1233" s="950"/>
      <c r="V1233" s="9"/>
      <c r="W1233" s="9"/>
      <c r="X1233" s="9"/>
      <c r="Y1233" s="9"/>
      <c r="Z1233" s="9"/>
      <c r="AA1233" s="9"/>
      <c r="AB1233" s="9"/>
      <c r="AC1233" s="237">
        <f>MAX(J1234/J1272)</f>
        <v>7.0397289812645742E-3</v>
      </c>
      <c r="AD1233" s="235">
        <f t="shared" si="230"/>
        <v>52058.795816451529</v>
      </c>
      <c r="AE1233" s="238">
        <f>MAX(I1234/I1272)</f>
        <v>2.0312157232346705E-2</v>
      </c>
      <c r="AF1233" s="235">
        <f t="shared" si="231"/>
        <v>732822.53014112893</v>
      </c>
      <c r="AG1233" s="238">
        <f>MAX(H1234/H1272)</f>
        <v>1.489988423936091E-2</v>
      </c>
      <c r="AH1233" s="235">
        <f t="shared" si="232"/>
        <v>0</v>
      </c>
    </row>
    <row r="1234" spans="1:34" ht="15" customHeight="1" x14ac:dyDescent="0.2">
      <c r="A1234" s="962" t="s">
        <v>355</v>
      </c>
      <c r="B1234" s="956">
        <v>19</v>
      </c>
      <c r="C1234" s="1146">
        <v>6</v>
      </c>
      <c r="D1234" s="1146"/>
      <c r="E1234" s="1146"/>
      <c r="F1234" s="1146"/>
      <c r="G1234" s="1146">
        <v>6</v>
      </c>
      <c r="H1234" s="1146">
        <v>13</v>
      </c>
      <c r="I1234" s="1146">
        <v>25</v>
      </c>
      <c r="J1234" s="1147">
        <v>65</v>
      </c>
      <c r="K1234" s="1147">
        <v>5</v>
      </c>
      <c r="L1234" s="1066" t="s">
        <v>988</v>
      </c>
      <c r="M1234" s="2077">
        <v>7395000</v>
      </c>
      <c r="N1234" s="959">
        <v>36078025.674896002</v>
      </c>
      <c r="O1234" s="1067"/>
      <c r="P1234" s="950"/>
      <c r="Q1234" s="950"/>
      <c r="R1234" s="950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237">
        <f>MAX(J1235/J1272)</f>
        <v>0</v>
      </c>
      <c r="AD1234" s="235">
        <f t="shared" si="230"/>
        <v>0</v>
      </c>
      <c r="AE1234" s="238">
        <f>MAX(I1235/I1272)</f>
        <v>0</v>
      </c>
      <c r="AF1234" s="235">
        <f t="shared" si="231"/>
        <v>0</v>
      </c>
      <c r="AG1234" s="238">
        <f>MAX(H1235/H1272)</f>
        <v>0</v>
      </c>
      <c r="AH1234" s="235">
        <f t="shared" si="232"/>
        <v>0</v>
      </c>
    </row>
    <row r="1235" spans="1:34" ht="15" customHeight="1" x14ac:dyDescent="0.2">
      <c r="A1235" s="962" t="s">
        <v>356</v>
      </c>
      <c r="B1235" s="956">
        <v>0</v>
      </c>
      <c r="C1235" s="1146"/>
      <c r="D1235" s="1146"/>
      <c r="E1235" s="1146"/>
      <c r="F1235" s="1146"/>
      <c r="G1235" s="1146"/>
      <c r="H1235" s="1146">
        <v>0</v>
      </c>
      <c r="I1235" s="1146">
        <v>0</v>
      </c>
      <c r="J1235" s="1147">
        <v>0</v>
      </c>
      <c r="K1235" s="1147"/>
      <c r="L1235" s="1148"/>
      <c r="M1235" s="959"/>
      <c r="N1235" s="959"/>
      <c r="O1235" s="1149"/>
      <c r="V1235" s="9"/>
      <c r="W1235" s="9"/>
      <c r="X1235" s="9"/>
      <c r="Y1235" s="9"/>
      <c r="Z1235" s="9"/>
      <c r="AA1235" s="9"/>
      <c r="AB1235" s="9"/>
      <c r="AC1235" s="237">
        <f>MAX(J1236/J1272)</f>
        <v>3.2491056836605726E-3</v>
      </c>
      <c r="AD1235" s="235">
        <f t="shared" si="230"/>
        <v>24027.136530669934</v>
      </c>
      <c r="AE1235" s="238">
        <f>MAX(I1236/I1272)</f>
        <v>4.8749177357632094E-3</v>
      </c>
      <c r="AF1235" s="235">
        <f t="shared" si="231"/>
        <v>175877.40723387094</v>
      </c>
      <c r="AG1235" s="238">
        <f>MAX(H1236/H1272)</f>
        <v>6.8768696489358043E-3</v>
      </c>
      <c r="AH1235" s="235">
        <f t="shared" si="232"/>
        <v>0</v>
      </c>
    </row>
    <row r="1236" spans="1:34" ht="15" customHeight="1" x14ac:dyDescent="0.2">
      <c r="A1236" s="962" t="s">
        <v>357</v>
      </c>
      <c r="B1236" s="956">
        <v>8</v>
      </c>
      <c r="C1236" s="1146">
        <v>0</v>
      </c>
      <c r="D1236" s="1146">
        <v>0</v>
      </c>
      <c r="E1236" s="1146">
        <v>0</v>
      </c>
      <c r="F1236" s="1146">
        <v>2</v>
      </c>
      <c r="G1236" s="1146">
        <v>0</v>
      </c>
      <c r="H1236" s="1146">
        <v>6</v>
      </c>
      <c r="I1236" s="1146">
        <v>6</v>
      </c>
      <c r="J1236" s="1147">
        <v>30</v>
      </c>
      <c r="K1236" s="1147">
        <v>5</v>
      </c>
      <c r="L1236" s="1066" t="s">
        <v>988</v>
      </c>
      <c r="M1236" s="2077">
        <v>7395000</v>
      </c>
      <c r="N1236" s="959">
        <v>36078025.674896002</v>
      </c>
      <c r="O1236" s="1149"/>
      <c r="P1236" s="950"/>
      <c r="Q1236" s="950"/>
      <c r="R1236" s="950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237">
        <f>MAX(J1237/J1272)</f>
        <v>2.653436308322801E-2</v>
      </c>
      <c r="AD1236" s="235">
        <f t="shared" si="230"/>
        <v>196221.61500047112</v>
      </c>
      <c r="AE1236" s="238">
        <f>MAX(I1237/I1272)</f>
        <v>3.0061992703873122E-2</v>
      </c>
      <c r="AF1236" s="235">
        <f t="shared" si="231"/>
        <v>1084577.3446088708</v>
      </c>
      <c r="AG1236" s="238">
        <f>MAX(H1237/H1272)</f>
        <v>4.0115072952125526E-2</v>
      </c>
      <c r="AH1236" s="235">
        <f t="shared" si="232"/>
        <v>0</v>
      </c>
    </row>
    <row r="1237" spans="1:34" ht="15" customHeight="1" x14ac:dyDescent="0.2">
      <c r="A1237" s="962" t="s">
        <v>358</v>
      </c>
      <c r="B1237" s="956">
        <v>37</v>
      </c>
      <c r="C1237" s="1146">
        <v>0</v>
      </c>
      <c r="D1237" s="1146">
        <v>0</v>
      </c>
      <c r="E1237" s="1146">
        <v>0</v>
      </c>
      <c r="F1237" s="1146">
        <v>0</v>
      </c>
      <c r="G1237" s="1146">
        <v>2</v>
      </c>
      <c r="H1237" s="1146">
        <v>35</v>
      </c>
      <c r="I1237" s="1146">
        <v>37</v>
      </c>
      <c r="J1237" s="1147">
        <v>245</v>
      </c>
      <c r="K1237" s="1147">
        <v>7</v>
      </c>
      <c r="L1237" s="1066" t="s">
        <v>988</v>
      </c>
      <c r="M1237" s="2077">
        <v>7395000</v>
      </c>
      <c r="N1237" s="959">
        <v>36078025.674896002</v>
      </c>
      <c r="O1237" s="1149"/>
      <c r="P1237" s="950"/>
      <c r="Q1237" s="950"/>
      <c r="R1237" s="950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237">
        <f>MAX(J1238/J1272)</f>
        <v>0</v>
      </c>
      <c r="AD1237" s="235">
        <f t="shared" si="230"/>
        <v>0</v>
      </c>
      <c r="AE1237" s="238">
        <f>MAX(I1238/I1272)</f>
        <v>0</v>
      </c>
      <c r="AF1237" s="235">
        <f t="shared" si="231"/>
        <v>0</v>
      </c>
      <c r="AG1237" s="238">
        <f>MAX(H1238/H1272)</f>
        <v>0</v>
      </c>
      <c r="AH1237" s="235">
        <f t="shared" si="232"/>
        <v>0</v>
      </c>
    </row>
    <row r="1238" spans="1:34" ht="15" customHeight="1" x14ac:dyDescent="0.2">
      <c r="A1238" s="962" t="s">
        <v>937</v>
      </c>
      <c r="B1238" s="956">
        <v>0</v>
      </c>
      <c r="C1238" s="1146">
        <v>0</v>
      </c>
      <c r="D1238" s="1146">
        <v>0</v>
      </c>
      <c r="E1238" s="1146">
        <v>0</v>
      </c>
      <c r="F1238" s="1146">
        <v>0</v>
      </c>
      <c r="G1238" s="1146">
        <v>0</v>
      </c>
      <c r="H1238" s="1146">
        <v>0</v>
      </c>
      <c r="I1238" s="1146">
        <v>0</v>
      </c>
      <c r="J1238" s="1147">
        <v>0</v>
      </c>
      <c r="K1238" s="1147">
        <v>0</v>
      </c>
      <c r="L1238" s="1148"/>
      <c r="M1238" s="959"/>
      <c r="N1238" s="959"/>
      <c r="O1238" s="1149"/>
      <c r="V1238" s="9"/>
      <c r="W1238" s="9"/>
      <c r="X1238" s="9"/>
      <c r="Y1238" s="9"/>
      <c r="Z1238" s="9"/>
      <c r="AA1238" s="9"/>
      <c r="AB1238" s="9"/>
      <c r="AC1238" s="237">
        <f>MAX(J1239/J1272)</f>
        <v>9.0974959142496061E-4</v>
      </c>
      <c r="AD1238" s="235">
        <f t="shared" si="230"/>
        <v>6727.5982285875834</v>
      </c>
      <c r="AE1238" s="238">
        <f>MAX(I1239/I1272)</f>
        <v>1.3812266917995761E-3</v>
      </c>
      <c r="AF1238" s="235">
        <f t="shared" si="231"/>
        <v>49831.932049596777</v>
      </c>
      <c r="AG1238" s="238">
        <f>MAX(H1239/H1272)</f>
        <v>1.3753739297871612E-3</v>
      </c>
      <c r="AH1238" s="235">
        <f t="shared" si="232"/>
        <v>0</v>
      </c>
    </row>
    <row r="1239" spans="1:34" ht="15" customHeight="1" x14ac:dyDescent="0.2">
      <c r="A1239" s="962" t="s">
        <v>360</v>
      </c>
      <c r="B1239" s="956">
        <v>1.7000000000000002</v>
      </c>
      <c r="C1239" s="1146">
        <v>0</v>
      </c>
      <c r="D1239" s="1146">
        <v>0</v>
      </c>
      <c r="E1239" s="1146">
        <v>0</v>
      </c>
      <c r="F1239" s="1146">
        <v>0</v>
      </c>
      <c r="G1239" s="1146">
        <v>0.5</v>
      </c>
      <c r="H1239" s="1146">
        <v>1.2000000000000002</v>
      </c>
      <c r="I1239" s="1146">
        <v>1.7000000000000002</v>
      </c>
      <c r="J1239" s="1147">
        <v>8.4000000000000021</v>
      </c>
      <c r="K1239" s="1147">
        <v>7</v>
      </c>
      <c r="L1239" s="1066" t="s">
        <v>988</v>
      </c>
      <c r="M1239" s="2077">
        <v>7395000</v>
      </c>
      <c r="N1239" s="959">
        <v>36078025.674896002</v>
      </c>
      <c r="O1239" s="1149"/>
      <c r="P1239" s="950"/>
      <c r="Q1239" s="950"/>
      <c r="R1239" s="950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237">
        <f>MAX(J1240/J1272)</f>
        <v>2.1660704557737152E-3</v>
      </c>
      <c r="AD1239" s="235">
        <f t="shared" si="230"/>
        <v>16018.091020446624</v>
      </c>
      <c r="AE1239" s="238">
        <f>MAX(I1240/I1272)</f>
        <v>4.8749177357632094E-3</v>
      </c>
      <c r="AF1239" s="235">
        <f t="shared" si="231"/>
        <v>175877.40723387094</v>
      </c>
      <c r="AG1239" s="238">
        <f>MAX(H1240/H1272)</f>
        <v>4.5845797659572031E-3</v>
      </c>
      <c r="AH1239" s="235">
        <f t="shared" si="232"/>
        <v>0</v>
      </c>
    </row>
    <row r="1240" spans="1:34" ht="15" customHeight="1" x14ac:dyDescent="0.2">
      <c r="A1240" s="962" t="s">
        <v>938</v>
      </c>
      <c r="B1240" s="956">
        <v>14</v>
      </c>
      <c r="C1240" s="1146">
        <v>0</v>
      </c>
      <c r="D1240" s="1146">
        <v>0</v>
      </c>
      <c r="E1240" s="1146">
        <v>2</v>
      </c>
      <c r="F1240" s="1146">
        <v>6</v>
      </c>
      <c r="G1240" s="1146">
        <v>2</v>
      </c>
      <c r="H1240" s="1146">
        <v>4</v>
      </c>
      <c r="I1240" s="1146">
        <v>6</v>
      </c>
      <c r="J1240" s="1147">
        <v>20</v>
      </c>
      <c r="K1240" s="1147">
        <v>5</v>
      </c>
      <c r="L1240" s="1066" t="s">
        <v>988</v>
      </c>
      <c r="M1240" s="2077">
        <v>7395000</v>
      </c>
      <c r="N1240" s="959">
        <v>36078025.674896002</v>
      </c>
      <c r="O1240" s="1149"/>
      <c r="P1240" s="950"/>
      <c r="Q1240" s="950"/>
      <c r="R1240" s="950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237">
        <f>MAX(J1241/J1272)</f>
        <v>0</v>
      </c>
      <c r="AD1240" s="235">
        <f t="shared" si="230"/>
        <v>0</v>
      </c>
      <c r="AE1240" s="238">
        <f>MAX(I1241/I1272)</f>
        <v>0</v>
      </c>
      <c r="AF1240" s="235">
        <f t="shared" si="231"/>
        <v>0</v>
      </c>
      <c r="AG1240" s="238">
        <f>MAX(H1241/H1272)</f>
        <v>0</v>
      </c>
      <c r="AH1240" s="235">
        <f t="shared" si="232"/>
        <v>0</v>
      </c>
    </row>
    <row r="1241" spans="1:34" ht="15" customHeight="1" x14ac:dyDescent="0.2">
      <c r="A1241" s="962" t="s">
        <v>362</v>
      </c>
      <c r="B1241" s="956">
        <v>0</v>
      </c>
      <c r="C1241" s="1146">
        <v>0</v>
      </c>
      <c r="D1241" s="1146">
        <v>0</v>
      </c>
      <c r="E1241" s="1146">
        <v>0</v>
      </c>
      <c r="F1241" s="1146">
        <v>0</v>
      </c>
      <c r="G1241" s="1146">
        <v>0</v>
      </c>
      <c r="H1241" s="1146">
        <v>0</v>
      </c>
      <c r="I1241" s="1146">
        <v>0</v>
      </c>
      <c r="J1241" s="1147">
        <v>0</v>
      </c>
      <c r="K1241" s="1147">
        <v>0</v>
      </c>
      <c r="L1241" s="1148"/>
      <c r="M1241" s="959"/>
      <c r="N1241" s="959"/>
      <c r="O1241" s="1149"/>
      <c r="V1241" s="9"/>
      <c r="W1241" s="9"/>
      <c r="X1241" s="9"/>
      <c r="Y1241" s="9"/>
      <c r="Z1241" s="9"/>
      <c r="AA1241" s="9"/>
      <c r="AB1241" s="9"/>
      <c r="AC1241" s="237">
        <f>MAX(J1242/J1272)</f>
        <v>5.1985690938569163E-3</v>
      </c>
      <c r="AD1241" s="235">
        <f t="shared" si="230"/>
        <v>38443.418449071898</v>
      </c>
      <c r="AE1241" s="238">
        <f>MAX(I1242/I1272)</f>
        <v>8.9373491822325509E-3</v>
      </c>
      <c r="AF1241" s="235">
        <f t="shared" si="231"/>
        <v>322441.91326209676</v>
      </c>
      <c r="AG1241" s="238">
        <f>MAX(H1242/H1272)</f>
        <v>6.8768696489358043E-3</v>
      </c>
      <c r="AH1241" s="235">
        <f t="shared" si="232"/>
        <v>0</v>
      </c>
    </row>
    <row r="1242" spans="1:34" ht="15" customHeight="1" x14ac:dyDescent="0.2">
      <c r="A1242" s="962" t="s">
        <v>363</v>
      </c>
      <c r="B1242" s="956">
        <v>6</v>
      </c>
      <c r="C1242" s="1146">
        <v>5</v>
      </c>
      <c r="D1242" s="1146">
        <v>0</v>
      </c>
      <c r="E1242" s="1146">
        <v>0</v>
      </c>
      <c r="F1242" s="1146">
        <v>0</v>
      </c>
      <c r="G1242" s="1146">
        <v>0</v>
      </c>
      <c r="H1242" s="1146">
        <v>6</v>
      </c>
      <c r="I1242" s="1146">
        <v>11</v>
      </c>
      <c r="J1242" s="1147">
        <v>48</v>
      </c>
      <c r="K1242" s="1147">
        <v>8</v>
      </c>
      <c r="L1242" s="1066" t="s">
        <v>988</v>
      </c>
      <c r="M1242" s="2077">
        <v>7395000</v>
      </c>
      <c r="N1242" s="959">
        <v>36078025.674896002</v>
      </c>
      <c r="O1242" s="1149"/>
      <c r="P1242" s="950"/>
      <c r="Q1242" s="950"/>
      <c r="R1242" s="950"/>
      <c r="S1242" s="9"/>
      <c r="T1242" s="9"/>
      <c r="U1242" s="9"/>
      <c r="V1242" s="9"/>
      <c r="W1242" s="9"/>
      <c r="X1242" s="9"/>
      <c r="Y1242" s="9"/>
      <c r="Z1242" s="9"/>
      <c r="AA1242" s="9"/>
      <c r="AB1242" s="1969"/>
      <c r="AC1242" s="237">
        <f>MAX(J1243/J1272)</f>
        <v>0</v>
      </c>
      <c r="AD1242" s="235">
        <f t="shared" si="230"/>
        <v>0</v>
      </c>
      <c r="AE1242" s="238">
        <f>MAX(I1243/I1272)</f>
        <v>1.6249725785877365E-3</v>
      </c>
      <c r="AF1242" s="235">
        <f t="shared" si="231"/>
        <v>58625.802411290315</v>
      </c>
      <c r="AG1242" s="238">
        <f>MAX(H1243/H1272)</f>
        <v>0</v>
      </c>
      <c r="AH1242" s="235">
        <f t="shared" si="232"/>
        <v>0</v>
      </c>
    </row>
    <row r="1243" spans="1:34" ht="15" customHeight="1" x14ac:dyDescent="0.2">
      <c r="A1243" s="962" t="s">
        <v>939</v>
      </c>
      <c r="B1243" s="956">
        <v>2</v>
      </c>
      <c r="C1243" s="1146">
        <v>0</v>
      </c>
      <c r="D1243" s="1146">
        <v>0</v>
      </c>
      <c r="E1243" s="1146">
        <v>0</v>
      </c>
      <c r="F1243" s="1146">
        <v>0</v>
      </c>
      <c r="G1243" s="1146">
        <v>2</v>
      </c>
      <c r="H1243" s="1146">
        <v>0</v>
      </c>
      <c r="I1243" s="1146">
        <v>2</v>
      </c>
      <c r="J1243" s="1147">
        <v>0</v>
      </c>
      <c r="K1243" s="1147">
        <v>7</v>
      </c>
      <c r="L1243" s="1066" t="s">
        <v>988</v>
      </c>
      <c r="M1243" s="2077">
        <v>7395000</v>
      </c>
      <c r="N1243" s="959">
        <v>36078025.674896002</v>
      </c>
      <c r="O1243" s="1149"/>
      <c r="V1243" s="9"/>
      <c r="W1243" s="9"/>
      <c r="X1243" s="9"/>
      <c r="Y1243" s="9"/>
      <c r="Z1243" s="9"/>
      <c r="AA1243" s="9"/>
      <c r="AB1243" s="1969"/>
      <c r="AC1243" s="237">
        <f>MAX(J1244/J1272)</f>
        <v>2.1660704557737131E-4</v>
      </c>
      <c r="AD1243" s="235">
        <f t="shared" si="230"/>
        <v>1601.8091020446609</v>
      </c>
      <c r="AE1243" s="238">
        <f>MAX(I1244/I1272)</f>
        <v>3.6968126162871002E-3</v>
      </c>
      <c r="AF1243" s="235">
        <f t="shared" si="231"/>
        <v>133373.70048568546</v>
      </c>
      <c r="AG1243" s="238">
        <f>MAX(H1244/H1272)</f>
        <v>2.8653623537232492E-4</v>
      </c>
      <c r="AH1243" s="235">
        <f t="shared" si="232"/>
        <v>0</v>
      </c>
    </row>
    <row r="1244" spans="1:34" ht="15" customHeight="1" x14ac:dyDescent="0.2">
      <c r="A1244" s="962" t="s">
        <v>365</v>
      </c>
      <c r="B1244" s="956">
        <v>2.5499999999999998</v>
      </c>
      <c r="C1244" s="1146">
        <v>2</v>
      </c>
      <c r="D1244" s="1146">
        <v>0.5</v>
      </c>
      <c r="E1244" s="1146">
        <v>0</v>
      </c>
      <c r="F1244" s="1146">
        <v>0</v>
      </c>
      <c r="G1244" s="1146">
        <v>1.8</v>
      </c>
      <c r="H1244" s="1146">
        <v>0.24999999999999978</v>
      </c>
      <c r="I1244" s="1146">
        <v>4.55</v>
      </c>
      <c r="J1244" s="1147">
        <v>1.9999999999999982</v>
      </c>
      <c r="K1244" s="1147">
        <v>8</v>
      </c>
      <c r="L1244" s="1066" t="s">
        <v>988</v>
      </c>
      <c r="M1244" s="2077">
        <v>7395000</v>
      </c>
      <c r="N1244" s="959">
        <v>36078025.674896002</v>
      </c>
      <c r="O1244" s="1149"/>
      <c r="V1244" s="9"/>
      <c r="W1244" s="9"/>
      <c r="X1244" s="9"/>
      <c r="Y1244" s="9"/>
      <c r="Z1244" s="9"/>
      <c r="AA1244" s="9"/>
      <c r="AB1244" s="1969"/>
      <c r="AC1244" s="237">
        <f>MAX(J1245/J1272)</f>
        <v>0</v>
      </c>
      <c r="AD1244" s="235">
        <f t="shared" si="230"/>
        <v>0</v>
      </c>
      <c r="AE1244" s="238">
        <f>MAX(I1245/I1272)</f>
        <v>0</v>
      </c>
      <c r="AF1244" s="235">
        <f t="shared" si="231"/>
        <v>0</v>
      </c>
      <c r="AG1244" s="238">
        <f>MAX(H1245/H1272)</f>
        <v>0</v>
      </c>
      <c r="AH1244" s="235">
        <f t="shared" si="232"/>
        <v>0</v>
      </c>
    </row>
    <row r="1245" spans="1:34" ht="15" customHeight="1" x14ac:dyDescent="0.2">
      <c r="A1245" s="962" t="s">
        <v>366</v>
      </c>
      <c r="B1245" s="956">
        <v>0</v>
      </c>
      <c r="C1245" s="1146"/>
      <c r="D1245" s="1146"/>
      <c r="E1245" s="1146"/>
      <c r="F1245" s="1146"/>
      <c r="G1245" s="1146"/>
      <c r="H1245" s="1146">
        <v>0</v>
      </c>
      <c r="I1245" s="1146">
        <v>0</v>
      </c>
      <c r="J1245" s="1147">
        <v>0</v>
      </c>
      <c r="K1245" s="1147"/>
      <c r="L1245" s="1148"/>
      <c r="M1245" s="959"/>
      <c r="N1245" s="1533"/>
      <c r="O1245" s="1149"/>
      <c r="V1245" s="9"/>
      <c r="W1245" s="9"/>
      <c r="X1245" s="9"/>
      <c r="Y1245" s="9"/>
      <c r="Z1245" s="9"/>
      <c r="AA1245" s="9"/>
      <c r="AB1245" s="1969"/>
      <c r="AC1245" s="237">
        <f>MAX(J1246/J1272)</f>
        <v>0</v>
      </c>
      <c r="AD1245" s="235">
        <f t="shared" si="230"/>
        <v>0</v>
      </c>
      <c r="AE1245" s="238">
        <f>MAX(I1246/I1272)</f>
        <v>0</v>
      </c>
      <c r="AF1245" s="235">
        <f t="shared" si="231"/>
        <v>0</v>
      </c>
      <c r="AG1245" s="238">
        <f>MAX(H1246/H1272)</f>
        <v>0</v>
      </c>
      <c r="AH1245" s="235">
        <f t="shared" si="232"/>
        <v>0</v>
      </c>
    </row>
    <row r="1246" spans="1:34" ht="15" customHeight="1" x14ac:dyDescent="0.2">
      <c r="A1246" s="962" t="s">
        <v>367</v>
      </c>
      <c r="B1246" s="956">
        <v>0</v>
      </c>
      <c r="C1246" s="1146"/>
      <c r="D1246" s="1146"/>
      <c r="E1246" s="1146"/>
      <c r="F1246" s="1146"/>
      <c r="G1246" s="1146"/>
      <c r="H1246" s="1146">
        <v>0</v>
      </c>
      <c r="I1246" s="1146">
        <v>0</v>
      </c>
      <c r="J1246" s="1147">
        <v>0</v>
      </c>
      <c r="K1246" s="1147"/>
      <c r="L1246" s="1148"/>
      <c r="M1246" s="959"/>
      <c r="N1246" s="1533"/>
      <c r="O1246" s="1149"/>
      <c r="V1246" s="9"/>
      <c r="W1246" s="9"/>
      <c r="X1246" s="9"/>
      <c r="Y1246" s="9"/>
      <c r="Z1246" s="9"/>
      <c r="AA1246" s="9"/>
      <c r="AB1246" s="1969"/>
      <c r="AC1246" s="1157"/>
      <c r="AD1246" s="1156"/>
      <c r="AE1246" s="1158"/>
      <c r="AF1246" s="1156"/>
      <c r="AG1246" s="1158"/>
      <c r="AH1246" s="1156"/>
    </row>
    <row r="1247" spans="1:34" ht="15" customHeight="1" x14ac:dyDescent="0.2">
      <c r="A1247" s="434" t="s">
        <v>940</v>
      </c>
      <c r="B1247" s="1002">
        <v>87.25</v>
      </c>
      <c r="C1247" s="1002">
        <v>16</v>
      </c>
      <c r="D1247" s="1002">
        <v>0</v>
      </c>
      <c r="E1247" s="1002">
        <v>1</v>
      </c>
      <c r="F1247" s="1002">
        <v>1</v>
      </c>
      <c r="G1247" s="1002">
        <v>26</v>
      </c>
      <c r="H1247" s="1002">
        <v>59.25</v>
      </c>
      <c r="I1247" s="1002">
        <v>101.25</v>
      </c>
      <c r="J1247" s="1150">
        <v>481.5</v>
      </c>
      <c r="K1247" s="1150">
        <v>8.1265822784810133</v>
      </c>
      <c r="L1247" s="1152"/>
      <c r="M1247" s="996"/>
      <c r="N1247" s="435"/>
      <c r="O1247" s="1153"/>
      <c r="V1247" s="9"/>
      <c r="W1247" s="9"/>
      <c r="X1247" s="9"/>
      <c r="Y1247" s="9"/>
      <c r="Z1247" s="9"/>
      <c r="AA1247" s="9"/>
      <c r="AB1247" s="1969"/>
      <c r="AC1247" s="237">
        <f>MAX(J1248/J1272)</f>
        <v>1.2563208643487547E-2</v>
      </c>
      <c r="AD1247" s="235">
        <f>MAX(M1248*AC1247)</f>
        <v>92904.927918590416</v>
      </c>
      <c r="AE1247" s="238">
        <f>MAX(I1248/I1272)</f>
        <v>2.2343372955581375E-2</v>
      </c>
      <c r="AF1247" s="235">
        <f>MAX(N1248*AE1247)</f>
        <v>806104.78315524175</v>
      </c>
      <c r="AG1247" s="238">
        <f>MAX(H1248/H1272)</f>
        <v>1.6619101651594862E-2</v>
      </c>
      <c r="AH1247" s="235">
        <f>MAX(O1248*AG1247)</f>
        <v>0</v>
      </c>
    </row>
    <row r="1248" spans="1:34" ht="15" customHeight="1" x14ac:dyDescent="0.2">
      <c r="A1248" s="962" t="s">
        <v>369</v>
      </c>
      <c r="B1248" s="956">
        <v>24.5</v>
      </c>
      <c r="C1248" s="1146">
        <v>5</v>
      </c>
      <c r="D1248" s="1146">
        <v>0</v>
      </c>
      <c r="E1248" s="1146">
        <v>1</v>
      </c>
      <c r="F1248" s="1146">
        <v>1</v>
      </c>
      <c r="G1248" s="1146">
        <v>8</v>
      </c>
      <c r="H1248" s="1146">
        <v>14.5</v>
      </c>
      <c r="I1248" s="1146">
        <v>27.5</v>
      </c>
      <c r="J1248" s="1147">
        <v>116</v>
      </c>
      <c r="K1248" s="1147">
        <v>8</v>
      </c>
      <c r="L1248" s="1066" t="s">
        <v>988</v>
      </c>
      <c r="M1248" s="2077">
        <v>7395000</v>
      </c>
      <c r="N1248" s="959">
        <v>36078025.674896002</v>
      </c>
      <c r="O1248" s="1067"/>
      <c r="P1248" s="950"/>
      <c r="Q1248" s="950"/>
      <c r="R1248" s="950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237">
        <f>MAX(J1249/J1272)</f>
        <v>3.2057842745450982E-2</v>
      </c>
      <c r="AD1248" s="235">
        <f>MAX(M1249*AC1248)</f>
        <v>237067.74710261001</v>
      </c>
      <c r="AE1248" s="238">
        <f>MAX(I1249/I1272)</f>
        <v>4.7936691068338221E-2</v>
      </c>
      <c r="AF1248" s="235">
        <f>MAX(N1249*AE1248)</f>
        <v>1729461.1711330642</v>
      </c>
      <c r="AG1248" s="238">
        <f>MAX(H1249/H1272)</f>
        <v>4.2407362835104129E-2</v>
      </c>
      <c r="AH1248" s="235">
        <f>MAX(O1249*AG1248)</f>
        <v>0</v>
      </c>
    </row>
    <row r="1249" spans="1:34" ht="15" customHeight="1" x14ac:dyDescent="0.2">
      <c r="A1249" s="962" t="s">
        <v>370</v>
      </c>
      <c r="B1249" s="245">
        <v>50</v>
      </c>
      <c r="C1249" s="1146">
        <v>9</v>
      </c>
      <c r="D1249" s="1146">
        <v>0</v>
      </c>
      <c r="E1249" s="1146">
        <v>0</v>
      </c>
      <c r="F1249" s="1146">
        <v>0</v>
      </c>
      <c r="G1249" s="1146">
        <v>13</v>
      </c>
      <c r="H1249" s="1146">
        <v>37</v>
      </c>
      <c r="I1249" s="1146">
        <v>59</v>
      </c>
      <c r="J1249" s="1147">
        <v>296</v>
      </c>
      <c r="K1249" s="1147">
        <v>8</v>
      </c>
      <c r="L1249" s="1066" t="s">
        <v>988</v>
      </c>
      <c r="M1249" s="2077">
        <v>7395000</v>
      </c>
      <c r="N1249" s="959">
        <v>36078025.674896002</v>
      </c>
      <c r="O1249" s="1067"/>
      <c r="P1249" s="950"/>
      <c r="Q1249" s="950"/>
      <c r="R1249" s="950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237">
        <f>MAX(J1250/J1272)</f>
        <v>5.1444173324625732E-3</v>
      </c>
      <c r="AD1249" s="235">
        <f>MAX(M1250*AC1249)</f>
        <v>38042.96617356073</v>
      </c>
      <c r="AE1249" s="238">
        <f>MAX(I1250/I1272)</f>
        <v>8.7342276099090822E-3</v>
      </c>
      <c r="AF1249" s="235">
        <f>MAX(N1250*AE1249)</f>
        <v>315113.68796068541</v>
      </c>
      <c r="AG1249" s="238">
        <f>MAX(H1250/H1272)</f>
        <v>5.4441884720741783E-3</v>
      </c>
      <c r="AH1249" s="235">
        <f>MAX(O1250*AG1249)</f>
        <v>0</v>
      </c>
    </row>
    <row r="1250" spans="1:34" ht="15" customHeight="1" x14ac:dyDescent="0.2">
      <c r="A1250" s="962" t="s">
        <v>371</v>
      </c>
      <c r="B1250" s="956">
        <v>8.75</v>
      </c>
      <c r="C1250" s="1146">
        <v>2</v>
      </c>
      <c r="D1250" s="1146">
        <v>0</v>
      </c>
      <c r="E1250" s="1146">
        <v>0</v>
      </c>
      <c r="F1250" s="1146">
        <v>0</v>
      </c>
      <c r="G1250" s="1146">
        <v>4</v>
      </c>
      <c r="H1250" s="1146">
        <v>4.75</v>
      </c>
      <c r="I1250" s="1146">
        <v>10.75</v>
      </c>
      <c r="J1250" s="1147">
        <v>47.5</v>
      </c>
      <c r="K1250" s="1147">
        <v>10</v>
      </c>
      <c r="L1250" s="1066" t="s">
        <v>988</v>
      </c>
      <c r="M1250" s="2077">
        <v>7395000</v>
      </c>
      <c r="N1250" s="959">
        <v>36078025.674896002</v>
      </c>
      <c r="O1250" s="1067"/>
      <c r="P1250" s="9"/>
      <c r="Q1250" s="950"/>
      <c r="R1250" s="950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237">
        <f>MAX(J1251/J1272)</f>
        <v>1.5162493190416005E-3</v>
      </c>
      <c r="AD1250" s="235">
        <f>MAX(M1251*AC1250)</f>
        <v>11212.663714312635</v>
      </c>
      <c r="AE1250" s="238">
        <f>MAX(I1251/I1272)</f>
        <v>2.4374588678816047E-3</v>
      </c>
      <c r="AF1250" s="235">
        <f>MAX(N1251*AE1250)</f>
        <v>87938.703616935469</v>
      </c>
      <c r="AG1250" s="238">
        <f>MAX(H1251/H1272)</f>
        <v>2.2922898829786016E-3</v>
      </c>
      <c r="AH1250" s="235">
        <f>MAX(O1251*AG1250)</f>
        <v>0</v>
      </c>
    </row>
    <row r="1251" spans="1:34" ht="15" customHeight="1" x14ac:dyDescent="0.2">
      <c r="A1251" s="962" t="s">
        <v>372</v>
      </c>
      <c r="B1251" s="956">
        <v>3</v>
      </c>
      <c r="C1251" s="1146">
        <v>0</v>
      </c>
      <c r="D1251" s="1146">
        <v>0</v>
      </c>
      <c r="E1251" s="1146">
        <v>0</v>
      </c>
      <c r="F1251" s="1146">
        <v>0</v>
      </c>
      <c r="G1251" s="1146">
        <v>1</v>
      </c>
      <c r="H1251" s="1146">
        <v>2</v>
      </c>
      <c r="I1251" s="1146">
        <v>3</v>
      </c>
      <c r="J1251" s="1147">
        <v>14</v>
      </c>
      <c r="K1251" s="1147">
        <v>7</v>
      </c>
      <c r="L1251" s="1066" t="s">
        <v>988</v>
      </c>
      <c r="M1251" s="2077">
        <v>7395000</v>
      </c>
      <c r="N1251" s="959">
        <v>36078025.674896002</v>
      </c>
      <c r="O1251" s="1149"/>
      <c r="V1251" s="9"/>
      <c r="W1251" s="9"/>
      <c r="X1251" s="9"/>
      <c r="Y1251" s="9"/>
      <c r="Z1251" s="9"/>
      <c r="AA1251" s="9"/>
      <c r="AB1251" s="9"/>
      <c r="AC1251" s="237">
        <f>MAX(J1252/J1272)</f>
        <v>8.6642818230948601E-4</v>
      </c>
      <c r="AD1251" s="235">
        <f>MAX(M1252*AC1251)</f>
        <v>6407.2364081786491</v>
      </c>
      <c r="AE1251" s="238">
        <f>MAX(I1252/I1272)</f>
        <v>8.1248628929386823E-4</v>
      </c>
      <c r="AF1251" s="235">
        <f>MAX(N1252*AE1251)</f>
        <v>29312.901205645157</v>
      </c>
      <c r="AG1251" s="238">
        <f>MAX(H1252/H1272)</f>
        <v>1.1461449414893008E-3</v>
      </c>
      <c r="AH1251" s="235">
        <f>MAX(O1252*AG1251)</f>
        <v>0</v>
      </c>
    </row>
    <row r="1252" spans="1:34" ht="15" customHeight="1" x14ac:dyDescent="0.2">
      <c r="A1252" s="962" t="s">
        <v>373</v>
      </c>
      <c r="B1252" s="956">
        <v>1</v>
      </c>
      <c r="C1252" s="1146">
        <v>0</v>
      </c>
      <c r="D1252" s="1146">
        <v>0</v>
      </c>
      <c r="E1252" s="1146">
        <v>0</v>
      </c>
      <c r="F1252" s="1146">
        <v>0</v>
      </c>
      <c r="G1252" s="1146">
        <v>0</v>
      </c>
      <c r="H1252" s="1146">
        <v>1</v>
      </c>
      <c r="I1252" s="1146">
        <v>1</v>
      </c>
      <c r="J1252" s="1147">
        <v>8</v>
      </c>
      <c r="K1252" s="1147">
        <v>8</v>
      </c>
      <c r="L1252" s="1066" t="s">
        <v>988</v>
      </c>
      <c r="M1252" s="2077">
        <v>7395000</v>
      </c>
      <c r="N1252" s="959">
        <v>36078025.674896002</v>
      </c>
      <c r="O1252" s="1149"/>
      <c r="V1252" s="9"/>
      <c r="W1252" s="9"/>
      <c r="X1252" s="9"/>
      <c r="Y1252" s="9"/>
      <c r="Z1252" s="9"/>
      <c r="AA1252" s="9"/>
      <c r="AB1252" s="9"/>
      <c r="AC1252" s="1157"/>
      <c r="AD1252" s="1156"/>
      <c r="AE1252" s="1158"/>
      <c r="AF1252" s="1156"/>
      <c r="AG1252" s="1158"/>
      <c r="AH1252" s="1156"/>
    </row>
    <row r="1253" spans="1:34" ht="15" customHeight="1" x14ac:dyDescent="0.2">
      <c r="A1253" s="1154" t="s">
        <v>374</v>
      </c>
      <c r="B1253" s="1002">
        <v>143.79000000000002</v>
      </c>
      <c r="C1253" s="1002">
        <v>22</v>
      </c>
      <c r="D1253" s="1002">
        <v>1</v>
      </c>
      <c r="E1253" s="1002">
        <v>2</v>
      </c>
      <c r="F1253" s="1002">
        <v>11</v>
      </c>
      <c r="G1253" s="1002">
        <v>18.5</v>
      </c>
      <c r="H1253" s="1002">
        <v>111.29</v>
      </c>
      <c r="I1253" s="1002">
        <v>152.79000000000002</v>
      </c>
      <c r="J1253" s="1150">
        <v>1082.9100000000001</v>
      </c>
      <c r="K1253" s="1150">
        <v>9.7305238565908887</v>
      </c>
      <c r="L1253" s="1152"/>
      <c r="M1253" s="996"/>
      <c r="N1253" s="435"/>
      <c r="O1253" s="1153"/>
      <c r="V1253" s="9"/>
      <c r="W1253" s="9"/>
      <c r="X1253" s="9"/>
      <c r="Y1253" s="9"/>
      <c r="Z1253" s="9"/>
      <c r="AA1253" s="9"/>
      <c r="AB1253" s="9"/>
      <c r="AC1253" s="237">
        <f>MAX(J1254/J1272)</f>
        <v>2.653436308322801E-2</v>
      </c>
      <c r="AD1253" s="235">
        <f t="shared" ref="AD1253:AD1260" si="233">MAX(M1254*AC1253)</f>
        <v>196221.61500047112</v>
      </c>
      <c r="AE1253" s="238">
        <f>MAX(I1254/I1272)</f>
        <v>3.2093208427107792E-2</v>
      </c>
      <c r="AF1253" s="235">
        <f t="shared" ref="AF1253:AF1260" si="234">MAX(N1254*AE1253)</f>
        <v>1157859.5976229836</v>
      </c>
      <c r="AG1253" s="238">
        <f>MAX(H1254/H1272)</f>
        <v>2.8080551066487866E-2</v>
      </c>
      <c r="AH1253" s="235">
        <f t="shared" ref="AH1253:AH1260" si="235">MAX(O1254*AG1253)</f>
        <v>0</v>
      </c>
    </row>
    <row r="1254" spans="1:34" ht="15" customHeight="1" x14ac:dyDescent="0.2">
      <c r="A1254" s="962" t="s">
        <v>375</v>
      </c>
      <c r="B1254" s="956">
        <v>28.5</v>
      </c>
      <c r="C1254" s="1146">
        <v>12</v>
      </c>
      <c r="D1254" s="1146">
        <v>1</v>
      </c>
      <c r="E1254" s="1146">
        <v>0</v>
      </c>
      <c r="F1254" s="1146">
        <v>1</v>
      </c>
      <c r="G1254" s="1146">
        <v>2</v>
      </c>
      <c r="H1254" s="1146">
        <v>24.5</v>
      </c>
      <c r="I1254" s="1146">
        <v>39.5</v>
      </c>
      <c r="J1254" s="1147">
        <v>245</v>
      </c>
      <c r="K1254" s="1147">
        <v>10</v>
      </c>
      <c r="L1254" s="1066" t="s">
        <v>988</v>
      </c>
      <c r="M1254" s="2077">
        <v>7395000</v>
      </c>
      <c r="N1254" s="959">
        <v>36078025.674896002</v>
      </c>
      <c r="O1254" s="1067"/>
      <c r="P1254" s="950"/>
      <c r="Q1254" s="950"/>
      <c r="R1254" s="950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237">
        <f>MAX(J1255/J1272)</f>
        <v>4.8639112084398776E-3</v>
      </c>
      <c r="AD1254" s="235">
        <f t="shared" si="233"/>
        <v>35968.623386412895</v>
      </c>
      <c r="AE1254" s="238">
        <f>MAX(I1255/I1272)</f>
        <v>7.3042517407518751E-3</v>
      </c>
      <c r="AF1254" s="235">
        <f t="shared" si="234"/>
        <v>263522.98183874995</v>
      </c>
      <c r="AG1254" s="238">
        <f>MAX(H1255/H1272)</f>
        <v>5.7192632580316104E-3</v>
      </c>
      <c r="AH1254" s="235">
        <f t="shared" si="235"/>
        <v>0</v>
      </c>
    </row>
    <row r="1255" spans="1:34" ht="15" customHeight="1" x14ac:dyDescent="0.2">
      <c r="A1255" s="962" t="s">
        <v>376</v>
      </c>
      <c r="B1255" s="956">
        <v>4.99</v>
      </c>
      <c r="C1255" s="1146">
        <v>4</v>
      </c>
      <c r="D1255" s="1146">
        <v>0</v>
      </c>
      <c r="E1255" s="1146">
        <v>0</v>
      </c>
      <c r="F1255" s="1146">
        <v>0</v>
      </c>
      <c r="G1255" s="1146">
        <v>0</v>
      </c>
      <c r="H1255" s="1146">
        <v>4.99</v>
      </c>
      <c r="I1255" s="1146">
        <v>8.99</v>
      </c>
      <c r="J1255" s="1147">
        <v>44.910000000000004</v>
      </c>
      <c r="K1255" s="1147">
        <v>9</v>
      </c>
      <c r="L1255" s="1066" t="s">
        <v>988</v>
      </c>
      <c r="M1255" s="2077">
        <v>7395000</v>
      </c>
      <c r="N1255" s="959">
        <v>36078025.674896002</v>
      </c>
      <c r="O1255" s="1067"/>
      <c r="P1255" s="950"/>
      <c r="Q1255" s="950"/>
      <c r="R1255" s="950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237">
        <f>MAX(J1256/J1272)</f>
        <v>0</v>
      </c>
      <c r="AD1255" s="235">
        <f t="shared" si="233"/>
        <v>0</v>
      </c>
      <c r="AE1255" s="238">
        <f>MAX(I1256/I1272)</f>
        <v>0</v>
      </c>
      <c r="AF1255" s="235">
        <f t="shared" si="234"/>
        <v>0</v>
      </c>
      <c r="AG1255" s="238">
        <f>MAX(H1256/H1272)</f>
        <v>0</v>
      </c>
      <c r="AH1255" s="235">
        <f t="shared" si="235"/>
        <v>0</v>
      </c>
    </row>
    <row r="1256" spans="1:34" ht="15" customHeight="1" x14ac:dyDescent="0.2">
      <c r="A1256" s="962" t="s">
        <v>377</v>
      </c>
      <c r="B1256" s="956">
        <v>0</v>
      </c>
      <c r="C1256" s="1146"/>
      <c r="D1256" s="1146"/>
      <c r="E1256" s="1146"/>
      <c r="F1256" s="1146"/>
      <c r="G1256" s="1146"/>
      <c r="H1256" s="1146">
        <v>0</v>
      </c>
      <c r="I1256" s="1146">
        <v>0</v>
      </c>
      <c r="J1256" s="1147">
        <v>0</v>
      </c>
      <c r="K1256" s="1147"/>
      <c r="L1256" s="1148"/>
      <c r="M1256" s="959"/>
      <c r="N1256" s="1533"/>
      <c r="O1256" s="1149"/>
      <c r="U1256" s="9"/>
      <c r="V1256" s="9"/>
      <c r="W1256" s="9"/>
      <c r="X1256" s="9"/>
      <c r="Y1256" s="9"/>
      <c r="Z1256" s="9"/>
      <c r="AA1256" s="9"/>
      <c r="AB1256" s="9"/>
      <c r="AC1256" s="237">
        <f>MAX(J1257/J1272)</f>
        <v>1.3158878018825319E-2</v>
      </c>
      <c r="AD1256" s="235">
        <f t="shared" si="233"/>
        <v>97309.902949213225</v>
      </c>
      <c r="AE1256" s="238">
        <f>MAX(I1257/I1272)</f>
        <v>1.096856490546722E-2</v>
      </c>
      <c r="AF1256" s="235">
        <f t="shared" si="234"/>
        <v>395724.16627620964</v>
      </c>
      <c r="AG1256" s="238">
        <f>MAX(H1257/H1272)</f>
        <v>1.5472956710105559E-2</v>
      </c>
      <c r="AH1256" s="235">
        <f t="shared" si="235"/>
        <v>0</v>
      </c>
    </row>
    <row r="1257" spans="1:34" ht="15" customHeight="1" x14ac:dyDescent="0.2">
      <c r="A1257" s="962" t="s">
        <v>378</v>
      </c>
      <c r="B1257" s="956">
        <v>13.5</v>
      </c>
      <c r="C1257" s="1146">
        <v>0</v>
      </c>
      <c r="D1257" s="1146">
        <v>0</v>
      </c>
      <c r="E1257" s="1146">
        <v>0</v>
      </c>
      <c r="F1257" s="1146">
        <v>0</v>
      </c>
      <c r="G1257" s="1146">
        <v>0</v>
      </c>
      <c r="H1257" s="1146">
        <v>13.5</v>
      </c>
      <c r="I1257" s="1146">
        <v>13.5</v>
      </c>
      <c r="J1257" s="1147">
        <v>121.5</v>
      </c>
      <c r="K1257" s="1147">
        <v>9</v>
      </c>
      <c r="L1257" s="1066" t="s">
        <v>988</v>
      </c>
      <c r="M1257" s="2077">
        <v>7395000</v>
      </c>
      <c r="N1257" s="959">
        <v>36078025.674896002</v>
      </c>
      <c r="O1257" s="1067"/>
      <c r="P1257" s="950"/>
      <c r="Q1257" s="950"/>
      <c r="R1257" s="950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237">
        <f>MAX(J1258/J1272)</f>
        <v>8.28521949333446E-3</v>
      </c>
      <c r="AD1257" s="235">
        <f t="shared" si="233"/>
        <v>61269.19815320833</v>
      </c>
      <c r="AE1257" s="238">
        <f>MAX(I1258/I1272)</f>
        <v>1.0562321760820286E-2</v>
      </c>
      <c r="AF1257" s="235">
        <f t="shared" si="234"/>
        <v>381067.71567338705</v>
      </c>
      <c r="AG1257" s="238">
        <f>MAX(H1258/H1272)</f>
        <v>9.742232002659057E-3</v>
      </c>
      <c r="AH1257" s="235">
        <f t="shared" si="235"/>
        <v>0</v>
      </c>
    </row>
    <row r="1258" spans="1:34" ht="15" customHeight="1" x14ac:dyDescent="0.2">
      <c r="A1258" s="962" t="s">
        <v>379</v>
      </c>
      <c r="B1258" s="956">
        <v>17</v>
      </c>
      <c r="C1258" s="1146"/>
      <c r="D1258" s="1146"/>
      <c r="E1258" s="1146"/>
      <c r="F1258" s="1146">
        <v>4</v>
      </c>
      <c r="G1258" s="1146">
        <v>4.5</v>
      </c>
      <c r="H1258" s="1146">
        <v>8.5</v>
      </c>
      <c r="I1258" s="1146">
        <v>13</v>
      </c>
      <c r="J1258" s="1147">
        <v>76.5</v>
      </c>
      <c r="K1258" s="1147">
        <v>9</v>
      </c>
      <c r="L1258" s="1066" t="s">
        <v>988</v>
      </c>
      <c r="M1258" s="2077">
        <v>7395000</v>
      </c>
      <c r="N1258" s="959">
        <v>36078025.674896002</v>
      </c>
      <c r="O1258" s="1067"/>
      <c r="P1258" s="950"/>
      <c r="Q1258" s="950"/>
      <c r="R1258" s="950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237">
        <f>MAX(J1259/J1272)</f>
        <v>2.9241951152945153E-3</v>
      </c>
      <c r="AD1258" s="235">
        <f t="shared" si="233"/>
        <v>21624.422877602941</v>
      </c>
      <c r="AE1258" s="238">
        <f>MAX(I1259/I1272)</f>
        <v>4.0624314464693407E-3</v>
      </c>
      <c r="AF1258" s="235">
        <f t="shared" si="234"/>
        <v>146564.50602822576</v>
      </c>
      <c r="AG1258" s="238">
        <f>MAX(H1259/H1272)</f>
        <v>3.4384348244679021E-3</v>
      </c>
      <c r="AH1258" s="235">
        <f t="shared" si="235"/>
        <v>0</v>
      </c>
    </row>
    <row r="1259" spans="1:34" ht="15" customHeight="1" x14ac:dyDescent="0.2">
      <c r="A1259" s="962" t="s">
        <v>380</v>
      </c>
      <c r="B1259" s="956">
        <v>5</v>
      </c>
      <c r="C1259" s="1146">
        <v>0</v>
      </c>
      <c r="D1259" s="1146">
        <v>0</v>
      </c>
      <c r="E1259" s="1146">
        <v>0</v>
      </c>
      <c r="F1259" s="1146">
        <v>0</v>
      </c>
      <c r="G1259" s="1146">
        <v>2</v>
      </c>
      <c r="H1259" s="1146">
        <v>3</v>
      </c>
      <c r="I1259" s="1146">
        <v>5</v>
      </c>
      <c r="J1259" s="1147">
        <v>27</v>
      </c>
      <c r="K1259" s="1147">
        <v>9</v>
      </c>
      <c r="L1259" s="1066" t="s">
        <v>988</v>
      </c>
      <c r="M1259" s="2077">
        <v>7395000</v>
      </c>
      <c r="N1259" s="959">
        <v>36078025.674896002</v>
      </c>
      <c r="O1259" s="1149"/>
      <c r="P1259" s="950"/>
      <c r="Q1259" s="950"/>
      <c r="R1259" s="950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237">
        <f>MAX(J1260/J1272)</f>
        <v>2.0577669329850293E-2</v>
      </c>
      <c r="AD1259" s="235">
        <f t="shared" si="233"/>
        <v>152171.86469424292</v>
      </c>
      <c r="AE1259" s="238">
        <f>MAX(I1260/I1272)</f>
        <v>2.3562102389522176E-2</v>
      </c>
      <c r="AF1259" s="235">
        <f t="shared" si="234"/>
        <v>850074.13496370951</v>
      </c>
      <c r="AG1259" s="238">
        <f>MAX(H1260/H1272)</f>
        <v>2.1776753888296713E-2</v>
      </c>
      <c r="AH1259" s="235">
        <f t="shared" si="235"/>
        <v>0</v>
      </c>
    </row>
    <row r="1260" spans="1:34" ht="15" customHeight="1" x14ac:dyDescent="0.2">
      <c r="A1260" s="962" t="s">
        <v>381</v>
      </c>
      <c r="B1260" s="956">
        <v>37</v>
      </c>
      <c r="C1260" s="1146"/>
      <c r="D1260" s="1146"/>
      <c r="E1260" s="1146">
        <v>2</v>
      </c>
      <c r="F1260" s="1146">
        <v>6</v>
      </c>
      <c r="G1260" s="1146">
        <v>10</v>
      </c>
      <c r="H1260" s="1146">
        <v>19</v>
      </c>
      <c r="I1260" s="1146">
        <v>29</v>
      </c>
      <c r="J1260" s="1147">
        <v>190</v>
      </c>
      <c r="K1260" s="1147">
        <v>10</v>
      </c>
      <c r="L1260" s="1066" t="s">
        <v>988</v>
      </c>
      <c r="M1260" s="2077">
        <v>7395000</v>
      </c>
      <c r="N1260" s="959">
        <v>36078025.674896002</v>
      </c>
      <c r="O1260" s="1067"/>
      <c r="P1260" s="950"/>
      <c r="Q1260" s="950"/>
      <c r="R1260" s="950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237">
        <f>MAX(J1261/J1272)</f>
        <v>4.0938731614123217E-2</v>
      </c>
      <c r="AD1260" s="235">
        <f t="shared" si="233"/>
        <v>302741.92028644116</v>
      </c>
      <c r="AE1260" s="238">
        <f>MAX(I1261/I1272)</f>
        <v>3.5586899471071423E-2</v>
      </c>
      <c r="AF1260" s="235">
        <f t="shared" si="234"/>
        <v>1283905.0728072578</v>
      </c>
      <c r="AG1260" s="238">
        <f>MAX(H1261/H1272)</f>
        <v>4.3324278788295562E-2</v>
      </c>
      <c r="AH1260" s="235">
        <f t="shared" si="235"/>
        <v>0</v>
      </c>
    </row>
    <row r="1261" spans="1:34" ht="15" customHeight="1" x14ac:dyDescent="0.2">
      <c r="A1261" s="962" t="s">
        <v>382</v>
      </c>
      <c r="B1261" s="956">
        <v>37.799999999999997</v>
      </c>
      <c r="C1261" s="1146">
        <v>6</v>
      </c>
      <c r="D1261" s="1146">
        <v>0</v>
      </c>
      <c r="E1261" s="1146">
        <v>0</v>
      </c>
      <c r="F1261" s="1146">
        <v>0</v>
      </c>
      <c r="G1261" s="1146">
        <v>0</v>
      </c>
      <c r="H1261" s="1146">
        <v>37.799999999999997</v>
      </c>
      <c r="I1261" s="1146">
        <v>43.8</v>
      </c>
      <c r="J1261" s="1147">
        <v>378</v>
      </c>
      <c r="K1261" s="1147">
        <v>10</v>
      </c>
      <c r="L1261" s="1066" t="s">
        <v>988</v>
      </c>
      <c r="M1261" s="2077">
        <v>7395000</v>
      </c>
      <c r="N1261" s="959">
        <v>36078025.674896002</v>
      </c>
      <c r="O1261" s="1149"/>
      <c r="P1261" s="950"/>
      <c r="Q1261" s="950"/>
      <c r="R1261" s="950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1157"/>
      <c r="AD1261" s="1156"/>
      <c r="AE1261" s="1158"/>
      <c r="AF1261" s="1156"/>
      <c r="AG1261" s="1158"/>
      <c r="AH1261" s="1156"/>
    </row>
    <row r="1262" spans="1:34" ht="15" customHeight="1" x14ac:dyDescent="0.2">
      <c r="A1262" s="1154" t="s">
        <v>383</v>
      </c>
      <c r="B1262" s="1002">
        <v>826.5</v>
      </c>
      <c r="C1262" s="1002">
        <v>96</v>
      </c>
      <c r="D1262" s="1002">
        <v>41</v>
      </c>
      <c r="E1262" s="1002">
        <v>14</v>
      </c>
      <c r="F1262" s="1002">
        <v>37</v>
      </c>
      <c r="G1262" s="1002">
        <v>106</v>
      </c>
      <c r="H1262" s="1002">
        <v>628.5</v>
      </c>
      <c r="I1262" s="1002">
        <v>871.5</v>
      </c>
      <c r="J1262" s="1150">
        <v>7202.5</v>
      </c>
      <c r="K1262" s="1150">
        <v>11.459824980111376</v>
      </c>
      <c r="L1262" s="1152"/>
      <c r="M1262" s="996"/>
      <c r="N1262" s="435"/>
      <c r="O1262" s="1153"/>
      <c r="U1262" s="9"/>
      <c r="V1262" s="9"/>
      <c r="W1262" s="9"/>
      <c r="X1262" s="9"/>
      <c r="Y1262" s="9"/>
      <c r="Z1262" s="9"/>
      <c r="AA1262" s="9"/>
      <c r="AB1262" s="9"/>
      <c r="AC1262" s="237">
        <f>MAX(J1263/J1272)</f>
        <v>4.6028997185191448E-2</v>
      </c>
      <c r="AD1262" s="235">
        <f t="shared" ref="AD1262:AD1270" si="236">MAX(M1263*AC1262)</f>
        <v>340384.43418449076</v>
      </c>
      <c r="AE1262" s="238">
        <f>MAX(I1263/I1272)</f>
        <v>3.8593098741458741E-2</v>
      </c>
      <c r="AF1262" s="235">
        <f t="shared" ref="AF1262:AF1270" si="237">MAX(N1263*AE1262)</f>
        <v>1392362.807268145</v>
      </c>
      <c r="AG1262" s="238">
        <f>MAX(H1263/H1272)</f>
        <v>4.8711160013295278E-2</v>
      </c>
      <c r="AH1262" s="235">
        <f t="shared" ref="AH1262:AH1270" si="238">MAX(O1263*AG1262)</f>
        <v>0</v>
      </c>
    </row>
    <row r="1263" spans="1:34" ht="15" customHeight="1" x14ac:dyDescent="0.2">
      <c r="A1263" s="962" t="s">
        <v>384</v>
      </c>
      <c r="B1263" s="956">
        <v>45.5</v>
      </c>
      <c r="C1263" s="1146">
        <v>2</v>
      </c>
      <c r="D1263" s="1146">
        <v>0</v>
      </c>
      <c r="E1263" s="1146">
        <v>0</v>
      </c>
      <c r="F1263" s="1146">
        <v>0</v>
      </c>
      <c r="G1263" s="1146">
        <v>3</v>
      </c>
      <c r="H1263" s="1146">
        <v>42.5</v>
      </c>
      <c r="I1263" s="1146">
        <v>47.5</v>
      </c>
      <c r="J1263" s="1147">
        <v>425</v>
      </c>
      <c r="K1263" s="1147">
        <v>10</v>
      </c>
      <c r="L1263" s="1066" t="s">
        <v>988</v>
      </c>
      <c r="M1263" s="2077">
        <v>7395000</v>
      </c>
      <c r="N1263" s="959">
        <v>36078025.674896002</v>
      </c>
      <c r="O1263" s="1067"/>
      <c r="P1263" s="9"/>
      <c r="Q1263" s="950"/>
      <c r="R1263" s="950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237">
        <f>MAX(J1264/J1272)</f>
        <v>5.9566937533777162E-2</v>
      </c>
      <c r="AD1263" s="235">
        <f t="shared" si="236"/>
        <v>440497.50306228211</v>
      </c>
      <c r="AE1263" s="238">
        <f>MAX(I1264/I1272)</f>
        <v>0.13406023773348824</v>
      </c>
      <c r="AF1263" s="235">
        <f t="shared" si="237"/>
        <v>4836628.698931451</v>
      </c>
      <c r="AG1263" s="238">
        <f>MAX(H1264/H1272)</f>
        <v>6.3037971781911534E-2</v>
      </c>
      <c r="AH1263" s="235">
        <f t="shared" si="238"/>
        <v>0</v>
      </c>
    </row>
    <row r="1264" spans="1:34" ht="15" customHeight="1" x14ac:dyDescent="0.2">
      <c r="A1264" s="962" t="s">
        <v>385</v>
      </c>
      <c r="B1264" s="956">
        <v>189</v>
      </c>
      <c r="C1264" s="1146">
        <v>20</v>
      </c>
      <c r="D1264" s="1146">
        <v>40</v>
      </c>
      <c r="E1264" s="1146">
        <v>12</v>
      </c>
      <c r="F1264" s="1146">
        <v>32</v>
      </c>
      <c r="G1264" s="1146">
        <v>50</v>
      </c>
      <c r="H1264" s="1146">
        <v>55</v>
      </c>
      <c r="I1264" s="1146">
        <v>165</v>
      </c>
      <c r="J1264" s="1147">
        <v>550</v>
      </c>
      <c r="K1264" s="1147">
        <v>10</v>
      </c>
      <c r="L1264" s="1066" t="s">
        <v>988</v>
      </c>
      <c r="M1264" s="2077">
        <v>7395000</v>
      </c>
      <c r="N1264" s="959">
        <v>36078025.674896002</v>
      </c>
      <c r="O1264" s="1149"/>
      <c r="P1264" s="950"/>
      <c r="Q1264" s="950"/>
      <c r="R1264" s="950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237">
        <f>MAX(J1265/J1272)</f>
        <v>0</v>
      </c>
      <c r="AD1264" s="235">
        <f t="shared" si="236"/>
        <v>0</v>
      </c>
      <c r="AE1264" s="238">
        <f>MAX(I1265/I1272)</f>
        <v>2.4374588678816047E-3</v>
      </c>
      <c r="AF1264" s="235">
        <f t="shared" si="237"/>
        <v>87938.703616935469</v>
      </c>
      <c r="AG1264" s="238">
        <f>MAX(H1265/H1272)</f>
        <v>0</v>
      </c>
      <c r="AH1264" s="235">
        <f t="shared" si="238"/>
        <v>0</v>
      </c>
    </row>
    <row r="1265" spans="1:34" ht="15" customHeight="1" x14ac:dyDescent="0.2">
      <c r="A1265" s="962" t="s">
        <v>386</v>
      </c>
      <c r="B1265" s="956">
        <v>0</v>
      </c>
      <c r="C1265" s="1146">
        <v>3</v>
      </c>
      <c r="D1265" s="1146">
        <v>0</v>
      </c>
      <c r="E1265" s="1146">
        <v>0</v>
      </c>
      <c r="F1265" s="1146">
        <v>0</v>
      </c>
      <c r="G1265" s="1146">
        <v>0</v>
      </c>
      <c r="H1265" s="1146">
        <v>0</v>
      </c>
      <c r="I1265" s="1146">
        <v>3</v>
      </c>
      <c r="J1265" s="1147">
        <v>0</v>
      </c>
      <c r="K1265" s="1147"/>
      <c r="L1265" s="1066"/>
      <c r="M1265" s="959"/>
      <c r="N1265" s="959">
        <v>36078025.674896002</v>
      </c>
      <c r="O1265" s="1149"/>
      <c r="P1265" s="950"/>
      <c r="Q1265" s="950"/>
      <c r="R1265" s="950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237">
        <f>MAX(J1266/J1272)</f>
        <v>3.465712729237944E-3</v>
      </c>
      <c r="AD1265" s="235">
        <f t="shared" si="236"/>
        <v>25628.945632714596</v>
      </c>
      <c r="AE1265" s="238">
        <f>MAX(I1266/I1272)</f>
        <v>1.0562321760820286E-2</v>
      </c>
      <c r="AF1265" s="235">
        <f t="shared" si="237"/>
        <v>381067.71567338705</v>
      </c>
      <c r="AG1265" s="238">
        <f>MAX(H1266/H1272)</f>
        <v>4.5845797659572031E-3</v>
      </c>
      <c r="AH1265" s="235">
        <f t="shared" si="238"/>
        <v>0</v>
      </c>
    </row>
    <row r="1266" spans="1:34" ht="15" customHeight="1" x14ac:dyDescent="0.2">
      <c r="A1266" s="962" t="s">
        <v>387</v>
      </c>
      <c r="B1266" s="956">
        <v>13</v>
      </c>
      <c r="C1266" s="1146">
        <v>3</v>
      </c>
      <c r="D1266" s="1146">
        <v>1</v>
      </c>
      <c r="E1266" s="1146">
        <v>1</v>
      </c>
      <c r="F1266" s="1146">
        <v>2</v>
      </c>
      <c r="G1266" s="1146">
        <v>5</v>
      </c>
      <c r="H1266" s="1146">
        <v>4</v>
      </c>
      <c r="I1266" s="1146">
        <v>13</v>
      </c>
      <c r="J1266" s="1147">
        <v>32</v>
      </c>
      <c r="K1266" s="1147">
        <v>8</v>
      </c>
      <c r="L1266" s="1066" t="s">
        <v>988</v>
      </c>
      <c r="M1266" s="2077">
        <v>7395000</v>
      </c>
      <c r="N1266" s="959">
        <v>36078025.674896002</v>
      </c>
      <c r="O1266" s="1067"/>
      <c r="P1266" s="950"/>
      <c r="Q1266" s="950"/>
      <c r="R1266" s="950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237">
        <f>MAX(J1267/J1272)</f>
        <v>7.0397289812645742E-3</v>
      </c>
      <c r="AD1266" s="235">
        <f t="shared" si="236"/>
        <v>52058.795816451529</v>
      </c>
      <c r="AE1266" s="238">
        <f>MAX(I1267/I1272)</f>
        <v>8.5311060375856153E-3</v>
      </c>
      <c r="AF1266" s="235">
        <f t="shared" si="237"/>
        <v>307785.46265927411</v>
      </c>
      <c r="AG1266" s="238">
        <f>MAX(H1267/H1272)</f>
        <v>7.449942119680455E-3</v>
      </c>
      <c r="AH1266" s="235">
        <f t="shared" si="238"/>
        <v>0</v>
      </c>
    </row>
    <row r="1267" spans="1:34" ht="15" customHeight="1" x14ac:dyDescent="0.2">
      <c r="A1267" s="962" t="s">
        <v>388</v>
      </c>
      <c r="B1267" s="956">
        <v>12.5</v>
      </c>
      <c r="C1267" s="1146">
        <v>2</v>
      </c>
      <c r="D1267" s="1146"/>
      <c r="E1267" s="1146">
        <v>1</v>
      </c>
      <c r="F1267" s="1146">
        <v>3</v>
      </c>
      <c r="G1267" s="1146">
        <v>2</v>
      </c>
      <c r="H1267" s="1146">
        <v>6.5</v>
      </c>
      <c r="I1267" s="1146">
        <v>10.5</v>
      </c>
      <c r="J1267" s="1147">
        <v>65</v>
      </c>
      <c r="K1267" s="1147">
        <v>10</v>
      </c>
      <c r="L1267" s="1066" t="s">
        <v>988</v>
      </c>
      <c r="M1267" s="2077">
        <v>7395000</v>
      </c>
      <c r="N1267" s="959">
        <v>36078025.674896002</v>
      </c>
      <c r="O1267" s="1067"/>
      <c r="P1267" s="950"/>
      <c r="Q1267" s="950"/>
      <c r="R1267" s="950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237">
        <f>MAX(J1268/J1272)</f>
        <v>0.64722185218518602</v>
      </c>
      <c r="AD1267" s="235">
        <f t="shared" si="236"/>
        <v>4786205.5969094504</v>
      </c>
      <c r="AE1267" s="238">
        <f>MAX(I1268/I1272)</f>
        <v>0.49317917760137797</v>
      </c>
      <c r="AF1267" s="235">
        <f t="shared" si="237"/>
        <v>17792931.031826608</v>
      </c>
      <c r="AG1267" s="238">
        <f>MAX(H1268/H1272)</f>
        <v>0.57078018086167182</v>
      </c>
      <c r="AH1267" s="235">
        <f t="shared" si="238"/>
        <v>0</v>
      </c>
    </row>
    <row r="1268" spans="1:34" ht="15" customHeight="1" x14ac:dyDescent="0.2">
      <c r="A1268" s="962" t="s">
        <v>389</v>
      </c>
      <c r="B1268" s="245">
        <v>541</v>
      </c>
      <c r="C1268" s="1146">
        <v>66</v>
      </c>
      <c r="D1268" s="1146"/>
      <c r="E1268" s="1146"/>
      <c r="F1268" s="1146"/>
      <c r="G1268" s="1146">
        <v>43</v>
      </c>
      <c r="H1268" s="1146">
        <v>498</v>
      </c>
      <c r="I1268" s="1146">
        <v>607</v>
      </c>
      <c r="J1268" s="1147">
        <v>5976</v>
      </c>
      <c r="K1268" s="1147">
        <v>12</v>
      </c>
      <c r="L1268" s="1066" t="s">
        <v>988</v>
      </c>
      <c r="M1268" s="2077">
        <v>7395000</v>
      </c>
      <c r="N1268" s="959">
        <v>36078025.674896002</v>
      </c>
      <c r="O1268" s="1067"/>
      <c r="P1268" s="950"/>
      <c r="Q1268" s="950"/>
      <c r="R1268" s="950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237">
        <f>MAX(J1269/J1272)</f>
        <v>4.2238373887587442E-3</v>
      </c>
      <c r="AD1268" s="235">
        <f t="shared" si="236"/>
        <v>31235.277489870914</v>
      </c>
      <c r="AE1268" s="238">
        <f>MAX(I1269/I1272)</f>
        <v>7.3123766036448136E-3</v>
      </c>
      <c r="AF1268" s="235">
        <f t="shared" si="237"/>
        <v>263816.11085080641</v>
      </c>
      <c r="AG1268" s="238">
        <f>MAX(H1269/H1272)</f>
        <v>6.8768696489358043E-3</v>
      </c>
      <c r="AH1268" s="235">
        <f t="shared" si="238"/>
        <v>0</v>
      </c>
    </row>
    <row r="1269" spans="1:34" ht="15" customHeight="1" x14ac:dyDescent="0.2">
      <c r="A1269" s="962" t="s">
        <v>390</v>
      </c>
      <c r="B1269" s="1627">
        <v>9</v>
      </c>
      <c r="C1269" s="1529"/>
      <c r="D1269" s="1529"/>
      <c r="E1269" s="1529"/>
      <c r="F1269" s="1529"/>
      <c r="G1269" s="1529">
        <v>3</v>
      </c>
      <c r="H1269" s="1146">
        <v>6</v>
      </c>
      <c r="I1269" s="1146">
        <v>9</v>
      </c>
      <c r="J1269" s="1526">
        <v>39</v>
      </c>
      <c r="K1269" s="1526">
        <v>6.5</v>
      </c>
      <c r="L1269" s="1066" t="s">
        <v>988</v>
      </c>
      <c r="M1269" s="2077">
        <v>7395000</v>
      </c>
      <c r="N1269" s="959">
        <v>36078025.674896002</v>
      </c>
      <c r="O1269" s="1628"/>
      <c r="P1269" s="950"/>
      <c r="Q1269" s="950"/>
      <c r="R1269" s="950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237">
        <f>MAX(J1270/J1272)</f>
        <v>1.2129994552332804E-2</v>
      </c>
      <c r="AD1269" s="235">
        <f t="shared" si="236"/>
        <v>89701.309714501083</v>
      </c>
      <c r="AE1269" s="238">
        <f>MAX(I1270/I1272)</f>
        <v>1.2999780628701892E-2</v>
      </c>
      <c r="AF1269" s="235">
        <f t="shared" si="237"/>
        <v>469006.41929032252</v>
      </c>
      <c r="AG1269" s="238">
        <f>MAX(H1270/H1272)</f>
        <v>1.8338319063828813E-2</v>
      </c>
      <c r="AH1269" s="235">
        <f t="shared" si="238"/>
        <v>0</v>
      </c>
    </row>
    <row r="1270" spans="1:34" ht="15" customHeight="1" x14ac:dyDescent="0.2">
      <c r="A1270" s="962" t="s">
        <v>941</v>
      </c>
      <c r="B1270" s="956">
        <v>16</v>
      </c>
      <c r="C1270" s="1146"/>
      <c r="D1270" s="1146"/>
      <c r="E1270" s="1146"/>
      <c r="F1270" s="1146"/>
      <c r="G1270" s="1146"/>
      <c r="H1270" s="1146">
        <v>16</v>
      </c>
      <c r="I1270" s="1146">
        <v>16</v>
      </c>
      <c r="J1270" s="1147">
        <v>112</v>
      </c>
      <c r="K1270" s="1147">
        <v>7</v>
      </c>
      <c r="L1270" s="1066" t="s">
        <v>988</v>
      </c>
      <c r="M1270" s="2077">
        <v>7395000</v>
      </c>
      <c r="N1270" s="959">
        <v>36078025.674896002</v>
      </c>
      <c r="O1270" s="1149"/>
      <c r="P1270" s="950"/>
      <c r="Q1270" s="950"/>
      <c r="R1270" s="950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237">
        <f>MAX(J1271/J1272)</f>
        <v>3.7906232976040014E-4</v>
      </c>
      <c r="AD1270" s="235">
        <f t="shared" si="236"/>
        <v>2803.1659285781589</v>
      </c>
      <c r="AE1270" s="238">
        <f>MAX(I1271/I1272)</f>
        <v>4.0624314464693411E-4</v>
      </c>
      <c r="AF1270" s="235">
        <f t="shared" si="237"/>
        <v>14656.450602822579</v>
      </c>
      <c r="AG1270" s="238">
        <f>MAX(H1271/H1272)</f>
        <v>5.7307247074465039E-4</v>
      </c>
      <c r="AH1270" s="235">
        <f t="shared" si="238"/>
        <v>0</v>
      </c>
    </row>
    <row r="1271" spans="1:34" ht="15" customHeight="1" thickBot="1" x14ac:dyDescent="0.25">
      <c r="A1271" s="1140" t="s">
        <v>392</v>
      </c>
      <c r="B1271" s="244">
        <v>0.5</v>
      </c>
      <c r="C1271" s="1141">
        <v>0</v>
      </c>
      <c r="D1271" s="1141">
        <v>0</v>
      </c>
      <c r="E1271" s="1141">
        <v>0</v>
      </c>
      <c r="F1271" s="1141">
        <v>0</v>
      </c>
      <c r="G1271" s="1141">
        <v>0</v>
      </c>
      <c r="H1271" s="1146">
        <v>0.5</v>
      </c>
      <c r="I1271" s="1146">
        <v>0.5</v>
      </c>
      <c r="J1271" s="1147">
        <v>3.5</v>
      </c>
      <c r="K1271" s="1142">
        <v>7</v>
      </c>
      <c r="L1271" s="2105" t="s">
        <v>988</v>
      </c>
      <c r="M1271" s="2077">
        <v>7395000</v>
      </c>
      <c r="N1271" s="959">
        <v>36078025.674896002</v>
      </c>
      <c r="O1271" s="1067"/>
      <c r="P1271" s="950"/>
      <c r="Q1271" s="950"/>
      <c r="R1271" s="950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1159">
        <f t="shared" ref="AC1271:AH1271" si="239">SUM(AC1231:AC1270)</f>
        <v>0.99999999999999989</v>
      </c>
      <c r="AD1271" s="1160">
        <f t="shared" si="239"/>
        <v>7394999.9999999991</v>
      </c>
      <c r="AE1271" s="1161">
        <f t="shared" si="239"/>
        <v>0.99999999999999989</v>
      </c>
      <c r="AF1271" s="1160">
        <f t="shared" si="239"/>
        <v>36078025.674895994</v>
      </c>
      <c r="AG1271" s="1161">
        <f t="shared" si="239"/>
        <v>1</v>
      </c>
      <c r="AH1271" s="1160">
        <f t="shared" si="239"/>
        <v>0</v>
      </c>
    </row>
    <row r="1272" spans="1:34" ht="13.5" thickBot="1" x14ac:dyDescent="0.25">
      <c r="A1272" s="405" t="s">
        <v>942</v>
      </c>
      <c r="B1272" s="1131">
        <v>1155.79</v>
      </c>
      <c r="C1272" s="1131">
        <v>151</v>
      </c>
      <c r="D1272" s="1131">
        <v>42.5</v>
      </c>
      <c r="E1272" s="1131">
        <v>19</v>
      </c>
      <c r="F1272" s="1131">
        <v>57</v>
      </c>
      <c r="G1272" s="1131">
        <v>164.8</v>
      </c>
      <c r="H1272" s="1131">
        <v>872.49</v>
      </c>
      <c r="I1272" s="1131">
        <v>1230.79</v>
      </c>
      <c r="J1272" s="1132">
        <v>9233.31</v>
      </c>
      <c r="K1272" s="1132">
        <v>10.582711549702575</v>
      </c>
      <c r="L1272" s="1525" t="s">
        <v>988</v>
      </c>
      <c r="M1272" s="1134">
        <v>7394999.9999999991</v>
      </c>
      <c r="N1272" s="1134">
        <v>36078025.674895994</v>
      </c>
      <c r="O1272" s="1541" t="s">
        <v>616</v>
      </c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</row>
    <row r="1273" spans="1:34" x14ac:dyDescent="0.2">
      <c r="A1273" s="7" t="s">
        <v>1934</v>
      </c>
      <c r="B1273" s="224"/>
      <c r="C1273" s="224"/>
      <c r="D1273" s="224"/>
      <c r="E1273" s="224"/>
      <c r="F1273" s="224"/>
      <c r="G1273" s="224"/>
      <c r="H1273" s="224"/>
      <c r="I1273" s="224"/>
      <c r="J1273" s="224"/>
      <c r="K1273" s="240"/>
      <c r="L1273" s="241"/>
      <c r="M1273" s="240"/>
      <c r="N1273" s="240"/>
      <c r="O1273" s="240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</row>
    <row r="1274" spans="1:34" x14ac:dyDescent="0.2">
      <c r="A1274" s="34" t="s">
        <v>618</v>
      </c>
      <c r="B1274" s="240"/>
      <c r="C1274" s="240"/>
      <c r="D1274" s="240"/>
      <c r="E1274" s="240"/>
      <c r="F1274" s="240"/>
      <c r="G1274" s="240"/>
      <c r="H1274" s="240"/>
      <c r="I1274" s="240"/>
      <c r="J1274" s="240"/>
      <c r="K1274" s="240"/>
      <c r="L1274" s="241"/>
      <c r="M1274" s="240"/>
      <c r="N1274" s="240"/>
      <c r="O1274" s="240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</row>
    <row r="1275" spans="1:34" x14ac:dyDescent="0.2">
      <c r="A1275" s="34"/>
      <c r="B1275" s="240"/>
      <c r="C1275" s="240"/>
      <c r="D1275" s="240"/>
      <c r="E1275" s="240"/>
      <c r="F1275" s="240"/>
      <c r="G1275" s="240"/>
      <c r="H1275" s="240"/>
      <c r="I1275" s="240"/>
      <c r="J1275" s="240"/>
      <c r="K1275" s="240"/>
      <c r="L1275" s="241"/>
      <c r="M1275" s="240"/>
      <c r="N1275" s="240"/>
      <c r="O1275" s="240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</row>
    <row r="1276" spans="1:34" ht="15" x14ac:dyDescent="0.25">
      <c r="A1276" s="2843" t="s">
        <v>1931</v>
      </c>
      <c r="B1276" s="2843"/>
      <c r="C1276" s="2843"/>
      <c r="D1276" s="2843"/>
      <c r="E1276" s="2843"/>
      <c r="F1276" s="2843"/>
      <c r="G1276" s="2843"/>
      <c r="H1276" s="2843"/>
      <c r="I1276" s="2843"/>
      <c r="J1276" s="2843"/>
      <c r="K1276" s="2843"/>
      <c r="L1276" s="2843"/>
      <c r="M1276" s="2843"/>
      <c r="N1276" s="2843"/>
      <c r="O1276" s="2843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</row>
    <row r="1277" spans="1:34" x14ac:dyDescent="0.2">
      <c r="A1277" s="246"/>
      <c r="B1277" s="246"/>
      <c r="C1277" s="240"/>
      <c r="D1277" s="240"/>
      <c r="E1277" s="240"/>
      <c r="F1277" s="240"/>
      <c r="G1277" s="240"/>
      <c r="H1277" s="240"/>
      <c r="I1277" s="240"/>
      <c r="J1277" s="240"/>
      <c r="K1277" s="240"/>
      <c r="L1277" s="241"/>
      <c r="M1277" s="240"/>
      <c r="N1277" s="240"/>
      <c r="O1277" s="240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</row>
    <row r="1278" spans="1:34" ht="15" customHeight="1" thickBot="1" x14ac:dyDescent="0.25">
      <c r="A1278" s="181" t="s">
        <v>1694</v>
      </c>
      <c r="B1278" s="246"/>
      <c r="C1278" s="240"/>
      <c r="D1278" s="240"/>
      <c r="E1278" s="240"/>
      <c r="F1278" s="240"/>
      <c r="G1278" s="240"/>
      <c r="H1278" s="240"/>
      <c r="I1278" s="240"/>
      <c r="J1278" s="240"/>
      <c r="K1278" s="240"/>
      <c r="L1278" s="241"/>
      <c r="M1278" s="240"/>
      <c r="N1278" s="240"/>
      <c r="O1278" s="240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228" t="s">
        <v>910</v>
      </c>
      <c r="AD1278" s="229"/>
      <c r="AE1278" s="229"/>
      <c r="AF1278" s="229"/>
      <c r="AG1278" s="229"/>
      <c r="AH1278" s="243"/>
    </row>
    <row r="1279" spans="1:34" ht="15" customHeight="1" x14ac:dyDescent="0.2">
      <c r="A1279" s="2844" t="s">
        <v>327</v>
      </c>
      <c r="B1279" s="2847" t="s">
        <v>1932</v>
      </c>
      <c r="C1279" s="2848"/>
      <c r="D1279" s="2848"/>
      <c r="E1279" s="2848"/>
      <c r="F1279" s="2848"/>
      <c r="G1279" s="2848"/>
      <c r="H1279" s="2848"/>
      <c r="I1279" s="2848"/>
      <c r="J1279" s="2848"/>
      <c r="K1279" s="2848"/>
      <c r="L1279" s="2848"/>
      <c r="M1279" s="2848"/>
      <c r="N1279" s="2848"/>
      <c r="O1279" s="284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230" t="s">
        <v>333</v>
      </c>
      <c r="AD1279" s="231" t="s">
        <v>333</v>
      </c>
      <c r="AE1279" s="231" t="s">
        <v>333</v>
      </c>
      <c r="AF1279" s="231" t="s">
        <v>333</v>
      </c>
      <c r="AG1279" s="231" t="s">
        <v>333</v>
      </c>
      <c r="AH1279" s="231" t="s">
        <v>333</v>
      </c>
    </row>
    <row r="1280" spans="1:34" ht="15" customHeight="1" x14ac:dyDescent="0.2">
      <c r="A1280" s="2845"/>
      <c r="B1280" s="2850" t="s">
        <v>191</v>
      </c>
      <c r="C1280" s="2850"/>
      <c r="D1280" s="2850"/>
      <c r="E1280" s="2850"/>
      <c r="F1280" s="2850"/>
      <c r="G1280" s="2850"/>
      <c r="H1280" s="2850"/>
      <c r="I1280" s="2850"/>
      <c r="J1280" s="2119"/>
      <c r="K1280" s="2119" t="s">
        <v>904</v>
      </c>
      <c r="L1280" s="2119"/>
      <c r="M1280" s="1122" t="s">
        <v>437</v>
      </c>
      <c r="N1280" s="1122" t="s">
        <v>911</v>
      </c>
      <c r="O1280" s="1127" t="s">
        <v>911</v>
      </c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230" t="s">
        <v>913</v>
      </c>
      <c r="AD1280" s="231" t="s">
        <v>916</v>
      </c>
      <c r="AE1280" s="231" t="s">
        <v>917</v>
      </c>
      <c r="AF1280" s="231" t="s">
        <v>918</v>
      </c>
      <c r="AG1280" s="231" t="s">
        <v>192</v>
      </c>
      <c r="AH1280" s="231" t="s">
        <v>918</v>
      </c>
    </row>
    <row r="1281" spans="1:34" ht="15" customHeight="1" x14ac:dyDescent="0.2">
      <c r="A1281" s="2845"/>
      <c r="B1281" s="2119" t="s">
        <v>433</v>
      </c>
      <c r="C1281" s="2119"/>
      <c r="D1281" s="2841" t="s">
        <v>1865</v>
      </c>
      <c r="E1281" s="2119"/>
      <c r="F1281" s="2119"/>
      <c r="G1281" s="2119" t="s">
        <v>912</v>
      </c>
      <c r="H1281" s="2119"/>
      <c r="I1281" s="2119" t="s">
        <v>433</v>
      </c>
      <c r="J1281" s="2138" t="s">
        <v>913</v>
      </c>
      <c r="K1281" s="2138" t="s">
        <v>842</v>
      </c>
      <c r="L1281" s="2138" t="s">
        <v>329</v>
      </c>
      <c r="M1281" s="1123" t="s">
        <v>914</v>
      </c>
      <c r="N1281" s="1123" t="s">
        <v>915</v>
      </c>
      <c r="O1281" s="1128" t="s">
        <v>914</v>
      </c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230"/>
      <c r="AD1281" s="231" t="s">
        <v>843</v>
      </c>
      <c r="AE1281" s="231"/>
      <c r="AF1281" s="231" t="s">
        <v>929</v>
      </c>
      <c r="AG1281" s="231"/>
      <c r="AH1281" s="231" t="s">
        <v>930</v>
      </c>
    </row>
    <row r="1282" spans="1:34" ht="15" customHeight="1" x14ac:dyDescent="0.2">
      <c r="A1282" s="2845"/>
      <c r="B1282" s="2138" t="s">
        <v>920</v>
      </c>
      <c r="C1282" s="2138" t="s">
        <v>922</v>
      </c>
      <c r="D1282" s="2842"/>
      <c r="E1282" s="2138" t="s">
        <v>867</v>
      </c>
      <c r="F1282" s="2138" t="s">
        <v>921</v>
      </c>
      <c r="G1282" s="2138" t="s">
        <v>923</v>
      </c>
      <c r="H1282" s="2138" t="s">
        <v>836</v>
      </c>
      <c r="I1282" s="2138" t="s">
        <v>835</v>
      </c>
      <c r="J1282" s="2138" t="s">
        <v>924</v>
      </c>
      <c r="K1282" s="2138" t="s">
        <v>925</v>
      </c>
      <c r="L1282" s="2138" t="s">
        <v>336</v>
      </c>
      <c r="M1282" s="1123" t="s">
        <v>926</v>
      </c>
      <c r="N1282" s="1123" t="s">
        <v>927</v>
      </c>
      <c r="O1282" s="1128" t="s">
        <v>928</v>
      </c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232"/>
      <c r="AD1282" s="233" t="s">
        <v>934</v>
      </c>
      <c r="AE1282" s="233"/>
      <c r="AF1282" s="233" t="s">
        <v>935</v>
      </c>
      <c r="AG1282" s="233"/>
      <c r="AH1282" s="233" t="s">
        <v>936</v>
      </c>
    </row>
    <row r="1283" spans="1:34" ht="15" customHeight="1" thickBot="1" x14ac:dyDescent="0.25">
      <c r="A1283" s="2846"/>
      <c r="B1283" s="1881">
        <v>44926</v>
      </c>
      <c r="C1283" s="2139">
        <v>2023</v>
      </c>
      <c r="D1283" s="2139">
        <v>2023</v>
      </c>
      <c r="E1283" s="2139">
        <v>2023</v>
      </c>
      <c r="F1283" s="2139">
        <v>2023</v>
      </c>
      <c r="G1283" s="2139" t="s">
        <v>931</v>
      </c>
      <c r="H1283" s="1126">
        <v>2023</v>
      </c>
      <c r="I1283" s="1881">
        <v>45291</v>
      </c>
      <c r="J1283" s="1881" t="s">
        <v>1933</v>
      </c>
      <c r="K1283" s="1881" t="s">
        <v>1933</v>
      </c>
      <c r="L1283" s="2139" t="s">
        <v>441</v>
      </c>
      <c r="M1283" s="1125" t="s">
        <v>932</v>
      </c>
      <c r="N1283" s="1125" t="s">
        <v>933</v>
      </c>
      <c r="O1283" s="1129" t="s">
        <v>933</v>
      </c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1155"/>
      <c r="AD1283" s="1156"/>
      <c r="AE1283" s="1156"/>
      <c r="AF1283" s="1156"/>
      <c r="AG1283" s="1156"/>
      <c r="AH1283" s="1156"/>
    </row>
    <row r="1284" spans="1:34" ht="15" customHeight="1" x14ac:dyDescent="0.2">
      <c r="A1284" s="1135" t="s">
        <v>352</v>
      </c>
      <c r="B1284" s="1130">
        <v>330.2</v>
      </c>
      <c r="C1284" s="1130">
        <v>13</v>
      </c>
      <c r="D1284" s="1130">
        <v>1.5</v>
      </c>
      <c r="E1284" s="1130">
        <v>10</v>
      </c>
      <c r="F1284" s="1130">
        <v>32</v>
      </c>
      <c r="G1284" s="1130">
        <v>17</v>
      </c>
      <c r="H1284" s="1130">
        <v>269.7</v>
      </c>
      <c r="I1284" s="1130">
        <v>301.2</v>
      </c>
      <c r="J1284" s="1136">
        <v>1776.2</v>
      </c>
      <c r="K1284" s="1535">
        <v>6.5858361142009647</v>
      </c>
      <c r="L1284" s="380"/>
      <c r="M1284" s="1138"/>
      <c r="N1284" s="1138"/>
      <c r="O1284" s="1139"/>
      <c r="P1284" s="950"/>
      <c r="Q1284" s="950"/>
      <c r="R1284" s="950"/>
      <c r="S1284" s="950"/>
      <c r="T1284" s="950"/>
      <c r="U1284" s="950"/>
      <c r="V1284" s="950"/>
      <c r="W1284" s="950"/>
      <c r="X1284" s="950"/>
      <c r="Y1284" s="950"/>
      <c r="Z1284" s="9"/>
      <c r="AA1284" s="9"/>
      <c r="AB1284" s="9"/>
      <c r="AC1284" s="237">
        <f>MAX(J1285/J1325)</f>
        <v>8.7897883341412186E-2</v>
      </c>
      <c r="AD1284" s="235">
        <f t="shared" ref="AD1284:AD1298" si="240">MAX(M1285*AC1284)</f>
        <v>214910.3247697528</v>
      </c>
      <c r="AE1284" s="238">
        <f>MAX(I1285/I1325)</f>
        <v>4.3237744007121506E-2</v>
      </c>
      <c r="AF1284" s="235">
        <f t="shared" ref="AF1284:AF1298" si="241">MAX(N1285*AE1284)</f>
        <v>577379.47775072162</v>
      </c>
      <c r="AG1284" s="238">
        <f>MAX(H1285/H1325)</f>
        <v>5.106255162574154E-2</v>
      </c>
      <c r="AH1284" s="235">
        <f t="shared" ref="AH1284:AH1298" si="242">MAX(O1285*AG1284)</f>
        <v>547743.26053873438</v>
      </c>
    </row>
    <row r="1285" spans="1:34" ht="15" customHeight="1" x14ac:dyDescent="0.2">
      <c r="A1285" s="962" t="s">
        <v>353</v>
      </c>
      <c r="B1285" s="1146">
        <v>41</v>
      </c>
      <c r="C1285" s="1146"/>
      <c r="D1285" s="1146"/>
      <c r="E1285" s="1146">
        <v>2</v>
      </c>
      <c r="F1285" s="1146">
        <v>5</v>
      </c>
      <c r="G1285" s="1146"/>
      <c r="H1285" s="1146">
        <v>34</v>
      </c>
      <c r="I1285" s="1146">
        <v>34</v>
      </c>
      <c r="J1285" s="1147">
        <v>408</v>
      </c>
      <c r="K1285" s="1147">
        <v>12</v>
      </c>
      <c r="L1285" s="1066" t="s">
        <v>988</v>
      </c>
      <c r="M1285" s="959">
        <v>2445000</v>
      </c>
      <c r="N1285" s="959">
        <v>13353598.597920001</v>
      </c>
      <c r="O1285" s="1149">
        <v>10726907.353815183</v>
      </c>
      <c r="P1285" s="950"/>
      <c r="Q1285" s="950"/>
      <c r="R1285" s="9"/>
      <c r="S1285" s="9"/>
      <c r="T1285" s="9"/>
      <c r="U1285" s="9"/>
      <c r="V1285" s="9"/>
      <c r="W1285" s="950"/>
      <c r="X1285" s="950"/>
      <c r="Y1285" s="950"/>
      <c r="Z1285" s="9"/>
      <c r="AA1285" s="9"/>
      <c r="AB1285" s="9"/>
      <c r="AC1285" s="237">
        <f>MAX(J1286/J1325)</f>
        <v>0</v>
      </c>
      <c r="AD1285" s="235">
        <f t="shared" si="240"/>
        <v>0</v>
      </c>
      <c r="AE1285" s="238">
        <f>MAX(I1286/I1325)</f>
        <v>0</v>
      </c>
      <c r="AF1285" s="235">
        <f t="shared" si="241"/>
        <v>0</v>
      </c>
      <c r="AG1285" s="238">
        <f>MAX(H1286/H1325)</f>
        <v>0</v>
      </c>
      <c r="AH1285" s="235">
        <f t="shared" si="242"/>
        <v>0</v>
      </c>
    </row>
    <row r="1286" spans="1:34" ht="15" customHeight="1" x14ac:dyDescent="0.2">
      <c r="A1286" s="962" t="s">
        <v>354</v>
      </c>
      <c r="B1286" s="1146">
        <v>0</v>
      </c>
      <c r="C1286" s="1146"/>
      <c r="D1286" s="1146"/>
      <c r="E1286" s="1146"/>
      <c r="F1286" s="1146"/>
      <c r="G1286" s="1146"/>
      <c r="H1286" s="1146">
        <v>0</v>
      </c>
      <c r="I1286" s="1146">
        <v>0</v>
      </c>
      <c r="J1286" s="1147">
        <v>0</v>
      </c>
      <c r="K1286" s="1147"/>
      <c r="L1286" s="1148"/>
      <c r="M1286" s="959"/>
      <c r="N1286" s="959"/>
      <c r="O1286" s="1149"/>
      <c r="U1286" s="9"/>
      <c r="V1286" s="9"/>
      <c r="W1286" s="9"/>
      <c r="X1286" s="9"/>
      <c r="Y1286" s="9"/>
      <c r="Z1286" s="9"/>
      <c r="AA1286" s="9"/>
      <c r="AB1286" s="9"/>
      <c r="AC1286" s="237">
        <f>MAX(J1287/J1325)</f>
        <v>6.893951634620564E-2</v>
      </c>
      <c r="AD1286" s="235">
        <f t="shared" si="240"/>
        <v>168557.11746647279</v>
      </c>
      <c r="AE1286" s="238">
        <f>MAX(I1287/I1325)</f>
        <v>8.6475488014243013E-2</v>
      </c>
      <c r="AF1286" s="235">
        <f t="shared" si="241"/>
        <v>1154758.9555014432</v>
      </c>
      <c r="AG1286" s="238">
        <f>MAX(H1287/H1325)</f>
        <v>9.6117744236689964E-2</v>
      </c>
      <c r="AH1286" s="235">
        <f t="shared" si="242"/>
        <v>1031046.1374846766</v>
      </c>
    </row>
    <row r="1287" spans="1:34" ht="15" customHeight="1" x14ac:dyDescent="0.2">
      <c r="A1287" s="962" t="s">
        <v>355</v>
      </c>
      <c r="B1287" s="1146">
        <v>71</v>
      </c>
      <c r="C1287" s="1146"/>
      <c r="D1287" s="1146"/>
      <c r="E1287" s="1146"/>
      <c r="F1287" s="1146">
        <v>3</v>
      </c>
      <c r="G1287" s="1146">
        <v>4</v>
      </c>
      <c r="H1287" s="1146">
        <v>64</v>
      </c>
      <c r="I1287" s="1146">
        <v>68</v>
      </c>
      <c r="J1287" s="1147">
        <v>320</v>
      </c>
      <c r="K1287" s="1147">
        <v>5</v>
      </c>
      <c r="L1287" s="1066" t="s">
        <v>988</v>
      </c>
      <c r="M1287" s="959">
        <v>2445000</v>
      </c>
      <c r="N1287" s="959">
        <v>13353598.597920001</v>
      </c>
      <c r="O1287" s="1149">
        <v>10726907.353815183</v>
      </c>
      <c r="P1287" s="950"/>
      <c r="Q1287" s="950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237">
        <f>MAX(J1288/J1325)</f>
        <v>4.65341735336888E-2</v>
      </c>
      <c r="AD1287" s="235">
        <f t="shared" si="240"/>
        <v>113776.05428986912</v>
      </c>
      <c r="AE1287" s="238">
        <f>MAX(I1288/I1325)</f>
        <v>5.3411330832326569E-2</v>
      </c>
      <c r="AF1287" s="235">
        <f t="shared" si="241"/>
        <v>713233.47251559736</v>
      </c>
      <c r="AG1287" s="238">
        <f>MAX(H1288/H1325)</f>
        <v>5.4066231133138104E-2</v>
      </c>
      <c r="AH1287" s="235">
        <f t="shared" si="242"/>
        <v>579963.45233513054</v>
      </c>
    </row>
    <row r="1288" spans="1:34" ht="15" customHeight="1" x14ac:dyDescent="0.2">
      <c r="A1288" s="962" t="s">
        <v>356</v>
      </c>
      <c r="B1288" s="1146">
        <v>36</v>
      </c>
      <c r="C1288" s="1146">
        <v>6</v>
      </c>
      <c r="D1288" s="1146"/>
      <c r="E1288" s="1146"/>
      <c r="F1288" s="1146"/>
      <c r="G1288" s="1146"/>
      <c r="H1288" s="1146">
        <v>36</v>
      </c>
      <c r="I1288" s="1146">
        <v>42</v>
      </c>
      <c r="J1288" s="1147">
        <v>216</v>
      </c>
      <c r="K1288" s="1147">
        <v>6</v>
      </c>
      <c r="L1288" s="1066" t="s">
        <v>988</v>
      </c>
      <c r="M1288" s="959">
        <v>2445000</v>
      </c>
      <c r="N1288" s="959">
        <v>13353598.597920001</v>
      </c>
      <c r="O1288" s="1149">
        <v>10726907.353815183</v>
      </c>
      <c r="P1288" s="9"/>
      <c r="Q1288" s="950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237">
        <f>MAX(J1289/J1325)</f>
        <v>3.2315398287283893E-2</v>
      </c>
      <c r="AD1288" s="235">
        <f t="shared" si="240"/>
        <v>79011.148812409112</v>
      </c>
      <c r="AE1288" s="238">
        <f>MAX(I1289/I1325)</f>
        <v>1.9075475297259489E-2</v>
      </c>
      <c r="AF1288" s="235">
        <f t="shared" si="241"/>
        <v>254726.24018414193</v>
      </c>
      <c r="AG1288" s="238">
        <f>MAX(H1289/H1325)</f>
        <v>2.2527596305474209E-2</v>
      </c>
      <c r="AH1288" s="235">
        <f t="shared" si="242"/>
        <v>241651.43847297103</v>
      </c>
    </row>
    <row r="1289" spans="1:34" ht="15" customHeight="1" x14ac:dyDescent="0.2">
      <c r="A1289" s="962" t="s">
        <v>357</v>
      </c>
      <c r="B1289" s="1146">
        <v>17</v>
      </c>
      <c r="C1289" s="1146">
        <v>0</v>
      </c>
      <c r="D1289" s="1146">
        <v>0</v>
      </c>
      <c r="E1289" s="1146">
        <v>0</v>
      </c>
      <c r="F1289" s="1146">
        <v>2</v>
      </c>
      <c r="G1289" s="1146">
        <v>0</v>
      </c>
      <c r="H1289" s="1146">
        <v>15</v>
      </c>
      <c r="I1289" s="1146">
        <v>15</v>
      </c>
      <c r="J1289" s="1147">
        <v>150</v>
      </c>
      <c r="K1289" s="1147">
        <v>10</v>
      </c>
      <c r="L1289" s="1066" t="s">
        <v>988</v>
      </c>
      <c r="M1289" s="959">
        <v>2445000</v>
      </c>
      <c r="N1289" s="959">
        <v>13353598.597920001</v>
      </c>
      <c r="O1289" s="1149">
        <v>10726907.353815183</v>
      </c>
      <c r="P1289" s="950"/>
      <c r="Q1289" s="950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237">
        <f>MAX(J1290/J1325)</f>
        <v>5.278181720256369E-2</v>
      </c>
      <c r="AD1289" s="235">
        <f t="shared" si="240"/>
        <v>129051.54306026822</v>
      </c>
      <c r="AE1289" s="238">
        <f>MAX(I1290/I1325)</f>
        <v>6.2313219304380996E-2</v>
      </c>
      <c r="AF1289" s="235">
        <f t="shared" si="241"/>
        <v>832105.71793486353</v>
      </c>
      <c r="AG1289" s="238">
        <f>MAX(H1290/H1325)</f>
        <v>7.3590147931215752E-2</v>
      </c>
      <c r="AH1289" s="235">
        <f t="shared" si="242"/>
        <v>789394.69901170547</v>
      </c>
    </row>
    <row r="1290" spans="1:34" ht="15" customHeight="1" x14ac:dyDescent="0.2">
      <c r="A1290" s="962" t="s">
        <v>358</v>
      </c>
      <c r="B1290" s="1146">
        <v>59</v>
      </c>
      <c r="C1290" s="1146">
        <v>0</v>
      </c>
      <c r="D1290" s="1146">
        <v>0</v>
      </c>
      <c r="E1290" s="1146">
        <v>2</v>
      </c>
      <c r="F1290" s="1146">
        <v>8</v>
      </c>
      <c r="G1290" s="1146">
        <v>0</v>
      </c>
      <c r="H1290" s="1146">
        <v>49</v>
      </c>
      <c r="I1290" s="1146">
        <v>49</v>
      </c>
      <c r="J1290" s="1147">
        <v>245</v>
      </c>
      <c r="K1290" s="1147">
        <v>5</v>
      </c>
      <c r="L1290" s="1066" t="s">
        <v>988</v>
      </c>
      <c r="M1290" s="959">
        <v>2445000</v>
      </c>
      <c r="N1290" s="959">
        <v>13353598.597920001</v>
      </c>
      <c r="O1290" s="1149">
        <v>10726907.353815183</v>
      </c>
      <c r="P1290" s="950"/>
      <c r="Q1290" s="950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237">
        <f>MAX(J1291/J1325)</f>
        <v>1.1848979372004093E-2</v>
      </c>
      <c r="AD1290" s="235">
        <f t="shared" si="240"/>
        <v>28970.754564550007</v>
      </c>
      <c r="AE1290" s="238">
        <f>MAX(I1291/I1325)</f>
        <v>1.3988681884656958E-2</v>
      </c>
      <c r="AF1290" s="235">
        <f t="shared" si="241"/>
        <v>186799.24280170407</v>
      </c>
      <c r="AG1290" s="238">
        <f>MAX(H1291/H1325)</f>
        <v>1.6520237290681087E-2</v>
      </c>
      <c r="AH1290" s="235">
        <f t="shared" si="242"/>
        <v>177211.05488017877</v>
      </c>
    </row>
    <row r="1291" spans="1:34" ht="15" customHeight="1" x14ac:dyDescent="0.2">
      <c r="A1291" s="962" t="s">
        <v>937</v>
      </c>
      <c r="B1291" s="1146">
        <v>11</v>
      </c>
      <c r="C1291" s="1146">
        <v>0</v>
      </c>
      <c r="D1291" s="1146">
        <v>0</v>
      </c>
      <c r="E1291" s="1146">
        <v>0</v>
      </c>
      <c r="F1291" s="1146">
        <v>0</v>
      </c>
      <c r="G1291" s="1146">
        <v>0</v>
      </c>
      <c r="H1291" s="1146">
        <v>11</v>
      </c>
      <c r="I1291" s="1146">
        <v>11</v>
      </c>
      <c r="J1291" s="1147">
        <v>55</v>
      </c>
      <c r="K1291" s="1147">
        <v>5</v>
      </c>
      <c r="L1291" s="1066" t="s">
        <v>988</v>
      </c>
      <c r="M1291" s="959">
        <v>2445000</v>
      </c>
      <c r="N1291" s="959">
        <v>13353598.597920001</v>
      </c>
      <c r="O1291" s="1149">
        <v>10726907.353815183</v>
      </c>
      <c r="P1291" s="950"/>
      <c r="Q1291" s="950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237">
        <f>MAX(J1292/J1325)</f>
        <v>1.9001454192922925E-2</v>
      </c>
      <c r="AD1291" s="235">
        <f t="shared" si="240"/>
        <v>46458.555501696552</v>
      </c>
      <c r="AE1291" s="238">
        <f>MAX(I1292/I1325)</f>
        <v>1.9965664144464931E-2</v>
      </c>
      <c r="AF1291" s="235">
        <f t="shared" si="241"/>
        <v>266613.46472606855</v>
      </c>
      <c r="AG1291" s="238">
        <f>MAX(H1292/H1325)</f>
        <v>2.2077044379364724E-2</v>
      </c>
      <c r="AH1291" s="235">
        <f t="shared" si="242"/>
        <v>236818.4097035116</v>
      </c>
    </row>
    <row r="1292" spans="1:34" ht="15" customHeight="1" x14ac:dyDescent="0.2">
      <c r="A1292" s="962" t="s">
        <v>360</v>
      </c>
      <c r="B1292" s="1146">
        <v>14.7</v>
      </c>
      <c r="C1292" s="1146">
        <v>1</v>
      </c>
      <c r="D1292" s="1146">
        <v>0</v>
      </c>
      <c r="E1292" s="1146">
        <v>0</v>
      </c>
      <c r="F1292" s="1146">
        <v>0</v>
      </c>
      <c r="G1292" s="1146">
        <v>0</v>
      </c>
      <c r="H1292" s="1146">
        <v>14.7</v>
      </c>
      <c r="I1292" s="1146">
        <v>15.7</v>
      </c>
      <c r="J1292" s="1147">
        <v>88.199999999999989</v>
      </c>
      <c r="K1292" s="1147">
        <v>6</v>
      </c>
      <c r="L1292" s="1066" t="s">
        <v>988</v>
      </c>
      <c r="M1292" s="959">
        <v>2445000</v>
      </c>
      <c r="N1292" s="959">
        <v>13353598.597920001</v>
      </c>
      <c r="O1292" s="1149">
        <v>10726907.353815183</v>
      </c>
      <c r="P1292" s="950"/>
      <c r="Q1292" s="950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237">
        <f>MAX(J1293/J1325)</f>
        <v>3.2315398287283893E-2</v>
      </c>
      <c r="AD1292" s="235">
        <f t="shared" si="240"/>
        <v>79011.148812409112</v>
      </c>
      <c r="AE1292" s="238">
        <f>MAX(I1293/I1325)</f>
        <v>3.1792458828765816E-2</v>
      </c>
      <c r="AF1292" s="235">
        <f t="shared" si="241"/>
        <v>424543.73364023655</v>
      </c>
      <c r="AG1292" s="238">
        <f>MAX(H1293/H1325)</f>
        <v>3.7545993842457014E-2</v>
      </c>
      <c r="AH1292" s="235">
        <f t="shared" si="242"/>
        <v>402752.39745495172</v>
      </c>
    </row>
    <row r="1293" spans="1:34" ht="15" customHeight="1" x14ac:dyDescent="0.2">
      <c r="A1293" s="962" t="s">
        <v>938</v>
      </c>
      <c r="B1293" s="1146">
        <v>33</v>
      </c>
      <c r="C1293" s="1146">
        <v>0</v>
      </c>
      <c r="D1293" s="1146">
        <v>0</v>
      </c>
      <c r="E1293" s="1146">
        <v>2</v>
      </c>
      <c r="F1293" s="1146">
        <v>6</v>
      </c>
      <c r="G1293" s="1146">
        <v>0</v>
      </c>
      <c r="H1293" s="1146">
        <v>25</v>
      </c>
      <c r="I1293" s="1146">
        <v>25</v>
      </c>
      <c r="J1293" s="1147">
        <v>150</v>
      </c>
      <c r="K1293" s="1147">
        <v>6</v>
      </c>
      <c r="L1293" s="1066" t="s">
        <v>988</v>
      </c>
      <c r="M1293" s="959">
        <v>2445000</v>
      </c>
      <c r="N1293" s="959">
        <v>13353598.597920001</v>
      </c>
      <c r="O1293" s="1149">
        <v>10726907.353815183</v>
      </c>
      <c r="P1293" s="950"/>
      <c r="Q1293" s="950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237">
        <f>MAX(J1294/J1325)</f>
        <v>3.8778477944740671E-3</v>
      </c>
      <c r="AD1293" s="235">
        <f t="shared" si="240"/>
        <v>9481.3378574890939</v>
      </c>
      <c r="AE1293" s="238">
        <f>MAX(I1294/I1325)</f>
        <v>7.6301901189037959E-3</v>
      </c>
      <c r="AF1293" s="235">
        <f t="shared" si="241"/>
        <v>101890.49607365677</v>
      </c>
      <c r="AG1293" s="238">
        <f>MAX(H1294/H1325)</f>
        <v>4.5055192610948414E-3</v>
      </c>
      <c r="AH1293" s="235">
        <f t="shared" si="242"/>
        <v>48330.287694594204</v>
      </c>
    </row>
    <row r="1294" spans="1:34" ht="15" customHeight="1" x14ac:dyDescent="0.2">
      <c r="A1294" s="962" t="s">
        <v>362</v>
      </c>
      <c r="B1294" s="1146">
        <v>4</v>
      </c>
      <c r="C1294" s="1146">
        <v>3</v>
      </c>
      <c r="D1294" s="1146">
        <v>0</v>
      </c>
      <c r="E1294" s="1146">
        <v>0</v>
      </c>
      <c r="F1294" s="1146">
        <v>1</v>
      </c>
      <c r="G1294" s="1146">
        <v>0</v>
      </c>
      <c r="H1294" s="1146">
        <v>3</v>
      </c>
      <c r="I1294" s="1146">
        <v>6</v>
      </c>
      <c r="J1294" s="1147">
        <v>18</v>
      </c>
      <c r="K1294" s="1147">
        <v>6</v>
      </c>
      <c r="L1294" s="1066" t="s">
        <v>988</v>
      </c>
      <c r="M1294" s="959">
        <v>2445000</v>
      </c>
      <c r="N1294" s="959">
        <v>13353598.597920001</v>
      </c>
      <c r="O1294" s="1149">
        <v>10726907.353815183</v>
      </c>
      <c r="P1294" s="950"/>
      <c r="Q1294" s="950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237">
        <f>MAX(J1295/J1325)</f>
        <v>2.714493456131847E-2</v>
      </c>
      <c r="AD1294" s="235">
        <f t="shared" si="240"/>
        <v>66369.365002423656</v>
      </c>
      <c r="AE1294" s="238">
        <f>MAX(I1295/I1325)</f>
        <v>2.2890570356711389E-2</v>
      </c>
      <c r="AF1294" s="235">
        <f t="shared" si="241"/>
        <v>305671.48822097032</v>
      </c>
      <c r="AG1294" s="238">
        <f>MAX(H1295/H1325)</f>
        <v>2.7033115566569052E-2</v>
      </c>
      <c r="AH1294" s="235">
        <f t="shared" si="242"/>
        <v>289981.72616756527</v>
      </c>
    </row>
    <row r="1295" spans="1:34" ht="15" customHeight="1" x14ac:dyDescent="0.2">
      <c r="A1295" s="962" t="s">
        <v>363</v>
      </c>
      <c r="B1295" s="1146">
        <v>24</v>
      </c>
      <c r="C1295" s="1146">
        <v>0</v>
      </c>
      <c r="D1295" s="1146">
        <v>0</v>
      </c>
      <c r="E1295" s="1146">
        <v>2</v>
      </c>
      <c r="F1295" s="1146">
        <v>4</v>
      </c>
      <c r="G1295" s="1146">
        <v>0</v>
      </c>
      <c r="H1295" s="1146">
        <v>18</v>
      </c>
      <c r="I1295" s="1146">
        <v>18</v>
      </c>
      <c r="J1295" s="1147">
        <v>126</v>
      </c>
      <c r="K1295" s="1147">
        <v>7</v>
      </c>
      <c r="L1295" s="1066" t="s">
        <v>988</v>
      </c>
      <c r="M1295" s="959">
        <v>2445000</v>
      </c>
      <c r="N1295" s="959">
        <v>13353598.597920001</v>
      </c>
      <c r="O1295" s="1149">
        <v>10726907.353815183</v>
      </c>
      <c r="P1295" s="950"/>
      <c r="Q1295" s="950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237">
        <f>MAX(J1296/J1325)</f>
        <v>0</v>
      </c>
      <c r="AD1295" s="235">
        <f t="shared" si="240"/>
        <v>0</v>
      </c>
      <c r="AE1295" s="238">
        <f>MAX(I1296/I1325)</f>
        <v>1.3988681884656958E-2</v>
      </c>
      <c r="AF1295" s="235">
        <f t="shared" si="241"/>
        <v>186799.24280170407</v>
      </c>
      <c r="AG1295" s="238">
        <f>MAX(H1296/H1325)</f>
        <v>0</v>
      </c>
      <c r="AH1295" s="235">
        <f t="shared" si="242"/>
        <v>0</v>
      </c>
    </row>
    <row r="1296" spans="1:34" ht="15" customHeight="1" x14ac:dyDescent="0.2">
      <c r="A1296" s="962" t="s">
        <v>939</v>
      </c>
      <c r="B1296" s="1146">
        <v>16</v>
      </c>
      <c r="C1296" s="1146">
        <v>0</v>
      </c>
      <c r="D1296" s="1146">
        <v>0</v>
      </c>
      <c r="E1296" s="1146">
        <v>2</v>
      </c>
      <c r="F1296" s="1146">
        <v>3</v>
      </c>
      <c r="G1296" s="1146">
        <v>11</v>
      </c>
      <c r="H1296" s="1146">
        <v>0</v>
      </c>
      <c r="I1296" s="1146">
        <v>11</v>
      </c>
      <c r="J1296" s="1147">
        <v>0</v>
      </c>
      <c r="K1296" s="1147">
        <v>6</v>
      </c>
      <c r="L1296" s="1066" t="s">
        <v>988</v>
      </c>
      <c r="M1296" s="959">
        <v>2445000</v>
      </c>
      <c r="N1296" s="959">
        <v>13353598.597920001</v>
      </c>
      <c r="O1296" s="1149">
        <v>10726907.353815183</v>
      </c>
      <c r="P1296" s="950"/>
      <c r="Q1296" s="950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237">
        <f>MAX(J1297/J1325)</f>
        <v>0</v>
      </c>
      <c r="AD1296" s="235">
        <f t="shared" si="240"/>
        <v>0</v>
      </c>
      <c r="AE1296" s="238">
        <f>MAX(I1297/I1325)</f>
        <v>8.2660392954791127E-3</v>
      </c>
      <c r="AF1296" s="235">
        <f t="shared" si="241"/>
        <v>110381.37074646151</v>
      </c>
      <c r="AG1296" s="238">
        <f>MAX(H1297/H1325)</f>
        <v>0</v>
      </c>
      <c r="AH1296" s="235">
        <f t="shared" si="242"/>
        <v>0</v>
      </c>
    </row>
    <row r="1297" spans="1:34" ht="15" customHeight="1" x14ac:dyDescent="0.2">
      <c r="A1297" s="962" t="s">
        <v>365</v>
      </c>
      <c r="B1297" s="1146">
        <v>3.5</v>
      </c>
      <c r="C1297" s="1146">
        <v>3</v>
      </c>
      <c r="D1297" s="1146">
        <v>1.5</v>
      </c>
      <c r="E1297" s="1146">
        <v>0</v>
      </c>
      <c r="F1297" s="1146">
        <v>0</v>
      </c>
      <c r="G1297" s="1146">
        <v>2</v>
      </c>
      <c r="H1297" s="1146">
        <v>0</v>
      </c>
      <c r="I1297" s="1146">
        <v>6.5</v>
      </c>
      <c r="J1297" s="1147">
        <v>0</v>
      </c>
      <c r="K1297" s="1147">
        <v>8</v>
      </c>
      <c r="L1297" s="1066" t="s">
        <v>988</v>
      </c>
      <c r="M1297" s="959">
        <v>2445000</v>
      </c>
      <c r="N1297" s="959">
        <v>13353598.597920001</v>
      </c>
      <c r="O1297" s="1149">
        <v>10726907.353815183</v>
      </c>
      <c r="P1297" s="950"/>
      <c r="Q1297" s="950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237">
        <f>MAX(J1298/J1325)</f>
        <v>0</v>
      </c>
      <c r="AD1297" s="235">
        <f t="shared" si="240"/>
        <v>0</v>
      </c>
      <c r="AE1297" s="238">
        <f>MAX(I1298/I1325)</f>
        <v>0</v>
      </c>
      <c r="AF1297" s="235">
        <f t="shared" si="241"/>
        <v>0</v>
      </c>
      <c r="AG1297" s="238">
        <f>MAX(H1298/H1325)</f>
        <v>0</v>
      </c>
      <c r="AH1297" s="235">
        <f t="shared" si="242"/>
        <v>0</v>
      </c>
    </row>
    <row r="1298" spans="1:34" ht="15" customHeight="1" x14ac:dyDescent="0.2">
      <c r="A1298" s="962" t="s">
        <v>366</v>
      </c>
      <c r="B1298" s="956">
        <v>0</v>
      </c>
      <c r="C1298" s="1146"/>
      <c r="D1298" s="1146"/>
      <c r="E1298" s="1146"/>
      <c r="F1298" s="1146"/>
      <c r="G1298" s="1146"/>
      <c r="H1298" s="1146">
        <v>0</v>
      </c>
      <c r="I1298" s="1146">
        <v>0</v>
      </c>
      <c r="J1298" s="1147">
        <v>0</v>
      </c>
      <c r="K1298" s="1147"/>
      <c r="L1298" s="1148"/>
      <c r="M1298" s="959"/>
      <c r="N1298" s="1533"/>
      <c r="O1298" s="1534"/>
      <c r="U1298" s="9"/>
      <c r="V1298" s="9"/>
      <c r="W1298" s="9"/>
      <c r="X1298" s="9"/>
      <c r="Y1298" s="9"/>
      <c r="Z1298" s="9"/>
      <c r="AA1298" s="9"/>
      <c r="AB1298" s="1966"/>
      <c r="AC1298" s="237">
        <f>MAX(J1299/J1325)</f>
        <v>0</v>
      </c>
      <c r="AD1298" s="235">
        <f t="shared" si="240"/>
        <v>0</v>
      </c>
      <c r="AE1298" s="238">
        <f>MAX(I1299/I1325)</f>
        <v>0</v>
      </c>
      <c r="AF1298" s="235">
        <f t="shared" si="241"/>
        <v>0</v>
      </c>
      <c r="AG1298" s="238">
        <f>MAX(H1299/H1325)</f>
        <v>0</v>
      </c>
      <c r="AH1298" s="235">
        <f t="shared" si="242"/>
        <v>0</v>
      </c>
    </row>
    <row r="1299" spans="1:34" ht="15" customHeight="1" x14ac:dyDescent="0.2">
      <c r="A1299" s="962" t="s">
        <v>367</v>
      </c>
      <c r="B1299" s="956">
        <v>0</v>
      </c>
      <c r="C1299" s="1146"/>
      <c r="D1299" s="1146"/>
      <c r="E1299" s="1146"/>
      <c r="F1299" s="1146"/>
      <c r="G1299" s="1146"/>
      <c r="H1299" s="1146">
        <v>0</v>
      </c>
      <c r="I1299" s="1146">
        <v>0</v>
      </c>
      <c r="J1299" s="1147">
        <v>0</v>
      </c>
      <c r="K1299" s="1147"/>
      <c r="L1299" s="1148"/>
      <c r="M1299" s="959"/>
      <c r="N1299" s="1533"/>
      <c r="O1299" s="1534"/>
      <c r="U1299" s="950"/>
      <c r="V1299" s="950"/>
      <c r="W1299" s="9"/>
      <c r="X1299" s="9"/>
      <c r="Y1299" s="9"/>
      <c r="Z1299" s="9"/>
      <c r="AA1299" s="9"/>
      <c r="AB1299" s="1966"/>
      <c r="AC1299" s="1157"/>
      <c r="AD1299" s="1156"/>
      <c r="AE1299" s="1158"/>
      <c r="AF1299" s="1156"/>
      <c r="AG1299" s="1158"/>
      <c r="AH1299" s="1156"/>
    </row>
    <row r="1300" spans="1:34" ht="15" customHeight="1" x14ac:dyDescent="0.2">
      <c r="A1300" s="434" t="s">
        <v>940</v>
      </c>
      <c r="B1300" s="1002">
        <v>101.5</v>
      </c>
      <c r="C1300" s="1002">
        <v>30</v>
      </c>
      <c r="D1300" s="1002">
        <v>0</v>
      </c>
      <c r="E1300" s="1002">
        <v>3</v>
      </c>
      <c r="F1300" s="1002">
        <v>8</v>
      </c>
      <c r="G1300" s="1002">
        <v>20</v>
      </c>
      <c r="H1300" s="1002">
        <v>70.5</v>
      </c>
      <c r="I1300" s="1002">
        <v>120.5</v>
      </c>
      <c r="J1300" s="1150">
        <v>556.5</v>
      </c>
      <c r="K1300" s="1136">
        <v>7.8936170212765955</v>
      </c>
      <c r="L1300" s="1152"/>
      <c r="M1300" s="996"/>
      <c r="N1300" s="435"/>
      <c r="O1300" s="436"/>
      <c r="U1300" s="9"/>
      <c r="V1300" s="9"/>
      <c r="W1300" s="9"/>
      <c r="X1300" s="9"/>
      <c r="Y1300" s="9"/>
      <c r="Z1300" s="9"/>
      <c r="AA1300" s="9"/>
      <c r="AB1300" s="1966"/>
      <c r="AC1300" s="237">
        <f>MAX(J1301/J1325)</f>
        <v>8.6282113427047988E-2</v>
      </c>
      <c r="AD1300" s="235">
        <f>MAX(M1301*AC1300)</f>
        <v>210959.76732913233</v>
      </c>
      <c r="AE1300" s="238">
        <f>MAX(I1301/I1325)</f>
        <v>9.9828320722324657E-2</v>
      </c>
      <c r="AF1300" s="235">
        <f>MAX(N1301*AE1300)</f>
        <v>1333067.3236303427</v>
      </c>
      <c r="AG1300" s="238">
        <f>MAX(H1301/H1325)</f>
        <v>6.6831869039573485E-2</v>
      </c>
      <c r="AH1300" s="235">
        <f>MAX(O1301*AG1300)</f>
        <v>716899.26746981405</v>
      </c>
    </row>
    <row r="1301" spans="1:34" ht="15" customHeight="1" x14ac:dyDescent="0.2">
      <c r="A1301" s="962" t="s">
        <v>369</v>
      </c>
      <c r="B1301" s="1146">
        <v>75.5</v>
      </c>
      <c r="C1301" s="1146">
        <v>14</v>
      </c>
      <c r="D1301" s="1146">
        <v>0</v>
      </c>
      <c r="E1301" s="1146">
        <v>3</v>
      </c>
      <c r="F1301" s="1146">
        <v>8</v>
      </c>
      <c r="G1301" s="1146">
        <v>20</v>
      </c>
      <c r="H1301" s="1146">
        <v>44.5</v>
      </c>
      <c r="I1301" s="1146">
        <v>78.5</v>
      </c>
      <c r="J1301" s="1147">
        <v>400.5</v>
      </c>
      <c r="K1301" s="1147">
        <v>9</v>
      </c>
      <c r="L1301" s="1066" t="s">
        <v>988</v>
      </c>
      <c r="M1301" s="959">
        <v>2445000</v>
      </c>
      <c r="N1301" s="959">
        <v>13353598.597920001</v>
      </c>
      <c r="O1301" s="1149">
        <v>10726907.353815183</v>
      </c>
      <c r="P1301" s="9"/>
      <c r="Q1301" s="950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1966"/>
      <c r="AC1301" s="237">
        <f>MAX(J1302/J1325)</f>
        <v>3.1022782355792537E-2</v>
      </c>
      <c r="AD1301" s="235">
        <f>MAX(M1302*AC1301)</f>
        <v>75850.702859912752</v>
      </c>
      <c r="AE1301" s="238">
        <f>MAX(I1302/I1325)</f>
        <v>4.3237744007121506E-2</v>
      </c>
      <c r="AF1301" s="235">
        <f>MAX(N1302*AE1301)</f>
        <v>577379.47775072162</v>
      </c>
      <c r="AG1301" s="238">
        <f>MAX(H1302/H1325)</f>
        <v>3.6044154088758731E-2</v>
      </c>
      <c r="AH1301" s="235">
        <f>MAX(O1302*AG1301)</f>
        <v>386642.30155675363</v>
      </c>
    </row>
    <row r="1302" spans="1:34" ht="15" customHeight="1" x14ac:dyDescent="0.2">
      <c r="A1302" s="962" t="s">
        <v>370</v>
      </c>
      <c r="B1302" s="1146">
        <v>24</v>
      </c>
      <c r="C1302" s="1146">
        <v>10</v>
      </c>
      <c r="D1302" s="1146">
        <v>0</v>
      </c>
      <c r="E1302" s="1146">
        <v>0</v>
      </c>
      <c r="F1302" s="1146">
        <v>0</v>
      </c>
      <c r="G1302" s="1146">
        <v>0</v>
      </c>
      <c r="H1302" s="1146">
        <v>24</v>
      </c>
      <c r="I1302" s="1146">
        <v>34</v>
      </c>
      <c r="J1302" s="1147">
        <v>144</v>
      </c>
      <c r="K1302" s="1147">
        <v>6</v>
      </c>
      <c r="L1302" s="1066" t="s">
        <v>988</v>
      </c>
      <c r="M1302" s="959">
        <v>2445000</v>
      </c>
      <c r="N1302" s="959">
        <v>13353598.597920001</v>
      </c>
      <c r="O1302" s="1149">
        <v>10726907.353815183</v>
      </c>
      <c r="P1302" s="950"/>
      <c r="Q1302" s="950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1966"/>
      <c r="AC1302" s="237">
        <f>MAX(J1303/J1325)</f>
        <v>0</v>
      </c>
      <c r="AD1302" s="235">
        <f>MAX(M1303*AC1302)</f>
        <v>0</v>
      </c>
      <c r="AE1302" s="238">
        <f>MAX(I1303/I1325)</f>
        <v>7.6301901189037959E-3</v>
      </c>
      <c r="AF1302" s="235">
        <f>MAX(N1303*AE1302)</f>
        <v>101890.49607365677</v>
      </c>
      <c r="AG1302" s="238">
        <f>MAX(H1303/H1325)</f>
        <v>0</v>
      </c>
      <c r="AH1302" s="235">
        <f>MAX(O1303*AG1302)</f>
        <v>0</v>
      </c>
    </row>
    <row r="1303" spans="1:34" ht="15" customHeight="1" x14ac:dyDescent="0.2">
      <c r="A1303" s="962" t="s">
        <v>371</v>
      </c>
      <c r="B1303" s="956">
        <v>0</v>
      </c>
      <c r="C1303" s="1146">
        <v>6</v>
      </c>
      <c r="D1303" s="1146">
        <v>0</v>
      </c>
      <c r="E1303" s="1146">
        <v>0</v>
      </c>
      <c r="F1303" s="1146">
        <v>0</v>
      </c>
      <c r="G1303" s="1146">
        <v>0</v>
      </c>
      <c r="H1303" s="1146">
        <v>0</v>
      </c>
      <c r="I1303" s="1146">
        <v>6</v>
      </c>
      <c r="J1303" s="1147">
        <v>0</v>
      </c>
      <c r="K1303" s="1147"/>
      <c r="L1303" s="1066"/>
      <c r="M1303" s="959"/>
      <c r="N1303" s="959">
        <v>13353598.597920001</v>
      </c>
      <c r="O1303" s="1149"/>
      <c r="P1303" s="950"/>
      <c r="Q1303" s="950"/>
      <c r="R1303" s="950"/>
      <c r="S1303" s="950"/>
      <c r="T1303" s="950"/>
      <c r="U1303" s="9"/>
      <c r="V1303" s="9"/>
      <c r="W1303" s="9"/>
      <c r="X1303" s="9"/>
      <c r="Y1303" s="9"/>
      <c r="Z1303" s="9"/>
      <c r="AA1303" s="9"/>
      <c r="AB1303" s="1966"/>
      <c r="AC1303" s="237">
        <f>MAX(J1304/J1325)</f>
        <v>0</v>
      </c>
      <c r="AD1303" s="235">
        <f>MAX(M1304*AC1303)</f>
        <v>0</v>
      </c>
      <c r="AE1303" s="238">
        <f>MAX(I1304/I1325)</f>
        <v>0</v>
      </c>
      <c r="AF1303" s="235">
        <f>MAX(N1304*AE1303)</f>
        <v>0</v>
      </c>
      <c r="AG1303" s="238">
        <f>MAX(H1304/H1325)</f>
        <v>0</v>
      </c>
      <c r="AH1303" s="235">
        <f>MAX(O1304*AG1303)</f>
        <v>0</v>
      </c>
    </row>
    <row r="1304" spans="1:34" ht="15" customHeight="1" x14ac:dyDescent="0.2">
      <c r="A1304" s="962" t="s">
        <v>372</v>
      </c>
      <c r="B1304" s="956">
        <v>0</v>
      </c>
      <c r="C1304" s="1146">
        <v>0</v>
      </c>
      <c r="D1304" s="1146">
        <v>0</v>
      </c>
      <c r="E1304" s="1146">
        <v>0</v>
      </c>
      <c r="F1304" s="1146">
        <v>0</v>
      </c>
      <c r="G1304" s="1146">
        <v>0</v>
      </c>
      <c r="H1304" s="1146">
        <v>0</v>
      </c>
      <c r="I1304" s="1146">
        <v>0</v>
      </c>
      <c r="J1304" s="1147">
        <v>0</v>
      </c>
      <c r="K1304" s="1147">
        <v>0</v>
      </c>
      <c r="L1304" s="1148"/>
      <c r="M1304" s="959"/>
      <c r="N1304" s="1533"/>
      <c r="O1304" s="1534"/>
      <c r="U1304" s="9"/>
      <c r="V1304" s="9"/>
      <c r="W1304" s="9"/>
      <c r="X1304" s="9"/>
      <c r="Y1304" s="9"/>
      <c r="Z1304" s="9"/>
      <c r="AA1304" s="9"/>
      <c r="AB1304" s="1966"/>
      <c r="AC1304" s="237">
        <f>MAX(J1305/J1325)</f>
        <v>2.5852318629827112E-3</v>
      </c>
      <c r="AD1304" s="235">
        <f>MAX(M1305*AC1304)</f>
        <v>6320.891904992729</v>
      </c>
      <c r="AE1304" s="238">
        <f>MAX(I1305/I1325)</f>
        <v>2.5433967063012652E-3</v>
      </c>
      <c r="AF1304" s="235">
        <f>MAX(N1305*AE1304)</f>
        <v>33963.49869121892</v>
      </c>
      <c r="AG1304" s="238">
        <f>MAX(H1305/H1325)</f>
        <v>3.0036795073965614E-3</v>
      </c>
      <c r="AH1304" s="235">
        <f>MAX(O1305*AG1304)</f>
        <v>32220.191796396142</v>
      </c>
    </row>
    <row r="1305" spans="1:34" ht="15" customHeight="1" x14ac:dyDescent="0.2">
      <c r="A1305" s="962" t="s">
        <v>373</v>
      </c>
      <c r="B1305" s="956">
        <v>2</v>
      </c>
      <c r="C1305" s="1146">
        <v>0</v>
      </c>
      <c r="D1305" s="1146">
        <v>0</v>
      </c>
      <c r="E1305" s="1146">
        <v>0</v>
      </c>
      <c r="F1305" s="1146">
        <v>0</v>
      </c>
      <c r="G1305" s="1146">
        <v>0</v>
      </c>
      <c r="H1305" s="1146">
        <v>2</v>
      </c>
      <c r="I1305" s="1146">
        <v>2</v>
      </c>
      <c r="J1305" s="1147">
        <v>12</v>
      </c>
      <c r="K1305" s="1147">
        <v>6</v>
      </c>
      <c r="L1305" s="1066" t="s">
        <v>988</v>
      </c>
      <c r="M1305" s="959">
        <v>2445000</v>
      </c>
      <c r="N1305" s="959">
        <v>13353598.597920001</v>
      </c>
      <c r="O1305" s="1149">
        <v>10726907.353815183</v>
      </c>
      <c r="P1305" s="950"/>
      <c r="Q1305" s="950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1966"/>
      <c r="AC1305" s="1157"/>
      <c r="AD1305" s="1156"/>
      <c r="AE1305" s="1158"/>
      <c r="AF1305" s="1156"/>
      <c r="AG1305" s="1158"/>
      <c r="AH1305" s="1156"/>
    </row>
    <row r="1306" spans="1:34" ht="15" customHeight="1" x14ac:dyDescent="0.2">
      <c r="A1306" s="1154" t="s">
        <v>374</v>
      </c>
      <c r="B1306" s="1002">
        <v>111.14999999999999</v>
      </c>
      <c r="C1306" s="1002">
        <v>15</v>
      </c>
      <c r="D1306" s="1002">
        <v>0</v>
      </c>
      <c r="E1306" s="1002">
        <v>0</v>
      </c>
      <c r="F1306" s="1002">
        <v>2</v>
      </c>
      <c r="G1306" s="1002">
        <v>0</v>
      </c>
      <c r="H1306" s="1002">
        <v>109.14999999999999</v>
      </c>
      <c r="I1306" s="1002">
        <v>124.14999999999999</v>
      </c>
      <c r="J1306" s="1150">
        <v>836.05000000000007</v>
      </c>
      <c r="K1306" s="1136">
        <v>7.6596426935409996</v>
      </c>
      <c r="L1306" s="1152"/>
      <c r="M1306" s="996"/>
      <c r="N1306" s="435"/>
      <c r="O1306" s="436"/>
      <c r="V1306" s="9"/>
      <c r="W1306" s="9"/>
      <c r="X1306" s="9"/>
      <c r="Y1306" s="9"/>
      <c r="Z1306" s="9"/>
      <c r="AA1306" s="9"/>
      <c r="AB1306" s="1966"/>
      <c r="AC1306" s="237">
        <f>MAX(J1307/J1325)</f>
        <v>6.2045564711585073E-2</v>
      </c>
      <c r="AD1306" s="235">
        <f t="shared" ref="AD1306:AD1313" si="243">MAX(M1307*AC1306)</f>
        <v>151701.4057198255</v>
      </c>
      <c r="AE1306" s="238">
        <f>MAX(I1307/I1325)</f>
        <v>5.213963247917594E-2</v>
      </c>
      <c r="AF1306" s="235">
        <f t="shared" ref="AF1306:AF1313" si="244">MAX(N1307*AE1306)</f>
        <v>696251.7231699879</v>
      </c>
      <c r="AG1306" s="238">
        <f>MAX(H1307/H1325)</f>
        <v>4.8058872118344982E-2</v>
      </c>
      <c r="AH1306" s="235">
        <f t="shared" ref="AH1306:AH1313" si="245">MAX(O1307*AG1306)</f>
        <v>515523.06874233828</v>
      </c>
    </row>
    <row r="1307" spans="1:34" ht="15" customHeight="1" x14ac:dyDescent="0.2">
      <c r="A1307" s="962" t="s">
        <v>375</v>
      </c>
      <c r="B1307" s="1146">
        <v>32</v>
      </c>
      <c r="C1307" s="1146">
        <v>9</v>
      </c>
      <c r="D1307" s="1146">
        <v>0</v>
      </c>
      <c r="E1307" s="1146">
        <v>0</v>
      </c>
      <c r="F1307" s="1146">
        <v>0</v>
      </c>
      <c r="G1307" s="1146">
        <v>0</v>
      </c>
      <c r="H1307" s="1146">
        <v>32</v>
      </c>
      <c r="I1307" s="1146">
        <v>41</v>
      </c>
      <c r="J1307" s="1147">
        <v>288</v>
      </c>
      <c r="K1307" s="1147">
        <v>9</v>
      </c>
      <c r="L1307" s="1066" t="s">
        <v>988</v>
      </c>
      <c r="M1307" s="959">
        <v>2445000</v>
      </c>
      <c r="N1307" s="959">
        <v>13353598.597920001</v>
      </c>
      <c r="O1307" s="1149">
        <v>10726907.353815183</v>
      </c>
      <c r="P1307" s="950"/>
      <c r="Q1307" s="950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1966"/>
      <c r="AC1307" s="237">
        <f>MAX(J1308/J1325)</f>
        <v>7.6910647923735653E-3</v>
      </c>
      <c r="AD1307" s="235">
        <f t="shared" si="243"/>
        <v>18804.653417353366</v>
      </c>
      <c r="AE1307" s="238">
        <f>MAX(I1308/I1325)</f>
        <v>7.7573599542188586E-3</v>
      </c>
      <c r="AF1307" s="235">
        <f t="shared" si="244"/>
        <v>103588.67100821772</v>
      </c>
      <c r="AG1307" s="238">
        <f>MAX(H1308/H1325)</f>
        <v>7.6593827438612306E-3</v>
      </c>
      <c r="AH1307" s="235">
        <f t="shared" si="245"/>
        <v>82161.489080810148</v>
      </c>
    </row>
    <row r="1308" spans="1:34" ht="15" customHeight="1" x14ac:dyDescent="0.2">
      <c r="A1308" s="962" t="s">
        <v>376</v>
      </c>
      <c r="B1308" s="1146">
        <v>5.0999999999999996</v>
      </c>
      <c r="C1308" s="1146">
        <v>1</v>
      </c>
      <c r="D1308" s="1146">
        <v>0</v>
      </c>
      <c r="E1308" s="1146">
        <v>0</v>
      </c>
      <c r="F1308" s="1146">
        <v>0</v>
      </c>
      <c r="G1308" s="1146">
        <v>0</v>
      </c>
      <c r="H1308" s="1146">
        <v>5.0999999999999996</v>
      </c>
      <c r="I1308" s="1146">
        <v>6.1</v>
      </c>
      <c r="J1308" s="1147">
        <v>35.699999999999996</v>
      </c>
      <c r="K1308" s="1147">
        <v>7</v>
      </c>
      <c r="L1308" s="1066" t="s">
        <v>988</v>
      </c>
      <c r="M1308" s="959">
        <v>2445000</v>
      </c>
      <c r="N1308" s="959">
        <v>13353598.597920001</v>
      </c>
      <c r="O1308" s="1149">
        <v>10726907.353815183</v>
      </c>
      <c r="P1308" s="950"/>
      <c r="Q1308" s="950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1966"/>
      <c r="AC1308" s="237">
        <f>MAX(J1309/J1325)</f>
        <v>0</v>
      </c>
      <c r="AD1308" s="235">
        <f t="shared" si="243"/>
        <v>0</v>
      </c>
      <c r="AE1308" s="238">
        <f>MAX(I1309/I1325)</f>
        <v>0</v>
      </c>
      <c r="AF1308" s="235">
        <f t="shared" si="244"/>
        <v>0</v>
      </c>
      <c r="AG1308" s="238">
        <f>MAX(H1309/H1325)</f>
        <v>0</v>
      </c>
      <c r="AH1308" s="235">
        <f t="shared" si="245"/>
        <v>0</v>
      </c>
    </row>
    <row r="1309" spans="1:34" ht="15" customHeight="1" x14ac:dyDescent="0.2">
      <c r="A1309" s="962" t="s">
        <v>377</v>
      </c>
      <c r="B1309" s="1146">
        <v>0</v>
      </c>
      <c r="C1309" s="1146"/>
      <c r="D1309" s="1146"/>
      <c r="E1309" s="1146"/>
      <c r="F1309" s="1146"/>
      <c r="G1309" s="1146"/>
      <c r="H1309" s="1146">
        <v>0</v>
      </c>
      <c r="I1309" s="1146">
        <v>0</v>
      </c>
      <c r="J1309" s="1147">
        <v>0</v>
      </c>
      <c r="K1309" s="1147"/>
      <c r="L1309" s="1148"/>
      <c r="M1309" s="959"/>
      <c r="N1309" s="1533"/>
      <c r="O1309" s="1534"/>
      <c r="U1309" s="9"/>
      <c r="V1309" s="9"/>
      <c r="W1309" s="9"/>
      <c r="X1309" s="9"/>
      <c r="Y1309" s="9"/>
      <c r="Z1309" s="9"/>
      <c r="AA1309" s="9"/>
      <c r="AB1309" s="1966"/>
      <c r="AC1309" s="237">
        <f>MAX(J1310/J1325)</f>
        <v>4.136370980772338E-2</v>
      </c>
      <c r="AD1309" s="235">
        <f t="shared" si="243"/>
        <v>101134.27047988366</v>
      </c>
      <c r="AE1309" s="238">
        <f>MAX(I1310/I1325)</f>
        <v>3.0520760475615184E-2</v>
      </c>
      <c r="AF1309" s="235">
        <f t="shared" si="244"/>
        <v>407561.98429462709</v>
      </c>
      <c r="AG1309" s="238">
        <f>MAX(H1310/H1325)</f>
        <v>3.6044154088758731E-2</v>
      </c>
      <c r="AH1309" s="235">
        <f t="shared" si="245"/>
        <v>386642.30155675363</v>
      </c>
    </row>
    <row r="1310" spans="1:34" ht="15" customHeight="1" x14ac:dyDescent="0.2">
      <c r="A1310" s="962" t="s">
        <v>378</v>
      </c>
      <c r="B1310" s="1146">
        <v>24</v>
      </c>
      <c r="C1310" s="1146">
        <v>0</v>
      </c>
      <c r="D1310" s="1146">
        <v>0</v>
      </c>
      <c r="E1310" s="1146">
        <v>0</v>
      </c>
      <c r="F1310" s="1146">
        <v>0</v>
      </c>
      <c r="G1310" s="1146">
        <v>0</v>
      </c>
      <c r="H1310" s="1146">
        <v>24</v>
      </c>
      <c r="I1310" s="1146">
        <v>24</v>
      </c>
      <c r="J1310" s="1147">
        <v>192</v>
      </c>
      <c r="K1310" s="1147">
        <v>8</v>
      </c>
      <c r="L1310" s="1066" t="s">
        <v>988</v>
      </c>
      <c r="M1310" s="959">
        <v>2445000</v>
      </c>
      <c r="N1310" s="959">
        <v>13353598.597920001</v>
      </c>
      <c r="O1310" s="1149">
        <v>10726907.353815183</v>
      </c>
      <c r="P1310" s="950"/>
      <c r="Q1310" s="950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1966"/>
      <c r="AC1310" s="237">
        <f>MAX(J1311/J1325)</f>
        <v>2.068185490386169E-2</v>
      </c>
      <c r="AD1310" s="235">
        <f t="shared" si="243"/>
        <v>50567.135239941832</v>
      </c>
      <c r="AE1310" s="238">
        <f>MAX(I1311/I1325)</f>
        <v>2.0347173650410121E-2</v>
      </c>
      <c r="AF1310" s="235">
        <f t="shared" si="244"/>
        <v>271707.98952975136</v>
      </c>
      <c r="AG1310" s="238">
        <f>MAX(H1311/H1325)</f>
        <v>2.4029436059172491E-2</v>
      </c>
      <c r="AH1310" s="235">
        <f t="shared" si="245"/>
        <v>257761.53437116914</v>
      </c>
    </row>
    <row r="1311" spans="1:34" ht="15" customHeight="1" x14ac:dyDescent="0.2">
      <c r="A1311" s="962" t="s">
        <v>379</v>
      </c>
      <c r="B1311" s="1146">
        <v>16</v>
      </c>
      <c r="C1311" s="1146"/>
      <c r="D1311" s="1146"/>
      <c r="E1311" s="1146"/>
      <c r="F1311" s="1146"/>
      <c r="G1311" s="1146"/>
      <c r="H1311" s="1146">
        <v>16</v>
      </c>
      <c r="I1311" s="1146">
        <v>16</v>
      </c>
      <c r="J1311" s="1147">
        <v>96</v>
      </c>
      <c r="K1311" s="1147">
        <v>6</v>
      </c>
      <c r="L1311" s="1066" t="s">
        <v>988</v>
      </c>
      <c r="M1311" s="959">
        <v>2445000</v>
      </c>
      <c r="N1311" s="959">
        <v>13353598.597920001</v>
      </c>
      <c r="O1311" s="1149">
        <v>10726907.353815183</v>
      </c>
      <c r="P1311" s="9"/>
      <c r="Q1311" s="950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1966"/>
      <c r="AC1311" s="237">
        <f>MAX(J1312/J1325)</f>
        <v>1.5834545160769105E-2</v>
      </c>
      <c r="AD1311" s="235">
        <f t="shared" si="243"/>
        <v>38715.462918080462</v>
      </c>
      <c r="AE1311" s="238">
        <f>MAX(I1312/I1325)</f>
        <v>1.4624531061232276E-2</v>
      </c>
      <c r="AF1311" s="235">
        <f t="shared" si="244"/>
        <v>195290.11747450882</v>
      </c>
      <c r="AG1311" s="238">
        <f>MAX(H1312/H1325)</f>
        <v>1.5769317413831946E-2</v>
      </c>
      <c r="AH1311" s="235">
        <f t="shared" si="245"/>
        <v>169156.00693107973</v>
      </c>
    </row>
    <row r="1312" spans="1:34" ht="15" customHeight="1" x14ac:dyDescent="0.2">
      <c r="A1312" s="962" t="s">
        <v>380</v>
      </c>
      <c r="B1312" s="1146">
        <v>12.5</v>
      </c>
      <c r="C1312" s="1146">
        <v>1</v>
      </c>
      <c r="D1312" s="1146">
        <v>0</v>
      </c>
      <c r="E1312" s="1146">
        <v>0</v>
      </c>
      <c r="F1312" s="1146">
        <v>2</v>
      </c>
      <c r="G1312" s="1146">
        <v>0</v>
      </c>
      <c r="H1312" s="1146">
        <v>10.5</v>
      </c>
      <c r="I1312" s="1146">
        <v>11.5</v>
      </c>
      <c r="J1312" s="1147">
        <v>73.5</v>
      </c>
      <c r="K1312" s="1147">
        <v>7</v>
      </c>
      <c r="L1312" s="1066" t="s">
        <v>988</v>
      </c>
      <c r="M1312" s="959">
        <v>2445000</v>
      </c>
      <c r="N1312" s="959">
        <v>13353598.597920001</v>
      </c>
      <c r="O1312" s="1149">
        <v>10726907.353815183</v>
      </c>
      <c r="P1312" s="950"/>
      <c r="Q1312" s="950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1966"/>
      <c r="AC1312" s="237">
        <f>MAX(J1313/J1325)</f>
        <v>1.9604674960952227E-2</v>
      </c>
      <c r="AD1312" s="235">
        <f t="shared" si="243"/>
        <v>47933.430279528191</v>
      </c>
      <c r="AE1312" s="238">
        <f>MAX(I1313/I1325)</f>
        <v>1.6532078590958225E-2</v>
      </c>
      <c r="AF1312" s="235">
        <f t="shared" si="244"/>
        <v>220762.74149292303</v>
      </c>
      <c r="AG1312" s="238">
        <f>MAX(H1313/H1325)</f>
        <v>1.9523916798077648E-2</v>
      </c>
      <c r="AH1312" s="235">
        <f t="shared" si="245"/>
        <v>209431.2466765749</v>
      </c>
    </row>
    <row r="1313" spans="1:34" ht="15" customHeight="1" x14ac:dyDescent="0.2">
      <c r="A1313" s="962" t="s">
        <v>381</v>
      </c>
      <c r="B1313" s="1146">
        <v>13</v>
      </c>
      <c r="C1313" s="1146"/>
      <c r="D1313" s="1146"/>
      <c r="E1313" s="1146"/>
      <c r="F1313" s="1146"/>
      <c r="G1313" s="1146"/>
      <c r="H1313" s="1146">
        <v>13</v>
      </c>
      <c r="I1313" s="1146">
        <v>13</v>
      </c>
      <c r="J1313" s="1147">
        <v>91</v>
      </c>
      <c r="K1313" s="1147">
        <v>7</v>
      </c>
      <c r="L1313" s="1066" t="s">
        <v>988</v>
      </c>
      <c r="M1313" s="959">
        <v>2445000</v>
      </c>
      <c r="N1313" s="959">
        <v>13353598.597920001</v>
      </c>
      <c r="O1313" s="1149">
        <v>10726907.353815183</v>
      </c>
      <c r="P1313" s="950"/>
      <c r="Q1313" s="950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1966"/>
      <c r="AC1313" s="237">
        <f>MAX(J1314/J1325)</f>
        <v>1.2893843916626273E-2</v>
      </c>
      <c r="AD1313" s="235">
        <f t="shared" si="243"/>
        <v>31525.448376151238</v>
      </c>
      <c r="AE1313" s="238">
        <f>MAX(I1314/I1325)</f>
        <v>1.595981433204044E-2</v>
      </c>
      <c r="AF1313" s="235">
        <f t="shared" si="244"/>
        <v>213120.95428739875</v>
      </c>
      <c r="AG1313" s="238">
        <f>MAX(H1314/H1325)</f>
        <v>1.2840729894120301E-2</v>
      </c>
      <c r="AH1313" s="235">
        <f t="shared" si="245"/>
        <v>137741.3199295935</v>
      </c>
    </row>
    <row r="1314" spans="1:34" ht="15" customHeight="1" x14ac:dyDescent="0.2">
      <c r="A1314" s="962" t="s">
        <v>382</v>
      </c>
      <c r="B1314" s="956">
        <v>8.5500000000000007</v>
      </c>
      <c r="C1314" s="1146">
        <v>4</v>
      </c>
      <c r="D1314" s="1146">
        <v>0</v>
      </c>
      <c r="E1314" s="1146">
        <v>0</v>
      </c>
      <c r="F1314" s="1146">
        <v>0</v>
      </c>
      <c r="G1314" s="1146">
        <v>0</v>
      </c>
      <c r="H1314" s="1146">
        <v>8.5500000000000007</v>
      </c>
      <c r="I1314" s="1146">
        <v>12.55</v>
      </c>
      <c r="J1314" s="1147">
        <v>59.850000000000009</v>
      </c>
      <c r="K1314" s="1147">
        <v>7</v>
      </c>
      <c r="L1314" s="1066" t="s">
        <v>988</v>
      </c>
      <c r="M1314" s="959">
        <v>2445000</v>
      </c>
      <c r="N1314" s="959">
        <v>13353598.597920001</v>
      </c>
      <c r="O1314" s="1149">
        <v>10726907.353815183</v>
      </c>
      <c r="P1314" s="950"/>
      <c r="Q1314" s="950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1966"/>
      <c r="AC1314" s="1157"/>
      <c r="AD1314" s="1156"/>
      <c r="AE1314" s="1158"/>
      <c r="AF1314" s="1156"/>
      <c r="AG1314" s="1158"/>
      <c r="AH1314" s="1156"/>
    </row>
    <row r="1315" spans="1:34" ht="15" customHeight="1" x14ac:dyDescent="0.2">
      <c r="A1315" s="1154" t="s">
        <v>383</v>
      </c>
      <c r="B1315" s="1002">
        <v>245.5</v>
      </c>
      <c r="C1315" s="1002">
        <v>18</v>
      </c>
      <c r="D1315" s="1002">
        <v>4</v>
      </c>
      <c r="E1315" s="1002">
        <v>9</v>
      </c>
      <c r="F1315" s="1002">
        <v>14</v>
      </c>
      <c r="G1315" s="1002">
        <v>2</v>
      </c>
      <c r="H1315" s="1002">
        <v>216.5</v>
      </c>
      <c r="I1315" s="1002">
        <v>240.5</v>
      </c>
      <c r="J1315" s="1150">
        <v>1473</v>
      </c>
      <c r="K1315" s="1136">
        <v>6.8036951501154732</v>
      </c>
      <c r="L1315" s="1152"/>
      <c r="M1315" s="996"/>
      <c r="N1315" s="435"/>
      <c r="O1315" s="436"/>
      <c r="U1315" s="9"/>
      <c r="V1315" s="9"/>
      <c r="W1315" s="9"/>
      <c r="X1315" s="9"/>
      <c r="Y1315" s="9"/>
      <c r="Z1315" s="9"/>
      <c r="AA1315" s="9"/>
      <c r="AB1315" s="1966"/>
      <c r="AC1315" s="237">
        <f>MAX(J1316/J1325)</f>
        <v>0.11439650993698497</v>
      </c>
      <c r="AD1315" s="235">
        <f t="shared" ref="AD1315:AD1323" si="246">MAX(M1316*AC1315)</f>
        <v>279699.46679592825</v>
      </c>
      <c r="AE1315" s="238">
        <f>MAX(I1316/I1325)</f>
        <v>7.5030202835887322E-2</v>
      </c>
      <c r="AF1315" s="235">
        <f t="shared" ref="AF1315:AF1323" si="247">MAX(N1316*AE1315)</f>
        <v>1001923.2113909582</v>
      </c>
      <c r="AG1315" s="238">
        <f>MAX(H1316/H1325)</f>
        <v>8.860854546819856E-2</v>
      </c>
      <c r="AH1315" s="235">
        <f t="shared" ref="AH1315:AH1323" si="248">MAX(O1316*AG1315)</f>
        <v>950495.65799368615</v>
      </c>
    </row>
    <row r="1316" spans="1:34" ht="15" customHeight="1" x14ac:dyDescent="0.2">
      <c r="A1316" s="962" t="s">
        <v>384</v>
      </c>
      <c r="B1316" s="957">
        <v>59</v>
      </c>
      <c r="C1316" s="1146">
        <v>0</v>
      </c>
      <c r="D1316" s="1146">
        <v>0</v>
      </c>
      <c r="E1316" s="1146">
        <v>0</v>
      </c>
      <c r="F1316" s="1146">
        <v>0</v>
      </c>
      <c r="G1316" s="1146">
        <v>0</v>
      </c>
      <c r="H1316" s="1146">
        <v>59</v>
      </c>
      <c r="I1316" s="1146">
        <v>59</v>
      </c>
      <c r="J1316" s="1147">
        <v>531</v>
      </c>
      <c r="K1316" s="1147">
        <v>9</v>
      </c>
      <c r="L1316" s="1066" t="s">
        <v>988</v>
      </c>
      <c r="M1316" s="959">
        <v>2445000</v>
      </c>
      <c r="N1316" s="959">
        <v>13353598.597920001</v>
      </c>
      <c r="O1316" s="1149">
        <v>10726907.353815183</v>
      </c>
      <c r="P1316" s="950"/>
      <c r="Q1316" s="950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1966"/>
      <c r="AC1316" s="237">
        <f>MAX(J1317/J1325)</f>
        <v>1.2926159314913557E-2</v>
      </c>
      <c r="AD1316" s="235">
        <f t="shared" si="246"/>
        <v>31604.459524963648</v>
      </c>
      <c r="AE1316" s="238">
        <f>MAX(I1317/I1325)</f>
        <v>2.0347173650410121E-2</v>
      </c>
      <c r="AF1316" s="235">
        <f t="shared" si="247"/>
        <v>271707.98952975136</v>
      </c>
      <c r="AG1316" s="238">
        <f>MAX(H1317/H1325)</f>
        <v>1.8022077044379366E-2</v>
      </c>
      <c r="AH1316" s="235">
        <f t="shared" si="248"/>
        <v>193321.15077837682</v>
      </c>
    </row>
    <row r="1317" spans="1:34" ht="15" customHeight="1" x14ac:dyDescent="0.2">
      <c r="A1317" s="962" t="s">
        <v>385</v>
      </c>
      <c r="B1317" s="957">
        <v>14</v>
      </c>
      <c r="C1317" s="1146">
        <v>2</v>
      </c>
      <c r="D1317" s="1146">
        <v>2</v>
      </c>
      <c r="E1317" s="1146">
        <v>0</v>
      </c>
      <c r="F1317" s="1146">
        <v>0</v>
      </c>
      <c r="G1317" s="1146">
        <v>0</v>
      </c>
      <c r="H1317" s="1146">
        <v>12</v>
      </c>
      <c r="I1317" s="1146">
        <v>16</v>
      </c>
      <c r="J1317" s="1147">
        <v>60</v>
      </c>
      <c r="K1317" s="1147">
        <v>5</v>
      </c>
      <c r="L1317" s="1066" t="s">
        <v>988</v>
      </c>
      <c r="M1317" s="959">
        <v>2445000</v>
      </c>
      <c r="N1317" s="959">
        <v>13353598.597920001</v>
      </c>
      <c r="O1317" s="1149">
        <v>10726907.353815183</v>
      </c>
      <c r="P1317" s="950"/>
      <c r="Q1317" s="950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237">
        <f>MAX(J1318/J1325)</f>
        <v>7.1093876232024558E-3</v>
      </c>
      <c r="AD1317" s="235">
        <f t="shared" si="246"/>
        <v>17382.452738730004</v>
      </c>
      <c r="AE1317" s="238">
        <f>MAX(I1318/I1325)</f>
        <v>9.5377376486297447E-3</v>
      </c>
      <c r="AF1317" s="235">
        <f t="shared" si="247"/>
        <v>127363.12009207097</v>
      </c>
      <c r="AG1317" s="238">
        <f>MAX(H1318/H1325)</f>
        <v>8.2601186453405435E-3</v>
      </c>
      <c r="AH1317" s="235">
        <f t="shared" si="248"/>
        <v>88605.527440089383</v>
      </c>
    </row>
    <row r="1318" spans="1:34" ht="15" customHeight="1" x14ac:dyDescent="0.2">
      <c r="A1318" s="962" t="s">
        <v>386</v>
      </c>
      <c r="B1318" s="957">
        <v>5.5</v>
      </c>
      <c r="C1318" s="1146">
        <v>2</v>
      </c>
      <c r="D1318" s="1146">
        <v>0</v>
      </c>
      <c r="E1318" s="1146">
        <v>0</v>
      </c>
      <c r="F1318" s="1146">
        <v>0</v>
      </c>
      <c r="G1318" s="1146">
        <v>0</v>
      </c>
      <c r="H1318" s="1146">
        <v>5.5</v>
      </c>
      <c r="I1318" s="1146">
        <v>7.5</v>
      </c>
      <c r="J1318" s="1147">
        <v>33</v>
      </c>
      <c r="K1318" s="1147">
        <v>6</v>
      </c>
      <c r="L1318" s="1066" t="s">
        <v>988</v>
      </c>
      <c r="M1318" s="959">
        <v>2445000</v>
      </c>
      <c r="N1318" s="959">
        <v>13353598.597920001</v>
      </c>
      <c r="O1318" s="1149">
        <v>10726907.353815183</v>
      </c>
      <c r="P1318" s="950"/>
      <c r="Q1318" s="950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237">
        <f>MAX(J1319/J1325)</f>
        <v>2.563688264124522E-2</v>
      </c>
      <c r="AD1318" s="235">
        <f t="shared" si="246"/>
        <v>62682.178057844561</v>
      </c>
      <c r="AE1318" s="238">
        <f>MAX(I1319/I1325)</f>
        <v>3.3064157181916451E-2</v>
      </c>
      <c r="AF1318" s="235">
        <f t="shared" si="247"/>
        <v>441525.48298584606</v>
      </c>
      <c r="AG1318" s="238">
        <f>MAX(H1319/H1325)</f>
        <v>2.553127581287077E-2</v>
      </c>
      <c r="AH1318" s="235">
        <f t="shared" si="248"/>
        <v>273871.63026936719</v>
      </c>
    </row>
    <row r="1319" spans="1:34" ht="15" customHeight="1" x14ac:dyDescent="0.2">
      <c r="A1319" s="962" t="s">
        <v>387</v>
      </c>
      <c r="B1319" s="957">
        <v>35</v>
      </c>
      <c r="C1319" s="1146">
        <v>5</v>
      </c>
      <c r="D1319" s="1146">
        <v>2</v>
      </c>
      <c r="E1319" s="1146">
        <v>6</v>
      </c>
      <c r="F1319" s="1146">
        <v>8</v>
      </c>
      <c r="G1319" s="1146">
        <v>2</v>
      </c>
      <c r="H1319" s="1146">
        <v>17</v>
      </c>
      <c r="I1319" s="1146">
        <v>26</v>
      </c>
      <c r="J1319" s="1147">
        <v>119</v>
      </c>
      <c r="K1319" s="1147">
        <v>7</v>
      </c>
      <c r="L1319" s="1066" t="s">
        <v>988</v>
      </c>
      <c r="M1319" s="959">
        <v>2445000</v>
      </c>
      <c r="N1319" s="959">
        <v>13353598.597920001</v>
      </c>
      <c r="O1319" s="1149">
        <v>10726907.353815183</v>
      </c>
      <c r="P1319" s="950"/>
      <c r="Q1319" s="950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237">
        <f>MAX(J1320/J1325)</f>
        <v>0</v>
      </c>
      <c r="AD1319" s="235">
        <f t="shared" si="246"/>
        <v>0</v>
      </c>
      <c r="AE1319" s="238">
        <f>MAX(I1320/I1325)</f>
        <v>0</v>
      </c>
      <c r="AF1319" s="235">
        <f t="shared" si="247"/>
        <v>0</v>
      </c>
      <c r="AG1319" s="238">
        <f>MAX(H1320/H1325)</f>
        <v>0</v>
      </c>
      <c r="AH1319" s="235">
        <f t="shared" si="248"/>
        <v>0</v>
      </c>
    </row>
    <row r="1320" spans="1:34" ht="15" customHeight="1" x14ac:dyDescent="0.2">
      <c r="A1320" s="962" t="s">
        <v>388</v>
      </c>
      <c r="B1320" s="957">
        <v>0</v>
      </c>
      <c r="C1320" s="1146"/>
      <c r="D1320" s="1146"/>
      <c r="E1320" s="1146"/>
      <c r="F1320" s="1146"/>
      <c r="G1320" s="1146"/>
      <c r="H1320" s="1146">
        <v>0</v>
      </c>
      <c r="I1320" s="1146">
        <v>0</v>
      </c>
      <c r="J1320" s="1147">
        <v>0</v>
      </c>
      <c r="K1320" s="1147"/>
      <c r="L1320" s="1066"/>
      <c r="M1320" s="959"/>
      <c r="N1320" s="959"/>
      <c r="O1320" s="1149"/>
      <c r="U1320" s="9"/>
      <c r="V1320" s="9"/>
      <c r="W1320" s="9"/>
      <c r="X1320" s="9"/>
      <c r="Y1320" s="9"/>
      <c r="Z1320" s="9"/>
      <c r="AA1320" s="9"/>
      <c r="AB1320" s="9"/>
      <c r="AC1320" s="237">
        <f>MAX(J1321/J1325)</f>
        <v>6.3769052620240213E-2</v>
      </c>
      <c r="AD1320" s="235">
        <f t="shared" si="246"/>
        <v>155915.33365648732</v>
      </c>
      <c r="AE1320" s="238">
        <f>MAX(I1321/I1325)</f>
        <v>5.4683029185477204E-2</v>
      </c>
      <c r="AF1320" s="235">
        <f t="shared" si="247"/>
        <v>730215.22186120681</v>
      </c>
      <c r="AG1320" s="238">
        <f>MAX(H1321/H1325)</f>
        <v>5.5568070886836379E-2</v>
      </c>
      <c r="AH1320" s="235">
        <f t="shared" si="248"/>
        <v>596073.5482333285</v>
      </c>
    </row>
    <row r="1321" spans="1:34" ht="15" customHeight="1" x14ac:dyDescent="0.2">
      <c r="A1321" s="962" t="s">
        <v>389</v>
      </c>
      <c r="B1321" s="957">
        <v>37</v>
      </c>
      <c r="C1321" s="1146">
        <v>6</v>
      </c>
      <c r="D1321" s="1146"/>
      <c r="E1321" s="1146"/>
      <c r="F1321" s="1146"/>
      <c r="G1321" s="1146"/>
      <c r="H1321" s="1146">
        <v>37</v>
      </c>
      <c r="I1321" s="1146">
        <v>43</v>
      </c>
      <c r="J1321" s="1147">
        <v>296</v>
      </c>
      <c r="K1321" s="1147">
        <v>8</v>
      </c>
      <c r="L1321" s="1066" t="s">
        <v>988</v>
      </c>
      <c r="M1321" s="959">
        <v>2445000</v>
      </c>
      <c r="N1321" s="959">
        <v>13353598.597920001</v>
      </c>
      <c r="O1321" s="1149">
        <v>10726907.353815183</v>
      </c>
      <c r="P1321" s="950"/>
      <c r="Q1321" s="950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237">
        <f>MAX(J1322/J1325)</f>
        <v>0</v>
      </c>
      <c r="AD1321" s="235">
        <f t="shared" si="246"/>
        <v>0</v>
      </c>
      <c r="AE1321" s="238">
        <f>MAX(I1322/I1325)</f>
        <v>0</v>
      </c>
      <c r="AF1321" s="235">
        <f t="shared" si="247"/>
        <v>0</v>
      </c>
      <c r="AG1321" s="238">
        <f>MAX(H1322/H1325)</f>
        <v>0</v>
      </c>
      <c r="AH1321" s="235">
        <f t="shared" si="248"/>
        <v>0</v>
      </c>
    </row>
    <row r="1322" spans="1:34" ht="15" customHeight="1" x14ac:dyDescent="0.2">
      <c r="A1322" s="962" t="s">
        <v>390</v>
      </c>
      <c r="B1322" s="957">
        <v>0</v>
      </c>
      <c r="C1322" s="1146"/>
      <c r="D1322" s="1146"/>
      <c r="E1322" s="1146"/>
      <c r="F1322" s="1146"/>
      <c r="G1322" s="1146"/>
      <c r="H1322" s="1146">
        <v>0</v>
      </c>
      <c r="I1322" s="1146">
        <v>0</v>
      </c>
      <c r="J1322" s="1147">
        <v>0</v>
      </c>
      <c r="K1322" s="1147"/>
      <c r="L1322" s="1066"/>
      <c r="M1322" s="959"/>
      <c r="N1322" s="959"/>
      <c r="O1322" s="1149"/>
      <c r="V1322" s="9"/>
      <c r="W1322" s="9"/>
      <c r="X1322" s="9"/>
      <c r="Y1322" s="9"/>
      <c r="Z1322" s="9"/>
      <c r="AA1322" s="9"/>
      <c r="AB1322" s="9"/>
      <c r="AC1322" s="237">
        <f>MAX(J1323/J1325)</f>
        <v>9.0483115204394893E-2</v>
      </c>
      <c r="AD1322" s="235">
        <f t="shared" si="246"/>
        <v>221231.21667474552</v>
      </c>
      <c r="AE1322" s="238">
        <f>MAX(I1323/I1325)</f>
        <v>0.10682266166465314</v>
      </c>
      <c r="AF1322" s="235">
        <f t="shared" si="247"/>
        <v>1426466.9450311947</v>
      </c>
      <c r="AG1322" s="238">
        <f>MAX(H1323/H1325)</f>
        <v>0.12615453931065557</v>
      </c>
      <c r="AH1322" s="235">
        <f t="shared" si="248"/>
        <v>1353248.0554486378</v>
      </c>
    </row>
    <row r="1323" spans="1:34" ht="15" customHeight="1" x14ac:dyDescent="0.2">
      <c r="A1323" s="962" t="s">
        <v>941</v>
      </c>
      <c r="B1323" s="957">
        <v>93</v>
      </c>
      <c r="C1323" s="1146"/>
      <c r="D1323" s="1146"/>
      <c r="E1323" s="1146">
        <v>3</v>
      </c>
      <c r="F1323" s="1146">
        <v>6</v>
      </c>
      <c r="G1323" s="1146"/>
      <c r="H1323" s="1146">
        <v>84</v>
      </c>
      <c r="I1323" s="1146">
        <v>84</v>
      </c>
      <c r="J1323" s="1147">
        <v>420</v>
      </c>
      <c r="K1323" s="1147">
        <v>5</v>
      </c>
      <c r="L1323" s="1066" t="s">
        <v>988</v>
      </c>
      <c r="M1323" s="959">
        <v>2445000</v>
      </c>
      <c r="N1323" s="959">
        <v>13353598.597920001</v>
      </c>
      <c r="O1323" s="1149">
        <v>10726907.353815183</v>
      </c>
      <c r="P1323" s="950"/>
      <c r="Q1323" s="950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237">
        <f>MAX(J1324/J1325)</f>
        <v>3.0161038401464967E-3</v>
      </c>
      <c r="AD1323" s="235">
        <f t="shared" si="246"/>
        <v>7374.3738891581843</v>
      </c>
      <c r="AE1323" s="238">
        <f>MAX(I1324/I1325)</f>
        <v>6.3584917657531631E-3</v>
      </c>
      <c r="AF1323" s="235">
        <f t="shared" si="247"/>
        <v>84908.746728047307</v>
      </c>
      <c r="AG1323" s="238">
        <f>MAX(H1324/H1325)</f>
        <v>3.0036795073965614E-3</v>
      </c>
      <c r="AH1323" s="235">
        <f t="shared" si="248"/>
        <v>32220.191796396142</v>
      </c>
    </row>
    <row r="1324" spans="1:34" ht="15" customHeight="1" thickBot="1" x14ac:dyDescent="0.25">
      <c r="A1324" s="1140" t="s">
        <v>392</v>
      </c>
      <c r="B1324" s="1529">
        <v>2</v>
      </c>
      <c r="C1324" s="1141">
        <v>3</v>
      </c>
      <c r="D1324" s="1141">
        <v>0</v>
      </c>
      <c r="E1324" s="1141">
        <v>0</v>
      </c>
      <c r="F1324" s="1141">
        <v>0</v>
      </c>
      <c r="G1324" s="1141">
        <v>0</v>
      </c>
      <c r="H1324" s="1146">
        <v>2</v>
      </c>
      <c r="I1324" s="1146">
        <v>5</v>
      </c>
      <c r="J1324" s="1526">
        <v>14</v>
      </c>
      <c r="K1324" s="1142">
        <v>7</v>
      </c>
      <c r="L1324" s="1066" t="s">
        <v>988</v>
      </c>
      <c r="M1324" s="959">
        <v>2445000</v>
      </c>
      <c r="N1324" s="959">
        <v>13353598.597920001</v>
      </c>
      <c r="O1324" s="1149">
        <v>10726907.353815183</v>
      </c>
      <c r="P1324" s="950"/>
      <c r="Q1324" s="950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1159">
        <f t="shared" ref="AC1324:AH1324" si="249">SUM(AC1284:AC1323)</f>
        <v>1</v>
      </c>
      <c r="AD1324" s="1160">
        <f t="shared" si="249"/>
        <v>2445000.0000000005</v>
      </c>
      <c r="AE1324" s="1161">
        <f t="shared" si="249"/>
        <v>1</v>
      </c>
      <c r="AF1324" s="1160">
        <f t="shared" si="249"/>
        <v>13353598.597920002</v>
      </c>
      <c r="AG1324" s="1161">
        <f t="shared" si="249"/>
        <v>1.0000000000000002</v>
      </c>
      <c r="AH1324" s="1160">
        <f t="shared" si="249"/>
        <v>10726907.353815185</v>
      </c>
    </row>
    <row r="1325" spans="1:34" ht="13.5" thickBot="1" x14ac:dyDescent="0.25">
      <c r="A1325" s="405" t="s">
        <v>942</v>
      </c>
      <c r="B1325" s="1131">
        <v>788.35</v>
      </c>
      <c r="C1325" s="1131">
        <v>76</v>
      </c>
      <c r="D1325" s="1131">
        <v>5.5</v>
      </c>
      <c r="E1325" s="1131">
        <v>22</v>
      </c>
      <c r="F1325" s="1131">
        <v>56</v>
      </c>
      <c r="G1325" s="1131">
        <v>39</v>
      </c>
      <c r="H1325" s="1131">
        <v>665.84999999999991</v>
      </c>
      <c r="I1325" s="1131">
        <v>786.35</v>
      </c>
      <c r="J1325" s="1132">
        <v>4641.75</v>
      </c>
      <c r="K1325" s="1132">
        <v>6.9711646767289936</v>
      </c>
      <c r="L1325" s="1525" t="s">
        <v>988</v>
      </c>
      <c r="M1325" s="1134">
        <v>2445000.0000000005</v>
      </c>
      <c r="N1325" s="1134">
        <v>13353598.597920002</v>
      </c>
      <c r="O1325" s="506">
        <v>10726907.353815185</v>
      </c>
      <c r="P1325" s="950"/>
      <c r="Q1325" s="950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</row>
    <row r="1326" spans="1:34" x14ac:dyDescent="0.2">
      <c r="A1326" s="7" t="s">
        <v>1934</v>
      </c>
      <c r="B1326" s="224"/>
      <c r="C1326" s="224"/>
      <c r="D1326" s="224"/>
      <c r="E1326" s="224"/>
      <c r="F1326" s="224"/>
      <c r="G1326" s="224"/>
      <c r="H1326" s="224"/>
      <c r="I1326" s="224"/>
      <c r="J1326" s="224"/>
      <c r="K1326" s="240"/>
      <c r="L1326" s="241"/>
      <c r="M1326" s="240"/>
      <c r="N1326" s="240"/>
      <c r="O1326" s="240"/>
      <c r="P1326" s="950"/>
      <c r="Q1326" s="950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</row>
    <row r="1327" spans="1:34" x14ac:dyDescent="0.2">
      <c r="A1327" s="34"/>
      <c r="B1327" s="224"/>
      <c r="C1327" s="224"/>
      <c r="D1327" s="224"/>
      <c r="E1327" s="224"/>
      <c r="F1327" s="224"/>
      <c r="G1327" s="224"/>
      <c r="H1327" s="224"/>
      <c r="I1327" s="224"/>
      <c r="J1327" s="224"/>
      <c r="K1327" s="240"/>
      <c r="L1327" s="241"/>
      <c r="M1327" s="240"/>
      <c r="N1327" s="240"/>
      <c r="O1327" s="240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</row>
    <row r="1328" spans="1:34" x14ac:dyDescent="0.2">
      <c r="A1328" s="34"/>
      <c r="B1328" s="224"/>
      <c r="C1328" s="224"/>
      <c r="D1328" s="224"/>
      <c r="E1328" s="224"/>
      <c r="F1328" s="224"/>
      <c r="G1328" s="224"/>
      <c r="H1328" s="224"/>
      <c r="I1328" s="224"/>
      <c r="J1328" s="224"/>
      <c r="K1328" s="240"/>
      <c r="L1328" s="241"/>
      <c r="M1328" s="240"/>
      <c r="N1328" s="240"/>
      <c r="O1328" s="240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</row>
    <row r="1329" spans="1:34" ht="15" x14ac:dyDescent="0.25">
      <c r="A1329" s="2843" t="s">
        <v>1931</v>
      </c>
      <c r="B1329" s="2843"/>
      <c r="C1329" s="2843"/>
      <c r="D1329" s="2843"/>
      <c r="E1329" s="2843"/>
      <c r="F1329" s="2843"/>
      <c r="G1329" s="2843"/>
      <c r="H1329" s="2843"/>
      <c r="I1329" s="2843"/>
      <c r="J1329" s="2843"/>
      <c r="K1329" s="2843"/>
      <c r="L1329" s="2843"/>
      <c r="M1329" s="2843"/>
      <c r="N1329" s="2843"/>
      <c r="O1329" s="2843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</row>
    <row r="1330" spans="1:34" x14ac:dyDescent="0.2">
      <c r="A1330" s="246"/>
      <c r="B1330" s="246"/>
      <c r="C1330" s="240"/>
      <c r="D1330" s="240"/>
      <c r="E1330" s="240"/>
      <c r="F1330" s="240"/>
      <c r="G1330" s="240"/>
      <c r="H1330" s="240"/>
      <c r="I1330" s="240"/>
      <c r="J1330" s="240"/>
      <c r="K1330" s="240"/>
      <c r="L1330" s="241"/>
      <c r="M1330" s="240"/>
      <c r="N1330" s="240"/>
      <c r="O1330" s="240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</row>
    <row r="1331" spans="1:34" ht="15" customHeight="1" thickBot="1" x14ac:dyDescent="0.25">
      <c r="A1331" s="181" t="s">
        <v>1695</v>
      </c>
      <c r="B1331" s="246"/>
      <c r="C1331" s="240"/>
      <c r="D1331" s="240"/>
      <c r="E1331" s="240"/>
      <c r="F1331" s="240"/>
      <c r="G1331" s="240"/>
      <c r="H1331" s="240"/>
      <c r="I1331" s="240"/>
      <c r="J1331" s="240"/>
      <c r="K1331" s="240"/>
      <c r="L1331" s="241"/>
      <c r="M1331" s="240"/>
      <c r="N1331" s="240"/>
      <c r="O1331" s="240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228" t="s">
        <v>910</v>
      </c>
      <c r="AD1331" s="229"/>
      <c r="AE1331" s="229"/>
      <c r="AF1331" s="229"/>
      <c r="AG1331" s="229"/>
      <c r="AH1331" s="243"/>
    </row>
    <row r="1332" spans="1:34" ht="15" customHeight="1" x14ac:dyDescent="0.2">
      <c r="A1332" s="2844" t="s">
        <v>327</v>
      </c>
      <c r="B1332" s="2847" t="s">
        <v>1932</v>
      </c>
      <c r="C1332" s="2848"/>
      <c r="D1332" s="2848"/>
      <c r="E1332" s="2848"/>
      <c r="F1332" s="2848"/>
      <c r="G1332" s="2848"/>
      <c r="H1332" s="2848"/>
      <c r="I1332" s="2848"/>
      <c r="J1332" s="2848"/>
      <c r="K1332" s="2848"/>
      <c r="L1332" s="2848"/>
      <c r="M1332" s="2848"/>
      <c r="N1332" s="2848"/>
      <c r="O1332" s="284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230" t="s">
        <v>333</v>
      </c>
      <c r="AD1332" s="231" t="s">
        <v>333</v>
      </c>
      <c r="AE1332" s="231" t="s">
        <v>333</v>
      </c>
      <c r="AF1332" s="231" t="s">
        <v>333</v>
      </c>
      <c r="AG1332" s="231" t="s">
        <v>333</v>
      </c>
      <c r="AH1332" s="231" t="s">
        <v>333</v>
      </c>
    </row>
    <row r="1333" spans="1:34" ht="15" customHeight="1" x14ac:dyDescent="0.2">
      <c r="A1333" s="2845"/>
      <c r="B1333" s="2850" t="s">
        <v>191</v>
      </c>
      <c r="C1333" s="2850"/>
      <c r="D1333" s="2850"/>
      <c r="E1333" s="2850"/>
      <c r="F1333" s="2850"/>
      <c r="G1333" s="2850"/>
      <c r="H1333" s="2850"/>
      <c r="I1333" s="2850"/>
      <c r="J1333" s="2119"/>
      <c r="K1333" s="2119" t="s">
        <v>904</v>
      </c>
      <c r="L1333" s="2119"/>
      <c r="M1333" s="1122" t="s">
        <v>437</v>
      </c>
      <c r="N1333" s="1122" t="s">
        <v>911</v>
      </c>
      <c r="O1333" s="1127" t="s">
        <v>911</v>
      </c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230" t="s">
        <v>913</v>
      </c>
      <c r="AD1333" s="231" t="s">
        <v>916</v>
      </c>
      <c r="AE1333" s="231" t="s">
        <v>917</v>
      </c>
      <c r="AF1333" s="231" t="s">
        <v>918</v>
      </c>
      <c r="AG1333" s="231" t="s">
        <v>192</v>
      </c>
      <c r="AH1333" s="231" t="s">
        <v>918</v>
      </c>
    </row>
    <row r="1334" spans="1:34" ht="15" customHeight="1" x14ac:dyDescent="0.2">
      <c r="A1334" s="2845"/>
      <c r="B1334" s="2119" t="s">
        <v>433</v>
      </c>
      <c r="C1334" s="2119"/>
      <c r="D1334" s="2841" t="s">
        <v>1865</v>
      </c>
      <c r="E1334" s="2119"/>
      <c r="F1334" s="2119"/>
      <c r="G1334" s="2119" t="s">
        <v>912</v>
      </c>
      <c r="H1334" s="2119"/>
      <c r="I1334" s="2119" t="s">
        <v>433</v>
      </c>
      <c r="J1334" s="2138" t="s">
        <v>913</v>
      </c>
      <c r="K1334" s="2138" t="s">
        <v>842</v>
      </c>
      <c r="L1334" s="2138" t="s">
        <v>329</v>
      </c>
      <c r="M1334" s="1123" t="s">
        <v>914</v>
      </c>
      <c r="N1334" s="1123" t="s">
        <v>915</v>
      </c>
      <c r="O1334" s="1128" t="s">
        <v>914</v>
      </c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230"/>
      <c r="AD1334" s="231" t="s">
        <v>843</v>
      </c>
      <c r="AE1334" s="231"/>
      <c r="AF1334" s="231" t="s">
        <v>929</v>
      </c>
      <c r="AG1334" s="231"/>
      <c r="AH1334" s="231" t="s">
        <v>930</v>
      </c>
    </row>
    <row r="1335" spans="1:34" ht="15" customHeight="1" x14ac:dyDescent="0.2">
      <c r="A1335" s="2845"/>
      <c r="B1335" s="2138" t="s">
        <v>920</v>
      </c>
      <c r="C1335" s="2138" t="s">
        <v>922</v>
      </c>
      <c r="D1335" s="2842"/>
      <c r="E1335" s="2138" t="s">
        <v>867</v>
      </c>
      <c r="F1335" s="2138" t="s">
        <v>921</v>
      </c>
      <c r="G1335" s="2138" t="s">
        <v>923</v>
      </c>
      <c r="H1335" s="2138" t="s">
        <v>836</v>
      </c>
      <c r="I1335" s="2138" t="s">
        <v>835</v>
      </c>
      <c r="J1335" s="2138" t="s">
        <v>924</v>
      </c>
      <c r="K1335" s="2138" t="s">
        <v>925</v>
      </c>
      <c r="L1335" s="2138" t="s">
        <v>336</v>
      </c>
      <c r="M1335" s="1123" t="s">
        <v>926</v>
      </c>
      <c r="N1335" s="1123" t="s">
        <v>927</v>
      </c>
      <c r="O1335" s="1128" t="s">
        <v>928</v>
      </c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232"/>
      <c r="AD1335" s="233" t="s">
        <v>934</v>
      </c>
      <c r="AE1335" s="233"/>
      <c r="AF1335" s="233" t="s">
        <v>935</v>
      </c>
      <c r="AG1335" s="233"/>
      <c r="AH1335" s="233" t="s">
        <v>936</v>
      </c>
    </row>
    <row r="1336" spans="1:34" ht="15" customHeight="1" thickBot="1" x14ac:dyDescent="0.25">
      <c r="A1336" s="2846"/>
      <c r="B1336" s="1881">
        <v>44926</v>
      </c>
      <c r="C1336" s="2139">
        <v>2023</v>
      </c>
      <c r="D1336" s="2139">
        <v>2023</v>
      </c>
      <c r="E1336" s="2139">
        <v>2023</v>
      </c>
      <c r="F1336" s="2139">
        <v>2023</v>
      </c>
      <c r="G1336" s="2139" t="s">
        <v>931</v>
      </c>
      <c r="H1336" s="1126">
        <v>2023</v>
      </c>
      <c r="I1336" s="1881">
        <v>45291</v>
      </c>
      <c r="J1336" s="1881" t="s">
        <v>1933</v>
      </c>
      <c r="K1336" s="1881" t="s">
        <v>1933</v>
      </c>
      <c r="L1336" s="2139" t="s">
        <v>441</v>
      </c>
      <c r="M1336" s="1125" t="s">
        <v>932</v>
      </c>
      <c r="N1336" s="1125" t="s">
        <v>933</v>
      </c>
      <c r="O1336" s="1129" t="s">
        <v>933</v>
      </c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1155"/>
      <c r="AD1336" s="1156"/>
      <c r="AE1336" s="1156"/>
      <c r="AF1336" s="1156"/>
      <c r="AG1336" s="1156"/>
      <c r="AH1336" s="1156"/>
    </row>
    <row r="1337" spans="1:34" ht="15" customHeight="1" x14ac:dyDescent="0.2">
      <c r="A1337" s="1135" t="s">
        <v>352</v>
      </c>
      <c r="B1337" s="1130">
        <v>203.6</v>
      </c>
      <c r="C1337" s="1130">
        <v>30</v>
      </c>
      <c r="D1337" s="1130">
        <v>21</v>
      </c>
      <c r="E1337" s="1130">
        <v>3</v>
      </c>
      <c r="F1337" s="1130">
        <v>4</v>
      </c>
      <c r="G1337" s="1130">
        <v>29.5</v>
      </c>
      <c r="H1337" s="1130">
        <v>146.1</v>
      </c>
      <c r="I1337" s="1130">
        <v>226.6</v>
      </c>
      <c r="J1337" s="1136">
        <v>1440.8</v>
      </c>
      <c r="K1337" s="1535">
        <v>9.8617385352498292</v>
      </c>
      <c r="L1337" s="380"/>
      <c r="M1337" s="1138"/>
      <c r="N1337" s="1138"/>
      <c r="O1337" s="1139"/>
      <c r="P1337" s="950"/>
      <c r="Q1337" s="950"/>
      <c r="R1337" s="950"/>
      <c r="S1337" s="950"/>
      <c r="T1337" s="950"/>
      <c r="U1337" s="950"/>
      <c r="V1337" s="950"/>
      <c r="W1337" s="950"/>
      <c r="X1337" s="950"/>
      <c r="Y1337" s="950"/>
      <c r="Z1337" s="9"/>
      <c r="AA1337" s="9"/>
      <c r="AB1337" s="9"/>
      <c r="AC1337" s="237">
        <f>MAX(J1338/J1378)</f>
        <v>1.027448469331122E-2</v>
      </c>
      <c r="AD1337" s="235">
        <f t="shared" ref="AD1337:AD1351" si="250">MAX(M1338*AC1337)</f>
        <v>19007.796682625758</v>
      </c>
      <c r="AE1337" s="238">
        <f>MAX(I1338/I1378)</f>
        <v>1.3361124472235582E-2</v>
      </c>
      <c r="AF1337" s="235">
        <f t="shared" ref="AF1337:AF1351" si="251">MAX(N1338*AE1337)</f>
        <v>717983.40114691888</v>
      </c>
      <c r="AG1337" s="238">
        <f>MAX(H1338/H1378)</f>
        <v>1.6015374759769378E-2</v>
      </c>
      <c r="AH1337" s="235">
        <f t="shared" ref="AH1337:AH1351" si="252">MAX(O1338*AG1337)</f>
        <v>317101.31085228838</v>
      </c>
    </row>
    <row r="1338" spans="1:34" ht="15" customHeight="1" x14ac:dyDescent="0.2">
      <c r="A1338" s="962" t="s">
        <v>353</v>
      </c>
      <c r="B1338" s="1146">
        <v>14</v>
      </c>
      <c r="C1338" s="1146">
        <v>1</v>
      </c>
      <c r="D1338" s="1146"/>
      <c r="E1338" s="1146"/>
      <c r="F1338" s="1146"/>
      <c r="G1338" s="1146"/>
      <c r="H1338" s="1146">
        <v>14</v>
      </c>
      <c r="I1338" s="1146">
        <v>15</v>
      </c>
      <c r="J1338" s="1147">
        <v>112</v>
      </c>
      <c r="K1338" s="1147">
        <v>8</v>
      </c>
      <c r="L1338" s="1066" t="s">
        <v>988</v>
      </c>
      <c r="M1338" s="959">
        <v>1850000</v>
      </c>
      <c r="N1338" s="959">
        <v>53736749.675439999</v>
      </c>
      <c r="O1338" s="1149">
        <v>19799805.849616889</v>
      </c>
      <c r="P1338" s="950"/>
      <c r="Q1338" s="950"/>
      <c r="R1338" s="950"/>
      <c r="S1338" s="950"/>
      <c r="T1338" s="9"/>
      <c r="U1338" s="9"/>
      <c r="V1338" s="9"/>
      <c r="W1338" s="950"/>
      <c r="X1338" s="950"/>
      <c r="Y1338" s="950"/>
      <c r="Z1338" s="9"/>
      <c r="AA1338" s="9"/>
      <c r="AB1338" s="9"/>
      <c r="AC1338" s="237">
        <f>MAX(J1339/J1378)</f>
        <v>2.0640705857098434E-3</v>
      </c>
      <c r="AD1338" s="235">
        <f t="shared" si="250"/>
        <v>3818.5305835632103</v>
      </c>
      <c r="AE1338" s="238">
        <f>MAX(I1339/I1378)</f>
        <v>4.0083373416706751E-3</v>
      </c>
      <c r="AF1338" s="235">
        <f t="shared" si="251"/>
        <v>215395.02034407569</v>
      </c>
      <c r="AG1338" s="238">
        <f>MAX(H1339/H1378)</f>
        <v>2.8598883499588177E-3</v>
      </c>
      <c r="AH1338" s="235">
        <f t="shared" si="252"/>
        <v>56625.234080765789</v>
      </c>
    </row>
    <row r="1339" spans="1:34" ht="15" customHeight="1" x14ac:dyDescent="0.2">
      <c r="A1339" s="962" t="s">
        <v>354</v>
      </c>
      <c r="B1339" s="1146">
        <v>2.5</v>
      </c>
      <c r="C1339" s="1146">
        <v>2</v>
      </c>
      <c r="D1339" s="1146"/>
      <c r="E1339" s="1146"/>
      <c r="F1339" s="1146"/>
      <c r="G1339" s="1146"/>
      <c r="H1339" s="1146">
        <v>2.5</v>
      </c>
      <c r="I1339" s="1146">
        <v>4.5</v>
      </c>
      <c r="J1339" s="1147">
        <v>22.5</v>
      </c>
      <c r="K1339" s="1147">
        <v>9</v>
      </c>
      <c r="L1339" s="1066" t="s">
        <v>988</v>
      </c>
      <c r="M1339" s="959">
        <v>1850000</v>
      </c>
      <c r="N1339" s="959">
        <v>53736749.675439999</v>
      </c>
      <c r="O1339" s="1149">
        <v>19799805.849616889</v>
      </c>
      <c r="P1339" s="950"/>
      <c r="Q1339" s="950"/>
      <c r="R1339" s="950"/>
      <c r="S1339" s="950"/>
      <c r="T1339" s="9"/>
      <c r="U1339" s="9"/>
      <c r="V1339" s="9"/>
      <c r="W1339" s="9"/>
      <c r="X1339" s="9"/>
      <c r="Y1339" s="9"/>
      <c r="Z1339" s="9"/>
      <c r="AA1339" s="9"/>
      <c r="AB1339" s="9"/>
      <c r="AC1339" s="237">
        <f>MAX(J1340/J1378)</f>
        <v>3.3025129371357493E-3</v>
      </c>
      <c r="AD1339" s="235">
        <f t="shared" si="250"/>
        <v>6109.6489337011362</v>
      </c>
      <c r="AE1339" s="238">
        <f>MAX(I1340/I1378)</f>
        <v>1.1134270393529652E-2</v>
      </c>
      <c r="AF1339" s="235">
        <f t="shared" si="251"/>
        <v>598319.50095576572</v>
      </c>
      <c r="AG1339" s="238">
        <f>MAX(H1340/H1378)</f>
        <v>5.1477990299258715E-3</v>
      </c>
      <c r="AH1339" s="235">
        <f t="shared" si="252"/>
        <v>101925.42134537842</v>
      </c>
    </row>
    <row r="1340" spans="1:34" ht="15" customHeight="1" x14ac:dyDescent="0.2">
      <c r="A1340" s="962" t="s">
        <v>355</v>
      </c>
      <c r="B1340" s="1146">
        <v>12.5</v>
      </c>
      <c r="C1340" s="1146"/>
      <c r="D1340" s="1146"/>
      <c r="E1340" s="1146"/>
      <c r="F1340" s="1146"/>
      <c r="G1340" s="1146">
        <v>8</v>
      </c>
      <c r="H1340" s="1146">
        <v>4.5</v>
      </c>
      <c r="I1340" s="1146">
        <v>12.5</v>
      </c>
      <c r="J1340" s="1147">
        <v>36</v>
      </c>
      <c r="K1340" s="1147">
        <v>8</v>
      </c>
      <c r="L1340" s="1066" t="s">
        <v>988</v>
      </c>
      <c r="M1340" s="959">
        <v>1850000</v>
      </c>
      <c r="N1340" s="959">
        <v>53736749.675439999</v>
      </c>
      <c r="O1340" s="1149">
        <v>19799805.849616889</v>
      </c>
      <c r="P1340" s="950"/>
      <c r="Q1340" s="950"/>
      <c r="R1340" s="950"/>
      <c r="S1340" s="950"/>
      <c r="T1340" s="9"/>
      <c r="U1340" s="9"/>
      <c r="V1340" s="9"/>
      <c r="W1340" s="9"/>
      <c r="X1340" s="9"/>
      <c r="Y1340" s="9"/>
      <c r="Z1340" s="9"/>
      <c r="AA1340" s="9"/>
      <c r="AB1340" s="9"/>
      <c r="AC1340" s="237">
        <f>MAX(J1341/J1378)</f>
        <v>1.6512564685678746E-3</v>
      </c>
      <c r="AD1340" s="235">
        <f t="shared" si="250"/>
        <v>3054.8244668505681</v>
      </c>
      <c r="AE1340" s="238">
        <f>MAX(I1341/I1378)</f>
        <v>4.0083373416706751E-3</v>
      </c>
      <c r="AF1340" s="235">
        <f t="shared" si="251"/>
        <v>215395.02034407569</v>
      </c>
      <c r="AG1340" s="238">
        <f>MAX(H1341/H1378)</f>
        <v>1.7159330099752906E-3</v>
      </c>
      <c r="AH1340" s="235">
        <f t="shared" si="252"/>
        <v>33975.140448459475</v>
      </c>
    </row>
    <row r="1341" spans="1:34" ht="15" customHeight="1" x14ac:dyDescent="0.2">
      <c r="A1341" s="962" t="s">
        <v>356</v>
      </c>
      <c r="B1341" s="1146">
        <v>4.5</v>
      </c>
      <c r="C1341" s="1146"/>
      <c r="D1341" s="1146"/>
      <c r="E1341" s="1146"/>
      <c r="F1341" s="1146"/>
      <c r="G1341" s="1146">
        <v>3</v>
      </c>
      <c r="H1341" s="1146">
        <v>1.5</v>
      </c>
      <c r="I1341" s="1146">
        <v>4.5</v>
      </c>
      <c r="J1341" s="1147">
        <v>18</v>
      </c>
      <c r="K1341" s="1147">
        <v>12</v>
      </c>
      <c r="L1341" s="1066" t="s">
        <v>988</v>
      </c>
      <c r="M1341" s="959">
        <v>1850000</v>
      </c>
      <c r="N1341" s="959">
        <v>53736749.675439999</v>
      </c>
      <c r="O1341" s="1149">
        <v>19799805.849616889</v>
      </c>
      <c r="P1341" s="950"/>
      <c r="Q1341" s="950"/>
      <c r="R1341" s="950"/>
      <c r="S1341" s="950"/>
      <c r="T1341" s="9"/>
      <c r="U1341" s="9"/>
      <c r="V1341" s="9"/>
      <c r="W1341" s="9"/>
      <c r="X1341" s="9"/>
      <c r="Y1341" s="9"/>
      <c r="Z1341" s="9"/>
      <c r="AA1341" s="9"/>
      <c r="AB1341" s="9"/>
      <c r="AC1341" s="237">
        <f>MAX(J1342/J1378)</f>
        <v>2.9768484669459739E-2</v>
      </c>
      <c r="AD1341" s="235">
        <f t="shared" si="250"/>
        <v>55071.696638500514</v>
      </c>
      <c r="AE1341" s="238">
        <f>MAX(I1342/I1378)</f>
        <v>2.7167619760212352E-2</v>
      </c>
      <c r="AF1341" s="235">
        <f t="shared" si="251"/>
        <v>1459899.5823320684</v>
      </c>
      <c r="AG1341" s="238">
        <f>MAX(H1342/H1378)</f>
        <v>3.3746682529514051E-2</v>
      </c>
      <c r="AH1341" s="235">
        <f t="shared" si="252"/>
        <v>668177.76215303643</v>
      </c>
    </row>
    <row r="1342" spans="1:34" ht="15" customHeight="1" x14ac:dyDescent="0.2">
      <c r="A1342" s="962" t="s">
        <v>357</v>
      </c>
      <c r="B1342" s="1146">
        <v>29.5</v>
      </c>
      <c r="C1342" s="1146">
        <v>1</v>
      </c>
      <c r="D1342" s="1146">
        <v>0</v>
      </c>
      <c r="E1342" s="1146">
        <v>0</v>
      </c>
      <c r="F1342" s="1146">
        <v>0</v>
      </c>
      <c r="G1342" s="1146">
        <v>0</v>
      </c>
      <c r="H1342" s="1146">
        <v>29.5</v>
      </c>
      <c r="I1342" s="1146">
        <v>30.5</v>
      </c>
      <c r="J1342" s="1147">
        <v>324.5</v>
      </c>
      <c r="K1342" s="1147">
        <v>11</v>
      </c>
      <c r="L1342" s="1066" t="s">
        <v>988</v>
      </c>
      <c r="M1342" s="959">
        <v>1850000</v>
      </c>
      <c r="N1342" s="959">
        <v>53736749.675439999</v>
      </c>
      <c r="O1342" s="1149">
        <v>19799805.849616889</v>
      </c>
      <c r="P1342" s="950"/>
      <c r="Q1342" s="950"/>
      <c r="R1342" s="950"/>
      <c r="S1342" s="950"/>
      <c r="T1342" s="9"/>
      <c r="U1342" s="9"/>
      <c r="V1342" s="9"/>
      <c r="W1342" s="9"/>
      <c r="X1342" s="9"/>
      <c r="Y1342" s="9"/>
      <c r="Z1342" s="9"/>
      <c r="AA1342" s="9"/>
      <c r="AB1342" s="9"/>
      <c r="AC1342" s="237">
        <f>MAX(J1343/J1378)</f>
        <v>4.4950870533236589E-3</v>
      </c>
      <c r="AD1342" s="235">
        <f t="shared" si="250"/>
        <v>8315.9110486487698</v>
      </c>
      <c r="AE1342" s="238">
        <f>MAX(I1343/I1378)</f>
        <v>6.2351914203766052E-3</v>
      </c>
      <c r="AF1342" s="235">
        <f t="shared" si="251"/>
        <v>335058.9205352288</v>
      </c>
      <c r="AG1342" s="238">
        <f>MAX(H1343/H1378)</f>
        <v>8.0076873798846891E-3</v>
      </c>
      <c r="AH1342" s="235">
        <f t="shared" si="252"/>
        <v>158550.65542614419</v>
      </c>
    </row>
    <row r="1343" spans="1:34" ht="15" customHeight="1" x14ac:dyDescent="0.2">
      <c r="A1343" s="962" t="s">
        <v>358</v>
      </c>
      <c r="B1343" s="1146">
        <v>7</v>
      </c>
      <c r="C1343" s="1146">
        <v>0</v>
      </c>
      <c r="D1343" s="1146">
        <v>0</v>
      </c>
      <c r="E1343" s="1146">
        <v>0</v>
      </c>
      <c r="F1343" s="1146">
        <v>0</v>
      </c>
      <c r="G1343" s="1146">
        <v>0</v>
      </c>
      <c r="H1343" s="1146">
        <v>7</v>
      </c>
      <c r="I1343" s="1146">
        <v>7</v>
      </c>
      <c r="J1343" s="1147">
        <v>49</v>
      </c>
      <c r="K1343" s="1147">
        <v>7</v>
      </c>
      <c r="L1343" s="1066" t="s">
        <v>988</v>
      </c>
      <c r="M1343" s="959">
        <v>1850000</v>
      </c>
      <c r="N1343" s="959">
        <v>53736749.675439999</v>
      </c>
      <c r="O1343" s="1149">
        <v>19799805.849616889</v>
      </c>
      <c r="P1343" s="950"/>
      <c r="Q1343" s="950"/>
      <c r="R1343" s="950"/>
      <c r="S1343" s="950"/>
      <c r="T1343" s="9"/>
      <c r="U1343" s="9"/>
      <c r="V1343" s="9"/>
      <c r="W1343" s="9"/>
      <c r="X1343" s="9"/>
      <c r="Y1343" s="9"/>
      <c r="Z1343" s="9"/>
      <c r="AA1343" s="9"/>
      <c r="AB1343" s="9"/>
      <c r="AC1343" s="237">
        <f>MAX(J1344/J1378)</f>
        <v>5.5041882285595818E-4</v>
      </c>
      <c r="AD1343" s="235">
        <f t="shared" si="250"/>
        <v>1018.2748222835227</v>
      </c>
      <c r="AE1343" s="238">
        <f>MAX(I1344/I1378)</f>
        <v>2.6722248944471166E-3</v>
      </c>
      <c r="AF1343" s="235">
        <f t="shared" si="251"/>
        <v>143596.68022938378</v>
      </c>
      <c r="AG1343" s="238">
        <f>MAX(H1344/H1378)</f>
        <v>5.7197766999176356E-4</v>
      </c>
      <c r="AH1343" s="235">
        <f t="shared" si="252"/>
        <v>11325.046816153159</v>
      </c>
    </row>
    <row r="1344" spans="1:34" ht="15" customHeight="1" x14ac:dyDescent="0.2">
      <c r="A1344" s="962" t="s">
        <v>937</v>
      </c>
      <c r="B1344" s="1146">
        <v>2</v>
      </c>
      <c r="C1344" s="1146">
        <v>1</v>
      </c>
      <c r="D1344" s="1146">
        <v>0</v>
      </c>
      <c r="E1344" s="1146">
        <v>0</v>
      </c>
      <c r="F1344" s="1146">
        <v>0</v>
      </c>
      <c r="G1344" s="1146">
        <v>1.5</v>
      </c>
      <c r="H1344" s="1146">
        <v>0.5</v>
      </c>
      <c r="I1344" s="1146">
        <v>3</v>
      </c>
      <c r="J1344" s="1147">
        <v>6</v>
      </c>
      <c r="K1344" s="1147">
        <v>12</v>
      </c>
      <c r="L1344" s="1066" t="s">
        <v>988</v>
      </c>
      <c r="M1344" s="959">
        <v>1850000</v>
      </c>
      <c r="N1344" s="959">
        <v>53736749.675439999</v>
      </c>
      <c r="O1344" s="1149">
        <v>19799805.849616889</v>
      </c>
      <c r="P1344" s="9"/>
      <c r="Q1344" s="950"/>
      <c r="R1344" s="950"/>
      <c r="S1344" s="950"/>
      <c r="T1344" s="9"/>
      <c r="U1344" s="9"/>
      <c r="V1344" s="9"/>
      <c r="W1344" s="9"/>
      <c r="X1344" s="9"/>
      <c r="Y1344" s="9"/>
      <c r="Z1344" s="9"/>
      <c r="AA1344" s="9"/>
      <c r="AB1344" s="9"/>
      <c r="AC1344" s="237">
        <f>MAX(J1345/J1378)</f>
        <v>0</v>
      </c>
      <c r="AD1344" s="235">
        <f t="shared" si="250"/>
        <v>0</v>
      </c>
      <c r="AE1344" s="238">
        <f>MAX(I1345/I1378)</f>
        <v>0</v>
      </c>
      <c r="AF1344" s="235">
        <f t="shared" si="251"/>
        <v>0</v>
      </c>
      <c r="AG1344" s="238">
        <f>MAX(H1345/H1378)</f>
        <v>0</v>
      </c>
      <c r="AH1344" s="235">
        <f t="shared" si="252"/>
        <v>0</v>
      </c>
    </row>
    <row r="1345" spans="1:34" ht="15" customHeight="1" x14ac:dyDescent="0.2">
      <c r="A1345" s="962" t="s">
        <v>360</v>
      </c>
      <c r="B1345" s="1146">
        <v>0</v>
      </c>
      <c r="C1345" s="1146">
        <v>0</v>
      </c>
      <c r="D1345" s="1146">
        <v>0</v>
      </c>
      <c r="E1345" s="1146">
        <v>0</v>
      </c>
      <c r="F1345" s="1146">
        <v>0</v>
      </c>
      <c r="G1345" s="1146">
        <v>0</v>
      </c>
      <c r="H1345" s="1146">
        <v>0</v>
      </c>
      <c r="I1345" s="1146">
        <v>0</v>
      </c>
      <c r="J1345" s="1147">
        <v>0</v>
      </c>
      <c r="K1345" s="1147">
        <v>0</v>
      </c>
      <c r="L1345" s="1148"/>
      <c r="M1345" s="959"/>
      <c r="N1345" s="959"/>
      <c r="O1345" s="1149"/>
      <c r="U1345" s="9"/>
      <c r="V1345" s="9"/>
      <c r="W1345" s="9"/>
      <c r="X1345" s="9"/>
      <c r="Y1345" s="9"/>
      <c r="Z1345" s="9"/>
      <c r="AA1345" s="9"/>
      <c r="AB1345" s="9"/>
      <c r="AC1345" s="237">
        <f>MAX(J1346/J1378)</f>
        <v>9.5405929295032752E-3</v>
      </c>
      <c r="AD1345" s="235">
        <f t="shared" si="250"/>
        <v>17650.096919581058</v>
      </c>
      <c r="AE1345" s="238">
        <f>MAX(I1346/I1378)</f>
        <v>1.60333493666827E-2</v>
      </c>
      <c r="AF1345" s="235">
        <f t="shared" si="251"/>
        <v>861580.08137630275</v>
      </c>
      <c r="AG1345" s="238">
        <f>MAX(H1346/H1378)</f>
        <v>1.4871419419785852E-2</v>
      </c>
      <c r="AH1345" s="235">
        <f t="shared" si="252"/>
        <v>294451.21721998212</v>
      </c>
    </row>
    <row r="1346" spans="1:34" ht="15" customHeight="1" x14ac:dyDescent="0.2">
      <c r="A1346" s="962" t="s">
        <v>938</v>
      </c>
      <c r="B1346" s="1146">
        <v>23</v>
      </c>
      <c r="C1346" s="1146">
        <v>0</v>
      </c>
      <c r="D1346" s="1146">
        <v>0</v>
      </c>
      <c r="E1346" s="1146">
        <v>3</v>
      </c>
      <c r="F1346" s="1146">
        <v>2</v>
      </c>
      <c r="G1346" s="1146">
        <v>5</v>
      </c>
      <c r="H1346" s="1146">
        <v>13</v>
      </c>
      <c r="I1346" s="1146">
        <v>18</v>
      </c>
      <c r="J1346" s="1147">
        <v>104</v>
      </c>
      <c r="K1346" s="1147">
        <v>8</v>
      </c>
      <c r="L1346" s="1066" t="s">
        <v>988</v>
      </c>
      <c r="M1346" s="959">
        <v>1850000</v>
      </c>
      <c r="N1346" s="959">
        <v>53736749.675439999</v>
      </c>
      <c r="O1346" s="1149">
        <v>19799805.849616889</v>
      </c>
      <c r="P1346" s="950"/>
      <c r="Q1346" s="950"/>
      <c r="R1346" s="950"/>
      <c r="S1346" s="950"/>
      <c r="T1346" s="9"/>
      <c r="U1346" s="9"/>
      <c r="V1346" s="9"/>
      <c r="W1346" s="9"/>
      <c r="X1346" s="9"/>
      <c r="Y1346" s="9"/>
      <c r="Z1346" s="9"/>
      <c r="AA1346" s="9"/>
      <c r="AB1346" s="9"/>
      <c r="AC1346" s="237">
        <f>MAX(J1347/J1378)</f>
        <v>6.70410126238557E-2</v>
      </c>
      <c r="AD1346" s="235">
        <f t="shared" si="250"/>
        <v>124025.87335413304</v>
      </c>
      <c r="AE1346" s="238">
        <f>MAX(I1347/I1378)</f>
        <v>0.11187714891418594</v>
      </c>
      <c r="AF1346" s="235">
        <f t="shared" si="251"/>
        <v>6011914.345603534</v>
      </c>
      <c r="AG1346" s="238">
        <f>MAX(H1347/H1378)</f>
        <v>7.9619291662853475E-2</v>
      </c>
      <c r="AH1346" s="235">
        <f t="shared" si="252"/>
        <v>1576446.5168085194</v>
      </c>
    </row>
    <row r="1347" spans="1:34" ht="15" customHeight="1" x14ac:dyDescent="0.2">
      <c r="A1347" s="962" t="s">
        <v>362</v>
      </c>
      <c r="B1347" s="1146">
        <v>102.6</v>
      </c>
      <c r="C1347" s="1146">
        <v>25</v>
      </c>
      <c r="D1347" s="1146">
        <v>21</v>
      </c>
      <c r="E1347" s="1146">
        <v>0</v>
      </c>
      <c r="F1347" s="1146">
        <v>2</v>
      </c>
      <c r="G1347" s="1146">
        <v>10</v>
      </c>
      <c r="H1347" s="1146">
        <v>69.599999999999994</v>
      </c>
      <c r="I1347" s="1146">
        <v>125.6</v>
      </c>
      <c r="J1347" s="1147">
        <v>730.8</v>
      </c>
      <c r="K1347" s="1147">
        <v>10.5</v>
      </c>
      <c r="L1347" s="1066" t="s">
        <v>988</v>
      </c>
      <c r="M1347" s="959">
        <v>1850000</v>
      </c>
      <c r="N1347" s="959">
        <v>53736749.675439999</v>
      </c>
      <c r="O1347" s="1149">
        <v>19799805.849616889</v>
      </c>
      <c r="P1347" s="950"/>
      <c r="Q1347" s="950"/>
      <c r="R1347" s="950"/>
      <c r="S1347" s="950"/>
      <c r="T1347" s="9"/>
      <c r="U1347" s="9"/>
      <c r="V1347" s="9"/>
      <c r="W1347" s="9"/>
      <c r="X1347" s="9"/>
      <c r="Y1347" s="9"/>
      <c r="Z1347" s="9"/>
      <c r="AA1347" s="9"/>
      <c r="AB1347" s="9"/>
      <c r="AC1347" s="237">
        <f>MAX(J1348/J1378)</f>
        <v>0</v>
      </c>
      <c r="AD1347" s="235">
        <f t="shared" si="250"/>
        <v>0</v>
      </c>
      <c r="AE1347" s="238">
        <f>MAX(I1348/I1378)</f>
        <v>0</v>
      </c>
      <c r="AF1347" s="235">
        <f t="shared" si="251"/>
        <v>0</v>
      </c>
      <c r="AG1347" s="238">
        <f>MAX(H1348/H1378)</f>
        <v>0</v>
      </c>
      <c r="AH1347" s="235">
        <f t="shared" si="252"/>
        <v>0</v>
      </c>
    </row>
    <row r="1348" spans="1:34" ht="15" customHeight="1" x14ac:dyDescent="0.2">
      <c r="A1348" s="962" t="s">
        <v>363</v>
      </c>
      <c r="B1348" s="1146">
        <v>0</v>
      </c>
      <c r="C1348" s="1146">
        <v>0</v>
      </c>
      <c r="D1348" s="1146">
        <v>0</v>
      </c>
      <c r="E1348" s="1146">
        <v>0</v>
      </c>
      <c r="F1348" s="1146">
        <v>0</v>
      </c>
      <c r="G1348" s="1146">
        <v>0</v>
      </c>
      <c r="H1348" s="1146">
        <v>0</v>
      </c>
      <c r="I1348" s="1146">
        <v>0</v>
      </c>
      <c r="J1348" s="1147">
        <v>0</v>
      </c>
      <c r="K1348" s="1147">
        <v>0</v>
      </c>
      <c r="L1348" s="1148"/>
      <c r="M1348" s="959"/>
      <c r="N1348" s="959"/>
      <c r="O1348" s="1149"/>
      <c r="U1348" s="9"/>
      <c r="V1348" s="9"/>
      <c r="W1348" s="9"/>
      <c r="X1348" s="9"/>
      <c r="Y1348" s="9"/>
      <c r="Z1348" s="9"/>
      <c r="AA1348" s="9"/>
      <c r="AB1348" s="9"/>
      <c r="AC1348" s="237">
        <f>MAX(J1349/J1378)</f>
        <v>1.6512564685678746E-3</v>
      </c>
      <c r="AD1348" s="235">
        <f t="shared" si="250"/>
        <v>3054.8244668505681</v>
      </c>
      <c r="AE1348" s="238">
        <f>MAX(I1349/I1378)</f>
        <v>3.5629665259294886E-3</v>
      </c>
      <c r="AF1348" s="235">
        <f t="shared" si="251"/>
        <v>191462.24030584501</v>
      </c>
      <c r="AG1348" s="238">
        <f>MAX(H1349/H1378)</f>
        <v>2.2879106799670542E-3</v>
      </c>
      <c r="AH1348" s="235">
        <f t="shared" si="252"/>
        <v>45300.187264612636</v>
      </c>
    </row>
    <row r="1349" spans="1:34" ht="15" customHeight="1" x14ac:dyDescent="0.2">
      <c r="A1349" s="962" t="s">
        <v>939</v>
      </c>
      <c r="B1349" s="1146">
        <v>4</v>
      </c>
      <c r="C1349" s="1146">
        <v>0</v>
      </c>
      <c r="D1349" s="1146">
        <v>0</v>
      </c>
      <c r="E1349" s="1146">
        <v>0</v>
      </c>
      <c r="F1349" s="1146">
        <v>0</v>
      </c>
      <c r="G1349" s="1146">
        <v>2</v>
      </c>
      <c r="H1349" s="1146">
        <v>2</v>
      </c>
      <c r="I1349" s="1146">
        <v>4</v>
      </c>
      <c r="J1349" s="1147">
        <v>18</v>
      </c>
      <c r="K1349" s="1147">
        <v>9</v>
      </c>
      <c r="L1349" s="1066" t="s">
        <v>988</v>
      </c>
      <c r="M1349" s="959">
        <v>1850000</v>
      </c>
      <c r="N1349" s="959">
        <v>53736749.675439999</v>
      </c>
      <c r="O1349" s="1149">
        <v>19799805.849616889</v>
      </c>
      <c r="P1349" s="950"/>
      <c r="Q1349" s="950"/>
      <c r="R1349" s="950"/>
      <c r="S1349" s="950"/>
      <c r="T1349" s="9"/>
      <c r="U1349" s="950"/>
      <c r="V1349" s="950"/>
      <c r="W1349" s="9"/>
      <c r="X1349" s="9"/>
      <c r="Y1349" s="9"/>
      <c r="Z1349" s="9"/>
      <c r="AA1349" s="9"/>
      <c r="AB1349" s="9"/>
      <c r="AC1349" s="237">
        <f>MAX(J1350/J1378)</f>
        <v>0</v>
      </c>
      <c r="AD1349" s="235">
        <f t="shared" si="250"/>
        <v>0</v>
      </c>
      <c r="AE1349" s="238">
        <f>MAX(I1350/I1378)</f>
        <v>0</v>
      </c>
      <c r="AF1349" s="235">
        <f t="shared" si="251"/>
        <v>0</v>
      </c>
      <c r="AG1349" s="238">
        <f>MAX(H1350/H1378)</f>
        <v>0</v>
      </c>
      <c r="AH1349" s="235">
        <f t="shared" si="252"/>
        <v>0</v>
      </c>
    </row>
    <row r="1350" spans="1:34" ht="15" customHeight="1" x14ac:dyDescent="0.2">
      <c r="A1350" s="962" t="s">
        <v>365</v>
      </c>
      <c r="B1350" s="1146">
        <v>0</v>
      </c>
      <c r="C1350" s="1146"/>
      <c r="D1350" s="1146"/>
      <c r="E1350" s="1146"/>
      <c r="F1350" s="1146"/>
      <c r="G1350" s="1146"/>
      <c r="H1350" s="1146">
        <v>0</v>
      </c>
      <c r="I1350" s="1146">
        <v>0</v>
      </c>
      <c r="J1350" s="1147">
        <v>0</v>
      </c>
      <c r="K1350" s="1147"/>
      <c r="L1350" s="1148"/>
      <c r="M1350" s="959"/>
      <c r="N1350" s="1533"/>
      <c r="O1350" s="1534"/>
      <c r="U1350" s="9"/>
      <c r="V1350" s="9"/>
      <c r="W1350" s="9"/>
      <c r="X1350" s="9"/>
      <c r="Y1350" s="9"/>
      <c r="Z1350" s="9"/>
      <c r="AA1350" s="9"/>
      <c r="AB1350" s="9"/>
      <c r="AC1350" s="237">
        <f>MAX(J1351/J1378)</f>
        <v>0</v>
      </c>
      <c r="AD1350" s="235">
        <f t="shared" si="250"/>
        <v>0</v>
      </c>
      <c r="AE1350" s="238">
        <f>MAX(I1351/I1378)</f>
        <v>0</v>
      </c>
      <c r="AF1350" s="235">
        <f t="shared" si="251"/>
        <v>0</v>
      </c>
      <c r="AG1350" s="238">
        <f>MAX(H1351/H1378)</f>
        <v>0</v>
      </c>
      <c r="AH1350" s="235">
        <f t="shared" si="252"/>
        <v>0</v>
      </c>
    </row>
    <row r="1351" spans="1:34" ht="15" customHeight="1" x14ac:dyDescent="0.2">
      <c r="A1351" s="962" t="s">
        <v>366</v>
      </c>
      <c r="B1351" s="1146">
        <v>0</v>
      </c>
      <c r="C1351" s="1146"/>
      <c r="D1351" s="1146"/>
      <c r="E1351" s="1146"/>
      <c r="F1351" s="1146"/>
      <c r="G1351" s="1146"/>
      <c r="H1351" s="1146">
        <v>0</v>
      </c>
      <c r="I1351" s="1146">
        <v>0</v>
      </c>
      <c r="J1351" s="1147">
        <v>0</v>
      </c>
      <c r="K1351" s="1147"/>
      <c r="L1351" s="1066"/>
      <c r="M1351" s="959"/>
      <c r="N1351" s="959"/>
      <c r="O1351" s="1149"/>
      <c r="U1351" s="9"/>
      <c r="V1351" s="9"/>
      <c r="W1351" s="9"/>
      <c r="X1351" s="9"/>
      <c r="Y1351" s="9"/>
      <c r="Z1351" s="9"/>
      <c r="AA1351" s="9"/>
      <c r="AB1351" s="1966"/>
      <c r="AC1351" s="237">
        <f>MAX(J1352/J1378)</f>
        <v>1.8347294095198607E-3</v>
      </c>
      <c r="AD1351" s="235">
        <f t="shared" si="250"/>
        <v>3394.2494076117423</v>
      </c>
      <c r="AE1351" s="238">
        <f>MAX(I1352/I1378)</f>
        <v>1.7814832629647443E-3</v>
      </c>
      <c r="AF1351" s="235">
        <f t="shared" si="251"/>
        <v>95731.120152922507</v>
      </c>
      <c r="AG1351" s="238">
        <f>MAX(H1352/H1378)</f>
        <v>2.2879106799670542E-3</v>
      </c>
      <c r="AH1351" s="235">
        <f t="shared" si="252"/>
        <v>45300.187264612636</v>
      </c>
    </row>
    <row r="1352" spans="1:34" ht="15" customHeight="1" x14ac:dyDescent="0.2">
      <c r="A1352" s="962" t="s">
        <v>367</v>
      </c>
      <c r="B1352" s="956">
        <v>2</v>
      </c>
      <c r="C1352" s="1146"/>
      <c r="D1352" s="1146"/>
      <c r="E1352" s="1146"/>
      <c r="F1352" s="1146"/>
      <c r="G1352" s="1146"/>
      <c r="H1352" s="1146">
        <v>2</v>
      </c>
      <c r="I1352" s="1146">
        <v>2</v>
      </c>
      <c r="J1352" s="1147">
        <v>20</v>
      </c>
      <c r="K1352" s="1147">
        <v>10</v>
      </c>
      <c r="L1352" s="1066" t="s">
        <v>988</v>
      </c>
      <c r="M1352" s="959">
        <v>1850000</v>
      </c>
      <c r="N1352" s="959">
        <v>53736749.675439999</v>
      </c>
      <c r="O1352" s="1149">
        <v>19799805.849616889</v>
      </c>
      <c r="P1352" s="950"/>
      <c r="Q1352" s="950"/>
      <c r="R1352" s="950"/>
      <c r="S1352" s="950"/>
      <c r="T1352" s="9"/>
      <c r="U1352" s="9"/>
      <c r="V1352" s="9"/>
      <c r="W1352" s="9"/>
      <c r="X1352" s="9"/>
      <c r="Y1352" s="9"/>
      <c r="Z1352" s="9"/>
      <c r="AA1352" s="9"/>
      <c r="AB1352" s="1966"/>
      <c r="AC1352" s="1157"/>
      <c r="AD1352" s="1156"/>
      <c r="AE1352" s="1158"/>
      <c r="AF1352" s="1156"/>
      <c r="AG1352" s="1158"/>
      <c r="AH1352" s="1156"/>
    </row>
    <row r="1353" spans="1:34" ht="15" customHeight="1" x14ac:dyDescent="0.2">
      <c r="A1353" s="434" t="s">
        <v>940</v>
      </c>
      <c r="B1353" s="1002">
        <v>26.7</v>
      </c>
      <c r="C1353" s="1002">
        <v>2</v>
      </c>
      <c r="D1353" s="1002">
        <v>0</v>
      </c>
      <c r="E1353" s="1002">
        <v>0</v>
      </c>
      <c r="F1353" s="1002">
        <v>1</v>
      </c>
      <c r="G1353" s="1002">
        <v>6</v>
      </c>
      <c r="H1353" s="1002">
        <v>19.7</v>
      </c>
      <c r="I1353" s="1002">
        <v>27.7</v>
      </c>
      <c r="J1353" s="1150">
        <v>173</v>
      </c>
      <c r="K1353" s="1136">
        <v>8.781725888324873</v>
      </c>
      <c r="L1353" s="1152"/>
      <c r="M1353" s="996"/>
      <c r="N1353" s="435"/>
      <c r="O1353" s="436"/>
      <c r="V1353" s="9"/>
      <c r="W1353" s="9"/>
      <c r="X1353" s="9"/>
      <c r="Y1353" s="9"/>
      <c r="Z1353" s="9"/>
      <c r="AA1353" s="9"/>
      <c r="AB1353" s="1966"/>
      <c r="AC1353" s="237">
        <f>MAX(J1354/J1378)</f>
        <v>7.981072931411393E-3</v>
      </c>
      <c r="AD1353" s="235">
        <f>MAX(M1354*AC1353)</f>
        <v>14764.984923111077</v>
      </c>
      <c r="AE1353" s="238">
        <f>MAX(I1354/I1378)</f>
        <v>1.0421677088343753E-2</v>
      </c>
      <c r="AF1353" s="235">
        <f>MAX(N1354*AE1353)</f>
        <v>560027.05289459659</v>
      </c>
      <c r="AG1353" s="238">
        <f>MAX(H1354/H1378)</f>
        <v>9.9524114578566844E-3</v>
      </c>
      <c r="AH1353" s="235">
        <f>MAX(O1354*AG1353)</f>
        <v>197055.81460106492</v>
      </c>
    </row>
    <row r="1354" spans="1:34" ht="15" customHeight="1" x14ac:dyDescent="0.2">
      <c r="A1354" s="962" t="s">
        <v>369</v>
      </c>
      <c r="B1354" s="1498">
        <v>11.7</v>
      </c>
      <c r="C1354" s="1146">
        <v>1</v>
      </c>
      <c r="D1354" s="1146">
        <v>0</v>
      </c>
      <c r="E1354" s="1146">
        <v>0</v>
      </c>
      <c r="F1354" s="1146">
        <v>1</v>
      </c>
      <c r="G1354" s="1146">
        <v>2</v>
      </c>
      <c r="H1354" s="1146">
        <v>8.6999999999999993</v>
      </c>
      <c r="I1354" s="1146">
        <v>11.7</v>
      </c>
      <c r="J1354" s="1147">
        <v>87</v>
      </c>
      <c r="K1354" s="1147">
        <v>10</v>
      </c>
      <c r="L1354" s="1066" t="s">
        <v>988</v>
      </c>
      <c r="M1354" s="959">
        <v>1850000</v>
      </c>
      <c r="N1354" s="959">
        <v>53736749.675439999</v>
      </c>
      <c r="O1354" s="1149">
        <v>19799805.849616889</v>
      </c>
      <c r="P1354" s="950"/>
      <c r="Q1354" s="950"/>
      <c r="R1354" s="950"/>
      <c r="S1354" s="950"/>
      <c r="T1354" s="950"/>
      <c r="U1354" s="9"/>
      <c r="V1354" s="9"/>
      <c r="W1354" s="9"/>
      <c r="X1354" s="9"/>
      <c r="Y1354" s="9"/>
      <c r="Z1354" s="9"/>
      <c r="AA1354" s="9"/>
      <c r="AB1354" s="1966"/>
      <c r="AC1354" s="237">
        <f>MAX(J1355/J1378)</f>
        <v>2.2016752914238327E-3</v>
      </c>
      <c r="AD1354" s="235">
        <f>MAX(M1355*AC1354)</f>
        <v>4073.0992891340907</v>
      </c>
      <c r="AE1354" s="238">
        <f>MAX(I1355/I1378)</f>
        <v>5.3444497888942332E-3</v>
      </c>
      <c r="AF1354" s="235">
        <f>MAX(N1355*AE1354)</f>
        <v>287193.36045876757</v>
      </c>
      <c r="AG1354" s="238">
        <f>MAX(H1355/H1378)</f>
        <v>4.5758213599341084E-3</v>
      </c>
      <c r="AH1354" s="235">
        <f>MAX(O1355*AG1354)</f>
        <v>90600.374529225272</v>
      </c>
    </row>
    <row r="1355" spans="1:34" ht="15" customHeight="1" x14ac:dyDescent="0.2">
      <c r="A1355" s="962" t="s">
        <v>370</v>
      </c>
      <c r="B1355" s="1498">
        <v>6</v>
      </c>
      <c r="C1355" s="1146">
        <v>0</v>
      </c>
      <c r="D1355" s="1146">
        <v>0</v>
      </c>
      <c r="E1355" s="1146">
        <v>0</v>
      </c>
      <c r="F1355" s="1146">
        <v>0</v>
      </c>
      <c r="G1355" s="1146">
        <v>2</v>
      </c>
      <c r="H1355" s="1146">
        <v>4</v>
      </c>
      <c r="I1355" s="1146">
        <v>6</v>
      </c>
      <c r="J1355" s="1147">
        <v>24</v>
      </c>
      <c r="K1355" s="1147">
        <v>6</v>
      </c>
      <c r="L1355" s="1066" t="s">
        <v>988</v>
      </c>
      <c r="M1355" s="959">
        <v>1850000</v>
      </c>
      <c r="N1355" s="959">
        <v>53736749.675439999</v>
      </c>
      <c r="O1355" s="1149">
        <v>19799805.849616889</v>
      </c>
      <c r="V1355" s="9"/>
      <c r="W1355" s="9"/>
      <c r="X1355" s="9"/>
      <c r="Y1355" s="9"/>
      <c r="Z1355" s="9"/>
      <c r="AA1355" s="9"/>
      <c r="AB1355" s="1966"/>
      <c r="AC1355" s="237">
        <f>MAX(J1356/J1378)</f>
        <v>2.2016752914238327E-3</v>
      </c>
      <c r="AD1355" s="235">
        <f>MAX(M1356*AC1355)</f>
        <v>4073.0992891340907</v>
      </c>
      <c r="AE1355" s="238">
        <f>MAX(I1356/I1378)</f>
        <v>3.5629665259294886E-3</v>
      </c>
      <c r="AF1355" s="235">
        <f>MAX(N1356*AE1355)</f>
        <v>191462.24030584501</v>
      </c>
      <c r="AG1355" s="238">
        <f>MAX(H1356/H1378)</f>
        <v>3.4318660199505811E-3</v>
      </c>
      <c r="AH1355" s="235">
        <f>MAX(O1356*AG1355)</f>
        <v>67950.28089691895</v>
      </c>
    </row>
    <row r="1356" spans="1:34" ht="15" customHeight="1" x14ac:dyDescent="0.2">
      <c r="A1356" s="962" t="s">
        <v>371</v>
      </c>
      <c r="B1356" s="1498">
        <v>3</v>
      </c>
      <c r="C1356" s="1146">
        <v>1</v>
      </c>
      <c r="D1356" s="1146">
        <v>0</v>
      </c>
      <c r="E1356" s="1146">
        <v>0</v>
      </c>
      <c r="F1356" s="1146">
        <v>0</v>
      </c>
      <c r="G1356" s="1146">
        <v>0</v>
      </c>
      <c r="H1356" s="1146">
        <v>3</v>
      </c>
      <c r="I1356" s="1146">
        <v>4</v>
      </c>
      <c r="J1356" s="1147">
        <v>24</v>
      </c>
      <c r="K1356" s="1147">
        <v>8</v>
      </c>
      <c r="L1356" s="1066" t="s">
        <v>988</v>
      </c>
      <c r="M1356" s="959">
        <v>1850000</v>
      </c>
      <c r="N1356" s="959">
        <v>53736749.675439999</v>
      </c>
      <c r="O1356" s="1149">
        <v>19799805.849616889</v>
      </c>
      <c r="P1356" s="950"/>
      <c r="Q1356" s="950"/>
      <c r="R1356" s="950"/>
      <c r="S1356" s="950"/>
      <c r="T1356" s="9"/>
      <c r="U1356" s="9"/>
      <c r="V1356" s="9"/>
      <c r="W1356" s="9"/>
      <c r="X1356" s="9"/>
      <c r="Y1356" s="9"/>
      <c r="Z1356" s="9"/>
      <c r="AA1356" s="9"/>
      <c r="AB1356" s="1966"/>
      <c r="AC1356" s="237">
        <f>MAX(J1357/J1378)</f>
        <v>2.0182023504718466E-3</v>
      </c>
      <c r="AD1356" s="235">
        <f>MAX(M1357*AC1356)</f>
        <v>3733.674348372916</v>
      </c>
      <c r="AE1356" s="238">
        <f>MAX(I1357/I1378)</f>
        <v>3.5629665259294886E-3</v>
      </c>
      <c r="AF1356" s="235">
        <f>MAX(N1357*AE1356)</f>
        <v>191462.24030584501</v>
      </c>
      <c r="AG1356" s="238">
        <f>MAX(H1357/H1378)</f>
        <v>2.2879106799670542E-3</v>
      </c>
      <c r="AH1356" s="235">
        <f>MAX(O1357*AG1356)</f>
        <v>45300.187264612636</v>
      </c>
    </row>
    <row r="1357" spans="1:34" ht="15" customHeight="1" x14ac:dyDescent="0.2">
      <c r="A1357" s="962" t="s">
        <v>372</v>
      </c>
      <c r="B1357" s="1498">
        <v>4</v>
      </c>
      <c r="C1357" s="1146">
        <v>0</v>
      </c>
      <c r="D1357" s="1146">
        <v>0</v>
      </c>
      <c r="E1357" s="1146">
        <v>0</v>
      </c>
      <c r="F1357" s="1146">
        <v>0</v>
      </c>
      <c r="G1357" s="1146">
        <v>2</v>
      </c>
      <c r="H1357" s="1146">
        <v>2</v>
      </c>
      <c r="I1357" s="1146">
        <v>4</v>
      </c>
      <c r="J1357" s="1147">
        <v>22</v>
      </c>
      <c r="K1357" s="1147">
        <v>11</v>
      </c>
      <c r="L1357" s="1066" t="s">
        <v>988</v>
      </c>
      <c r="M1357" s="959">
        <v>1850000</v>
      </c>
      <c r="N1357" s="959">
        <v>53736749.675439999</v>
      </c>
      <c r="O1357" s="1149">
        <v>19799805.849616889</v>
      </c>
      <c r="P1357" s="950"/>
      <c r="Q1357" s="950"/>
      <c r="R1357" s="950"/>
      <c r="S1357" s="950"/>
      <c r="T1357" s="9"/>
      <c r="U1357" s="9"/>
      <c r="V1357" s="9"/>
      <c r="W1357" s="9"/>
      <c r="X1357" s="9"/>
      <c r="Y1357" s="9"/>
      <c r="Z1357" s="9"/>
      <c r="AA1357" s="9"/>
      <c r="AB1357" s="1966"/>
      <c r="AC1357" s="237">
        <f>MAX(J1358/J1378)</f>
        <v>1.4677835276158885E-3</v>
      </c>
      <c r="AD1357" s="235">
        <f>MAX(M1358*AC1357)</f>
        <v>2715.3995260893939</v>
      </c>
      <c r="AE1357" s="238">
        <f>MAX(I1358/I1378)</f>
        <v>1.7814832629647443E-3</v>
      </c>
      <c r="AF1357" s="235">
        <f>MAX(N1358*AE1357)</f>
        <v>95731.120152922507</v>
      </c>
      <c r="AG1357" s="238">
        <f>MAX(H1358/H1378)</f>
        <v>2.2879106799670542E-3</v>
      </c>
      <c r="AH1357" s="235">
        <f>MAX(O1358*AG1357)</f>
        <v>45300.187264612636</v>
      </c>
    </row>
    <row r="1358" spans="1:34" ht="15" customHeight="1" x14ac:dyDescent="0.2">
      <c r="A1358" s="962" t="s">
        <v>373</v>
      </c>
      <c r="B1358" s="1498">
        <v>2</v>
      </c>
      <c r="C1358" s="1146">
        <v>0</v>
      </c>
      <c r="D1358" s="1146">
        <v>0</v>
      </c>
      <c r="E1358" s="1146">
        <v>0</v>
      </c>
      <c r="F1358" s="1146">
        <v>0</v>
      </c>
      <c r="G1358" s="1146">
        <v>0</v>
      </c>
      <c r="H1358" s="1146">
        <v>2</v>
      </c>
      <c r="I1358" s="1146">
        <v>2</v>
      </c>
      <c r="J1358" s="1147">
        <v>16</v>
      </c>
      <c r="K1358" s="1147">
        <v>8</v>
      </c>
      <c r="L1358" s="1066" t="s">
        <v>988</v>
      </c>
      <c r="M1358" s="959">
        <v>1850000</v>
      </c>
      <c r="N1358" s="959">
        <v>53736749.675439999</v>
      </c>
      <c r="O1358" s="1149">
        <v>19799805.849616889</v>
      </c>
      <c r="P1358" s="9"/>
      <c r="Q1358" s="950"/>
      <c r="R1358" s="950"/>
      <c r="S1358" s="950"/>
      <c r="T1358" s="9"/>
      <c r="U1358" s="9"/>
      <c r="V1358" s="9"/>
      <c r="W1358" s="9"/>
      <c r="X1358" s="9"/>
      <c r="Y1358" s="9"/>
      <c r="Z1358" s="9"/>
      <c r="AA1358" s="9"/>
      <c r="AB1358" s="1966"/>
      <c r="AC1358" s="1157"/>
      <c r="AD1358" s="1156"/>
      <c r="AE1358" s="1158"/>
      <c r="AF1358" s="1156"/>
      <c r="AG1358" s="1158"/>
      <c r="AH1358" s="1156"/>
    </row>
    <row r="1359" spans="1:34" ht="15" customHeight="1" x14ac:dyDescent="0.2">
      <c r="A1359" s="1154" t="s">
        <v>374</v>
      </c>
      <c r="B1359" s="1002">
        <v>766.86</v>
      </c>
      <c r="C1359" s="1002">
        <v>75</v>
      </c>
      <c r="D1359" s="1002">
        <v>20</v>
      </c>
      <c r="E1359" s="1002">
        <v>14</v>
      </c>
      <c r="F1359" s="1002">
        <v>12</v>
      </c>
      <c r="G1359" s="1002">
        <v>57</v>
      </c>
      <c r="H1359" s="1002">
        <v>663.86</v>
      </c>
      <c r="I1359" s="1002">
        <v>815.86</v>
      </c>
      <c r="J1359" s="1150">
        <v>8746.49</v>
      </c>
      <c r="K1359" s="1136">
        <v>13.175202602958455</v>
      </c>
      <c r="L1359" s="1152"/>
      <c r="M1359" s="996"/>
      <c r="N1359" s="435"/>
      <c r="O1359" s="436"/>
      <c r="U1359" s="9"/>
      <c r="V1359" s="9"/>
      <c r="W1359" s="9"/>
      <c r="X1359" s="9"/>
      <c r="Y1359" s="9"/>
      <c r="Z1359" s="9"/>
      <c r="AA1359" s="9"/>
      <c r="AB1359" s="1966"/>
      <c r="AC1359" s="237">
        <f>MAX(J1360/J1378)</f>
        <v>2.9309802317079775E-2</v>
      </c>
      <c r="AD1359" s="235">
        <f t="shared" ref="AD1359:AD1366" si="253">MAX(M1360*AC1359)</f>
        <v>54223.134286597582</v>
      </c>
      <c r="AE1359" s="238">
        <f>MAX(I1360/I1378)</f>
        <v>4.4982452389859796E-2</v>
      </c>
      <c r="AF1359" s="235">
        <f t="shared" ref="AF1359:AF1366" si="254">MAX(N1360*AE1359)</f>
        <v>2417210.7838612935</v>
      </c>
      <c r="AG1359" s="238">
        <f>MAX(H1360/H1378)</f>
        <v>4.0610414569415214E-2</v>
      </c>
      <c r="AH1359" s="235">
        <f t="shared" ref="AH1359:AH1366" si="255">MAX(O1360*AG1359)</f>
        <v>804078.32394687424</v>
      </c>
    </row>
    <row r="1360" spans="1:34" ht="15" customHeight="1" x14ac:dyDescent="0.2">
      <c r="A1360" s="962" t="s">
        <v>375</v>
      </c>
      <c r="B1360" s="1146">
        <v>40.5</v>
      </c>
      <c r="C1360" s="1146">
        <v>10</v>
      </c>
      <c r="D1360" s="1146">
        <v>0</v>
      </c>
      <c r="E1360" s="1146">
        <v>0</v>
      </c>
      <c r="F1360" s="1146">
        <v>0</v>
      </c>
      <c r="G1360" s="1146">
        <v>5</v>
      </c>
      <c r="H1360" s="1146">
        <v>35.5</v>
      </c>
      <c r="I1360" s="1146">
        <v>50.5</v>
      </c>
      <c r="J1360" s="1147">
        <v>319.5</v>
      </c>
      <c r="K1360" s="1147">
        <v>9</v>
      </c>
      <c r="L1360" s="1066" t="s">
        <v>988</v>
      </c>
      <c r="M1360" s="959">
        <v>1850000</v>
      </c>
      <c r="N1360" s="959">
        <v>53736749.675439999</v>
      </c>
      <c r="O1360" s="1149">
        <v>19799805.849616889</v>
      </c>
      <c r="P1360" s="950"/>
      <c r="Q1360" s="950"/>
      <c r="R1360" s="950"/>
      <c r="S1360" s="950"/>
      <c r="T1360" s="9"/>
      <c r="U1360" s="9"/>
      <c r="V1360" s="9"/>
      <c r="W1360" s="9"/>
      <c r="X1360" s="9"/>
      <c r="Y1360" s="9"/>
      <c r="Z1360" s="9"/>
      <c r="AA1360" s="9"/>
      <c r="AB1360" s="1966"/>
      <c r="AC1360" s="237">
        <f>MAX(J1361/J1378)</f>
        <v>2.9630879963745745E-3</v>
      </c>
      <c r="AD1360" s="235">
        <f t="shared" si="253"/>
        <v>5481.7127932929625</v>
      </c>
      <c r="AE1360" s="238">
        <f>MAX(I1361/I1378)</f>
        <v>2.877095469688062E-3</v>
      </c>
      <c r="AF1360" s="235">
        <f t="shared" si="254"/>
        <v>154605.75904696985</v>
      </c>
      <c r="AG1360" s="238">
        <f>MAX(H1361/H1378)</f>
        <v>3.6949757481467924E-3</v>
      </c>
      <c r="AH1360" s="235">
        <f t="shared" si="255"/>
        <v>73159.802432349403</v>
      </c>
    </row>
    <row r="1361" spans="1:34" ht="15" customHeight="1" x14ac:dyDescent="0.2">
      <c r="A1361" s="962" t="s">
        <v>376</v>
      </c>
      <c r="B1361" s="1146">
        <v>3.23</v>
      </c>
      <c r="C1361" s="1146">
        <v>0</v>
      </c>
      <c r="D1361" s="1146">
        <v>0</v>
      </c>
      <c r="E1361" s="1146">
        <v>0</v>
      </c>
      <c r="F1361" s="1146">
        <v>0</v>
      </c>
      <c r="G1361" s="1146">
        <v>0</v>
      </c>
      <c r="H1361" s="1146">
        <v>3.23</v>
      </c>
      <c r="I1361" s="1146">
        <v>3.23</v>
      </c>
      <c r="J1361" s="1147">
        <v>32.299999999999997</v>
      </c>
      <c r="K1361" s="1147">
        <v>10</v>
      </c>
      <c r="L1361" s="1066" t="s">
        <v>988</v>
      </c>
      <c r="M1361" s="959">
        <v>1850000</v>
      </c>
      <c r="N1361" s="959">
        <v>53736749.675439999</v>
      </c>
      <c r="O1361" s="1149">
        <v>19799805.849616889</v>
      </c>
      <c r="P1361" s="950"/>
      <c r="Q1361" s="950"/>
      <c r="R1361" s="950"/>
      <c r="S1361" s="950"/>
      <c r="T1361" s="9"/>
      <c r="U1361" s="9"/>
      <c r="V1361" s="9"/>
      <c r="W1361" s="9"/>
      <c r="X1361" s="9"/>
      <c r="Y1361" s="9"/>
      <c r="Z1361" s="9"/>
      <c r="AA1361" s="9"/>
      <c r="AB1361" s="1966"/>
      <c r="AC1361" s="237">
        <f>MAX(J1362/J1378)</f>
        <v>0.39492550539915</v>
      </c>
      <c r="AD1361" s="235">
        <f t="shared" si="253"/>
        <v>730612.18498842756</v>
      </c>
      <c r="AE1361" s="238">
        <f>MAX(I1362/I1378)</f>
        <v>0.28147435554842959</v>
      </c>
      <c r="AF1361" s="235">
        <f t="shared" si="254"/>
        <v>15125516.984161757</v>
      </c>
      <c r="AG1361" s="238">
        <f>MAX(H1362/H1378)</f>
        <v>0.32831518257527226</v>
      </c>
      <c r="AH1361" s="235">
        <f t="shared" si="255"/>
        <v>6500576.8724719128</v>
      </c>
    </row>
    <row r="1362" spans="1:34" ht="15" customHeight="1" x14ac:dyDescent="0.2">
      <c r="A1362" s="962" t="s">
        <v>377</v>
      </c>
      <c r="B1362" s="1146">
        <v>312</v>
      </c>
      <c r="C1362" s="1146">
        <v>4</v>
      </c>
      <c r="D1362" s="1146"/>
      <c r="E1362" s="1146"/>
      <c r="F1362" s="1146"/>
      <c r="G1362" s="1146">
        <v>25</v>
      </c>
      <c r="H1362" s="1146">
        <v>287</v>
      </c>
      <c r="I1362" s="1146">
        <v>316</v>
      </c>
      <c r="J1362" s="1147">
        <v>4305</v>
      </c>
      <c r="K1362" s="1147">
        <v>15</v>
      </c>
      <c r="L1362" s="1066" t="s">
        <v>988</v>
      </c>
      <c r="M1362" s="959">
        <v>1850000</v>
      </c>
      <c r="N1362" s="959">
        <v>53736749.675439999</v>
      </c>
      <c r="O1362" s="1149">
        <v>19799805.849616889</v>
      </c>
      <c r="P1362" s="950"/>
      <c r="Q1362" s="950"/>
      <c r="R1362" s="950"/>
      <c r="S1362" s="950"/>
      <c r="T1362" s="9"/>
      <c r="U1362" s="9"/>
      <c r="V1362" s="9"/>
      <c r="W1362" s="9"/>
      <c r="X1362" s="9"/>
      <c r="Y1362" s="9"/>
      <c r="Z1362" s="9"/>
      <c r="AA1362" s="9"/>
      <c r="AB1362" s="1966"/>
      <c r="AC1362" s="237">
        <f>MAX(J1363/J1378)</f>
        <v>6.0546070514155399E-2</v>
      </c>
      <c r="AD1362" s="235">
        <f t="shared" si="253"/>
        <v>112010.23045118748</v>
      </c>
      <c r="AE1362" s="238">
        <f>MAX(I1363/I1378)</f>
        <v>5.344449788894233E-2</v>
      </c>
      <c r="AF1362" s="235">
        <f t="shared" si="254"/>
        <v>2871933.6045876755</v>
      </c>
      <c r="AG1362" s="238">
        <f>MAX(H1363/H1378)</f>
        <v>6.8637320399011631E-2</v>
      </c>
      <c r="AH1362" s="235">
        <f t="shared" si="255"/>
        <v>1359005.6179383791</v>
      </c>
    </row>
    <row r="1363" spans="1:34" ht="15" customHeight="1" x14ac:dyDescent="0.2">
      <c r="A1363" s="962" t="s">
        <v>378</v>
      </c>
      <c r="B1363" s="1146">
        <v>60</v>
      </c>
      <c r="C1363" s="1146">
        <v>0</v>
      </c>
      <c r="D1363" s="1146">
        <v>0</v>
      </c>
      <c r="E1363" s="1146">
        <v>0</v>
      </c>
      <c r="F1363" s="1146">
        <v>0</v>
      </c>
      <c r="G1363" s="1146">
        <v>0</v>
      </c>
      <c r="H1363" s="1146">
        <v>60</v>
      </c>
      <c r="I1363" s="1146">
        <v>60</v>
      </c>
      <c r="J1363" s="1147">
        <v>660</v>
      </c>
      <c r="K1363" s="1147">
        <v>11</v>
      </c>
      <c r="L1363" s="1066" t="s">
        <v>988</v>
      </c>
      <c r="M1363" s="959">
        <v>1850000</v>
      </c>
      <c r="N1363" s="959">
        <v>53736749.675439999</v>
      </c>
      <c r="O1363" s="1149">
        <v>19799805.849616889</v>
      </c>
      <c r="P1363" s="950"/>
      <c r="Q1363" s="950"/>
      <c r="R1363" s="950"/>
      <c r="S1363" s="950"/>
      <c r="T1363" s="9"/>
      <c r="U1363" s="9"/>
      <c r="V1363" s="9"/>
      <c r="W1363" s="9"/>
      <c r="X1363" s="9"/>
      <c r="Y1363" s="9"/>
      <c r="Z1363" s="9"/>
      <c r="AA1363" s="9"/>
      <c r="AB1363" s="1966"/>
      <c r="AC1363" s="237">
        <f>MAX(J1364/J1378)</f>
        <v>2.1879148208524338E-2</v>
      </c>
      <c r="AD1363" s="235">
        <f t="shared" si="253"/>
        <v>40476.424185770025</v>
      </c>
      <c r="AE1363" s="238">
        <f>MAX(I1364/I1378)</f>
        <v>2.7167619760212352E-2</v>
      </c>
      <c r="AF1363" s="235">
        <f t="shared" si="254"/>
        <v>1459899.5823320684</v>
      </c>
      <c r="AG1363" s="238">
        <f>MAX(H1364/H1378)</f>
        <v>3.0314816509563469E-2</v>
      </c>
      <c r="AH1363" s="235">
        <f t="shared" si="255"/>
        <v>600227.48125611746</v>
      </c>
    </row>
    <row r="1364" spans="1:34" ht="15" customHeight="1" x14ac:dyDescent="0.2">
      <c r="A1364" s="962" t="s">
        <v>379</v>
      </c>
      <c r="B1364" s="1146">
        <v>38.5</v>
      </c>
      <c r="C1364" s="1146"/>
      <c r="D1364" s="1146"/>
      <c r="E1364" s="1146">
        <v>2</v>
      </c>
      <c r="F1364" s="1146">
        <v>6</v>
      </c>
      <c r="G1364" s="1146">
        <v>4</v>
      </c>
      <c r="H1364" s="1146">
        <v>26.5</v>
      </c>
      <c r="I1364" s="1146">
        <v>30.5</v>
      </c>
      <c r="J1364" s="1147">
        <v>238.5</v>
      </c>
      <c r="K1364" s="1147">
        <v>9</v>
      </c>
      <c r="L1364" s="1066" t="s">
        <v>988</v>
      </c>
      <c r="M1364" s="959">
        <v>1850000</v>
      </c>
      <c r="N1364" s="959">
        <v>53736749.675439999</v>
      </c>
      <c r="O1364" s="1149">
        <v>19799805.849616889</v>
      </c>
      <c r="P1364" s="950"/>
      <c r="Q1364" s="950"/>
      <c r="R1364" s="950"/>
      <c r="S1364" s="950"/>
      <c r="T1364" s="9"/>
      <c r="U1364" s="9"/>
      <c r="V1364" s="9"/>
      <c r="W1364" s="9"/>
      <c r="X1364" s="9"/>
      <c r="Y1364" s="9"/>
      <c r="Z1364" s="9"/>
      <c r="AA1364" s="9"/>
      <c r="AB1364" s="9"/>
      <c r="AC1364" s="237">
        <f>MAX(J1365/J1378)</f>
        <v>9.5405929295032752E-3</v>
      </c>
      <c r="AD1364" s="235">
        <f t="shared" si="253"/>
        <v>17650.096919581058</v>
      </c>
      <c r="AE1364" s="238">
        <f>MAX(I1365/I1378)</f>
        <v>1.4251866103717955E-2</v>
      </c>
      <c r="AF1364" s="235">
        <f t="shared" si="254"/>
        <v>765848.96122338006</v>
      </c>
      <c r="AG1364" s="238">
        <f>MAX(H1365/H1378)</f>
        <v>1.4871419419785852E-2</v>
      </c>
      <c r="AH1364" s="235">
        <f t="shared" si="255"/>
        <v>294451.21721998212</v>
      </c>
    </row>
    <row r="1365" spans="1:34" ht="15" customHeight="1" x14ac:dyDescent="0.2">
      <c r="A1365" s="962" t="s">
        <v>380</v>
      </c>
      <c r="B1365" s="1146">
        <v>16</v>
      </c>
      <c r="C1365" s="1146">
        <v>0</v>
      </c>
      <c r="D1365" s="1146">
        <v>0</v>
      </c>
      <c r="E1365" s="1146">
        <v>0</v>
      </c>
      <c r="F1365" s="1146">
        <v>0</v>
      </c>
      <c r="G1365" s="1146">
        <v>3</v>
      </c>
      <c r="H1365" s="1146">
        <v>13</v>
      </c>
      <c r="I1365" s="1146">
        <v>16</v>
      </c>
      <c r="J1365" s="1147">
        <v>104</v>
      </c>
      <c r="K1365" s="1147">
        <v>8</v>
      </c>
      <c r="L1365" s="1066" t="s">
        <v>988</v>
      </c>
      <c r="M1365" s="959">
        <v>1850000</v>
      </c>
      <c r="N1365" s="959">
        <v>53736749.675439999</v>
      </c>
      <c r="O1365" s="1149">
        <v>19799805.849616889</v>
      </c>
      <c r="P1365" s="950"/>
      <c r="Q1365" s="950"/>
      <c r="R1365" s="950"/>
      <c r="S1365" s="950"/>
      <c r="T1365" s="9"/>
      <c r="U1365" s="9"/>
      <c r="V1365" s="9"/>
      <c r="W1365" s="9"/>
      <c r="X1365" s="9"/>
      <c r="Y1365" s="9"/>
      <c r="Z1365" s="9"/>
      <c r="AA1365" s="9"/>
      <c r="AB1365" s="9"/>
      <c r="AC1365" s="237">
        <f>MAX(J1366/J1378)</f>
        <v>7.5682588142694249E-3</v>
      </c>
      <c r="AD1365" s="235">
        <f t="shared" si="253"/>
        <v>14001.278806398435</v>
      </c>
      <c r="AE1365" s="238">
        <f>MAX(I1366/I1378)</f>
        <v>1.5587978550941513E-2</v>
      </c>
      <c r="AF1365" s="235">
        <f t="shared" si="254"/>
        <v>837647.30133807205</v>
      </c>
      <c r="AG1365" s="238">
        <f>MAX(H1366/H1378)</f>
        <v>8.5796650498764539E-3</v>
      </c>
      <c r="AH1365" s="235">
        <f t="shared" si="255"/>
        <v>169875.70224229738</v>
      </c>
    </row>
    <row r="1366" spans="1:34" ht="15" customHeight="1" x14ac:dyDescent="0.2">
      <c r="A1366" s="962" t="s">
        <v>381</v>
      </c>
      <c r="B1366" s="1146">
        <v>12.5</v>
      </c>
      <c r="C1366" s="1146">
        <v>5</v>
      </c>
      <c r="D1366" s="1146"/>
      <c r="E1366" s="1146"/>
      <c r="F1366" s="1146"/>
      <c r="G1366" s="1146">
        <v>5</v>
      </c>
      <c r="H1366" s="1146">
        <v>7.5</v>
      </c>
      <c r="I1366" s="1146">
        <v>17.5</v>
      </c>
      <c r="J1366" s="1147">
        <v>82.5</v>
      </c>
      <c r="K1366" s="1147">
        <v>11</v>
      </c>
      <c r="L1366" s="1066" t="s">
        <v>988</v>
      </c>
      <c r="M1366" s="959">
        <v>1850000</v>
      </c>
      <c r="N1366" s="959">
        <v>53736749.675439999</v>
      </c>
      <c r="O1366" s="1149">
        <v>19799805.849616889</v>
      </c>
      <c r="P1366" s="950"/>
      <c r="Q1366" s="950"/>
      <c r="R1366" s="950"/>
      <c r="S1366" s="950"/>
      <c r="T1366" s="9"/>
      <c r="U1366" s="9"/>
      <c r="V1366" s="9"/>
      <c r="W1366" s="9"/>
      <c r="X1366" s="9"/>
      <c r="Y1366" s="9"/>
      <c r="Z1366" s="9"/>
      <c r="AA1366" s="9"/>
      <c r="AB1366" s="9"/>
      <c r="AC1366" s="237">
        <f>MAX(J1367/J1378)</f>
        <v>0.27563965547451152</v>
      </c>
      <c r="AD1366" s="235">
        <f t="shared" si="253"/>
        <v>509933.36262784631</v>
      </c>
      <c r="AE1366" s="238">
        <f>MAX(I1367/I1378)</f>
        <v>0.28693460174941654</v>
      </c>
      <c r="AF1366" s="235">
        <f t="shared" si="254"/>
        <v>15418932.867430465</v>
      </c>
      <c r="AG1366" s="238">
        <f>MAX(H1367/H1378)</f>
        <v>0.26440239773039259</v>
      </c>
      <c r="AH1366" s="235">
        <f t="shared" si="255"/>
        <v>5235116.1412349585</v>
      </c>
    </row>
    <row r="1367" spans="1:34" ht="15" customHeight="1" x14ac:dyDescent="0.2">
      <c r="A1367" s="962" t="s">
        <v>382</v>
      </c>
      <c r="B1367" s="1146">
        <v>284.13</v>
      </c>
      <c r="C1367" s="1146">
        <v>56</v>
      </c>
      <c r="D1367" s="1146">
        <v>20</v>
      </c>
      <c r="E1367" s="1146">
        <v>12</v>
      </c>
      <c r="F1367" s="1146">
        <v>6</v>
      </c>
      <c r="G1367" s="1146">
        <v>15</v>
      </c>
      <c r="H1367" s="1146">
        <v>231.13</v>
      </c>
      <c r="I1367" s="1146">
        <v>322.13</v>
      </c>
      <c r="J1367" s="1147">
        <v>3004.69</v>
      </c>
      <c r="K1367" s="1147">
        <v>13</v>
      </c>
      <c r="L1367" s="1066" t="s">
        <v>988</v>
      </c>
      <c r="M1367" s="959">
        <v>1850000</v>
      </c>
      <c r="N1367" s="959">
        <v>53736749.675439999</v>
      </c>
      <c r="O1367" s="1149">
        <v>19799805.849616889</v>
      </c>
      <c r="P1367" s="950"/>
      <c r="Q1367" s="950"/>
      <c r="R1367" s="950"/>
      <c r="S1367" s="950"/>
      <c r="T1367" s="9"/>
      <c r="U1367" s="9"/>
      <c r="V1367" s="9"/>
      <c r="W1367" s="9"/>
      <c r="X1367" s="9"/>
      <c r="Y1367" s="9"/>
      <c r="Z1367" s="9"/>
      <c r="AA1367" s="9"/>
      <c r="AB1367" s="9"/>
      <c r="AC1367" s="1157"/>
      <c r="AD1367" s="1156"/>
      <c r="AE1367" s="1158"/>
      <c r="AF1367" s="1156"/>
      <c r="AG1367" s="1158"/>
      <c r="AH1367" s="1156"/>
    </row>
    <row r="1368" spans="1:34" ht="15" customHeight="1" x14ac:dyDescent="0.2">
      <c r="A1368" s="1154" t="s">
        <v>383</v>
      </c>
      <c r="B1368" s="1002">
        <v>48.5</v>
      </c>
      <c r="C1368" s="1002">
        <v>4</v>
      </c>
      <c r="D1368" s="1002">
        <v>0</v>
      </c>
      <c r="E1368" s="1002">
        <v>0</v>
      </c>
      <c r="F1368" s="1002">
        <v>0</v>
      </c>
      <c r="G1368" s="1002">
        <v>4</v>
      </c>
      <c r="H1368" s="1002">
        <v>44.5</v>
      </c>
      <c r="I1368" s="1002">
        <v>52.5</v>
      </c>
      <c r="J1368" s="1150">
        <v>540.5</v>
      </c>
      <c r="K1368" s="1136">
        <v>12.146067415730338</v>
      </c>
      <c r="L1368" s="1152"/>
      <c r="M1368" s="996"/>
      <c r="N1368" s="435"/>
      <c r="O1368" s="436"/>
      <c r="U1368" s="9"/>
      <c r="V1368" s="9"/>
      <c r="W1368" s="9"/>
      <c r="X1368" s="9"/>
      <c r="Y1368" s="9"/>
      <c r="Z1368" s="9"/>
      <c r="AA1368" s="9"/>
      <c r="AB1368" s="9"/>
      <c r="AC1368" s="237">
        <f>MAX(J1369/J1378)</f>
        <v>8.2562823428393734E-3</v>
      </c>
      <c r="AD1368" s="235">
        <f t="shared" ref="AD1368:AD1376" si="256">MAX(M1369*AC1368)</f>
        <v>15274.122334252841</v>
      </c>
      <c r="AE1368" s="238">
        <f>MAX(I1369/I1378)</f>
        <v>8.0166746833413502E-3</v>
      </c>
      <c r="AF1368" s="235">
        <f t="shared" ref="AF1368:AF1376" si="257">MAX(N1369*AE1368)</f>
        <v>430790.04068815138</v>
      </c>
      <c r="AG1368" s="238">
        <f>MAX(H1369/H1378)</f>
        <v>1.0295598059851743E-2</v>
      </c>
      <c r="AH1368" s="235">
        <f t="shared" ref="AH1368:AH1376" si="258">MAX(O1369*AG1368)</f>
        <v>203850.84269075684</v>
      </c>
    </row>
    <row r="1369" spans="1:34" ht="15" customHeight="1" x14ac:dyDescent="0.2">
      <c r="A1369" s="962" t="s">
        <v>384</v>
      </c>
      <c r="B1369" s="957">
        <v>9</v>
      </c>
      <c r="C1369" s="1146">
        <v>0</v>
      </c>
      <c r="D1369" s="1146">
        <v>0</v>
      </c>
      <c r="E1369" s="1146">
        <v>0</v>
      </c>
      <c r="F1369" s="1146">
        <v>0</v>
      </c>
      <c r="G1369" s="1146">
        <v>0</v>
      </c>
      <c r="H1369" s="1146">
        <v>9</v>
      </c>
      <c r="I1369" s="1146">
        <v>9</v>
      </c>
      <c r="J1369" s="1147">
        <v>90</v>
      </c>
      <c r="K1369" s="1147">
        <v>10</v>
      </c>
      <c r="L1369" s="1066" t="s">
        <v>988</v>
      </c>
      <c r="M1369" s="959">
        <v>1850000</v>
      </c>
      <c r="N1369" s="959">
        <v>53736749.675439999</v>
      </c>
      <c r="O1369" s="1149">
        <v>19799805.849616889</v>
      </c>
      <c r="P1369" s="950"/>
      <c r="Q1369" s="950"/>
      <c r="R1369" s="950"/>
      <c r="S1369" s="950"/>
      <c r="T1369" s="9"/>
      <c r="U1369" s="9"/>
      <c r="V1369" s="9"/>
      <c r="W1369" s="9"/>
      <c r="X1369" s="9"/>
      <c r="Y1369" s="9"/>
      <c r="Z1369" s="9"/>
      <c r="AA1369" s="9"/>
      <c r="AB1369" s="9"/>
      <c r="AC1369" s="237">
        <f>MAX(J1370/J1378)</f>
        <v>5.504188228559582E-3</v>
      </c>
      <c r="AD1369" s="235">
        <f t="shared" si="256"/>
        <v>10182.748222835227</v>
      </c>
      <c r="AE1369" s="238">
        <f>MAX(I1370/I1378)</f>
        <v>5.3444497888942332E-3</v>
      </c>
      <c r="AF1369" s="235">
        <f t="shared" si="257"/>
        <v>287193.36045876757</v>
      </c>
      <c r="AG1369" s="238">
        <f>MAX(H1370/H1378)</f>
        <v>5.7197766999176353E-3</v>
      </c>
      <c r="AH1369" s="235">
        <f t="shared" si="258"/>
        <v>113250.46816153158</v>
      </c>
    </row>
    <row r="1370" spans="1:34" ht="15" customHeight="1" x14ac:dyDescent="0.2">
      <c r="A1370" s="962" t="s">
        <v>385</v>
      </c>
      <c r="B1370" s="957">
        <v>5</v>
      </c>
      <c r="C1370" s="1146">
        <v>1</v>
      </c>
      <c r="D1370" s="1146">
        <v>0</v>
      </c>
      <c r="E1370" s="1146">
        <v>0</v>
      </c>
      <c r="F1370" s="1146">
        <v>0</v>
      </c>
      <c r="G1370" s="1146">
        <v>0</v>
      </c>
      <c r="H1370" s="1146">
        <v>5</v>
      </c>
      <c r="I1370" s="1146">
        <v>6</v>
      </c>
      <c r="J1370" s="1147">
        <v>60</v>
      </c>
      <c r="K1370" s="1147">
        <v>12</v>
      </c>
      <c r="L1370" s="1066" t="s">
        <v>988</v>
      </c>
      <c r="M1370" s="959">
        <v>1850000</v>
      </c>
      <c r="N1370" s="959">
        <v>53736749.675439999</v>
      </c>
      <c r="O1370" s="1149">
        <v>19799805.849616889</v>
      </c>
      <c r="U1370" s="9"/>
      <c r="V1370" s="9"/>
      <c r="W1370" s="9"/>
      <c r="X1370" s="9"/>
      <c r="Y1370" s="9"/>
      <c r="Z1370" s="9"/>
      <c r="AA1370" s="9"/>
      <c r="AB1370" s="9"/>
      <c r="AC1370" s="237">
        <f>MAX(J1371/J1378)</f>
        <v>1.3210051748542997E-2</v>
      </c>
      <c r="AD1370" s="235">
        <f t="shared" si="256"/>
        <v>24438.595734804545</v>
      </c>
      <c r="AE1370" s="238">
        <f>MAX(I1371/I1378)</f>
        <v>1.3361124472235582E-2</v>
      </c>
      <c r="AF1370" s="235">
        <f t="shared" si="257"/>
        <v>717983.40114691888</v>
      </c>
      <c r="AG1370" s="238">
        <f>MAX(H1371/H1378)</f>
        <v>1.3727464079802324E-2</v>
      </c>
      <c r="AH1370" s="235">
        <f t="shared" si="258"/>
        <v>271801.1235876758</v>
      </c>
    </row>
    <row r="1371" spans="1:34" ht="15" customHeight="1" x14ac:dyDescent="0.2">
      <c r="A1371" s="962" t="s">
        <v>386</v>
      </c>
      <c r="B1371" s="957">
        <v>12</v>
      </c>
      <c r="C1371" s="1146">
        <v>3</v>
      </c>
      <c r="D1371" s="1146">
        <v>0</v>
      </c>
      <c r="E1371" s="1146">
        <v>0</v>
      </c>
      <c r="F1371" s="1146">
        <v>0</v>
      </c>
      <c r="G1371" s="1146">
        <v>0</v>
      </c>
      <c r="H1371" s="1146">
        <v>12</v>
      </c>
      <c r="I1371" s="1146">
        <v>15</v>
      </c>
      <c r="J1371" s="1147">
        <v>144</v>
      </c>
      <c r="K1371" s="1147">
        <v>12</v>
      </c>
      <c r="L1371" s="1066" t="s">
        <v>988</v>
      </c>
      <c r="M1371" s="959">
        <v>1850000</v>
      </c>
      <c r="N1371" s="959">
        <v>53736749.675439999</v>
      </c>
      <c r="O1371" s="1149">
        <v>19799805.849616889</v>
      </c>
      <c r="P1371" s="950"/>
      <c r="Q1371" s="950"/>
      <c r="R1371" s="950"/>
      <c r="S1371" s="950"/>
      <c r="T1371" s="9"/>
      <c r="U1371" s="9"/>
      <c r="V1371" s="9"/>
      <c r="W1371" s="9"/>
      <c r="X1371" s="9"/>
      <c r="Y1371" s="9"/>
      <c r="Z1371" s="9"/>
      <c r="AA1371" s="9"/>
      <c r="AB1371" s="9"/>
      <c r="AC1371" s="237">
        <f>MAX(J1372/J1378)</f>
        <v>0</v>
      </c>
      <c r="AD1371" s="235">
        <f t="shared" si="256"/>
        <v>0</v>
      </c>
      <c r="AE1371" s="238">
        <f>MAX(I1372/I1378)</f>
        <v>0</v>
      </c>
      <c r="AF1371" s="235">
        <f t="shared" si="257"/>
        <v>0</v>
      </c>
      <c r="AG1371" s="238">
        <f>MAX(H1372/H1378)</f>
        <v>0</v>
      </c>
      <c r="AH1371" s="235">
        <f t="shared" si="258"/>
        <v>0</v>
      </c>
    </row>
    <row r="1372" spans="1:34" ht="15" customHeight="1" x14ac:dyDescent="0.2">
      <c r="A1372" s="962" t="s">
        <v>387</v>
      </c>
      <c r="B1372" s="957">
        <v>0</v>
      </c>
      <c r="C1372" s="1146">
        <v>0</v>
      </c>
      <c r="D1372" s="1146">
        <v>0</v>
      </c>
      <c r="E1372" s="1146">
        <v>0</v>
      </c>
      <c r="F1372" s="1146">
        <v>0</v>
      </c>
      <c r="G1372" s="1146">
        <v>0</v>
      </c>
      <c r="H1372" s="1146">
        <v>0</v>
      </c>
      <c r="I1372" s="1146">
        <v>0</v>
      </c>
      <c r="J1372" s="1147">
        <v>0</v>
      </c>
      <c r="K1372" s="1147">
        <v>0</v>
      </c>
      <c r="L1372" s="1148"/>
      <c r="M1372" s="959"/>
      <c r="N1372" s="959"/>
      <c r="O1372" s="1149"/>
      <c r="V1372" s="9"/>
      <c r="W1372" s="9"/>
      <c r="X1372" s="9"/>
      <c r="Y1372" s="9"/>
      <c r="Z1372" s="9"/>
      <c r="AA1372" s="9"/>
      <c r="AB1372" s="9"/>
      <c r="AC1372" s="237">
        <f>MAX(J1373/J1378)</f>
        <v>3.3025129371357493E-3</v>
      </c>
      <c r="AD1372" s="235">
        <f t="shared" si="256"/>
        <v>6109.6489337011362</v>
      </c>
      <c r="AE1372" s="238">
        <f>MAX(I1373/I1378)</f>
        <v>3.5629665259294886E-3</v>
      </c>
      <c r="AF1372" s="235">
        <f t="shared" si="257"/>
        <v>191462.24030584501</v>
      </c>
      <c r="AG1372" s="238">
        <f>MAX(H1373/H1378)</f>
        <v>3.4318660199505811E-3</v>
      </c>
      <c r="AH1372" s="235">
        <f t="shared" si="258"/>
        <v>67950.28089691895</v>
      </c>
    </row>
    <row r="1373" spans="1:34" ht="15" customHeight="1" x14ac:dyDescent="0.2">
      <c r="A1373" s="962" t="s">
        <v>388</v>
      </c>
      <c r="B1373" s="957">
        <v>4</v>
      </c>
      <c r="C1373" s="1146"/>
      <c r="D1373" s="1146"/>
      <c r="E1373" s="1146"/>
      <c r="F1373" s="1146"/>
      <c r="G1373" s="1146">
        <v>1</v>
      </c>
      <c r="H1373" s="1146">
        <v>3</v>
      </c>
      <c r="I1373" s="1146">
        <v>4</v>
      </c>
      <c r="J1373" s="1147">
        <v>36</v>
      </c>
      <c r="K1373" s="1147">
        <v>12</v>
      </c>
      <c r="L1373" s="1066" t="s">
        <v>988</v>
      </c>
      <c r="M1373" s="959">
        <v>1850000</v>
      </c>
      <c r="N1373" s="959">
        <v>53736749.675439999</v>
      </c>
      <c r="O1373" s="1149">
        <v>19799805.849616889</v>
      </c>
      <c r="P1373" s="950"/>
      <c r="Q1373" s="950"/>
      <c r="R1373" s="950"/>
      <c r="S1373" s="950"/>
      <c r="T1373" s="9"/>
      <c r="U1373" s="9"/>
      <c r="V1373" s="9"/>
      <c r="W1373" s="9"/>
      <c r="X1373" s="9"/>
      <c r="Y1373" s="9"/>
      <c r="Z1373" s="9"/>
      <c r="AA1373" s="9"/>
      <c r="AB1373" s="9"/>
      <c r="AC1373" s="237">
        <f>MAX(J1374/J1378)</f>
        <v>0</v>
      </c>
      <c r="AD1373" s="235">
        <f t="shared" si="256"/>
        <v>0</v>
      </c>
      <c r="AE1373" s="238">
        <f>MAX(I1374/I1378)</f>
        <v>0</v>
      </c>
      <c r="AF1373" s="235">
        <f t="shared" si="257"/>
        <v>0</v>
      </c>
      <c r="AG1373" s="238">
        <f>MAX(H1374/H1378)</f>
        <v>0</v>
      </c>
      <c r="AH1373" s="235">
        <f t="shared" si="258"/>
        <v>0</v>
      </c>
    </row>
    <row r="1374" spans="1:34" ht="15" customHeight="1" x14ac:dyDescent="0.2">
      <c r="A1374" s="962" t="s">
        <v>389</v>
      </c>
      <c r="B1374" s="957">
        <v>0</v>
      </c>
      <c r="C1374" s="1146">
        <v>0</v>
      </c>
      <c r="D1374" s="1146"/>
      <c r="E1374" s="1146"/>
      <c r="F1374" s="1146"/>
      <c r="G1374" s="1146"/>
      <c r="H1374" s="1146">
        <v>0</v>
      </c>
      <c r="I1374" s="1146">
        <v>0</v>
      </c>
      <c r="J1374" s="1147">
        <v>0</v>
      </c>
      <c r="K1374" s="1147"/>
      <c r="L1374" s="1148"/>
      <c r="M1374" s="959"/>
      <c r="N1374" s="1533"/>
      <c r="O1374" s="1534"/>
      <c r="U1374" s="9"/>
      <c r="V1374" s="9"/>
      <c r="W1374" s="9"/>
      <c r="X1374" s="9"/>
      <c r="Y1374" s="9"/>
      <c r="Z1374" s="9"/>
      <c r="AA1374" s="9"/>
      <c r="AB1374" s="9"/>
      <c r="AC1374" s="237">
        <f>MAX(J1375/J1378)</f>
        <v>7.751731755221411E-3</v>
      </c>
      <c r="AD1374" s="235">
        <f t="shared" si="256"/>
        <v>14340.70374715961</v>
      </c>
      <c r="AE1374" s="238">
        <f>MAX(I1375/I1378)</f>
        <v>5.7898206046354192E-3</v>
      </c>
      <c r="AF1374" s="235">
        <f t="shared" si="257"/>
        <v>311126.14049699815</v>
      </c>
      <c r="AG1374" s="238">
        <f>MAX(H1375/H1378)</f>
        <v>7.4357097098929261E-3</v>
      </c>
      <c r="AH1374" s="235">
        <f t="shared" si="258"/>
        <v>147225.60860999106</v>
      </c>
    </row>
    <row r="1375" spans="1:34" ht="15" customHeight="1" x14ac:dyDescent="0.2">
      <c r="A1375" s="962" t="s">
        <v>390</v>
      </c>
      <c r="B1375" s="957">
        <v>6.5</v>
      </c>
      <c r="C1375" s="1146"/>
      <c r="D1375" s="1146"/>
      <c r="E1375" s="1146"/>
      <c r="F1375" s="1146"/>
      <c r="G1375" s="1146"/>
      <c r="H1375" s="1146">
        <v>6.5</v>
      </c>
      <c r="I1375" s="1146">
        <v>6.5</v>
      </c>
      <c r="J1375" s="1147">
        <v>84.5</v>
      </c>
      <c r="K1375" s="1147">
        <v>13</v>
      </c>
      <c r="L1375" s="1066" t="s">
        <v>988</v>
      </c>
      <c r="M1375" s="959">
        <v>1850000</v>
      </c>
      <c r="N1375" s="959">
        <v>53736749.675439999</v>
      </c>
      <c r="O1375" s="1149">
        <v>19799805.849616889</v>
      </c>
      <c r="P1375" s="950"/>
      <c r="Q1375" s="950"/>
      <c r="R1375" s="950"/>
      <c r="S1375" s="950"/>
      <c r="T1375" s="9"/>
      <c r="U1375" s="9"/>
      <c r="V1375" s="9"/>
      <c r="W1375" s="9"/>
      <c r="X1375" s="9"/>
      <c r="Y1375" s="9"/>
      <c r="Z1375" s="9"/>
      <c r="AA1375" s="9"/>
      <c r="AB1375" s="9"/>
      <c r="AC1375" s="237">
        <f>MAX(J1376/J1378)</f>
        <v>0</v>
      </c>
      <c r="AD1375" s="235">
        <f t="shared" si="256"/>
        <v>0</v>
      </c>
      <c r="AE1375" s="238">
        <f>MAX(I1376/I1378)</f>
        <v>0</v>
      </c>
      <c r="AF1375" s="235">
        <f t="shared" si="257"/>
        <v>0</v>
      </c>
      <c r="AG1375" s="238">
        <f>MAX(H1376/H1378)</f>
        <v>0</v>
      </c>
      <c r="AH1375" s="235">
        <f t="shared" si="258"/>
        <v>0</v>
      </c>
    </row>
    <row r="1376" spans="1:34" ht="15" customHeight="1" x14ac:dyDescent="0.2">
      <c r="A1376" s="962" t="s">
        <v>941</v>
      </c>
      <c r="B1376" s="957">
        <v>0</v>
      </c>
      <c r="C1376" s="1146"/>
      <c r="D1376" s="1146"/>
      <c r="E1376" s="1146"/>
      <c r="F1376" s="1146"/>
      <c r="G1376" s="1146"/>
      <c r="H1376" s="1146">
        <v>0</v>
      </c>
      <c r="I1376" s="1146">
        <v>0</v>
      </c>
      <c r="J1376" s="1147">
        <v>0</v>
      </c>
      <c r="K1376" s="1147"/>
      <c r="L1376" s="1148"/>
      <c r="M1376" s="959"/>
      <c r="N1376" s="959"/>
      <c r="O1376" s="1149"/>
      <c r="U1376" s="9"/>
      <c r="V1376" s="9"/>
      <c r="W1376" s="9"/>
      <c r="X1376" s="9"/>
      <c r="Y1376" s="9"/>
      <c r="Z1376" s="9"/>
      <c r="AA1376" s="9"/>
      <c r="AB1376" s="9"/>
      <c r="AC1376" s="237">
        <f>MAX(J1377/J1378)</f>
        <v>1.1558795279975121E-2</v>
      </c>
      <c r="AD1376" s="235">
        <f t="shared" si="256"/>
        <v>21383.771267953976</v>
      </c>
      <c r="AE1376" s="238">
        <f>MAX(I1377/I1378)</f>
        <v>1.0688899577788466E-2</v>
      </c>
      <c r="AF1376" s="235">
        <f t="shared" si="257"/>
        <v>574386.72091753513</v>
      </c>
      <c r="AG1376" s="238">
        <f>MAX(H1377/H1378)</f>
        <v>1.0295598059851743E-2</v>
      </c>
      <c r="AH1376" s="235">
        <f t="shared" si="258"/>
        <v>203850.84269075684</v>
      </c>
    </row>
    <row r="1377" spans="1:34" ht="15" customHeight="1" thickBot="1" x14ac:dyDescent="0.25">
      <c r="A1377" s="1140" t="s">
        <v>392</v>
      </c>
      <c r="B1377" s="1546">
        <v>12</v>
      </c>
      <c r="C1377" s="1141">
        <v>0</v>
      </c>
      <c r="D1377" s="1141">
        <v>0</v>
      </c>
      <c r="E1377" s="1141">
        <v>0</v>
      </c>
      <c r="F1377" s="1141">
        <v>0</v>
      </c>
      <c r="G1377" s="1141">
        <v>3</v>
      </c>
      <c r="H1377" s="1146">
        <v>9</v>
      </c>
      <c r="I1377" s="1146">
        <v>12</v>
      </c>
      <c r="J1377" s="1526">
        <v>126</v>
      </c>
      <c r="K1377" s="1142">
        <v>14</v>
      </c>
      <c r="L1377" s="1066" t="s">
        <v>988</v>
      </c>
      <c r="M1377" s="959">
        <v>1850000</v>
      </c>
      <c r="N1377" s="959">
        <v>53736749.675439999</v>
      </c>
      <c r="O1377" s="1149">
        <v>19799805.849616889</v>
      </c>
      <c r="P1377" s="950"/>
      <c r="Q1377" s="950"/>
      <c r="R1377" s="950"/>
      <c r="S1377" s="950"/>
      <c r="T1377" s="9"/>
      <c r="U1377" s="9"/>
      <c r="V1377" s="9"/>
      <c r="W1377" s="9"/>
      <c r="X1377" s="9"/>
      <c r="Y1377" s="9"/>
      <c r="Z1377" s="9"/>
      <c r="AA1377" s="9"/>
      <c r="AB1377" s="9"/>
      <c r="AC1377" s="1159">
        <f t="shared" ref="AC1377:AH1377" si="259">SUM(AC1337:AC1376)</f>
        <v>1</v>
      </c>
      <c r="AD1377" s="1160">
        <f t="shared" si="259"/>
        <v>1850000.0000000002</v>
      </c>
      <c r="AE1377" s="1161">
        <f t="shared" si="259"/>
        <v>1</v>
      </c>
      <c r="AF1377" s="1160">
        <f t="shared" si="259"/>
        <v>53736749.675439991</v>
      </c>
      <c r="AG1377" s="1161">
        <f t="shared" si="259"/>
        <v>1</v>
      </c>
      <c r="AH1377" s="1160">
        <f t="shared" si="259"/>
        <v>19799805.849616889</v>
      </c>
    </row>
    <row r="1378" spans="1:34" ht="13.5" thickBot="1" x14ac:dyDescent="0.25">
      <c r="A1378" s="405" t="s">
        <v>942</v>
      </c>
      <c r="B1378" s="1131">
        <v>1045.6599999999999</v>
      </c>
      <c r="C1378" s="1131">
        <v>111</v>
      </c>
      <c r="D1378" s="1131">
        <v>41</v>
      </c>
      <c r="E1378" s="1131">
        <v>17</v>
      </c>
      <c r="F1378" s="1131">
        <v>17</v>
      </c>
      <c r="G1378" s="1131">
        <v>96.5</v>
      </c>
      <c r="H1378" s="1131">
        <v>874.16</v>
      </c>
      <c r="I1378" s="1131">
        <v>1122.6600000000001</v>
      </c>
      <c r="J1378" s="1132">
        <v>10900.789999999999</v>
      </c>
      <c r="K1378" s="1132">
        <v>12.470016930539032</v>
      </c>
      <c r="L1378" s="1525" t="s">
        <v>988</v>
      </c>
      <c r="M1378" s="1134">
        <v>1850000.0000000002</v>
      </c>
      <c r="N1378" s="1134">
        <v>53736749.675439991</v>
      </c>
      <c r="O1378" s="506">
        <v>19799805.849616889</v>
      </c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</row>
    <row r="1379" spans="1:34" x14ac:dyDescent="0.2">
      <c r="A1379" s="7" t="s">
        <v>1934</v>
      </c>
      <c r="B1379" s="224"/>
      <c r="C1379" s="224"/>
      <c r="D1379" s="224"/>
      <c r="E1379" s="224"/>
      <c r="F1379" s="224"/>
      <c r="G1379" s="224"/>
      <c r="H1379" s="224"/>
      <c r="I1379" s="224"/>
      <c r="J1379" s="224"/>
      <c r="K1379" s="240"/>
      <c r="L1379" s="241"/>
      <c r="M1379" s="240"/>
      <c r="N1379" s="240"/>
      <c r="O1379" s="240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</row>
    <row r="1380" spans="1:34" x14ac:dyDescent="0.2">
      <c r="A1380" s="34"/>
      <c r="B1380" s="224"/>
      <c r="C1380" s="224"/>
      <c r="D1380" s="224"/>
      <c r="E1380" s="224"/>
      <c r="F1380" s="224"/>
      <c r="G1380" s="224"/>
      <c r="H1380" s="224"/>
      <c r="I1380" s="224"/>
      <c r="J1380" s="224"/>
      <c r="K1380" s="240"/>
      <c r="L1380" s="241"/>
      <c r="M1380" s="240"/>
      <c r="N1380" s="240"/>
      <c r="O1380" s="240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</row>
    <row r="1381" spans="1:34" x14ac:dyDescent="0.2">
      <c r="A1381" s="34"/>
      <c r="B1381" s="224"/>
      <c r="C1381" s="224"/>
      <c r="D1381" s="224"/>
      <c r="E1381" s="224"/>
      <c r="F1381" s="224"/>
      <c r="G1381" s="224"/>
      <c r="H1381" s="224"/>
      <c r="I1381" s="224"/>
      <c r="J1381" s="224"/>
      <c r="K1381" s="240"/>
      <c r="L1381" s="241"/>
      <c r="M1381" s="240"/>
      <c r="N1381" s="240"/>
      <c r="O1381" s="240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</row>
    <row r="1382" spans="1:34" ht="15" x14ac:dyDescent="0.25">
      <c r="A1382" s="2843" t="s">
        <v>1931</v>
      </c>
      <c r="B1382" s="2843"/>
      <c r="C1382" s="2843"/>
      <c r="D1382" s="2843"/>
      <c r="E1382" s="2843"/>
      <c r="F1382" s="2843"/>
      <c r="G1382" s="2843"/>
      <c r="H1382" s="2843"/>
      <c r="I1382" s="2843"/>
      <c r="J1382" s="2843"/>
      <c r="K1382" s="2843"/>
      <c r="L1382" s="2843"/>
      <c r="M1382" s="2843"/>
      <c r="N1382" s="2843"/>
      <c r="O1382" s="2843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</row>
    <row r="1383" spans="1:34" x14ac:dyDescent="0.2">
      <c r="A1383" s="246"/>
      <c r="B1383" s="246"/>
      <c r="C1383" s="240"/>
      <c r="D1383" s="240"/>
      <c r="E1383" s="240"/>
      <c r="F1383" s="240"/>
      <c r="G1383" s="240"/>
      <c r="H1383" s="240"/>
      <c r="I1383" s="240"/>
      <c r="J1383" s="240"/>
      <c r="K1383" s="240"/>
      <c r="L1383" s="241"/>
      <c r="M1383" s="240"/>
      <c r="N1383" s="240"/>
      <c r="O1383" s="240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</row>
    <row r="1384" spans="1:34" ht="15" customHeight="1" thickBot="1" x14ac:dyDescent="0.25">
      <c r="A1384" s="181" t="s">
        <v>1160</v>
      </c>
      <c r="B1384" s="246"/>
      <c r="C1384" s="240"/>
      <c r="D1384" s="240"/>
      <c r="E1384" s="240"/>
      <c r="F1384" s="240"/>
      <c r="G1384" s="240"/>
      <c r="H1384" s="240"/>
      <c r="I1384" s="240"/>
      <c r="J1384" s="240"/>
      <c r="K1384" s="240"/>
      <c r="L1384" s="241"/>
      <c r="M1384" s="240"/>
      <c r="N1384" s="240"/>
      <c r="O1384" s="240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228" t="s">
        <v>910</v>
      </c>
      <c r="AD1384" s="229"/>
      <c r="AE1384" s="229"/>
      <c r="AF1384" s="229"/>
      <c r="AG1384" s="229"/>
      <c r="AH1384" s="243"/>
    </row>
    <row r="1385" spans="1:34" ht="15" customHeight="1" x14ac:dyDescent="0.2">
      <c r="A1385" s="2844" t="s">
        <v>327</v>
      </c>
      <c r="B1385" s="2847" t="s">
        <v>1932</v>
      </c>
      <c r="C1385" s="2848"/>
      <c r="D1385" s="2848"/>
      <c r="E1385" s="2848"/>
      <c r="F1385" s="2848"/>
      <c r="G1385" s="2848"/>
      <c r="H1385" s="2848"/>
      <c r="I1385" s="2848"/>
      <c r="J1385" s="2848"/>
      <c r="K1385" s="2848"/>
      <c r="L1385" s="2848"/>
      <c r="M1385" s="2848"/>
      <c r="N1385" s="2848"/>
      <c r="O1385" s="284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230" t="s">
        <v>333</v>
      </c>
      <c r="AD1385" s="231" t="s">
        <v>333</v>
      </c>
      <c r="AE1385" s="231" t="s">
        <v>333</v>
      </c>
      <c r="AF1385" s="231" t="s">
        <v>333</v>
      </c>
      <c r="AG1385" s="231" t="s">
        <v>333</v>
      </c>
      <c r="AH1385" s="231" t="s">
        <v>333</v>
      </c>
    </row>
    <row r="1386" spans="1:34" ht="15" customHeight="1" x14ac:dyDescent="0.2">
      <c r="A1386" s="2845"/>
      <c r="B1386" s="2850" t="s">
        <v>191</v>
      </c>
      <c r="C1386" s="2850"/>
      <c r="D1386" s="2850"/>
      <c r="E1386" s="2850"/>
      <c r="F1386" s="2850"/>
      <c r="G1386" s="2850"/>
      <c r="H1386" s="2850"/>
      <c r="I1386" s="2850"/>
      <c r="J1386" s="2119"/>
      <c r="K1386" s="2119" t="s">
        <v>904</v>
      </c>
      <c r="L1386" s="2119"/>
      <c r="M1386" s="1122" t="s">
        <v>437</v>
      </c>
      <c r="N1386" s="1122" t="s">
        <v>911</v>
      </c>
      <c r="O1386" s="1127" t="s">
        <v>911</v>
      </c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230" t="s">
        <v>913</v>
      </c>
      <c r="AD1386" s="231" t="s">
        <v>916</v>
      </c>
      <c r="AE1386" s="231" t="s">
        <v>917</v>
      </c>
      <c r="AF1386" s="231" t="s">
        <v>918</v>
      </c>
      <c r="AG1386" s="231" t="s">
        <v>192</v>
      </c>
      <c r="AH1386" s="231" t="s">
        <v>918</v>
      </c>
    </row>
    <row r="1387" spans="1:34" ht="15" customHeight="1" x14ac:dyDescent="0.2">
      <c r="A1387" s="2845"/>
      <c r="B1387" s="2119" t="s">
        <v>433</v>
      </c>
      <c r="C1387" s="2119"/>
      <c r="D1387" s="2841" t="s">
        <v>1865</v>
      </c>
      <c r="E1387" s="2119"/>
      <c r="F1387" s="2119"/>
      <c r="G1387" s="2119" t="s">
        <v>912</v>
      </c>
      <c r="H1387" s="2119"/>
      <c r="I1387" s="2119" t="s">
        <v>433</v>
      </c>
      <c r="J1387" s="2138" t="s">
        <v>913</v>
      </c>
      <c r="K1387" s="2138" t="s">
        <v>842</v>
      </c>
      <c r="L1387" s="2138" t="s">
        <v>329</v>
      </c>
      <c r="M1387" s="1123" t="s">
        <v>914</v>
      </c>
      <c r="N1387" s="1123" t="s">
        <v>915</v>
      </c>
      <c r="O1387" s="1128" t="s">
        <v>914</v>
      </c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230"/>
      <c r="AD1387" s="231" t="s">
        <v>843</v>
      </c>
      <c r="AE1387" s="231"/>
      <c r="AF1387" s="231" t="s">
        <v>929</v>
      </c>
      <c r="AG1387" s="231"/>
      <c r="AH1387" s="231" t="s">
        <v>930</v>
      </c>
    </row>
    <row r="1388" spans="1:34" ht="15" customHeight="1" x14ac:dyDescent="0.2">
      <c r="A1388" s="2845"/>
      <c r="B1388" s="2138" t="s">
        <v>920</v>
      </c>
      <c r="C1388" s="2138" t="s">
        <v>922</v>
      </c>
      <c r="D1388" s="2842"/>
      <c r="E1388" s="2138" t="s">
        <v>867</v>
      </c>
      <c r="F1388" s="2138" t="s">
        <v>921</v>
      </c>
      <c r="G1388" s="2138" t="s">
        <v>923</v>
      </c>
      <c r="H1388" s="2138" t="s">
        <v>836</v>
      </c>
      <c r="I1388" s="2138" t="s">
        <v>835</v>
      </c>
      <c r="J1388" s="2138" t="s">
        <v>924</v>
      </c>
      <c r="K1388" s="2138" t="s">
        <v>925</v>
      </c>
      <c r="L1388" s="2138" t="s">
        <v>336</v>
      </c>
      <c r="M1388" s="1123" t="s">
        <v>926</v>
      </c>
      <c r="N1388" s="1123" t="s">
        <v>927</v>
      </c>
      <c r="O1388" s="1128" t="s">
        <v>928</v>
      </c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232"/>
      <c r="AD1388" s="233" t="s">
        <v>934</v>
      </c>
      <c r="AE1388" s="233"/>
      <c r="AF1388" s="233" t="s">
        <v>935</v>
      </c>
      <c r="AG1388" s="233"/>
      <c r="AH1388" s="233" t="s">
        <v>936</v>
      </c>
    </row>
    <row r="1389" spans="1:34" ht="15" customHeight="1" thickBot="1" x14ac:dyDescent="0.25">
      <c r="A1389" s="2846"/>
      <c r="B1389" s="1881">
        <v>44926</v>
      </c>
      <c r="C1389" s="2139">
        <v>2023</v>
      </c>
      <c r="D1389" s="2139">
        <v>2023</v>
      </c>
      <c r="E1389" s="2139">
        <v>2023</v>
      </c>
      <c r="F1389" s="2139">
        <v>2023</v>
      </c>
      <c r="G1389" s="2139" t="s">
        <v>931</v>
      </c>
      <c r="H1389" s="1126">
        <v>2023</v>
      </c>
      <c r="I1389" s="1881">
        <v>45291</v>
      </c>
      <c r="J1389" s="1881" t="s">
        <v>1933</v>
      </c>
      <c r="K1389" s="1881" t="s">
        <v>1933</v>
      </c>
      <c r="L1389" s="2139" t="s">
        <v>441</v>
      </c>
      <c r="M1389" s="1125" t="s">
        <v>932</v>
      </c>
      <c r="N1389" s="1125" t="s">
        <v>933</v>
      </c>
      <c r="O1389" s="1129" t="s">
        <v>933</v>
      </c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1155"/>
      <c r="AD1389" s="1156"/>
      <c r="AE1389" s="1156"/>
      <c r="AF1389" s="1156"/>
      <c r="AG1389" s="1156"/>
      <c r="AH1389" s="1156"/>
    </row>
    <row r="1390" spans="1:34" ht="15" customHeight="1" x14ac:dyDescent="0.2">
      <c r="A1390" s="1135" t="s">
        <v>352</v>
      </c>
      <c r="B1390" s="1130">
        <v>0</v>
      </c>
      <c r="C1390" s="1130">
        <v>0</v>
      </c>
      <c r="D1390" s="1130">
        <v>0</v>
      </c>
      <c r="E1390" s="1130">
        <v>0</v>
      </c>
      <c r="F1390" s="1130">
        <v>0</v>
      </c>
      <c r="G1390" s="1130">
        <v>0</v>
      </c>
      <c r="H1390" s="1130">
        <v>0</v>
      </c>
      <c r="I1390" s="1130">
        <v>0</v>
      </c>
      <c r="J1390" s="1136">
        <v>0</v>
      </c>
      <c r="K1390" s="1137"/>
      <c r="L1390" s="380"/>
      <c r="M1390" s="1138"/>
      <c r="N1390" s="1138"/>
      <c r="O1390" s="1139"/>
      <c r="P1390" s="950"/>
      <c r="Q1390" s="950"/>
      <c r="R1390" s="950"/>
      <c r="S1390" s="950"/>
      <c r="T1390" s="950"/>
      <c r="U1390" s="950"/>
      <c r="V1390" s="950"/>
      <c r="W1390" s="950"/>
      <c r="X1390" s="950"/>
      <c r="Y1390" s="950"/>
      <c r="Z1390" s="9"/>
      <c r="AA1390" s="9"/>
      <c r="AB1390" s="9"/>
      <c r="AC1390" s="237" t="e">
        <f>MAX(J1391/J1431)</f>
        <v>#DIV/0!</v>
      </c>
      <c r="AD1390" s="235" t="e">
        <f t="shared" ref="AD1390:AD1404" si="260">MAX(M1391*AC1390)</f>
        <v>#DIV/0!</v>
      </c>
      <c r="AE1390" s="238" t="e">
        <f>MAX(I1391/I1431)</f>
        <v>#DIV/0!</v>
      </c>
      <c r="AF1390" s="235" t="e">
        <f t="shared" ref="AF1390:AF1404" si="261">MAX(N1391*AE1390)</f>
        <v>#DIV/0!</v>
      </c>
      <c r="AG1390" s="238" t="e">
        <f>MAX(H1391/H1431)</f>
        <v>#DIV/0!</v>
      </c>
      <c r="AH1390" s="235" t="e">
        <f t="shared" ref="AH1390:AH1404" si="262">MAX(O1391*AG1390)</f>
        <v>#DIV/0!</v>
      </c>
    </row>
    <row r="1391" spans="1:34" ht="15" customHeight="1" x14ac:dyDescent="0.2">
      <c r="A1391" s="962" t="s">
        <v>353</v>
      </c>
      <c r="B1391" s="956">
        <v>0</v>
      </c>
      <c r="C1391" s="1146"/>
      <c r="D1391" s="1146"/>
      <c r="E1391" s="1146"/>
      <c r="F1391" s="1146"/>
      <c r="G1391" s="1146"/>
      <c r="H1391" s="1146">
        <v>0</v>
      </c>
      <c r="I1391" s="1146">
        <v>0</v>
      </c>
      <c r="J1391" s="1147">
        <v>0</v>
      </c>
      <c r="K1391" s="1147"/>
      <c r="L1391" s="1148"/>
      <c r="M1391" s="959"/>
      <c r="N1391" s="959"/>
      <c r="O1391" s="1149"/>
      <c r="P1391" s="950"/>
      <c r="Q1391" s="950"/>
      <c r="R1391" s="950"/>
      <c r="S1391" s="950"/>
      <c r="T1391" s="950"/>
      <c r="U1391" s="950"/>
      <c r="V1391" s="950"/>
      <c r="W1391" s="950"/>
      <c r="X1391" s="950"/>
      <c r="Y1391" s="950"/>
      <c r="Z1391" s="9"/>
      <c r="AA1391" s="9"/>
      <c r="AB1391" s="9"/>
      <c r="AC1391" s="237" t="e">
        <f>MAX(J1392/J1431)</f>
        <v>#DIV/0!</v>
      </c>
      <c r="AD1391" s="235" t="e">
        <f t="shared" si="260"/>
        <v>#DIV/0!</v>
      </c>
      <c r="AE1391" s="238" t="e">
        <f>MAX(I1392/I1431)</f>
        <v>#DIV/0!</v>
      </c>
      <c r="AF1391" s="235" t="e">
        <f t="shared" si="261"/>
        <v>#DIV/0!</v>
      </c>
      <c r="AG1391" s="238" t="e">
        <f>MAX(H1392/H1431)</f>
        <v>#DIV/0!</v>
      </c>
      <c r="AH1391" s="235" t="e">
        <f t="shared" si="262"/>
        <v>#DIV/0!</v>
      </c>
    </row>
    <row r="1392" spans="1:34" ht="15" customHeight="1" x14ac:dyDescent="0.2">
      <c r="A1392" s="962" t="s">
        <v>354</v>
      </c>
      <c r="B1392" s="956">
        <v>0</v>
      </c>
      <c r="C1392" s="1146"/>
      <c r="D1392" s="1146"/>
      <c r="E1392" s="1146"/>
      <c r="F1392" s="1146"/>
      <c r="G1392" s="1146"/>
      <c r="H1392" s="1146">
        <v>0</v>
      </c>
      <c r="I1392" s="1146">
        <v>0</v>
      </c>
      <c r="J1392" s="1147">
        <v>0</v>
      </c>
      <c r="K1392" s="1147"/>
      <c r="L1392" s="1148"/>
      <c r="M1392" s="959"/>
      <c r="N1392" s="959"/>
      <c r="O1392" s="114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237" t="e">
        <f>MAX(J1393/J1431)</f>
        <v>#DIV/0!</v>
      </c>
      <c r="AD1392" s="235" t="e">
        <f t="shared" si="260"/>
        <v>#DIV/0!</v>
      </c>
      <c r="AE1392" s="238" t="e">
        <f>MAX(I1393/I1431)</f>
        <v>#DIV/0!</v>
      </c>
      <c r="AF1392" s="235" t="e">
        <f t="shared" si="261"/>
        <v>#DIV/0!</v>
      </c>
      <c r="AG1392" s="238" t="e">
        <f>MAX(H1393/H1431)</f>
        <v>#DIV/0!</v>
      </c>
      <c r="AH1392" s="235" t="e">
        <f t="shared" si="262"/>
        <v>#DIV/0!</v>
      </c>
    </row>
    <row r="1393" spans="1:34" ht="15" customHeight="1" x14ac:dyDescent="0.2">
      <c r="A1393" s="962" t="s">
        <v>355</v>
      </c>
      <c r="B1393" s="956">
        <v>0</v>
      </c>
      <c r="C1393" s="1146"/>
      <c r="D1393" s="1146"/>
      <c r="E1393" s="1146"/>
      <c r="F1393" s="1146"/>
      <c r="G1393" s="1146"/>
      <c r="H1393" s="1146">
        <v>0</v>
      </c>
      <c r="I1393" s="1146">
        <v>0</v>
      </c>
      <c r="J1393" s="1147">
        <v>0</v>
      </c>
      <c r="K1393" s="1147"/>
      <c r="L1393" s="1148"/>
      <c r="M1393" s="959"/>
      <c r="N1393" s="959"/>
      <c r="O1393" s="114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237" t="e">
        <f>MAX(J1394/J1431)</f>
        <v>#DIV/0!</v>
      </c>
      <c r="AD1393" s="235" t="e">
        <f t="shared" si="260"/>
        <v>#DIV/0!</v>
      </c>
      <c r="AE1393" s="238" t="e">
        <f>MAX(I1394/I1431)</f>
        <v>#DIV/0!</v>
      </c>
      <c r="AF1393" s="235" t="e">
        <f t="shared" si="261"/>
        <v>#DIV/0!</v>
      </c>
      <c r="AG1393" s="238" t="e">
        <f>MAX(H1394/H1431)</f>
        <v>#DIV/0!</v>
      </c>
      <c r="AH1393" s="235" t="e">
        <f t="shared" si="262"/>
        <v>#DIV/0!</v>
      </c>
    </row>
    <row r="1394" spans="1:34" ht="15" customHeight="1" x14ac:dyDescent="0.2">
      <c r="A1394" s="962" t="s">
        <v>356</v>
      </c>
      <c r="B1394" s="956">
        <v>0</v>
      </c>
      <c r="C1394" s="1146"/>
      <c r="D1394" s="1146"/>
      <c r="E1394" s="1146"/>
      <c r="F1394" s="1146"/>
      <c r="G1394" s="1146"/>
      <c r="H1394" s="1146">
        <v>0</v>
      </c>
      <c r="I1394" s="1146">
        <v>0</v>
      </c>
      <c r="J1394" s="1147">
        <v>0</v>
      </c>
      <c r="K1394" s="1147"/>
      <c r="L1394" s="1148"/>
      <c r="M1394" s="959"/>
      <c r="N1394" s="959"/>
      <c r="O1394" s="114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237" t="e">
        <f>MAX(J1395/J1431)</f>
        <v>#DIV/0!</v>
      </c>
      <c r="AD1394" s="235" t="e">
        <f t="shared" si="260"/>
        <v>#DIV/0!</v>
      </c>
      <c r="AE1394" s="238" t="e">
        <f>MAX(I1395/I1431)</f>
        <v>#DIV/0!</v>
      </c>
      <c r="AF1394" s="235" t="e">
        <f t="shared" si="261"/>
        <v>#DIV/0!</v>
      </c>
      <c r="AG1394" s="238" t="e">
        <f>MAX(H1395/H1431)</f>
        <v>#DIV/0!</v>
      </c>
      <c r="AH1394" s="235" t="e">
        <f t="shared" si="262"/>
        <v>#DIV/0!</v>
      </c>
    </row>
    <row r="1395" spans="1:34" ht="15" customHeight="1" x14ac:dyDescent="0.2">
      <c r="A1395" s="962" t="s">
        <v>357</v>
      </c>
      <c r="B1395" s="956">
        <v>0</v>
      </c>
      <c r="C1395" s="1146"/>
      <c r="D1395" s="1146"/>
      <c r="E1395" s="1146"/>
      <c r="F1395" s="1146"/>
      <c r="G1395" s="1146"/>
      <c r="H1395" s="1146">
        <v>0</v>
      </c>
      <c r="I1395" s="1146">
        <v>0</v>
      </c>
      <c r="J1395" s="1147">
        <v>0</v>
      </c>
      <c r="K1395" s="1147"/>
      <c r="L1395" s="1148"/>
      <c r="M1395" s="959"/>
      <c r="N1395" s="959"/>
      <c r="O1395" s="114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237" t="e">
        <f>MAX(J1396/J1431)</f>
        <v>#DIV/0!</v>
      </c>
      <c r="AD1395" s="235" t="e">
        <f t="shared" si="260"/>
        <v>#DIV/0!</v>
      </c>
      <c r="AE1395" s="238" t="e">
        <f>MAX(I1396/I1431)</f>
        <v>#DIV/0!</v>
      </c>
      <c r="AF1395" s="235" t="e">
        <f t="shared" si="261"/>
        <v>#DIV/0!</v>
      </c>
      <c r="AG1395" s="238" t="e">
        <f>MAX(H1396/H1431)</f>
        <v>#DIV/0!</v>
      </c>
      <c r="AH1395" s="235" t="e">
        <f t="shared" si="262"/>
        <v>#DIV/0!</v>
      </c>
    </row>
    <row r="1396" spans="1:34" ht="15" customHeight="1" x14ac:dyDescent="0.2">
      <c r="A1396" s="962" t="s">
        <v>358</v>
      </c>
      <c r="B1396" s="956">
        <v>0</v>
      </c>
      <c r="C1396" s="1146"/>
      <c r="D1396" s="1146"/>
      <c r="E1396" s="1146"/>
      <c r="F1396" s="1146"/>
      <c r="G1396" s="1146"/>
      <c r="H1396" s="1146">
        <v>0</v>
      </c>
      <c r="I1396" s="1146">
        <v>0</v>
      </c>
      <c r="J1396" s="1147">
        <v>0</v>
      </c>
      <c r="K1396" s="1147"/>
      <c r="L1396" s="1148"/>
      <c r="M1396" s="959"/>
      <c r="N1396" s="959"/>
      <c r="O1396" s="114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237" t="e">
        <f>MAX(J1397/J1431)</f>
        <v>#DIV/0!</v>
      </c>
      <c r="AD1396" s="235" t="e">
        <f t="shared" si="260"/>
        <v>#DIV/0!</v>
      </c>
      <c r="AE1396" s="238" t="e">
        <f>MAX(I1397/I1431)</f>
        <v>#DIV/0!</v>
      </c>
      <c r="AF1396" s="235" t="e">
        <f t="shared" si="261"/>
        <v>#DIV/0!</v>
      </c>
      <c r="AG1396" s="238" t="e">
        <f>MAX(H1397/H1431)</f>
        <v>#DIV/0!</v>
      </c>
      <c r="AH1396" s="235" t="e">
        <f t="shared" si="262"/>
        <v>#DIV/0!</v>
      </c>
    </row>
    <row r="1397" spans="1:34" ht="15" customHeight="1" x14ac:dyDescent="0.2">
      <c r="A1397" s="962" t="s">
        <v>937</v>
      </c>
      <c r="B1397" s="956">
        <v>0</v>
      </c>
      <c r="C1397" s="1146"/>
      <c r="D1397" s="1146"/>
      <c r="E1397" s="1146"/>
      <c r="F1397" s="1146"/>
      <c r="G1397" s="1146"/>
      <c r="H1397" s="1146">
        <v>0</v>
      </c>
      <c r="I1397" s="1146">
        <v>0</v>
      </c>
      <c r="J1397" s="1147">
        <v>0</v>
      </c>
      <c r="K1397" s="1147"/>
      <c r="L1397" s="1148"/>
      <c r="M1397" s="959"/>
      <c r="N1397" s="959"/>
      <c r="O1397" s="114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237" t="e">
        <f>MAX(J1398/J1431)</f>
        <v>#DIV/0!</v>
      </c>
      <c r="AD1397" s="235" t="e">
        <f t="shared" si="260"/>
        <v>#DIV/0!</v>
      </c>
      <c r="AE1397" s="238" t="e">
        <f>MAX(I1398/I1431)</f>
        <v>#DIV/0!</v>
      </c>
      <c r="AF1397" s="235" t="e">
        <f t="shared" si="261"/>
        <v>#DIV/0!</v>
      </c>
      <c r="AG1397" s="238" t="e">
        <f>MAX(H1398/H1431)</f>
        <v>#DIV/0!</v>
      </c>
      <c r="AH1397" s="235" t="e">
        <f t="shared" si="262"/>
        <v>#DIV/0!</v>
      </c>
    </row>
    <row r="1398" spans="1:34" ht="15" customHeight="1" x14ac:dyDescent="0.2">
      <c r="A1398" s="962" t="s">
        <v>360</v>
      </c>
      <c r="B1398" s="956">
        <v>0</v>
      </c>
      <c r="C1398" s="1146"/>
      <c r="D1398" s="1146"/>
      <c r="E1398" s="1146"/>
      <c r="F1398" s="1146"/>
      <c r="G1398" s="1146"/>
      <c r="H1398" s="1146">
        <v>0</v>
      </c>
      <c r="I1398" s="1146">
        <v>0</v>
      </c>
      <c r="J1398" s="1147">
        <v>0</v>
      </c>
      <c r="K1398" s="1147"/>
      <c r="L1398" s="1148"/>
      <c r="M1398" s="959"/>
      <c r="N1398" s="959"/>
      <c r="O1398" s="114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237" t="e">
        <f>MAX(J1399/J1431)</f>
        <v>#DIV/0!</v>
      </c>
      <c r="AD1398" s="235" t="e">
        <f t="shared" si="260"/>
        <v>#DIV/0!</v>
      </c>
      <c r="AE1398" s="238" t="e">
        <f>MAX(I1399/I1431)</f>
        <v>#DIV/0!</v>
      </c>
      <c r="AF1398" s="235" t="e">
        <f t="shared" si="261"/>
        <v>#DIV/0!</v>
      </c>
      <c r="AG1398" s="238" t="e">
        <f>MAX(H1399/H1431)</f>
        <v>#DIV/0!</v>
      </c>
      <c r="AH1398" s="235" t="e">
        <f t="shared" si="262"/>
        <v>#DIV/0!</v>
      </c>
    </row>
    <row r="1399" spans="1:34" ht="15" customHeight="1" x14ac:dyDescent="0.2">
      <c r="A1399" s="962" t="s">
        <v>938</v>
      </c>
      <c r="B1399" s="956">
        <v>0</v>
      </c>
      <c r="C1399" s="1146"/>
      <c r="D1399" s="1146"/>
      <c r="E1399" s="1146"/>
      <c r="F1399" s="1146"/>
      <c r="G1399" s="1146"/>
      <c r="H1399" s="1146">
        <v>0</v>
      </c>
      <c r="I1399" s="1146">
        <v>0</v>
      </c>
      <c r="J1399" s="1147">
        <v>0</v>
      </c>
      <c r="K1399" s="1147"/>
      <c r="L1399" s="1148"/>
      <c r="M1399" s="959"/>
      <c r="N1399" s="1066"/>
      <c r="O1399" s="1067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237" t="e">
        <f>MAX(J1400/J1431)</f>
        <v>#DIV/0!</v>
      </c>
      <c r="AD1399" s="235" t="e">
        <f t="shared" si="260"/>
        <v>#DIV/0!</v>
      </c>
      <c r="AE1399" s="238" t="e">
        <f>MAX(I1400/I1431)</f>
        <v>#DIV/0!</v>
      </c>
      <c r="AF1399" s="235" t="e">
        <f t="shared" si="261"/>
        <v>#DIV/0!</v>
      </c>
      <c r="AG1399" s="238" t="e">
        <f>MAX(H1400/H1431)</f>
        <v>#DIV/0!</v>
      </c>
      <c r="AH1399" s="235" t="e">
        <f t="shared" si="262"/>
        <v>#DIV/0!</v>
      </c>
    </row>
    <row r="1400" spans="1:34" ht="15" customHeight="1" x14ac:dyDescent="0.2">
      <c r="A1400" s="962" t="s">
        <v>362</v>
      </c>
      <c r="B1400" s="956">
        <v>0</v>
      </c>
      <c r="C1400" s="1146"/>
      <c r="D1400" s="1146"/>
      <c r="E1400" s="1146"/>
      <c r="F1400" s="1146"/>
      <c r="G1400" s="1146"/>
      <c r="H1400" s="1146">
        <v>0</v>
      </c>
      <c r="I1400" s="1146">
        <v>0</v>
      </c>
      <c r="J1400" s="1147">
        <v>0</v>
      </c>
      <c r="K1400" s="1147"/>
      <c r="L1400" s="1066"/>
      <c r="M1400" s="959"/>
      <c r="N1400" s="1066"/>
      <c r="O1400" s="1067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237" t="e">
        <f>MAX(J1401/J1431)</f>
        <v>#DIV/0!</v>
      </c>
      <c r="AD1400" s="235" t="e">
        <f t="shared" si="260"/>
        <v>#DIV/0!</v>
      </c>
      <c r="AE1400" s="238" t="e">
        <f>MAX(I1401/I1431)</f>
        <v>#DIV/0!</v>
      </c>
      <c r="AF1400" s="235" t="e">
        <f t="shared" si="261"/>
        <v>#DIV/0!</v>
      </c>
      <c r="AG1400" s="238" t="e">
        <f>MAX(H1401/H1431)</f>
        <v>#DIV/0!</v>
      </c>
      <c r="AH1400" s="235" t="e">
        <f t="shared" si="262"/>
        <v>#DIV/0!</v>
      </c>
    </row>
    <row r="1401" spans="1:34" ht="15" customHeight="1" x14ac:dyDescent="0.2">
      <c r="A1401" s="962" t="s">
        <v>363</v>
      </c>
      <c r="B1401" s="956">
        <v>0</v>
      </c>
      <c r="C1401" s="1146"/>
      <c r="D1401" s="1146"/>
      <c r="E1401" s="1146"/>
      <c r="F1401" s="1146"/>
      <c r="G1401" s="1146"/>
      <c r="H1401" s="1146">
        <v>0</v>
      </c>
      <c r="I1401" s="1146">
        <v>0</v>
      </c>
      <c r="J1401" s="1147">
        <v>0</v>
      </c>
      <c r="K1401" s="1147"/>
      <c r="L1401" s="1148"/>
      <c r="M1401" s="959"/>
      <c r="N1401" s="959"/>
      <c r="O1401" s="114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237" t="e">
        <f>MAX(J1402/J1431)</f>
        <v>#DIV/0!</v>
      </c>
      <c r="AD1401" s="235" t="e">
        <f t="shared" si="260"/>
        <v>#DIV/0!</v>
      </c>
      <c r="AE1401" s="238" t="e">
        <f>MAX(I1402/I1431)</f>
        <v>#DIV/0!</v>
      </c>
      <c r="AF1401" s="235" t="e">
        <f t="shared" si="261"/>
        <v>#DIV/0!</v>
      </c>
      <c r="AG1401" s="238" t="e">
        <f>MAX(H1402/H1431)</f>
        <v>#DIV/0!</v>
      </c>
      <c r="AH1401" s="235" t="e">
        <f t="shared" si="262"/>
        <v>#DIV/0!</v>
      </c>
    </row>
    <row r="1402" spans="1:34" ht="15" customHeight="1" x14ac:dyDescent="0.2">
      <c r="A1402" s="962" t="s">
        <v>939</v>
      </c>
      <c r="B1402" s="956">
        <v>0</v>
      </c>
      <c r="C1402" s="1146"/>
      <c r="D1402" s="1146"/>
      <c r="E1402" s="1146"/>
      <c r="F1402" s="1146"/>
      <c r="G1402" s="1146"/>
      <c r="H1402" s="1146">
        <v>0</v>
      </c>
      <c r="I1402" s="1146">
        <v>0</v>
      </c>
      <c r="J1402" s="1147">
        <v>0</v>
      </c>
      <c r="K1402" s="1147"/>
      <c r="L1402" s="1148"/>
      <c r="M1402" s="959"/>
      <c r="N1402" s="959"/>
      <c r="O1402" s="114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237" t="e">
        <f>MAX(J1403/J1431)</f>
        <v>#DIV/0!</v>
      </c>
      <c r="AD1402" s="235" t="e">
        <f t="shared" si="260"/>
        <v>#DIV/0!</v>
      </c>
      <c r="AE1402" s="238" t="e">
        <f>MAX(I1403/I1431)</f>
        <v>#DIV/0!</v>
      </c>
      <c r="AF1402" s="235" t="e">
        <f t="shared" si="261"/>
        <v>#DIV/0!</v>
      </c>
      <c r="AG1402" s="238" t="e">
        <f>MAX(H1403/H1431)</f>
        <v>#DIV/0!</v>
      </c>
      <c r="AH1402" s="235" t="e">
        <f t="shared" si="262"/>
        <v>#DIV/0!</v>
      </c>
    </row>
    <row r="1403" spans="1:34" ht="15" customHeight="1" x14ac:dyDescent="0.2">
      <c r="A1403" s="962" t="s">
        <v>365</v>
      </c>
      <c r="B1403" s="956">
        <v>0</v>
      </c>
      <c r="C1403" s="1146"/>
      <c r="D1403" s="1146"/>
      <c r="E1403" s="1146"/>
      <c r="F1403" s="1146"/>
      <c r="G1403" s="1146"/>
      <c r="H1403" s="1146">
        <v>0</v>
      </c>
      <c r="I1403" s="1146">
        <v>0</v>
      </c>
      <c r="J1403" s="1147">
        <v>0</v>
      </c>
      <c r="K1403" s="1147"/>
      <c r="L1403" s="1148"/>
      <c r="M1403" s="959"/>
      <c r="N1403" s="959"/>
      <c r="O1403" s="114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237" t="e">
        <f>MAX(J1404/J1431)</f>
        <v>#DIV/0!</v>
      </c>
      <c r="AD1403" s="235" t="e">
        <f t="shared" si="260"/>
        <v>#DIV/0!</v>
      </c>
      <c r="AE1403" s="238" t="e">
        <f>MAX(I1404/I1431)</f>
        <v>#DIV/0!</v>
      </c>
      <c r="AF1403" s="235" t="e">
        <f t="shared" si="261"/>
        <v>#VALUE!</v>
      </c>
      <c r="AG1403" s="238" t="e">
        <f>MAX(H1404/H1431)</f>
        <v>#DIV/0!</v>
      </c>
      <c r="AH1403" s="235" t="e">
        <f t="shared" si="262"/>
        <v>#VALUE!</v>
      </c>
    </row>
    <row r="1404" spans="1:34" ht="15" customHeight="1" x14ac:dyDescent="0.2">
      <c r="A1404" s="962" t="s">
        <v>366</v>
      </c>
      <c r="B1404" s="956">
        <v>0</v>
      </c>
      <c r="C1404" s="1146"/>
      <c r="D1404" s="1146"/>
      <c r="E1404" s="1146"/>
      <c r="F1404" s="1146"/>
      <c r="G1404" s="1146"/>
      <c r="H1404" s="1146">
        <v>0</v>
      </c>
      <c r="I1404" s="1146">
        <v>0</v>
      </c>
      <c r="J1404" s="1147">
        <v>0</v>
      </c>
      <c r="K1404" s="1147"/>
      <c r="L1404" s="1066"/>
      <c r="M1404" s="959"/>
      <c r="N1404" s="1066" t="s">
        <v>616</v>
      </c>
      <c r="O1404" s="1067" t="s">
        <v>616</v>
      </c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237" t="e">
        <f>MAX(J1405/J1431)</f>
        <v>#DIV/0!</v>
      </c>
      <c r="AD1404" s="235" t="e">
        <f t="shared" si="260"/>
        <v>#DIV/0!</v>
      </c>
      <c r="AE1404" s="238" t="e">
        <f>MAX(I1405/I1431)</f>
        <v>#DIV/0!</v>
      </c>
      <c r="AF1404" s="235" t="e">
        <f t="shared" si="261"/>
        <v>#DIV/0!</v>
      </c>
      <c r="AG1404" s="238" t="e">
        <f>MAX(H1405/H1431)</f>
        <v>#DIV/0!</v>
      </c>
      <c r="AH1404" s="235" t="e">
        <f t="shared" si="262"/>
        <v>#DIV/0!</v>
      </c>
    </row>
    <row r="1405" spans="1:34" ht="15" customHeight="1" x14ac:dyDescent="0.2">
      <c r="A1405" s="962" t="s">
        <v>367</v>
      </c>
      <c r="B1405" s="956">
        <v>0</v>
      </c>
      <c r="C1405" s="1146"/>
      <c r="D1405" s="1146"/>
      <c r="E1405" s="1146"/>
      <c r="F1405" s="1146"/>
      <c r="G1405" s="1146"/>
      <c r="H1405" s="1146">
        <v>0</v>
      </c>
      <c r="I1405" s="1146">
        <v>0</v>
      </c>
      <c r="J1405" s="1147">
        <v>0</v>
      </c>
      <c r="K1405" s="1147"/>
      <c r="L1405" s="1148"/>
      <c r="M1405" s="959"/>
      <c r="N1405" s="959"/>
      <c r="O1405" s="1149"/>
      <c r="P1405" s="9"/>
      <c r="Q1405" s="2005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1157"/>
      <c r="AD1405" s="1156"/>
      <c r="AE1405" s="1158"/>
      <c r="AF1405" s="1156"/>
      <c r="AG1405" s="1158"/>
      <c r="AH1405" s="1156"/>
    </row>
    <row r="1406" spans="1:34" ht="15" customHeight="1" x14ac:dyDescent="0.2">
      <c r="A1406" s="434" t="s">
        <v>940</v>
      </c>
      <c r="B1406" s="1002">
        <v>0</v>
      </c>
      <c r="C1406" s="1002">
        <v>0</v>
      </c>
      <c r="D1406" s="1002">
        <v>0</v>
      </c>
      <c r="E1406" s="1002">
        <v>0</v>
      </c>
      <c r="F1406" s="1002">
        <v>0</v>
      </c>
      <c r="G1406" s="1002">
        <v>0</v>
      </c>
      <c r="H1406" s="1002">
        <v>0</v>
      </c>
      <c r="I1406" s="1002">
        <v>0</v>
      </c>
      <c r="J1406" s="1150">
        <v>0</v>
      </c>
      <c r="K1406" s="1150" t="e">
        <v>#DIV/0!</v>
      </c>
      <c r="L1406" s="1152"/>
      <c r="M1406" s="996"/>
      <c r="N1406" s="996"/>
      <c r="O1406" s="1153"/>
      <c r="P1406" s="9"/>
      <c r="Q1406" s="2005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237" t="e">
        <f>MAX(J1407/J1431)</f>
        <v>#DIV/0!</v>
      </c>
      <c r="AD1406" s="235" t="e">
        <f>MAX(M1407*AC1406)</f>
        <v>#DIV/0!</v>
      </c>
      <c r="AE1406" s="238" t="e">
        <f>MAX(I1407/I1431)</f>
        <v>#DIV/0!</v>
      </c>
      <c r="AF1406" s="235" t="e">
        <f>MAX(N1407*AE1406)</f>
        <v>#VALUE!</v>
      </c>
      <c r="AG1406" s="238" t="e">
        <f>MAX(H1407/H1431)</f>
        <v>#DIV/0!</v>
      </c>
      <c r="AH1406" s="235" t="e">
        <f>MAX(O1407*AG1406)</f>
        <v>#VALUE!</v>
      </c>
    </row>
    <row r="1407" spans="1:34" ht="15" customHeight="1" x14ac:dyDescent="0.2">
      <c r="A1407" s="962" t="s">
        <v>369</v>
      </c>
      <c r="B1407" s="956">
        <v>0</v>
      </c>
      <c r="C1407" s="1146"/>
      <c r="D1407" s="1146"/>
      <c r="E1407" s="1146"/>
      <c r="F1407" s="1146"/>
      <c r="G1407" s="1146"/>
      <c r="H1407" s="1146">
        <v>0</v>
      </c>
      <c r="I1407" s="1146">
        <v>0</v>
      </c>
      <c r="J1407" s="1147">
        <v>0</v>
      </c>
      <c r="K1407" s="1146"/>
      <c r="L1407" s="1066"/>
      <c r="M1407" s="959"/>
      <c r="N1407" s="1066" t="s">
        <v>616</v>
      </c>
      <c r="O1407" s="1067" t="s">
        <v>616</v>
      </c>
      <c r="P1407" s="9"/>
      <c r="Q1407" s="2005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237" t="e">
        <f>MAX(J1408/J1431)</f>
        <v>#DIV/0!</v>
      </c>
      <c r="AD1407" s="235" t="e">
        <f>MAX(M1408*AC1407)</f>
        <v>#DIV/0!</v>
      </c>
      <c r="AE1407" s="238" t="e">
        <f>MAX(I1408/I1431)</f>
        <v>#DIV/0!</v>
      </c>
      <c r="AF1407" s="235" t="e">
        <f>MAX(N1408*AE1407)</f>
        <v>#DIV/0!</v>
      </c>
      <c r="AG1407" s="238" t="e">
        <f>MAX(H1408/H1431)</f>
        <v>#DIV/0!</v>
      </c>
      <c r="AH1407" s="235" t="e">
        <f>MAX(O1408*AG1407)</f>
        <v>#DIV/0!</v>
      </c>
    </row>
    <row r="1408" spans="1:34" ht="15" customHeight="1" x14ac:dyDescent="0.2">
      <c r="A1408" s="962" t="s">
        <v>370</v>
      </c>
      <c r="B1408" s="956">
        <v>0</v>
      </c>
      <c r="C1408" s="1146"/>
      <c r="D1408" s="1146"/>
      <c r="E1408" s="1146"/>
      <c r="F1408" s="1146"/>
      <c r="G1408" s="1146"/>
      <c r="H1408" s="1146">
        <v>0</v>
      </c>
      <c r="I1408" s="1146">
        <v>0</v>
      </c>
      <c r="J1408" s="1147">
        <v>0</v>
      </c>
      <c r="K1408" s="1147"/>
      <c r="L1408" s="1148"/>
      <c r="M1408" s="959"/>
      <c r="N1408" s="959"/>
      <c r="O1408" s="1149"/>
      <c r="P1408" s="9"/>
      <c r="Q1408" s="2005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237" t="e">
        <f>MAX(J1409/J1431)</f>
        <v>#DIV/0!</v>
      </c>
      <c r="AD1408" s="235" t="e">
        <f>MAX(M1409*AC1408)</f>
        <v>#DIV/0!</v>
      </c>
      <c r="AE1408" s="238" t="e">
        <f>MAX(I1409/I1431)</f>
        <v>#DIV/0!</v>
      </c>
      <c r="AF1408" s="235" t="e">
        <f>MAX(N1409*AE1408)</f>
        <v>#DIV/0!</v>
      </c>
      <c r="AG1408" s="238" t="e">
        <f>MAX(H1409/H1431)</f>
        <v>#DIV/0!</v>
      </c>
      <c r="AH1408" s="235" t="e">
        <f>MAX(O1409*AG1408)</f>
        <v>#DIV/0!</v>
      </c>
    </row>
    <row r="1409" spans="1:34" ht="15" customHeight="1" x14ac:dyDescent="0.2">
      <c r="A1409" s="962" t="s">
        <v>371</v>
      </c>
      <c r="B1409" s="956">
        <v>0</v>
      </c>
      <c r="C1409" s="1146"/>
      <c r="D1409" s="1146"/>
      <c r="E1409" s="1146"/>
      <c r="F1409" s="1146"/>
      <c r="G1409" s="1146"/>
      <c r="H1409" s="1146">
        <v>0</v>
      </c>
      <c r="I1409" s="1146">
        <v>0</v>
      </c>
      <c r="J1409" s="1147">
        <v>0</v>
      </c>
      <c r="K1409" s="1147"/>
      <c r="L1409" s="1148"/>
      <c r="M1409" s="959"/>
      <c r="N1409" s="959"/>
      <c r="O1409" s="114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237" t="e">
        <f>MAX(J1410/J1431)</f>
        <v>#DIV/0!</v>
      </c>
      <c r="AD1409" s="235" t="e">
        <f>MAX(M1410*AC1409)</f>
        <v>#DIV/0!</v>
      </c>
      <c r="AE1409" s="238" t="e">
        <f>MAX(I1410/I1431)</f>
        <v>#DIV/0!</v>
      </c>
      <c r="AF1409" s="235" t="e">
        <f>MAX(N1410*AE1409)</f>
        <v>#DIV/0!</v>
      </c>
      <c r="AG1409" s="238" t="e">
        <f>MAX(H1410/H1431)</f>
        <v>#DIV/0!</v>
      </c>
      <c r="AH1409" s="235" t="e">
        <f>MAX(O1410*AG1409)</f>
        <v>#DIV/0!</v>
      </c>
    </row>
    <row r="1410" spans="1:34" ht="15" customHeight="1" x14ac:dyDescent="0.2">
      <c r="A1410" s="962" t="s">
        <v>372</v>
      </c>
      <c r="B1410" s="956">
        <v>0</v>
      </c>
      <c r="C1410" s="1146"/>
      <c r="D1410" s="1146"/>
      <c r="E1410" s="1146"/>
      <c r="F1410" s="1146"/>
      <c r="G1410" s="1146"/>
      <c r="H1410" s="1146">
        <v>0</v>
      </c>
      <c r="I1410" s="1146">
        <v>0</v>
      </c>
      <c r="J1410" s="1147">
        <v>0</v>
      </c>
      <c r="K1410" s="1147"/>
      <c r="L1410" s="1148"/>
      <c r="M1410" s="959"/>
      <c r="N1410" s="959"/>
      <c r="O1410" s="114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237" t="e">
        <f>MAX(J1411/J1431)</f>
        <v>#DIV/0!</v>
      </c>
      <c r="AD1410" s="235" t="e">
        <f>MAX(M1411*AC1410)</f>
        <v>#DIV/0!</v>
      </c>
      <c r="AE1410" s="238" t="e">
        <f>MAX(I1411/I1431)</f>
        <v>#DIV/0!</v>
      </c>
      <c r="AF1410" s="235" t="e">
        <f>MAX(N1411*AE1410)</f>
        <v>#DIV/0!</v>
      </c>
      <c r="AG1410" s="238" t="e">
        <f>MAX(H1411/H1431)</f>
        <v>#DIV/0!</v>
      </c>
      <c r="AH1410" s="235" t="e">
        <f>MAX(O1411*AG1410)</f>
        <v>#DIV/0!</v>
      </c>
    </row>
    <row r="1411" spans="1:34" ht="15" customHeight="1" x14ac:dyDescent="0.2">
      <c r="A1411" s="962" t="s">
        <v>373</v>
      </c>
      <c r="B1411" s="956">
        <v>0</v>
      </c>
      <c r="C1411" s="1146"/>
      <c r="D1411" s="1146"/>
      <c r="E1411" s="1146"/>
      <c r="F1411" s="1146"/>
      <c r="G1411" s="1146"/>
      <c r="H1411" s="1146">
        <v>0</v>
      </c>
      <c r="I1411" s="1146">
        <v>0</v>
      </c>
      <c r="J1411" s="1147">
        <v>0</v>
      </c>
      <c r="K1411" s="1147"/>
      <c r="L1411" s="1148"/>
      <c r="M1411" s="959"/>
      <c r="N1411" s="959"/>
      <c r="O1411" s="114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1157"/>
      <c r="AD1411" s="1156"/>
      <c r="AE1411" s="1158"/>
      <c r="AF1411" s="1156"/>
      <c r="AG1411" s="1158"/>
      <c r="AH1411" s="1156"/>
    </row>
    <row r="1412" spans="1:34" ht="15" customHeight="1" x14ac:dyDescent="0.2">
      <c r="A1412" s="1154" t="s">
        <v>374</v>
      </c>
      <c r="B1412" s="1002">
        <v>0</v>
      </c>
      <c r="C1412" s="1002">
        <v>0</v>
      </c>
      <c r="D1412" s="1002">
        <v>0</v>
      </c>
      <c r="E1412" s="1002">
        <v>0</v>
      </c>
      <c r="F1412" s="1002">
        <v>0</v>
      </c>
      <c r="G1412" s="1002">
        <v>0</v>
      </c>
      <c r="H1412" s="1002">
        <v>0</v>
      </c>
      <c r="I1412" s="1002">
        <v>0</v>
      </c>
      <c r="J1412" s="1150">
        <v>0</v>
      </c>
      <c r="K1412" s="1150" t="e">
        <v>#DIV/0!</v>
      </c>
      <c r="L1412" s="1152"/>
      <c r="M1412" s="996"/>
      <c r="N1412" s="996"/>
      <c r="O1412" s="1153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237" t="e">
        <f>MAX(J1413/J1431)</f>
        <v>#DIV/0!</v>
      </c>
      <c r="AD1412" s="235" t="e">
        <f t="shared" ref="AD1412:AD1419" si="263">MAX(M1413*AC1412)</f>
        <v>#DIV/0!</v>
      </c>
      <c r="AE1412" s="238" t="e">
        <f>MAX(I1413/I1431)</f>
        <v>#DIV/0!</v>
      </c>
      <c r="AF1412" s="235" t="e">
        <f t="shared" ref="AF1412:AF1419" si="264">MAX(N1413*AE1412)</f>
        <v>#DIV/0!</v>
      </c>
      <c r="AG1412" s="238" t="e">
        <f>MAX(H1413/H1431)</f>
        <v>#DIV/0!</v>
      </c>
      <c r="AH1412" s="235" t="e">
        <f t="shared" ref="AH1412:AH1419" si="265">MAX(O1413*AG1412)</f>
        <v>#DIV/0!</v>
      </c>
    </row>
    <row r="1413" spans="1:34" ht="15" customHeight="1" x14ac:dyDescent="0.2">
      <c r="A1413" s="962" t="s">
        <v>375</v>
      </c>
      <c r="B1413" s="956">
        <v>0</v>
      </c>
      <c r="C1413" s="1146"/>
      <c r="D1413" s="1146"/>
      <c r="E1413" s="1146"/>
      <c r="F1413" s="1146"/>
      <c r="G1413" s="1146"/>
      <c r="H1413" s="1146">
        <v>0</v>
      </c>
      <c r="I1413" s="1146">
        <v>0</v>
      </c>
      <c r="J1413" s="1147">
        <v>0</v>
      </c>
      <c r="K1413" s="1147"/>
      <c r="L1413" s="1148"/>
      <c r="M1413" s="959"/>
      <c r="N1413" s="959"/>
      <c r="O1413" s="114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237" t="e">
        <f>MAX(J1414/J1431)</f>
        <v>#DIV/0!</v>
      </c>
      <c r="AD1413" s="235" t="e">
        <f t="shared" si="263"/>
        <v>#DIV/0!</v>
      </c>
      <c r="AE1413" s="238" t="e">
        <f>MAX(I1414/I1431)</f>
        <v>#DIV/0!</v>
      </c>
      <c r="AF1413" s="235" t="e">
        <f t="shared" si="264"/>
        <v>#DIV/0!</v>
      </c>
      <c r="AG1413" s="238" t="e">
        <f>MAX(H1414/H1431)</f>
        <v>#DIV/0!</v>
      </c>
      <c r="AH1413" s="235" t="e">
        <f t="shared" si="265"/>
        <v>#DIV/0!</v>
      </c>
    </row>
    <row r="1414" spans="1:34" ht="15" customHeight="1" x14ac:dyDescent="0.2">
      <c r="A1414" s="962" t="s">
        <v>376</v>
      </c>
      <c r="B1414" s="956">
        <v>0</v>
      </c>
      <c r="C1414" s="1146"/>
      <c r="D1414" s="1146"/>
      <c r="E1414" s="1146"/>
      <c r="F1414" s="1146"/>
      <c r="G1414" s="1146"/>
      <c r="H1414" s="1146">
        <v>0</v>
      </c>
      <c r="I1414" s="1146">
        <v>0</v>
      </c>
      <c r="J1414" s="1147">
        <v>0</v>
      </c>
      <c r="K1414" s="1147"/>
      <c r="L1414" s="1148"/>
      <c r="M1414" s="959"/>
      <c r="N1414" s="959"/>
      <c r="O1414" s="114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237" t="e">
        <f>MAX(J1415/J1431)</f>
        <v>#DIV/0!</v>
      </c>
      <c r="AD1414" s="235" t="e">
        <f t="shared" si="263"/>
        <v>#DIV/0!</v>
      </c>
      <c r="AE1414" s="238" t="e">
        <f>MAX(I1415/I1431)</f>
        <v>#DIV/0!</v>
      </c>
      <c r="AF1414" s="235" t="e">
        <f t="shared" si="264"/>
        <v>#DIV/0!</v>
      </c>
      <c r="AG1414" s="238" t="e">
        <f>MAX(H1415/H1431)</f>
        <v>#DIV/0!</v>
      </c>
      <c r="AH1414" s="235" t="e">
        <f t="shared" si="265"/>
        <v>#DIV/0!</v>
      </c>
    </row>
    <row r="1415" spans="1:34" ht="15" customHeight="1" x14ac:dyDescent="0.2">
      <c r="A1415" s="962" t="s">
        <v>377</v>
      </c>
      <c r="B1415" s="956">
        <v>0</v>
      </c>
      <c r="C1415" s="1146"/>
      <c r="D1415" s="1146"/>
      <c r="E1415" s="1146"/>
      <c r="F1415" s="1146"/>
      <c r="G1415" s="1146"/>
      <c r="H1415" s="1146">
        <v>0</v>
      </c>
      <c r="I1415" s="1146">
        <v>0</v>
      </c>
      <c r="J1415" s="1147">
        <v>0</v>
      </c>
      <c r="K1415" s="1147"/>
      <c r="L1415" s="1148"/>
      <c r="M1415" s="959"/>
      <c r="N1415" s="1066"/>
      <c r="O1415" s="1067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237" t="e">
        <f>MAX(J1416/J1431)</f>
        <v>#DIV/0!</v>
      </c>
      <c r="AD1415" s="235" t="e">
        <f t="shared" si="263"/>
        <v>#DIV/0!</v>
      </c>
      <c r="AE1415" s="238" t="e">
        <f>MAX(I1416/I1431)</f>
        <v>#DIV/0!</v>
      </c>
      <c r="AF1415" s="235" t="e">
        <f t="shared" si="264"/>
        <v>#DIV/0!</v>
      </c>
      <c r="AG1415" s="238" t="e">
        <f>MAX(H1416/H1431)</f>
        <v>#DIV/0!</v>
      </c>
      <c r="AH1415" s="235" t="e">
        <f t="shared" si="265"/>
        <v>#DIV/0!</v>
      </c>
    </row>
    <row r="1416" spans="1:34" ht="15" customHeight="1" x14ac:dyDescent="0.2">
      <c r="A1416" s="962" t="s">
        <v>378</v>
      </c>
      <c r="B1416" s="956">
        <v>0</v>
      </c>
      <c r="C1416" s="1146"/>
      <c r="D1416" s="1146"/>
      <c r="E1416" s="1146"/>
      <c r="F1416" s="1146"/>
      <c r="G1416" s="1146"/>
      <c r="H1416" s="1146">
        <v>0</v>
      </c>
      <c r="I1416" s="1146">
        <v>0</v>
      </c>
      <c r="J1416" s="1147">
        <v>0</v>
      </c>
      <c r="K1416" s="1147"/>
      <c r="L1416" s="1148"/>
      <c r="M1416" s="959"/>
      <c r="N1416" s="959"/>
      <c r="O1416" s="114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237" t="e">
        <f>MAX(J1417/J1431)</f>
        <v>#DIV/0!</v>
      </c>
      <c r="AD1416" s="235" t="e">
        <f t="shared" si="263"/>
        <v>#DIV/0!</v>
      </c>
      <c r="AE1416" s="238" t="e">
        <f>MAX(I1417/I1431)</f>
        <v>#DIV/0!</v>
      </c>
      <c r="AF1416" s="235" t="e">
        <f t="shared" si="264"/>
        <v>#DIV/0!</v>
      </c>
      <c r="AG1416" s="238" t="e">
        <f>MAX(H1417/H1431)</f>
        <v>#DIV/0!</v>
      </c>
      <c r="AH1416" s="235" t="e">
        <f t="shared" si="265"/>
        <v>#DIV/0!</v>
      </c>
    </row>
    <row r="1417" spans="1:34" ht="15" customHeight="1" x14ac:dyDescent="0.2">
      <c r="A1417" s="962" t="s">
        <v>379</v>
      </c>
      <c r="B1417" s="956">
        <v>0</v>
      </c>
      <c r="C1417" s="1146"/>
      <c r="D1417" s="1146"/>
      <c r="E1417" s="1146"/>
      <c r="F1417" s="1146"/>
      <c r="G1417" s="1146"/>
      <c r="H1417" s="1146">
        <v>0</v>
      </c>
      <c r="I1417" s="1146">
        <v>0</v>
      </c>
      <c r="J1417" s="1147">
        <v>0</v>
      </c>
      <c r="K1417" s="1147"/>
      <c r="L1417" s="1148"/>
      <c r="M1417" s="959"/>
      <c r="N1417" s="959"/>
      <c r="O1417" s="114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237" t="e">
        <f>MAX(J1418/J1431)</f>
        <v>#DIV/0!</v>
      </c>
      <c r="AD1417" s="235" t="e">
        <f t="shared" si="263"/>
        <v>#DIV/0!</v>
      </c>
      <c r="AE1417" s="238" t="e">
        <f>MAX(I1418/I1431)</f>
        <v>#DIV/0!</v>
      </c>
      <c r="AF1417" s="235" t="e">
        <f t="shared" si="264"/>
        <v>#DIV/0!</v>
      </c>
      <c r="AG1417" s="238" t="e">
        <f>MAX(H1418/H1431)</f>
        <v>#DIV/0!</v>
      </c>
      <c r="AH1417" s="235" t="e">
        <f t="shared" si="265"/>
        <v>#DIV/0!</v>
      </c>
    </row>
    <row r="1418" spans="1:34" ht="15" customHeight="1" x14ac:dyDescent="0.2">
      <c r="A1418" s="962" t="s">
        <v>380</v>
      </c>
      <c r="B1418" s="956">
        <v>0</v>
      </c>
      <c r="C1418" s="1146"/>
      <c r="D1418" s="1146"/>
      <c r="E1418" s="1146"/>
      <c r="F1418" s="1146"/>
      <c r="G1418" s="1146"/>
      <c r="H1418" s="1146">
        <v>0</v>
      </c>
      <c r="I1418" s="1146">
        <v>0</v>
      </c>
      <c r="J1418" s="1147">
        <v>0</v>
      </c>
      <c r="K1418" s="1147"/>
      <c r="L1418" s="1148"/>
      <c r="M1418" s="959"/>
      <c r="N1418" s="959"/>
      <c r="O1418" s="114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237" t="e">
        <f>MAX(J1419/J1431)</f>
        <v>#DIV/0!</v>
      </c>
      <c r="AD1418" s="235" t="e">
        <f t="shared" si="263"/>
        <v>#DIV/0!</v>
      </c>
      <c r="AE1418" s="238" t="e">
        <f>MAX(I1419/I1431)</f>
        <v>#DIV/0!</v>
      </c>
      <c r="AF1418" s="235" t="e">
        <f t="shared" si="264"/>
        <v>#DIV/0!</v>
      </c>
      <c r="AG1418" s="238" t="e">
        <f>MAX(H1419/H1431)</f>
        <v>#DIV/0!</v>
      </c>
      <c r="AH1418" s="235" t="e">
        <f t="shared" si="265"/>
        <v>#DIV/0!</v>
      </c>
    </row>
    <row r="1419" spans="1:34" ht="15" customHeight="1" x14ac:dyDescent="0.2">
      <c r="A1419" s="962" t="s">
        <v>381</v>
      </c>
      <c r="B1419" s="956">
        <v>0</v>
      </c>
      <c r="C1419" s="1146"/>
      <c r="D1419" s="1146"/>
      <c r="E1419" s="1146"/>
      <c r="F1419" s="1146"/>
      <c r="G1419" s="1146"/>
      <c r="H1419" s="1146">
        <v>0</v>
      </c>
      <c r="I1419" s="1146">
        <v>0</v>
      </c>
      <c r="J1419" s="1147">
        <v>0</v>
      </c>
      <c r="K1419" s="1147"/>
      <c r="L1419" s="1148"/>
      <c r="M1419" s="959"/>
      <c r="N1419" s="959"/>
      <c r="O1419" s="114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237" t="e">
        <f>MAX(J1420/J1431)</f>
        <v>#DIV/0!</v>
      </c>
      <c r="AD1419" s="235" t="e">
        <f t="shared" si="263"/>
        <v>#DIV/0!</v>
      </c>
      <c r="AE1419" s="238" t="e">
        <f>MAX(I1420/I1431)</f>
        <v>#DIV/0!</v>
      </c>
      <c r="AF1419" s="235" t="e">
        <f t="shared" si="264"/>
        <v>#DIV/0!</v>
      </c>
      <c r="AG1419" s="238" t="e">
        <f>MAX(H1420/H1431)</f>
        <v>#DIV/0!</v>
      </c>
      <c r="AH1419" s="235" t="e">
        <f t="shared" si="265"/>
        <v>#DIV/0!</v>
      </c>
    </row>
    <row r="1420" spans="1:34" ht="15" customHeight="1" x14ac:dyDescent="0.2">
      <c r="A1420" s="962" t="s">
        <v>382</v>
      </c>
      <c r="B1420" s="956">
        <v>0</v>
      </c>
      <c r="C1420" s="1146"/>
      <c r="D1420" s="1146"/>
      <c r="E1420" s="1146"/>
      <c r="F1420" s="1146"/>
      <c r="G1420" s="1146"/>
      <c r="H1420" s="1146">
        <v>0</v>
      </c>
      <c r="I1420" s="1146">
        <v>0</v>
      </c>
      <c r="J1420" s="1147">
        <v>0</v>
      </c>
      <c r="K1420" s="1147"/>
      <c r="L1420" s="1148"/>
      <c r="M1420" s="959"/>
      <c r="N1420" s="959"/>
      <c r="O1420" s="114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1157"/>
      <c r="AD1420" s="1156"/>
      <c r="AE1420" s="1158"/>
      <c r="AF1420" s="1156"/>
      <c r="AG1420" s="1158"/>
      <c r="AH1420" s="1156"/>
    </row>
    <row r="1421" spans="1:34" ht="15" customHeight="1" x14ac:dyDescent="0.2">
      <c r="A1421" s="1154" t="s">
        <v>383</v>
      </c>
      <c r="B1421" s="1002">
        <v>0</v>
      </c>
      <c r="C1421" s="1002">
        <v>0</v>
      </c>
      <c r="D1421" s="1002">
        <v>0</v>
      </c>
      <c r="E1421" s="1002">
        <v>0</v>
      </c>
      <c r="F1421" s="1002">
        <v>0</v>
      </c>
      <c r="G1421" s="1002">
        <v>0</v>
      </c>
      <c r="H1421" s="1002">
        <v>0</v>
      </c>
      <c r="I1421" s="1002">
        <v>0</v>
      </c>
      <c r="J1421" s="1150">
        <v>0</v>
      </c>
      <c r="K1421" s="1151"/>
      <c r="L1421" s="1152"/>
      <c r="M1421" s="996"/>
      <c r="N1421" s="996"/>
      <c r="O1421" s="1153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237" t="e">
        <f>MAX(J1422/J1431)</f>
        <v>#DIV/0!</v>
      </c>
      <c r="AD1421" s="235" t="e">
        <f t="shared" ref="AD1421:AD1429" si="266">MAX(M1422*AC1421)</f>
        <v>#DIV/0!</v>
      </c>
      <c r="AE1421" s="238" t="e">
        <f>MAX(I1422/I1431)</f>
        <v>#DIV/0!</v>
      </c>
      <c r="AF1421" s="235" t="e">
        <f t="shared" ref="AF1421:AF1429" si="267">MAX(N1422*AE1421)</f>
        <v>#DIV/0!</v>
      </c>
      <c r="AG1421" s="238" t="e">
        <f>MAX(H1422/H1431)</f>
        <v>#DIV/0!</v>
      </c>
      <c r="AH1421" s="235" t="e">
        <f t="shared" ref="AH1421:AH1429" si="268">MAX(O1422*AG1421)</f>
        <v>#DIV/0!</v>
      </c>
    </row>
    <row r="1422" spans="1:34" ht="15" customHeight="1" x14ac:dyDescent="0.2">
      <c r="A1422" s="962" t="s">
        <v>384</v>
      </c>
      <c r="B1422" s="956">
        <v>0</v>
      </c>
      <c r="C1422" s="1146"/>
      <c r="D1422" s="1146"/>
      <c r="E1422" s="1146"/>
      <c r="F1422" s="1146"/>
      <c r="G1422" s="1146"/>
      <c r="H1422" s="1146">
        <v>0</v>
      </c>
      <c r="I1422" s="1146">
        <v>0</v>
      </c>
      <c r="J1422" s="1147">
        <v>0</v>
      </c>
      <c r="K1422" s="1147"/>
      <c r="L1422" s="1148"/>
      <c r="M1422" s="959"/>
      <c r="N1422" s="959"/>
      <c r="O1422" s="114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237" t="e">
        <f>MAX(J1423/J1431)</f>
        <v>#DIV/0!</v>
      </c>
      <c r="AD1422" s="235" t="e">
        <f t="shared" si="266"/>
        <v>#DIV/0!</v>
      </c>
      <c r="AE1422" s="238" t="e">
        <f>MAX(I1423/I1431)</f>
        <v>#DIV/0!</v>
      </c>
      <c r="AF1422" s="235" t="e">
        <f t="shared" si="267"/>
        <v>#DIV/0!</v>
      </c>
      <c r="AG1422" s="238" t="e">
        <f>MAX(H1423/H1431)</f>
        <v>#DIV/0!</v>
      </c>
      <c r="AH1422" s="235" t="e">
        <f t="shared" si="268"/>
        <v>#DIV/0!</v>
      </c>
    </row>
    <row r="1423" spans="1:34" ht="15" customHeight="1" x14ac:dyDescent="0.2">
      <c r="A1423" s="962" t="s">
        <v>385</v>
      </c>
      <c r="B1423" s="956">
        <v>0</v>
      </c>
      <c r="C1423" s="1146"/>
      <c r="D1423" s="1146"/>
      <c r="E1423" s="1146"/>
      <c r="F1423" s="1146"/>
      <c r="G1423" s="1146"/>
      <c r="H1423" s="1146">
        <v>0</v>
      </c>
      <c r="I1423" s="1146">
        <v>0</v>
      </c>
      <c r="J1423" s="1147">
        <v>0</v>
      </c>
      <c r="K1423" s="1147"/>
      <c r="L1423" s="1148"/>
      <c r="M1423" s="959"/>
      <c r="N1423" s="959"/>
      <c r="O1423" s="114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237" t="e">
        <f>MAX(J1424/J1431)</f>
        <v>#DIV/0!</v>
      </c>
      <c r="AD1423" s="235" t="e">
        <f t="shared" si="266"/>
        <v>#DIV/0!</v>
      </c>
      <c r="AE1423" s="238" t="e">
        <f>MAX(I1424/I1431)</f>
        <v>#DIV/0!</v>
      </c>
      <c r="AF1423" s="235" t="e">
        <f t="shared" si="267"/>
        <v>#DIV/0!</v>
      </c>
      <c r="AG1423" s="238" t="e">
        <f>MAX(H1424/H1431)</f>
        <v>#DIV/0!</v>
      </c>
      <c r="AH1423" s="235" t="e">
        <f t="shared" si="268"/>
        <v>#DIV/0!</v>
      </c>
    </row>
    <row r="1424" spans="1:34" ht="15" customHeight="1" x14ac:dyDescent="0.2">
      <c r="A1424" s="962" t="s">
        <v>386</v>
      </c>
      <c r="B1424" s="956">
        <v>0</v>
      </c>
      <c r="C1424" s="1146"/>
      <c r="D1424" s="1146"/>
      <c r="E1424" s="1146"/>
      <c r="F1424" s="1146"/>
      <c r="G1424" s="1146"/>
      <c r="H1424" s="1146">
        <v>0</v>
      </c>
      <c r="I1424" s="1146">
        <v>0</v>
      </c>
      <c r="J1424" s="1147">
        <v>0</v>
      </c>
      <c r="K1424" s="1147"/>
      <c r="L1424" s="1148"/>
      <c r="M1424" s="959"/>
      <c r="N1424" s="959"/>
      <c r="O1424" s="114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237" t="e">
        <f>MAX(J1425/J1431)</f>
        <v>#DIV/0!</v>
      </c>
      <c r="AD1424" s="235" t="e">
        <f t="shared" si="266"/>
        <v>#DIV/0!</v>
      </c>
      <c r="AE1424" s="238" t="e">
        <f>MAX(I1425/I1431)</f>
        <v>#DIV/0!</v>
      </c>
      <c r="AF1424" s="235" t="e">
        <f t="shared" si="267"/>
        <v>#DIV/0!</v>
      </c>
      <c r="AG1424" s="238" t="e">
        <f>MAX(H1425/H1431)</f>
        <v>#DIV/0!</v>
      </c>
      <c r="AH1424" s="235" t="e">
        <f t="shared" si="268"/>
        <v>#DIV/0!</v>
      </c>
    </row>
    <row r="1425" spans="1:34" ht="15" customHeight="1" x14ac:dyDescent="0.2">
      <c r="A1425" s="962" t="s">
        <v>387</v>
      </c>
      <c r="B1425" s="956">
        <v>0</v>
      </c>
      <c r="C1425" s="1146"/>
      <c r="D1425" s="1146"/>
      <c r="E1425" s="1146"/>
      <c r="F1425" s="1146"/>
      <c r="G1425" s="1146"/>
      <c r="H1425" s="1146">
        <v>0</v>
      </c>
      <c r="I1425" s="1146">
        <v>0</v>
      </c>
      <c r="J1425" s="1147">
        <v>0</v>
      </c>
      <c r="K1425" s="1147"/>
      <c r="L1425" s="1148"/>
      <c r="M1425" s="959"/>
      <c r="N1425" s="959"/>
      <c r="O1425" s="114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237" t="e">
        <f>MAX(J1426/J1431)</f>
        <v>#DIV/0!</v>
      </c>
      <c r="AD1425" s="235" t="e">
        <f t="shared" si="266"/>
        <v>#DIV/0!</v>
      </c>
      <c r="AE1425" s="238" t="e">
        <f>MAX(I1426/I1431)</f>
        <v>#DIV/0!</v>
      </c>
      <c r="AF1425" s="235" t="e">
        <f t="shared" si="267"/>
        <v>#DIV/0!</v>
      </c>
      <c r="AG1425" s="238" t="e">
        <f>MAX(H1426/H1431)</f>
        <v>#DIV/0!</v>
      </c>
      <c r="AH1425" s="235" t="e">
        <f t="shared" si="268"/>
        <v>#DIV/0!</v>
      </c>
    </row>
    <row r="1426" spans="1:34" ht="15" customHeight="1" x14ac:dyDescent="0.2">
      <c r="A1426" s="962" t="s">
        <v>388</v>
      </c>
      <c r="B1426" s="956">
        <v>0</v>
      </c>
      <c r="C1426" s="1146"/>
      <c r="D1426" s="1146"/>
      <c r="E1426" s="1146"/>
      <c r="F1426" s="1146"/>
      <c r="G1426" s="1146"/>
      <c r="H1426" s="1146">
        <v>0</v>
      </c>
      <c r="I1426" s="1146">
        <v>0</v>
      </c>
      <c r="J1426" s="1147">
        <v>0</v>
      </c>
      <c r="K1426" s="1146"/>
      <c r="L1426" s="1148"/>
      <c r="M1426" s="959"/>
      <c r="N1426" s="959"/>
      <c r="O1426" s="114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237" t="e">
        <f>MAX(J1427/J1431)</f>
        <v>#DIV/0!</v>
      </c>
      <c r="AD1426" s="235" t="e">
        <f t="shared" si="266"/>
        <v>#DIV/0!</v>
      </c>
      <c r="AE1426" s="238" t="e">
        <f>MAX(I1427/I1431)</f>
        <v>#DIV/0!</v>
      </c>
      <c r="AF1426" s="235" t="e">
        <f t="shared" si="267"/>
        <v>#DIV/0!</v>
      </c>
      <c r="AG1426" s="238" t="e">
        <f>MAX(H1427/H1431)</f>
        <v>#DIV/0!</v>
      </c>
      <c r="AH1426" s="235" t="e">
        <f t="shared" si="268"/>
        <v>#DIV/0!</v>
      </c>
    </row>
    <row r="1427" spans="1:34" ht="15" customHeight="1" x14ac:dyDescent="0.2">
      <c r="A1427" s="962" t="s">
        <v>389</v>
      </c>
      <c r="B1427" s="956">
        <v>0</v>
      </c>
      <c r="C1427" s="1146"/>
      <c r="D1427" s="1146"/>
      <c r="E1427" s="1146"/>
      <c r="F1427" s="1146"/>
      <c r="G1427" s="1146"/>
      <c r="H1427" s="1146">
        <v>0</v>
      </c>
      <c r="I1427" s="1146">
        <v>0</v>
      </c>
      <c r="J1427" s="1147">
        <v>0</v>
      </c>
      <c r="K1427" s="1146"/>
      <c r="L1427" s="1148"/>
      <c r="M1427" s="959"/>
      <c r="N1427" s="959"/>
      <c r="O1427" s="114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237" t="e">
        <f>MAX(J1428/J1431)</f>
        <v>#DIV/0!</v>
      </c>
      <c r="AD1427" s="235" t="e">
        <f t="shared" si="266"/>
        <v>#DIV/0!</v>
      </c>
      <c r="AE1427" s="238" t="e">
        <f>MAX(I1428/I1431)</f>
        <v>#DIV/0!</v>
      </c>
      <c r="AF1427" s="235" t="e">
        <f t="shared" si="267"/>
        <v>#DIV/0!</v>
      </c>
      <c r="AG1427" s="238" t="e">
        <f>MAX(H1428/H1431)</f>
        <v>#DIV/0!</v>
      </c>
      <c r="AH1427" s="235" t="e">
        <f t="shared" si="268"/>
        <v>#DIV/0!</v>
      </c>
    </row>
    <row r="1428" spans="1:34" ht="15" customHeight="1" x14ac:dyDescent="0.2">
      <c r="A1428" s="962" t="s">
        <v>390</v>
      </c>
      <c r="B1428" s="956">
        <v>0</v>
      </c>
      <c r="C1428" s="1146"/>
      <c r="D1428" s="1146"/>
      <c r="E1428" s="1146"/>
      <c r="F1428" s="1146"/>
      <c r="G1428" s="1146"/>
      <c r="H1428" s="1146">
        <v>0</v>
      </c>
      <c r="I1428" s="1146">
        <v>0</v>
      </c>
      <c r="J1428" s="1147">
        <v>0</v>
      </c>
      <c r="K1428" s="1147"/>
      <c r="L1428" s="1148"/>
      <c r="M1428" s="959"/>
      <c r="N1428" s="959"/>
      <c r="O1428" s="114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237" t="e">
        <f>MAX(J1429/J1431)</f>
        <v>#DIV/0!</v>
      </c>
      <c r="AD1428" s="235" t="e">
        <f t="shared" si="266"/>
        <v>#DIV/0!</v>
      </c>
      <c r="AE1428" s="238" t="e">
        <f>MAX(I1429/I1431)</f>
        <v>#DIV/0!</v>
      </c>
      <c r="AF1428" s="235" t="e">
        <f t="shared" si="267"/>
        <v>#DIV/0!</v>
      </c>
      <c r="AG1428" s="238" t="e">
        <f>MAX(H1429/H1431)</f>
        <v>#DIV/0!</v>
      </c>
      <c r="AH1428" s="235" t="e">
        <f t="shared" si="268"/>
        <v>#DIV/0!</v>
      </c>
    </row>
    <row r="1429" spans="1:34" ht="15" customHeight="1" x14ac:dyDescent="0.2">
      <c r="A1429" s="962" t="s">
        <v>941</v>
      </c>
      <c r="B1429" s="956">
        <v>0</v>
      </c>
      <c r="C1429" s="1146"/>
      <c r="D1429" s="1146"/>
      <c r="E1429" s="1146"/>
      <c r="F1429" s="1146"/>
      <c r="G1429" s="1146"/>
      <c r="H1429" s="1146">
        <v>0</v>
      </c>
      <c r="I1429" s="1146">
        <v>0</v>
      </c>
      <c r="J1429" s="1147">
        <v>0</v>
      </c>
      <c r="K1429" s="1147"/>
      <c r="L1429" s="1148"/>
      <c r="M1429" s="959"/>
      <c r="N1429" s="959"/>
      <c r="O1429" s="114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237" t="e">
        <f>MAX(J1430/J1431)</f>
        <v>#DIV/0!</v>
      </c>
      <c r="AD1429" s="235" t="e">
        <f t="shared" si="266"/>
        <v>#DIV/0!</v>
      </c>
      <c r="AE1429" s="238" t="e">
        <f>MAX(I1430/I1431)</f>
        <v>#DIV/0!</v>
      </c>
      <c r="AF1429" s="235" t="e">
        <f t="shared" si="267"/>
        <v>#DIV/0!</v>
      </c>
      <c r="AG1429" s="238" t="e">
        <f>MAX(H1430/H1431)</f>
        <v>#DIV/0!</v>
      </c>
      <c r="AH1429" s="235" t="e">
        <f t="shared" si="268"/>
        <v>#DIV/0!</v>
      </c>
    </row>
    <row r="1430" spans="1:34" ht="15" customHeight="1" thickBot="1" x14ac:dyDescent="0.25">
      <c r="A1430" s="1140" t="s">
        <v>392</v>
      </c>
      <c r="B1430" s="244">
        <v>0</v>
      </c>
      <c r="C1430" s="1141"/>
      <c r="D1430" s="1141"/>
      <c r="E1430" s="1141"/>
      <c r="F1430" s="1141"/>
      <c r="G1430" s="1141"/>
      <c r="H1430" s="1146">
        <v>0</v>
      </c>
      <c r="I1430" s="1146">
        <v>0</v>
      </c>
      <c r="J1430" s="1147">
        <v>0</v>
      </c>
      <c r="K1430" s="1142"/>
      <c r="L1430" s="1143"/>
      <c r="M1430" s="1144"/>
      <c r="N1430" s="1144"/>
      <c r="O1430" s="1145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1159" t="e">
        <f t="shared" ref="AC1430:AH1430" si="269">SUM(AC1390:AC1429)</f>
        <v>#DIV/0!</v>
      </c>
      <c r="AD1430" s="1160" t="e">
        <f t="shared" si="269"/>
        <v>#DIV/0!</v>
      </c>
      <c r="AE1430" s="1161" t="e">
        <f t="shared" si="269"/>
        <v>#DIV/0!</v>
      </c>
      <c r="AF1430" s="1160" t="e">
        <f t="shared" si="269"/>
        <v>#DIV/0!</v>
      </c>
      <c r="AG1430" s="1161" t="e">
        <f t="shared" si="269"/>
        <v>#DIV/0!</v>
      </c>
      <c r="AH1430" s="1160" t="e">
        <f t="shared" si="269"/>
        <v>#DIV/0!</v>
      </c>
    </row>
    <row r="1431" spans="1:34" ht="13.5" thickBot="1" x14ac:dyDescent="0.25">
      <c r="A1431" s="405" t="s">
        <v>942</v>
      </c>
      <c r="B1431" s="1131">
        <v>0</v>
      </c>
      <c r="C1431" s="1131">
        <v>0</v>
      </c>
      <c r="D1431" s="1131">
        <v>0</v>
      </c>
      <c r="E1431" s="1131">
        <v>0</v>
      </c>
      <c r="F1431" s="1131">
        <v>0</v>
      </c>
      <c r="G1431" s="1131">
        <v>0</v>
      </c>
      <c r="H1431" s="1131">
        <v>0</v>
      </c>
      <c r="I1431" s="1131">
        <v>0</v>
      </c>
      <c r="J1431" s="1132">
        <v>0</v>
      </c>
      <c r="K1431" s="1133" t="e">
        <v>#DIV/0!</v>
      </c>
      <c r="L1431" s="2283" t="s">
        <v>989</v>
      </c>
      <c r="M1431" s="1134" t="e">
        <v>#DIV/0!</v>
      </c>
      <c r="N1431" s="1134" t="s">
        <v>616</v>
      </c>
      <c r="O1431" s="506" t="s">
        <v>616</v>
      </c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</row>
    <row r="1432" spans="1:34" x14ac:dyDescent="0.2">
      <c r="A1432" s="7" t="s">
        <v>1934</v>
      </c>
      <c r="B1432" s="224"/>
      <c r="C1432" s="224"/>
      <c r="D1432" s="224"/>
      <c r="E1432" s="224"/>
      <c r="F1432" s="224"/>
      <c r="G1432" s="224"/>
      <c r="H1432" s="224"/>
      <c r="I1432" s="224"/>
      <c r="J1432" s="224"/>
      <c r="K1432" s="240"/>
      <c r="L1432" s="241"/>
      <c r="M1432" s="240"/>
      <c r="N1432" s="240"/>
      <c r="O1432" s="240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</row>
    <row r="1433" spans="1:34" x14ac:dyDescent="0.2">
      <c r="A1433" s="34" t="s">
        <v>1164</v>
      </c>
      <c r="B1433" s="224"/>
      <c r="C1433" s="224"/>
      <c r="D1433" s="224"/>
      <c r="E1433" s="224"/>
      <c r="F1433" s="224"/>
      <c r="G1433" s="224"/>
      <c r="H1433" s="224"/>
      <c r="I1433" s="224"/>
      <c r="J1433" s="224"/>
      <c r="K1433" s="240"/>
      <c r="L1433" s="241"/>
      <c r="M1433" s="240"/>
      <c r="N1433" s="240"/>
      <c r="O1433" s="240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</row>
    <row r="1434" spans="1:34" x14ac:dyDescent="0.2">
      <c r="A1434" s="34"/>
      <c r="B1434" s="224"/>
      <c r="C1434" s="224"/>
      <c r="D1434" s="224"/>
      <c r="E1434" s="224"/>
      <c r="F1434" s="224"/>
      <c r="G1434" s="224"/>
      <c r="H1434" s="224"/>
      <c r="I1434" s="224"/>
      <c r="J1434" s="224"/>
      <c r="K1434" s="240"/>
      <c r="L1434" s="241"/>
      <c r="M1434" s="240"/>
      <c r="N1434" s="240"/>
      <c r="O1434" s="240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</row>
    <row r="1435" spans="1:34" ht="15" x14ac:dyDescent="0.25">
      <c r="A1435" s="2843" t="s">
        <v>1931</v>
      </c>
      <c r="B1435" s="2843"/>
      <c r="C1435" s="2843"/>
      <c r="D1435" s="2843"/>
      <c r="E1435" s="2843"/>
      <c r="F1435" s="2843"/>
      <c r="G1435" s="2843"/>
      <c r="H1435" s="2843"/>
      <c r="I1435" s="2843"/>
      <c r="J1435" s="2843"/>
      <c r="K1435" s="2843"/>
      <c r="L1435" s="2843"/>
      <c r="M1435" s="2843"/>
      <c r="N1435" s="2843"/>
      <c r="O1435" s="2843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</row>
    <row r="1436" spans="1:34" ht="15" customHeight="1" x14ac:dyDescent="0.2">
      <c r="A1436" s="246"/>
      <c r="B1436" s="246"/>
      <c r="C1436" s="240"/>
      <c r="D1436" s="240"/>
      <c r="E1436" s="240"/>
      <c r="F1436" s="240"/>
      <c r="G1436" s="240"/>
      <c r="H1436" s="240"/>
      <c r="I1436" s="240"/>
      <c r="J1436" s="240"/>
      <c r="K1436" s="240"/>
      <c r="L1436" s="241"/>
      <c r="M1436" s="240"/>
      <c r="N1436" s="240"/>
      <c r="O1436" s="240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</row>
    <row r="1437" spans="1:34" ht="15" customHeight="1" thickBot="1" x14ac:dyDescent="0.25">
      <c r="A1437" s="181" t="s">
        <v>1574</v>
      </c>
      <c r="B1437" s="246"/>
      <c r="C1437" s="240"/>
      <c r="D1437" s="240"/>
      <c r="E1437" s="240"/>
      <c r="F1437" s="240"/>
      <c r="G1437" s="240"/>
      <c r="H1437" s="240"/>
      <c r="I1437" s="240"/>
      <c r="J1437" s="240"/>
      <c r="K1437" s="240"/>
      <c r="L1437" s="241"/>
      <c r="M1437" s="240"/>
      <c r="N1437" s="240"/>
      <c r="O1437" s="240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228" t="s">
        <v>910</v>
      </c>
      <c r="AD1437" s="229"/>
      <c r="AE1437" s="229"/>
      <c r="AF1437" s="229"/>
      <c r="AG1437" s="229"/>
      <c r="AH1437" s="243"/>
    </row>
    <row r="1438" spans="1:34" ht="15" customHeight="1" x14ac:dyDescent="0.2">
      <c r="A1438" s="2844" t="s">
        <v>327</v>
      </c>
      <c r="B1438" s="2847" t="s">
        <v>1932</v>
      </c>
      <c r="C1438" s="2848"/>
      <c r="D1438" s="2848"/>
      <c r="E1438" s="2848"/>
      <c r="F1438" s="2848"/>
      <c r="G1438" s="2848"/>
      <c r="H1438" s="2848"/>
      <c r="I1438" s="2848"/>
      <c r="J1438" s="2848"/>
      <c r="K1438" s="2848"/>
      <c r="L1438" s="2848"/>
      <c r="M1438" s="2848"/>
      <c r="N1438" s="2848"/>
      <c r="O1438" s="284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230" t="s">
        <v>333</v>
      </c>
      <c r="AD1438" s="231" t="s">
        <v>333</v>
      </c>
      <c r="AE1438" s="231" t="s">
        <v>333</v>
      </c>
      <c r="AF1438" s="231" t="s">
        <v>333</v>
      </c>
      <c r="AG1438" s="231" t="s">
        <v>333</v>
      </c>
      <c r="AH1438" s="231" t="s">
        <v>333</v>
      </c>
    </row>
    <row r="1439" spans="1:34" ht="15" customHeight="1" x14ac:dyDescent="0.2">
      <c r="A1439" s="2845"/>
      <c r="B1439" s="2850" t="s">
        <v>191</v>
      </c>
      <c r="C1439" s="2850"/>
      <c r="D1439" s="2850"/>
      <c r="E1439" s="2850"/>
      <c r="F1439" s="2850"/>
      <c r="G1439" s="2850"/>
      <c r="H1439" s="2850"/>
      <c r="I1439" s="2850"/>
      <c r="J1439" s="2119"/>
      <c r="K1439" s="2119" t="s">
        <v>904</v>
      </c>
      <c r="L1439" s="2119"/>
      <c r="M1439" s="1122" t="s">
        <v>437</v>
      </c>
      <c r="N1439" s="1122" t="s">
        <v>911</v>
      </c>
      <c r="O1439" s="1127" t="s">
        <v>911</v>
      </c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230" t="s">
        <v>913</v>
      </c>
      <c r="AD1439" s="231" t="s">
        <v>916</v>
      </c>
      <c r="AE1439" s="231" t="s">
        <v>917</v>
      </c>
      <c r="AF1439" s="231" t="s">
        <v>918</v>
      </c>
      <c r="AG1439" s="231" t="s">
        <v>192</v>
      </c>
      <c r="AH1439" s="231" t="s">
        <v>918</v>
      </c>
    </row>
    <row r="1440" spans="1:34" ht="15" customHeight="1" x14ac:dyDescent="0.2">
      <c r="A1440" s="2845"/>
      <c r="B1440" s="2119" t="s">
        <v>433</v>
      </c>
      <c r="C1440" s="2119"/>
      <c r="D1440" s="2841" t="s">
        <v>1865</v>
      </c>
      <c r="E1440" s="2119"/>
      <c r="F1440" s="2119"/>
      <c r="G1440" s="2119" t="s">
        <v>912</v>
      </c>
      <c r="H1440" s="2119"/>
      <c r="I1440" s="2119" t="s">
        <v>433</v>
      </c>
      <c r="J1440" s="2138" t="s">
        <v>913</v>
      </c>
      <c r="K1440" s="2138" t="s">
        <v>842</v>
      </c>
      <c r="L1440" s="2138" t="s">
        <v>329</v>
      </c>
      <c r="M1440" s="1123" t="s">
        <v>914</v>
      </c>
      <c r="N1440" s="1123" t="s">
        <v>915</v>
      </c>
      <c r="O1440" s="1128" t="s">
        <v>914</v>
      </c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230"/>
      <c r="AD1440" s="231" t="s">
        <v>843</v>
      </c>
      <c r="AE1440" s="231"/>
      <c r="AF1440" s="231" t="s">
        <v>929</v>
      </c>
      <c r="AG1440" s="231"/>
      <c r="AH1440" s="231" t="s">
        <v>930</v>
      </c>
    </row>
    <row r="1441" spans="1:34" ht="15" customHeight="1" x14ac:dyDescent="0.2">
      <c r="A1441" s="2845"/>
      <c r="B1441" s="2138" t="s">
        <v>920</v>
      </c>
      <c r="C1441" s="2138" t="s">
        <v>922</v>
      </c>
      <c r="D1441" s="2842"/>
      <c r="E1441" s="2138" t="s">
        <v>867</v>
      </c>
      <c r="F1441" s="2138" t="s">
        <v>921</v>
      </c>
      <c r="G1441" s="2138" t="s">
        <v>923</v>
      </c>
      <c r="H1441" s="2138" t="s">
        <v>836</v>
      </c>
      <c r="I1441" s="2138" t="s">
        <v>835</v>
      </c>
      <c r="J1441" s="2138" t="s">
        <v>924</v>
      </c>
      <c r="K1441" s="2138" t="s">
        <v>925</v>
      </c>
      <c r="L1441" s="2138" t="s">
        <v>336</v>
      </c>
      <c r="M1441" s="1123" t="s">
        <v>926</v>
      </c>
      <c r="N1441" s="1123" t="s">
        <v>927</v>
      </c>
      <c r="O1441" s="1128" t="s">
        <v>928</v>
      </c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232"/>
      <c r="AD1441" s="233" t="s">
        <v>934</v>
      </c>
      <c r="AE1441" s="233"/>
      <c r="AF1441" s="233" t="s">
        <v>935</v>
      </c>
      <c r="AG1441" s="233"/>
      <c r="AH1441" s="233" t="s">
        <v>936</v>
      </c>
    </row>
    <row r="1442" spans="1:34" ht="15" customHeight="1" thickBot="1" x14ac:dyDescent="0.25">
      <c r="A1442" s="2846"/>
      <c r="B1442" s="1881">
        <v>44926</v>
      </c>
      <c r="C1442" s="2139">
        <v>2023</v>
      </c>
      <c r="D1442" s="2139">
        <v>2023</v>
      </c>
      <c r="E1442" s="2139">
        <v>2023</v>
      </c>
      <c r="F1442" s="2139">
        <v>2023</v>
      </c>
      <c r="G1442" s="2139" t="s">
        <v>931</v>
      </c>
      <c r="H1442" s="1126">
        <v>2023</v>
      </c>
      <c r="I1442" s="1881">
        <v>45291</v>
      </c>
      <c r="J1442" s="1881" t="s">
        <v>1933</v>
      </c>
      <c r="K1442" s="1881" t="s">
        <v>1933</v>
      </c>
      <c r="L1442" s="2139" t="s">
        <v>441</v>
      </c>
      <c r="M1442" s="1125" t="s">
        <v>932</v>
      </c>
      <c r="N1442" s="1125" t="s">
        <v>933</v>
      </c>
      <c r="O1442" s="1129" t="s">
        <v>933</v>
      </c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1155"/>
      <c r="AD1442" s="1156"/>
      <c r="AE1442" s="1156"/>
      <c r="AF1442" s="1156"/>
      <c r="AG1442" s="1156"/>
      <c r="AH1442" s="1156"/>
    </row>
    <row r="1443" spans="1:34" ht="15" customHeight="1" x14ac:dyDescent="0.2">
      <c r="A1443" s="1135" t="s">
        <v>352</v>
      </c>
      <c r="B1443" s="1130">
        <v>72</v>
      </c>
      <c r="C1443" s="1130">
        <v>2</v>
      </c>
      <c r="D1443" s="1130">
        <v>2</v>
      </c>
      <c r="E1443" s="1130">
        <v>1</v>
      </c>
      <c r="F1443" s="1130">
        <v>2.5</v>
      </c>
      <c r="G1443" s="1130">
        <v>0</v>
      </c>
      <c r="H1443" s="1130">
        <v>66.5</v>
      </c>
      <c r="I1443" s="1130">
        <v>70.5</v>
      </c>
      <c r="J1443" s="1136">
        <v>509</v>
      </c>
      <c r="K1443" s="1150">
        <v>7.6541353383458643</v>
      </c>
      <c r="L1443" s="380"/>
      <c r="M1443" s="1138"/>
      <c r="N1443" s="1138"/>
      <c r="O1443" s="1139"/>
      <c r="P1443" s="950"/>
      <c r="Q1443" s="950"/>
      <c r="R1443" s="950"/>
      <c r="S1443" s="950"/>
      <c r="T1443" s="950"/>
      <c r="U1443" s="950"/>
      <c r="V1443" s="950"/>
      <c r="W1443" s="950"/>
      <c r="X1443" s="950"/>
      <c r="Y1443" s="950"/>
      <c r="Z1443" s="9"/>
      <c r="AA1443" s="9"/>
      <c r="AB1443" s="9"/>
      <c r="AC1443" s="237">
        <f>MAX(J1444/J1484)</f>
        <v>7.6853526220614837E-2</v>
      </c>
      <c r="AD1443" s="235">
        <f t="shared" ref="AD1443:AD1457" si="270">MAX(M1444*AC1443)</f>
        <v>172920.43399638339</v>
      </c>
      <c r="AE1443" s="238">
        <f>MAX(I1444/I1484)</f>
        <v>0.10838380618425247</v>
      </c>
      <c r="AF1443" s="235" t="e">
        <f t="shared" ref="AF1443:AF1457" si="271">MAX(N1444*AE1443)</f>
        <v>#VALUE!</v>
      </c>
      <c r="AG1443" s="238">
        <f>MAX(H1444/H1484)</f>
        <v>0.13781921361978111</v>
      </c>
      <c r="AH1443" s="235" t="e">
        <f t="shared" ref="AH1443:AH1457" si="272">MAX(O1444*AG1443)</f>
        <v>#VALUE!</v>
      </c>
    </row>
    <row r="1444" spans="1:34" ht="15" customHeight="1" x14ac:dyDescent="0.2">
      <c r="A1444" s="962" t="s">
        <v>353</v>
      </c>
      <c r="B1444" s="1498">
        <v>17</v>
      </c>
      <c r="C1444" s="1146"/>
      <c r="D1444" s="1146"/>
      <c r="E1444" s="1146"/>
      <c r="F1444" s="1146"/>
      <c r="G1444" s="1146"/>
      <c r="H1444" s="1146">
        <v>17</v>
      </c>
      <c r="I1444" s="1146">
        <v>17</v>
      </c>
      <c r="J1444" s="1147">
        <v>68</v>
      </c>
      <c r="K1444" s="1147">
        <v>4</v>
      </c>
      <c r="L1444" s="1066" t="s">
        <v>988</v>
      </c>
      <c r="M1444" s="959">
        <v>2250000</v>
      </c>
      <c r="N1444" s="1066" t="s">
        <v>616</v>
      </c>
      <c r="O1444" s="1067" t="s">
        <v>616</v>
      </c>
      <c r="P1444" s="950"/>
      <c r="Q1444" s="950"/>
      <c r="R1444" s="950"/>
      <c r="S1444" s="950"/>
      <c r="T1444" s="950"/>
      <c r="U1444" s="950"/>
      <c r="V1444" s="950"/>
      <c r="W1444" s="950"/>
      <c r="X1444" s="950"/>
      <c r="Y1444" s="950"/>
      <c r="Z1444" s="9"/>
      <c r="AA1444" s="9"/>
      <c r="AB1444" s="9"/>
      <c r="AC1444" s="237">
        <f>MAX(J1445/J1484)</f>
        <v>0</v>
      </c>
      <c r="AD1444" s="235">
        <f t="shared" si="270"/>
        <v>0</v>
      </c>
      <c r="AE1444" s="238">
        <f>MAX(I1445/I1484)</f>
        <v>0</v>
      </c>
      <c r="AF1444" s="235">
        <f t="shared" si="271"/>
        <v>0</v>
      </c>
      <c r="AG1444" s="238">
        <f>MAX(H1445/H1484)</f>
        <v>0</v>
      </c>
      <c r="AH1444" s="235">
        <f t="shared" si="272"/>
        <v>0</v>
      </c>
    </row>
    <row r="1445" spans="1:34" ht="15" customHeight="1" x14ac:dyDescent="0.2">
      <c r="A1445" s="962" t="s">
        <v>354</v>
      </c>
      <c r="B1445" s="1498">
        <v>0</v>
      </c>
      <c r="C1445" s="1146"/>
      <c r="D1445" s="1146"/>
      <c r="E1445" s="1146"/>
      <c r="F1445" s="1146"/>
      <c r="G1445" s="1146"/>
      <c r="H1445" s="1146">
        <v>0</v>
      </c>
      <c r="I1445" s="1146">
        <v>0</v>
      </c>
      <c r="J1445" s="1147">
        <v>0</v>
      </c>
      <c r="K1445" s="1147">
        <v>0</v>
      </c>
      <c r="L1445" s="1148"/>
      <c r="M1445" s="959"/>
      <c r="N1445" s="959"/>
      <c r="O1445" s="114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237">
        <f>MAX(J1446/J1484)</f>
        <v>0.23734177215189875</v>
      </c>
      <c r="AD1445" s="235">
        <f t="shared" si="270"/>
        <v>534018.98734177218</v>
      </c>
      <c r="AE1445" s="238">
        <f>MAX(I1446/I1484)</f>
        <v>0.133885878227606</v>
      </c>
      <c r="AF1445" s="235" t="e">
        <f t="shared" si="271"/>
        <v>#VALUE!</v>
      </c>
      <c r="AG1445" s="238">
        <f>MAX(H1446/H1484)</f>
        <v>0.17024726388325903</v>
      </c>
      <c r="AH1445" s="235" t="e">
        <f t="shared" si="272"/>
        <v>#VALUE!</v>
      </c>
    </row>
    <row r="1446" spans="1:34" ht="15" customHeight="1" x14ac:dyDescent="0.2">
      <c r="A1446" s="962" t="s">
        <v>355</v>
      </c>
      <c r="B1446" s="1498">
        <v>21</v>
      </c>
      <c r="C1446" s="1146"/>
      <c r="D1446" s="1146"/>
      <c r="E1446" s="1146"/>
      <c r="F1446" s="1146"/>
      <c r="G1446" s="1146"/>
      <c r="H1446" s="1146">
        <v>21</v>
      </c>
      <c r="I1446" s="1146">
        <v>21</v>
      </c>
      <c r="J1446" s="1147">
        <v>210</v>
      </c>
      <c r="K1446" s="1147">
        <v>10</v>
      </c>
      <c r="L1446" s="1066" t="s">
        <v>988</v>
      </c>
      <c r="M1446" s="959">
        <v>2250000</v>
      </c>
      <c r="N1446" s="1066" t="s">
        <v>616</v>
      </c>
      <c r="O1446" s="1067" t="s">
        <v>616</v>
      </c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237">
        <f>MAX(J1447/J1484)</f>
        <v>0</v>
      </c>
      <c r="AD1446" s="235">
        <f t="shared" si="270"/>
        <v>0</v>
      </c>
      <c r="AE1446" s="238">
        <f>MAX(I1447/I1484)</f>
        <v>0</v>
      </c>
      <c r="AF1446" s="235">
        <f t="shared" si="271"/>
        <v>0</v>
      </c>
      <c r="AG1446" s="238">
        <f>MAX(H1447/H1484)</f>
        <v>0</v>
      </c>
      <c r="AH1446" s="235">
        <f t="shared" si="272"/>
        <v>0</v>
      </c>
    </row>
    <row r="1447" spans="1:34" ht="15" customHeight="1" x14ac:dyDescent="0.2">
      <c r="A1447" s="962" t="s">
        <v>356</v>
      </c>
      <c r="B1447" s="1498">
        <v>0</v>
      </c>
      <c r="C1447" s="1146"/>
      <c r="D1447" s="1146"/>
      <c r="E1447" s="1146"/>
      <c r="F1447" s="1146"/>
      <c r="G1447" s="1146"/>
      <c r="H1447" s="1146">
        <v>0</v>
      </c>
      <c r="I1447" s="1146">
        <v>0</v>
      </c>
      <c r="J1447" s="1147">
        <v>0</v>
      </c>
      <c r="K1447" s="1147">
        <v>0</v>
      </c>
      <c r="L1447" s="1148"/>
      <c r="M1447" s="959"/>
      <c r="N1447" s="959"/>
      <c r="O1447" s="114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237">
        <f>MAX(J1448/J1484)</f>
        <v>0.12432188065099459</v>
      </c>
      <c r="AD1447" s="235">
        <f t="shared" si="270"/>
        <v>279724.23146473779</v>
      </c>
      <c r="AE1447" s="238">
        <f>MAX(I1448/I1484)</f>
        <v>7.0130698119222193E-2</v>
      </c>
      <c r="AF1447" s="235">
        <f t="shared" si="271"/>
        <v>0</v>
      </c>
      <c r="AG1447" s="238">
        <f>MAX(H1448/H1484)</f>
        <v>8.9177138224564259E-2</v>
      </c>
      <c r="AH1447" s="235">
        <f t="shared" si="272"/>
        <v>0</v>
      </c>
    </row>
    <row r="1448" spans="1:34" ht="15" customHeight="1" x14ac:dyDescent="0.2">
      <c r="A1448" s="962" t="s">
        <v>357</v>
      </c>
      <c r="B1448" s="1498">
        <v>11</v>
      </c>
      <c r="C1448" s="1146">
        <v>0</v>
      </c>
      <c r="D1448" s="1146">
        <v>0</v>
      </c>
      <c r="E1448" s="1146">
        <v>0</v>
      </c>
      <c r="F1448" s="1146">
        <v>0</v>
      </c>
      <c r="G1448" s="1146">
        <v>0</v>
      </c>
      <c r="H1448" s="1146">
        <v>11</v>
      </c>
      <c r="I1448" s="1146">
        <v>11</v>
      </c>
      <c r="J1448" s="1147">
        <v>110</v>
      </c>
      <c r="K1448" s="1147">
        <v>10</v>
      </c>
      <c r="L1448" s="1066" t="s">
        <v>988</v>
      </c>
      <c r="M1448" s="959">
        <v>2250000</v>
      </c>
      <c r="N1448" s="959"/>
      <c r="O1448" s="114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237">
        <f>MAX(J1449/J1484)</f>
        <v>5.4249547920434002E-2</v>
      </c>
      <c r="AD1448" s="235">
        <f t="shared" si="270"/>
        <v>122061.48282097651</v>
      </c>
      <c r="AE1448" s="238">
        <f>MAX(I1449/I1484)</f>
        <v>5.1004144086707046E-2</v>
      </c>
      <c r="AF1448" s="235" t="e">
        <f t="shared" si="271"/>
        <v>#VALUE!</v>
      </c>
      <c r="AG1448" s="238">
        <f>MAX(H1449/H1484)</f>
        <v>6.4856100526955826E-2</v>
      </c>
      <c r="AH1448" s="235" t="e">
        <f t="shared" si="272"/>
        <v>#VALUE!</v>
      </c>
    </row>
    <row r="1449" spans="1:34" ht="15" customHeight="1" x14ac:dyDescent="0.2">
      <c r="A1449" s="962" t="s">
        <v>358</v>
      </c>
      <c r="B1449" s="1498">
        <v>8</v>
      </c>
      <c r="C1449" s="1146">
        <v>0</v>
      </c>
      <c r="D1449" s="1146">
        <v>0</v>
      </c>
      <c r="E1449" s="1146">
        <v>0</v>
      </c>
      <c r="F1449" s="1146">
        <v>0</v>
      </c>
      <c r="G1449" s="1146">
        <v>0</v>
      </c>
      <c r="H1449" s="1146">
        <v>8</v>
      </c>
      <c r="I1449" s="1146">
        <v>8</v>
      </c>
      <c r="J1449" s="1147">
        <v>48</v>
      </c>
      <c r="K1449" s="1147">
        <v>6</v>
      </c>
      <c r="L1449" s="1066" t="s">
        <v>988</v>
      </c>
      <c r="M1449" s="959">
        <v>2250000</v>
      </c>
      <c r="N1449" s="1066" t="s">
        <v>616</v>
      </c>
      <c r="O1449" s="1067" t="s">
        <v>616</v>
      </c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237">
        <f>MAX(J1450/J1484)</f>
        <v>2.2603978300180833E-3</v>
      </c>
      <c r="AD1449" s="235">
        <f t="shared" si="270"/>
        <v>5085.8951175406874</v>
      </c>
      <c r="AE1449" s="238">
        <f>MAX(I1450/I1484)</f>
        <v>3.1877590054191903E-3</v>
      </c>
      <c r="AF1449" s="235" t="e">
        <f t="shared" si="271"/>
        <v>#VALUE!</v>
      </c>
      <c r="AG1449" s="238">
        <f>MAX(H1450/H1484)</f>
        <v>4.0535062829347391E-3</v>
      </c>
      <c r="AH1449" s="235" t="e">
        <f t="shared" si="272"/>
        <v>#VALUE!</v>
      </c>
    </row>
    <row r="1450" spans="1:34" ht="15" customHeight="1" x14ac:dyDescent="0.2">
      <c r="A1450" s="962" t="s">
        <v>937</v>
      </c>
      <c r="B1450" s="1498">
        <v>0.5</v>
      </c>
      <c r="C1450" s="1146">
        <v>0</v>
      </c>
      <c r="D1450" s="1146">
        <v>0</v>
      </c>
      <c r="E1450" s="1146">
        <v>0</v>
      </c>
      <c r="F1450" s="1146">
        <v>0</v>
      </c>
      <c r="G1450" s="1146">
        <v>0</v>
      </c>
      <c r="H1450" s="1146">
        <v>0.5</v>
      </c>
      <c r="I1450" s="1146">
        <v>0.5</v>
      </c>
      <c r="J1450" s="1147">
        <v>2</v>
      </c>
      <c r="K1450" s="1147">
        <v>4</v>
      </c>
      <c r="L1450" s="1066" t="s">
        <v>988</v>
      </c>
      <c r="M1450" s="959">
        <v>2250000</v>
      </c>
      <c r="N1450" s="1066" t="s">
        <v>616</v>
      </c>
      <c r="O1450" s="1067" t="s">
        <v>616</v>
      </c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237">
        <f>MAX(J1451/J1484)</f>
        <v>4.5207956600361664E-2</v>
      </c>
      <c r="AD1450" s="235">
        <f t="shared" si="270"/>
        <v>101717.90235081375</v>
      </c>
      <c r="AE1450" s="238">
        <f>MAX(I1451/I1484)</f>
        <v>5.7379662097545428E-2</v>
      </c>
      <c r="AF1450" s="235" t="e">
        <f t="shared" si="271"/>
        <v>#VALUE!</v>
      </c>
      <c r="AG1450" s="238">
        <f>MAX(H1451/H1484)</f>
        <v>4.0535062829347386E-2</v>
      </c>
      <c r="AH1450" s="235" t="e">
        <f t="shared" si="272"/>
        <v>#VALUE!</v>
      </c>
    </row>
    <row r="1451" spans="1:34" ht="15" customHeight="1" x14ac:dyDescent="0.2">
      <c r="A1451" s="962" t="s">
        <v>360</v>
      </c>
      <c r="B1451" s="1498">
        <v>7</v>
      </c>
      <c r="C1451" s="1146">
        <v>2</v>
      </c>
      <c r="D1451" s="1146">
        <v>2</v>
      </c>
      <c r="E1451" s="1146">
        <v>0</v>
      </c>
      <c r="F1451" s="1146">
        <v>0</v>
      </c>
      <c r="G1451" s="1146">
        <v>0</v>
      </c>
      <c r="H1451" s="1146">
        <v>5</v>
      </c>
      <c r="I1451" s="1146">
        <v>9</v>
      </c>
      <c r="J1451" s="1147">
        <v>40</v>
      </c>
      <c r="K1451" s="1147">
        <v>8</v>
      </c>
      <c r="L1451" s="1066" t="s">
        <v>988</v>
      </c>
      <c r="M1451" s="959">
        <v>2250000</v>
      </c>
      <c r="N1451" s="1066" t="s">
        <v>616</v>
      </c>
      <c r="O1451" s="1067" t="s">
        <v>616</v>
      </c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237">
        <f>MAX(J1452/J1484)</f>
        <v>1.8083182640144666E-2</v>
      </c>
      <c r="AD1451" s="235">
        <f t="shared" si="270"/>
        <v>40687.160940325499</v>
      </c>
      <c r="AE1451" s="238">
        <f>MAX(I1452/I1484)</f>
        <v>1.2751036021676761E-2</v>
      </c>
      <c r="AF1451" s="235">
        <f t="shared" si="271"/>
        <v>0</v>
      </c>
      <c r="AG1451" s="238">
        <f>MAX(H1452/H1484)</f>
        <v>1.6214025131738957E-2</v>
      </c>
      <c r="AH1451" s="235">
        <f t="shared" si="272"/>
        <v>0</v>
      </c>
    </row>
    <row r="1452" spans="1:34" ht="15" customHeight="1" x14ac:dyDescent="0.2">
      <c r="A1452" s="962" t="s">
        <v>938</v>
      </c>
      <c r="B1452" s="1498">
        <v>4</v>
      </c>
      <c r="C1452" s="1146">
        <v>0</v>
      </c>
      <c r="D1452" s="1146">
        <v>0</v>
      </c>
      <c r="E1452" s="1146">
        <v>0</v>
      </c>
      <c r="F1452" s="1146">
        <v>2</v>
      </c>
      <c r="G1452" s="1146">
        <v>0</v>
      </c>
      <c r="H1452" s="1146">
        <v>2</v>
      </c>
      <c r="I1452" s="1146">
        <v>2</v>
      </c>
      <c r="J1452" s="1147">
        <v>16</v>
      </c>
      <c r="K1452" s="1147">
        <v>8</v>
      </c>
      <c r="L1452" s="1066" t="s">
        <v>988</v>
      </c>
      <c r="M1452" s="959">
        <v>2250000</v>
      </c>
      <c r="N1452" s="959"/>
      <c r="O1452" s="114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237">
        <f>MAX(J1453/J1484)</f>
        <v>1.1301989150090416E-2</v>
      </c>
      <c r="AD1452" s="235">
        <f t="shared" si="270"/>
        <v>25429.475587703437</v>
      </c>
      <c r="AE1452" s="238">
        <f>MAX(I1453/I1484)</f>
        <v>6.3755180108383807E-3</v>
      </c>
      <c r="AF1452" s="235" t="e">
        <f t="shared" si="271"/>
        <v>#VALUE!</v>
      </c>
      <c r="AG1452" s="238">
        <f>MAX(H1453/H1484)</f>
        <v>8.1070125658694783E-3</v>
      </c>
      <c r="AH1452" s="235" t="e">
        <f t="shared" si="272"/>
        <v>#VALUE!</v>
      </c>
    </row>
    <row r="1453" spans="1:34" ht="15" customHeight="1" x14ac:dyDescent="0.2">
      <c r="A1453" s="962" t="s">
        <v>362</v>
      </c>
      <c r="B1453" s="1498">
        <v>2.5</v>
      </c>
      <c r="C1453" s="1146">
        <v>0</v>
      </c>
      <c r="D1453" s="1146">
        <v>0</v>
      </c>
      <c r="E1453" s="1146">
        <v>1</v>
      </c>
      <c r="F1453" s="1146">
        <v>0.5</v>
      </c>
      <c r="G1453" s="1146">
        <v>0</v>
      </c>
      <c r="H1453" s="1146">
        <v>1</v>
      </c>
      <c r="I1453" s="1146">
        <v>1</v>
      </c>
      <c r="J1453" s="1147">
        <v>10</v>
      </c>
      <c r="K1453" s="1147">
        <v>10</v>
      </c>
      <c r="L1453" s="1066" t="s">
        <v>988</v>
      </c>
      <c r="M1453" s="959">
        <v>2250000</v>
      </c>
      <c r="N1453" s="1066" t="s">
        <v>616</v>
      </c>
      <c r="O1453" s="1067" t="s">
        <v>616</v>
      </c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237">
        <f>MAX(J1454/J1484)</f>
        <v>5.650994575045208E-3</v>
      </c>
      <c r="AD1453" s="235">
        <f t="shared" si="270"/>
        <v>12714.737793851718</v>
      </c>
      <c r="AE1453" s="238">
        <f>MAX(I1454/I1484)</f>
        <v>6.3755180108383807E-3</v>
      </c>
      <c r="AF1453" s="235" t="e">
        <f t="shared" si="271"/>
        <v>#VALUE!</v>
      </c>
      <c r="AG1453" s="238">
        <f>MAX(H1454/H1484)</f>
        <v>8.1070125658694783E-3</v>
      </c>
      <c r="AH1453" s="235" t="e">
        <f t="shared" si="272"/>
        <v>#VALUE!</v>
      </c>
    </row>
    <row r="1454" spans="1:34" ht="15" customHeight="1" x14ac:dyDescent="0.2">
      <c r="A1454" s="962" t="s">
        <v>363</v>
      </c>
      <c r="B1454" s="1498">
        <v>1</v>
      </c>
      <c r="C1454" s="1146">
        <v>0</v>
      </c>
      <c r="D1454" s="1146">
        <v>0</v>
      </c>
      <c r="E1454" s="1146">
        <v>0</v>
      </c>
      <c r="F1454" s="1146">
        <v>0</v>
      </c>
      <c r="G1454" s="1146">
        <v>0</v>
      </c>
      <c r="H1454" s="1146">
        <v>1</v>
      </c>
      <c r="I1454" s="1146">
        <v>1</v>
      </c>
      <c r="J1454" s="1147">
        <v>5</v>
      </c>
      <c r="K1454" s="1147">
        <v>5</v>
      </c>
      <c r="L1454" s="1066" t="s">
        <v>988</v>
      </c>
      <c r="M1454" s="959">
        <v>2250000</v>
      </c>
      <c r="N1454" s="1066" t="s">
        <v>616</v>
      </c>
      <c r="O1454" s="1067" t="s">
        <v>616</v>
      </c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237">
        <f>MAX(J1455/J1484)</f>
        <v>0</v>
      </c>
      <c r="AD1454" s="235">
        <f t="shared" si="270"/>
        <v>0</v>
      </c>
      <c r="AE1454" s="238">
        <f>MAX(I1455/I1484)</f>
        <v>0</v>
      </c>
      <c r="AF1454" s="235">
        <f t="shared" si="271"/>
        <v>0</v>
      </c>
      <c r="AG1454" s="238">
        <f>MAX(H1455/H1484)</f>
        <v>0</v>
      </c>
      <c r="AH1454" s="235">
        <f t="shared" si="272"/>
        <v>0</v>
      </c>
    </row>
    <row r="1455" spans="1:34" ht="15" customHeight="1" x14ac:dyDescent="0.2">
      <c r="A1455" s="962" t="s">
        <v>939</v>
      </c>
      <c r="B1455" s="1498">
        <v>0</v>
      </c>
      <c r="C1455" s="1146">
        <v>0</v>
      </c>
      <c r="D1455" s="1146">
        <v>0</v>
      </c>
      <c r="E1455" s="1146">
        <v>0</v>
      </c>
      <c r="F1455" s="1146">
        <v>0</v>
      </c>
      <c r="G1455" s="1146">
        <v>0</v>
      </c>
      <c r="H1455" s="1146">
        <v>0</v>
      </c>
      <c r="I1455" s="1146">
        <v>0</v>
      </c>
      <c r="J1455" s="1147">
        <v>0</v>
      </c>
      <c r="K1455" s="1147">
        <v>0</v>
      </c>
      <c r="L1455" s="1148"/>
      <c r="M1455" s="959"/>
      <c r="N1455" s="959"/>
      <c r="O1455" s="114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237">
        <f>MAX(J1456/J1484)</f>
        <v>0</v>
      </c>
      <c r="AD1455" s="235">
        <f t="shared" si="270"/>
        <v>0</v>
      </c>
      <c r="AE1455" s="238">
        <f>MAX(I1456/I1484)</f>
        <v>0</v>
      </c>
      <c r="AF1455" s="235">
        <f t="shared" si="271"/>
        <v>0</v>
      </c>
      <c r="AG1455" s="238">
        <f>MAX(H1456/H1484)</f>
        <v>0</v>
      </c>
      <c r="AH1455" s="235">
        <f t="shared" si="272"/>
        <v>0</v>
      </c>
    </row>
    <row r="1456" spans="1:34" ht="15" customHeight="1" x14ac:dyDescent="0.2">
      <c r="A1456" s="962" t="s">
        <v>365</v>
      </c>
      <c r="B1456" s="1498">
        <v>0</v>
      </c>
      <c r="C1456" s="1146"/>
      <c r="D1456" s="1146"/>
      <c r="E1456" s="1146"/>
      <c r="F1456" s="1146"/>
      <c r="G1456" s="1146"/>
      <c r="H1456" s="1146">
        <v>0</v>
      </c>
      <c r="I1456" s="1146">
        <v>0</v>
      </c>
      <c r="J1456" s="1147">
        <v>0</v>
      </c>
      <c r="K1456" s="1147"/>
      <c r="L1456" s="1066"/>
      <c r="M1456" s="959"/>
      <c r="N1456" s="1066"/>
      <c r="O1456" s="1067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237">
        <f>MAX(J1457/J1484)</f>
        <v>0</v>
      </c>
      <c r="AD1456" s="235">
        <f t="shared" si="270"/>
        <v>0</v>
      </c>
      <c r="AE1456" s="238">
        <f>MAX(I1457/I1484)</f>
        <v>0</v>
      </c>
      <c r="AF1456" s="235">
        <f t="shared" si="271"/>
        <v>0</v>
      </c>
      <c r="AG1456" s="238">
        <f>MAX(H1457/H1484)</f>
        <v>0</v>
      </c>
      <c r="AH1456" s="235">
        <f t="shared" si="272"/>
        <v>0</v>
      </c>
    </row>
    <row r="1457" spans="1:34" ht="15" customHeight="1" x14ac:dyDescent="0.2">
      <c r="A1457" s="962" t="s">
        <v>366</v>
      </c>
      <c r="B1457" s="1498">
        <v>0</v>
      </c>
      <c r="C1457" s="1146"/>
      <c r="D1457" s="1146"/>
      <c r="E1457" s="1146"/>
      <c r="F1457" s="1146"/>
      <c r="G1457" s="1146"/>
      <c r="H1457" s="1146">
        <v>0</v>
      </c>
      <c r="I1457" s="1146">
        <v>0</v>
      </c>
      <c r="J1457" s="1147">
        <v>0</v>
      </c>
      <c r="K1457" s="1147"/>
      <c r="L1457" s="1148"/>
      <c r="M1457" s="959"/>
      <c r="N1457" s="959"/>
      <c r="O1457" s="114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237">
        <f>MAX(J1458/J1484)</f>
        <v>0</v>
      </c>
      <c r="AD1457" s="235">
        <f t="shared" si="270"/>
        <v>0</v>
      </c>
      <c r="AE1457" s="238">
        <f>MAX(I1458/I1484)</f>
        <v>0</v>
      </c>
      <c r="AF1457" s="235">
        <f t="shared" si="271"/>
        <v>0</v>
      </c>
      <c r="AG1457" s="238">
        <f>MAX(H1458/H1484)</f>
        <v>0</v>
      </c>
      <c r="AH1457" s="235">
        <f t="shared" si="272"/>
        <v>0</v>
      </c>
    </row>
    <row r="1458" spans="1:34" ht="15" customHeight="1" x14ac:dyDescent="0.2">
      <c r="A1458" s="962" t="s">
        <v>367</v>
      </c>
      <c r="B1458" s="1498">
        <v>0</v>
      </c>
      <c r="C1458" s="1146"/>
      <c r="D1458" s="1146"/>
      <c r="E1458" s="1146"/>
      <c r="F1458" s="1146"/>
      <c r="G1458" s="1146"/>
      <c r="H1458" s="1146">
        <v>0</v>
      </c>
      <c r="I1458" s="1146">
        <v>0</v>
      </c>
      <c r="J1458" s="1147">
        <v>0</v>
      </c>
      <c r="K1458" s="1147"/>
      <c r="L1458" s="1148"/>
      <c r="M1458" s="959"/>
      <c r="N1458" s="959"/>
      <c r="O1458" s="114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1157"/>
      <c r="AD1458" s="1156"/>
      <c r="AE1458" s="1158"/>
      <c r="AF1458" s="1156"/>
      <c r="AG1458" s="1158"/>
      <c r="AH1458" s="1156"/>
    </row>
    <row r="1459" spans="1:34" ht="15" customHeight="1" x14ac:dyDescent="0.2">
      <c r="A1459" s="434" t="s">
        <v>940</v>
      </c>
      <c r="B1459" s="1002">
        <v>12.850000000000001</v>
      </c>
      <c r="C1459" s="1002">
        <v>3</v>
      </c>
      <c r="D1459" s="1002">
        <v>0</v>
      </c>
      <c r="E1459" s="1002">
        <v>1</v>
      </c>
      <c r="F1459" s="1002">
        <v>1</v>
      </c>
      <c r="G1459" s="1002">
        <v>3.5</v>
      </c>
      <c r="H1459" s="1002">
        <v>7.3500000000000014</v>
      </c>
      <c r="I1459" s="1002">
        <v>13.850000000000001</v>
      </c>
      <c r="J1459" s="1150">
        <v>39.100000000000009</v>
      </c>
      <c r="K1459" s="1150">
        <v>5.3197278911564627</v>
      </c>
      <c r="L1459" s="1152"/>
      <c r="M1459" s="996"/>
      <c r="N1459" s="996"/>
      <c r="O1459" s="1153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237">
        <f>MAX(J1460/J1484)</f>
        <v>2.6107594936708872E-2</v>
      </c>
      <c r="AD1459" s="235">
        <f>MAX(M1460*AC1459)</f>
        <v>58742.08860759496</v>
      </c>
      <c r="AE1459" s="238">
        <f>MAX(I1460/I1484)</f>
        <v>6.279885240675806E-2</v>
      </c>
      <c r="AF1459" s="235" t="e">
        <f>MAX(N1460*AE1459)</f>
        <v>#VALUE!</v>
      </c>
      <c r="AG1459" s="238">
        <f>MAX(H1460/H1484)</f>
        <v>3.1211998378597498E-2</v>
      </c>
      <c r="AH1459" s="235" t="e">
        <f>MAX(O1460*AG1459)</f>
        <v>#VALUE!</v>
      </c>
    </row>
    <row r="1460" spans="1:34" ht="15" customHeight="1" x14ac:dyDescent="0.2">
      <c r="A1460" s="962" t="s">
        <v>369</v>
      </c>
      <c r="B1460" s="1498">
        <v>8.8500000000000014</v>
      </c>
      <c r="C1460" s="1146">
        <v>3</v>
      </c>
      <c r="D1460" s="1146">
        <v>0</v>
      </c>
      <c r="E1460" s="1146">
        <v>1</v>
      </c>
      <c r="F1460" s="1146">
        <v>1</v>
      </c>
      <c r="G1460" s="1146">
        <v>3</v>
      </c>
      <c r="H1460" s="1146">
        <v>3.8500000000000014</v>
      </c>
      <c r="I1460" s="1146">
        <v>9.8500000000000014</v>
      </c>
      <c r="J1460" s="1147">
        <v>23.100000000000009</v>
      </c>
      <c r="K1460" s="1147">
        <v>6</v>
      </c>
      <c r="L1460" s="1066" t="s">
        <v>988</v>
      </c>
      <c r="M1460" s="959">
        <v>2250000</v>
      </c>
      <c r="N1460" s="1066" t="s">
        <v>616</v>
      </c>
      <c r="O1460" s="1067" t="s">
        <v>616</v>
      </c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237">
        <f>MAX(J1461/J1484)</f>
        <v>1.1301989150090416E-2</v>
      </c>
      <c r="AD1460" s="235">
        <f>MAX(M1461*AC1460)</f>
        <v>25429.475587703437</v>
      </c>
      <c r="AE1460" s="238">
        <f>MAX(I1461/I1484)</f>
        <v>1.2751036021676761E-2</v>
      </c>
      <c r="AF1460" s="235" t="e">
        <f>MAX(N1461*AE1460)</f>
        <v>#VALUE!</v>
      </c>
      <c r="AG1460" s="238">
        <f>MAX(H1461/H1484)</f>
        <v>1.6214025131738957E-2</v>
      </c>
      <c r="AH1460" s="235" t="e">
        <f>MAX(O1461*AG1460)</f>
        <v>#VALUE!</v>
      </c>
    </row>
    <row r="1461" spans="1:34" ht="15" customHeight="1" x14ac:dyDescent="0.2">
      <c r="A1461" s="962" t="s">
        <v>370</v>
      </c>
      <c r="B1461" s="1498">
        <v>2</v>
      </c>
      <c r="C1461" s="1146">
        <v>0</v>
      </c>
      <c r="D1461" s="1146">
        <v>0</v>
      </c>
      <c r="E1461" s="1146">
        <v>0</v>
      </c>
      <c r="F1461" s="1146">
        <v>0</v>
      </c>
      <c r="G1461" s="1146">
        <v>0</v>
      </c>
      <c r="H1461" s="1146">
        <v>2</v>
      </c>
      <c r="I1461" s="1146">
        <v>2</v>
      </c>
      <c r="J1461" s="1147">
        <v>10</v>
      </c>
      <c r="K1461" s="1147">
        <v>5</v>
      </c>
      <c r="L1461" s="1066" t="s">
        <v>988</v>
      </c>
      <c r="M1461" s="959">
        <v>2250000</v>
      </c>
      <c r="N1461" s="1066" t="s">
        <v>616</v>
      </c>
      <c r="O1461" s="1067" t="s">
        <v>616</v>
      </c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237">
        <f>MAX(J1462/J1484)</f>
        <v>0</v>
      </c>
      <c r="AD1461" s="235">
        <f>MAX(M1462*AC1461)</f>
        <v>0</v>
      </c>
      <c r="AE1461" s="238">
        <f>MAX(I1462/I1484)</f>
        <v>0</v>
      </c>
      <c r="AF1461" s="235">
        <f>MAX(N1462*AE1461)</f>
        <v>0</v>
      </c>
      <c r="AG1461" s="238">
        <f>MAX(H1462/H1484)</f>
        <v>0</v>
      </c>
      <c r="AH1461" s="235">
        <f>MAX(O1462*AG1461)</f>
        <v>0</v>
      </c>
    </row>
    <row r="1462" spans="1:34" ht="15" customHeight="1" x14ac:dyDescent="0.2">
      <c r="A1462" s="962" t="s">
        <v>371</v>
      </c>
      <c r="B1462" s="1498">
        <v>0</v>
      </c>
      <c r="C1462" s="1146">
        <v>0</v>
      </c>
      <c r="D1462" s="1146">
        <v>0</v>
      </c>
      <c r="E1462" s="1146">
        <v>0</v>
      </c>
      <c r="F1462" s="1146">
        <v>0</v>
      </c>
      <c r="G1462" s="1146">
        <v>0</v>
      </c>
      <c r="H1462" s="1146">
        <v>0</v>
      </c>
      <c r="I1462" s="1146">
        <v>0</v>
      </c>
      <c r="J1462" s="1147">
        <v>0</v>
      </c>
      <c r="K1462" s="1147">
        <v>0</v>
      </c>
      <c r="L1462" s="1066"/>
      <c r="M1462" s="959"/>
      <c r="N1462" s="1066"/>
      <c r="O1462" s="1067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237">
        <f>MAX(J1463/J1484)</f>
        <v>6.7811934900542502E-3</v>
      </c>
      <c r="AD1462" s="235">
        <f>MAX(M1463*AC1462)</f>
        <v>15257.685352622064</v>
      </c>
      <c r="AE1462" s="238">
        <f>MAX(I1463/I1484)</f>
        <v>1.2751036021676761E-2</v>
      </c>
      <c r="AF1462" s="235" t="e">
        <f>MAX(N1463*AE1462)</f>
        <v>#VALUE!</v>
      </c>
      <c r="AG1462" s="238">
        <f>MAX(H1463/H1484)</f>
        <v>1.2160518848804217E-2</v>
      </c>
      <c r="AH1462" s="235" t="e">
        <f>MAX(O1463*AG1462)</f>
        <v>#VALUE!</v>
      </c>
    </row>
    <row r="1463" spans="1:34" ht="15" customHeight="1" x14ac:dyDescent="0.2">
      <c r="A1463" s="962" t="s">
        <v>372</v>
      </c>
      <c r="B1463" s="1498">
        <v>2</v>
      </c>
      <c r="C1463" s="1146">
        <v>0</v>
      </c>
      <c r="D1463" s="1146">
        <v>0</v>
      </c>
      <c r="E1463" s="1146">
        <v>0</v>
      </c>
      <c r="F1463" s="1146">
        <v>0</v>
      </c>
      <c r="G1463" s="1146">
        <v>0.5</v>
      </c>
      <c r="H1463" s="1146">
        <v>1.5</v>
      </c>
      <c r="I1463" s="1146">
        <v>2</v>
      </c>
      <c r="J1463" s="1147">
        <v>6</v>
      </c>
      <c r="K1463" s="1147">
        <v>4</v>
      </c>
      <c r="L1463" s="1066" t="s">
        <v>988</v>
      </c>
      <c r="M1463" s="959">
        <v>2250000</v>
      </c>
      <c r="N1463" s="1066" t="s">
        <v>616</v>
      </c>
      <c r="O1463" s="1067" t="s">
        <v>616</v>
      </c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237">
        <f>MAX(J1464/J1484)</f>
        <v>0</v>
      </c>
      <c r="AD1463" s="235">
        <f>MAX(M1464*AC1463)</f>
        <v>0</v>
      </c>
      <c r="AE1463" s="238">
        <f>MAX(I1464/I1484)</f>
        <v>0</v>
      </c>
      <c r="AF1463" s="235">
        <f>MAX(N1464*AE1463)</f>
        <v>0</v>
      </c>
      <c r="AG1463" s="238">
        <f>MAX(H1464/H1484)</f>
        <v>0</v>
      </c>
      <c r="AH1463" s="235">
        <f>MAX(O1464*AG1463)</f>
        <v>0</v>
      </c>
    </row>
    <row r="1464" spans="1:34" ht="15" customHeight="1" x14ac:dyDescent="0.2">
      <c r="A1464" s="962" t="s">
        <v>373</v>
      </c>
      <c r="B1464" s="1498">
        <v>0</v>
      </c>
      <c r="C1464" s="1146">
        <v>0</v>
      </c>
      <c r="D1464" s="1146">
        <v>0</v>
      </c>
      <c r="E1464" s="1146">
        <v>0</v>
      </c>
      <c r="F1464" s="1146">
        <v>0</v>
      </c>
      <c r="G1464" s="1146">
        <v>0</v>
      </c>
      <c r="H1464" s="1146">
        <v>0</v>
      </c>
      <c r="I1464" s="1146">
        <v>0</v>
      </c>
      <c r="J1464" s="1147">
        <v>0</v>
      </c>
      <c r="K1464" s="1147">
        <v>0</v>
      </c>
      <c r="L1464" s="1148"/>
      <c r="M1464" s="959"/>
      <c r="N1464" s="959"/>
      <c r="O1464" s="114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1157"/>
      <c r="AD1464" s="1156"/>
      <c r="AE1464" s="1158"/>
      <c r="AF1464" s="1156"/>
      <c r="AG1464" s="1158"/>
      <c r="AH1464" s="1156"/>
    </row>
    <row r="1465" spans="1:34" ht="15" customHeight="1" x14ac:dyDescent="0.2">
      <c r="A1465" s="1154" t="s">
        <v>374</v>
      </c>
      <c r="B1465" s="1002">
        <v>21.5</v>
      </c>
      <c r="C1465" s="1002">
        <v>0</v>
      </c>
      <c r="D1465" s="1002">
        <v>0</v>
      </c>
      <c r="E1465" s="1002">
        <v>0</v>
      </c>
      <c r="F1465" s="1002">
        <v>0</v>
      </c>
      <c r="G1465" s="1002">
        <v>0</v>
      </c>
      <c r="H1465" s="1002">
        <v>21.5</v>
      </c>
      <c r="I1465" s="1002">
        <v>21.5</v>
      </c>
      <c r="J1465" s="1150">
        <v>151.69999999999999</v>
      </c>
      <c r="K1465" s="1150">
        <v>7.0558139534883715</v>
      </c>
      <c r="L1465" s="1152"/>
      <c r="M1465" s="996"/>
      <c r="N1465" s="996"/>
      <c r="O1465" s="1153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237">
        <f>MAX(J1466/J1484)</f>
        <v>0</v>
      </c>
      <c r="AD1465" s="235">
        <f t="shared" ref="AD1465:AD1472" si="273">MAX(M1466*AC1465)</f>
        <v>0</v>
      </c>
      <c r="AE1465" s="238">
        <f>MAX(I1466/I1484)</f>
        <v>0</v>
      </c>
      <c r="AF1465" s="235">
        <f t="shared" ref="AF1465:AF1472" si="274">MAX(N1466*AE1465)</f>
        <v>0</v>
      </c>
      <c r="AG1465" s="238">
        <f>MAX(H1466/H1484)</f>
        <v>0</v>
      </c>
      <c r="AH1465" s="235">
        <f t="shared" ref="AH1465:AH1472" si="275">MAX(O1466*AG1465)</f>
        <v>0</v>
      </c>
    </row>
    <row r="1466" spans="1:34" ht="15" customHeight="1" x14ac:dyDescent="0.2">
      <c r="A1466" s="962" t="s">
        <v>375</v>
      </c>
      <c r="B1466" s="1498">
        <v>0</v>
      </c>
      <c r="C1466" s="1146">
        <v>0</v>
      </c>
      <c r="D1466" s="1146">
        <v>0</v>
      </c>
      <c r="E1466" s="1146">
        <v>0</v>
      </c>
      <c r="F1466" s="1146">
        <v>0</v>
      </c>
      <c r="G1466" s="1146">
        <v>0</v>
      </c>
      <c r="H1466" s="1146">
        <v>0</v>
      </c>
      <c r="I1466" s="1146">
        <v>0</v>
      </c>
      <c r="J1466" s="1147">
        <v>0</v>
      </c>
      <c r="K1466" s="1147">
        <v>0</v>
      </c>
      <c r="L1466" s="1148"/>
      <c r="M1466" s="959"/>
      <c r="N1466" s="959"/>
      <c r="O1466" s="114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237">
        <f>MAX(J1467/J1484)</f>
        <v>0</v>
      </c>
      <c r="AD1466" s="235">
        <f t="shared" si="273"/>
        <v>0</v>
      </c>
      <c r="AE1466" s="238">
        <f>MAX(I1467/I1484)</f>
        <v>0</v>
      </c>
      <c r="AF1466" s="235">
        <f t="shared" si="274"/>
        <v>0</v>
      </c>
      <c r="AG1466" s="238">
        <f>MAX(H1467/H1484)</f>
        <v>0</v>
      </c>
      <c r="AH1466" s="235">
        <f t="shared" si="275"/>
        <v>0</v>
      </c>
    </row>
    <row r="1467" spans="1:34" ht="15" customHeight="1" x14ac:dyDescent="0.2">
      <c r="A1467" s="962" t="s">
        <v>376</v>
      </c>
      <c r="B1467" s="1498">
        <v>0</v>
      </c>
      <c r="C1467" s="1146">
        <v>0</v>
      </c>
      <c r="D1467" s="1146">
        <v>0</v>
      </c>
      <c r="E1467" s="1146">
        <v>0</v>
      </c>
      <c r="F1467" s="1146">
        <v>0</v>
      </c>
      <c r="G1467" s="1146">
        <v>0</v>
      </c>
      <c r="H1467" s="1146">
        <v>0</v>
      </c>
      <c r="I1467" s="1146">
        <v>0</v>
      </c>
      <c r="J1467" s="1147">
        <v>0</v>
      </c>
      <c r="K1467" s="1147">
        <v>0</v>
      </c>
      <c r="L1467" s="1148"/>
      <c r="M1467" s="959"/>
      <c r="N1467" s="959"/>
      <c r="O1467" s="114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237">
        <f>MAX(J1468/J1484)</f>
        <v>0</v>
      </c>
      <c r="AD1467" s="235">
        <f t="shared" si="273"/>
        <v>0</v>
      </c>
      <c r="AE1467" s="238">
        <f>MAX(I1468/I1484)</f>
        <v>0</v>
      </c>
      <c r="AF1467" s="235">
        <f t="shared" si="274"/>
        <v>0</v>
      </c>
      <c r="AG1467" s="238">
        <f>MAX(H1468/H1484)</f>
        <v>0</v>
      </c>
      <c r="AH1467" s="235">
        <f t="shared" si="275"/>
        <v>0</v>
      </c>
    </row>
    <row r="1468" spans="1:34" ht="15" customHeight="1" x14ac:dyDescent="0.2">
      <c r="A1468" s="962" t="s">
        <v>377</v>
      </c>
      <c r="B1468" s="1498">
        <v>0</v>
      </c>
      <c r="C1468" s="1146"/>
      <c r="D1468" s="1146"/>
      <c r="E1468" s="1146"/>
      <c r="F1468" s="1146"/>
      <c r="G1468" s="1146"/>
      <c r="H1468" s="1146">
        <v>0</v>
      </c>
      <c r="I1468" s="1146">
        <v>0</v>
      </c>
      <c r="J1468" s="1147">
        <v>0</v>
      </c>
      <c r="K1468" s="1147">
        <v>0</v>
      </c>
      <c r="L1468" s="1148"/>
      <c r="M1468" s="959"/>
      <c r="N1468" s="959"/>
      <c r="O1468" s="114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237">
        <f>MAX(J1469/J1484)</f>
        <v>4.8824593128390603E-2</v>
      </c>
      <c r="AD1468" s="235">
        <f t="shared" si="273"/>
        <v>109855.33453887886</v>
      </c>
      <c r="AE1468" s="238">
        <f>MAX(I1469/I1484)</f>
        <v>3.8253108065030288E-2</v>
      </c>
      <c r="AF1468" s="235" t="e">
        <f t="shared" si="274"/>
        <v>#VALUE!</v>
      </c>
      <c r="AG1468" s="238">
        <f>MAX(H1469/H1484)</f>
        <v>4.8642075395216866E-2</v>
      </c>
      <c r="AH1468" s="235" t="e">
        <f t="shared" si="275"/>
        <v>#VALUE!</v>
      </c>
    </row>
    <row r="1469" spans="1:34" ht="15" customHeight="1" x14ac:dyDescent="0.2">
      <c r="A1469" s="962" t="s">
        <v>378</v>
      </c>
      <c r="B1469" s="1498">
        <v>6</v>
      </c>
      <c r="C1469" s="1146">
        <v>0</v>
      </c>
      <c r="D1469" s="1146">
        <v>0</v>
      </c>
      <c r="E1469" s="1146">
        <v>0</v>
      </c>
      <c r="F1469" s="1146">
        <v>0</v>
      </c>
      <c r="G1469" s="1146">
        <v>0</v>
      </c>
      <c r="H1469" s="1146">
        <v>6</v>
      </c>
      <c r="I1469" s="1146">
        <v>6</v>
      </c>
      <c r="J1469" s="1147">
        <v>43.2</v>
      </c>
      <c r="K1469" s="1147">
        <v>7.2</v>
      </c>
      <c r="L1469" s="1066" t="s">
        <v>988</v>
      </c>
      <c r="M1469" s="959">
        <v>2250000</v>
      </c>
      <c r="N1469" s="1066" t="s">
        <v>616</v>
      </c>
      <c r="O1469" s="1067" t="s">
        <v>616</v>
      </c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237">
        <f>MAX(J1470/J1484)</f>
        <v>5.5379746835443042E-2</v>
      </c>
      <c r="AD1469" s="235">
        <f t="shared" si="273"/>
        <v>124604.43037974685</v>
      </c>
      <c r="AE1469" s="238">
        <f>MAX(I1470/I1484)</f>
        <v>4.4628626075868663E-2</v>
      </c>
      <c r="AF1469" s="235" t="e">
        <f t="shared" si="274"/>
        <v>#VALUE!</v>
      </c>
      <c r="AG1469" s="238">
        <f>MAX(H1470/H1484)</f>
        <v>5.6749087961086339E-2</v>
      </c>
      <c r="AH1469" s="235" t="e">
        <f t="shared" si="275"/>
        <v>#VALUE!</v>
      </c>
    </row>
    <row r="1470" spans="1:34" ht="15" customHeight="1" x14ac:dyDescent="0.2">
      <c r="A1470" s="962" t="s">
        <v>379</v>
      </c>
      <c r="B1470" s="1498">
        <v>7</v>
      </c>
      <c r="C1470" s="1146"/>
      <c r="D1470" s="1146"/>
      <c r="E1470" s="1146"/>
      <c r="F1470" s="1146"/>
      <c r="G1470" s="1146"/>
      <c r="H1470" s="1146">
        <v>7</v>
      </c>
      <c r="I1470" s="1146">
        <v>7</v>
      </c>
      <c r="J1470" s="1147">
        <v>49</v>
      </c>
      <c r="K1470" s="1147">
        <v>7</v>
      </c>
      <c r="L1470" s="1066" t="s">
        <v>988</v>
      </c>
      <c r="M1470" s="959">
        <v>2250000</v>
      </c>
      <c r="N1470" s="1066" t="s">
        <v>616</v>
      </c>
      <c r="O1470" s="1067" t="s">
        <v>616</v>
      </c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237">
        <f>MAX(J1471/J1484)</f>
        <v>0</v>
      </c>
      <c r="AD1470" s="235">
        <f t="shared" si="273"/>
        <v>0</v>
      </c>
      <c r="AE1470" s="238">
        <f>MAX(I1471/I1484)</f>
        <v>0</v>
      </c>
      <c r="AF1470" s="235">
        <f t="shared" si="274"/>
        <v>0</v>
      </c>
      <c r="AG1470" s="238">
        <f>MAX(H1471/H1484)</f>
        <v>0</v>
      </c>
      <c r="AH1470" s="235">
        <f t="shared" si="275"/>
        <v>0</v>
      </c>
    </row>
    <row r="1471" spans="1:34" ht="15" customHeight="1" x14ac:dyDescent="0.2">
      <c r="A1471" s="962" t="s">
        <v>380</v>
      </c>
      <c r="B1471" s="1498">
        <v>0</v>
      </c>
      <c r="C1471" s="1146">
        <v>0</v>
      </c>
      <c r="D1471" s="1146">
        <v>0</v>
      </c>
      <c r="E1471" s="1146">
        <v>0</v>
      </c>
      <c r="F1471" s="1146">
        <v>0</v>
      </c>
      <c r="G1471" s="1146">
        <v>0</v>
      </c>
      <c r="H1471" s="1146">
        <v>0</v>
      </c>
      <c r="I1471" s="1146">
        <v>0</v>
      </c>
      <c r="J1471" s="1147">
        <v>0</v>
      </c>
      <c r="K1471" s="1147">
        <v>0</v>
      </c>
      <c r="L1471" s="1148"/>
      <c r="M1471" s="959"/>
      <c r="N1471" s="959"/>
      <c r="O1471" s="114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237">
        <f>MAX(J1472/J1484)</f>
        <v>6.7246835443037972E-2</v>
      </c>
      <c r="AD1471" s="235">
        <f t="shared" si="273"/>
        <v>151305.37974683545</v>
      </c>
      <c r="AE1471" s="238">
        <f>MAX(I1472/I1484)</f>
        <v>5.4191903092126237E-2</v>
      </c>
      <c r="AF1471" s="235" t="e">
        <f t="shared" si="274"/>
        <v>#VALUE!</v>
      </c>
      <c r="AG1471" s="238">
        <f>MAX(H1472/H1484)</f>
        <v>6.8909606809890556E-2</v>
      </c>
      <c r="AH1471" s="235" t="e">
        <f t="shared" si="275"/>
        <v>#VALUE!</v>
      </c>
    </row>
    <row r="1472" spans="1:34" ht="15" customHeight="1" x14ac:dyDescent="0.2">
      <c r="A1472" s="962" t="s">
        <v>381</v>
      </c>
      <c r="B1472" s="1498">
        <v>8.5</v>
      </c>
      <c r="C1472" s="1146"/>
      <c r="D1472" s="1146"/>
      <c r="E1472" s="1146"/>
      <c r="F1472" s="1146"/>
      <c r="G1472" s="1146"/>
      <c r="H1472" s="1146">
        <v>8.5</v>
      </c>
      <c r="I1472" s="1146">
        <v>8.5</v>
      </c>
      <c r="J1472" s="1147">
        <v>59.5</v>
      </c>
      <c r="K1472" s="1147">
        <v>7</v>
      </c>
      <c r="L1472" s="1066" t="s">
        <v>988</v>
      </c>
      <c r="M1472" s="959">
        <v>2250000</v>
      </c>
      <c r="N1472" s="1066" t="s">
        <v>616</v>
      </c>
      <c r="O1472" s="1067" t="s">
        <v>616</v>
      </c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237">
        <f>MAX(J1473/J1484)</f>
        <v>0</v>
      </c>
      <c r="AD1472" s="235">
        <f t="shared" si="273"/>
        <v>0</v>
      </c>
      <c r="AE1472" s="238">
        <f>MAX(I1473/I1484)</f>
        <v>0</v>
      </c>
      <c r="AF1472" s="235">
        <f t="shared" si="274"/>
        <v>0</v>
      </c>
      <c r="AG1472" s="238">
        <f>MAX(H1473/H1484)</f>
        <v>0</v>
      </c>
      <c r="AH1472" s="235">
        <f t="shared" si="275"/>
        <v>0</v>
      </c>
    </row>
    <row r="1473" spans="1:34" ht="15" customHeight="1" x14ac:dyDescent="0.2">
      <c r="A1473" s="962" t="s">
        <v>382</v>
      </c>
      <c r="B1473" s="1498">
        <v>0</v>
      </c>
      <c r="C1473" s="1146">
        <v>0</v>
      </c>
      <c r="D1473" s="1146">
        <v>0</v>
      </c>
      <c r="E1473" s="1146">
        <v>0</v>
      </c>
      <c r="F1473" s="1146">
        <v>0</v>
      </c>
      <c r="G1473" s="1146">
        <v>0</v>
      </c>
      <c r="H1473" s="1146">
        <v>0</v>
      </c>
      <c r="I1473" s="1146">
        <v>0</v>
      </c>
      <c r="J1473" s="1147">
        <v>0</v>
      </c>
      <c r="K1473" s="1147">
        <v>0</v>
      </c>
      <c r="L1473" s="1148"/>
      <c r="M1473" s="959"/>
      <c r="N1473" s="959"/>
      <c r="O1473" s="114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1157"/>
      <c r="AD1473" s="1156"/>
      <c r="AE1473" s="1158"/>
      <c r="AF1473" s="1156"/>
      <c r="AG1473" s="1158"/>
      <c r="AH1473" s="1156"/>
    </row>
    <row r="1474" spans="1:34" ht="15" customHeight="1" x14ac:dyDescent="0.2">
      <c r="A1474" s="1154" t="s">
        <v>383</v>
      </c>
      <c r="B1474" s="1002">
        <v>47</v>
      </c>
      <c r="C1474" s="1002">
        <v>6</v>
      </c>
      <c r="D1474" s="1002">
        <v>3</v>
      </c>
      <c r="E1474" s="1002">
        <v>2</v>
      </c>
      <c r="F1474" s="1002">
        <v>0</v>
      </c>
      <c r="G1474" s="1002">
        <v>14</v>
      </c>
      <c r="H1474" s="1002">
        <v>28</v>
      </c>
      <c r="I1474" s="1002">
        <v>51</v>
      </c>
      <c r="J1474" s="1150">
        <v>185</v>
      </c>
      <c r="K1474" s="1151"/>
      <c r="L1474" s="1152"/>
      <c r="M1474" s="996"/>
      <c r="N1474" s="996"/>
      <c r="O1474" s="1153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237">
        <f>MAX(J1475/J1484)</f>
        <v>0</v>
      </c>
      <c r="AD1474" s="235">
        <f t="shared" ref="AD1474:AD1482" si="276">MAX(M1475*AC1474)</f>
        <v>0</v>
      </c>
      <c r="AE1474" s="238">
        <f>MAX(I1475/I1484)</f>
        <v>0</v>
      </c>
      <c r="AF1474" s="235">
        <f t="shared" ref="AF1474:AF1482" si="277">MAX(N1475*AE1474)</f>
        <v>0</v>
      </c>
      <c r="AG1474" s="238">
        <f>MAX(H1475/H1484)</f>
        <v>0</v>
      </c>
      <c r="AH1474" s="235">
        <f t="shared" ref="AH1474:AH1482" si="278">MAX(O1475*AG1474)</f>
        <v>0</v>
      </c>
    </row>
    <row r="1475" spans="1:34" ht="15" customHeight="1" x14ac:dyDescent="0.2">
      <c r="A1475" s="962" t="s">
        <v>384</v>
      </c>
      <c r="B1475" s="1498">
        <v>0</v>
      </c>
      <c r="C1475" s="1146">
        <v>0</v>
      </c>
      <c r="D1475" s="1146">
        <v>0</v>
      </c>
      <c r="E1475" s="1146">
        <v>0</v>
      </c>
      <c r="F1475" s="1146">
        <v>0</v>
      </c>
      <c r="G1475" s="1146">
        <v>0</v>
      </c>
      <c r="H1475" s="1146">
        <v>0</v>
      </c>
      <c r="I1475" s="1146">
        <v>0</v>
      </c>
      <c r="J1475" s="1147">
        <v>0</v>
      </c>
      <c r="K1475" s="1147">
        <v>0</v>
      </c>
      <c r="L1475" s="1148"/>
      <c r="M1475" s="959"/>
      <c r="N1475" s="959"/>
      <c r="O1475" s="114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237">
        <f>MAX(J1476/J1484)</f>
        <v>0</v>
      </c>
      <c r="AD1475" s="235">
        <f t="shared" si="276"/>
        <v>0</v>
      </c>
      <c r="AE1475" s="238">
        <f>MAX(I1476/I1484)</f>
        <v>0</v>
      </c>
      <c r="AF1475" s="235">
        <f t="shared" si="277"/>
        <v>0</v>
      </c>
      <c r="AG1475" s="238">
        <f>MAX(H1476/H1484)</f>
        <v>0</v>
      </c>
      <c r="AH1475" s="235">
        <f t="shared" si="278"/>
        <v>0</v>
      </c>
    </row>
    <row r="1476" spans="1:34" ht="15" customHeight="1" x14ac:dyDescent="0.2">
      <c r="A1476" s="962" t="s">
        <v>385</v>
      </c>
      <c r="B1476" s="1498">
        <v>0</v>
      </c>
      <c r="C1476" s="1146">
        <v>0</v>
      </c>
      <c r="D1476" s="1146">
        <v>0</v>
      </c>
      <c r="E1476" s="1146">
        <v>0</v>
      </c>
      <c r="F1476" s="1146">
        <v>0</v>
      </c>
      <c r="G1476" s="1146">
        <v>0</v>
      </c>
      <c r="H1476" s="1146">
        <v>0</v>
      </c>
      <c r="I1476" s="1146">
        <v>0</v>
      </c>
      <c r="J1476" s="1147">
        <v>0</v>
      </c>
      <c r="K1476" s="1147">
        <v>0</v>
      </c>
      <c r="L1476" s="1148"/>
      <c r="M1476" s="959"/>
      <c r="N1476" s="959"/>
      <c r="O1476" s="114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237">
        <f>MAX(J1477/J1484)</f>
        <v>0</v>
      </c>
      <c r="AD1476" s="235">
        <f t="shared" si="276"/>
        <v>0</v>
      </c>
      <c r="AE1476" s="238">
        <f>MAX(I1477/I1484)</f>
        <v>0</v>
      </c>
      <c r="AF1476" s="235">
        <f t="shared" si="277"/>
        <v>0</v>
      </c>
      <c r="AG1476" s="238">
        <f>MAX(H1477/H1484)</f>
        <v>0</v>
      </c>
      <c r="AH1476" s="235">
        <f t="shared" si="278"/>
        <v>0</v>
      </c>
    </row>
    <row r="1477" spans="1:34" ht="15" customHeight="1" x14ac:dyDescent="0.2">
      <c r="A1477" s="962" t="s">
        <v>386</v>
      </c>
      <c r="B1477" s="1498">
        <v>0</v>
      </c>
      <c r="C1477" s="1146">
        <v>0</v>
      </c>
      <c r="D1477" s="1146">
        <v>0</v>
      </c>
      <c r="E1477" s="1146">
        <v>0</v>
      </c>
      <c r="F1477" s="1146">
        <v>0</v>
      </c>
      <c r="G1477" s="1146">
        <v>0</v>
      </c>
      <c r="H1477" s="1146">
        <v>0</v>
      </c>
      <c r="I1477" s="1146">
        <v>0</v>
      </c>
      <c r="J1477" s="1147">
        <v>0</v>
      </c>
      <c r="K1477" s="1147">
        <v>0</v>
      </c>
      <c r="L1477" s="1066"/>
      <c r="M1477" s="959"/>
      <c r="N1477" s="1066"/>
      <c r="O1477" s="1067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237">
        <f>MAX(J1478/J1484)</f>
        <v>0.13449367088607594</v>
      </c>
      <c r="AD1477" s="235">
        <f t="shared" si="276"/>
        <v>302610.75949367089</v>
      </c>
      <c r="AE1477" s="238">
        <f>MAX(I1478/I1484)</f>
        <v>0.22951864839018171</v>
      </c>
      <c r="AF1477" s="235" t="e">
        <f t="shared" si="277"/>
        <v>#VALUE!</v>
      </c>
      <c r="AG1477" s="238">
        <f>MAX(H1478/H1484)</f>
        <v>0.13781921361978111</v>
      </c>
      <c r="AH1477" s="235" t="e">
        <f t="shared" si="278"/>
        <v>#VALUE!</v>
      </c>
    </row>
    <row r="1478" spans="1:34" ht="15" customHeight="1" x14ac:dyDescent="0.2">
      <c r="A1478" s="962" t="s">
        <v>387</v>
      </c>
      <c r="B1478" s="1498">
        <v>32</v>
      </c>
      <c r="C1478" s="1146">
        <v>6</v>
      </c>
      <c r="D1478" s="1146">
        <v>3</v>
      </c>
      <c r="E1478" s="1146">
        <v>2</v>
      </c>
      <c r="F1478" s="1146">
        <v>0</v>
      </c>
      <c r="G1478" s="1146">
        <v>10</v>
      </c>
      <c r="H1478" s="1146">
        <v>17</v>
      </c>
      <c r="I1478" s="1146">
        <v>36</v>
      </c>
      <c r="J1478" s="1147">
        <v>119</v>
      </c>
      <c r="K1478" s="1147">
        <v>7</v>
      </c>
      <c r="L1478" s="1066" t="s">
        <v>988</v>
      </c>
      <c r="M1478" s="959">
        <v>2250000</v>
      </c>
      <c r="N1478" s="1066" t="s">
        <v>616</v>
      </c>
      <c r="O1478" s="1067" t="s">
        <v>616</v>
      </c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237">
        <f>MAX(J1479/J1484)</f>
        <v>0</v>
      </c>
      <c r="AD1478" s="235">
        <f t="shared" si="276"/>
        <v>0</v>
      </c>
      <c r="AE1478" s="238">
        <f>MAX(I1479/I1484)</f>
        <v>0</v>
      </c>
      <c r="AF1478" s="235">
        <f t="shared" si="277"/>
        <v>0</v>
      </c>
      <c r="AG1478" s="238">
        <f>MAX(H1479/H1484)</f>
        <v>0</v>
      </c>
      <c r="AH1478" s="235">
        <f t="shared" si="278"/>
        <v>0</v>
      </c>
    </row>
    <row r="1479" spans="1:34" ht="15" customHeight="1" x14ac:dyDescent="0.2">
      <c r="A1479" s="962" t="s">
        <v>388</v>
      </c>
      <c r="B1479" s="1498">
        <v>0</v>
      </c>
      <c r="C1479" s="1146"/>
      <c r="D1479" s="1146"/>
      <c r="E1479" s="1146"/>
      <c r="F1479" s="1146"/>
      <c r="G1479" s="1146"/>
      <c r="H1479" s="1146">
        <v>0</v>
      </c>
      <c r="I1479" s="1146">
        <v>0</v>
      </c>
      <c r="J1479" s="1147">
        <v>0</v>
      </c>
      <c r="K1479" s="1147"/>
      <c r="L1479" s="1148"/>
      <c r="M1479" s="959"/>
      <c r="N1479" s="959"/>
      <c r="O1479" s="114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237">
        <f>MAX(J1480/J1484)</f>
        <v>7.4593128390596744E-2</v>
      </c>
      <c r="AD1479" s="235">
        <f t="shared" si="276"/>
        <v>167834.53887884266</v>
      </c>
      <c r="AE1479" s="238">
        <f>MAX(I1480/I1484)</f>
        <v>9.5632770162575709E-2</v>
      </c>
      <c r="AF1479" s="235" t="e">
        <f t="shared" si="277"/>
        <v>#VALUE!</v>
      </c>
      <c r="AG1479" s="238">
        <f>MAX(H1480/H1484)</f>
        <v>8.9177138224564259E-2</v>
      </c>
      <c r="AH1479" s="235" t="e">
        <f t="shared" si="278"/>
        <v>#VALUE!</v>
      </c>
    </row>
    <row r="1480" spans="1:34" ht="15" customHeight="1" x14ac:dyDescent="0.2">
      <c r="A1480" s="962" t="s">
        <v>389</v>
      </c>
      <c r="B1480" s="1498">
        <v>15</v>
      </c>
      <c r="C1480" s="1146">
        <v>0</v>
      </c>
      <c r="D1480" s="1146"/>
      <c r="E1480" s="1146"/>
      <c r="F1480" s="1146"/>
      <c r="G1480" s="1146">
        <v>4</v>
      </c>
      <c r="H1480" s="1146">
        <v>11</v>
      </c>
      <c r="I1480" s="1146">
        <v>15</v>
      </c>
      <c r="J1480" s="1147">
        <v>66</v>
      </c>
      <c r="K1480" s="1147">
        <v>6</v>
      </c>
      <c r="L1480" s="1066" t="s">
        <v>988</v>
      </c>
      <c r="M1480" s="959">
        <v>2250000</v>
      </c>
      <c r="N1480" s="1066" t="s">
        <v>616</v>
      </c>
      <c r="O1480" s="1067" t="s">
        <v>616</v>
      </c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237">
        <f>MAX(J1481/J1484)</f>
        <v>0</v>
      </c>
      <c r="AD1480" s="235">
        <f t="shared" si="276"/>
        <v>0</v>
      </c>
      <c r="AE1480" s="238">
        <f>MAX(I1481/I1484)</f>
        <v>0</v>
      </c>
      <c r="AF1480" s="235">
        <f t="shared" si="277"/>
        <v>0</v>
      </c>
      <c r="AG1480" s="238">
        <f>MAX(H1481/H1484)</f>
        <v>0</v>
      </c>
      <c r="AH1480" s="235">
        <f t="shared" si="278"/>
        <v>0</v>
      </c>
    </row>
    <row r="1481" spans="1:34" ht="15" customHeight="1" x14ac:dyDescent="0.2">
      <c r="A1481" s="962" t="s">
        <v>390</v>
      </c>
      <c r="B1481" s="1498">
        <v>0</v>
      </c>
      <c r="C1481" s="1146"/>
      <c r="D1481" s="1146"/>
      <c r="E1481" s="1146"/>
      <c r="F1481" s="1146"/>
      <c r="G1481" s="1146"/>
      <c r="H1481" s="1146">
        <v>0</v>
      </c>
      <c r="I1481" s="1146">
        <v>0</v>
      </c>
      <c r="J1481" s="1147">
        <v>0</v>
      </c>
      <c r="K1481" s="1147"/>
      <c r="L1481" s="1148"/>
      <c r="M1481" s="959"/>
      <c r="N1481" s="959"/>
      <c r="O1481" s="114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237">
        <f>MAX(J1482/J1484)</f>
        <v>0</v>
      </c>
      <c r="AD1481" s="235">
        <f t="shared" si="276"/>
        <v>0</v>
      </c>
      <c r="AE1481" s="238">
        <f>MAX(I1482/I1484)</f>
        <v>0</v>
      </c>
      <c r="AF1481" s="235">
        <f t="shared" si="277"/>
        <v>0</v>
      </c>
      <c r="AG1481" s="238">
        <f>MAX(H1482/H1484)</f>
        <v>0</v>
      </c>
      <c r="AH1481" s="235">
        <f t="shared" si="278"/>
        <v>0</v>
      </c>
    </row>
    <row r="1482" spans="1:34" ht="15" customHeight="1" x14ac:dyDescent="0.2">
      <c r="A1482" s="962" t="s">
        <v>941</v>
      </c>
      <c r="B1482" s="1498">
        <v>0</v>
      </c>
      <c r="C1482" s="1146"/>
      <c r="D1482" s="1146"/>
      <c r="E1482" s="1146"/>
      <c r="F1482" s="1146"/>
      <c r="G1482" s="1146"/>
      <c r="H1482" s="1146">
        <v>0</v>
      </c>
      <c r="I1482" s="1146">
        <v>0</v>
      </c>
      <c r="J1482" s="1147">
        <v>0</v>
      </c>
      <c r="K1482" s="1147"/>
      <c r="L1482" s="1148"/>
      <c r="M1482" s="959"/>
      <c r="N1482" s="959"/>
      <c r="O1482" s="114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237">
        <f>MAX(J1483/J1484)</f>
        <v>0</v>
      </c>
      <c r="AD1482" s="235">
        <f t="shared" si="276"/>
        <v>0</v>
      </c>
      <c r="AE1482" s="238">
        <f>MAX(I1483/I1484)</f>
        <v>0</v>
      </c>
      <c r="AF1482" s="235">
        <f t="shared" si="277"/>
        <v>0</v>
      </c>
      <c r="AG1482" s="238">
        <f>MAX(H1483/H1484)</f>
        <v>0</v>
      </c>
      <c r="AH1482" s="235">
        <f t="shared" si="278"/>
        <v>0</v>
      </c>
    </row>
    <row r="1483" spans="1:34" ht="15" customHeight="1" thickBot="1" x14ac:dyDescent="0.25">
      <c r="A1483" s="1140" t="s">
        <v>392</v>
      </c>
      <c r="B1483" s="1536">
        <v>0</v>
      </c>
      <c r="C1483" s="1141">
        <v>0</v>
      </c>
      <c r="D1483" s="1141">
        <v>0</v>
      </c>
      <c r="E1483" s="1141">
        <v>0</v>
      </c>
      <c r="F1483" s="1141">
        <v>0</v>
      </c>
      <c r="G1483" s="1141">
        <v>0</v>
      </c>
      <c r="H1483" s="1146">
        <v>0</v>
      </c>
      <c r="I1483" s="1146">
        <v>0</v>
      </c>
      <c r="J1483" s="1147">
        <v>0</v>
      </c>
      <c r="K1483" s="1142"/>
      <c r="L1483" s="1143"/>
      <c r="M1483" s="1144"/>
      <c r="N1483" s="1144"/>
      <c r="O1483" s="1145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1159">
        <f t="shared" ref="AC1483:AH1483" si="279">SUM(AC1443:AC1482)</f>
        <v>1</v>
      </c>
      <c r="AD1483" s="1160">
        <f t="shared" si="279"/>
        <v>2250000.0000000005</v>
      </c>
      <c r="AE1483" s="1161">
        <f t="shared" si="279"/>
        <v>0.99999999999999978</v>
      </c>
      <c r="AF1483" s="1160" t="e">
        <f t="shared" si="279"/>
        <v>#VALUE!</v>
      </c>
      <c r="AG1483" s="1161">
        <f t="shared" si="279"/>
        <v>1</v>
      </c>
      <c r="AH1483" s="1160" t="e">
        <f t="shared" si="279"/>
        <v>#VALUE!</v>
      </c>
    </row>
    <row r="1484" spans="1:34" ht="15" customHeight="1" thickBot="1" x14ac:dyDescent="0.25">
      <c r="A1484" s="405" t="s">
        <v>942</v>
      </c>
      <c r="B1484" s="1131">
        <v>153.35</v>
      </c>
      <c r="C1484" s="1131">
        <v>11</v>
      </c>
      <c r="D1484" s="1131">
        <v>5</v>
      </c>
      <c r="E1484" s="1131">
        <v>4</v>
      </c>
      <c r="F1484" s="1131">
        <v>3.5</v>
      </c>
      <c r="G1484" s="1131">
        <v>17.5</v>
      </c>
      <c r="H1484" s="1131">
        <v>123.35</v>
      </c>
      <c r="I1484" s="1131">
        <v>156.85</v>
      </c>
      <c r="J1484" s="1132">
        <v>884.8</v>
      </c>
      <c r="K1484" s="1132">
        <v>7.1730847182813129</v>
      </c>
      <c r="L1484" s="1525" t="s">
        <v>988</v>
      </c>
      <c r="M1484" s="1134">
        <v>2250000.0000000005</v>
      </c>
      <c r="N1484" s="1525" t="s">
        <v>616</v>
      </c>
      <c r="O1484" s="1541" t="s">
        <v>616</v>
      </c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</row>
    <row r="1485" spans="1:34" x14ac:dyDescent="0.2">
      <c r="A1485" s="7" t="s">
        <v>1934</v>
      </c>
      <c r="B1485" s="224"/>
      <c r="C1485" s="224"/>
      <c r="D1485" s="224"/>
      <c r="E1485" s="224"/>
      <c r="F1485" s="224"/>
      <c r="G1485" s="224"/>
      <c r="H1485" s="224"/>
      <c r="I1485" s="224"/>
      <c r="J1485" s="224"/>
      <c r="K1485" s="240"/>
      <c r="L1485" s="241"/>
      <c r="M1485" s="240"/>
      <c r="N1485" s="240"/>
      <c r="O1485" s="240"/>
    </row>
    <row r="1486" spans="1:34" ht="15" customHeight="1" x14ac:dyDescent="0.2"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</row>
    <row r="1487" spans="1:34" ht="15" customHeight="1" x14ac:dyDescent="0.25">
      <c r="A1487" s="2843" t="s">
        <v>1931</v>
      </c>
      <c r="B1487" s="2843"/>
      <c r="C1487" s="2843"/>
      <c r="D1487" s="2843"/>
      <c r="E1487" s="2843"/>
      <c r="F1487" s="2843"/>
      <c r="G1487" s="2843"/>
      <c r="H1487" s="2843"/>
      <c r="I1487" s="2843"/>
      <c r="J1487" s="2843"/>
      <c r="K1487" s="2843"/>
      <c r="L1487" s="2843"/>
      <c r="M1487" s="2843"/>
      <c r="N1487" s="2843"/>
      <c r="O1487" s="2843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</row>
    <row r="1488" spans="1:34" ht="15" customHeight="1" x14ac:dyDescent="0.2">
      <c r="A1488" s="246"/>
      <c r="B1488" s="246"/>
      <c r="C1488" s="240"/>
      <c r="D1488" s="240"/>
      <c r="E1488" s="240"/>
      <c r="F1488" s="240"/>
      <c r="G1488" s="240"/>
      <c r="H1488" s="240"/>
      <c r="I1488" s="240"/>
      <c r="J1488" s="240"/>
      <c r="K1488" s="240"/>
      <c r="L1488" s="241"/>
      <c r="M1488" s="240"/>
      <c r="N1488" s="240"/>
      <c r="O1488" s="240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</row>
    <row r="1489" spans="1:34" ht="15" customHeight="1" thickBot="1" x14ac:dyDescent="0.25">
      <c r="A1489" s="181" t="s">
        <v>1498</v>
      </c>
      <c r="B1489" s="246"/>
      <c r="C1489" s="240"/>
      <c r="D1489" s="240"/>
      <c r="E1489" s="240"/>
      <c r="F1489" s="240"/>
      <c r="G1489" s="240"/>
      <c r="H1489" s="240"/>
      <c r="I1489" s="240"/>
      <c r="J1489" s="240"/>
      <c r="K1489" s="240"/>
      <c r="L1489" s="241"/>
      <c r="M1489" s="240"/>
      <c r="N1489" s="240"/>
      <c r="O1489" s="240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228" t="s">
        <v>910</v>
      </c>
      <c r="AD1489" s="229"/>
      <c r="AE1489" s="229"/>
      <c r="AF1489" s="229"/>
      <c r="AG1489" s="229"/>
      <c r="AH1489" s="243"/>
    </row>
    <row r="1490" spans="1:34" ht="15" customHeight="1" x14ac:dyDescent="0.2">
      <c r="A1490" s="2844" t="s">
        <v>327</v>
      </c>
      <c r="B1490" s="2847" t="s">
        <v>1932</v>
      </c>
      <c r="C1490" s="2848"/>
      <c r="D1490" s="2848"/>
      <c r="E1490" s="2848"/>
      <c r="F1490" s="2848"/>
      <c r="G1490" s="2848"/>
      <c r="H1490" s="2848"/>
      <c r="I1490" s="2848"/>
      <c r="J1490" s="2848"/>
      <c r="K1490" s="2848"/>
      <c r="L1490" s="2848"/>
      <c r="M1490" s="2848"/>
      <c r="N1490" s="2848"/>
      <c r="O1490" s="284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230" t="s">
        <v>333</v>
      </c>
      <c r="AD1490" s="231" t="s">
        <v>333</v>
      </c>
      <c r="AE1490" s="231" t="s">
        <v>333</v>
      </c>
      <c r="AF1490" s="231" t="s">
        <v>333</v>
      </c>
      <c r="AG1490" s="231" t="s">
        <v>333</v>
      </c>
      <c r="AH1490" s="231" t="s">
        <v>333</v>
      </c>
    </row>
    <row r="1491" spans="1:34" ht="15" customHeight="1" x14ac:dyDescent="0.2">
      <c r="A1491" s="2845"/>
      <c r="B1491" s="2850" t="s">
        <v>191</v>
      </c>
      <c r="C1491" s="2850"/>
      <c r="D1491" s="2850"/>
      <c r="E1491" s="2850"/>
      <c r="F1491" s="2850"/>
      <c r="G1491" s="2850"/>
      <c r="H1491" s="2850"/>
      <c r="I1491" s="2850"/>
      <c r="J1491" s="2119"/>
      <c r="K1491" s="2119" t="s">
        <v>904</v>
      </c>
      <c r="L1491" s="2119"/>
      <c r="M1491" s="1122" t="s">
        <v>437</v>
      </c>
      <c r="N1491" s="1122" t="s">
        <v>911</v>
      </c>
      <c r="O1491" s="1127" t="s">
        <v>911</v>
      </c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230" t="s">
        <v>913</v>
      </c>
      <c r="AD1491" s="231" t="s">
        <v>916</v>
      </c>
      <c r="AE1491" s="231" t="s">
        <v>917</v>
      </c>
      <c r="AF1491" s="231" t="s">
        <v>918</v>
      </c>
      <c r="AG1491" s="231" t="s">
        <v>192</v>
      </c>
      <c r="AH1491" s="231" t="s">
        <v>918</v>
      </c>
    </row>
    <row r="1492" spans="1:34" ht="15" customHeight="1" x14ac:dyDescent="0.2">
      <c r="A1492" s="2845"/>
      <c r="B1492" s="2119" t="s">
        <v>433</v>
      </c>
      <c r="C1492" s="2119"/>
      <c r="D1492" s="2841" t="s">
        <v>1865</v>
      </c>
      <c r="E1492" s="2119"/>
      <c r="F1492" s="2119"/>
      <c r="G1492" s="2119" t="s">
        <v>912</v>
      </c>
      <c r="H1492" s="2119"/>
      <c r="I1492" s="2119" t="s">
        <v>433</v>
      </c>
      <c r="J1492" s="2138" t="s">
        <v>913</v>
      </c>
      <c r="K1492" s="2138" t="s">
        <v>842</v>
      </c>
      <c r="L1492" s="2138" t="s">
        <v>329</v>
      </c>
      <c r="M1492" s="1123" t="s">
        <v>914</v>
      </c>
      <c r="N1492" s="1123" t="s">
        <v>915</v>
      </c>
      <c r="O1492" s="1128" t="s">
        <v>914</v>
      </c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230"/>
      <c r="AD1492" s="231" t="s">
        <v>843</v>
      </c>
      <c r="AE1492" s="231"/>
      <c r="AF1492" s="231" t="s">
        <v>929</v>
      </c>
      <c r="AG1492" s="231"/>
      <c r="AH1492" s="231" t="s">
        <v>930</v>
      </c>
    </row>
    <row r="1493" spans="1:34" ht="15" customHeight="1" x14ac:dyDescent="0.2">
      <c r="A1493" s="2845"/>
      <c r="B1493" s="2138" t="s">
        <v>920</v>
      </c>
      <c r="C1493" s="2138" t="s">
        <v>922</v>
      </c>
      <c r="D1493" s="2842"/>
      <c r="E1493" s="2138" t="s">
        <v>867</v>
      </c>
      <c r="F1493" s="2138" t="s">
        <v>921</v>
      </c>
      <c r="G1493" s="2138" t="s">
        <v>923</v>
      </c>
      <c r="H1493" s="2138" t="s">
        <v>836</v>
      </c>
      <c r="I1493" s="2138" t="s">
        <v>835</v>
      </c>
      <c r="J1493" s="2138" t="s">
        <v>924</v>
      </c>
      <c r="K1493" s="2138" t="s">
        <v>925</v>
      </c>
      <c r="L1493" s="2138" t="s">
        <v>336</v>
      </c>
      <c r="M1493" s="1123" t="s">
        <v>926</v>
      </c>
      <c r="N1493" s="1123" t="s">
        <v>927</v>
      </c>
      <c r="O1493" s="1128" t="s">
        <v>928</v>
      </c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232"/>
      <c r="AD1493" s="233" t="s">
        <v>934</v>
      </c>
      <c r="AE1493" s="233"/>
      <c r="AF1493" s="233" t="s">
        <v>935</v>
      </c>
      <c r="AG1493" s="233"/>
      <c r="AH1493" s="233" t="s">
        <v>936</v>
      </c>
    </row>
    <row r="1494" spans="1:34" ht="15" customHeight="1" thickBot="1" x14ac:dyDescent="0.25">
      <c r="A1494" s="2846"/>
      <c r="B1494" s="1881">
        <v>44926</v>
      </c>
      <c r="C1494" s="2139">
        <v>2023</v>
      </c>
      <c r="D1494" s="2139">
        <v>2023</v>
      </c>
      <c r="E1494" s="2139">
        <v>2023</v>
      </c>
      <c r="F1494" s="2139">
        <v>2023</v>
      </c>
      <c r="G1494" s="2139" t="s">
        <v>931</v>
      </c>
      <c r="H1494" s="1126">
        <v>2023</v>
      </c>
      <c r="I1494" s="1881">
        <v>45291</v>
      </c>
      <c r="J1494" s="1881" t="s">
        <v>1933</v>
      </c>
      <c r="K1494" s="1881" t="s">
        <v>1933</v>
      </c>
      <c r="L1494" s="2139" t="s">
        <v>441</v>
      </c>
      <c r="M1494" s="1125" t="s">
        <v>932</v>
      </c>
      <c r="N1494" s="1125" t="s">
        <v>933</v>
      </c>
      <c r="O1494" s="1129" t="s">
        <v>933</v>
      </c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1155"/>
      <c r="AD1494" s="1156"/>
      <c r="AE1494" s="1156"/>
      <c r="AF1494" s="1156"/>
      <c r="AG1494" s="1156"/>
      <c r="AH1494" s="1156"/>
    </row>
    <row r="1495" spans="1:34" ht="15" customHeight="1" x14ac:dyDescent="0.2">
      <c r="A1495" s="1135" t="s">
        <v>352</v>
      </c>
      <c r="B1495" s="1130">
        <v>31.5</v>
      </c>
      <c r="C1495" s="1130">
        <v>0</v>
      </c>
      <c r="D1495" s="1130">
        <v>0</v>
      </c>
      <c r="E1495" s="1130">
        <v>0</v>
      </c>
      <c r="F1495" s="1130">
        <v>6</v>
      </c>
      <c r="G1495" s="1130">
        <v>10</v>
      </c>
      <c r="H1495" s="1130">
        <v>15.5</v>
      </c>
      <c r="I1495" s="1130">
        <v>25.5</v>
      </c>
      <c r="J1495" s="1136">
        <v>78</v>
      </c>
      <c r="K1495" s="1150">
        <v>5.032258064516129</v>
      </c>
      <c r="L1495" s="380"/>
      <c r="M1495" s="1138"/>
      <c r="N1495" s="1138"/>
      <c r="O1495" s="1139"/>
      <c r="P1495" s="950"/>
      <c r="Q1495" s="950"/>
      <c r="R1495" s="950"/>
      <c r="S1495" s="950"/>
      <c r="T1495" s="950"/>
      <c r="U1495" s="950"/>
      <c r="V1495" s="950"/>
      <c r="W1495" s="950"/>
      <c r="X1495" s="950"/>
      <c r="Y1495" s="950"/>
      <c r="Z1495" s="9"/>
      <c r="AA1495" s="9"/>
      <c r="AB1495" s="9"/>
      <c r="AC1495" s="237">
        <f>MAX(J1496/J1536)</f>
        <v>0</v>
      </c>
      <c r="AD1495" s="235">
        <f t="shared" ref="AD1495:AD1509" si="280">MAX(M1496*AC1495)</f>
        <v>0</v>
      </c>
      <c r="AE1495" s="238">
        <f>MAX(I1496/I1536)</f>
        <v>0</v>
      </c>
      <c r="AF1495" s="235">
        <f t="shared" ref="AF1495:AF1509" si="281">MAX(N1496*AE1495)</f>
        <v>0</v>
      </c>
      <c r="AG1495" s="238">
        <f>MAX(H1496/H1536)</f>
        <v>0</v>
      </c>
      <c r="AH1495" s="235">
        <f t="shared" ref="AH1495:AH1509" si="282">MAX(O1496*AG1495)</f>
        <v>0</v>
      </c>
    </row>
    <row r="1496" spans="1:34" ht="15" customHeight="1" x14ac:dyDescent="0.2">
      <c r="A1496" s="962" t="s">
        <v>353</v>
      </c>
      <c r="B1496" s="1498">
        <v>0</v>
      </c>
      <c r="C1496" s="1146"/>
      <c r="D1496" s="1146"/>
      <c r="E1496" s="1146"/>
      <c r="F1496" s="1146"/>
      <c r="G1496" s="1146"/>
      <c r="H1496" s="1146">
        <v>0</v>
      </c>
      <c r="I1496" s="1146">
        <v>0</v>
      </c>
      <c r="J1496" s="1147">
        <v>0</v>
      </c>
      <c r="K1496" s="1147"/>
      <c r="L1496" s="1148"/>
      <c r="M1496" s="959"/>
      <c r="N1496" s="959"/>
      <c r="O1496" s="1149"/>
      <c r="U1496" s="950"/>
      <c r="V1496" s="950"/>
      <c r="W1496" s="950"/>
      <c r="X1496" s="950"/>
      <c r="Y1496" s="950"/>
      <c r="Z1496" s="9"/>
      <c r="AA1496" s="9"/>
      <c r="AB1496" s="9"/>
      <c r="AC1496" s="237">
        <f>MAX(J1497/J1536)</f>
        <v>0</v>
      </c>
      <c r="AD1496" s="235">
        <f t="shared" si="280"/>
        <v>0</v>
      </c>
      <c r="AE1496" s="238">
        <f>MAX(I1497/I1536)</f>
        <v>0</v>
      </c>
      <c r="AF1496" s="235">
        <f t="shared" si="281"/>
        <v>0</v>
      </c>
      <c r="AG1496" s="238">
        <f>MAX(H1497/H1536)</f>
        <v>0</v>
      </c>
      <c r="AH1496" s="235">
        <f t="shared" si="282"/>
        <v>0</v>
      </c>
    </row>
    <row r="1497" spans="1:34" ht="15" customHeight="1" x14ac:dyDescent="0.2">
      <c r="A1497" s="962" t="s">
        <v>354</v>
      </c>
      <c r="B1497" s="1498">
        <v>0</v>
      </c>
      <c r="C1497" s="1146"/>
      <c r="D1497" s="1146"/>
      <c r="E1497" s="1146"/>
      <c r="F1497" s="1146"/>
      <c r="G1497" s="1146"/>
      <c r="H1497" s="1146">
        <v>0</v>
      </c>
      <c r="I1497" s="1146">
        <v>0</v>
      </c>
      <c r="J1497" s="1147">
        <v>0</v>
      </c>
      <c r="K1497" s="1147"/>
      <c r="L1497" s="1148"/>
      <c r="M1497" s="959"/>
      <c r="N1497" s="959"/>
      <c r="O1497" s="1149"/>
      <c r="U1497" s="9"/>
      <c r="V1497" s="9"/>
      <c r="W1497" s="9"/>
      <c r="X1497" s="9"/>
      <c r="Y1497" s="9"/>
      <c r="Z1497" s="9"/>
      <c r="AA1497" s="9"/>
      <c r="AB1497" s="9"/>
      <c r="AC1497" s="237">
        <f>MAX(J1498/J1536)</f>
        <v>0.10504201680672269</v>
      </c>
      <c r="AD1497" s="235">
        <f t="shared" si="280"/>
        <v>509453.78151260503</v>
      </c>
      <c r="AE1497" s="238">
        <f>MAX(I1498/I1536)</f>
        <v>0.16972165648336726</v>
      </c>
      <c r="AF1497" s="235" t="e">
        <f t="shared" si="281"/>
        <v>#VALUE!</v>
      </c>
      <c r="AG1497" s="238">
        <f>MAX(H1498/H1536)</f>
        <v>0.14807502467917077</v>
      </c>
      <c r="AH1497" s="235" t="e">
        <f t="shared" si="282"/>
        <v>#VALUE!</v>
      </c>
    </row>
    <row r="1498" spans="1:34" ht="15" customHeight="1" x14ac:dyDescent="0.2">
      <c r="A1498" s="962" t="s">
        <v>355</v>
      </c>
      <c r="B1498" s="1498">
        <v>31</v>
      </c>
      <c r="C1498" s="1146"/>
      <c r="D1498" s="1146"/>
      <c r="E1498" s="1146"/>
      <c r="F1498" s="1146">
        <v>6</v>
      </c>
      <c r="G1498" s="1146">
        <v>10</v>
      </c>
      <c r="H1498" s="1146">
        <v>15</v>
      </c>
      <c r="I1498" s="1146">
        <v>25</v>
      </c>
      <c r="J1498" s="1147">
        <v>75</v>
      </c>
      <c r="K1498" s="1147">
        <v>5</v>
      </c>
      <c r="L1498" s="1066" t="s">
        <v>988</v>
      </c>
      <c r="M1498" s="959">
        <v>4850000</v>
      </c>
      <c r="N1498" s="1066" t="s">
        <v>616</v>
      </c>
      <c r="O1498" s="1067" t="s">
        <v>616</v>
      </c>
      <c r="P1498" s="950"/>
      <c r="Q1498" s="950"/>
      <c r="R1498" s="950"/>
      <c r="S1498" s="950"/>
      <c r="T1498" s="950"/>
      <c r="U1498" s="9"/>
      <c r="V1498" s="9"/>
      <c r="W1498" s="9"/>
      <c r="X1498" s="9"/>
      <c r="Y1498" s="9"/>
      <c r="Z1498" s="9"/>
      <c r="AA1498" s="9"/>
      <c r="AB1498" s="9"/>
      <c r="AC1498" s="237">
        <f>MAX(J1499/J1536)</f>
        <v>4.2016806722689074E-3</v>
      </c>
      <c r="AD1498" s="235">
        <f t="shared" si="280"/>
        <v>20378.151260504201</v>
      </c>
      <c r="AE1498" s="238">
        <f>MAX(I1499/I1536)</f>
        <v>3.3944331296673451E-3</v>
      </c>
      <c r="AF1498" s="235" t="e">
        <f t="shared" si="281"/>
        <v>#VALUE!</v>
      </c>
      <c r="AG1498" s="238">
        <f>MAX(H1499/H1536)</f>
        <v>4.9358341559723592E-3</v>
      </c>
      <c r="AH1498" s="235">
        <f t="shared" si="282"/>
        <v>0</v>
      </c>
    </row>
    <row r="1499" spans="1:34" ht="15" customHeight="1" x14ac:dyDescent="0.2">
      <c r="A1499" s="962" t="s">
        <v>356</v>
      </c>
      <c r="B1499" s="1498">
        <v>0.5</v>
      </c>
      <c r="C1499" s="1146"/>
      <c r="D1499" s="1146"/>
      <c r="E1499" s="1146"/>
      <c r="F1499" s="1146"/>
      <c r="G1499" s="1146"/>
      <c r="H1499" s="1146">
        <v>0.5</v>
      </c>
      <c r="I1499" s="1146">
        <v>0.5</v>
      </c>
      <c r="J1499" s="1147">
        <v>3</v>
      </c>
      <c r="K1499" s="1147">
        <v>6</v>
      </c>
      <c r="L1499" s="1066" t="s">
        <v>988</v>
      </c>
      <c r="M1499" s="959">
        <v>4850000</v>
      </c>
      <c r="N1499" s="1066" t="s">
        <v>616</v>
      </c>
      <c r="O1499" s="1149"/>
      <c r="U1499" s="9"/>
      <c r="V1499" s="9"/>
      <c r="W1499" s="9"/>
      <c r="X1499" s="9"/>
      <c r="Y1499" s="9"/>
      <c r="Z1499" s="9"/>
      <c r="AA1499" s="9"/>
      <c r="AB1499" s="9"/>
      <c r="AC1499" s="237">
        <f>MAX(J1500/J1536)</f>
        <v>0</v>
      </c>
      <c r="AD1499" s="235">
        <f t="shared" si="280"/>
        <v>0</v>
      </c>
      <c r="AE1499" s="238">
        <f>MAX(I1500/I1536)</f>
        <v>0</v>
      </c>
      <c r="AF1499" s="235">
        <f t="shared" si="281"/>
        <v>0</v>
      </c>
      <c r="AG1499" s="238">
        <f>MAX(H1500/H1536)</f>
        <v>0</v>
      </c>
      <c r="AH1499" s="235">
        <f t="shared" si="282"/>
        <v>0</v>
      </c>
    </row>
    <row r="1500" spans="1:34" ht="15" customHeight="1" x14ac:dyDescent="0.2">
      <c r="A1500" s="962" t="s">
        <v>357</v>
      </c>
      <c r="B1500" s="1498">
        <v>0</v>
      </c>
      <c r="C1500" s="1146">
        <v>0</v>
      </c>
      <c r="D1500" s="1146">
        <v>0</v>
      </c>
      <c r="E1500" s="1146">
        <v>0</v>
      </c>
      <c r="F1500" s="1146">
        <v>0</v>
      </c>
      <c r="G1500" s="1146">
        <v>0</v>
      </c>
      <c r="H1500" s="1146">
        <v>0</v>
      </c>
      <c r="I1500" s="1146">
        <v>0</v>
      </c>
      <c r="J1500" s="1147">
        <v>0</v>
      </c>
      <c r="K1500" s="1147">
        <v>0</v>
      </c>
      <c r="L1500" s="1148"/>
      <c r="M1500" s="959"/>
      <c r="N1500" s="959"/>
      <c r="O1500" s="1149"/>
      <c r="U1500" s="9"/>
      <c r="V1500" s="9"/>
      <c r="W1500" s="9"/>
      <c r="X1500" s="9"/>
      <c r="Y1500" s="9"/>
      <c r="Z1500" s="9"/>
      <c r="AA1500" s="9"/>
      <c r="AB1500" s="9"/>
      <c r="AC1500" s="237">
        <f>MAX(J1501/J1536)</f>
        <v>0</v>
      </c>
      <c r="AD1500" s="235">
        <f t="shared" si="280"/>
        <v>0</v>
      </c>
      <c r="AE1500" s="238">
        <f>MAX(I1501/I1536)</f>
        <v>0</v>
      </c>
      <c r="AF1500" s="235">
        <f t="shared" si="281"/>
        <v>0</v>
      </c>
      <c r="AG1500" s="238">
        <f>MAX(H1501/H1536)</f>
        <v>0</v>
      </c>
      <c r="AH1500" s="235">
        <f t="shared" si="282"/>
        <v>0</v>
      </c>
    </row>
    <row r="1501" spans="1:34" ht="15" customHeight="1" x14ac:dyDescent="0.2">
      <c r="A1501" s="962" t="s">
        <v>358</v>
      </c>
      <c r="B1501" s="1498">
        <v>0</v>
      </c>
      <c r="C1501" s="1146">
        <v>0</v>
      </c>
      <c r="D1501" s="1146">
        <v>0</v>
      </c>
      <c r="E1501" s="1146">
        <v>0</v>
      </c>
      <c r="F1501" s="1146">
        <v>0</v>
      </c>
      <c r="G1501" s="1146">
        <v>0</v>
      </c>
      <c r="H1501" s="1146">
        <v>0</v>
      </c>
      <c r="I1501" s="1146">
        <v>0</v>
      </c>
      <c r="J1501" s="1147">
        <v>0</v>
      </c>
      <c r="K1501" s="1147">
        <v>0</v>
      </c>
      <c r="L1501" s="1148"/>
      <c r="M1501" s="959"/>
      <c r="N1501" s="959"/>
      <c r="O1501" s="1149"/>
      <c r="U1501" s="9"/>
      <c r="V1501" s="9"/>
      <c r="W1501" s="9"/>
      <c r="X1501" s="9"/>
      <c r="Y1501" s="9"/>
      <c r="Z1501" s="9"/>
      <c r="AA1501" s="9"/>
      <c r="AB1501" s="9"/>
      <c r="AC1501" s="237">
        <f>MAX(J1502/J1536)</f>
        <v>0</v>
      </c>
      <c r="AD1501" s="235">
        <f t="shared" si="280"/>
        <v>0</v>
      </c>
      <c r="AE1501" s="238">
        <f>MAX(I1502/I1536)</f>
        <v>0</v>
      </c>
      <c r="AF1501" s="235">
        <f t="shared" si="281"/>
        <v>0</v>
      </c>
      <c r="AG1501" s="238">
        <f>MAX(H1502/H1536)</f>
        <v>0</v>
      </c>
      <c r="AH1501" s="235">
        <f t="shared" si="282"/>
        <v>0</v>
      </c>
    </row>
    <row r="1502" spans="1:34" ht="15" customHeight="1" x14ac:dyDescent="0.2">
      <c r="A1502" s="962" t="s">
        <v>937</v>
      </c>
      <c r="B1502" s="1498">
        <v>0</v>
      </c>
      <c r="C1502" s="1146">
        <v>0</v>
      </c>
      <c r="D1502" s="1146">
        <v>0</v>
      </c>
      <c r="E1502" s="1146">
        <v>0</v>
      </c>
      <c r="F1502" s="1146">
        <v>0</v>
      </c>
      <c r="G1502" s="1146">
        <v>0</v>
      </c>
      <c r="H1502" s="1146">
        <v>0</v>
      </c>
      <c r="I1502" s="1146">
        <v>0</v>
      </c>
      <c r="J1502" s="1147">
        <v>0</v>
      </c>
      <c r="K1502" s="1147">
        <v>0</v>
      </c>
      <c r="L1502" s="1148"/>
      <c r="M1502" s="959"/>
      <c r="N1502" s="959"/>
      <c r="O1502" s="1149"/>
      <c r="U1502" s="9"/>
      <c r="V1502" s="9"/>
      <c r="W1502" s="9"/>
      <c r="X1502" s="9"/>
      <c r="Y1502" s="9"/>
      <c r="Z1502" s="9"/>
      <c r="AA1502" s="9"/>
      <c r="AB1502" s="9"/>
      <c r="AC1502" s="237">
        <f>MAX(J1503/J1536)</f>
        <v>0</v>
      </c>
      <c r="AD1502" s="235">
        <f t="shared" si="280"/>
        <v>0</v>
      </c>
      <c r="AE1502" s="238">
        <f>MAX(I1503/I1536)</f>
        <v>0</v>
      </c>
      <c r="AF1502" s="235">
        <f t="shared" si="281"/>
        <v>0</v>
      </c>
      <c r="AG1502" s="238">
        <f>MAX(H1503/H1536)</f>
        <v>0</v>
      </c>
      <c r="AH1502" s="235">
        <f t="shared" si="282"/>
        <v>0</v>
      </c>
    </row>
    <row r="1503" spans="1:34" ht="15" customHeight="1" x14ac:dyDescent="0.2">
      <c r="A1503" s="962" t="s">
        <v>360</v>
      </c>
      <c r="B1503" s="1498">
        <v>0</v>
      </c>
      <c r="C1503" s="1146">
        <v>0</v>
      </c>
      <c r="D1503" s="1146">
        <v>0</v>
      </c>
      <c r="E1503" s="1146">
        <v>0</v>
      </c>
      <c r="F1503" s="1146">
        <v>0</v>
      </c>
      <c r="G1503" s="1146">
        <v>0</v>
      </c>
      <c r="H1503" s="1146">
        <v>0</v>
      </c>
      <c r="I1503" s="1146">
        <v>0</v>
      </c>
      <c r="J1503" s="1147">
        <v>0</v>
      </c>
      <c r="K1503" s="1147">
        <v>0</v>
      </c>
      <c r="L1503" s="1148"/>
      <c r="M1503" s="959"/>
      <c r="N1503" s="959"/>
      <c r="O1503" s="1149"/>
      <c r="U1503" s="9"/>
      <c r="V1503" s="9"/>
      <c r="W1503" s="9"/>
      <c r="X1503" s="9"/>
      <c r="Y1503" s="9"/>
      <c r="Z1503" s="9"/>
      <c r="AA1503" s="9"/>
      <c r="AB1503" s="9"/>
      <c r="AC1503" s="237">
        <f>MAX(J1504/J1536)</f>
        <v>0</v>
      </c>
      <c r="AD1503" s="235">
        <f t="shared" si="280"/>
        <v>0</v>
      </c>
      <c r="AE1503" s="238">
        <f>MAX(I1504/I1536)</f>
        <v>0</v>
      </c>
      <c r="AF1503" s="235">
        <f t="shared" si="281"/>
        <v>0</v>
      </c>
      <c r="AG1503" s="238">
        <f>MAX(H1504/H1536)</f>
        <v>0</v>
      </c>
      <c r="AH1503" s="235">
        <f t="shared" si="282"/>
        <v>0</v>
      </c>
    </row>
    <row r="1504" spans="1:34" ht="15" customHeight="1" x14ac:dyDescent="0.2">
      <c r="A1504" s="962" t="s">
        <v>938</v>
      </c>
      <c r="B1504" s="1498">
        <v>0</v>
      </c>
      <c r="C1504" s="1146">
        <v>0</v>
      </c>
      <c r="D1504" s="1146">
        <v>0</v>
      </c>
      <c r="E1504" s="1146">
        <v>0</v>
      </c>
      <c r="F1504" s="1146">
        <v>0</v>
      </c>
      <c r="G1504" s="1146">
        <v>0</v>
      </c>
      <c r="H1504" s="1146">
        <v>0</v>
      </c>
      <c r="I1504" s="1146">
        <v>0</v>
      </c>
      <c r="J1504" s="1147">
        <v>0</v>
      </c>
      <c r="K1504" s="1147">
        <v>0</v>
      </c>
      <c r="L1504" s="1148"/>
      <c r="M1504" s="959"/>
      <c r="N1504" s="959"/>
      <c r="O1504" s="1149"/>
      <c r="U1504" s="9"/>
      <c r="V1504" s="9"/>
      <c r="W1504" s="9"/>
      <c r="X1504" s="9"/>
      <c r="Y1504" s="9"/>
      <c r="Z1504" s="9"/>
      <c r="AA1504" s="9"/>
      <c r="AB1504" s="9"/>
      <c r="AC1504" s="237">
        <f>MAX(J1505/J1536)</f>
        <v>0</v>
      </c>
      <c r="AD1504" s="235">
        <f t="shared" si="280"/>
        <v>0</v>
      </c>
      <c r="AE1504" s="238">
        <f>MAX(I1505/I1536)</f>
        <v>0</v>
      </c>
      <c r="AF1504" s="235">
        <f t="shared" si="281"/>
        <v>0</v>
      </c>
      <c r="AG1504" s="238">
        <f>MAX(H1505/H1536)</f>
        <v>0</v>
      </c>
      <c r="AH1504" s="235">
        <f t="shared" si="282"/>
        <v>0</v>
      </c>
    </row>
    <row r="1505" spans="1:34" ht="15" customHeight="1" x14ac:dyDescent="0.2">
      <c r="A1505" s="962" t="s">
        <v>362</v>
      </c>
      <c r="B1505" s="1498">
        <v>0</v>
      </c>
      <c r="C1505" s="1146">
        <v>0</v>
      </c>
      <c r="D1505" s="1146">
        <v>0</v>
      </c>
      <c r="E1505" s="1146">
        <v>0</v>
      </c>
      <c r="F1505" s="1146">
        <v>0</v>
      </c>
      <c r="G1505" s="1146">
        <v>0</v>
      </c>
      <c r="H1505" s="1146">
        <v>0</v>
      </c>
      <c r="I1505" s="1146">
        <v>0</v>
      </c>
      <c r="J1505" s="1147">
        <v>0</v>
      </c>
      <c r="K1505" s="1147">
        <v>0</v>
      </c>
      <c r="L1505" s="1148"/>
      <c r="M1505" s="959"/>
      <c r="N1505" s="959"/>
      <c r="O1505" s="1149"/>
      <c r="U1505" s="9"/>
      <c r="V1505" s="9"/>
      <c r="W1505" s="9"/>
      <c r="X1505" s="9"/>
      <c r="Y1505" s="9"/>
      <c r="Z1505" s="9"/>
      <c r="AA1505" s="9"/>
      <c r="AB1505" s="9"/>
      <c r="AC1505" s="237">
        <f>MAX(J1506/J1536)</f>
        <v>0</v>
      </c>
      <c r="AD1505" s="235">
        <f t="shared" si="280"/>
        <v>0</v>
      </c>
      <c r="AE1505" s="238">
        <f>MAX(I1506/I1536)</f>
        <v>0</v>
      </c>
      <c r="AF1505" s="235">
        <f t="shared" si="281"/>
        <v>0</v>
      </c>
      <c r="AG1505" s="238">
        <f>MAX(H1506/H1536)</f>
        <v>0</v>
      </c>
      <c r="AH1505" s="235">
        <f t="shared" si="282"/>
        <v>0</v>
      </c>
    </row>
    <row r="1506" spans="1:34" ht="15" customHeight="1" x14ac:dyDescent="0.2">
      <c r="A1506" s="962" t="s">
        <v>363</v>
      </c>
      <c r="B1506" s="1498">
        <v>0</v>
      </c>
      <c r="C1506" s="1146">
        <v>0</v>
      </c>
      <c r="D1506" s="1146">
        <v>0</v>
      </c>
      <c r="E1506" s="1146">
        <v>0</v>
      </c>
      <c r="F1506" s="1146">
        <v>0</v>
      </c>
      <c r="G1506" s="1146">
        <v>0</v>
      </c>
      <c r="H1506" s="1146">
        <v>0</v>
      </c>
      <c r="I1506" s="1146">
        <v>0</v>
      </c>
      <c r="J1506" s="1147">
        <v>0</v>
      </c>
      <c r="K1506" s="1147">
        <v>0</v>
      </c>
      <c r="L1506" s="1148"/>
      <c r="M1506" s="959"/>
      <c r="N1506" s="959"/>
      <c r="O1506" s="1149"/>
      <c r="U1506" s="9"/>
      <c r="V1506" s="9"/>
      <c r="W1506" s="9"/>
      <c r="X1506" s="9"/>
      <c r="Y1506" s="9"/>
      <c r="Z1506" s="9"/>
      <c r="AA1506" s="9"/>
      <c r="AB1506" s="9"/>
      <c r="AC1506" s="237">
        <f>MAX(J1507/J1536)</f>
        <v>0</v>
      </c>
      <c r="AD1506" s="235">
        <f t="shared" si="280"/>
        <v>0</v>
      </c>
      <c r="AE1506" s="238">
        <f>MAX(I1507/I1536)</f>
        <v>0</v>
      </c>
      <c r="AF1506" s="235">
        <f t="shared" si="281"/>
        <v>0</v>
      </c>
      <c r="AG1506" s="238">
        <f>MAX(H1507/H1536)</f>
        <v>0</v>
      </c>
      <c r="AH1506" s="235">
        <f t="shared" si="282"/>
        <v>0</v>
      </c>
    </row>
    <row r="1507" spans="1:34" ht="15" customHeight="1" x14ac:dyDescent="0.2">
      <c r="A1507" s="962" t="s">
        <v>939</v>
      </c>
      <c r="B1507" s="1498">
        <v>0</v>
      </c>
      <c r="C1507" s="1146">
        <v>0</v>
      </c>
      <c r="D1507" s="1146">
        <v>0</v>
      </c>
      <c r="E1507" s="1146">
        <v>0</v>
      </c>
      <c r="F1507" s="1146">
        <v>0</v>
      </c>
      <c r="G1507" s="1146">
        <v>0</v>
      </c>
      <c r="H1507" s="1146">
        <v>0</v>
      </c>
      <c r="I1507" s="1146">
        <v>0</v>
      </c>
      <c r="J1507" s="1147">
        <v>0</v>
      </c>
      <c r="K1507" s="1147">
        <v>0</v>
      </c>
      <c r="L1507" s="1148"/>
      <c r="M1507" s="959"/>
      <c r="N1507" s="959"/>
      <c r="O1507" s="1149"/>
      <c r="P1507" s="950"/>
      <c r="Q1507" s="950"/>
      <c r="R1507" s="950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237">
        <f>MAX(J1508/J1536)</f>
        <v>0</v>
      </c>
      <c r="AD1507" s="235">
        <f t="shared" si="280"/>
        <v>0</v>
      </c>
      <c r="AE1507" s="238">
        <f>MAX(I1508/I1536)</f>
        <v>0</v>
      </c>
      <c r="AF1507" s="235">
        <f t="shared" si="281"/>
        <v>0</v>
      </c>
      <c r="AG1507" s="238">
        <f>MAX(H1508/H1536)</f>
        <v>0</v>
      </c>
      <c r="AH1507" s="235">
        <f t="shared" si="282"/>
        <v>0</v>
      </c>
    </row>
    <row r="1508" spans="1:34" ht="15" customHeight="1" x14ac:dyDescent="0.2">
      <c r="A1508" s="962" t="s">
        <v>365</v>
      </c>
      <c r="B1508" s="1498">
        <v>0</v>
      </c>
      <c r="C1508" s="1146"/>
      <c r="D1508" s="1146"/>
      <c r="E1508" s="1146"/>
      <c r="F1508" s="1146"/>
      <c r="G1508" s="1146"/>
      <c r="H1508" s="1146">
        <v>0</v>
      </c>
      <c r="I1508" s="1146">
        <v>0</v>
      </c>
      <c r="J1508" s="1147">
        <v>0</v>
      </c>
      <c r="K1508" s="1147"/>
      <c r="L1508" s="1148"/>
      <c r="M1508" s="959"/>
      <c r="N1508" s="959"/>
      <c r="O1508" s="1149"/>
      <c r="P1508" s="950"/>
      <c r="Q1508" s="950"/>
      <c r="R1508" s="950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237">
        <f>MAX(J1509/J1536)</f>
        <v>0</v>
      </c>
      <c r="AD1508" s="235">
        <f t="shared" si="280"/>
        <v>0</v>
      </c>
      <c r="AE1508" s="238">
        <f>MAX(I1509/I1536)</f>
        <v>0</v>
      </c>
      <c r="AF1508" s="235">
        <f t="shared" si="281"/>
        <v>0</v>
      </c>
      <c r="AG1508" s="238">
        <f>MAX(H1509/H1536)</f>
        <v>0</v>
      </c>
      <c r="AH1508" s="235">
        <f t="shared" si="282"/>
        <v>0</v>
      </c>
    </row>
    <row r="1509" spans="1:34" ht="15" customHeight="1" x14ac:dyDescent="0.2">
      <c r="A1509" s="962" t="s">
        <v>366</v>
      </c>
      <c r="B1509" s="1498">
        <v>0</v>
      </c>
      <c r="C1509" s="1146"/>
      <c r="D1509" s="1146"/>
      <c r="E1509" s="1146"/>
      <c r="F1509" s="1146"/>
      <c r="G1509" s="1146"/>
      <c r="H1509" s="1146">
        <v>0</v>
      </c>
      <c r="I1509" s="1146">
        <v>0</v>
      </c>
      <c r="J1509" s="1147">
        <v>0</v>
      </c>
      <c r="K1509" s="1147"/>
      <c r="L1509" s="1148"/>
      <c r="M1509" s="959"/>
      <c r="N1509" s="959"/>
      <c r="O1509" s="1149"/>
      <c r="P1509" s="950"/>
      <c r="Q1509" s="950"/>
      <c r="R1509" s="950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237">
        <f>MAX(J1510/J1536)</f>
        <v>0</v>
      </c>
      <c r="AD1509" s="235">
        <f t="shared" si="280"/>
        <v>0</v>
      </c>
      <c r="AE1509" s="238">
        <f>MAX(I1510/I1536)</f>
        <v>0</v>
      </c>
      <c r="AF1509" s="235">
        <f t="shared" si="281"/>
        <v>0</v>
      </c>
      <c r="AG1509" s="238">
        <f>MAX(H1510/H1536)</f>
        <v>0</v>
      </c>
      <c r="AH1509" s="235">
        <f t="shared" si="282"/>
        <v>0</v>
      </c>
    </row>
    <row r="1510" spans="1:34" ht="15" customHeight="1" x14ac:dyDescent="0.2">
      <c r="A1510" s="962" t="s">
        <v>367</v>
      </c>
      <c r="B1510" s="1498">
        <v>0</v>
      </c>
      <c r="C1510" s="1146"/>
      <c r="D1510" s="1146"/>
      <c r="E1510" s="1146"/>
      <c r="F1510" s="1146"/>
      <c r="G1510" s="1146"/>
      <c r="H1510" s="1146">
        <v>0</v>
      </c>
      <c r="I1510" s="1146">
        <v>0</v>
      </c>
      <c r="J1510" s="1147">
        <v>0</v>
      </c>
      <c r="K1510" s="1147"/>
      <c r="L1510" s="1148"/>
      <c r="M1510" s="959"/>
      <c r="N1510" s="959"/>
      <c r="O1510" s="1149"/>
      <c r="P1510" s="950"/>
      <c r="Q1510" s="950"/>
      <c r="R1510" s="950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1157"/>
      <c r="AD1510" s="1156"/>
      <c r="AE1510" s="1158"/>
      <c r="AF1510" s="1156"/>
      <c r="AG1510" s="1158"/>
      <c r="AH1510" s="1156"/>
    </row>
    <row r="1511" spans="1:34" ht="15" customHeight="1" x14ac:dyDescent="0.2">
      <c r="A1511" s="434" t="s">
        <v>940</v>
      </c>
      <c r="B1511" s="1485">
        <v>35.5</v>
      </c>
      <c r="C1511" s="1002">
        <v>3</v>
      </c>
      <c r="D1511" s="1002">
        <v>0</v>
      </c>
      <c r="E1511" s="1002">
        <v>3</v>
      </c>
      <c r="F1511" s="1002">
        <v>5</v>
      </c>
      <c r="G1511" s="1002">
        <v>7</v>
      </c>
      <c r="H1511" s="1002">
        <v>20.5</v>
      </c>
      <c r="I1511" s="1002">
        <v>30.5</v>
      </c>
      <c r="J1511" s="1150">
        <v>164</v>
      </c>
      <c r="K1511" s="1150">
        <v>8</v>
      </c>
      <c r="L1511" s="1152"/>
      <c r="M1511" s="996"/>
      <c r="N1511" s="996"/>
      <c r="O1511" s="1153"/>
      <c r="P1511" s="950"/>
      <c r="Q1511" s="950"/>
      <c r="R1511" s="950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237">
        <f>MAX(J1512/J1536)</f>
        <v>0.11764705882352941</v>
      </c>
      <c r="AD1511" s="235">
        <f>MAX(M1512*AC1511)</f>
        <v>570588.23529411759</v>
      </c>
      <c r="AE1511" s="238">
        <f>MAX(I1512/I1536)</f>
        <v>0.10522742701968771</v>
      </c>
      <c r="AF1511" s="235" t="e">
        <f>MAX(N1512*AE1511)</f>
        <v>#VALUE!</v>
      </c>
      <c r="AG1511" s="238">
        <f>MAX(H1512/H1536)</f>
        <v>0.10365251727541955</v>
      </c>
      <c r="AH1511" s="235" t="e">
        <f>MAX(O1512*AG1511)</f>
        <v>#VALUE!</v>
      </c>
    </row>
    <row r="1512" spans="1:34" ht="15" customHeight="1" x14ac:dyDescent="0.2">
      <c r="A1512" s="962" t="s">
        <v>369</v>
      </c>
      <c r="B1512" s="1498">
        <v>23.5</v>
      </c>
      <c r="C1512" s="1146">
        <v>0</v>
      </c>
      <c r="D1512" s="1146">
        <v>0</v>
      </c>
      <c r="E1512" s="1146">
        <v>3</v>
      </c>
      <c r="F1512" s="1146">
        <v>5</v>
      </c>
      <c r="G1512" s="1146">
        <v>5</v>
      </c>
      <c r="H1512" s="1146">
        <v>10.5</v>
      </c>
      <c r="I1512" s="1146">
        <v>15.5</v>
      </c>
      <c r="J1512" s="1147">
        <v>84</v>
      </c>
      <c r="K1512" s="1147">
        <v>8</v>
      </c>
      <c r="L1512" s="1066" t="s">
        <v>988</v>
      </c>
      <c r="M1512" s="959">
        <v>4850000</v>
      </c>
      <c r="N1512" s="1066" t="s">
        <v>616</v>
      </c>
      <c r="O1512" s="1067" t="s">
        <v>616</v>
      </c>
      <c r="P1512" s="950"/>
      <c r="Q1512" s="950"/>
      <c r="R1512" s="950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237">
        <f>MAX(J1513/J1536)</f>
        <v>0.11204481792717087</v>
      </c>
      <c r="AD1512" s="235">
        <f>MAX(M1513*AC1512)</f>
        <v>543417.36694677873</v>
      </c>
      <c r="AE1512" s="238">
        <f>MAX(I1513/I1536)</f>
        <v>0.10183299389002036</v>
      </c>
      <c r="AF1512" s="235" t="e">
        <f>MAX(N1513*AE1512)</f>
        <v>#VALUE!</v>
      </c>
      <c r="AG1512" s="238">
        <f>MAX(H1513/H1536)</f>
        <v>9.8716683119447188E-2</v>
      </c>
      <c r="AH1512" s="235" t="e">
        <f>MAX(O1513*AG1512)</f>
        <v>#VALUE!</v>
      </c>
    </row>
    <row r="1513" spans="1:34" ht="15" customHeight="1" x14ac:dyDescent="0.2">
      <c r="A1513" s="962" t="s">
        <v>370</v>
      </c>
      <c r="B1513" s="1498">
        <v>12</v>
      </c>
      <c r="C1513" s="1146">
        <v>3</v>
      </c>
      <c r="D1513" s="1146">
        <v>0</v>
      </c>
      <c r="E1513" s="1146">
        <v>0</v>
      </c>
      <c r="F1513" s="1146">
        <v>0</v>
      </c>
      <c r="G1513" s="1146">
        <v>2</v>
      </c>
      <c r="H1513" s="1146">
        <v>10</v>
      </c>
      <c r="I1513" s="1146">
        <v>15</v>
      </c>
      <c r="J1513" s="1147">
        <v>80</v>
      </c>
      <c r="K1513" s="1147">
        <v>8</v>
      </c>
      <c r="L1513" s="1066" t="s">
        <v>988</v>
      </c>
      <c r="M1513" s="959">
        <v>4850000</v>
      </c>
      <c r="N1513" s="1066" t="s">
        <v>616</v>
      </c>
      <c r="O1513" s="1067" t="s">
        <v>616</v>
      </c>
      <c r="P1513" s="950"/>
      <c r="Q1513" s="950"/>
      <c r="R1513" s="950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237">
        <f>MAX(J1514/J1536)</f>
        <v>0</v>
      </c>
      <c r="AD1513" s="235">
        <f>MAX(M1514*AC1513)</f>
        <v>0</v>
      </c>
      <c r="AE1513" s="238">
        <f>MAX(I1514/I1536)</f>
        <v>0</v>
      </c>
      <c r="AF1513" s="235">
        <f>MAX(N1514*AE1513)</f>
        <v>0</v>
      </c>
      <c r="AG1513" s="238">
        <f>MAX(H1514/H1536)</f>
        <v>0</v>
      </c>
      <c r="AH1513" s="235">
        <f>MAX(O1514*AG1513)</f>
        <v>0</v>
      </c>
    </row>
    <row r="1514" spans="1:34" ht="15" customHeight="1" x14ac:dyDescent="0.2">
      <c r="A1514" s="962" t="s">
        <v>371</v>
      </c>
      <c r="B1514" s="1498">
        <v>0</v>
      </c>
      <c r="C1514" s="1146">
        <v>0</v>
      </c>
      <c r="D1514" s="1146">
        <v>0</v>
      </c>
      <c r="E1514" s="1146">
        <v>0</v>
      </c>
      <c r="F1514" s="1146">
        <v>0</v>
      </c>
      <c r="G1514" s="1146">
        <v>0</v>
      </c>
      <c r="H1514" s="1146">
        <v>0</v>
      </c>
      <c r="I1514" s="1146">
        <v>0</v>
      </c>
      <c r="J1514" s="1147">
        <v>0</v>
      </c>
      <c r="K1514" s="1147">
        <v>0</v>
      </c>
      <c r="L1514" s="1148"/>
      <c r="M1514" s="959"/>
      <c r="N1514" s="959"/>
      <c r="O1514" s="1149"/>
      <c r="U1514" s="9"/>
      <c r="V1514" s="9"/>
      <c r="W1514" s="9"/>
      <c r="X1514" s="9"/>
      <c r="Y1514" s="9"/>
      <c r="Z1514" s="9"/>
      <c r="AA1514" s="9"/>
      <c r="AB1514" s="9"/>
      <c r="AC1514" s="237">
        <f>MAX(J1515/J1536)</f>
        <v>0</v>
      </c>
      <c r="AD1514" s="235">
        <f>MAX(M1515*AC1514)</f>
        <v>0</v>
      </c>
      <c r="AE1514" s="238">
        <f>MAX(I1515/I1536)</f>
        <v>0</v>
      </c>
      <c r="AF1514" s="235">
        <f>MAX(N1515*AE1514)</f>
        <v>0</v>
      </c>
      <c r="AG1514" s="238">
        <f>MAX(H1515/H1536)</f>
        <v>0</v>
      </c>
      <c r="AH1514" s="235">
        <f>MAX(O1515*AG1514)</f>
        <v>0</v>
      </c>
    </row>
    <row r="1515" spans="1:34" ht="15" customHeight="1" x14ac:dyDescent="0.2">
      <c r="A1515" s="962" t="s">
        <v>372</v>
      </c>
      <c r="B1515" s="1498">
        <v>0</v>
      </c>
      <c r="C1515" s="1146">
        <v>0</v>
      </c>
      <c r="D1515" s="1146">
        <v>0</v>
      </c>
      <c r="E1515" s="1146">
        <v>0</v>
      </c>
      <c r="F1515" s="1146">
        <v>0</v>
      </c>
      <c r="G1515" s="1146">
        <v>0</v>
      </c>
      <c r="H1515" s="1146">
        <v>0</v>
      </c>
      <c r="I1515" s="1146">
        <v>0</v>
      </c>
      <c r="J1515" s="1147">
        <v>0</v>
      </c>
      <c r="K1515" s="1147">
        <v>0</v>
      </c>
      <c r="L1515" s="1148"/>
      <c r="M1515" s="959"/>
      <c r="N1515" s="959"/>
      <c r="O1515" s="1149"/>
      <c r="U1515" s="9"/>
      <c r="V1515" s="9"/>
      <c r="W1515" s="9"/>
      <c r="X1515" s="9"/>
      <c r="Y1515" s="9"/>
      <c r="Z1515" s="9"/>
      <c r="AA1515" s="9"/>
      <c r="AB1515" s="9"/>
      <c r="AC1515" s="237">
        <f>MAX(J1516/J1536)</f>
        <v>0</v>
      </c>
      <c r="AD1515" s="235">
        <f>MAX(M1516*AC1515)</f>
        <v>0</v>
      </c>
      <c r="AE1515" s="238">
        <f>MAX(I1516/I1536)</f>
        <v>0</v>
      </c>
      <c r="AF1515" s="235">
        <f>MAX(N1516*AE1515)</f>
        <v>0</v>
      </c>
      <c r="AG1515" s="238">
        <f>MAX(H1516/H1536)</f>
        <v>0</v>
      </c>
      <c r="AH1515" s="235">
        <f>MAX(O1516*AG1515)</f>
        <v>0</v>
      </c>
    </row>
    <row r="1516" spans="1:34" ht="15" customHeight="1" x14ac:dyDescent="0.2">
      <c r="A1516" s="962" t="s">
        <v>373</v>
      </c>
      <c r="B1516" s="1498">
        <v>0</v>
      </c>
      <c r="C1516" s="1146">
        <v>0</v>
      </c>
      <c r="D1516" s="1146">
        <v>0</v>
      </c>
      <c r="E1516" s="1146">
        <v>0</v>
      </c>
      <c r="F1516" s="1146">
        <v>0</v>
      </c>
      <c r="G1516" s="1146">
        <v>0</v>
      </c>
      <c r="H1516" s="1146">
        <v>0</v>
      </c>
      <c r="I1516" s="1146">
        <v>0</v>
      </c>
      <c r="J1516" s="1147">
        <v>0</v>
      </c>
      <c r="K1516" s="1147">
        <v>0</v>
      </c>
      <c r="L1516" s="1148"/>
      <c r="M1516" s="959"/>
      <c r="N1516" s="959"/>
      <c r="O1516" s="1149"/>
      <c r="U1516" s="9"/>
      <c r="V1516" s="9"/>
      <c r="W1516" s="9"/>
      <c r="X1516" s="9"/>
      <c r="Y1516" s="9"/>
      <c r="Z1516" s="9"/>
      <c r="AA1516" s="9"/>
      <c r="AB1516" s="9"/>
      <c r="AC1516" s="1157"/>
      <c r="AD1516" s="1156"/>
      <c r="AE1516" s="1158"/>
      <c r="AF1516" s="1156"/>
      <c r="AG1516" s="1158"/>
      <c r="AH1516" s="1156"/>
    </row>
    <row r="1517" spans="1:34" ht="15" customHeight="1" x14ac:dyDescent="0.2">
      <c r="A1517" s="1154" t="s">
        <v>374</v>
      </c>
      <c r="B1517" s="1485">
        <v>71.8</v>
      </c>
      <c r="C1517" s="1002">
        <v>13</v>
      </c>
      <c r="D1517" s="1002">
        <v>6</v>
      </c>
      <c r="E1517" s="1002">
        <v>8</v>
      </c>
      <c r="F1517" s="1002">
        <v>6</v>
      </c>
      <c r="G1517" s="1002">
        <v>6</v>
      </c>
      <c r="H1517" s="1002">
        <v>49.8</v>
      </c>
      <c r="I1517" s="1002">
        <v>74.8</v>
      </c>
      <c r="J1517" s="1150">
        <v>399</v>
      </c>
      <c r="K1517" s="1150">
        <v>8.0120481927710845</v>
      </c>
      <c r="L1517" s="1152"/>
      <c r="M1517" s="996"/>
      <c r="N1517" s="996"/>
      <c r="O1517" s="1153"/>
      <c r="U1517" s="9"/>
      <c r="V1517" s="9"/>
      <c r="W1517" s="9"/>
      <c r="X1517" s="9"/>
      <c r="Y1517" s="9"/>
      <c r="Z1517" s="9"/>
      <c r="AA1517" s="9"/>
      <c r="AB1517" s="9"/>
      <c r="AC1517" s="237">
        <f>MAX(J1518/J1536)</f>
        <v>0.25210084033613445</v>
      </c>
      <c r="AD1517" s="235">
        <f t="shared" ref="AD1517:AD1524" si="283">MAX(M1518*AC1517)</f>
        <v>1222689.075630252</v>
      </c>
      <c r="AE1517" s="238">
        <f>MAX(I1518/I1536)</f>
        <v>0.1425661914460285</v>
      </c>
      <c r="AF1517" s="235" t="e">
        <f t="shared" ref="AF1517:AF1524" si="284">MAX(N1518*AE1517)</f>
        <v>#VALUE!</v>
      </c>
      <c r="AG1517" s="238">
        <f>MAX(H1518/H1536)</f>
        <v>0.17769002961500494</v>
      </c>
      <c r="AH1517" s="235" t="e">
        <f t="shared" ref="AH1517:AH1524" si="285">MAX(O1518*AG1517)</f>
        <v>#VALUE!</v>
      </c>
    </row>
    <row r="1518" spans="1:34" ht="15" customHeight="1" x14ac:dyDescent="0.2">
      <c r="A1518" s="962" t="s">
        <v>375</v>
      </c>
      <c r="B1518" s="1498">
        <v>22</v>
      </c>
      <c r="C1518" s="1146">
        <v>3</v>
      </c>
      <c r="D1518" s="1146">
        <v>0</v>
      </c>
      <c r="E1518" s="1146">
        <v>2</v>
      </c>
      <c r="F1518" s="1146">
        <v>2</v>
      </c>
      <c r="G1518" s="1146">
        <v>0</v>
      </c>
      <c r="H1518" s="1146">
        <v>18</v>
      </c>
      <c r="I1518" s="1146">
        <v>21</v>
      </c>
      <c r="J1518" s="1147">
        <v>180</v>
      </c>
      <c r="K1518" s="1147">
        <v>10</v>
      </c>
      <c r="L1518" s="1066" t="s">
        <v>988</v>
      </c>
      <c r="M1518" s="959">
        <v>4850000</v>
      </c>
      <c r="N1518" s="1066" t="s">
        <v>616</v>
      </c>
      <c r="O1518" s="1067" t="s">
        <v>616</v>
      </c>
      <c r="P1518" s="950"/>
      <c r="Q1518" s="950"/>
      <c r="R1518" s="950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237">
        <f>MAX(J1519/J1536)</f>
        <v>0</v>
      </c>
      <c r="AD1518" s="235">
        <f t="shared" si="283"/>
        <v>0</v>
      </c>
      <c r="AE1518" s="238">
        <f>MAX(I1519/I1536)</f>
        <v>0</v>
      </c>
      <c r="AF1518" s="235">
        <f t="shared" si="284"/>
        <v>0</v>
      </c>
      <c r="AG1518" s="238">
        <f>MAX(H1519/H1536)</f>
        <v>0</v>
      </c>
      <c r="AH1518" s="235">
        <f t="shared" si="285"/>
        <v>0</v>
      </c>
    </row>
    <row r="1519" spans="1:34" ht="15" customHeight="1" x14ac:dyDescent="0.2">
      <c r="A1519" s="962" t="s">
        <v>376</v>
      </c>
      <c r="B1519" s="1498">
        <v>0</v>
      </c>
      <c r="C1519" s="1146">
        <v>0</v>
      </c>
      <c r="D1519" s="1146">
        <v>0</v>
      </c>
      <c r="E1519" s="1146">
        <v>0</v>
      </c>
      <c r="F1519" s="1146">
        <v>0</v>
      </c>
      <c r="G1519" s="1146">
        <v>0</v>
      </c>
      <c r="H1519" s="1146">
        <v>0</v>
      </c>
      <c r="I1519" s="1146">
        <v>0</v>
      </c>
      <c r="J1519" s="1147">
        <v>0</v>
      </c>
      <c r="K1519" s="1147">
        <v>0</v>
      </c>
      <c r="L1519" s="1148"/>
      <c r="M1519" s="959"/>
      <c r="N1519" s="959"/>
      <c r="O1519" s="1149"/>
      <c r="U1519" s="9"/>
      <c r="V1519" s="9"/>
      <c r="W1519" s="9"/>
      <c r="X1519" s="9"/>
      <c r="Y1519" s="9"/>
      <c r="Z1519" s="9"/>
      <c r="AA1519" s="9"/>
      <c r="AB1519" s="9"/>
      <c r="AC1519" s="237">
        <f>MAX(J1520/J1536)</f>
        <v>0</v>
      </c>
      <c r="AD1519" s="235">
        <f t="shared" si="283"/>
        <v>0</v>
      </c>
      <c r="AE1519" s="238">
        <f>MAX(I1520/I1536)</f>
        <v>0</v>
      </c>
      <c r="AF1519" s="235">
        <f t="shared" si="284"/>
        <v>0</v>
      </c>
      <c r="AG1519" s="238">
        <f>MAX(H1520/H1536)</f>
        <v>0</v>
      </c>
      <c r="AH1519" s="235">
        <f t="shared" si="285"/>
        <v>0</v>
      </c>
    </row>
    <row r="1520" spans="1:34" ht="15" customHeight="1" x14ac:dyDescent="0.2">
      <c r="A1520" s="962" t="s">
        <v>377</v>
      </c>
      <c r="B1520" s="1498">
        <v>0</v>
      </c>
      <c r="C1520" s="1146"/>
      <c r="D1520" s="1146"/>
      <c r="E1520" s="1146"/>
      <c r="F1520" s="1146"/>
      <c r="G1520" s="1146"/>
      <c r="H1520" s="1146">
        <v>0</v>
      </c>
      <c r="I1520" s="1146">
        <v>0</v>
      </c>
      <c r="J1520" s="1147">
        <v>0</v>
      </c>
      <c r="K1520" s="1147"/>
      <c r="L1520" s="1148"/>
      <c r="M1520" s="959"/>
      <c r="N1520" s="959"/>
      <c r="O1520" s="1149"/>
      <c r="U1520" s="9"/>
      <c r="V1520" s="9"/>
      <c r="W1520" s="9"/>
      <c r="X1520" s="9"/>
      <c r="Y1520" s="9"/>
      <c r="Z1520" s="9"/>
      <c r="AA1520" s="9"/>
      <c r="AB1520" s="9"/>
      <c r="AC1520" s="237">
        <f>MAX(J1521/J1536)</f>
        <v>0</v>
      </c>
      <c r="AD1520" s="235">
        <f t="shared" si="283"/>
        <v>0</v>
      </c>
      <c r="AE1520" s="238">
        <f>MAX(I1521/I1536)</f>
        <v>0</v>
      </c>
      <c r="AF1520" s="235">
        <f t="shared" si="284"/>
        <v>0</v>
      </c>
      <c r="AG1520" s="238">
        <f>MAX(H1521/H1536)</f>
        <v>0</v>
      </c>
      <c r="AH1520" s="235">
        <f t="shared" si="285"/>
        <v>0</v>
      </c>
    </row>
    <row r="1521" spans="1:34" ht="15" customHeight="1" x14ac:dyDescent="0.2">
      <c r="A1521" s="962" t="s">
        <v>378</v>
      </c>
      <c r="B1521" s="1498">
        <v>0</v>
      </c>
      <c r="C1521" s="1146">
        <v>0</v>
      </c>
      <c r="D1521" s="1146">
        <v>0</v>
      </c>
      <c r="E1521" s="1146">
        <v>0</v>
      </c>
      <c r="F1521" s="1146">
        <v>0</v>
      </c>
      <c r="G1521" s="1146">
        <v>0</v>
      </c>
      <c r="H1521" s="1146">
        <v>0</v>
      </c>
      <c r="I1521" s="1146">
        <v>0</v>
      </c>
      <c r="J1521" s="1147">
        <v>0</v>
      </c>
      <c r="K1521" s="1147">
        <v>0</v>
      </c>
      <c r="L1521" s="1066"/>
      <c r="M1521" s="959"/>
      <c r="N1521" s="959"/>
      <c r="O1521" s="1149"/>
      <c r="U1521" s="9"/>
      <c r="V1521" s="9"/>
      <c r="W1521" s="9"/>
      <c r="X1521" s="9"/>
      <c r="Y1521" s="9"/>
      <c r="Z1521" s="9"/>
      <c r="AA1521" s="9"/>
      <c r="AB1521" s="9"/>
      <c r="AC1521" s="237">
        <f>MAX(J1522/J1536)</f>
        <v>5.8823529411764705E-2</v>
      </c>
      <c r="AD1521" s="235">
        <f t="shared" si="283"/>
        <v>285294.1176470588</v>
      </c>
      <c r="AE1521" s="238">
        <f>MAX(I1522/I1536)</f>
        <v>4.0733197556008141E-2</v>
      </c>
      <c r="AF1521" s="235" t="e">
        <f t="shared" si="284"/>
        <v>#VALUE!</v>
      </c>
      <c r="AG1521" s="238">
        <f>MAX(H1522/H1536)</f>
        <v>5.9230009871668314E-2</v>
      </c>
      <c r="AH1521" s="235" t="e">
        <f t="shared" si="285"/>
        <v>#VALUE!</v>
      </c>
    </row>
    <row r="1522" spans="1:34" ht="15" customHeight="1" x14ac:dyDescent="0.2">
      <c r="A1522" s="962" t="s">
        <v>379</v>
      </c>
      <c r="B1522" s="1498">
        <v>6</v>
      </c>
      <c r="C1522" s="1146"/>
      <c r="D1522" s="1146"/>
      <c r="E1522" s="1146"/>
      <c r="F1522" s="1146"/>
      <c r="G1522" s="1146"/>
      <c r="H1522" s="1146">
        <v>6</v>
      </c>
      <c r="I1522" s="1146">
        <v>6</v>
      </c>
      <c r="J1522" s="1147">
        <v>42</v>
      </c>
      <c r="K1522" s="1147">
        <v>7</v>
      </c>
      <c r="L1522" s="1066" t="s">
        <v>988</v>
      </c>
      <c r="M1522" s="959">
        <v>4850000</v>
      </c>
      <c r="N1522" s="1066" t="s">
        <v>616</v>
      </c>
      <c r="O1522" s="1067" t="s">
        <v>616</v>
      </c>
      <c r="P1522" s="950"/>
      <c r="Q1522" s="950"/>
      <c r="R1522" s="950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237">
        <f>MAX(J1523/J1536)</f>
        <v>0.23529411764705882</v>
      </c>
      <c r="AD1522" s="235">
        <f t="shared" si="283"/>
        <v>1141176.4705882352</v>
      </c>
      <c r="AE1522" s="238">
        <f>MAX(I1523/I1536)</f>
        <v>0.16293279022403256</v>
      </c>
      <c r="AF1522" s="235" t="e">
        <f t="shared" si="284"/>
        <v>#VALUE!</v>
      </c>
      <c r="AG1522" s="238">
        <f>MAX(H1523/H1536)</f>
        <v>0.23692003948667326</v>
      </c>
      <c r="AH1522" s="235" t="e">
        <f t="shared" si="285"/>
        <v>#VALUE!</v>
      </c>
    </row>
    <row r="1523" spans="1:34" ht="15" customHeight="1" x14ac:dyDescent="0.2">
      <c r="A1523" s="962" t="s">
        <v>380</v>
      </c>
      <c r="B1523" s="1498">
        <v>24</v>
      </c>
      <c r="C1523" s="1146">
        <v>0</v>
      </c>
      <c r="D1523" s="1146">
        <v>0</v>
      </c>
      <c r="E1523" s="1146">
        <v>2</v>
      </c>
      <c r="F1523" s="1146">
        <v>2</v>
      </c>
      <c r="G1523" s="1146">
        <v>0</v>
      </c>
      <c r="H1523" s="1146">
        <v>24</v>
      </c>
      <c r="I1523" s="1146">
        <v>24</v>
      </c>
      <c r="J1523" s="1147">
        <v>168</v>
      </c>
      <c r="K1523" s="1147">
        <v>7</v>
      </c>
      <c r="L1523" s="1066" t="s">
        <v>988</v>
      </c>
      <c r="M1523" s="959">
        <v>4850000</v>
      </c>
      <c r="N1523" s="1066" t="s">
        <v>616</v>
      </c>
      <c r="O1523" s="1067" t="s">
        <v>616</v>
      </c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237">
        <f>MAX(J1524/J1536)</f>
        <v>0</v>
      </c>
      <c r="AD1523" s="235">
        <f t="shared" si="283"/>
        <v>0</v>
      </c>
      <c r="AE1523" s="238">
        <f>MAX(I1524/I1536)</f>
        <v>0</v>
      </c>
      <c r="AF1523" s="235">
        <f t="shared" si="284"/>
        <v>0</v>
      </c>
      <c r="AG1523" s="238">
        <f>MAX(H1524/H1536)</f>
        <v>0</v>
      </c>
      <c r="AH1523" s="235">
        <f t="shared" si="285"/>
        <v>0</v>
      </c>
    </row>
    <row r="1524" spans="1:34" ht="15" customHeight="1" x14ac:dyDescent="0.2">
      <c r="A1524" s="962" t="s">
        <v>381</v>
      </c>
      <c r="B1524" s="1498">
        <v>0</v>
      </c>
      <c r="C1524" s="1146"/>
      <c r="D1524" s="1146"/>
      <c r="E1524" s="1146"/>
      <c r="F1524" s="1146"/>
      <c r="G1524" s="1146"/>
      <c r="H1524" s="1146">
        <v>0</v>
      </c>
      <c r="I1524" s="1146">
        <v>0</v>
      </c>
      <c r="J1524" s="1147">
        <v>0</v>
      </c>
      <c r="K1524" s="1147"/>
      <c r="L1524" s="1148"/>
      <c r="M1524" s="959"/>
      <c r="N1524" s="959"/>
      <c r="O1524" s="1149"/>
      <c r="U1524" s="9"/>
      <c r="V1524" s="9"/>
      <c r="W1524" s="9"/>
      <c r="X1524" s="9"/>
      <c r="Y1524" s="9"/>
      <c r="Z1524" s="9"/>
      <c r="AA1524" s="9"/>
      <c r="AB1524" s="9"/>
      <c r="AC1524" s="237">
        <f>MAX(J1525/J1536)</f>
        <v>1.2605042016806728E-2</v>
      </c>
      <c r="AD1524" s="235">
        <f t="shared" si="283"/>
        <v>61134.453781512631</v>
      </c>
      <c r="AE1524" s="238">
        <f>MAX(I1525/I1536)</f>
        <v>0.16157501697216564</v>
      </c>
      <c r="AF1524" s="235" t="e">
        <f t="shared" si="284"/>
        <v>#VALUE!</v>
      </c>
      <c r="AG1524" s="238">
        <f>MAX(H1525/H1536)</f>
        <v>1.77690029615005E-2</v>
      </c>
      <c r="AH1524" s="235" t="e">
        <f t="shared" si="285"/>
        <v>#VALUE!</v>
      </c>
    </row>
    <row r="1525" spans="1:34" ht="15" customHeight="1" x14ac:dyDescent="0.2">
      <c r="A1525" s="962" t="s">
        <v>382</v>
      </c>
      <c r="B1525" s="1498">
        <v>19.8</v>
      </c>
      <c r="C1525" s="1146">
        <v>10</v>
      </c>
      <c r="D1525" s="1146">
        <v>6</v>
      </c>
      <c r="E1525" s="1146">
        <v>4</v>
      </c>
      <c r="F1525" s="1146">
        <v>2</v>
      </c>
      <c r="G1525" s="1146">
        <v>6</v>
      </c>
      <c r="H1525" s="1146">
        <v>1.8000000000000007</v>
      </c>
      <c r="I1525" s="1146">
        <v>23.8</v>
      </c>
      <c r="J1525" s="1147">
        <v>9.0000000000000036</v>
      </c>
      <c r="K1525" s="1147">
        <v>5</v>
      </c>
      <c r="L1525" s="1066" t="s">
        <v>988</v>
      </c>
      <c r="M1525" s="959">
        <v>4850000</v>
      </c>
      <c r="N1525" s="1066" t="s">
        <v>616</v>
      </c>
      <c r="O1525" s="1067" t="s">
        <v>616</v>
      </c>
      <c r="P1525" s="950"/>
      <c r="Q1525" s="950"/>
      <c r="R1525" s="950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1157"/>
      <c r="AD1525" s="1156"/>
      <c r="AE1525" s="1158"/>
      <c r="AF1525" s="1156"/>
      <c r="AG1525" s="1158"/>
      <c r="AH1525" s="1156"/>
    </row>
    <row r="1526" spans="1:34" ht="15" customHeight="1" x14ac:dyDescent="0.2">
      <c r="A1526" s="1154" t="s">
        <v>383</v>
      </c>
      <c r="B1526" s="1485">
        <v>15.5</v>
      </c>
      <c r="C1526" s="1002">
        <v>1</v>
      </c>
      <c r="D1526" s="1002">
        <v>0</v>
      </c>
      <c r="E1526" s="1002">
        <v>0</v>
      </c>
      <c r="F1526" s="1002">
        <v>0</v>
      </c>
      <c r="G1526" s="1002">
        <v>0</v>
      </c>
      <c r="H1526" s="1002">
        <v>15.5</v>
      </c>
      <c r="I1526" s="1002">
        <v>16.5</v>
      </c>
      <c r="J1526" s="1150">
        <v>73</v>
      </c>
      <c r="K1526" s="1150">
        <v>4.709677419354839</v>
      </c>
      <c r="L1526" s="1152"/>
      <c r="M1526" s="996"/>
      <c r="N1526" s="996"/>
      <c r="O1526" s="1153"/>
      <c r="U1526" s="9"/>
      <c r="V1526" s="9"/>
      <c r="W1526" s="9"/>
      <c r="X1526" s="9"/>
      <c r="Y1526" s="9"/>
      <c r="Z1526" s="9"/>
      <c r="AA1526" s="9"/>
      <c r="AB1526" s="9"/>
      <c r="AC1526" s="237">
        <f>MAX(J1527/J1536)</f>
        <v>0</v>
      </c>
      <c r="AD1526" s="235">
        <f t="shared" ref="AD1526:AD1534" si="286">MAX(M1527*AC1526)</f>
        <v>0</v>
      </c>
      <c r="AE1526" s="238">
        <f>MAX(I1527/I1536)</f>
        <v>0</v>
      </c>
      <c r="AF1526" s="235">
        <f t="shared" ref="AF1526:AF1534" si="287">MAX(N1527*AE1526)</f>
        <v>0</v>
      </c>
      <c r="AG1526" s="238">
        <f>MAX(H1527/H1536)</f>
        <v>0</v>
      </c>
      <c r="AH1526" s="235">
        <f t="shared" ref="AH1526:AH1534" si="288">MAX(O1527*AG1526)</f>
        <v>0</v>
      </c>
    </row>
    <row r="1527" spans="1:34" ht="15" customHeight="1" x14ac:dyDescent="0.2">
      <c r="A1527" s="962" t="s">
        <v>384</v>
      </c>
      <c r="B1527" s="1498">
        <v>0</v>
      </c>
      <c r="C1527" s="1146">
        <v>0</v>
      </c>
      <c r="D1527" s="1146">
        <v>0</v>
      </c>
      <c r="E1527" s="1146">
        <v>0</v>
      </c>
      <c r="F1527" s="1146">
        <v>0</v>
      </c>
      <c r="G1527" s="1146">
        <v>0</v>
      </c>
      <c r="H1527" s="1146">
        <v>0</v>
      </c>
      <c r="I1527" s="1146">
        <v>0</v>
      </c>
      <c r="J1527" s="1147">
        <v>0</v>
      </c>
      <c r="K1527" s="1147">
        <v>0</v>
      </c>
      <c r="L1527" s="1066"/>
      <c r="M1527" s="959"/>
      <c r="N1527" s="1066"/>
      <c r="O1527" s="1067"/>
      <c r="U1527" s="9"/>
      <c r="V1527" s="9"/>
      <c r="W1527" s="9"/>
      <c r="X1527" s="9"/>
      <c r="Y1527" s="9"/>
      <c r="Z1527" s="9"/>
      <c r="AA1527" s="9"/>
      <c r="AB1527" s="9"/>
      <c r="AC1527" s="237">
        <f>MAX(J1528/J1536)</f>
        <v>2.5210084033613446E-2</v>
      </c>
      <c r="AD1527" s="235">
        <f t="shared" si="286"/>
        <v>122268.90756302522</v>
      </c>
      <c r="AE1527" s="238">
        <f>MAX(I1528/I1536)</f>
        <v>3.7338764426340799E-2</v>
      </c>
      <c r="AF1527" s="235" t="e">
        <f t="shared" si="287"/>
        <v>#VALUE!</v>
      </c>
      <c r="AG1527" s="238">
        <f>MAX(H1528/H1536)</f>
        <v>4.4422507403751234E-2</v>
      </c>
      <c r="AH1527" s="235" t="e">
        <f t="shared" si="288"/>
        <v>#VALUE!</v>
      </c>
    </row>
    <row r="1528" spans="1:34" ht="15" customHeight="1" x14ac:dyDescent="0.2">
      <c r="A1528" s="962" t="s">
        <v>385</v>
      </c>
      <c r="B1528" s="1498">
        <v>4.5</v>
      </c>
      <c r="C1528" s="1146">
        <v>1</v>
      </c>
      <c r="D1528" s="1146">
        <v>0</v>
      </c>
      <c r="E1528" s="1146">
        <v>0</v>
      </c>
      <c r="F1528" s="1146">
        <v>0</v>
      </c>
      <c r="G1528" s="1146">
        <v>0</v>
      </c>
      <c r="H1528" s="1146">
        <v>4.5</v>
      </c>
      <c r="I1528" s="1146">
        <v>5.5</v>
      </c>
      <c r="J1528" s="1147">
        <v>18</v>
      </c>
      <c r="K1528" s="1147">
        <v>4</v>
      </c>
      <c r="L1528" s="1066" t="s">
        <v>988</v>
      </c>
      <c r="M1528" s="959">
        <v>4850000</v>
      </c>
      <c r="N1528" s="1066" t="s">
        <v>616</v>
      </c>
      <c r="O1528" s="1067" t="s">
        <v>616</v>
      </c>
      <c r="P1528" s="950"/>
      <c r="Q1528" s="950"/>
      <c r="R1528" s="950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237">
        <f>MAX(J1529/J1536)</f>
        <v>0</v>
      </c>
      <c r="AD1528" s="235">
        <f t="shared" si="286"/>
        <v>0</v>
      </c>
      <c r="AE1528" s="238">
        <f>MAX(I1529/I1536)</f>
        <v>0</v>
      </c>
      <c r="AF1528" s="235">
        <f t="shared" si="287"/>
        <v>0</v>
      </c>
      <c r="AG1528" s="238">
        <f>MAX(H1529/H1536)</f>
        <v>0</v>
      </c>
      <c r="AH1528" s="235">
        <f t="shared" si="288"/>
        <v>0</v>
      </c>
    </row>
    <row r="1529" spans="1:34" ht="15" customHeight="1" x14ac:dyDescent="0.2">
      <c r="A1529" s="962" t="s">
        <v>386</v>
      </c>
      <c r="B1529" s="1498">
        <v>0</v>
      </c>
      <c r="C1529" s="1146">
        <v>0</v>
      </c>
      <c r="D1529" s="1146">
        <v>0</v>
      </c>
      <c r="E1529" s="1146">
        <v>0</v>
      </c>
      <c r="F1529" s="1146">
        <v>0</v>
      </c>
      <c r="G1529" s="1146">
        <v>0</v>
      </c>
      <c r="H1529" s="1146">
        <v>0</v>
      </c>
      <c r="I1529" s="1146">
        <v>0</v>
      </c>
      <c r="J1529" s="1147">
        <v>0</v>
      </c>
      <c r="K1529" s="1147">
        <v>0</v>
      </c>
      <c r="L1529" s="1148"/>
      <c r="M1529" s="959"/>
      <c r="N1529" s="959"/>
      <c r="O1529" s="1149"/>
      <c r="U1529" s="9"/>
      <c r="V1529" s="9"/>
      <c r="W1529" s="9"/>
      <c r="X1529" s="9"/>
      <c r="Y1529" s="9"/>
      <c r="Z1529" s="9"/>
      <c r="AA1529" s="9"/>
      <c r="AB1529" s="9"/>
      <c r="AC1529" s="237">
        <f>MAX(J1530/J1536)</f>
        <v>0</v>
      </c>
      <c r="AD1529" s="235">
        <f t="shared" si="286"/>
        <v>0</v>
      </c>
      <c r="AE1529" s="238">
        <f>MAX(I1530/I1536)</f>
        <v>0</v>
      </c>
      <c r="AF1529" s="235">
        <f t="shared" si="287"/>
        <v>0</v>
      </c>
      <c r="AG1529" s="238">
        <f>MAX(H1530/H1536)</f>
        <v>0</v>
      </c>
      <c r="AH1529" s="235">
        <f t="shared" si="288"/>
        <v>0</v>
      </c>
    </row>
    <row r="1530" spans="1:34" ht="15" customHeight="1" x14ac:dyDescent="0.2">
      <c r="A1530" s="962" t="s">
        <v>387</v>
      </c>
      <c r="B1530" s="1498">
        <v>0</v>
      </c>
      <c r="C1530" s="1146">
        <v>0</v>
      </c>
      <c r="D1530" s="1146">
        <v>0</v>
      </c>
      <c r="E1530" s="1146">
        <v>0</v>
      </c>
      <c r="F1530" s="1146">
        <v>0</v>
      </c>
      <c r="G1530" s="1146">
        <v>0</v>
      </c>
      <c r="H1530" s="1146">
        <v>0</v>
      </c>
      <c r="I1530" s="1146">
        <v>0</v>
      </c>
      <c r="J1530" s="1147">
        <v>0</v>
      </c>
      <c r="K1530" s="1147">
        <v>0</v>
      </c>
      <c r="L1530" s="1148"/>
      <c r="M1530" s="959"/>
      <c r="N1530" s="959"/>
      <c r="O1530" s="1149"/>
      <c r="P1530" s="950"/>
      <c r="Q1530" s="950"/>
      <c r="R1530" s="950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237">
        <f>MAX(J1531/J1536)</f>
        <v>7.0028011204481795E-3</v>
      </c>
      <c r="AD1530" s="235">
        <f t="shared" si="286"/>
        <v>33963.58543417367</v>
      </c>
      <c r="AE1530" s="238">
        <f>MAX(I1531/I1536)</f>
        <v>6.7888662593346902E-3</v>
      </c>
      <c r="AF1530" s="235">
        <f t="shared" si="287"/>
        <v>0</v>
      </c>
      <c r="AG1530" s="238">
        <f>MAX(H1531/H1536)</f>
        <v>9.8716683119447184E-3</v>
      </c>
      <c r="AH1530" s="235">
        <f t="shared" si="288"/>
        <v>0</v>
      </c>
    </row>
    <row r="1531" spans="1:34" ht="15" customHeight="1" x14ac:dyDescent="0.2">
      <c r="A1531" s="962" t="s">
        <v>388</v>
      </c>
      <c r="B1531" s="1498">
        <v>1</v>
      </c>
      <c r="C1531" s="1146"/>
      <c r="D1531" s="1146"/>
      <c r="E1531" s="1146"/>
      <c r="F1531" s="1146"/>
      <c r="G1531" s="1146"/>
      <c r="H1531" s="1146">
        <v>1</v>
      </c>
      <c r="I1531" s="1146">
        <v>1</v>
      </c>
      <c r="J1531" s="1147">
        <v>5</v>
      </c>
      <c r="K1531" s="1147">
        <v>5</v>
      </c>
      <c r="L1531" s="1066" t="s">
        <v>988</v>
      </c>
      <c r="M1531" s="959">
        <v>4850000</v>
      </c>
      <c r="N1531" s="1066"/>
      <c r="O1531" s="1067"/>
      <c r="P1531" s="950"/>
      <c r="Q1531" s="950"/>
      <c r="R1531" s="950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237">
        <f>MAX(J1532/J1536)</f>
        <v>0</v>
      </c>
      <c r="AD1531" s="235">
        <f t="shared" si="286"/>
        <v>0</v>
      </c>
      <c r="AE1531" s="238">
        <f>MAX(I1532/I1536)</f>
        <v>0</v>
      </c>
      <c r="AF1531" s="235">
        <f t="shared" si="287"/>
        <v>0</v>
      </c>
      <c r="AG1531" s="238">
        <f>MAX(H1532/H1536)</f>
        <v>0</v>
      </c>
      <c r="AH1531" s="235">
        <f t="shared" si="288"/>
        <v>0</v>
      </c>
    </row>
    <row r="1532" spans="1:34" ht="15" customHeight="1" x14ac:dyDescent="0.2">
      <c r="A1532" s="962" t="s">
        <v>389</v>
      </c>
      <c r="B1532" s="1498">
        <v>0</v>
      </c>
      <c r="C1532" s="1146">
        <v>0</v>
      </c>
      <c r="D1532" s="1146"/>
      <c r="E1532" s="1146"/>
      <c r="F1532" s="1146"/>
      <c r="G1532" s="1146"/>
      <c r="H1532" s="1146">
        <v>0</v>
      </c>
      <c r="I1532" s="1146">
        <v>0</v>
      </c>
      <c r="J1532" s="1147">
        <v>0</v>
      </c>
      <c r="K1532" s="1147"/>
      <c r="L1532" s="1066"/>
      <c r="M1532" s="959"/>
      <c r="N1532" s="1066"/>
      <c r="O1532" s="1067"/>
      <c r="P1532" s="950"/>
      <c r="Q1532" s="950"/>
      <c r="R1532" s="950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237">
        <f>MAX(J1533/J1536)</f>
        <v>0</v>
      </c>
      <c r="AD1532" s="235">
        <f t="shared" si="286"/>
        <v>0</v>
      </c>
      <c r="AE1532" s="238">
        <f>MAX(I1533/I1536)</f>
        <v>0</v>
      </c>
      <c r="AF1532" s="235">
        <f t="shared" si="287"/>
        <v>0</v>
      </c>
      <c r="AG1532" s="238">
        <f>MAX(H1533/H1536)</f>
        <v>0</v>
      </c>
      <c r="AH1532" s="235">
        <f t="shared" si="288"/>
        <v>0</v>
      </c>
    </row>
    <row r="1533" spans="1:34" ht="15" customHeight="1" x14ac:dyDescent="0.2">
      <c r="A1533" s="962" t="s">
        <v>390</v>
      </c>
      <c r="B1533" s="1498">
        <v>0</v>
      </c>
      <c r="C1533" s="1146"/>
      <c r="D1533" s="1146"/>
      <c r="E1533" s="1146"/>
      <c r="F1533" s="1146"/>
      <c r="G1533" s="1146"/>
      <c r="H1533" s="1146">
        <v>0</v>
      </c>
      <c r="I1533" s="1146">
        <v>0</v>
      </c>
      <c r="J1533" s="1147">
        <v>0</v>
      </c>
      <c r="K1533" s="1147"/>
      <c r="L1533" s="1148"/>
      <c r="M1533" s="959"/>
      <c r="N1533" s="959"/>
      <c r="O1533" s="1149"/>
      <c r="P1533" s="950"/>
      <c r="Q1533" s="950"/>
      <c r="R1533" s="950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237">
        <f>MAX(J1534/J1536)</f>
        <v>7.0028011204481794E-2</v>
      </c>
      <c r="AD1533" s="235">
        <f t="shared" si="286"/>
        <v>339635.8543417367</v>
      </c>
      <c r="AE1533" s="238">
        <f>MAX(I1534/I1536)</f>
        <v>6.7888662593346902E-2</v>
      </c>
      <c r="AF1533" s="235" t="e">
        <f t="shared" si="287"/>
        <v>#VALUE!</v>
      </c>
      <c r="AG1533" s="238">
        <f>MAX(H1534/H1536)</f>
        <v>9.8716683119447188E-2</v>
      </c>
      <c r="AH1533" s="235" t="e">
        <f t="shared" si="288"/>
        <v>#VALUE!</v>
      </c>
    </row>
    <row r="1534" spans="1:34" ht="15" customHeight="1" x14ac:dyDescent="0.2">
      <c r="A1534" s="962" t="s">
        <v>941</v>
      </c>
      <c r="B1534" s="1498">
        <v>10</v>
      </c>
      <c r="C1534" s="1146"/>
      <c r="D1534" s="1146"/>
      <c r="E1534" s="1146"/>
      <c r="F1534" s="1146"/>
      <c r="G1534" s="1146"/>
      <c r="H1534" s="1146">
        <v>10</v>
      </c>
      <c r="I1534" s="1146">
        <v>10</v>
      </c>
      <c r="J1534" s="1147">
        <v>50</v>
      </c>
      <c r="K1534" s="1147">
        <v>5</v>
      </c>
      <c r="L1534" s="1066" t="s">
        <v>988</v>
      </c>
      <c r="M1534" s="959">
        <v>4850000</v>
      </c>
      <c r="N1534" s="1066" t="s">
        <v>616</v>
      </c>
      <c r="O1534" s="1067" t="s">
        <v>616</v>
      </c>
      <c r="P1534" s="950"/>
      <c r="Q1534" s="950"/>
      <c r="R1534" s="950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237">
        <f>MAX(J1535/J1536)</f>
        <v>0</v>
      </c>
      <c r="AD1534" s="235">
        <f t="shared" si="286"/>
        <v>0</v>
      </c>
      <c r="AE1534" s="238">
        <f>MAX(I1535/I1536)</f>
        <v>0</v>
      </c>
      <c r="AF1534" s="235">
        <f t="shared" si="287"/>
        <v>0</v>
      </c>
      <c r="AG1534" s="238">
        <f>MAX(H1535/H1536)</f>
        <v>0</v>
      </c>
      <c r="AH1534" s="235">
        <f t="shared" si="288"/>
        <v>0</v>
      </c>
    </row>
    <row r="1535" spans="1:34" ht="15" customHeight="1" thickBot="1" x14ac:dyDescent="0.25">
      <c r="A1535" s="1140" t="s">
        <v>392</v>
      </c>
      <c r="B1535" s="1536">
        <v>0</v>
      </c>
      <c r="C1535" s="1141">
        <v>0</v>
      </c>
      <c r="D1535" s="1141">
        <v>0</v>
      </c>
      <c r="E1535" s="1141">
        <v>0</v>
      </c>
      <c r="F1535" s="1141">
        <v>0</v>
      </c>
      <c r="G1535" s="1141">
        <v>0</v>
      </c>
      <c r="H1535" s="1146">
        <v>0</v>
      </c>
      <c r="I1535" s="1146">
        <v>0</v>
      </c>
      <c r="J1535" s="1147">
        <v>0</v>
      </c>
      <c r="K1535" s="1142">
        <v>0</v>
      </c>
      <c r="L1535" s="1143"/>
      <c r="M1535" s="1144"/>
      <c r="N1535" s="1144"/>
      <c r="O1535" s="1145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1159">
        <f t="shared" ref="AC1535:AH1535" si="289">SUM(AC1495:AC1534)</f>
        <v>0.99999999999999989</v>
      </c>
      <c r="AD1535" s="1160">
        <f t="shared" si="289"/>
        <v>4849999.9999999991</v>
      </c>
      <c r="AE1535" s="1161">
        <f t="shared" si="289"/>
        <v>0.99999999999999989</v>
      </c>
      <c r="AF1535" s="1160" t="e">
        <f t="shared" si="289"/>
        <v>#VALUE!</v>
      </c>
      <c r="AG1535" s="1161">
        <f t="shared" si="289"/>
        <v>1</v>
      </c>
      <c r="AH1535" s="1160" t="e">
        <f t="shared" si="289"/>
        <v>#VALUE!</v>
      </c>
    </row>
    <row r="1536" spans="1:34" ht="15" customHeight="1" thickBot="1" x14ac:dyDescent="0.25">
      <c r="A1536" s="405" t="s">
        <v>942</v>
      </c>
      <c r="B1536" s="1131">
        <v>154.30000000000001</v>
      </c>
      <c r="C1536" s="1131">
        <v>17</v>
      </c>
      <c r="D1536" s="1131">
        <v>6</v>
      </c>
      <c r="E1536" s="1131">
        <v>11</v>
      </c>
      <c r="F1536" s="1131">
        <v>17</v>
      </c>
      <c r="G1536" s="1131">
        <v>23</v>
      </c>
      <c r="H1536" s="1131">
        <v>101.3</v>
      </c>
      <c r="I1536" s="1131">
        <v>147.30000000000001</v>
      </c>
      <c r="J1536" s="1132">
        <v>714</v>
      </c>
      <c r="K1536" s="1132">
        <v>7.0483711747285289</v>
      </c>
      <c r="L1536" s="1525" t="s">
        <v>988</v>
      </c>
      <c r="M1536" s="1134">
        <v>4849999.9999999991</v>
      </c>
      <c r="N1536" s="1525" t="s">
        <v>616</v>
      </c>
      <c r="O1536" s="1541" t="s">
        <v>616</v>
      </c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</row>
    <row r="1537" spans="1:15" x14ac:dyDescent="0.2">
      <c r="A1537" s="7" t="s">
        <v>1934</v>
      </c>
      <c r="B1537" s="224"/>
      <c r="C1537" s="224"/>
      <c r="D1537" s="224"/>
      <c r="E1537" s="224"/>
      <c r="F1537" s="224"/>
      <c r="G1537" s="224"/>
      <c r="H1537" s="224"/>
      <c r="I1537" s="224"/>
      <c r="J1537" s="224"/>
      <c r="K1537" s="240"/>
      <c r="L1537" s="241"/>
      <c r="M1537" s="240"/>
      <c r="N1537" s="240"/>
      <c r="O1537" s="240"/>
    </row>
  </sheetData>
  <sortState ref="Q490:R508">
    <sortCondition ref="Q490:Q508"/>
  </sortState>
  <mergeCells count="146">
    <mergeCell ref="B1226:O1226"/>
    <mergeCell ref="A1116:O1116"/>
    <mergeCell ref="A1013:A1017"/>
    <mergeCell ref="B1013:O1013"/>
    <mergeCell ref="B1014:I1014"/>
    <mergeCell ref="A1066:A1070"/>
    <mergeCell ref="B1066:O1066"/>
    <mergeCell ref="B1067:I1067"/>
    <mergeCell ref="D1440:D1441"/>
    <mergeCell ref="A1222:O1222"/>
    <mergeCell ref="A588:A592"/>
    <mergeCell ref="B589:I589"/>
    <mergeCell ref="B588:O588"/>
    <mergeCell ref="A269:O269"/>
    <mergeCell ref="B272:I272"/>
    <mergeCell ref="A429:A433"/>
    <mergeCell ref="B429:O429"/>
    <mergeCell ref="B430:I430"/>
    <mergeCell ref="A482:A486"/>
    <mergeCell ref="B482:O482"/>
    <mergeCell ref="B483:I483"/>
    <mergeCell ref="D273:D274"/>
    <mergeCell ref="D326:D327"/>
    <mergeCell ref="D379:D380"/>
    <mergeCell ref="D431:D432"/>
    <mergeCell ref="D484:D485"/>
    <mergeCell ref="D537:D538"/>
    <mergeCell ref="D590:D591"/>
    <mergeCell ref="A216:O216"/>
    <mergeCell ref="A163:O163"/>
    <mergeCell ref="A165:A169"/>
    <mergeCell ref="B165:O165"/>
    <mergeCell ref="B166:I166"/>
    <mergeCell ref="A427:O427"/>
    <mergeCell ref="A480:O480"/>
    <mergeCell ref="A533:O533"/>
    <mergeCell ref="A586:O586"/>
    <mergeCell ref="A218:A222"/>
    <mergeCell ref="B218:O218"/>
    <mergeCell ref="B219:I219"/>
    <mergeCell ref="B535:O535"/>
    <mergeCell ref="B536:I536"/>
    <mergeCell ref="A322:O322"/>
    <mergeCell ref="A324:A328"/>
    <mergeCell ref="B324:O324"/>
    <mergeCell ref="B325:I325"/>
    <mergeCell ref="A375:O375"/>
    <mergeCell ref="A377:A381"/>
    <mergeCell ref="B377:O377"/>
    <mergeCell ref="B378:I378"/>
    <mergeCell ref="D167:D168"/>
    <mergeCell ref="D220:D221"/>
    <mergeCell ref="A1:O1"/>
    <mergeCell ref="A5:A9"/>
    <mergeCell ref="B5:O5"/>
    <mergeCell ref="B6:I6"/>
    <mergeCell ref="A110:O110"/>
    <mergeCell ref="A112:A116"/>
    <mergeCell ref="B112:O112"/>
    <mergeCell ref="B113:I113"/>
    <mergeCell ref="A57:O57"/>
    <mergeCell ref="A59:A63"/>
    <mergeCell ref="B59:O59"/>
    <mergeCell ref="B60:I60"/>
    <mergeCell ref="D7:D8"/>
    <mergeCell ref="D61:D62"/>
    <mergeCell ref="D114:D115"/>
    <mergeCell ref="A854:A858"/>
    <mergeCell ref="B854:O854"/>
    <mergeCell ref="B855:I855"/>
    <mergeCell ref="B801:I801"/>
    <mergeCell ref="A851:O851"/>
    <mergeCell ref="A957:O957"/>
    <mergeCell ref="A798:O798"/>
    <mergeCell ref="A800:A804"/>
    <mergeCell ref="B907:O907"/>
    <mergeCell ref="B908:I908"/>
    <mergeCell ref="A907:A911"/>
    <mergeCell ref="A904:O904"/>
    <mergeCell ref="D802:D803"/>
    <mergeCell ref="D856:D857"/>
    <mergeCell ref="D909:D910"/>
    <mergeCell ref="A960:A964"/>
    <mergeCell ref="B960:O960"/>
    <mergeCell ref="B961:I961"/>
    <mergeCell ref="A271:A275"/>
    <mergeCell ref="B271:O271"/>
    <mergeCell ref="A1487:O1487"/>
    <mergeCell ref="A1490:A1494"/>
    <mergeCell ref="B1490:O1490"/>
    <mergeCell ref="B1491:I1491"/>
    <mergeCell ref="A1329:O1329"/>
    <mergeCell ref="A1382:O1382"/>
    <mergeCell ref="A1223:O1223"/>
    <mergeCell ref="A1276:O1276"/>
    <mergeCell ref="A1172:A1176"/>
    <mergeCell ref="B1172:O1172"/>
    <mergeCell ref="A1279:A1283"/>
    <mergeCell ref="B1279:O1279"/>
    <mergeCell ref="B1280:I1280"/>
    <mergeCell ref="B1120:I1120"/>
    <mergeCell ref="B1173:I1173"/>
    <mergeCell ref="A1169:O1169"/>
    <mergeCell ref="A1119:A1123"/>
    <mergeCell ref="B1119:O1119"/>
    <mergeCell ref="A535:A539"/>
    <mergeCell ref="B694:O694"/>
    <mergeCell ref="B695:I695"/>
    <mergeCell ref="B800:O800"/>
    <mergeCell ref="A641:A645"/>
    <mergeCell ref="B641:O641"/>
    <mergeCell ref="A639:O639"/>
    <mergeCell ref="A692:O692"/>
    <mergeCell ref="B642:I642"/>
    <mergeCell ref="A694:A698"/>
    <mergeCell ref="B747:O747"/>
    <mergeCell ref="A745:O745"/>
    <mergeCell ref="B748:I748"/>
    <mergeCell ref="A747:A751"/>
    <mergeCell ref="D643:D644"/>
    <mergeCell ref="D696:D697"/>
    <mergeCell ref="D749:D750"/>
    <mergeCell ref="D1492:D1493"/>
    <mergeCell ref="D962:D963"/>
    <mergeCell ref="D1015:D1016"/>
    <mergeCell ref="D1068:D1069"/>
    <mergeCell ref="D1121:D1122"/>
    <mergeCell ref="D1174:D1175"/>
    <mergeCell ref="D1228:D1229"/>
    <mergeCell ref="D1281:D1282"/>
    <mergeCell ref="D1334:D1335"/>
    <mergeCell ref="D1387:D1388"/>
    <mergeCell ref="A1435:O1435"/>
    <mergeCell ref="A1438:A1442"/>
    <mergeCell ref="B1438:O1438"/>
    <mergeCell ref="B1439:I1439"/>
    <mergeCell ref="A1010:O1010"/>
    <mergeCell ref="A1063:O1063"/>
    <mergeCell ref="B1385:O1385"/>
    <mergeCell ref="A1332:A1336"/>
    <mergeCell ref="B1332:O1332"/>
    <mergeCell ref="B1333:I1333"/>
    <mergeCell ref="A1385:A1389"/>
    <mergeCell ref="B1386:I1386"/>
    <mergeCell ref="B1227:I1227"/>
    <mergeCell ref="A1226:A1230"/>
  </mergeCells>
  <phoneticPr fontId="13" type="noConversion"/>
  <pageMargins left="0.19685039370078741" right="0.19685039370078741" top="0.98425196850393704" bottom="0.59055118110236227" header="0.59055118110236227" footer="0"/>
  <pageSetup scale="65" fitToWidth="0" fitToHeight="0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52"/>
  <sheetViews>
    <sheetView zoomScale="90" zoomScaleNormal="90" workbookViewId="0"/>
  </sheetViews>
  <sheetFormatPr baseColWidth="10" defaultColWidth="11.42578125" defaultRowHeight="12.75" x14ac:dyDescent="0.2"/>
  <cols>
    <col min="1" max="1" width="24" customWidth="1"/>
    <col min="2" max="15" width="12.7109375" customWidth="1"/>
  </cols>
  <sheetData>
    <row r="3" spans="1:22" ht="22.5" x14ac:dyDescent="0.2">
      <c r="A3" s="2854" t="s">
        <v>324</v>
      </c>
      <c r="B3" s="2854"/>
      <c r="C3" s="2854"/>
      <c r="D3" s="2854"/>
      <c r="E3" s="2854"/>
      <c r="F3" s="2854"/>
      <c r="G3" s="2854"/>
      <c r="H3" s="2854"/>
      <c r="I3" s="2854"/>
      <c r="J3" s="2854"/>
      <c r="K3" s="2854"/>
      <c r="L3" s="2854"/>
      <c r="M3" s="2854"/>
      <c r="N3" s="2854"/>
      <c r="O3" s="2854"/>
    </row>
    <row r="4" spans="1:22" ht="15.75" x14ac:dyDescent="0.2">
      <c r="A4" s="2855" t="s">
        <v>325</v>
      </c>
      <c r="B4" s="2855"/>
      <c r="C4" s="2855"/>
      <c r="D4" s="2855"/>
      <c r="E4" s="2855"/>
      <c r="F4" s="2855"/>
      <c r="G4" s="2855"/>
      <c r="H4" s="2855"/>
      <c r="I4" s="2855"/>
      <c r="J4" s="2855"/>
      <c r="K4" s="2855"/>
      <c r="L4" s="2855"/>
      <c r="M4" s="2855"/>
      <c r="N4" s="2855"/>
      <c r="O4" s="2855"/>
    </row>
    <row r="5" spans="1:22" ht="15.75" x14ac:dyDescent="0.2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</row>
    <row r="6" spans="1:22" ht="15.75" x14ac:dyDescent="0.2">
      <c r="A6" s="2855" t="s">
        <v>1946</v>
      </c>
      <c r="B6" s="2855"/>
      <c r="C6" s="2855"/>
      <c r="D6" s="2855"/>
      <c r="E6" s="2855"/>
      <c r="F6" s="2855"/>
      <c r="G6" s="2855"/>
      <c r="H6" s="2855"/>
      <c r="I6" s="2855"/>
      <c r="J6" s="2855"/>
      <c r="K6" s="2855"/>
      <c r="L6" s="2855"/>
      <c r="M6" s="2855"/>
      <c r="N6" s="2855"/>
      <c r="O6" s="2855"/>
    </row>
    <row r="7" spans="1:22" ht="16.5" thickBot="1" x14ac:dyDescent="0.25">
      <c r="A7" s="250"/>
      <c r="B7" s="250"/>
      <c r="C7" s="250"/>
      <c r="D7" s="250"/>
      <c r="E7" s="250"/>
      <c r="F7" s="250"/>
      <c r="G7" s="250"/>
      <c r="H7" s="250"/>
      <c r="I7" s="250"/>
      <c r="J7" s="1731"/>
      <c r="K7" s="250"/>
      <c r="L7" s="250"/>
      <c r="M7" s="250"/>
      <c r="N7" s="250"/>
      <c r="O7" s="250"/>
    </row>
    <row r="8" spans="1:22" ht="15.75" x14ac:dyDescent="0.25">
      <c r="A8" s="2856" t="s">
        <v>408</v>
      </c>
      <c r="B8" s="2859" t="s">
        <v>1932</v>
      </c>
      <c r="C8" s="2860"/>
      <c r="D8" s="2860"/>
      <c r="E8" s="2860"/>
      <c r="F8" s="2860"/>
      <c r="G8" s="2860"/>
      <c r="H8" s="2860"/>
      <c r="I8" s="2860"/>
      <c r="J8" s="2860"/>
      <c r="K8" s="2860"/>
      <c r="L8" s="2860"/>
      <c r="M8" s="2860"/>
      <c r="N8" s="2860"/>
      <c r="O8" s="2861"/>
    </row>
    <row r="9" spans="1:22" x14ac:dyDescent="0.2">
      <c r="A9" s="2857"/>
      <c r="B9" s="2862" t="s">
        <v>191</v>
      </c>
      <c r="C9" s="2863"/>
      <c r="D9" s="2863"/>
      <c r="E9" s="2863"/>
      <c r="F9" s="2863"/>
      <c r="G9" s="2863"/>
      <c r="H9" s="2863"/>
      <c r="I9" s="2863"/>
      <c r="J9" s="1122"/>
      <c r="K9" s="1122"/>
      <c r="L9" s="1122"/>
      <c r="M9" s="1122" t="s">
        <v>437</v>
      </c>
      <c r="N9" s="1122" t="s">
        <v>911</v>
      </c>
      <c r="O9" s="1127" t="s">
        <v>911</v>
      </c>
    </row>
    <row r="10" spans="1:22" x14ac:dyDescent="0.2">
      <c r="A10" s="2857"/>
      <c r="B10" s="1183" t="s">
        <v>433</v>
      </c>
      <c r="C10" s="1122"/>
      <c r="D10" s="1122"/>
      <c r="E10" s="1122"/>
      <c r="F10" s="1122"/>
      <c r="G10" s="1122" t="s">
        <v>912</v>
      </c>
      <c r="H10" s="1122"/>
      <c r="I10" s="1122" t="s">
        <v>433</v>
      </c>
      <c r="J10" s="1123" t="s">
        <v>913</v>
      </c>
      <c r="K10" s="1123" t="s">
        <v>904</v>
      </c>
      <c r="L10" s="1123" t="s">
        <v>329</v>
      </c>
      <c r="M10" s="1123" t="s">
        <v>914</v>
      </c>
      <c r="N10" s="1123" t="s">
        <v>915</v>
      </c>
      <c r="O10" s="1128" t="s">
        <v>914</v>
      </c>
    </row>
    <row r="11" spans="1:22" x14ac:dyDescent="0.2">
      <c r="A11" s="2857"/>
      <c r="B11" s="1184" t="s">
        <v>920</v>
      </c>
      <c r="C11" s="1123" t="s">
        <v>922</v>
      </c>
      <c r="D11" s="1123" t="s">
        <v>193</v>
      </c>
      <c r="E11" s="1123" t="s">
        <v>868</v>
      </c>
      <c r="F11" s="1123" t="s">
        <v>921</v>
      </c>
      <c r="G11" s="1123" t="s">
        <v>923</v>
      </c>
      <c r="H11" s="1123" t="s">
        <v>836</v>
      </c>
      <c r="I11" s="1123" t="s">
        <v>835</v>
      </c>
      <c r="J11" s="1123" t="s">
        <v>924</v>
      </c>
      <c r="K11" s="1123" t="s">
        <v>842</v>
      </c>
      <c r="L11" s="1123" t="s">
        <v>336</v>
      </c>
      <c r="M11" s="1123" t="s">
        <v>926</v>
      </c>
      <c r="N11" s="1123" t="s">
        <v>927</v>
      </c>
      <c r="O11" s="1128" t="s">
        <v>928</v>
      </c>
    </row>
    <row r="12" spans="1:22" ht="13.5" thickBot="1" x14ac:dyDescent="0.25">
      <c r="A12" s="2858"/>
      <c r="B12" s="1185">
        <v>44926</v>
      </c>
      <c r="C12" s="1125">
        <v>2023</v>
      </c>
      <c r="D12" s="1125">
        <v>2023</v>
      </c>
      <c r="E12" s="1125">
        <v>2023</v>
      </c>
      <c r="F12" s="1125">
        <v>2023</v>
      </c>
      <c r="G12" s="1125" t="s">
        <v>931</v>
      </c>
      <c r="H12" s="1125">
        <v>2023</v>
      </c>
      <c r="I12" s="1124">
        <v>45291</v>
      </c>
      <c r="J12" s="1881" t="s">
        <v>1933</v>
      </c>
      <c r="K12" s="1125" t="s">
        <v>925</v>
      </c>
      <c r="L12" s="1125" t="s">
        <v>441</v>
      </c>
      <c r="M12" s="1125" t="s">
        <v>932</v>
      </c>
      <c r="N12" s="1125" t="s">
        <v>933</v>
      </c>
      <c r="O12" s="1129" t="s">
        <v>933</v>
      </c>
    </row>
    <row r="13" spans="1:22" ht="15" x14ac:dyDescent="0.2">
      <c r="A13" s="1176" t="s">
        <v>954</v>
      </c>
      <c r="B13" s="1186"/>
      <c r="C13" s="251"/>
      <c r="D13" s="251"/>
      <c r="E13" s="251"/>
      <c r="F13" s="251"/>
      <c r="G13" s="251"/>
      <c r="H13" s="252"/>
      <c r="I13" s="253"/>
      <c r="J13" s="253"/>
      <c r="K13" s="253"/>
      <c r="L13" s="251"/>
      <c r="M13" s="251"/>
      <c r="N13" s="251"/>
      <c r="O13" s="2067"/>
    </row>
    <row r="14" spans="1:22" ht="14.25" x14ac:dyDescent="0.2">
      <c r="A14" s="1177" t="s">
        <v>955</v>
      </c>
      <c r="B14" s="1174">
        <v>7322.3449999999993</v>
      </c>
      <c r="C14" s="1164">
        <v>212</v>
      </c>
      <c r="D14" s="1164">
        <v>245</v>
      </c>
      <c r="E14" s="1164">
        <v>30</v>
      </c>
      <c r="F14" s="1164">
        <v>32</v>
      </c>
      <c r="G14" s="1164">
        <v>550.5</v>
      </c>
      <c r="H14" s="1164">
        <v>6464.8450000000003</v>
      </c>
      <c r="I14" s="1164">
        <v>7472.3449999999993</v>
      </c>
      <c r="J14" s="1164">
        <v>5132.1361999999999</v>
      </c>
      <c r="K14" s="1165">
        <v>0.76486658037555255</v>
      </c>
      <c r="L14" s="1870" t="s">
        <v>987</v>
      </c>
      <c r="M14" s="1166">
        <v>12137000</v>
      </c>
      <c r="N14" s="1166">
        <v>22836230.630400006</v>
      </c>
      <c r="O14" s="2068">
        <v>6629975.2879551994</v>
      </c>
      <c r="T14" s="176"/>
      <c r="U14" s="176"/>
      <c r="V14" s="176"/>
    </row>
    <row r="15" spans="1:22" ht="14.25" x14ac:dyDescent="0.2">
      <c r="A15" s="1177" t="s">
        <v>956</v>
      </c>
      <c r="B15" s="1174">
        <v>145740.77000000002</v>
      </c>
      <c r="C15" s="1164">
        <v>2574.4800000000005</v>
      </c>
      <c r="D15" s="1164">
        <v>12451.869999999999</v>
      </c>
      <c r="E15" s="1164">
        <v>0</v>
      </c>
      <c r="F15" s="1164">
        <v>0</v>
      </c>
      <c r="G15" s="1164">
        <v>26568.080000000002</v>
      </c>
      <c r="H15" s="1164">
        <v>121423.55999999998</v>
      </c>
      <c r="I15" s="1164">
        <v>147991.64000000001</v>
      </c>
      <c r="J15" s="1164">
        <v>172672.54693302812</v>
      </c>
      <c r="K15" s="1532">
        <v>1.4220678996154301</v>
      </c>
      <c r="L15" s="1870" t="s">
        <v>619</v>
      </c>
      <c r="M15" s="1166">
        <v>13024549.999999996</v>
      </c>
      <c r="N15" s="1166">
        <v>18838119.999999996</v>
      </c>
      <c r="O15" s="2068">
        <v>12064621.666666666</v>
      </c>
      <c r="T15" s="176"/>
      <c r="U15" s="176"/>
      <c r="V15" s="176"/>
    </row>
    <row r="16" spans="1:22" ht="14.25" x14ac:dyDescent="0.2">
      <c r="A16" s="1177" t="s">
        <v>199</v>
      </c>
      <c r="B16" s="1174">
        <v>14243.007000000001</v>
      </c>
      <c r="C16" s="1164">
        <v>265</v>
      </c>
      <c r="D16" s="1164">
        <v>1300</v>
      </c>
      <c r="E16" s="1164">
        <v>28.5</v>
      </c>
      <c r="F16" s="1164">
        <v>52</v>
      </c>
      <c r="G16" s="1164">
        <v>6116.5070000000005</v>
      </c>
      <c r="H16" s="1164">
        <v>6746</v>
      </c>
      <c r="I16" s="1164">
        <v>14427.507000000001</v>
      </c>
      <c r="J16" s="1164">
        <v>57840.857499999998</v>
      </c>
      <c r="K16" s="1532">
        <v>8.5740968722205757</v>
      </c>
      <c r="L16" s="1870" t="s">
        <v>1128</v>
      </c>
      <c r="M16" s="1166">
        <v>3000000</v>
      </c>
      <c r="N16" s="1166">
        <v>16946495.760480002</v>
      </c>
      <c r="O16" s="2068">
        <v>17178290.749955527</v>
      </c>
      <c r="T16" s="176"/>
      <c r="U16" s="176"/>
      <c r="V16" s="176"/>
    </row>
    <row r="17" spans="1:22" ht="14.25" x14ac:dyDescent="0.2">
      <c r="A17" s="1177" t="s">
        <v>83</v>
      </c>
      <c r="B17" s="2851"/>
      <c r="C17" s="2852"/>
      <c r="D17" s="2852"/>
      <c r="E17" s="2852"/>
      <c r="F17" s="2852"/>
      <c r="G17" s="2852"/>
      <c r="H17" s="2852"/>
      <c r="I17" s="2853"/>
      <c r="J17" s="1164">
        <v>67460</v>
      </c>
      <c r="K17" s="1532">
        <v>10</v>
      </c>
      <c r="L17" s="1870" t="s">
        <v>84</v>
      </c>
      <c r="M17" s="1166">
        <v>170000</v>
      </c>
      <c r="N17" s="1166"/>
      <c r="O17" s="2068"/>
      <c r="T17" s="176"/>
      <c r="U17" s="176"/>
      <c r="V17" s="176"/>
    </row>
    <row r="18" spans="1:22" ht="14.25" x14ac:dyDescent="0.2">
      <c r="A18" s="1177" t="s">
        <v>957</v>
      </c>
      <c r="B18" s="1174">
        <v>3826.7</v>
      </c>
      <c r="C18" s="1164">
        <v>425</v>
      </c>
      <c r="D18" s="1164">
        <v>388</v>
      </c>
      <c r="E18" s="1164">
        <v>53</v>
      </c>
      <c r="F18" s="1164">
        <v>36</v>
      </c>
      <c r="G18" s="1164">
        <v>218</v>
      </c>
      <c r="H18" s="1164">
        <v>3131.7</v>
      </c>
      <c r="I18" s="1164">
        <v>4162.7</v>
      </c>
      <c r="J18" s="1164">
        <v>22097.5</v>
      </c>
      <c r="K18" s="1532">
        <v>7.0560717820991794</v>
      </c>
      <c r="L18" s="1870" t="s">
        <v>1129</v>
      </c>
      <c r="M18" s="1166">
        <v>1850000.0000000005</v>
      </c>
      <c r="N18" s="1166">
        <v>12756931.344799999</v>
      </c>
      <c r="O18" s="2068">
        <v>6497227.6390399989</v>
      </c>
      <c r="T18" s="176"/>
      <c r="U18" s="176"/>
      <c r="V18" s="176"/>
    </row>
    <row r="19" spans="1:22" ht="14.25" x14ac:dyDescent="0.2">
      <c r="A19" s="1177" t="s">
        <v>958</v>
      </c>
      <c r="B19" s="1174">
        <v>26899.776999999998</v>
      </c>
      <c r="C19" s="1164">
        <v>1010</v>
      </c>
      <c r="D19" s="1164">
        <v>1319</v>
      </c>
      <c r="E19" s="1164">
        <v>93</v>
      </c>
      <c r="F19" s="1164">
        <v>126</v>
      </c>
      <c r="G19" s="1164">
        <v>620</v>
      </c>
      <c r="H19" s="1164">
        <v>24741.776999999998</v>
      </c>
      <c r="I19" s="1164">
        <v>27690.776999999998</v>
      </c>
      <c r="J19" s="1164">
        <v>89533.946400000001</v>
      </c>
      <c r="K19" s="1532">
        <v>3.6187354853291258</v>
      </c>
      <c r="L19" s="1870" t="s">
        <v>1129</v>
      </c>
      <c r="M19" s="1166">
        <v>1850000.0000000002</v>
      </c>
      <c r="N19" s="1166">
        <v>4978011.1799408002</v>
      </c>
      <c r="O19" s="2068">
        <v>3558347.73076736</v>
      </c>
      <c r="T19" s="176"/>
      <c r="U19" s="176"/>
      <c r="V19" s="176"/>
    </row>
    <row r="20" spans="1:22" ht="15" x14ac:dyDescent="0.2">
      <c r="A20" s="1178" t="s">
        <v>959</v>
      </c>
      <c r="B20" s="1182">
        <v>198032.59900000005</v>
      </c>
      <c r="C20" s="1167">
        <v>4486.4800000000005</v>
      </c>
      <c r="D20" s="1167">
        <v>15703.869999999999</v>
      </c>
      <c r="E20" s="1167">
        <v>204.5</v>
      </c>
      <c r="F20" s="1167">
        <v>246</v>
      </c>
      <c r="G20" s="1167">
        <v>34073.087</v>
      </c>
      <c r="H20" s="1167">
        <v>162507.88199999998</v>
      </c>
      <c r="I20" s="1167">
        <v>201744.96900000004</v>
      </c>
      <c r="J20" s="1167">
        <v>414736.98703302816</v>
      </c>
      <c r="K20" s="1168"/>
      <c r="L20" s="1167"/>
      <c r="M20" s="1169"/>
      <c r="N20" s="1169"/>
      <c r="O20" s="2069"/>
      <c r="T20" s="176"/>
      <c r="U20" s="176"/>
      <c r="V20" s="176"/>
    </row>
    <row r="21" spans="1:22" x14ac:dyDescent="0.2">
      <c r="A21" s="1179" t="s">
        <v>960</v>
      </c>
      <c r="B21" s="1187"/>
      <c r="C21" s="1170"/>
      <c r="D21" s="1170"/>
      <c r="E21" s="1170"/>
      <c r="F21" s="1170"/>
      <c r="G21" s="1170"/>
      <c r="H21" s="1171"/>
      <c r="I21" s="1172"/>
      <c r="J21" s="1172"/>
      <c r="K21" s="1172"/>
      <c r="L21" s="1170"/>
      <c r="M21" s="1530"/>
      <c r="N21" s="1530"/>
      <c r="O21" s="2070"/>
      <c r="T21" s="176"/>
      <c r="U21" s="176"/>
      <c r="V21" s="176"/>
    </row>
    <row r="22" spans="1:22" ht="14.25" x14ac:dyDescent="0.2">
      <c r="A22" s="1177" t="s">
        <v>1867</v>
      </c>
      <c r="B22" s="1174">
        <v>3385.596</v>
      </c>
      <c r="C22" s="1164">
        <v>117</v>
      </c>
      <c r="D22" s="1164">
        <v>24.4</v>
      </c>
      <c r="E22" s="1164">
        <v>67</v>
      </c>
      <c r="F22" s="1164">
        <v>19</v>
      </c>
      <c r="G22" s="1164">
        <v>452</v>
      </c>
      <c r="H22" s="1164">
        <v>2823.1960000000004</v>
      </c>
      <c r="I22" s="1164">
        <v>3416.596</v>
      </c>
      <c r="J22" s="1164">
        <v>23872.319000000003</v>
      </c>
      <c r="K22" s="1532">
        <v>8.4557781323011234</v>
      </c>
      <c r="L22" s="1870" t="s">
        <v>988</v>
      </c>
      <c r="M22" s="2280">
        <v>3668000</v>
      </c>
      <c r="N22" s="2280">
        <v>15089012.846080001</v>
      </c>
      <c r="O22" s="2281">
        <v>11350725.619327996</v>
      </c>
      <c r="T22" s="176"/>
      <c r="U22" s="176"/>
      <c r="V22" s="176"/>
    </row>
    <row r="23" spans="1:22" ht="14.25" x14ac:dyDescent="0.2">
      <c r="A23" s="1177" t="s">
        <v>1868</v>
      </c>
      <c r="B23" s="1174">
        <v>3478.4169999999999</v>
      </c>
      <c r="C23" s="1164">
        <v>521</v>
      </c>
      <c r="D23" s="1164">
        <v>27.5</v>
      </c>
      <c r="E23" s="1164">
        <v>43</v>
      </c>
      <c r="F23" s="1164">
        <v>28</v>
      </c>
      <c r="G23" s="1164">
        <v>1152</v>
      </c>
      <c r="H23" s="1164">
        <v>2227.9169999999999</v>
      </c>
      <c r="I23" s="1164">
        <v>3928.4169999999999</v>
      </c>
      <c r="J23" s="1164">
        <v>27152.400000000001</v>
      </c>
      <c r="K23" s="1164">
        <v>12.187348092410984</v>
      </c>
      <c r="L23" s="1870" t="s">
        <v>988</v>
      </c>
      <c r="M23" s="2280">
        <v>4350000</v>
      </c>
      <c r="N23" s="2280">
        <v>15089012.84608</v>
      </c>
      <c r="O23" s="2281">
        <v>11350725.619328002</v>
      </c>
      <c r="T23" s="176"/>
      <c r="U23" s="176"/>
      <c r="V23" s="176"/>
    </row>
    <row r="24" spans="1:22" ht="14.25" x14ac:dyDescent="0.2">
      <c r="A24" s="1177" t="s">
        <v>1869</v>
      </c>
      <c r="B24" s="1174">
        <v>527.08000000000004</v>
      </c>
      <c r="C24" s="1164">
        <v>57</v>
      </c>
      <c r="D24" s="1164">
        <v>7</v>
      </c>
      <c r="E24" s="1164">
        <v>26</v>
      </c>
      <c r="F24" s="1164">
        <v>2</v>
      </c>
      <c r="G24" s="1164">
        <v>163</v>
      </c>
      <c r="H24" s="1164">
        <v>329.08</v>
      </c>
      <c r="I24" s="1164">
        <v>556.08000000000004</v>
      </c>
      <c r="J24" s="1164">
        <v>3277.1759999999999</v>
      </c>
      <c r="K24" s="1164">
        <v>9.9585997325878211</v>
      </c>
      <c r="L24" s="1164" t="s">
        <v>988</v>
      </c>
      <c r="M24" s="2280">
        <v>5473000.0000000019</v>
      </c>
      <c r="N24" s="2280">
        <v>15089012.84608</v>
      </c>
      <c r="O24" s="2281">
        <v>11350725.619328</v>
      </c>
      <c r="T24" s="176"/>
      <c r="U24" s="176"/>
      <c r="V24" s="176"/>
    </row>
    <row r="25" spans="1:22" ht="14.25" x14ac:dyDescent="0.2">
      <c r="A25" s="1173" t="s">
        <v>962</v>
      </c>
      <c r="B25" s="1174">
        <v>140.11500000000001</v>
      </c>
      <c r="C25" s="1164">
        <v>29.85</v>
      </c>
      <c r="D25" s="1164">
        <v>6</v>
      </c>
      <c r="E25" s="1164">
        <v>3</v>
      </c>
      <c r="F25" s="1164">
        <v>7</v>
      </c>
      <c r="G25" s="1164">
        <v>6</v>
      </c>
      <c r="H25" s="1164">
        <v>127.11499999999999</v>
      </c>
      <c r="I25" s="1164">
        <v>168.96499999999997</v>
      </c>
      <c r="J25" s="1164">
        <v>1570.165</v>
      </c>
      <c r="K25" s="1532">
        <v>12.352318766471306</v>
      </c>
      <c r="L25" s="1870" t="s">
        <v>988</v>
      </c>
      <c r="M25" s="1166">
        <v>1999999.9999999998</v>
      </c>
      <c r="N25" s="1166">
        <v>19490827.037500001</v>
      </c>
      <c r="O25" s="2068">
        <v>12807317.412500001</v>
      </c>
      <c r="T25" s="176"/>
      <c r="U25" s="176"/>
      <c r="V25" s="176"/>
    </row>
    <row r="26" spans="1:22" ht="14.25" x14ac:dyDescent="0.2">
      <c r="A26" s="1173" t="s">
        <v>963</v>
      </c>
      <c r="B26" s="1174">
        <v>3494.7299999999996</v>
      </c>
      <c r="C26" s="1164">
        <v>505</v>
      </c>
      <c r="D26" s="1164">
        <v>275</v>
      </c>
      <c r="E26" s="1164">
        <v>33</v>
      </c>
      <c r="F26" s="1164">
        <v>51</v>
      </c>
      <c r="G26" s="1164">
        <v>165</v>
      </c>
      <c r="H26" s="1164">
        <v>2970.7299999999996</v>
      </c>
      <c r="I26" s="1164">
        <v>3915.7299999999996</v>
      </c>
      <c r="J26" s="1164">
        <v>23646.83</v>
      </c>
      <c r="K26" s="1532">
        <v>7.9599391395380952</v>
      </c>
      <c r="L26" s="1870" t="s">
        <v>988</v>
      </c>
      <c r="M26" s="1166">
        <v>1347999.9999999998</v>
      </c>
      <c r="N26" s="1166">
        <v>11549305.744800003</v>
      </c>
      <c r="O26" s="2068">
        <v>9550068.6184816044</v>
      </c>
      <c r="T26" s="176"/>
      <c r="U26" s="176"/>
      <c r="V26" s="176"/>
    </row>
    <row r="27" spans="1:22" ht="14.25" x14ac:dyDescent="0.2">
      <c r="A27" s="1173" t="s">
        <v>964</v>
      </c>
      <c r="B27" s="1174">
        <v>121</v>
      </c>
      <c r="C27" s="1164">
        <v>14</v>
      </c>
      <c r="D27" s="1164">
        <v>2</v>
      </c>
      <c r="E27" s="1164">
        <v>6</v>
      </c>
      <c r="F27" s="1164">
        <v>6</v>
      </c>
      <c r="G27" s="1164">
        <v>5</v>
      </c>
      <c r="H27" s="1164">
        <v>102</v>
      </c>
      <c r="I27" s="1164">
        <v>123</v>
      </c>
      <c r="J27" s="1164">
        <v>659</v>
      </c>
      <c r="K27" s="1532">
        <v>6.4607843137254903</v>
      </c>
      <c r="L27" s="1870" t="s">
        <v>988</v>
      </c>
      <c r="M27" s="1166">
        <v>1556000</v>
      </c>
      <c r="N27" s="1166">
        <v>12630757.918480003</v>
      </c>
      <c r="O27" s="2068">
        <v>8974537.4549788237</v>
      </c>
      <c r="T27" s="176"/>
      <c r="U27" s="176"/>
      <c r="V27" s="176"/>
    </row>
    <row r="28" spans="1:22" ht="14.25" x14ac:dyDescent="0.2">
      <c r="A28" s="1173" t="s">
        <v>965</v>
      </c>
      <c r="B28" s="1174">
        <v>2816.8149999999996</v>
      </c>
      <c r="C28" s="1164">
        <v>263</v>
      </c>
      <c r="D28" s="1164">
        <v>40</v>
      </c>
      <c r="E28" s="1164">
        <v>35.200000000000003</v>
      </c>
      <c r="F28" s="1164">
        <v>23</v>
      </c>
      <c r="G28" s="1164">
        <v>358.8</v>
      </c>
      <c r="H28" s="1164">
        <v>2359.8149999999996</v>
      </c>
      <c r="I28" s="1164">
        <v>3021.6149999999998</v>
      </c>
      <c r="J28" s="1164">
        <v>25700.400000000001</v>
      </c>
      <c r="K28" s="1532">
        <v>10.89085373217816</v>
      </c>
      <c r="L28" s="1870" t="s">
        <v>988</v>
      </c>
      <c r="M28" s="1166">
        <v>1599999.9999999995</v>
      </c>
      <c r="N28" s="1166">
        <v>15012211.34736</v>
      </c>
      <c r="O28" s="2068">
        <v>11231825.979430402</v>
      </c>
      <c r="T28" s="176"/>
      <c r="U28" s="176"/>
      <c r="V28" s="176"/>
    </row>
    <row r="29" spans="1:22" ht="14.25" x14ac:dyDescent="0.2">
      <c r="A29" s="1173" t="s">
        <v>966</v>
      </c>
      <c r="B29" s="1174">
        <v>348.52499999999998</v>
      </c>
      <c r="C29" s="1164">
        <v>720</v>
      </c>
      <c r="D29" s="1164">
        <v>3</v>
      </c>
      <c r="E29" s="1164">
        <v>16</v>
      </c>
      <c r="F29" s="1164">
        <v>33</v>
      </c>
      <c r="G29" s="1164">
        <v>24</v>
      </c>
      <c r="H29" s="1164">
        <v>272.52499999999998</v>
      </c>
      <c r="I29" s="1164">
        <v>1019.525</v>
      </c>
      <c r="J29" s="1164">
        <v>2058.6999999999998</v>
      </c>
      <c r="K29" s="1532">
        <v>7.5541693422621776</v>
      </c>
      <c r="L29" s="1870" t="s">
        <v>988</v>
      </c>
      <c r="M29" s="1166">
        <v>2244000</v>
      </c>
      <c r="N29" s="1166">
        <v>20573950.995439995</v>
      </c>
      <c r="O29" s="2068">
        <v>10025213.581488002</v>
      </c>
      <c r="T29" s="176"/>
      <c r="U29" s="176"/>
      <c r="V29" s="176"/>
    </row>
    <row r="30" spans="1:22" ht="14.25" x14ac:dyDescent="0.2">
      <c r="A30" s="1177" t="s">
        <v>1499</v>
      </c>
      <c r="B30" s="1174">
        <v>154.30000000000001</v>
      </c>
      <c r="C30" s="1164">
        <v>17</v>
      </c>
      <c r="D30" s="1164">
        <v>6</v>
      </c>
      <c r="E30" s="1164">
        <v>11</v>
      </c>
      <c r="F30" s="1164">
        <v>17</v>
      </c>
      <c r="G30" s="1164">
        <v>23</v>
      </c>
      <c r="H30" s="1164">
        <v>101.3</v>
      </c>
      <c r="I30" s="1164">
        <v>147.30000000000001</v>
      </c>
      <c r="J30" s="1164">
        <v>714</v>
      </c>
      <c r="K30" s="1532">
        <v>7.0483711747285289</v>
      </c>
      <c r="L30" s="1870" t="s">
        <v>988</v>
      </c>
      <c r="M30" s="1166">
        <v>4849999.9999999991</v>
      </c>
      <c r="N30" s="1927" t="s">
        <v>616</v>
      </c>
      <c r="O30" s="2071" t="s">
        <v>616</v>
      </c>
      <c r="T30" s="176"/>
      <c r="U30" s="176"/>
      <c r="V30" s="176"/>
    </row>
    <row r="31" spans="1:22" ht="14.25" x14ac:dyDescent="0.2">
      <c r="A31" s="1177" t="s">
        <v>1575</v>
      </c>
      <c r="B31" s="1174">
        <v>153.35</v>
      </c>
      <c r="C31" s="1164">
        <v>11</v>
      </c>
      <c r="D31" s="1164">
        <v>5</v>
      </c>
      <c r="E31" s="1164">
        <v>4</v>
      </c>
      <c r="F31" s="1164">
        <v>3.5</v>
      </c>
      <c r="G31" s="1164">
        <v>17.5</v>
      </c>
      <c r="H31" s="1164">
        <v>123.35</v>
      </c>
      <c r="I31" s="1164">
        <v>156.85</v>
      </c>
      <c r="J31" s="1164">
        <v>884.8</v>
      </c>
      <c r="K31" s="1532">
        <v>7.1730847182813129</v>
      </c>
      <c r="L31" s="1870" t="s">
        <v>988</v>
      </c>
      <c r="M31" s="1166">
        <v>2250000.0000000005</v>
      </c>
      <c r="N31" s="1927" t="s">
        <v>616</v>
      </c>
      <c r="O31" s="2071" t="s">
        <v>616</v>
      </c>
      <c r="T31" s="176"/>
      <c r="U31" s="176"/>
      <c r="V31" s="176"/>
    </row>
    <row r="32" spans="1:22" ht="14.25" x14ac:dyDescent="0.2">
      <c r="A32" s="1173" t="s">
        <v>1013</v>
      </c>
      <c r="B32" s="1174">
        <v>239.7</v>
      </c>
      <c r="C32" s="1164">
        <v>45</v>
      </c>
      <c r="D32" s="1164">
        <v>0</v>
      </c>
      <c r="E32" s="1164">
        <v>0</v>
      </c>
      <c r="F32" s="1164">
        <v>2</v>
      </c>
      <c r="G32" s="1164">
        <v>45</v>
      </c>
      <c r="H32" s="1164">
        <v>192.7</v>
      </c>
      <c r="I32" s="1164">
        <v>282.7</v>
      </c>
      <c r="J32" s="1164">
        <v>1188.2</v>
      </c>
      <c r="K32" s="1532">
        <v>6.1660612350804369</v>
      </c>
      <c r="L32" s="1870" t="s">
        <v>988</v>
      </c>
      <c r="M32" s="1166">
        <v>1799999.9999999998</v>
      </c>
      <c r="N32" s="1927">
        <v>4955925.0000000009</v>
      </c>
      <c r="O32" s="2071">
        <v>3363564.75</v>
      </c>
      <c r="T32" s="176"/>
      <c r="U32" s="176"/>
      <c r="V32" s="176"/>
    </row>
    <row r="33" spans="1:22" ht="14.25" x14ac:dyDescent="0.2">
      <c r="A33" s="1173" t="s">
        <v>212</v>
      </c>
      <c r="B33" s="1174">
        <v>199.98999999999998</v>
      </c>
      <c r="C33" s="1164">
        <v>2</v>
      </c>
      <c r="D33" s="1164">
        <v>0</v>
      </c>
      <c r="E33" s="1164">
        <v>0</v>
      </c>
      <c r="F33" s="1164">
        <v>13</v>
      </c>
      <c r="G33" s="1164">
        <v>23</v>
      </c>
      <c r="H33" s="1164">
        <v>163.98999999999998</v>
      </c>
      <c r="I33" s="1164">
        <v>188.98999999999998</v>
      </c>
      <c r="J33" s="1164">
        <v>1418.86</v>
      </c>
      <c r="K33" s="1532">
        <v>0</v>
      </c>
      <c r="L33" s="1870" t="s">
        <v>988</v>
      </c>
      <c r="M33" s="1166">
        <v>2195000.0000000005</v>
      </c>
      <c r="N33" s="1927" t="s">
        <v>616</v>
      </c>
      <c r="O33" s="2071" t="s">
        <v>616</v>
      </c>
      <c r="T33" s="176"/>
      <c r="U33" s="176"/>
      <c r="V33" s="176"/>
    </row>
    <row r="34" spans="1:22" ht="14.25" x14ac:dyDescent="0.2">
      <c r="A34" s="1173" t="s">
        <v>968</v>
      </c>
      <c r="B34" s="1174">
        <v>600.18000000000006</v>
      </c>
      <c r="C34" s="1164">
        <v>53</v>
      </c>
      <c r="D34" s="1164">
        <v>1</v>
      </c>
      <c r="E34" s="1164">
        <v>9</v>
      </c>
      <c r="F34" s="1164">
        <v>24</v>
      </c>
      <c r="G34" s="1164">
        <v>67.5</v>
      </c>
      <c r="H34" s="1164">
        <v>498.68000000000006</v>
      </c>
      <c r="I34" s="1164">
        <v>620.18000000000006</v>
      </c>
      <c r="J34" s="1164">
        <v>5124.32</v>
      </c>
      <c r="K34" s="1532">
        <v>10.275768027592843</v>
      </c>
      <c r="L34" s="1870" t="s">
        <v>988</v>
      </c>
      <c r="M34" s="1166">
        <v>3050000.0000000009</v>
      </c>
      <c r="N34" s="1166">
        <v>16145486.770111995</v>
      </c>
      <c r="O34" s="2068">
        <v>17075677.150137309</v>
      </c>
      <c r="T34" s="176"/>
      <c r="U34" s="176"/>
      <c r="V34" s="176"/>
    </row>
    <row r="35" spans="1:22" ht="14.25" x14ac:dyDescent="0.2">
      <c r="A35" s="1173" t="s">
        <v>969</v>
      </c>
      <c r="B35" s="1174">
        <v>1063.3599999999999</v>
      </c>
      <c r="C35" s="1164">
        <v>133</v>
      </c>
      <c r="D35" s="1164">
        <v>20</v>
      </c>
      <c r="E35" s="1164">
        <v>30.5</v>
      </c>
      <c r="F35" s="1164">
        <v>48</v>
      </c>
      <c r="G35" s="1164">
        <v>59</v>
      </c>
      <c r="H35" s="1164">
        <v>905.8599999999999</v>
      </c>
      <c r="I35" s="1164">
        <v>1117.8599999999999</v>
      </c>
      <c r="J35" s="1164">
        <v>10498.4</v>
      </c>
      <c r="K35" s="1532">
        <v>11.589428830062042</v>
      </c>
      <c r="L35" s="1870" t="s">
        <v>988</v>
      </c>
      <c r="M35" s="1166">
        <v>4800000</v>
      </c>
      <c r="N35" s="1166">
        <v>27228636.236399997</v>
      </c>
      <c r="O35" s="2068">
        <v>18179773.134799998</v>
      </c>
      <c r="T35" s="176"/>
      <c r="U35" s="176"/>
      <c r="V35" s="176"/>
    </row>
    <row r="36" spans="1:22" ht="14.25" x14ac:dyDescent="0.2">
      <c r="A36" s="1173" t="s">
        <v>970</v>
      </c>
      <c r="B36" s="1188">
        <v>2402.17</v>
      </c>
      <c r="C36" s="1164">
        <v>224.5</v>
      </c>
      <c r="D36" s="1164">
        <v>35</v>
      </c>
      <c r="E36" s="1164">
        <v>54</v>
      </c>
      <c r="F36" s="1164">
        <v>108.5</v>
      </c>
      <c r="G36" s="1164">
        <v>133</v>
      </c>
      <c r="H36" s="1164">
        <v>2042.67</v>
      </c>
      <c r="I36" s="1164">
        <v>2464.17</v>
      </c>
      <c r="J36" s="1164">
        <v>14603.83</v>
      </c>
      <c r="K36" s="1532">
        <v>7.1493829154978528</v>
      </c>
      <c r="L36" s="1870" t="s">
        <v>988</v>
      </c>
      <c r="M36" s="1166">
        <v>3100000.0000000005</v>
      </c>
      <c r="N36" s="1166">
        <v>15276068.252400003</v>
      </c>
      <c r="O36" s="2068">
        <v>11881205.391840002</v>
      </c>
      <c r="T36" s="176"/>
      <c r="U36" s="176"/>
      <c r="V36" s="176"/>
    </row>
    <row r="37" spans="1:22" ht="14.25" x14ac:dyDescent="0.2">
      <c r="A37" s="1173" t="s">
        <v>971</v>
      </c>
      <c r="B37" s="1174">
        <v>471.5</v>
      </c>
      <c r="C37" s="1164">
        <v>47</v>
      </c>
      <c r="D37" s="1164">
        <v>11</v>
      </c>
      <c r="E37" s="1164">
        <v>8</v>
      </c>
      <c r="F37" s="1164">
        <v>13</v>
      </c>
      <c r="G37" s="1164">
        <v>45</v>
      </c>
      <c r="H37" s="1164">
        <v>394.5</v>
      </c>
      <c r="I37" s="1164">
        <v>497.5</v>
      </c>
      <c r="J37" s="1164">
        <v>4286.7</v>
      </c>
      <c r="K37" s="1532">
        <v>10.86615969581749</v>
      </c>
      <c r="L37" s="1870" t="s">
        <v>988</v>
      </c>
      <c r="M37" s="1166">
        <v>3010000</v>
      </c>
      <c r="N37" s="1166">
        <v>13340977.56512</v>
      </c>
      <c r="O37" s="2068">
        <v>11782477.736714225</v>
      </c>
      <c r="T37" s="176"/>
      <c r="U37" s="176"/>
      <c r="V37" s="176"/>
    </row>
    <row r="38" spans="1:22" ht="14.25" x14ac:dyDescent="0.2">
      <c r="A38" s="1173" t="s">
        <v>972</v>
      </c>
      <c r="B38" s="1174">
        <v>1317.8700000000001</v>
      </c>
      <c r="C38" s="1164">
        <v>123</v>
      </c>
      <c r="D38" s="1164">
        <v>24</v>
      </c>
      <c r="E38" s="1164">
        <v>13</v>
      </c>
      <c r="F38" s="1164">
        <v>52</v>
      </c>
      <c r="G38" s="1164">
        <v>54</v>
      </c>
      <c r="H38" s="1164">
        <v>1174.8700000000001</v>
      </c>
      <c r="I38" s="1164">
        <v>1375.8700000000001</v>
      </c>
      <c r="J38" s="1164">
        <v>16316.32</v>
      </c>
      <c r="K38" s="1532">
        <v>13.887766306059392</v>
      </c>
      <c r="L38" s="1870" t="s">
        <v>988</v>
      </c>
      <c r="M38" s="1166">
        <v>2744000.0000000005</v>
      </c>
      <c r="N38" s="1166">
        <v>30634878.278400004</v>
      </c>
      <c r="O38" s="2068">
        <v>16033099.501559999</v>
      </c>
      <c r="T38" s="176"/>
      <c r="U38" s="176"/>
      <c r="V38" s="176"/>
    </row>
    <row r="39" spans="1:22" ht="14.25" x14ac:dyDescent="0.2">
      <c r="A39" s="1173" t="s">
        <v>973</v>
      </c>
      <c r="B39" s="1174">
        <v>1540.05</v>
      </c>
      <c r="C39" s="1164">
        <v>160</v>
      </c>
      <c r="D39" s="1164">
        <v>14.5</v>
      </c>
      <c r="E39" s="1164">
        <v>13</v>
      </c>
      <c r="F39" s="1164">
        <v>42</v>
      </c>
      <c r="G39" s="1164">
        <v>34</v>
      </c>
      <c r="H39" s="1164">
        <v>1436.55</v>
      </c>
      <c r="I39" s="1164">
        <v>1645.0500000000002</v>
      </c>
      <c r="J39" s="1164">
        <v>9700.1</v>
      </c>
      <c r="K39" s="1532">
        <v>6.7523580801225158</v>
      </c>
      <c r="L39" s="1870" t="s">
        <v>988</v>
      </c>
      <c r="M39" s="1166">
        <v>2549999.9999999991</v>
      </c>
      <c r="N39" s="1166">
        <v>22070600.904319994</v>
      </c>
      <c r="O39" s="2068">
        <v>11988502.798764002</v>
      </c>
      <c r="T39" s="176"/>
      <c r="U39" s="176"/>
      <c r="V39" s="176"/>
    </row>
    <row r="40" spans="1:22" ht="14.25" x14ac:dyDescent="0.2">
      <c r="A40" s="1173" t="s">
        <v>974</v>
      </c>
      <c r="B40" s="1174">
        <v>568.04</v>
      </c>
      <c r="C40" s="1164">
        <v>93</v>
      </c>
      <c r="D40" s="1164">
        <v>8</v>
      </c>
      <c r="E40" s="1164">
        <v>12</v>
      </c>
      <c r="F40" s="1164">
        <v>26</v>
      </c>
      <c r="G40" s="1164">
        <v>117</v>
      </c>
      <c r="H40" s="1164">
        <v>405.03999999999996</v>
      </c>
      <c r="I40" s="1164">
        <v>623.04</v>
      </c>
      <c r="J40" s="1164">
        <v>6394.52</v>
      </c>
      <c r="K40" s="1532">
        <v>15.7873790242939</v>
      </c>
      <c r="L40" s="1870" t="s">
        <v>988</v>
      </c>
      <c r="M40" s="1166">
        <v>1583999.9999999995</v>
      </c>
      <c r="N40" s="1166">
        <v>26424508.804680012</v>
      </c>
      <c r="O40" s="2068">
        <v>15578788.034906225</v>
      </c>
      <c r="T40" s="176"/>
      <c r="U40" s="176"/>
      <c r="V40" s="176"/>
    </row>
    <row r="41" spans="1:22" ht="14.25" x14ac:dyDescent="0.2">
      <c r="A41" s="1173" t="s">
        <v>975</v>
      </c>
      <c r="B41" s="1174">
        <v>561.6</v>
      </c>
      <c r="C41" s="1164">
        <v>51</v>
      </c>
      <c r="D41" s="1164">
        <v>5</v>
      </c>
      <c r="E41" s="1164">
        <v>4</v>
      </c>
      <c r="F41" s="1164">
        <v>28</v>
      </c>
      <c r="G41" s="1164">
        <v>57</v>
      </c>
      <c r="H41" s="1164">
        <v>467.59999999999997</v>
      </c>
      <c r="I41" s="1164">
        <v>580.6</v>
      </c>
      <c r="J41" s="1164">
        <v>8916.1999999999989</v>
      </c>
      <c r="K41" s="1532">
        <v>19.068006843455944</v>
      </c>
      <c r="L41" s="1870" t="s">
        <v>988</v>
      </c>
      <c r="M41" s="1166">
        <v>2532000.0000000009</v>
      </c>
      <c r="N41" s="1166">
        <v>35248546.175679997</v>
      </c>
      <c r="O41" s="2068">
        <v>11860806.240152003</v>
      </c>
      <c r="T41" s="176"/>
      <c r="U41" s="176"/>
      <c r="V41" s="176"/>
    </row>
    <row r="42" spans="1:22" ht="14.25" x14ac:dyDescent="0.2">
      <c r="A42" s="1173" t="s">
        <v>976</v>
      </c>
      <c r="B42" s="1174">
        <v>1155.79</v>
      </c>
      <c r="C42" s="1164">
        <v>151</v>
      </c>
      <c r="D42" s="1164">
        <v>42.5</v>
      </c>
      <c r="E42" s="1164">
        <v>19</v>
      </c>
      <c r="F42" s="1164">
        <v>57</v>
      </c>
      <c r="G42" s="1164">
        <v>164.8</v>
      </c>
      <c r="H42" s="1164">
        <v>872.49</v>
      </c>
      <c r="I42" s="1164">
        <v>1230.79</v>
      </c>
      <c r="J42" s="1164">
        <v>9233.31</v>
      </c>
      <c r="K42" s="1532">
        <v>10.582711549702575</v>
      </c>
      <c r="L42" s="1870" t="s">
        <v>988</v>
      </c>
      <c r="M42" s="1166">
        <v>7394999.9999999991</v>
      </c>
      <c r="N42" s="1166">
        <v>36078025.674895994</v>
      </c>
      <c r="O42" s="2071" t="s">
        <v>616</v>
      </c>
      <c r="T42" s="176"/>
      <c r="U42" s="176"/>
      <c r="V42" s="176"/>
    </row>
    <row r="43" spans="1:22" ht="14.25" x14ac:dyDescent="0.2">
      <c r="A43" s="1173" t="s">
        <v>977</v>
      </c>
      <c r="B43" s="1174">
        <v>788.35</v>
      </c>
      <c r="C43" s="1164">
        <v>76</v>
      </c>
      <c r="D43" s="1164">
        <v>5.5</v>
      </c>
      <c r="E43" s="1164">
        <v>22</v>
      </c>
      <c r="F43" s="1164">
        <v>56</v>
      </c>
      <c r="G43" s="1164">
        <v>39</v>
      </c>
      <c r="H43" s="1164">
        <v>665.84999999999991</v>
      </c>
      <c r="I43" s="1164">
        <v>786.35</v>
      </c>
      <c r="J43" s="1164">
        <v>4641.75</v>
      </c>
      <c r="K43" s="1532">
        <v>6.9711646767289936</v>
      </c>
      <c r="L43" s="1870" t="s">
        <v>988</v>
      </c>
      <c r="M43" s="1166">
        <v>2445000.0000000005</v>
      </c>
      <c r="N43" s="1166">
        <v>13353598.597920002</v>
      </c>
      <c r="O43" s="2068">
        <v>10726907.353815185</v>
      </c>
      <c r="T43" s="176"/>
      <c r="U43" s="176"/>
      <c r="V43" s="176"/>
    </row>
    <row r="44" spans="1:22" ht="14.25" x14ac:dyDescent="0.2">
      <c r="A44" s="1173" t="s">
        <v>978</v>
      </c>
      <c r="B44" s="1174">
        <v>1045.6599999999999</v>
      </c>
      <c r="C44" s="1164">
        <v>111</v>
      </c>
      <c r="D44" s="1164">
        <v>41</v>
      </c>
      <c r="E44" s="1164">
        <v>17</v>
      </c>
      <c r="F44" s="1164">
        <v>17</v>
      </c>
      <c r="G44" s="1164">
        <v>96.5</v>
      </c>
      <c r="H44" s="1164">
        <v>874.16</v>
      </c>
      <c r="I44" s="1164">
        <v>1122.6600000000001</v>
      </c>
      <c r="J44" s="1164">
        <v>10900.789999999999</v>
      </c>
      <c r="K44" s="1532">
        <v>12.470016930539032</v>
      </c>
      <c r="L44" s="1870" t="s">
        <v>988</v>
      </c>
      <c r="M44" s="1166">
        <v>1850000.0000000002</v>
      </c>
      <c r="N44" s="1166">
        <v>53736749.675439991</v>
      </c>
      <c r="O44" s="2068">
        <v>19799805.849616889</v>
      </c>
      <c r="T44" s="176"/>
      <c r="U44" s="176"/>
      <c r="V44" s="176"/>
    </row>
    <row r="45" spans="1:22" ht="15" thickBot="1" x14ac:dyDescent="0.25">
      <c r="A45" s="2282" t="s">
        <v>1162</v>
      </c>
      <c r="B45" s="2072">
        <v>0</v>
      </c>
      <c r="C45" s="1181">
        <v>0</v>
      </c>
      <c r="D45" s="1181">
        <v>0</v>
      </c>
      <c r="E45" s="1181">
        <v>0</v>
      </c>
      <c r="F45" s="1181">
        <v>0</v>
      </c>
      <c r="G45" s="1181">
        <v>0</v>
      </c>
      <c r="H45" s="1181">
        <v>0</v>
      </c>
      <c r="I45" s="1181">
        <v>0</v>
      </c>
      <c r="J45" s="1869">
        <v>0</v>
      </c>
      <c r="K45" s="1869" t="e">
        <v>#DIV/0!</v>
      </c>
      <c r="L45" s="1871" t="s">
        <v>989</v>
      </c>
      <c r="M45" s="1531" t="e">
        <v>#DIV/0!</v>
      </c>
      <c r="N45" s="2031" t="s">
        <v>616</v>
      </c>
      <c r="O45" s="2073" t="s">
        <v>616</v>
      </c>
      <c r="T45" s="176"/>
      <c r="U45" s="176"/>
      <c r="V45" s="176"/>
    </row>
    <row r="46" spans="1:22" ht="15.75" thickBot="1" x14ac:dyDescent="0.25">
      <c r="A46" s="255" t="s">
        <v>959</v>
      </c>
      <c r="B46" s="1180">
        <v>26574.187999999991</v>
      </c>
      <c r="C46" s="254">
        <v>3524.35</v>
      </c>
      <c r="D46" s="254">
        <v>603.4</v>
      </c>
      <c r="E46" s="254">
        <v>445.7</v>
      </c>
      <c r="F46" s="254">
        <v>676</v>
      </c>
      <c r="G46" s="254">
        <v>3301.1000000000004</v>
      </c>
      <c r="H46" s="254">
        <v>21531.987999999998</v>
      </c>
      <c r="I46" s="254">
        <v>28989.838</v>
      </c>
      <c r="J46" s="254">
        <v>212759.09000000003</v>
      </c>
      <c r="K46" s="256"/>
      <c r="L46" s="256"/>
      <c r="M46" s="257"/>
      <c r="N46" s="256"/>
      <c r="O46" s="2074"/>
    </row>
    <row r="47" spans="1:22" ht="16.5" thickBot="1" x14ac:dyDescent="0.25">
      <c r="A47" s="258" t="s">
        <v>433</v>
      </c>
      <c r="B47" s="259">
        <v>224606.78700000004</v>
      </c>
      <c r="C47" s="259">
        <v>8010.83</v>
      </c>
      <c r="D47" s="259">
        <v>16307.269999999999</v>
      </c>
      <c r="E47" s="259">
        <v>650.20000000000005</v>
      </c>
      <c r="F47" s="259">
        <v>922</v>
      </c>
      <c r="G47" s="259">
        <v>37374.186999999998</v>
      </c>
      <c r="H47" s="259">
        <v>184039.87</v>
      </c>
      <c r="I47" s="259">
        <v>230734.80700000003</v>
      </c>
      <c r="J47" s="259">
        <v>627496.07703302824</v>
      </c>
      <c r="K47" s="1175"/>
      <c r="L47" s="250"/>
      <c r="M47" s="250"/>
      <c r="N47" s="250"/>
      <c r="O47" s="250"/>
    </row>
    <row r="48" spans="1:22" ht="15.75" x14ac:dyDescent="0.2">
      <c r="A48" s="7" t="s">
        <v>1934</v>
      </c>
      <c r="B48" s="8"/>
      <c r="C48" s="8"/>
      <c r="D48" s="8"/>
      <c r="E48" s="4"/>
      <c r="F48" s="5"/>
      <c r="G48" s="9"/>
      <c r="H48" s="261"/>
      <c r="I48" s="261"/>
      <c r="J48" s="261"/>
      <c r="K48" s="250"/>
      <c r="L48" s="250"/>
      <c r="M48" s="250"/>
      <c r="N48" s="250"/>
      <c r="O48" s="250"/>
    </row>
    <row r="49" spans="1:16" ht="15.75" x14ac:dyDescent="0.2">
      <c r="A49" s="260" t="s">
        <v>1709</v>
      </c>
      <c r="B49" s="265"/>
      <c r="C49" s="250"/>
      <c r="D49" s="250"/>
      <c r="E49" s="250"/>
      <c r="F49" s="250"/>
      <c r="G49" s="250"/>
      <c r="H49" s="250"/>
      <c r="I49" s="1731"/>
      <c r="J49" s="250"/>
      <c r="K49" s="250"/>
      <c r="L49" s="250"/>
      <c r="M49" s="250"/>
      <c r="N49" s="250"/>
      <c r="O49" s="250"/>
    </row>
    <row r="50" spans="1:16" ht="15.75" x14ac:dyDescent="0.2">
      <c r="A50" s="597"/>
      <c r="B50" s="265"/>
      <c r="C50" s="1731"/>
      <c r="D50" s="1731"/>
      <c r="E50" s="1731"/>
      <c r="F50" s="1731"/>
      <c r="G50" s="1731"/>
      <c r="H50" s="1731"/>
      <c r="I50" s="1731"/>
      <c r="J50" s="1731"/>
      <c r="K50" s="250"/>
      <c r="L50" s="250"/>
      <c r="M50" s="250"/>
      <c r="N50" s="250"/>
      <c r="O50" s="250"/>
    </row>
    <row r="51" spans="1:16" ht="15.75" x14ac:dyDescent="0.2">
      <c r="A51" s="264" t="s">
        <v>617</v>
      </c>
      <c r="B51" s="265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</row>
    <row r="52" spans="1:16" ht="15.75" x14ac:dyDescent="0.2">
      <c r="A52" s="267"/>
      <c r="B52" s="265"/>
      <c r="C52" s="250"/>
      <c r="D52" s="250"/>
      <c r="E52" s="250"/>
      <c r="F52" s="250"/>
      <c r="G52" s="250"/>
      <c r="H52" s="1731"/>
      <c r="I52" s="1731"/>
      <c r="J52" s="1731"/>
      <c r="K52" s="250"/>
      <c r="L52" s="250"/>
      <c r="M52" s="250"/>
      <c r="N52" s="250"/>
      <c r="O52" s="250"/>
      <c r="P52" s="176"/>
    </row>
  </sheetData>
  <mergeCells count="7">
    <mergeCell ref="B17:I17"/>
    <mergeCell ref="A3:O3"/>
    <mergeCell ref="A4:O4"/>
    <mergeCell ref="A6:O6"/>
    <mergeCell ref="A8:A12"/>
    <mergeCell ref="B8:O8"/>
    <mergeCell ref="B9:I9"/>
  </mergeCells>
  <phoneticPr fontId="13" type="noConversion"/>
  <pageMargins left="0.39370078740157483" right="0.39370078740157483" top="0.59055118110236227" bottom="0.59055118110236227" header="0" footer="0"/>
  <pageSetup scale="65" orientation="landscape" horizont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ÍNDICE</vt:lpstr>
      <vt:lpstr>TRANSITORIOS</vt:lpstr>
      <vt:lpstr>TOTAL TRANSITORIOS</vt:lpstr>
      <vt:lpstr>CP TRANSITORIOS</vt:lpstr>
      <vt:lpstr>ANUALES</vt:lpstr>
      <vt:lpstr>TOTAL ANUALES</vt:lpstr>
      <vt:lpstr>CP ANUALES</vt:lpstr>
      <vt:lpstr>PERMANENTES</vt:lpstr>
      <vt:lpstr>TOTAL PERMANENTES</vt:lpstr>
      <vt:lpstr>CP CAFE</vt:lpstr>
      <vt:lpstr>CP-PERMANENTES</vt:lpstr>
      <vt:lpstr>BOVINOS</vt:lpstr>
      <vt:lpstr>PREDIOS BOVINOS</vt:lpstr>
      <vt:lpstr>VACUNACION</vt:lpstr>
      <vt:lpstr>PASTOS</vt:lpstr>
      <vt:lpstr>SACRI-LECHE</vt:lpstr>
      <vt:lpstr>PORCINOS</vt:lpstr>
      <vt:lpstr>SACR-PORCINOS</vt:lpstr>
      <vt:lpstr>OTRAS</vt:lpstr>
      <vt:lpstr>PISCÍCOLA</vt:lpstr>
      <vt:lpstr>REPORTES CONSTANTES</vt:lpstr>
      <vt:lpstr>COMPORTAMIENTO CULTIVOS</vt:lpstr>
      <vt:lpstr>PRECIOS-COSTOS</vt:lpstr>
      <vt:lpstr>CRECIMIENTO AGRICOLA</vt:lpstr>
      <vt:lpstr>COMPORTAMIENTO PECUARIO</vt:lpstr>
      <vt:lpstr>CRECIMIENTO PECUARIO</vt:lpstr>
      <vt:lpstr>CRECIMIENTO TOTAL</vt:lpstr>
      <vt:lpstr>PP CONSTANTES</vt:lpstr>
      <vt:lpstr>REPORTE CORRIENTES</vt:lpstr>
      <vt:lpstr>JORNALES</vt:lpstr>
      <vt:lpstr>VR PROD AGRICOLA</vt:lpstr>
      <vt:lpstr>RESUMEN AGRICOLA</vt:lpstr>
      <vt:lpstr>VR PROD PECUARIA</vt:lpstr>
      <vt:lpstr>VR PROD PISCÍCOLA</vt:lpstr>
      <vt:lpstr>RESUMEN POR GRUPOS</vt:lpstr>
      <vt:lpstr>VR PROD TOTAL</vt:lpstr>
      <vt:lpstr>PARTIC.CULTIVOS</vt:lpstr>
      <vt:lpstr>CONSOLID AREAS MPIOS</vt:lpstr>
      <vt:lpstr>CONSOLID PROD MPIOS</vt:lpstr>
      <vt:lpstr>VR PRODUCCION MUNICIPAL</vt:lpstr>
    </vt:vector>
  </TitlesOfParts>
  <Company>Tecno Fiesta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Garay Suaza</dc:creator>
  <cp:lastModifiedBy>sir</cp:lastModifiedBy>
  <cp:lastPrinted>2024-11-04T01:18:08Z</cp:lastPrinted>
  <dcterms:created xsi:type="dcterms:W3CDTF">2007-10-25T14:39:25Z</dcterms:created>
  <dcterms:modified xsi:type="dcterms:W3CDTF">2025-04-01T15:24:53Z</dcterms:modified>
</cp:coreProperties>
</file>